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3.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always" codeName="ThisWorkbook" defaultThemeVersion="124226"/>
  <mc:AlternateContent xmlns:mc="http://schemas.openxmlformats.org/markup-compatibility/2006">
    <mc:Choice Requires="x15">
      <x15ac:absPath xmlns:x15ac="http://schemas.microsoft.com/office/spreadsheetml/2010/11/ac" url="C:\Users\Owner\Desktop\"/>
    </mc:Choice>
  </mc:AlternateContent>
  <xr:revisionPtr revIDLastSave="0" documentId="13_ncr:1_{9A6C7612-B8CC-4CAA-AA71-3AB293E63C2C}" xr6:coauthVersionLast="47" xr6:coauthVersionMax="47" xr10:uidLastSave="{00000000-0000-0000-0000-000000000000}"/>
  <bookViews>
    <workbookView xWindow="-110" yWindow="-110" windowWidth="19420" windowHeight="10300" tabRatio="923" activeTab="2" xr2:uid="{E911193E-6502-4143-B68B-A1351C2A127E}"/>
  </bookViews>
  <sheets>
    <sheet name="表紙" sheetId="215" r:id="rId1"/>
    <sheet name="公表予定" sheetId="214" r:id="rId2"/>
    <sheet name="目次" sheetId="217" r:id="rId3"/>
    <sheet name="1推計方法" sheetId="198" r:id="rId4"/>
    <sheet name="2概要グラフ" sheetId="197" r:id="rId5"/>
    <sheet name="3概要統計表1" sheetId="200" r:id="rId6"/>
    <sheet name="4概要統計表2" sheetId="199" r:id="rId7"/>
    <sheet name="5名目時系列" sheetId="158" r:id="rId8"/>
    <sheet name="6実質時系列" sheetId="196" r:id="rId9"/>
    <sheet name="7H18" sheetId="153" r:id="rId10"/>
    <sheet name="8H19" sheetId="152" r:id="rId11"/>
    <sheet name="9H20" sheetId="151" r:id="rId12"/>
    <sheet name="10H21" sheetId="134" r:id="rId13"/>
    <sheet name="11H22" sheetId="157" r:id="rId14"/>
    <sheet name="12H23" sheetId="170" r:id="rId15"/>
    <sheet name="13H24" sheetId="177" r:id="rId16"/>
    <sheet name="14H25" sheetId="178" r:id="rId17"/>
    <sheet name="15H26" sheetId="185" r:id="rId18"/>
    <sheet name="16H27" sheetId="186" r:id="rId19"/>
    <sheet name="17H28" sheetId="187" r:id="rId20"/>
    <sheet name="18H29" sheetId="188" r:id="rId21"/>
    <sheet name="19H30" sheetId="189" r:id="rId22"/>
    <sheet name="20R1" sheetId="190" r:id="rId23"/>
    <sheet name="21R2" sheetId="191" r:id="rId24"/>
    <sheet name="22R3" sheetId="192" r:id="rId25"/>
    <sheet name="23R4" sheetId="194" r:id="rId26"/>
    <sheet name="24R5" sheetId="205" r:id="rId27"/>
    <sheet name="25R6" sheetId="207" r:id="rId28"/>
    <sheet name="26R7" sheetId="211" r:id="rId29"/>
    <sheet name="27R8" sheetId="212" r:id="rId30"/>
    <sheet name="28R9" sheetId="213" r:id="rId31"/>
    <sheet name="デフレーター1" sheetId="204" r:id="rId32"/>
    <sheet name="デフレーター2" sheetId="202" r:id="rId33"/>
    <sheet name="市町内需要" sheetId="110" r:id="rId34"/>
    <sheet name="市町内消費" sheetId="127" r:id="rId35"/>
    <sheet name="市町内投資" sheetId="126" r:id="rId36"/>
    <sheet name="民間消費" sheetId="93" r:id="rId37"/>
    <sheet name="消費支出2" sheetId="114" r:id="rId38"/>
    <sheet name="消費支出2_2" sheetId="206" r:id="rId39"/>
    <sheet name="消費ﾃﾞｰﾀ" sheetId="91" r:id="rId40"/>
    <sheet name="世帯数" sheetId="86" r:id="rId41"/>
    <sheet name="世帯数2" sheetId="98" r:id="rId42"/>
    <sheet name="政府消費" sheetId="111" r:id="rId43"/>
    <sheet name="市町人件費物件費歳出" sheetId="108" r:id="rId44"/>
    <sheet name="人件物件費ﾃﾞｰﾀ2" sheetId="155" r:id="rId45"/>
    <sheet name="人件物件費ﾃﾞｰﾀ" sheetId="107" r:id="rId46"/>
    <sheet name="民間住宅1" sheetId="119" r:id="rId47"/>
    <sheet name="民間住宅2" sheetId="116" r:id="rId48"/>
    <sheet name="民間設備投資計" sheetId="125" r:id="rId49"/>
    <sheet name="民間設備製造1" sheetId="120" r:id="rId50"/>
    <sheet name="民間設備製造2" sheetId="122" r:id="rId51"/>
    <sheet name="民間設備非製造" sheetId="121" r:id="rId52"/>
    <sheet name="民間在庫品増加" sheetId="124" r:id="rId53"/>
    <sheet name="公的投資" sheetId="112" r:id="rId54"/>
    <sheet name="市町土木等歳出" sheetId="99" r:id="rId55"/>
    <sheet name="土木費等ﾃﾞｰﾀ2" sheetId="156" r:id="rId56"/>
    <sheet name="土木費等ﾃﾞｰﾀ" sheetId="101" r:id="rId57"/>
    <sheet name="移出入推計WS" sheetId="129" r:id="rId58"/>
    <sheet name="純移出入" sheetId="132" r:id="rId59"/>
    <sheet name="移輸出" sheetId="131" r:id="rId60"/>
    <sheet name="移輸入" sheetId="130" r:id="rId61"/>
    <sheet name="名目県内総支出" sheetId="92" r:id="rId62"/>
    <sheet name="県名目2" sheetId="210" r:id="rId63"/>
    <sheet name="市町名目" sheetId="209" r:id="rId64"/>
    <sheet name="兵庫QE名目" sheetId="169" r:id="rId65"/>
    <sheet name="２次調整" sheetId="123" r:id="rId66"/>
    <sheet name="実質市町GDP" sheetId="165" r:id="rId67"/>
    <sheet name="市町実質" sheetId="208" r:id="rId68"/>
    <sheet name="実質県内総支出" sheetId="166" r:id="rId69"/>
    <sheet name="兵庫QE実質" sheetId="179" r:id="rId70"/>
    <sheet name="ｱｼﾞｱ太平洋研見通し" sheetId="176" r:id="rId71"/>
  </sheets>
  <definedNames>
    <definedName name="_xlnm._FilterDatabase" localSheetId="40" hidden="1">世帯数!#REF!</definedName>
    <definedName name="Data" localSheetId="38">#REF!</definedName>
    <definedName name="Data">#REF!</definedName>
    <definedName name="DataEnd" localSheetId="38">#REF!</definedName>
    <definedName name="DataEnd">#REF!</definedName>
    <definedName name="Hyousoku" localSheetId="38">#REF!</definedName>
    <definedName name="Hyousoku">#REF!</definedName>
    <definedName name="HyousokuArea" localSheetId="38">#REF!</definedName>
    <definedName name="HyousokuArea">#REF!</definedName>
    <definedName name="HyousokuEnd" localSheetId="38">#REF!</definedName>
    <definedName name="HyousokuEnd">#REF!</definedName>
    <definedName name="Hyoutou" localSheetId="38">#REF!</definedName>
    <definedName name="Hyoutou">#REF!</definedName>
    <definedName name="_xlnm.Print_Area" localSheetId="40">世帯数!$A$1:$AX$72</definedName>
    <definedName name="Print_Area_MI" localSheetId="38">#REF!</definedName>
    <definedName name="Print_Area_MI">#REF!</definedName>
    <definedName name="_xlnm.Print_Titles" localSheetId="40">世帯数!$B:$C,世帯数!$1:$6</definedName>
    <definedName name="Rangai0" localSheetId="38">#REF!</definedName>
    <definedName name="Rangai0">#REF!</definedName>
    <definedName name="Title" localSheetId="38">#REF!</definedName>
    <definedName name="Title">#REF!</definedName>
    <definedName name="TitleEnglish" localSheetId="38">#REF!</definedName>
    <definedName name="TitleEnglish">#REF!</definedName>
    <definedName name="とう" localSheetId="38">#REF!</definedName>
    <definedName name="とう">#REF!</definedName>
    <definedName name="外国人" localSheetId="38">#REF!</definedName>
    <definedName name="外国人">#REF!</definedName>
  </definedNames>
  <calcPr calcId="191029"/>
</workbook>
</file>

<file path=xl/calcChain.xml><?xml version="1.0" encoding="utf-8"?>
<calcChain xmlns="http://schemas.openxmlformats.org/spreadsheetml/2006/main">
  <c r="U18" i="196" l="1"/>
  <c r="AB54" i="199"/>
  <c r="AC54" i="199"/>
  <c r="AB55" i="199"/>
  <c r="AC55" i="199"/>
  <c r="AB56" i="199"/>
  <c r="AC56" i="199"/>
  <c r="AB57" i="199"/>
  <c r="AC57" i="199"/>
  <c r="AB58" i="199"/>
  <c r="AC58" i="199"/>
  <c r="AB59" i="199"/>
  <c r="AC59" i="199"/>
  <c r="AB60" i="199"/>
  <c r="AC60" i="199"/>
  <c r="AB61" i="199"/>
  <c r="AC61" i="199"/>
  <c r="AB62" i="199"/>
  <c r="AC62" i="199"/>
  <c r="AB63" i="199"/>
  <c r="AC63" i="199"/>
  <c r="AB64" i="199"/>
  <c r="AC64" i="199"/>
  <c r="HO5" i="129"/>
  <c r="HO7" i="129"/>
  <c r="HO8" i="129"/>
  <c r="HO9" i="129"/>
  <c r="HO10" i="129"/>
  <c r="HO11" i="129"/>
  <c r="HO12" i="129"/>
  <c r="HO13" i="129"/>
  <c r="HO14" i="129"/>
  <c r="HO15" i="129"/>
  <c r="HO16" i="129"/>
  <c r="HH5" i="129"/>
  <c r="GX5" i="129"/>
  <c r="GN5" i="129"/>
  <c r="W53" i="204"/>
  <c r="X53" i="204"/>
  <c r="W49" i="204"/>
  <c r="X49" i="204"/>
  <c r="W50" i="204"/>
  <c r="X50" i="204"/>
  <c r="W51" i="204"/>
  <c r="X51" i="204"/>
  <c r="W52" i="204"/>
  <c r="X52" i="204"/>
  <c r="U52" i="204"/>
  <c r="S83" i="204"/>
  <c r="R83" i="204"/>
  <c r="R82" i="204"/>
  <c r="AK51" i="99"/>
  <c r="AK48" i="99"/>
  <c r="AK42" i="99"/>
  <c r="AK34" i="99"/>
  <c r="AK29" i="99"/>
  <c r="AK22" i="99"/>
  <c r="AK16" i="99"/>
  <c r="AK10" i="99"/>
  <c r="AK6" i="99"/>
  <c r="AK4" i="99"/>
  <c r="AK7" i="99"/>
  <c r="AK8" i="99"/>
  <c r="AK9" i="99"/>
  <c r="AK11" i="99"/>
  <c r="AK12" i="99"/>
  <c r="AK13" i="99"/>
  <c r="AK14" i="99"/>
  <c r="AK15" i="99"/>
  <c r="AK17" i="99"/>
  <c r="AK18" i="99"/>
  <c r="AK19" i="99"/>
  <c r="AK20" i="99"/>
  <c r="AK21" i="99"/>
  <c r="AK23" i="99"/>
  <c r="AK24" i="99"/>
  <c r="AK25" i="99"/>
  <c r="AK26" i="99"/>
  <c r="AK27" i="99"/>
  <c r="AK28" i="99"/>
  <c r="AK30" i="99"/>
  <c r="AK31" i="99"/>
  <c r="AK32" i="99"/>
  <c r="AK33" i="99"/>
  <c r="AK35" i="99"/>
  <c r="AK36" i="99"/>
  <c r="AK37" i="99"/>
  <c r="AK38" i="99"/>
  <c r="AK39" i="99"/>
  <c r="AK40" i="99"/>
  <c r="AK41" i="99"/>
  <c r="AK43" i="99"/>
  <c r="AK44" i="99"/>
  <c r="AK45" i="99"/>
  <c r="AK46" i="99"/>
  <c r="AK47" i="99"/>
  <c r="AK49" i="99"/>
  <c r="AK50" i="99"/>
  <c r="AK52" i="99"/>
  <c r="AK53" i="99"/>
  <c r="AK54" i="99"/>
  <c r="AK5" i="99"/>
  <c r="AJ6" i="108"/>
  <c r="AK6" i="108"/>
  <c r="AJ7" i="108"/>
  <c r="AK7" i="108"/>
  <c r="AJ8" i="108"/>
  <c r="AK8" i="108"/>
  <c r="AJ9" i="108"/>
  <c r="AK9" i="108"/>
  <c r="AJ10" i="108"/>
  <c r="AK10" i="108"/>
  <c r="AJ11" i="108"/>
  <c r="AK11" i="108"/>
  <c r="AJ12" i="108"/>
  <c r="AK12" i="108"/>
  <c r="AJ13" i="108"/>
  <c r="AK13" i="108"/>
  <c r="AJ14" i="108"/>
  <c r="AK14" i="108"/>
  <c r="AJ15" i="108"/>
  <c r="AK15" i="108"/>
  <c r="AJ16" i="108"/>
  <c r="AK16" i="108"/>
  <c r="AJ17" i="108"/>
  <c r="AK17" i="108"/>
  <c r="AJ18" i="108"/>
  <c r="AK18" i="108"/>
  <c r="AJ19" i="108"/>
  <c r="AK19" i="108"/>
  <c r="AJ20" i="108"/>
  <c r="AK20" i="108"/>
  <c r="AJ21" i="108"/>
  <c r="AK21" i="108"/>
  <c r="AJ22" i="108"/>
  <c r="AK22" i="108"/>
  <c r="AJ23" i="108"/>
  <c r="AK23" i="108"/>
  <c r="AJ24" i="108"/>
  <c r="AK24" i="108"/>
  <c r="AJ25" i="108"/>
  <c r="AK25" i="108"/>
  <c r="AJ26" i="108"/>
  <c r="AK26" i="108"/>
  <c r="AJ27" i="108"/>
  <c r="AK27" i="108"/>
  <c r="AJ28" i="108"/>
  <c r="AK28" i="108"/>
  <c r="AJ29" i="108"/>
  <c r="AK29" i="108"/>
  <c r="AJ30" i="108"/>
  <c r="AK30" i="108"/>
  <c r="AJ31" i="108"/>
  <c r="AK31" i="108"/>
  <c r="AJ32" i="108"/>
  <c r="AK32" i="108"/>
  <c r="AJ33" i="108"/>
  <c r="AK33" i="108"/>
  <c r="AJ34" i="108"/>
  <c r="AK34" i="108"/>
  <c r="AJ35" i="108"/>
  <c r="AK35" i="108"/>
  <c r="AJ36" i="108"/>
  <c r="AK36" i="108"/>
  <c r="AJ37" i="108"/>
  <c r="AK37" i="108"/>
  <c r="AJ38" i="108"/>
  <c r="AK38" i="108"/>
  <c r="AJ39" i="108"/>
  <c r="AK39" i="108"/>
  <c r="AJ40" i="108"/>
  <c r="AK40" i="108"/>
  <c r="AJ41" i="108"/>
  <c r="AK41" i="108"/>
  <c r="AJ42" i="108"/>
  <c r="AK42" i="108"/>
  <c r="AJ43" i="108"/>
  <c r="AK43" i="108"/>
  <c r="AJ44" i="108"/>
  <c r="AK44" i="108"/>
  <c r="AJ45" i="108"/>
  <c r="AK45" i="108"/>
  <c r="AJ46" i="108"/>
  <c r="AK46" i="108"/>
  <c r="AJ47" i="108"/>
  <c r="AK47" i="108"/>
  <c r="AJ48" i="108"/>
  <c r="AK48" i="108"/>
  <c r="AJ49" i="108"/>
  <c r="AK49" i="108"/>
  <c r="AJ50" i="108"/>
  <c r="AK50" i="108"/>
  <c r="AJ51" i="108"/>
  <c r="AK51" i="108"/>
  <c r="AJ52" i="108"/>
  <c r="AK52" i="108"/>
  <c r="AJ53" i="108"/>
  <c r="AK53" i="108"/>
  <c r="AJ54" i="108"/>
  <c r="AK54" i="108"/>
  <c r="AK5" i="108"/>
  <c r="AJ5" i="108"/>
  <c r="CC56" i="155"/>
  <c r="CC55" i="155"/>
  <c r="CC54" i="155"/>
  <c r="CC53" i="155" s="1"/>
  <c r="CC52" i="155"/>
  <c r="CC51" i="155"/>
  <c r="CC50" i="155"/>
  <c r="CC49" i="155"/>
  <c r="CC48" i="155"/>
  <c r="CC47" i="155"/>
  <c r="CC46" i="155"/>
  <c r="CC45" i="155"/>
  <c r="CC43" i="155"/>
  <c r="CC42" i="155"/>
  <c r="CC41" i="155"/>
  <c r="CC40" i="155"/>
  <c r="CC39" i="155"/>
  <c r="CC38" i="155"/>
  <c r="CC37" i="155"/>
  <c r="CC35" i="155"/>
  <c r="CC34" i="155"/>
  <c r="CC33" i="155"/>
  <c r="CC32" i="155"/>
  <c r="CC30" i="155"/>
  <c r="CC29" i="155"/>
  <c r="CC28" i="155"/>
  <c r="CC27" i="155"/>
  <c r="CC26" i="155"/>
  <c r="CC25" i="155"/>
  <c r="CC23" i="155"/>
  <c r="CC22" i="155"/>
  <c r="CC21" i="155"/>
  <c r="CC20" i="155"/>
  <c r="CC18" i="155" s="1"/>
  <c r="CC19" i="155"/>
  <c r="CC17" i="155"/>
  <c r="CC16" i="155"/>
  <c r="CC15" i="155"/>
  <c r="CC14" i="155"/>
  <c r="CC13" i="155"/>
  <c r="CC11" i="155"/>
  <c r="CC10" i="155"/>
  <c r="CC9" i="155"/>
  <c r="CC7" i="155"/>
  <c r="CB6" i="155"/>
  <c r="CA6" i="155"/>
  <c r="BZ6" i="155"/>
  <c r="BI54" i="156"/>
  <c r="BH54" i="156"/>
  <c r="BJ54" i="156" s="1"/>
  <c r="BI53" i="156"/>
  <c r="BH53" i="156"/>
  <c r="BJ53" i="156" s="1"/>
  <c r="BI52" i="156"/>
  <c r="BI10" i="156" s="1"/>
  <c r="BH52" i="156"/>
  <c r="BI51" i="156"/>
  <c r="BH51" i="156"/>
  <c r="BJ51" i="156" s="1"/>
  <c r="BI50" i="156"/>
  <c r="BH50" i="156"/>
  <c r="BJ50" i="156" s="1"/>
  <c r="BJ49" i="156"/>
  <c r="BI49" i="156"/>
  <c r="BH49" i="156"/>
  <c r="BI48" i="156"/>
  <c r="BH48" i="156"/>
  <c r="BJ48" i="156" s="1"/>
  <c r="BI47" i="156"/>
  <c r="BH47" i="156"/>
  <c r="BJ47" i="156" s="1"/>
  <c r="BJ46" i="156"/>
  <c r="BI46" i="156"/>
  <c r="BH46" i="156"/>
  <c r="BI45" i="156"/>
  <c r="BH45" i="156"/>
  <c r="BJ45" i="156" s="1"/>
  <c r="BI44" i="156"/>
  <c r="BJ44" i="156" s="1"/>
  <c r="BH44" i="156"/>
  <c r="BI43" i="156"/>
  <c r="BH43" i="156"/>
  <c r="BJ43" i="156" s="1"/>
  <c r="BI42" i="156"/>
  <c r="BH42" i="156"/>
  <c r="BJ42" i="156" s="1"/>
  <c r="BJ41" i="156"/>
  <c r="BI41" i="156"/>
  <c r="BH41" i="156"/>
  <c r="BI40" i="156"/>
  <c r="BH40" i="156"/>
  <c r="BJ40" i="156" s="1"/>
  <c r="BI39" i="156"/>
  <c r="BI13" i="156" s="1"/>
  <c r="BH39" i="156"/>
  <c r="BJ39" i="156" s="1"/>
  <c r="BJ38" i="156"/>
  <c r="BI38" i="156"/>
  <c r="BH38" i="156"/>
  <c r="BI37" i="156"/>
  <c r="BH37" i="156"/>
  <c r="BJ37" i="156" s="1"/>
  <c r="BI36" i="156"/>
  <c r="BJ36" i="156" s="1"/>
  <c r="BH36" i="156"/>
  <c r="BI35" i="156"/>
  <c r="BH35" i="156"/>
  <c r="BJ35" i="156" s="1"/>
  <c r="BI34" i="156"/>
  <c r="BH34" i="156"/>
  <c r="BH12" i="156" s="1"/>
  <c r="BJ12" i="156" s="1"/>
  <c r="BJ33" i="156"/>
  <c r="BI33" i="156"/>
  <c r="BH33" i="156"/>
  <c r="BI32" i="156"/>
  <c r="BH32" i="156"/>
  <c r="BJ32" i="156" s="1"/>
  <c r="BI31" i="156"/>
  <c r="BH31" i="156"/>
  <c r="BJ31" i="156" s="1"/>
  <c r="BJ30" i="156"/>
  <c r="BI30" i="156"/>
  <c r="BH30" i="156"/>
  <c r="BI29" i="156"/>
  <c r="BH29" i="156"/>
  <c r="BJ29" i="156" s="1"/>
  <c r="BI28" i="156"/>
  <c r="BJ28" i="156" s="1"/>
  <c r="BH28" i="156"/>
  <c r="BI27" i="156"/>
  <c r="BH27" i="156"/>
  <c r="BJ27" i="156" s="1"/>
  <c r="BI26" i="156"/>
  <c r="BI8" i="156" s="1"/>
  <c r="BH26" i="156"/>
  <c r="BJ26" i="156" s="1"/>
  <c r="BJ25" i="156"/>
  <c r="BI25" i="156"/>
  <c r="BH25" i="156"/>
  <c r="BI24" i="156"/>
  <c r="BH24" i="156"/>
  <c r="BJ24" i="156" s="1"/>
  <c r="BI23" i="156"/>
  <c r="BI11" i="156" s="1"/>
  <c r="BH23" i="156"/>
  <c r="BJ23" i="156" s="1"/>
  <c r="BJ22" i="156"/>
  <c r="BI22" i="156"/>
  <c r="BH22" i="156"/>
  <c r="BI21" i="156"/>
  <c r="BI6" i="156" s="1"/>
  <c r="BH21" i="156"/>
  <c r="BH6" i="156" s="1"/>
  <c r="BI20" i="156"/>
  <c r="BJ20" i="156" s="1"/>
  <c r="BH20" i="156"/>
  <c r="BI19" i="156"/>
  <c r="BH19" i="156"/>
  <c r="BJ19" i="156" s="1"/>
  <c r="BI18" i="156"/>
  <c r="BI5" i="156" s="1"/>
  <c r="BH18" i="156"/>
  <c r="BJ18" i="156" s="1"/>
  <c r="BJ17" i="156"/>
  <c r="BI17" i="156"/>
  <c r="BH17" i="156"/>
  <c r="BI16" i="156"/>
  <c r="BH16" i="156"/>
  <c r="BJ16" i="156" s="1"/>
  <c r="BI15" i="156"/>
  <c r="BI9" i="156" s="1"/>
  <c r="BH15" i="156"/>
  <c r="BJ15" i="156" s="1"/>
  <c r="BJ14" i="156"/>
  <c r="BI14" i="156"/>
  <c r="BH14" i="156"/>
  <c r="BI12" i="156"/>
  <c r="BH10" i="156"/>
  <c r="BJ10" i="156" s="1"/>
  <c r="BI7" i="156"/>
  <c r="BH7" i="156"/>
  <c r="BJ7" i="156" s="1"/>
  <c r="BI4" i="156"/>
  <c r="BJ4" i="156" s="1"/>
  <c r="BH4" i="156"/>
  <c r="BJ118" i="156"/>
  <c r="BJ117" i="156"/>
  <c r="BJ116" i="156"/>
  <c r="BJ115" i="156"/>
  <c r="BJ114" i="156"/>
  <c r="BJ113" i="156"/>
  <c r="BJ112" i="156"/>
  <c r="BJ111" i="156"/>
  <c r="BJ110" i="156"/>
  <c r="BJ109" i="156"/>
  <c r="BJ108" i="156"/>
  <c r="BJ107" i="156"/>
  <c r="BJ106" i="156"/>
  <c r="BJ105" i="156"/>
  <c r="BJ104" i="156"/>
  <c r="BJ103" i="156"/>
  <c r="BJ102" i="156"/>
  <c r="BJ101" i="156"/>
  <c r="BJ100" i="156"/>
  <c r="BJ99" i="156"/>
  <c r="BJ98" i="156"/>
  <c r="BJ97" i="156"/>
  <c r="BJ96" i="156"/>
  <c r="BJ95" i="156"/>
  <c r="BJ94" i="156"/>
  <c r="BJ93" i="156"/>
  <c r="BJ92" i="156"/>
  <c r="BJ91" i="156"/>
  <c r="BJ90" i="156"/>
  <c r="BJ89" i="156"/>
  <c r="BJ88" i="156"/>
  <c r="BJ87" i="156"/>
  <c r="BJ86" i="156"/>
  <c r="BJ85" i="156"/>
  <c r="BJ84" i="156"/>
  <c r="BJ83" i="156"/>
  <c r="BJ82" i="156"/>
  <c r="BJ81" i="156"/>
  <c r="BJ80" i="156"/>
  <c r="BJ79" i="156"/>
  <c r="BJ78" i="156"/>
  <c r="BJ77" i="156"/>
  <c r="BJ76" i="156"/>
  <c r="BJ75" i="156"/>
  <c r="BJ74" i="156"/>
  <c r="BJ73" i="156"/>
  <c r="BJ72" i="156"/>
  <c r="BJ71" i="156"/>
  <c r="BJ70" i="156"/>
  <c r="BJ60" i="156"/>
  <c r="BJ59" i="156"/>
  <c r="GN1" i="129"/>
  <c r="GY1" i="129"/>
  <c r="GO1" i="129"/>
  <c r="GD1" i="129"/>
  <c r="AO40" i="92"/>
  <c r="AO39" i="92"/>
  <c r="AO31" i="92"/>
  <c r="AO30" i="92"/>
  <c r="AO29" i="92"/>
  <c r="AO22" i="92"/>
  <c r="AO6" i="92"/>
  <c r="AP40" i="92"/>
  <c r="AP39" i="92"/>
  <c r="AP31" i="92"/>
  <c r="AP30" i="92"/>
  <c r="AP29" i="92"/>
  <c r="AP22" i="92"/>
  <c r="AP6" i="92"/>
  <c r="AA70" i="123"/>
  <c r="AB70" i="123"/>
  <c r="AC70" i="123"/>
  <c r="AD70" i="123"/>
  <c r="AE70" i="123"/>
  <c r="AF70" i="123"/>
  <c r="AG70" i="123"/>
  <c r="AH70" i="123"/>
  <c r="AI70" i="123"/>
  <c r="AJ70" i="123"/>
  <c r="AK70" i="123"/>
  <c r="AL70" i="123"/>
  <c r="AA71" i="123"/>
  <c r="AB71" i="123"/>
  <c r="AC71" i="123"/>
  <c r="AD71" i="123"/>
  <c r="AE71" i="123"/>
  <c r="AF71" i="123"/>
  <c r="AG71" i="123"/>
  <c r="AH71" i="123"/>
  <c r="AI71" i="123"/>
  <c r="AJ71" i="123"/>
  <c r="AK71" i="123"/>
  <c r="AL71" i="123"/>
  <c r="AA72" i="123"/>
  <c r="AB72" i="123"/>
  <c r="AC72" i="123"/>
  <c r="AD72" i="123"/>
  <c r="AE72" i="123"/>
  <c r="AF72" i="123"/>
  <c r="AG72" i="123"/>
  <c r="AH72" i="123"/>
  <c r="AI72" i="123"/>
  <c r="AJ72" i="123"/>
  <c r="AK72" i="123"/>
  <c r="AL72" i="123"/>
  <c r="AA73" i="123"/>
  <c r="AB73" i="123"/>
  <c r="AC73" i="123"/>
  <c r="AD73" i="123"/>
  <c r="AE73" i="123"/>
  <c r="AF73" i="123"/>
  <c r="AG73" i="123"/>
  <c r="AH73" i="123"/>
  <c r="AI73" i="123"/>
  <c r="AJ73" i="123"/>
  <c r="AK73" i="123"/>
  <c r="AL73" i="123"/>
  <c r="AA74" i="123"/>
  <c r="AB74" i="123"/>
  <c r="AC74" i="123"/>
  <c r="AD74" i="123"/>
  <c r="AE74" i="123"/>
  <c r="AF74" i="123"/>
  <c r="AG74" i="123"/>
  <c r="AH74" i="123"/>
  <c r="AI74" i="123"/>
  <c r="AJ74" i="123"/>
  <c r="AK74" i="123"/>
  <c r="AL74" i="123"/>
  <c r="AA75" i="123"/>
  <c r="AB75" i="123"/>
  <c r="AC75" i="123"/>
  <c r="AD75" i="123"/>
  <c r="AE75" i="123"/>
  <c r="AF75" i="123"/>
  <c r="AG75" i="123"/>
  <c r="AH75" i="123"/>
  <c r="AI75" i="123"/>
  <c r="AJ75" i="123"/>
  <c r="AK75" i="123"/>
  <c r="AL75" i="123"/>
  <c r="AA76" i="123"/>
  <c r="AB76" i="123"/>
  <c r="AC76" i="123"/>
  <c r="AD76" i="123"/>
  <c r="AE76" i="123"/>
  <c r="AF76" i="123"/>
  <c r="AG76" i="123"/>
  <c r="AH76" i="123"/>
  <c r="AI76" i="123"/>
  <c r="AJ76" i="123"/>
  <c r="AK76" i="123"/>
  <c r="AL76" i="123"/>
  <c r="AA77" i="123"/>
  <c r="AB77" i="123"/>
  <c r="AC77" i="123"/>
  <c r="AD77" i="123"/>
  <c r="AE77" i="123"/>
  <c r="AF77" i="123"/>
  <c r="AG77" i="123"/>
  <c r="AH77" i="123"/>
  <c r="AI77" i="123"/>
  <c r="AJ77" i="123"/>
  <c r="AK77" i="123"/>
  <c r="AL77" i="123"/>
  <c r="AA78" i="123"/>
  <c r="AB78" i="123"/>
  <c r="AC78" i="123"/>
  <c r="AD78" i="123"/>
  <c r="AE78" i="123"/>
  <c r="AF78" i="123"/>
  <c r="AG78" i="123"/>
  <c r="AH78" i="123"/>
  <c r="AI78" i="123"/>
  <c r="AJ78" i="123"/>
  <c r="AK78" i="123"/>
  <c r="AL78" i="123"/>
  <c r="AA79" i="123"/>
  <c r="AB79" i="123"/>
  <c r="AC79" i="123"/>
  <c r="AD79" i="123"/>
  <c r="AE79" i="123"/>
  <c r="AF79" i="123"/>
  <c r="AG79" i="123"/>
  <c r="AH79" i="123"/>
  <c r="AI79" i="123"/>
  <c r="AJ79" i="123"/>
  <c r="AK79" i="123"/>
  <c r="AL79" i="123"/>
  <c r="AA80" i="123"/>
  <c r="AB80" i="123"/>
  <c r="AC80" i="123"/>
  <c r="AD80" i="123"/>
  <c r="AE80" i="123"/>
  <c r="AF80" i="123"/>
  <c r="AG80" i="123"/>
  <c r="AH80" i="123"/>
  <c r="AI80" i="123"/>
  <c r="AJ80" i="123"/>
  <c r="AK80" i="123"/>
  <c r="AL80" i="123"/>
  <c r="AA81" i="123"/>
  <c r="AB81" i="123"/>
  <c r="AC81" i="123"/>
  <c r="AD81" i="123"/>
  <c r="AE81" i="123"/>
  <c r="AF81" i="123"/>
  <c r="AG81" i="123"/>
  <c r="AH81" i="123"/>
  <c r="AI81" i="123"/>
  <c r="AJ81" i="123"/>
  <c r="AK81" i="123"/>
  <c r="AL81" i="123"/>
  <c r="AA82" i="123"/>
  <c r="AB82" i="123"/>
  <c r="AC82" i="123"/>
  <c r="AD82" i="123"/>
  <c r="AE82" i="123"/>
  <c r="AF82" i="123"/>
  <c r="AG82" i="123"/>
  <c r="AH82" i="123"/>
  <c r="AI82" i="123"/>
  <c r="AJ82" i="123"/>
  <c r="AK82" i="123"/>
  <c r="AL82" i="123"/>
  <c r="AA83" i="123"/>
  <c r="AB83" i="123"/>
  <c r="AC83" i="123"/>
  <c r="AD83" i="123"/>
  <c r="AE83" i="123"/>
  <c r="AF83" i="123"/>
  <c r="AG83" i="123"/>
  <c r="AH83" i="123"/>
  <c r="AI83" i="123"/>
  <c r="AJ83" i="123"/>
  <c r="AK83" i="123"/>
  <c r="AL83" i="123"/>
  <c r="AA84" i="123"/>
  <c r="AB84" i="123"/>
  <c r="AC84" i="123"/>
  <c r="AD84" i="123"/>
  <c r="AE84" i="123"/>
  <c r="AF84" i="123"/>
  <c r="AG84" i="123"/>
  <c r="AH84" i="123"/>
  <c r="AI84" i="123"/>
  <c r="AJ84" i="123"/>
  <c r="AK84" i="123"/>
  <c r="AL84" i="123"/>
  <c r="AA85" i="123"/>
  <c r="AB85" i="123"/>
  <c r="AC85" i="123"/>
  <c r="AD85" i="123"/>
  <c r="AE85" i="123"/>
  <c r="AF85" i="123"/>
  <c r="AG85" i="123"/>
  <c r="AH85" i="123"/>
  <c r="AI85" i="123"/>
  <c r="AJ85" i="123"/>
  <c r="AK85" i="123"/>
  <c r="AL85" i="123"/>
  <c r="AL21" i="123" s="1"/>
  <c r="AA86" i="123"/>
  <c r="AB86" i="123"/>
  <c r="AC86" i="123"/>
  <c r="AD86" i="123"/>
  <c r="AE86" i="123"/>
  <c r="AF86" i="123"/>
  <c r="AG86" i="123"/>
  <c r="AH86" i="123"/>
  <c r="AI86" i="123"/>
  <c r="AJ86" i="123"/>
  <c r="AK86" i="123"/>
  <c r="AL86" i="123"/>
  <c r="AA87" i="123"/>
  <c r="AB87" i="123"/>
  <c r="AC87" i="123"/>
  <c r="AD87" i="123"/>
  <c r="AE87" i="123"/>
  <c r="AF87" i="123"/>
  <c r="AG87" i="123"/>
  <c r="AH87" i="123"/>
  <c r="AI87" i="123"/>
  <c r="AJ87" i="123"/>
  <c r="AK87" i="123"/>
  <c r="AL87" i="123"/>
  <c r="AA88" i="123"/>
  <c r="AB88" i="123"/>
  <c r="AC88" i="123"/>
  <c r="AD88" i="123"/>
  <c r="AE88" i="123"/>
  <c r="AF88" i="123"/>
  <c r="AG88" i="123"/>
  <c r="AH88" i="123"/>
  <c r="AI88" i="123"/>
  <c r="AJ88" i="123"/>
  <c r="AK88" i="123"/>
  <c r="AL88" i="123"/>
  <c r="AA89" i="123"/>
  <c r="AB89" i="123"/>
  <c r="AC89" i="123"/>
  <c r="AD89" i="123"/>
  <c r="AE89" i="123"/>
  <c r="AF89" i="123"/>
  <c r="AG89" i="123"/>
  <c r="AH89" i="123"/>
  <c r="AI89" i="123"/>
  <c r="AJ89" i="123"/>
  <c r="AK89" i="123"/>
  <c r="AL89" i="123"/>
  <c r="AL25" i="123" s="1"/>
  <c r="AA90" i="123"/>
  <c r="AB90" i="123"/>
  <c r="AC90" i="123"/>
  <c r="AD90" i="123"/>
  <c r="AE90" i="123"/>
  <c r="AF90" i="123"/>
  <c r="AG90" i="123"/>
  <c r="AH90" i="123"/>
  <c r="AI90" i="123"/>
  <c r="AJ90" i="123"/>
  <c r="AK90" i="123"/>
  <c r="AL90" i="123"/>
  <c r="AA91" i="123"/>
  <c r="AB91" i="123"/>
  <c r="AC91" i="123"/>
  <c r="AD91" i="123"/>
  <c r="AE91" i="123"/>
  <c r="AF91" i="123"/>
  <c r="AG91" i="123"/>
  <c r="AH91" i="123"/>
  <c r="AI91" i="123"/>
  <c r="AJ91" i="123"/>
  <c r="AK91" i="123"/>
  <c r="AL91" i="123"/>
  <c r="AL27" i="123" s="1"/>
  <c r="AA92" i="123"/>
  <c r="AB92" i="123"/>
  <c r="AC92" i="123"/>
  <c r="AD92" i="123"/>
  <c r="AE92" i="123"/>
  <c r="AF92" i="123"/>
  <c r="AG92" i="123"/>
  <c r="AH92" i="123"/>
  <c r="AI92" i="123"/>
  <c r="AJ92" i="123"/>
  <c r="AK92" i="123"/>
  <c r="AL92" i="123"/>
  <c r="AA93" i="123"/>
  <c r="AB93" i="123"/>
  <c r="AC93" i="123"/>
  <c r="AD93" i="123"/>
  <c r="AE93" i="123"/>
  <c r="AF93" i="123"/>
  <c r="AG93" i="123"/>
  <c r="AH93" i="123"/>
  <c r="AI93" i="123"/>
  <c r="AJ93" i="123"/>
  <c r="AK93" i="123"/>
  <c r="AL93" i="123"/>
  <c r="AA94" i="123"/>
  <c r="AB94" i="123"/>
  <c r="AC94" i="123"/>
  <c r="AD94" i="123"/>
  <c r="AE94" i="123"/>
  <c r="AF94" i="123"/>
  <c r="AG94" i="123"/>
  <c r="AH94" i="123"/>
  <c r="AI94" i="123"/>
  <c r="AJ94" i="123"/>
  <c r="AK94" i="123"/>
  <c r="AL94" i="123"/>
  <c r="AA95" i="123"/>
  <c r="AB95" i="123"/>
  <c r="AC95" i="123"/>
  <c r="AD95" i="123"/>
  <c r="AE95" i="123"/>
  <c r="AF95" i="123"/>
  <c r="AG95" i="123"/>
  <c r="AH95" i="123"/>
  <c r="AI95" i="123"/>
  <c r="AJ95" i="123"/>
  <c r="AK95" i="123"/>
  <c r="AL95" i="123"/>
  <c r="AL31" i="123" s="1"/>
  <c r="AA96" i="123"/>
  <c r="AB96" i="123"/>
  <c r="AC96" i="123"/>
  <c r="AD96" i="123"/>
  <c r="AE96" i="123"/>
  <c r="AF96" i="123"/>
  <c r="AG96" i="123"/>
  <c r="AH96" i="123"/>
  <c r="AI96" i="123"/>
  <c r="AJ96" i="123"/>
  <c r="AK96" i="123"/>
  <c r="AL96" i="123"/>
  <c r="AA97" i="123"/>
  <c r="AB97" i="123"/>
  <c r="AC97" i="123"/>
  <c r="AD97" i="123"/>
  <c r="AE97" i="123"/>
  <c r="AF97" i="123"/>
  <c r="AG97" i="123"/>
  <c r="AH97" i="123"/>
  <c r="AI97" i="123"/>
  <c r="AJ97" i="123"/>
  <c r="AK97" i="123"/>
  <c r="AL97" i="123"/>
  <c r="AL33" i="123" s="1"/>
  <c r="AA98" i="123"/>
  <c r="AB98" i="123"/>
  <c r="AC98" i="123"/>
  <c r="AD98" i="123"/>
  <c r="AE98" i="123"/>
  <c r="AF98" i="123"/>
  <c r="AG98" i="123"/>
  <c r="AH98" i="123"/>
  <c r="AI98" i="123"/>
  <c r="AJ98" i="123"/>
  <c r="AK98" i="123"/>
  <c r="AL98" i="123"/>
  <c r="AA99" i="123"/>
  <c r="AB99" i="123"/>
  <c r="AC99" i="123"/>
  <c r="AD99" i="123"/>
  <c r="AE99" i="123"/>
  <c r="AF99" i="123"/>
  <c r="AG99" i="123"/>
  <c r="AH99" i="123"/>
  <c r="AI99" i="123"/>
  <c r="AJ99" i="123"/>
  <c r="AK99" i="123"/>
  <c r="AL99" i="123"/>
  <c r="AA100" i="123"/>
  <c r="AB100" i="123"/>
  <c r="AC100" i="123"/>
  <c r="AD100" i="123"/>
  <c r="AE100" i="123"/>
  <c r="AF100" i="123"/>
  <c r="AG100" i="123"/>
  <c r="AH100" i="123"/>
  <c r="AI100" i="123"/>
  <c r="AJ100" i="123"/>
  <c r="AK100" i="123"/>
  <c r="AL100" i="123"/>
  <c r="AA101" i="123"/>
  <c r="AB101" i="123"/>
  <c r="AC101" i="123"/>
  <c r="AD101" i="123"/>
  <c r="AE101" i="123"/>
  <c r="AF101" i="123"/>
  <c r="AG101" i="123"/>
  <c r="AH101" i="123"/>
  <c r="AI101" i="123"/>
  <c r="AJ101" i="123"/>
  <c r="AK101" i="123"/>
  <c r="AL101" i="123"/>
  <c r="AL37" i="123" s="1"/>
  <c r="AA102" i="123"/>
  <c r="AB102" i="123"/>
  <c r="AC102" i="123"/>
  <c r="AD102" i="123"/>
  <c r="AE102" i="123"/>
  <c r="AF102" i="123"/>
  <c r="AG102" i="123"/>
  <c r="AH102" i="123"/>
  <c r="AI102" i="123"/>
  <c r="AJ102" i="123"/>
  <c r="AK102" i="123"/>
  <c r="AL102" i="123"/>
  <c r="AA103" i="123"/>
  <c r="AB103" i="123"/>
  <c r="AC103" i="123"/>
  <c r="AD103" i="123"/>
  <c r="AE103" i="123"/>
  <c r="AF103" i="123"/>
  <c r="AG103" i="123"/>
  <c r="AH103" i="123"/>
  <c r="AI103" i="123"/>
  <c r="AJ103" i="123"/>
  <c r="AK103" i="123"/>
  <c r="AL103" i="123"/>
  <c r="AL39" i="123" s="1"/>
  <c r="AA104" i="123"/>
  <c r="AB104" i="123"/>
  <c r="AC104" i="123"/>
  <c r="AD104" i="123"/>
  <c r="AE104" i="123"/>
  <c r="AF104" i="123"/>
  <c r="AG104" i="123"/>
  <c r="AH104" i="123"/>
  <c r="AI104" i="123"/>
  <c r="AJ104" i="123"/>
  <c r="AK104" i="123"/>
  <c r="AL104" i="123"/>
  <c r="AA105" i="123"/>
  <c r="AB105" i="123"/>
  <c r="AC105" i="123"/>
  <c r="AD105" i="123"/>
  <c r="AE105" i="123"/>
  <c r="AF105" i="123"/>
  <c r="AG105" i="123"/>
  <c r="AH105" i="123"/>
  <c r="AI105" i="123"/>
  <c r="AJ105" i="123"/>
  <c r="AK105" i="123"/>
  <c r="AL105" i="123"/>
  <c r="AL41" i="123" s="1"/>
  <c r="AA106" i="123"/>
  <c r="AB106" i="123"/>
  <c r="AC106" i="123"/>
  <c r="AD106" i="123"/>
  <c r="AE106" i="123"/>
  <c r="AF106" i="123"/>
  <c r="AG106" i="123"/>
  <c r="AH106" i="123"/>
  <c r="AI106" i="123"/>
  <c r="AJ106" i="123"/>
  <c r="AK106" i="123"/>
  <c r="AL106" i="123"/>
  <c r="AA107" i="123"/>
  <c r="AB107" i="123"/>
  <c r="AC107" i="123"/>
  <c r="AD107" i="123"/>
  <c r="AE107" i="123"/>
  <c r="AF107" i="123"/>
  <c r="AG107" i="123"/>
  <c r="AH107" i="123"/>
  <c r="AI107" i="123"/>
  <c r="AJ107" i="123"/>
  <c r="AK107" i="123"/>
  <c r="AL107" i="123"/>
  <c r="AL43" i="123" s="1"/>
  <c r="AA108" i="123"/>
  <c r="AB108" i="123"/>
  <c r="AC108" i="123"/>
  <c r="AD108" i="123"/>
  <c r="AE108" i="123"/>
  <c r="AF108" i="123"/>
  <c r="AG108" i="123"/>
  <c r="AH108" i="123"/>
  <c r="AI108" i="123"/>
  <c r="AJ108" i="123"/>
  <c r="AK108" i="123"/>
  <c r="AL108" i="123"/>
  <c r="AA109" i="123"/>
  <c r="AB109" i="123"/>
  <c r="AC109" i="123"/>
  <c r="AD109" i="123"/>
  <c r="AE109" i="123"/>
  <c r="AF109" i="123"/>
  <c r="AG109" i="123"/>
  <c r="AH109" i="123"/>
  <c r="AI109" i="123"/>
  <c r="AJ109" i="123"/>
  <c r="AK109" i="123"/>
  <c r="AL109" i="123"/>
  <c r="AL45" i="123" s="1"/>
  <c r="AA110" i="123"/>
  <c r="AB110" i="123"/>
  <c r="AC110" i="123"/>
  <c r="AD110" i="123"/>
  <c r="AE110" i="123"/>
  <c r="AF110" i="123"/>
  <c r="AG110" i="123"/>
  <c r="AH110" i="123"/>
  <c r="AI110" i="123"/>
  <c r="AJ110" i="123"/>
  <c r="AK110" i="123"/>
  <c r="AL110" i="123"/>
  <c r="AA111" i="123"/>
  <c r="AB111" i="123"/>
  <c r="AC111" i="123"/>
  <c r="AD111" i="123"/>
  <c r="AE111" i="123"/>
  <c r="AF111" i="123"/>
  <c r="AG111" i="123"/>
  <c r="AH111" i="123"/>
  <c r="AI111" i="123"/>
  <c r="AJ111" i="123"/>
  <c r="AK111" i="123"/>
  <c r="AL111" i="123"/>
  <c r="AA112" i="123"/>
  <c r="AB112" i="123"/>
  <c r="AC112" i="123"/>
  <c r="AD112" i="123"/>
  <c r="AE112" i="123"/>
  <c r="AF112" i="123"/>
  <c r="AG112" i="123"/>
  <c r="AH112" i="123"/>
  <c r="AI112" i="123"/>
  <c r="AJ112" i="123"/>
  <c r="AK112" i="123"/>
  <c r="AL112" i="123"/>
  <c r="AA113" i="123"/>
  <c r="AB113" i="123"/>
  <c r="AC113" i="123"/>
  <c r="AD113" i="123"/>
  <c r="AE113" i="123"/>
  <c r="AF113" i="123"/>
  <c r="AG113" i="123"/>
  <c r="AH113" i="123"/>
  <c r="AI113" i="123"/>
  <c r="AJ113" i="123"/>
  <c r="AK113" i="123"/>
  <c r="AL113" i="123"/>
  <c r="AL49" i="123" s="1"/>
  <c r="AA114" i="123"/>
  <c r="AB114" i="123"/>
  <c r="AC114" i="123"/>
  <c r="AD114" i="123"/>
  <c r="AE114" i="123"/>
  <c r="AF114" i="123"/>
  <c r="AG114" i="123"/>
  <c r="AH114" i="123"/>
  <c r="AI114" i="123"/>
  <c r="AJ114" i="123"/>
  <c r="AK114" i="123"/>
  <c r="AL114" i="123"/>
  <c r="AA115" i="123"/>
  <c r="AB115" i="123"/>
  <c r="AC115" i="123"/>
  <c r="AD115" i="123"/>
  <c r="AE115" i="123"/>
  <c r="AF115" i="123"/>
  <c r="AG115" i="123"/>
  <c r="AH115" i="123"/>
  <c r="AI115" i="123"/>
  <c r="AJ115" i="123"/>
  <c r="AK115" i="123"/>
  <c r="AL115" i="123"/>
  <c r="AL51" i="123" s="1"/>
  <c r="AA116" i="123"/>
  <c r="AB116" i="123"/>
  <c r="AC116" i="123"/>
  <c r="AD116" i="123"/>
  <c r="AE116" i="123"/>
  <c r="AF116" i="123"/>
  <c r="AG116" i="123"/>
  <c r="AH116" i="123"/>
  <c r="AI116" i="123"/>
  <c r="AJ116" i="123"/>
  <c r="AK116" i="123"/>
  <c r="AL116" i="123"/>
  <c r="AA117" i="123"/>
  <c r="AB117" i="123"/>
  <c r="AC117" i="123"/>
  <c r="AD117" i="123"/>
  <c r="AE117" i="123"/>
  <c r="AF117" i="123"/>
  <c r="AG117" i="123"/>
  <c r="AH117" i="123"/>
  <c r="AI117" i="123"/>
  <c r="AJ117" i="123"/>
  <c r="AK117" i="123"/>
  <c r="AL117" i="123"/>
  <c r="AL53" i="123" s="1"/>
  <c r="AA118" i="123"/>
  <c r="AB118" i="123"/>
  <c r="AC118" i="123"/>
  <c r="AD118" i="123"/>
  <c r="AE118" i="123"/>
  <c r="AF118" i="123"/>
  <c r="AG118" i="123"/>
  <c r="AH118" i="123"/>
  <c r="AI118" i="123"/>
  <c r="AJ118" i="123"/>
  <c r="AK118" i="123"/>
  <c r="AL118" i="123"/>
  <c r="AA119" i="123"/>
  <c r="AB119" i="123"/>
  <c r="AC119" i="123"/>
  <c r="AD119" i="123"/>
  <c r="AE119" i="123"/>
  <c r="AF119" i="123"/>
  <c r="AG119" i="123"/>
  <c r="AH119" i="123"/>
  <c r="AI119" i="123"/>
  <c r="AJ119" i="123"/>
  <c r="AK119" i="123"/>
  <c r="AL119" i="123"/>
  <c r="AA120" i="123"/>
  <c r="AB120" i="123"/>
  <c r="AC120" i="123"/>
  <c r="AD120" i="123"/>
  <c r="AE120" i="123"/>
  <c r="AF120" i="123"/>
  <c r="AG120" i="123"/>
  <c r="AH120" i="123"/>
  <c r="AI120" i="123"/>
  <c r="AJ120" i="123"/>
  <c r="AK120" i="123"/>
  <c r="AL120" i="123"/>
  <c r="AA121" i="123"/>
  <c r="AB121" i="123"/>
  <c r="AC121" i="123"/>
  <c r="AD121" i="123"/>
  <c r="AE121" i="123"/>
  <c r="AF121" i="123"/>
  <c r="AG121" i="123"/>
  <c r="AH121" i="123"/>
  <c r="AI121" i="123"/>
  <c r="AJ121" i="123"/>
  <c r="AK121" i="123"/>
  <c r="AL121" i="123"/>
  <c r="AA122" i="123"/>
  <c r="AB122" i="123"/>
  <c r="AC122" i="123"/>
  <c r="AD122" i="123"/>
  <c r="AE122" i="123"/>
  <c r="AF122" i="123"/>
  <c r="AG122" i="123"/>
  <c r="AH122" i="123"/>
  <c r="AI122" i="123"/>
  <c r="AJ122" i="123"/>
  <c r="AK122" i="123"/>
  <c r="AL122" i="123"/>
  <c r="AA123" i="123"/>
  <c r="AB123" i="123"/>
  <c r="AC123" i="123"/>
  <c r="AD123" i="123"/>
  <c r="AE123" i="123"/>
  <c r="AF123" i="123"/>
  <c r="AG123" i="123"/>
  <c r="AH123" i="123"/>
  <c r="AI123" i="123"/>
  <c r="AJ123" i="123"/>
  <c r="AK123" i="123"/>
  <c r="AL123" i="123"/>
  <c r="AL59" i="123" s="1"/>
  <c r="AA124" i="123"/>
  <c r="AB124" i="123"/>
  <c r="AC124" i="123"/>
  <c r="AD124" i="123"/>
  <c r="AE124" i="123"/>
  <c r="AF124" i="123"/>
  <c r="AG124" i="123"/>
  <c r="AH124" i="123"/>
  <c r="AI124" i="123"/>
  <c r="AJ124" i="123"/>
  <c r="AK124" i="123"/>
  <c r="AL124" i="123"/>
  <c r="AA125" i="123"/>
  <c r="AB125" i="123"/>
  <c r="AC125" i="123"/>
  <c r="AD125" i="123"/>
  <c r="AE125" i="123"/>
  <c r="AF125" i="123"/>
  <c r="AG125" i="123"/>
  <c r="AH125" i="123"/>
  <c r="AI125" i="123"/>
  <c r="AJ125" i="123"/>
  <c r="AK125" i="123"/>
  <c r="AL125" i="123"/>
  <c r="AA126" i="123"/>
  <c r="AB126" i="123"/>
  <c r="AC126" i="123"/>
  <c r="AD126" i="123"/>
  <c r="AE126" i="123"/>
  <c r="AF126" i="123"/>
  <c r="AG126" i="123"/>
  <c r="AH126" i="123"/>
  <c r="AI126" i="123"/>
  <c r="AJ126" i="123"/>
  <c r="AK126" i="123"/>
  <c r="AL126" i="123"/>
  <c r="AA127" i="123"/>
  <c r="AB127" i="123"/>
  <c r="AC127" i="123"/>
  <c r="AD127" i="123"/>
  <c r="AE127" i="123"/>
  <c r="AF127" i="123"/>
  <c r="AG127" i="123"/>
  <c r="AH127" i="123"/>
  <c r="AI127" i="123"/>
  <c r="AJ127" i="123"/>
  <c r="AK127" i="123"/>
  <c r="AL127" i="123"/>
  <c r="AL63" i="123" s="1"/>
  <c r="AA128" i="123"/>
  <c r="AB128" i="123"/>
  <c r="AC128" i="123"/>
  <c r="AD128" i="123"/>
  <c r="AE128" i="123"/>
  <c r="AF128" i="123"/>
  <c r="AG128" i="123"/>
  <c r="AH128" i="123"/>
  <c r="AI128" i="123"/>
  <c r="AJ128" i="123"/>
  <c r="AK128" i="123"/>
  <c r="AL128" i="123"/>
  <c r="AA129" i="123"/>
  <c r="AB129" i="123"/>
  <c r="AC129" i="123"/>
  <c r="AD129" i="123"/>
  <c r="AE129" i="123"/>
  <c r="AF129" i="123"/>
  <c r="AG129" i="123"/>
  <c r="AH129" i="123"/>
  <c r="AI129" i="123"/>
  <c r="AJ129" i="123"/>
  <c r="AK129" i="123"/>
  <c r="AL129" i="123"/>
  <c r="AL65" i="123" s="1"/>
  <c r="AA130" i="123"/>
  <c r="AB130" i="123"/>
  <c r="AC130" i="123"/>
  <c r="AD130" i="123"/>
  <c r="AE130" i="123"/>
  <c r="AF130" i="123"/>
  <c r="AG130" i="123"/>
  <c r="AH130" i="123"/>
  <c r="AI130" i="123"/>
  <c r="AJ130" i="123"/>
  <c r="AK130" i="123"/>
  <c r="AL130" i="123"/>
  <c r="AA131" i="123"/>
  <c r="AB131" i="123"/>
  <c r="AC131" i="123"/>
  <c r="AD131" i="123"/>
  <c r="AE131" i="123"/>
  <c r="AF131" i="123"/>
  <c r="AG131" i="123"/>
  <c r="AH131" i="123"/>
  <c r="AI131" i="123"/>
  <c r="AJ131" i="123"/>
  <c r="AK131" i="123"/>
  <c r="AL131" i="123"/>
  <c r="AL67" i="123" s="1"/>
  <c r="Z71" i="123"/>
  <c r="Z72" i="123"/>
  <c r="Z73" i="123"/>
  <c r="Z74" i="123"/>
  <c r="Z75" i="123"/>
  <c r="Z76" i="123"/>
  <c r="Z77" i="123"/>
  <c r="Z78" i="123"/>
  <c r="Z79" i="123"/>
  <c r="Z80" i="123"/>
  <c r="Z81" i="123"/>
  <c r="Z82" i="123"/>
  <c r="Z83" i="123"/>
  <c r="Z84" i="123"/>
  <c r="Z85" i="123"/>
  <c r="Z86" i="123"/>
  <c r="Z87" i="123"/>
  <c r="Z88" i="123"/>
  <c r="Z89" i="123"/>
  <c r="Z90" i="123"/>
  <c r="Z91" i="123"/>
  <c r="Z92" i="123"/>
  <c r="Z93" i="123"/>
  <c r="Z94" i="123"/>
  <c r="Z95" i="123"/>
  <c r="Z96" i="123"/>
  <c r="Z97" i="123"/>
  <c r="Z98" i="123"/>
  <c r="Z99" i="123"/>
  <c r="Z100" i="123"/>
  <c r="Z101" i="123"/>
  <c r="Z102" i="123"/>
  <c r="Z103" i="123"/>
  <c r="Z104" i="123"/>
  <c r="Z105" i="123"/>
  <c r="Z106" i="123"/>
  <c r="Z107" i="123"/>
  <c r="Z108" i="123"/>
  <c r="Z109" i="123"/>
  <c r="Z110" i="123"/>
  <c r="Z111" i="123"/>
  <c r="Z112" i="123"/>
  <c r="Z113" i="123"/>
  <c r="Z114" i="123"/>
  <c r="Z115" i="123"/>
  <c r="Z116" i="123"/>
  <c r="Z117" i="123"/>
  <c r="Z118" i="123"/>
  <c r="Z119" i="123"/>
  <c r="Z120" i="123"/>
  <c r="Z121" i="123"/>
  <c r="Z122" i="123"/>
  <c r="Z123" i="123"/>
  <c r="Z124" i="123"/>
  <c r="Z125" i="123"/>
  <c r="Z126" i="123"/>
  <c r="Z127" i="123"/>
  <c r="Z128" i="123"/>
  <c r="Z129" i="123"/>
  <c r="Z130" i="123"/>
  <c r="Z131" i="123"/>
  <c r="Z70" i="123"/>
  <c r="AL6" i="123"/>
  <c r="AL24" i="123" s="1"/>
  <c r="AL20" i="123"/>
  <c r="AL48" i="123"/>
  <c r="AL62" i="123"/>
  <c r="N1" i="198"/>
  <c r="HO6" i="129" l="1"/>
  <c r="CC8" i="155"/>
  <c r="CC44" i="155"/>
  <c r="CC12" i="155"/>
  <c r="CC31" i="155"/>
  <c r="CC24" i="155"/>
  <c r="CC36" i="155"/>
  <c r="CC6" i="155"/>
  <c r="BJ6" i="156"/>
  <c r="BI3" i="156"/>
  <c r="BH11" i="156"/>
  <c r="BJ11" i="156" s="1"/>
  <c r="BJ21" i="156"/>
  <c r="BH9" i="156"/>
  <c r="BJ9" i="156" s="1"/>
  <c r="BJ52" i="156"/>
  <c r="BH5" i="156"/>
  <c r="BH13" i="156"/>
  <c r="BJ13" i="156" s="1"/>
  <c r="BH8" i="156"/>
  <c r="BJ8" i="156" s="1"/>
  <c r="BJ34" i="156"/>
  <c r="AL61" i="123"/>
  <c r="AL15" i="123" s="1"/>
  <c r="AL60" i="123"/>
  <c r="AL46" i="123"/>
  <c r="AL44" i="123"/>
  <c r="AL57" i="123"/>
  <c r="AL38" i="123"/>
  <c r="AL54" i="123"/>
  <c r="AL52" i="123"/>
  <c r="AL34" i="123"/>
  <c r="AL58" i="123"/>
  <c r="AL40" i="123"/>
  <c r="AL56" i="123"/>
  <c r="AL55" i="123" s="1"/>
  <c r="AL14" i="123" s="1"/>
  <c r="AL36" i="123"/>
  <c r="AL35" i="123" s="1"/>
  <c r="AL11" i="123" s="1"/>
  <c r="AL66" i="123"/>
  <c r="AL64" i="123" s="1"/>
  <c r="AL16" i="123" s="1"/>
  <c r="AL50" i="123"/>
  <c r="AL22" i="123"/>
  <c r="AL32" i="123"/>
  <c r="AL30" i="123"/>
  <c r="AL28" i="123"/>
  <c r="AL26" i="123"/>
  <c r="AL23" i="123" s="1"/>
  <c r="AL9" i="123" s="1"/>
  <c r="AL29" i="123"/>
  <c r="AL10" i="123" s="1"/>
  <c r="AL42" i="123"/>
  <c r="AL12" i="123" s="1"/>
  <c r="AL47" i="123"/>
  <c r="AL13" i="123" s="1"/>
  <c r="AL19" i="123"/>
  <c r="AL8" i="123" s="1"/>
  <c r="X54" i="204"/>
  <c r="V52" i="204"/>
  <c r="AN40" i="92"/>
  <c r="AN39" i="92"/>
  <c r="AN37" i="92"/>
  <c r="AN36" i="92"/>
  <c r="AK43" i="92"/>
  <c r="AJ43" i="92"/>
  <c r="AI43" i="92"/>
  <c r="AH43" i="92"/>
  <c r="AG43" i="92"/>
  <c r="AF43" i="92"/>
  <c r="AE43" i="92"/>
  <c r="AN43" i="92"/>
  <c r="AM43" i="92"/>
  <c r="AL43" i="92"/>
  <c r="AN31" i="92"/>
  <c r="AN30" i="92"/>
  <c r="AN29" i="92"/>
  <c r="AN22" i="92"/>
  <c r="AN6" i="92"/>
  <c r="AL2" i="165"/>
  <c r="AL6" i="165"/>
  <c r="AL7" i="165"/>
  <c r="AL8" i="165"/>
  <c r="AL9" i="165"/>
  <c r="AL10" i="165"/>
  <c r="AL11" i="165"/>
  <c r="AL12" i="165"/>
  <c r="AL13" i="165"/>
  <c r="AL14" i="165"/>
  <c r="AL15" i="165"/>
  <c r="AL16" i="165"/>
  <c r="U2" i="165"/>
  <c r="V2" i="165"/>
  <c r="W2" i="165"/>
  <c r="X2" i="165"/>
  <c r="Y2" i="165"/>
  <c r="Z2" i="165"/>
  <c r="AA2" i="165"/>
  <c r="AB2" i="165"/>
  <c r="AC2" i="165"/>
  <c r="AD2" i="165"/>
  <c r="AE2" i="165"/>
  <c r="AF2" i="165"/>
  <c r="AG2" i="165"/>
  <c r="AH2" i="165"/>
  <c r="AI2" i="165"/>
  <c r="AJ2" i="165"/>
  <c r="AK2" i="165"/>
  <c r="AA18" i="165"/>
  <c r="AB18" i="165"/>
  <c r="AC18" i="165"/>
  <c r="AD18" i="165"/>
  <c r="AE18" i="165"/>
  <c r="AF18" i="165"/>
  <c r="AG18" i="165"/>
  <c r="AH18" i="165"/>
  <c r="AI18" i="165"/>
  <c r="AJ18" i="165"/>
  <c r="AK18" i="165"/>
  <c r="AL18" i="165"/>
  <c r="AA19" i="165"/>
  <c r="AB19" i="165"/>
  <c r="AC19" i="165"/>
  <c r="AD19" i="165"/>
  <c r="AE19" i="165"/>
  <c r="AF19" i="165"/>
  <c r="AG19" i="165"/>
  <c r="AH19" i="165"/>
  <c r="AI19" i="165"/>
  <c r="AJ19" i="165"/>
  <c r="AK19" i="165"/>
  <c r="AL19" i="165"/>
  <c r="AA20" i="165"/>
  <c r="AB20" i="165"/>
  <c r="AC20" i="165"/>
  <c r="AD20" i="165"/>
  <c r="AE20" i="165"/>
  <c r="AF20" i="165"/>
  <c r="AG20" i="165"/>
  <c r="AH20" i="165"/>
  <c r="AI20" i="165"/>
  <c r="AJ20" i="165"/>
  <c r="AK20" i="165"/>
  <c r="AL20" i="165"/>
  <c r="AA21" i="165"/>
  <c r="AB21" i="165"/>
  <c r="AC21" i="165"/>
  <c r="AD21" i="165"/>
  <c r="AE21" i="165"/>
  <c r="AF21" i="165"/>
  <c r="AG21" i="165"/>
  <c r="AH21" i="165"/>
  <c r="AI21" i="165"/>
  <c r="AJ21" i="165"/>
  <c r="AK21" i="165"/>
  <c r="AL21" i="165"/>
  <c r="AA22" i="165"/>
  <c r="AB22" i="165"/>
  <c r="AC22" i="165"/>
  <c r="AD22" i="165"/>
  <c r="AE22" i="165"/>
  <c r="AF22" i="165"/>
  <c r="AG22" i="165"/>
  <c r="AH22" i="165"/>
  <c r="AI22" i="165"/>
  <c r="AJ22" i="165"/>
  <c r="AK22" i="165"/>
  <c r="AL22" i="165"/>
  <c r="AA23" i="165"/>
  <c r="AB23" i="165"/>
  <c r="AC23" i="165"/>
  <c r="AD23" i="165"/>
  <c r="AE23" i="165"/>
  <c r="AF23" i="165"/>
  <c r="AG23" i="165"/>
  <c r="AH23" i="165"/>
  <c r="AI23" i="165"/>
  <c r="AJ23" i="165"/>
  <c r="AK23" i="165"/>
  <c r="AL23" i="165"/>
  <c r="AA24" i="165"/>
  <c r="AB24" i="165"/>
  <c r="AC24" i="165"/>
  <c r="AD24" i="165"/>
  <c r="AE24" i="165"/>
  <c r="AF24" i="165"/>
  <c r="AG24" i="165"/>
  <c r="AH24" i="165"/>
  <c r="AI24" i="165"/>
  <c r="AJ24" i="165"/>
  <c r="AK24" i="165"/>
  <c r="AL24" i="165"/>
  <c r="AA25" i="165"/>
  <c r="AB25" i="165"/>
  <c r="AC25" i="165"/>
  <c r="AD25" i="165"/>
  <c r="AE25" i="165"/>
  <c r="AF25" i="165"/>
  <c r="AG25" i="165"/>
  <c r="AH25" i="165"/>
  <c r="AI25" i="165"/>
  <c r="AJ25" i="165"/>
  <c r="AK25" i="165"/>
  <c r="AL25" i="165"/>
  <c r="AA26" i="165"/>
  <c r="AB26" i="165"/>
  <c r="AC26" i="165"/>
  <c r="AD26" i="165"/>
  <c r="AE26" i="165"/>
  <c r="AF26" i="165"/>
  <c r="AG26" i="165"/>
  <c r="AH26" i="165"/>
  <c r="AI26" i="165"/>
  <c r="AJ26" i="165"/>
  <c r="AK26" i="165"/>
  <c r="AL26" i="165"/>
  <c r="AA27" i="165"/>
  <c r="AB27" i="165"/>
  <c r="AC27" i="165"/>
  <c r="AD27" i="165"/>
  <c r="AE27" i="165"/>
  <c r="AF27" i="165"/>
  <c r="AG27" i="165"/>
  <c r="AH27" i="165"/>
  <c r="AI27" i="165"/>
  <c r="AJ27" i="165"/>
  <c r="AK27" i="165"/>
  <c r="AL27" i="165"/>
  <c r="AA28" i="165"/>
  <c r="AB28" i="165"/>
  <c r="AC28" i="165"/>
  <c r="AD28" i="165"/>
  <c r="AE28" i="165"/>
  <c r="AF28" i="165"/>
  <c r="AG28" i="165"/>
  <c r="AH28" i="165"/>
  <c r="AI28" i="165"/>
  <c r="AJ28" i="165"/>
  <c r="AK28" i="165"/>
  <c r="AL28" i="165"/>
  <c r="AA29" i="165"/>
  <c r="AB29" i="165"/>
  <c r="AC29" i="165"/>
  <c r="AD29" i="165"/>
  <c r="AE29" i="165"/>
  <c r="AF29" i="165"/>
  <c r="AG29" i="165"/>
  <c r="AH29" i="165"/>
  <c r="AI29" i="165"/>
  <c r="AJ29" i="165"/>
  <c r="AK29" i="165"/>
  <c r="AL29" i="165"/>
  <c r="AA30" i="165"/>
  <c r="AB30" i="165"/>
  <c r="AC30" i="165"/>
  <c r="AD30" i="165"/>
  <c r="AE30" i="165"/>
  <c r="AF30" i="165"/>
  <c r="AG30" i="165"/>
  <c r="AH30" i="165"/>
  <c r="AI30" i="165"/>
  <c r="AJ30" i="165"/>
  <c r="AK30" i="165"/>
  <c r="AL30" i="165"/>
  <c r="AA31" i="165"/>
  <c r="AB31" i="165"/>
  <c r="AC31" i="165"/>
  <c r="AD31" i="165"/>
  <c r="AE31" i="165"/>
  <c r="AF31" i="165"/>
  <c r="AG31" i="165"/>
  <c r="AH31" i="165"/>
  <c r="AI31" i="165"/>
  <c r="AJ31" i="165"/>
  <c r="AK31" i="165"/>
  <c r="AL31" i="165"/>
  <c r="AA32" i="165"/>
  <c r="AB32" i="165"/>
  <c r="AC32" i="165"/>
  <c r="AD32" i="165"/>
  <c r="AE32" i="165"/>
  <c r="AF32" i="165"/>
  <c r="AG32" i="165"/>
  <c r="AH32" i="165"/>
  <c r="AI32" i="165"/>
  <c r="AJ32" i="165"/>
  <c r="AK32" i="165"/>
  <c r="AL32" i="165"/>
  <c r="AA33" i="165"/>
  <c r="AB33" i="165"/>
  <c r="AC33" i="165"/>
  <c r="AD33" i="165"/>
  <c r="AE33" i="165"/>
  <c r="AF33" i="165"/>
  <c r="AG33" i="165"/>
  <c r="AH33" i="165"/>
  <c r="AI33" i="165"/>
  <c r="AJ33" i="165"/>
  <c r="AK33" i="165"/>
  <c r="AL33" i="165"/>
  <c r="AA34" i="165"/>
  <c r="AB34" i="165"/>
  <c r="AC34" i="165"/>
  <c r="AD34" i="165"/>
  <c r="AE34" i="165"/>
  <c r="AF34" i="165"/>
  <c r="AG34" i="165"/>
  <c r="AH34" i="165"/>
  <c r="AI34" i="165"/>
  <c r="AJ34" i="165"/>
  <c r="AK34" i="165"/>
  <c r="AL34" i="165"/>
  <c r="AA35" i="165"/>
  <c r="AB35" i="165"/>
  <c r="AC35" i="165"/>
  <c r="AD35" i="165"/>
  <c r="AE35" i="165"/>
  <c r="AF35" i="165"/>
  <c r="AG35" i="165"/>
  <c r="AH35" i="165"/>
  <c r="AI35" i="165"/>
  <c r="AJ35" i="165"/>
  <c r="AK35" i="165"/>
  <c r="AL35" i="165"/>
  <c r="AA36" i="165"/>
  <c r="AB36" i="165"/>
  <c r="AC36" i="165"/>
  <c r="AD36" i="165"/>
  <c r="AE36" i="165"/>
  <c r="AF36" i="165"/>
  <c r="AG36" i="165"/>
  <c r="AH36" i="165"/>
  <c r="AI36" i="165"/>
  <c r="AJ36" i="165"/>
  <c r="AK36" i="165"/>
  <c r="AL36" i="165"/>
  <c r="AA37" i="165"/>
  <c r="AB37" i="165"/>
  <c r="AC37" i="165"/>
  <c r="AD37" i="165"/>
  <c r="AE37" i="165"/>
  <c r="AF37" i="165"/>
  <c r="AG37" i="165"/>
  <c r="AH37" i="165"/>
  <c r="AI37" i="165"/>
  <c r="AJ37" i="165"/>
  <c r="AK37" i="165"/>
  <c r="AL37" i="165"/>
  <c r="AA38" i="165"/>
  <c r="AB38" i="165"/>
  <c r="AC38" i="165"/>
  <c r="AD38" i="165"/>
  <c r="AE38" i="165"/>
  <c r="AF38" i="165"/>
  <c r="AG38" i="165"/>
  <c r="AH38" i="165"/>
  <c r="AI38" i="165"/>
  <c r="AJ38" i="165"/>
  <c r="AK38" i="165"/>
  <c r="AL38" i="165"/>
  <c r="AA39" i="165"/>
  <c r="AB39" i="165"/>
  <c r="AC39" i="165"/>
  <c r="AD39" i="165"/>
  <c r="AE39" i="165"/>
  <c r="AF39" i="165"/>
  <c r="AG39" i="165"/>
  <c r="AH39" i="165"/>
  <c r="AI39" i="165"/>
  <c r="AJ39" i="165"/>
  <c r="AK39" i="165"/>
  <c r="AL39" i="165"/>
  <c r="AA40" i="165"/>
  <c r="AB40" i="165"/>
  <c r="AC40" i="165"/>
  <c r="AD40" i="165"/>
  <c r="AE40" i="165"/>
  <c r="AF40" i="165"/>
  <c r="AG40" i="165"/>
  <c r="AH40" i="165"/>
  <c r="AI40" i="165"/>
  <c r="AJ40" i="165"/>
  <c r="AK40" i="165"/>
  <c r="AL40" i="165"/>
  <c r="AA41" i="165"/>
  <c r="AB41" i="165"/>
  <c r="AC41" i="165"/>
  <c r="AD41" i="165"/>
  <c r="AE41" i="165"/>
  <c r="AF41" i="165"/>
  <c r="AG41" i="165"/>
  <c r="AH41" i="165"/>
  <c r="AI41" i="165"/>
  <c r="AJ41" i="165"/>
  <c r="AK41" i="165"/>
  <c r="AL41" i="165"/>
  <c r="AA42" i="165"/>
  <c r="AB42" i="165"/>
  <c r="AC42" i="165"/>
  <c r="AD42" i="165"/>
  <c r="AE42" i="165"/>
  <c r="AF42" i="165"/>
  <c r="AG42" i="165"/>
  <c r="AH42" i="165"/>
  <c r="AI42" i="165"/>
  <c r="AJ42" i="165"/>
  <c r="AK42" i="165"/>
  <c r="AL42" i="165"/>
  <c r="AA43" i="165"/>
  <c r="AB43" i="165"/>
  <c r="AC43" i="165"/>
  <c r="AD43" i="165"/>
  <c r="AE43" i="165"/>
  <c r="AF43" i="165"/>
  <c r="AG43" i="165"/>
  <c r="AH43" i="165"/>
  <c r="AI43" i="165"/>
  <c r="AJ43" i="165"/>
  <c r="AK43" i="165"/>
  <c r="AL43" i="165"/>
  <c r="AA44" i="165"/>
  <c r="AB44" i="165"/>
  <c r="AC44" i="165"/>
  <c r="AD44" i="165"/>
  <c r="AE44" i="165"/>
  <c r="AF44" i="165"/>
  <c r="AG44" i="165"/>
  <c r="AH44" i="165"/>
  <c r="AI44" i="165"/>
  <c r="AJ44" i="165"/>
  <c r="AK44" i="165"/>
  <c r="AL44" i="165"/>
  <c r="AA45" i="165"/>
  <c r="AB45" i="165"/>
  <c r="AC45" i="165"/>
  <c r="AD45" i="165"/>
  <c r="AE45" i="165"/>
  <c r="AF45" i="165"/>
  <c r="AG45" i="165"/>
  <c r="AH45" i="165"/>
  <c r="AI45" i="165"/>
  <c r="AJ45" i="165"/>
  <c r="AK45" i="165"/>
  <c r="AL45" i="165"/>
  <c r="AA46" i="165"/>
  <c r="AB46" i="165"/>
  <c r="AC46" i="165"/>
  <c r="AD46" i="165"/>
  <c r="AE46" i="165"/>
  <c r="AF46" i="165"/>
  <c r="AG46" i="165"/>
  <c r="AH46" i="165"/>
  <c r="AI46" i="165"/>
  <c r="AJ46" i="165"/>
  <c r="AK46" i="165"/>
  <c r="AL46" i="165"/>
  <c r="AA47" i="165"/>
  <c r="AB47" i="165"/>
  <c r="AC47" i="165"/>
  <c r="AD47" i="165"/>
  <c r="AE47" i="165"/>
  <c r="AF47" i="165"/>
  <c r="AG47" i="165"/>
  <c r="AH47" i="165"/>
  <c r="AI47" i="165"/>
  <c r="AJ47" i="165"/>
  <c r="AK47" i="165"/>
  <c r="AL47" i="165"/>
  <c r="AA48" i="165"/>
  <c r="AB48" i="165"/>
  <c r="AC48" i="165"/>
  <c r="AD48" i="165"/>
  <c r="AE48" i="165"/>
  <c r="AF48" i="165"/>
  <c r="AG48" i="165"/>
  <c r="AH48" i="165"/>
  <c r="AI48" i="165"/>
  <c r="AJ48" i="165"/>
  <c r="AK48" i="165"/>
  <c r="AL48" i="165"/>
  <c r="AA49" i="165"/>
  <c r="AB49" i="165"/>
  <c r="AC49" i="165"/>
  <c r="AD49" i="165"/>
  <c r="AE49" i="165"/>
  <c r="AF49" i="165"/>
  <c r="AG49" i="165"/>
  <c r="AH49" i="165"/>
  <c r="AI49" i="165"/>
  <c r="AJ49" i="165"/>
  <c r="AK49" i="165"/>
  <c r="AL49" i="165"/>
  <c r="AA50" i="165"/>
  <c r="AB50" i="165"/>
  <c r="AC50" i="165"/>
  <c r="AD50" i="165"/>
  <c r="AE50" i="165"/>
  <c r="AF50" i="165"/>
  <c r="AG50" i="165"/>
  <c r="AH50" i="165"/>
  <c r="AI50" i="165"/>
  <c r="AJ50" i="165"/>
  <c r="AK50" i="165"/>
  <c r="AL50" i="165"/>
  <c r="AA51" i="165"/>
  <c r="AB51" i="165"/>
  <c r="AC51" i="165"/>
  <c r="AD51" i="165"/>
  <c r="AE51" i="165"/>
  <c r="AF51" i="165"/>
  <c r="AG51" i="165"/>
  <c r="AH51" i="165"/>
  <c r="AI51" i="165"/>
  <c r="AJ51" i="165"/>
  <c r="AK51" i="165"/>
  <c r="AL51" i="165"/>
  <c r="AA52" i="165"/>
  <c r="AB52" i="165"/>
  <c r="AC52" i="165"/>
  <c r="AD52" i="165"/>
  <c r="AE52" i="165"/>
  <c r="AF52" i="165"/>
  <c r="AG52" i="165"/>
  <c r="AH52" i="165"/>
  <c r="AI52" i="165"/>
  <c r="AJ52" i="165"/>
  <c r="AK52" i="165"/>
  <c r="AL52" i="165"/>
  <c r="AA53" i="165"/>
  <c r="AB53" i="165"/>
  <c r="AC53" i="165"/>
  <c r="AD53" i="165"/>
  <c r="AE53" i="165"/>
  <c r="AF53" i="165"/>
  <c r="AG53" i="165"/>
  <c r="AH53" i="165"/>
  <c r="AI53" i="165"/>
  <c r="AJ53" i="165"/>
  <c r="AK53" i="165"/>
  <c r="AL53" i="165"/>
  <c r="AA54" i="165"/>
  <c r="AB54" i="165"/>
  <c r="AC54" i="165"/>
  <c r="AD54" i="165"/>
  <c r="AE54" i="165"/>
  <c r="AF54" i="165"/>
  <c r="AG54" i="165"/>
  <c r="AH54" i="165"/>
  <c r="AI54" i="165"/>
  <c r="AJ54" i="165"/>
  <c r="AK54" i="165"/>
  <c r="AL54" i="165"/>
  <c r="AA55" i="165"/>
  <c r="AB55" i="165"/>
  <c r="AC55" i="165"/>
  <c r="AD55" i="165"/>
  <c r="AE55" i="165"/>
  <c r="AF55" i="165"/>
  <c r="AG55" i="165"/>
  <c r="AH55" i="165"/>
  <c r="AI55" i="165"/>
  <c r="AJ55" i="165"/>
  <c r="AK55" i="165"/>
  <c r="AL55" i="165"/>
  <c r="AA56" i="165"/>
  <c r="AB56" i="165"/>
  <c r="AC56" i="165"/>
  <c r="AD56" i="165"/>
  <c r="AE56" i="165"/>
  <c r="AF56" i="165"/>
  <c r="AG56" i="165"/>
  <c r="AH56" i="165"/>
  <c r="AI56" i="165"/>
  <c r="AJ56" i="165"/>
  <c r="AK56" i="165"/>
  <c r="AL56" i="165"/>
  <c r="AA57" i="165"/>
  <c r="AB57" i="165"/>
  <c r="AC57" i="165"/>
  <c r="AD57" i="165"/>
  <c r="AE57" i="165"/>
  <c r="AF57" i="165"/>
  <c r="AG57" i="165"/>
  <c r="AH57" i="165"/>
  <c r="AI57" i="165"/>
  <c r="AJ57" i="165"/>
  <c r="AK57" i="165"/>
  <c r="AL57" i="165"/>
  <c r="AA58" i="165"/>
  <c r="AB58" i="165"/>
  <c r="AC58" i="165"/>
  <c r="AD58" i="165"/>
  <c r="AE58" i="165"/>
  <c r="AF58" i="165"/>
  <c r="AG58" i="165"/>
  <c r="AH58" i="165"/>
  <c r="AI58" i="165"/>
  <c r="AJ58" i="165"/>
  <c r="AK58" i="165"/>
  <c r="AL58" i="165"/>
  <c r="AA59" i="165"/>
  <c r="AB59" i="165"/>
  <c r="AC59" i="165"/>
  <c r="AD59" i="165"/>
  <c r="AE59" i="165"/>
  <c r="AF59" i="165"/>
  <c r="AG59" i="165"/>
  <c r="AH59" i="165"/>
  <c r="AI59" i="165"/>
  <c r="AJ59" i="165"/>
  <c r="AK59" i="165"/>
  <c r="AL59" i="165"/>
  <c r="AA60" i="165"/>
  <c r="AB60" i="165"/>
  <c r="AC60" i="165"/>
  <c r="AD60" i="165"/>
  <c r="AE60" i="165"/>
  <c r="AF60" i="165"/>
  <c r="AG60" i="165"/>
  <c r="AH60" i="165"/>
  <c r="AI60" i="165"/>
  <c r="AJ60" i="165"/>
  <c r="AK60" i="165"/>
  <c r="AL60" i="165"/>
  <c r="AA61" i="165"/>
  <c r="AB61" i="165"/>
  <c r="AC61" i="165"/>
  <c r="AD61" i="165"/>
  <c r="AE61" i="165"/>
  <c r="AF61" i="165"/>
  <c r="AG61" i="165"/>
  <c r="AH61" i="165"/>
  <c r="AI61" i="165"/>
  <c r="AJ61" i="165"/>
  <c r="AK61" i="165"/>
  <c r="AL61" i="165"/>
  <c r="AA62" i="165"/>
  <c r="AB62" i="165"/>
  <c r="AC62" i="165"/>
  <c r="AD62" i="165"/>
  <c r="AE62" i="165"/>
  <c r="AF62" i="165"/>
  <c r="AG62" i="165"/>
  <c r="AH62" i="165"/>
  <c r="AI62" i="165"/>
  <c r="AJ62" i="165"/>
  <c r="AK62" i="165"/>
  <c r="AL62" i="165"/>
  <c r="AA63" i="165"/>
  <c r="AB63" i="165"/>
  <c r="AC63" i="165"/>
  <c r="AD63" i="165"/>
  <c r="AE63" i="165"/>
  <c r="AF63" i="165"/>
  <c r="AG63" i="165"/>
  <c r="AH63" i="165"/>
  <c r="AI63" i="165"/>
  <c r="AJ63" i="165"/>
  <c r="AK63" i="165"/>
  <c r="AL63" i="165"/>
  <c r="AA64" i="165"/>
  <c r="AB64" i="165"/>
  <c r="AC64" i="165"/>
  <c r="AD64" i="165"/>
  <c r="AE64" i="165"/>
  <c r="AF64" i="165"/>
  <c r="AG64" i="165"/>
  <c r="AH64" i="165"/>
  <c r="AI64" i="165"/>
  <c r="AJ64" i="165"/>
  <c r="AK64" i="165"/>
  <c r="AL64" i="165"/>
  <c r="AA65" i="165"/>
  <c r="AB65" i="165"/>
  <c r="AC65" i="165"/>
  <c r="AD65" i="165"/>
  <c r="AE65" i="165"/>
  <c r="AF65" i="165"/>
  <c r="AG65" i="165"/>
  <c r="AH65" i="165"/>
  <c r="AI65" i="165"/>
  <c r="AJ65" i="165"/>
  <c r="AK65" i="165"/>
  <c r="AL65" i="165"/>
  <c r="AA66" i="165"/>
  <c r="AB66" i="165"/>
  <c r="AC66" i="165"/>
  <c r="AD66" i="165"/>
  <c r="AE66" i="165"/>
  <c r="AF66" i="165"/>
  <c r="AG66" i="165"/>
  <c r="AH66" i="165"/>
  <c r="AI66" i="165"/>
  <c r="AJ66" i="165"/>
  <c r="AK66" i="165"/>
  <c r="AL66" i="165"/>
  <c r="AA67" i="165"/>
  <c r="AB67" i="165"/>
  <c r="AC67" i="165"/>
  <c r="AD67" i="165"/>
  <c r="AE67" i="165"/>
  <c r="AF67" i="165"/>
  <c r="AG67" i="165"/>
  <c r="AH67" i="165"/>
  <c r="AI67" i="165"/>
  <c r="AJ67" i="165"/>
  <c r="AK67" i="165"/>
  <c r="AL67" i="165"/>
  <c r="Z19" i="165"/>
  <c r="Z20" i="165"/>
  <c r="Z21" i="165"/>
  <c r="Z22" i="165"/>
  <c r="Z23" i="165"/>
  <c r="Z24" i="165"/>
  <c r="Z25" i="165"/>
  <c r="Z26" i="165"/>
  <c r="Z27" i="165"/>
  <c r="Z28" i="165"/>
  <c r="Z29" i="165"/>
  <c r="Z30" i="165"/>
  <c r="Z31" i="165"/>
  <c r="Z32" i="165"/>
  <c r="Z33" i="165"/>
  <c r="Z34" i="165"/>
  <c r="Z35" i="165"/>
  <c r="Z36" i="165"/>
  <c r="Z37" i="165"/>
  <c r="Z38" i="165"/>
  <c r="Z39" i="165"/>
  <c r="Z40" i="165"/>
  <c r="Z41" i="165"/>
  <c r="Z42" i="165"/>
  <c r="Z43" i="165"/>
  <c r="Z44" i="165"/>
  <c r="Z45" i="165"/>
  <c r="Z46" i="165"/>
  <c r="Z47" i="165"/>
  <c r="Z48" i="165"/>
  <c r="Z49" i="165"/>
  <c r="Z50" i="165"/>
  <c r="Z51" i="165"/>
  <c r="Z52" i="165"/>
  <c r="Z53" i="165"/>
  <c r="Z54" i="165"/>
  <c r="Z55" i="165"/>
  <c r="Z56" i="165"/>
  <c r="Z57" i="165"/>
  <c r="Z58" i="165"/>
  <c r="Z59" i="165"/>
  <c r="Z60" i="165"/>
  <c r="Z61" i="165"/>
  <c r="Z62" i="165"/>
  <c r="Z63" i="165"/>
  <c r="Z64" i="165"/>
  <c r="Z65" i="165"/>
  <c r="Z66" i="165"/>
  <c r="Z67" i="165"/>
  <c r="Z18" i="165"/>
  <c r="O116" i="200"/>
  <c r="O117" i="200"/>
  <c r="O118" i="200"/>
  <c r="O119" i="200"/>
  <c r="O120" i="200"/>
  <c r="O121" i="200"/>
  <c r="O122" i="200"/>
  <c r="O123" i="200"/>
  <c r="O124" i="200"/>
  <c r="O125" i="200"/>
  <c r="O126" i="200"/>
  <c r="X5" i="130"/>
  <c r="X6" i="130"/>
  <c r="X7" i="130"/>
  <c r="X8" i="130"/>
  <c r="X9" i="130"/>
  <c r="X10" i="130"/>
  <c r="X11" i="130"/>
  <c r="X12" i="130"/>
  <c r="X13" i="130"/>
  <c r="X14" i="130"/>
  <c r="X15" i="130"/>
  <c r="X16" i="130"/>
  <c r="X18" i="130"/>
  <c r="X19" i="130"/>
  <c r="X20" i="130"/>
  <c r="X21" i="130"/>
  <c r="X22" i="130"/>
  <c r="X23" i="130"/>
  <c r="X24" i="130"/>
  <c r="X25" i="130"/>
  <c r="X26" i="130"/>
  <c r="X27" i="130"/>
  <c r="X28" i="130"/>
  <c r="X29" i="130"/>
  <c r="X30" i="130"/>
  <c r="X31" i="130"/>
  <c r="X32" i="130"/>
  <c r="X33" i="130"/>
  <c r="X34" i="130"/>
  <c r="X35" i="130"/>
  <c r="X36" i="130"/>
  <c r="X37" i="130"/>
  <c r="X38" i="130"/>
  <c r="X39" i="130"/>
  <c r="X40" i="130"/>
  <c r="X41" i="130"/>
  <c r="X42" i="130"/>
  <c r="X43" i="130"/>
  <c r="X44" i="130"/>
  <c r="X45" i="130"/>
  <c r="X46" i="130"/>
  <c r="X47" i="130"/>
  <c r="X48" i="130"/>
  <c r="X49" i="130"/>
  <c r="X50" i="130"/>
  <c r="X51" i="130"/>
  <c r="X52" i="130"/>
  <c r="X53" i="130"/>
  <c r="X54" i="130"/>
  <c r="X55" i="130"/>
  <c r="X56" i="130"/>
  <c r="X57" i="130"/>
  <c r="X58" i="130"/>
  <c r="X59" i="130"/>
  <c r="X60" i="130"/>
  <c r="X61" i="130"/>
  <c r="X62" i="130"/>
  <c r="X63" i="130"/>
  <c r="X64" i="130"/>
  <c r="X65" i="130"/>
  <c r="X66" i="130"/>
  <c r="X17" i="130"/>
  <c r="HU18" i="129"/>
  <c r="HU19" i="129"/>
  <c r="HU20" i="129"/>
  <c r="HU21" i="129"/>
  <c r="HU22" i="129"/>
  <c r="HU23" i="129"/>
  <c r="HU24" i="129"/>
  <c r="HU25" i="129"/>
  <c r="HU26" i="129"/>
  <c r="HU27" i="129"/>
  <c r="HU28" i="129"/>
  <c r="HU29" i="129"/>
  <c r="HU30" i="129"/>
  <c r="HU31" i="129"/>
  <c r="HU32" i="129"/>
  <c r="HU33" i="129"/>
  <c r="HU34" i="129"/>
  <c r="HU35" i="129"/>
  <c r="HU36" i="129"/>
  <c r="HU37" i="129"/>
  <c r="HU38" i="129"/>
  <c r="HU39" i="129"/>
  <c r="HU40" i="129"/>
  <c r="HU41" i="129"/>
  <c r="HU42" i="129"/>
  <c r="HU43" i="129"/>
  <c r="HU44" i="129"/>
  <c r="HU45" i="129"/>
  <c r="HU46" i="129"/>
  <c r="HU47" i="129"/>
  <c r="HU48" i="129"/>
  <c r="HU49" i="129"/>
  <c r="HU50" i="129"/>
  <c r="HU51" i="129"/>
  <c r="HU52" i="129"/>
  <c r="HU53" i="129"/>
  <c r="HU54" i="129"/>
  <c r="HU55" i="129"/>
  <c r="HU56" i="129"/>
  <c r="HU57" i="129"/>
  <c r="HU58" i="129"/>
  <c r="HU59" i="129"/>
  <c r="HU60" i="129"/>
  <c r="HU61" i="129"/>
  <c r="HU62" i="129"/>
  <c r="HU63" i="129"/>
  <c r="HU64" i="129"/>
  <c r="HU65" i="129"/>
  <c r="HU66" i="129"/>
  <c r="HU67" i="129"/>
  <c r="P1" i="197"/>
  <c r="P69" i="196"/>
  <c r="Q69" i="196"/>
  <c r="R69" i="196"/>
  <c r="S69" i="196"/>
  <c r="T69" i="196"/>
  <c r="Q18" i="196"/>
  <c r="R18" i="196"/>
  <c r="S18" i="196"/>
  <c r="T18" i="196"/>
  <c r="Q20" i="196"/>
  <c r="R20" i="196"/>
  <c r="S20" i="196"/>
  <c r="T20" i="196"/>
  <c r="Q21" i="196"/>
  <c r="Q19" i="196" s="1"/>
  <c r="R21" i="196"/>
  <c r="R19" i="196" s="1"/>
  <c r="S21" i="196"/>
  <c r="S19" i="196" s="1"/>
  <c r="T21" i="196"/>
  <c r="T19" i="196" s="1"/>
  <c r="Q22" i="196"/>
  <c r="R22" i="196"/>
  <c r="S22" i="196"/>
  <c r="T22" i="196"/>
  <c r="Q24" i="196"/>
  <c r="R24" i="196"/>
  <c r="S24" i="196"/>
  <c r="T24" i="196"/>
  <c r="Q25" i="196"/>
  <c r="Q23" i="196" s="1"/>
  <c r="R25" i="196"/>
  <c r="R23" i="196" s="1"/>
  <c r="S25" i="196"/>
  <c r="S23" i="196" s="1"/>
  <c r="T25" i="196"/>
  <c r="T23" i="196" s="1"/>
  <c r="Q26" i="196"/>
  <c r="R26" i="196"/>
  <c r="S26" i="196"/>
  <c r="T26" i="196"/>
  <c r="Q27" i="196"/>
  <c r="R27" i="196"/>
  <c r="S27" i="196"/>
  <c r="T27" i="196"/>
  <c r="Q28" i="196"/>
  <c r="R28" i="196"/>
  <c r="S28" i="196"/>
  <c r="T28" i="196"/>
  <c r="Q30" i="196"/>
  <c r="R30" i="196"/>
  <c r="S30" i="196"/>
  <c r="T30" i="196"/>
  <c r="Q31" i="196"/>
  <c r="Q29" i="196" s="1"/>
  <c r="R31" i="196"/>
  <c r="R29" i="196" s="1"/>
  <c r="S31" i="196"/>
  <c r="S29" i="196" s="1"/>
  <c r="T31" i="196"/>
  <c r="T29" i="196" s="1"/>
  <c r="Q32" i="196"/>
  <c r="R32" i="196"/>
  <c r="S32" i="196"/>
  <c r="T32" i="196"/>
  <c r="Q33" i="196"/>
  <c r="R33" i="196"/>
  <c r="S33" i="196"/>
  <c r="T33" i="196"/>
  <c r="Q34" i="196"/>
  <c r="R34" i="196"/>
  <c r="S34" i="196"/>
  <c r="T34" i="196"/>
  <c r="Q36" i="196"/>
  <c r="R36" i="196"/>
  <c r="S36" i="196"/>
  <c r="T36" i="196"/>
  <c r="Q37" i="196"/>
  <c r="Q35" i="196" s="1"/>
  <c r="R37" i="196"/>
  <c r="R35" i="196" s="1"/>
  <c r="S37" i="196"/>
  <c r="S35" i="196" s="1"/>
  <c r="T37" i="196"/>
  <c r="T35" i="196" s="1"/>
  <c r="Q38" i="196"/>
  <c r="R38" i="196"/>
  <c r="S38" i="196"/>
  <c r="T38" i="196"/>
  <c r="Q39" i="196"/>
  <c r="R39" i="196"/>
  <c r="S39" i="196"/>
  <c r="T39" i="196"/>
  <c r="Q40" i="196"/>
  <c r="R40" i="196"/>
  <c r="S40" i="196"/>
  <c r="T40" i="196"/>
  <c r="Q41" i="196"/>
  <c r="R41" i="196"/>
  <c r="S41" i="196"/>
  <c r="T41" i="196"/>
  <c r="Q43" i="196"/>
  <c r="Q42" i="196" s="1"/>
  <c r="R43" i="196"/>
  <c r="R42" i="196" s="1"/>
  <c r="S43" i="196"/>
  <c r="S42" i="196" s="1"/>
  <c r="T43" i="196"/>
  <c r="T42" i="196" s="1"/>
  <c r="Q44" i="196"/>
  <c r="R44" i="196"/>
  <c r="S44" i="196"/>
  <c r="T44" i="196"/>
  <c r="Q45" i="196"/>
  <c r="R45" i="196"/>
  <c r="S45" i="196"/>
  <c r="T45" i="196"/>
  <c r="Q46" i="196"/>
  <c r="R46" i="196"/>
  <c r="S46" i="196"/>
  <c r="T46" i="196"/>
  <c r="Q48" i="196"/>
  <c r="R48" i="196"/>
  <c r="S48" i="196"/>
  <c r="T48" i="196"/>
  <c r="Q49" i="196"/>
  <c r="Q47" i="196" s="1"/>
  <c r="R49" i="196"/>
  <c r="R47" i="196" s="1"/>
  <c r="S49" i="196"/>
  <c r="S47" i="196" s="1"/>
  <c r="T49" i="196"/>
  <c r="T47" i="196" s="1"/>
  <c r="Q50" i="196"/>
  <c r="R50" i="196"/>
  <c r="S50" i="196"/>
  <c r="T50" i="196"/>
  <c r="Q51" i="196"/>
  <c r="R51" i="196"/>
  <c r="S51" i="196"/>
  <c r="T51" i="196"/>
  <c r="Q52" i="196"/>
  <c r="R52" i="196"/>
  <c r="S52" i="196"/>
  <c r="T52" i="196"/>
  <c r="Q53" i="196"/>
  <c r="R53" i="196"/>
  <c r="S53" i="196"/>
  <c r="T53" i="196"/>
  <c r="Q54" i="196"/>
  <c r="R54" i="196"/>
  <c r="S54" i="196"/>
  <c r="T54" i="196"/>
  <c r="Q56" i="196"/>
  <c r="R56" i="196"/>
  <c r="S56" i="196"/>
  <c r="T56" i="196"/>
  <c r="Q57" i="196"/>
  <c r="Q55" i="196" s="1"/>
  <c r="R57" i="196"/>
  <c r="R55" i="196" s="1"/>
  <c r="S57" i="196"/>
  <c r="S55" i="196" s="1"/>
  <c r="T57" i="196"/>
  <c r="T55" i="196" s="1"/>
  <c r="Q58" i="196"/>
  <c r="R58" i="196"/>
  <c r="S58" i="196"/>
  <c r="T58" i="196"/>
  <c r="Q59" i="196"/>
  <c r="R59" i="196"/>
  <c r="S59" i="196"/>
  <c r="T59" i="196"/>
  <c r="Q60" i="196"/>
  <c r="R60" i="196"/>
  <c r="S60" i="196"/>
  <c r="T60" i="196"/>
  <c r="S61" i="196"/>
  <c r="Q62" i="196"/>
  <c r="R62" i="196"/>
  <c r="S62" i="196"/>
  <c r="T62" i="196"/>
  <c r="Q63" i="196"/>
  <c r="Q61" i="196" s="1"/>
  <c r="R63" i="196"/>
  <c r="R61" i="196" s="1"/>
  <c r="S63" i="196"/>
  <c r="T63" i="196"/>
  <c r="T61" i="196" s="1"/>
  <c r="Q65" i="196"/>
  <c r="Q64" i="196" s="1"/>
  <c r="R65" i="196"/>
  <c r="R64" i="196" s="1"/>
  <c r="S65" i="196"/>
  <c r="S64" i="196" s="1"/>
  <c r="T65" i="196"/>
  <c r="T64" i="196" s="1"/>
  <c r="Q66" i="196"/>
  <c r="R66" i="196"/>
  <c r="S66" i="196"/>
  <c r="T66" i="196"/>
  <c r="Q67" i="196"/>
  <c r="R67" i="196"/>
  <c r="S67" i="196"/>
  <c r="T67" i="196"/>
  <c r="O66" i="213"/>
  <c r="O66" i="212"/>
  <c r="O66" i="211"/>
  <c r="O17" i="213"/>
  <c r="O18" i="213"/>
  <c r="O19" i="213"/>
  <c r="O20" i="213"/>
  <c r="O21" i="213"/>
  <c r="HN23" i="129" s="1"/>
  <c r="HN9" i="129" s="1"/>
  <c r="O22" i="213"/>
  <c r="O23" i="213"/>
  <c r="O24" i="213"/>
  <c r="HN26" i="129" s="1"/>
  <c r="O25" i="213"/>
  <c r="O26" i="213"/>
  <c r="O27" i="213"/>
  <c r="O28" i="213"/>
  <c r="O29" i="213"/>
  <c r="HN31" i="129" s="1"/>
  <c r="O30" i="213"/>
  <c r="O31" i="213"/>
  <c r="O32" i="213"/>
  <c r="HN34" i="129" s="1"/>
  <c r="O33" i="213"/>
  <c r="O34" i="213"/>
  <c r="O35" i="213"/>
  <c r="O36" i="213"/>
  <c r="O37" i="213"/>
  <c r="HN39" i="129" s="1"/>
  <c r="O38" i="213"/>
  <c r="O39" i="213"/>
  <c r="O40" i="213"/>
  <c r="HN42" i="129" s="1"/>
  <c r="HN12" i="129" s="1"/>
  <c r="O41" i="213"/>
  <c r="O42" i="213"/>
  <c r="O43" i="213"/>
  <c r="O44" i="213"/>
  <c r="O45" i="213"/>
  <c r="HN47" i="129" s="1"/>
  <c r="HN13" i="129" s="1"/>
  <c r="O46" i="213"/>
  <c r="O47" i="213"/>
  <c r="O48" i="213"/>
  <c r="HN50" i="129" s="1"/>
  <c r="O49" i="213"/>
  <c r="O50" i="213"/>
  <c r="O51" i="213"/>
  <c r="O52" i="213"/>
  <c r="O53" i="213"/>
  <c r="HN55" i="129" s="1"/>
  <c r="HN14" i="129" s="1"/>
  <c r="O54" i="213"/>
  <c r="O55" i="213"/>
  <c r="O56" i="213"/>
  <c r="HN58" i="129" s="1"/>
  <c r="O57" i="213"/>
  <c r="O58" i="213"/>
  <c r="O59" i="213"/>
  <c r="O60" i="213"/>
  <c r="O61" i="213"/>
  <c r="HN63" i="129" s="1"/>
  <c r="O62" i="213"/>
  <c r="O63" i="213"/>
  <c r="O64" i="213"/>
  <c r="HN66" i="129" s="1"/>
  <c r="O65" i="213"/>
  <c r="O16" i="213"/>
  <c r="O17" i="212"/>
  <c r="O18" i="212"/>
  <c r="O19" i="212"/>
  <c r="O20" i="212"/>
  <c r="O21" i="212"/>
  <c r="O22" i="212"/>
  <c r="O23" i="212"/>
  <c r="O24" i="212"/>
  <c r="O25" i="212"/>
  <c r="O26" i="212"/>
  <c r="O27" i="212"/>
  <c r="O28" i="212"/>
  <c r="O29" i="212"/>
  <c r="O30" i="212"/>
  <c r="O31" i="212"/>
  <c r="O32" i="212"/>
  <c r="O33" i="212"/>
  <c r="O34" i="212"/>
  <c r="O35" i="212"/>
  <c r="O36" i="212"/>
  <c r="O37" i="212"/>
  <c r="O38" i="212"/>
  <c r="O39" i="212"/>
  <c r="O40" i="212"/>
  <c r="O41" i="212"/>
  <c r="O42" i="212"/>
  <c r="O43" i="212"/>
  <c r="O44" i="212"/>
  <c r="O45" i="212"/>
  <c r="O46" i="212"/>
  <c r="O47" i="212"/>
  <c r="O48" i="212"/>
  <c r="O49" i="212"/>
  <c r="O50" i="212"/>
  <c r="O51" i="212"/>
  <c r="O52" i="212"/>
  <c r="O53" i="212"/>
  <c r="O54" i="212"/>
  <c r="O55" i="212"/>
  <c r="O56" i="212"/>
  <c r="O57" i="212"/>
  <c r="O58" i="212"/>
  <c r="O59" i="212"/>
  <c r="O60" i="212"/>
  <c r="O61" i="212"/>
  <c r="O62" i="212"/>
  <c r="O63" i="212"/>
  <c r="O64" i="212"/>
  <c r="O65" i="212"/>
  <c r="O16" i="212"/>
  <c r="O17" i="211"/>
  <c r="O18" i="211"/>
  <c r="O19" i="211"/>
  <c r="O20" i="211"/>
  <c r="O21" i="211"/>
  <c r="O22" i="211"/>
  <c r="O23" i="211"/>
  <c r="O24" i="211"/>
  <c r="O25" i="211"/>
  <c r="O26" i="211"/>
  <c r="O27" i="211"/>
  <c r="O28" i="211"/>
  <c r="O29" i="211"/>
  <c r="O30" i="211"/>
  <c r="O31" i="211"/>
  <c r="O32" i="211"/>
  <c r="O33" i="211"/>
  <c r="O34" i="211"/>
  <c r="O35" i="211"/>
  <c r="O36" i="211"/>
  <c r="O37" i="211"/>
  <c r="O38" i="211"/>
  <c r="O39" i="211"/>
  <c r="O40" i="211"/>
  <c r="O41" i="211"/>
  <c r="O42" i="211"/>
  <c r="O43" i="211"/>
  <c r="O44" i="211"/>
  <c r="O45" i="211"/>
  <c r="O46" i="211"/>
  <c r="O47" i="211"/>
  <c r="O48" i="211"/>
  <c r="O49" i="211"/>
  <c r="O50" i="211"/>
  <c r="O51" i="211"/>
  <c r="O52" i="211"/>
  <c r="O53" i="211"/>
  <c r="O54" i="211"/>
  <c r="O55" i="211"/>
  <c r="O56" i="211"/>
  <c r="O57" i="211"/>
  <c r="O58" i="211"/>
  <c r="O59" i="211"/>
  <c r="O60" i="211"/>
  <c r="O61" i="211"/>
  <c r="O62" i="211"/>
  <c r="O63" i="211"/>
  <c r="O64" i="211"/>
  <c r="O65" i="211"/>
  <c r="O16" i="211"/>
  <c r="O17" i="207"/>
  <c r="O18" i="207"/>
  <c r="O19" i="207"/>
  <c r="O20" i="207"/>
  <c r="O21" i="207"/>
  <c r="O22" i="207"/>
  <c r="O23" i="207"/>
  <c r="O24" i="207"/>
  <c r="O25" i="207"/>
  <c r="O26" i="207"/>
  <c r="O27" i="207"/>
  <c r="O28" i="207"/>
  <c r="O29" i="207"/>
  <c r="O30" i="207"/>
  <c r="O31" i="207"/>
  <c r="O32" i="207"/>
  <c r="O33" i="207"/>
  <c r="O34" i="207"/>
  <c r="O35" i="207"/>
  <c r="O36" i="207"/>
  <c r="O37" i="207"/>
  <c r="O38" i="207"/>
  <c r="O39" i="207"/>
  <c r="O40" i="207"/>
  <c r="O41" i="207"/>
  <c r="O42" i="207"/>
  <c r="O43" i="207"/>
  <c r="O44" i="207"/>
  <c r="O45" i="207"/>
  <c r="O46" i="207"/>
  <c r="O47" i="207"/>
  <c r="O48" i="207"/>
  <c r="O49" i="207"/>
  <c r="O50" i="207"/>
  <c r="O51" i="207"/>
  <c r="O52" i="207"/>
  <c r="O53" i="207"/>
  <c r="O54" i="207"/>
  <c r="O55" i="207"/>
  <c r="O56" i="207"/>
  <c r="O57" i="207"/>
  <c r="O58" i="207"/>
  <c r="O59" i="207"/>
  <c r="O60" i="207"/>
  <c r="O61" i="207"/>
  <c r="O62" i="207"/>
  <c r="O63" i="207"/>
  <c r="O64" i="207"/>
  <c r="O65" i="207"/>
  <c r="O16" i="207"/>
  <c r="HM19" i="129"/>
  <c r="HN19" i="129"/>
  <c r="HM20" i="129"/>
  <c r="HN20" i="129"/>
  <c r="HM21" i="129"/>
  <c r="HN21" i="129"/>
  <c r="HM22" i="129"/>
  <c r="HN22" i="129"/>
  <c r="HM23" i="129"/>
  <c r="HM24" i="129"/>
  <c r="HN24" i="129"/>
  <c r="HM25" i="129"/>
  <c r="HN25" i="129"/>
  <c r="HM26" i="129"/>
  <c r="HM27" i="129"/>
  <c r="HN27" i="129"/>
  <c r="HM28" i="129"/>
  <c r="HN28" i="129"/>
  <c r="HM29" i="129"/>
  <c r="HN29" i="129"/>
  <c r="HN10" i="129" s="1"/>
  <c r="HM30" i="129"/>
  <c r="HN30" i="129"/>
  <c r="HM31" i="129"/>
  <c r="HM32" i="129"/>
  <c r="HN32" i="129"/>
  <c r="HM33" i="129"/>
  <c r="HN33" i="129"/>
  <c r="HM34" i="129"/>
  <c r="HM35" i="129"/>
  <c r="HN35" i="129"/>
  <c r="HM36" i="129"/>
  <c r="HN36" i="129"/>
  <c r="HM37" i="129"/>
  <c r="HN37" i="129"/>
  <c r="HM38" i="129"/>
  <c r="HN38" i="129"/>
  <c r="HM39" i="129"/>
  <c r="HM40" i="129"/>
  <c r="HN40" i="129"/>
  <c r="HM41" i="129"/>
  <c r="HN41" i="129"/>
  <c r="HM42" i="129"/>
  <c r="HM12" i="129" s="1"/>
  <c r="HM43" i="129"/>
  <c r="HN43" i="129"/>
  <c r="HM44" i="129"/>
  <c r="HN44" i="129"/>
  <c r="HM45" i="129"/>
  <c r="HN45" i="129"/>
  <c r="HM46" i="129"/>
  <c r="HN46" i="129"/>
  <c r="HM47" i="129"/>
  <c r="HM48" i="129"/>
  <c r="HN48" i="129"/>
  <c r="HM49" i="129"/>
  <c r="HN49" i="129"/>
  <c r="HM50" i="129"/>
  <c r="HM51" i="129"/>
  <c r="HN51" i="129"/>
  <c r="HM52" i="129"/>
  <c r="HN52" i="129"/>
  <c r="HM53" i="129"/>
  <c r="HN53" i="129"/>
  <c r="HM54" i="129"/>
  <c r="HN54" i="129"/>
  <c r="HM55" i="129"/>
  <c r="HM56" i="129"/>
  <c r="HN56" i="129"/>
  <c r="HM57" i="129"/>
  <c r="HN57" i="129"/>
  <c r="HM58" i="129"/>
  <c r="HM59" i="129"/>
  <c r="HN59" i="129"/>
  <c r="HM60" i="129"/>
  <c r="HN60" i="129"/>
  <c r="HM61" i="129"/>
  <c r="HN61" i="129"/>
  <c r="HN15" i="129" s="1"/>
  <c r="HM62" i="129"/>
  <c r="HN62" i="129"/>
  <c r="HM63" i="129"/>
  <c r="HM64" i="129"/>
  <c r="HN64" i="129"/>
  <c r="HM65" i="129"/>
  <c r="HN65" i="129"/>
  <c r="HM66" i="129"/>
  <c r="HM67" i="129"/>
  <c r="HN67" i="129"/>
  <c r="HN18" i="129"/>
  <c r="HM18" i="129"/>
  <c r="AT7" i="86"/>
  <c r="AU7" i="86"/>
  <c r="AT8" i="86"/>
  <c r="AU8" i="86"/>
  <c r="AT18" i="86"/>
  <c r="AU18" i="86"/>
  <c r="AT22" i="86"/>
  <c r="AU22" i="86"/>
  <c r="AT28" i="86"/>
  <c r="AU28" i="86"/>
  <c r="AT34" i="86"/>
  <c r="AU34" i="86"/>
  <c r="AT41" i="86"/>
  <c r="AU41" i="86"/>
  <c r="AU46" i="86"/>
  <c r="AT46" i="86"/>
  <c r="AT54" i="86"/>
  <c r="AU54" i="86"/>
  <c r="AT60" i="86"/>
  <c r="AU60" i="86"/>
  <c r="AT63" i="86"/>
  <c r="AU63" i="86"/>
  <c r="AU10" i="86"/>
  <c r="AU11" i="86"/>
  <c r="AU12" i="86"/>
  <c r="AU13" i="86"/>
  <c r="AU14" i="86"/>
  <c r="AU15" i="86"/>
  <c r="AU16" i="86"/>
  <c r="AU17" i="86"/>
  <c r="AU19" i="86"/>
  <c r="AU20" i="86"/>
  <c r="AU21" i="86"/>
  <c r="AU23" i="86"/>
  <c r="AU24" i="86"/>
  <c r="AU25" i="86"/>
  <c r="AU26" i="86"/>
  <c r="AU27" i="86"/>
  <c r="AU29" i="86"/>
  <c r="AU30" i="86"/>
  <c r="AU31" i="86"/>
  <c r="AU32" i="86"/>
  <c r="AU33" i="86"/>
  <c r="AU35" i="86"/>
  <c r="AU36" i="86"/>
  <c r="AU37" i="86"/>
  <c r="AU38" i="86"/>
  <c r="AU39" i="86"/>
  <c r="AU40" i="86"/>
  <c r="AU42" i="86"/>
  <c r="AU43" i="86"/>
  <c r="AU44" i="86"/>
  <c r="AU45" i="86"/>
  <c r="AU47" i="86"/>
  <c r="AU48" i="86"/>
  <c r="AU49" i="86"/>
  <c r="AU50" i="86"/>
  <c r="AU51" i="86"/>
  <c r="AU52" i="86"/>
  <c r="AU53" i="86"/>
  <c r="AU55" i="86"/>
  <c r="AU56" i="86"/>
  <c r="AU57" i="86"/>
  <c r="AU58" i="86"/>
  <c r="AU59" i="86"/>
  <c r="AU61" i="86"/>
  <c r="AU62" i="86"/>
  <c r="AU64" i="86"/>
  <c r="AU65" i="86"/>
  <c r="AU66" i="86"/>
  <c r="AU9" i="86"/>
  <c r="AT10" i="86"/>
  <c r="AT11" i="86"/>
  <c r="AT12" i="86"/>
  <c r="AT13" i="86"/>
  <c r="AT14" i="86"/>
  <c r="AT15" i="86"/>
  <c r="AT16" i="86"/>
  <c r="AT17" i="86"/>
  <c r="AT19" i="86"/>
  <c r="AT20" i="86"/>
  <c r="AT21" i="86"/>
  <c r="AT23" i="86"/>
  <c r="AT24" i="86"/>
  <c r="AT25" i="86"/>
  <c r="AT26" i="86"/>
  <c r="AT27" i="86"/>
  <c r="AT29" i="86"/>
  <c r="AT30" i="86"/>
  <c r="AT31" i="86"/>
  <c r="AT32" i="86"/>
  <c r="AT33" i="86"/>
  <c r="AT35" i="86"/>
  <c r="AT36" i="86"/>
  <c r="AT37" i="86"/>
  <c r="AT38" i="86"/>
  <c r="AT39" i="86"/>
  <c r="AT40" i="86"/>
  <c r="AT42" i="86"/>
  <c r="AT43" i="86"/>
  <c r="AT44" i="86"/>
  <c r="AT45" i="86"/>
  <c r="AT47" i="86"/>
  <c r="AT48" i="86"/>
  <c r="AT49" i="86"/>
  <c r="AT50" i="86"/>
  <c r="AT51" i="86"/>
  <c r="AT52" i="86"/>
  <c r="AT53" i="86"/>
  <c r="AT55" i="86"/>
  <c r="AT56" i="86"/>
  <c r="AT57" i="86"/>
  <c r="AT58" i="86"/>
  <c r="AT59" i="86"/>
  <c r="AT61" i="86"/>
  <c r="AT62" i="86"/>
  <c r="AT64" i="86"/>
  <c r="AT65" i="86"/>
  <c r="AT66" i="86"/>
  <c r="AT9" i="86"/>
  <c r="C4" i="200"/>
  <c r="D4" i="200"/>
  <c r="E4" i="200"/>
  <c r="F4" i="200"/>
  <c r="G4" i="200"/>
  <c r="H4" i="200"/>
  <c r="I4" i="200"/>
  <c r="J4" i="200"/>
  <c r="K4" i="200"/>
  <c r="L4" i="200"/>
  <c r="M4" i="200"/>
  <c r="N4" i="200"/>
  <c r="O4" i="200"/>
  <c r="C5" i="200"/>
  <c r="D5" i="200"/>
  <c r="E5" i="200"/>
  <c r="F5" i="200"/>
  <c r="G5" i="200"/>
  <c r="H5" i="200"/>
  <c r="I5" i="200"/>
  <c r="J5" i="200"/>
  <c r="K5" i="200"/>
  <c r="L5" i="200"/>
  <c r="M5" i="200"/>
  <c r="N5" i="200"/>
  <c r="O5" i="200"/>
  <c r="C6" i="200"/>
  <c r="D6" i="200"/>
  <c r="E6" i="200"/>
  <c r="F6" i="200"/>
  <c r="G6" i="200"/>
  <c r="H6" i="200"/>
  <c r="I6" i="200"/>
  <c r="J6" i="200"/>
  <c r="K6" i="200"/>
  <c r="L6" i="200"/>
  <c r="M6" i="200"/>
  <c r="N6" i="200"/>
  <c r="O6" i="200"/>
  <c r="C7" i="200"/>
  <c r="D7" i="200"/>
  <c r="E7" i="200"/>
  <c r="F7" i="200"/>
  <c r="G7" i="200"/>
  <c r="H7" i="200"/>
  <c r="I7" i="200"/>
  <c r="J7" i="200"/>
  <c r="K7" i="200"/>
  <c r="L7" i="200"/>
  <c r="M7" i="200"/>
  <c r="N7" i="200"/>
  <c r="O7" i="200"/>
  <c r="C8" i="200"/>
  <c r="D8" i="200"/>
  <c r="E8" i="200"/>
  <c r="F8" i="200"/>
  <c r="G8" i="200"/>
  <c r="H8" i="200"/>
  <c r="I8" i="200"/>
  <c r="J8" i="200"/>
  <c r="K8" i="200"/>
  <c r="L8" i="200"/>
  <c r="M8" i="200"/>
  <c r="N8" i="200"/>
  <c r="O8" i="200"/>
  <c r="C9" i="200"/>
  <c r="D9" i="200"/>
  <c r="E9" i="200"/>
  <c r="F9" i="200"/>
  <c r="G9" i="200"/>
  <c r="H9" i="200"/>
  <c r="I9" i="200"/>
  <c r="J9" i="200"/>
  <c r="K9" i="200"/>
  <c r="L9" i="200"/>
  <c r="M9" i="200"/>
  <c r="N9" i="200"/>
  <c r="O9" i="200"/>
  <c r="C10" i="200"/>
  <c r="D10" i="200"/>
  <c r="E10" i="200"/>
  <c r="F10" i="200"/>
  <c r="G10" i="200"/>
  <c r="H10" i="200"/>
  <c r="I10" i="200"/>
  <c r="J10" i="200"/>
  <c r="K10" i="200"/>
  <c r="L10" i="200"/>
  <c r="M10" i="200"/>
  <c r="N10" i="200"/>
  <c r="O10" i="200"/>
  <c r="C11" i="200"/>
  <c r="D11" i="200"/>
  <c r="E11" i="200"/>
  <c r="F11" i="200"/>
  <c r="G11" i="200"/>
  <c r="H11" i="200"/>
  <c r="I11" i="200"/>
  <c r="J11" i="200"/>
  <c r="K11" i="200"/>
  <c r="L11" i="200"/>
  <c r="M11" i="200"/>
  <c r="N11" i="200"/>
  <c r="O11" i="200"/>
  <c r="C12" i="200"/>
  <c r="D12" i="200"/>
  <c r="E12" i="200"/>
  <c r="F12" i="200"/>
  <c r="G12" i="200"/>
  <c r="H12" i="200"/>
  <c r="I12" i="200"/>
  <c r="J12" i="200"/>
  <c r="K12" i="200"/>
  <c r="L12" i="200"/>
  <c r="M12" i="200"/>
  <c r="N12" i="200"/>
  <c r="O12" i="200"/>
  <c r="C13" i="200"/>
  <c r="D13" i="200"/>
  <c r="E13" i="200"/>
  <c r="F13" i="200"/>
  <c r="G13" i="200"/>
  <c r="H13" i="200"/>
  <c r="I13" i="200"/>
  <c r="J13" i="200"/>
  <c r="K13" i="200"/>
  <c r="L13" i="200"/>
  <c r="M13" i="200"/>
  <c r="N13" i="200"/>
  <c r="O13" i="200"/>
  <c r="C14" i="200"/>
  <c r="D14" i="200"/>
  <c r="E14" i="200"/>
  <c r="F14" i="200"/>
  <c r="G14" i="200"/>
  <c r="H14" i="200"/>
  <c r="I14" i="200"/>
  <c r="J14" i="200"/>
  <c r="K14" i="200"/>
  <c r="L14" i="200"/>
  <c r="M14" i="200"/>
  <c r="N14" i="200"/>
  <c r="O14" i="200"/>
  <c r="HN16" i="129"/>
  <c r="HM16" i="129"/>
  <c r="HM15" i="129"/>
  <c r="HM14" i="129"/>
  <c r="HM13" i="129"/>
  <c r="HN11" i="129"/>
  <c r="HM11" i="129"/>
  <c r="HM10" i="129"/>
  <c r="HM9" i="129"/>
  <c r="HN8" i="129"/>
  <c r="HM8" i="129"/>
  <c r="HN7" i="129"/>
  <c r="HM7" i="129"/>
  <c r="X76" i="124"/>
  <c r="X77" i="124"/>
  <c r="X78" i="124"/>
  <c r="X79" i="124"/>
  <c r="X80" i="124"/>
  <c r="X81" i="124"/>
  <c r="X82" i="124"/>
  <c r="X83" i="124"/>
  <c r="X84" i="124"/>
  <c r="X85" i="124"/>
  <c r="X86" i="124"/>
  <c r="X88" i="124"/>
  <c r="X89" i="124"/>
  <c r="X90" i="124"/>
  <c r="X91" i="124"/>
  <c r="X92" i="124"/>
  <c r="X93" i="124"/>
  <c r="X94" i="124"/>
  <c r="X95" i="124"/>
  <c r="X96" i="124"/>
  <c r="X97" i="124"/>
  <c r="X98" i="124"/>
  <c r="X99" i="124"/>
  <c r="X100" i="124"/>
  <c r="X101" i="124"/>
  <c r="X102" i="124"/>
  <c r="X103" i="124"/>
  <c r="X104" i="124"/>
  <c r="X105" i="124"/>
  <c r="X106" i="124"/>
  <c r="X107" i="124"/>
  <c r="X108" i="124"/>
  <c r="X109" i="124"/>
  <c r="X110" i="124"/>
  <c r="X111" i="124"/>
  <c r="X112" i="124"/>
  <c r="X113" i="124"/>
  <c r="X114" i="124"/>
  <c r="X115" i="124"/>
  <c r="X116" i="124"/>
  <c r="X117" i="124"/>
  <c r="X118" i="124"/>
  <c r="X119" i="124"/>
  <c r="X120" i="124"/>
  <c r="X121" i="124"/>
  <c r="X122" i="124"/>
  <c r="X123" i="124"/>
  <c r="X124" i="124"/>
  <c r="X125" i="124"/>
  <c r="X126" i="124"/>
  <c r="X127" i="124"/>
  <c r="X128" i="124"/>
  <c r="X129" i="124"/>
  <c r="X130" i="124"/>
  <c r="X131" i="124"/>
  <c r="X132" i="124"/>
  <c r="X133" i="124"/>
  <c r="X134" i="124"/>
  <c r="X135" i="124"/>
  <c r="X136" i="124"/>
  <c r="X137" i="124"/>
  <c r="X77" i="121"/>
  <c r="X78" i="121"/>
  <c r="X79" i="121"/>
  <c r="X80" i="121"/>
  <c r="X81" i="121"/>
  <c r="X82" i="121"/>
  <c r="X83" i="121"/>
  <c r="X84" i="121"/>
  <c r="X85" i="121"/>
  <c r="X86" i="121"/>
  <c r="X87" i="121"/>
  <c r="X88" i="121"/>
  <c r="X89" i="121"/>
  <c r="X90" i="121"/>
  <c r="X91" i="121"/>
  <c r="X92" i="121"/>
  <c r="X93" i="121"/>
  <c r="X94" i="121"/>
  <c r="X95" i="121"/>
  <c r="X96" i="121"/>
  <c r="X97" i="121"/>
  <c r="X98" i="121"/>
  <c r="X99" i="121"/>
  <c r="X100" i="121"/>
  <c r="X101" i="121"/>
  <c r="X102" i="121"/>
  <c r="X103" i="121"/>
  <c r="X104" i="121"/>
  <c r="X105" i="121"/>
  <c r="X106" i="121"/>
  <c r="X107" i="121"/>
  <c r="X108" i="121"/>
  <c r="X109" i="121"/>
  <c r="X110" i="121"/>
  <c r="X111" i="121"/>
  <c r="X112" i="121"/>
  <c r="X113" i="121"/>
  <c r="X114" i="121"/>
  <c r="X115" i="121"/>
  <c r="X116" i="121"/>
  <c r="X117" i="121"/>
  <c r="X118" i="121"/>
  <c r="X119" i="121"/>
  <c r="X120" i="121"/>
  <c r="X121" i="121"/>
  <c r="X122" i="121"/>
  <c r="X123" i="121"/>
  <c r="X124" i="121"/>
  <c r="X125" i="121"/>
  <c r="X126" i="121"/>
  <c r="X127" i="121"/>
  <c r="X128" i="121"/>
  <c r="X129" i="121"/>
  <c r="X130" i="121"/>
  <c r="X131" i="121"/>
  <c r="X132" i="121"/>
  <c r="X133" i="121"/>
  <c r="X134" i="121"/>
  <c r="X135" i="121"/>
  <c r="X136" i="121"/>
  <c r="X137" i="121"/>
  <c r="X76" i="121"/>
  <c r="AN11" i="122"/>
  <c r="AN17" i="122"/>
  <c r="AN6" i="122" s="1"/>
  <c r="AN18" i="122"/>
  <c r="AN19" i="122"/>
  <c r="AN7" i="122" s="1"/>
  <c r="AN20" i="122"/>
  <c r="X87" i="120" s="1"/>
  <c r="AN21" i="122"/>
  <c r="AN22" i="122"/>
  <c r="AN23" i="122"/>
  <c r="AN24" i="122"/>
  <c r="AN25" i="122"/>
  <c r="AN26" i="122"/>
  <c r="AN13" i="122" s="1"/>
  <c r="AN27" i="122"/>
  <c r="AN28" i="122"/>
  <c r="X106" i="120" s="1"/>
  <c r="AN29" i="122"/>
  <c r="AN10" i="122" s="1"/>
  <c r="AN30" i="122"/>
  <c r="AN31" i="122"/>
  <c r="AN32" i="122"/>
  <c r="AN33" i="122"/>
  <c r="AN8" i="122" s="1"/>
  <c r="AN34" i="122"/>
  <c r="AN35" i="122"/>
  <c r="AN36" i="122"/>
  <c r="X96" i="120" s="1"/>
  <c r="AN37" i="122"/>
  <c r="AN14" i="122" s="1"/>
  <c r="AN38" i="122"/>
  <c r="AN39" i="122"/>
  <c r="AN40" i="122"/>
  <c r="AN15" i="122" s="1"/>
  <c r="AN41" i="122"/>
  <c r="AN42" i="122"/>
  <c r="AN43" i="122"/>
  <c r="AN44" i="122"/>
  <c r="X97" i="120" s="1"/>
  <c r="AN45" i="122"/>
  <c r="AN46" i="122"/>
  <c r="AN47" i="122"/>
  <c r="AN48" i="122"/>
  <c r="AN49" i="122"/>
  <c r="AN50" i="122"/>
  <c r="AN51" i="122"/>
  <c r="AN52" i="122"/>
  <c r="X103" i="120" s="1"/>
  <c r="AN53" i="122"/>
  <c r="AN54" i="122"/>
  <c r="AN55" i="122"/>
  <c r="AN56" i="122"/>
  <c r="AN57" i="122"/>
  <c r="V51" i="204"/>
  <c r="X17" i="110"/>
  <c r="AN65" i="114"/>
  <c r="AN67" i="114"/>
  <c r="AN68" i="114"/>
  <c r="AN69" i="114"/>
  <c r="AN71" i="114"/>
  <c r="AN72" i="114"/>
  <c r="AN73" i="114"/>
  <c r="AN74" i="114"/>
  <c r="AN75" i="114"/>
  <c r="AN77" i="114"/>
  <c r="AN78" i="114"/>
  <c r="AN79" i="114"/>
  <c r="AN80" i="114"/>
  <c r="AN81" i="114"/>
  <c r="AN83" i="114"/>
  <c r="AN84" i="114"/>
  <c r="AN85" i="114"/>
  <c r="AN86" i="114"/>
  <c r="AN87" i="114"/>
  <c r="AN88" i="114"/>
  <c r="AN90" i="114"/>
  <c r="AN91" i="114"/>
  <c r="AN92" i="114"/>
  <c r="AN93" i="114"/>
  <c r="AN95" i="114"/>
  <c r="AN96" i="114"/>
  <c r="AN97" i="114"/>
  <c r="AN98" i="114"/>
  <c r="AN99" i="114"/>
  <c r="AN100" i="114"/>
  <c r="AN101" i="114"/>
  <c r="AN103" i="114"/>
  <c r="AN104" i="114"/>
  <c r="AN105" i="114"/>
  <c r="AN106" i="114"/>
  <c r="AN107" i="114"/>
  <c r="AN109" i="114"/>
  <c r="AN110" i="114"/>
  <c r="AN112" i="114"/>
  <c r="AN113" i="114"/>
  <c r="AN114" i="114"/>
  <c r="AN59" i="114"/>
  <c r="AN60" i="114"/>
  <c r="AN62" i="114"/>
  <c r="AN63" i="114"/>
  <c r="AO17" i="116"/>
  <c r="AO6" i="116" s="1"/>
  <c r="AO19" i="116"/>
  <c r="AO18" i="116" s="1"/>
  <c r="AO7" i="116" s="1"/>
  <c r="AO20" i="116"/>
  <c r="AO21" i="116"/>
  <c r="AO23" i="116"/>
  <c r="AO22" i="116" s="1"/>
  <c r="AO8" i="116" s="1"/>
  <c r="AO24" i="116"/>
  <c r="AO25" i="116"/>
  <c r="AO26" i="116"/>
  <c r="AO27" i="116"/>
  <c r="AO28" i="116"/>
  <c r="AO9" i="116" s="1"/>
  <c r="AO29" i="116"/>
  <c r="AO30" i="116"/>
  <c r="AO31" i="116"/>
  <c r="AO32" i="116"/>
  <c r="AO33" i="116"/>
  <c r="AO35" i="116"/>
  <c r="AO34" i="116" s="1"/>
  <c r="AO10" i="116" s="1"/>
  <c r="AO36" i="116"/>
  <c r="AO37" i="116"/>
  <c r="AO38" i="116"/>
  <c r="AO39" i="116"/>
  <c r="AO40" i="116"/>
  <c r="AO42" i="116"/>
  <c r="AO41" i="116" s="1"/>
  <c r="AO11" i="116" s="1"/>
  <c r="AO43" i="116"/>
  <c r="AO44" i="116"/>
  <c r="AO45" i="116"/>
  <c r="AO47" i="116"/>
  <c r="AO46" i="116" s="1"/>
  <c r="AO12" i="116" s="1"/>
  <c r="AO48" i="116"/>
  <c r="AO49" i="116"/>
  <c r="AO50" i="116"/>
  <c r="AO51" i="116"/>
  <c r="AO52" i="116"/>
  <c r="AO53" i="116"/>
  <c r="AO55" i="116"/>
  <c r="AO54" i="116" s="1"/>
  <c r="AO13" i="116" s="1"/>
  <c r="AO56" i="116"/>
  <c r="AO57" i="116"/>
  <c r="AO58" i="116"/>
  <c r="AO59" i="116"/>
  <c r="AO60" i="116"/>
  <c r="AO14" i="116" s="1"/>
  <c r="AO61" i="116"/>
  <c r="AO62" i="116"/>
  <c r="AO64" i="116"/>
  <c r="AO63" i="116" s="1"/>
  <c r="AO15" i="116" s="1"/>
  <c r="AO65" i="116"/>
  <c r="AO66" i="116"/>
  <c r="X75" i="120"/>
  <c r="X77" i="120"/>
  <c r="X78" i="120"/>
  <c r="X79" i="120"/>
  <c r="X76" i="120" s="1"/>
  <c r="X81" i="120"/>
  <c r="X82" i="120"/>
  <c r="X83" i="120"/>
  <c r="X84" i="120"/>
  <c r="X85" i="120"/>
  <c r="X88" i="120"/>
  <c r="X89" i="120"/>
  <c r="X90" i="120"/>
  <c r="X91" i="120"/>
  <c r="X93" i="120"/>
  <c r="X94" i="120"/>
  <c r="X95" i="120"/>
  <c r="X98" i="120"/>
  <c r="X100" i="120"/>
  <c r="X101" i="120"/>
  <c r="X102" i="120"/>
  <c r="X105" i="120"/>
  <c r="X107" i="120"/>
  <c r="X108" i="120"/>
  <c r="X109" i="120"/>
  <c r="X110" i="120"/>
  <c r="X111" i="120"/>
  <c r="X113" i="120"/>
  <c r="X112" i="120" s="1"/>
  <c r="X114" i="120"/>
  <c r="X115" i="120"/>
  <c r="X116" i="120"/>
  <c r="X117" i="120"/>
  <c r="X119" i="120"/>
  <c r="X118" i="120" s="1"/>
  <c r="X120" i="120"/>
  <c r="X121" i="120"/>
  <c r="X122" i="120"/>
  <c r="X123" i="120"/>
  <c r="X124" i="120"/>
  <c r="R79" i="204"/>
  <c r="S79" i="204"/>
  <c r="T79" i="204"/>
  <c r="U79" i="204" s="1"/>
  <c r="X48" i="204"/>
  <c r="Z22" i="92"/>
  <c r="AD22" i="92"/>
  <c r="AD44" i="92" s="1"/>
  <c r="AE22" i="92"/>
  <c r="AF22" i="92"/>
  <c r="AG22" i="92"/>
  <c r="AH22" i="92"/>
  <c r="AI22" i="92"/>
  <c r="AJ22" i="92"/>
  <c r="Z23" i="92"/>
  <c r="I76" i="196"/>
  <c r="S76" i="196"/>
  <c r="T76" i="196"/>
  <c r="O77" i="196"/>
  <c r="P77" i="196"/>
  <c r="I87" i="196"/>
  <c r="J87" i="196"/>
  <c r="J76" i="196" s="1"/>
  <c r="K87" i="196"/>
  <c r="K76" i="196" s="1"/>
  <c r="L87" i="196"/>
  <c r="L76" i="196" s="1"/>
  <c r="M87" i="196"/>
  <c r="M76" i="196" s="1"/>
  <c r="N87" i="196"/>
  <c r="N76" i="196" s="1"/>
  <c r="O87" i="196"/>
  <c r="O76" i="196" s="1"/>
  <c r="P87" i="196"/>
  <c r="P76" i="196" s="1"/>
  <c r="Q87" i="196"/>
  <c r="Q76" i="196" s="1"/>
  <c r="R87" i="196"/>
  <c r="R76" i="196" s="1"/>
  <c r="S87" i="196"/>
  <c r="T87" i="196"/>
  <c r="O88" i="196"/>
  <c r="P88" i="196"/>
  <c r="I89" i="196"/>
  <c r="I88" i="196" s="1"/>
  <c r="I77" i="196" s="1"/>
  <c r="J89" i="196"/>
  <c r="J88" i="196" s="1"/>
  <c r="J77" i="196" s="1"/>
  <c r="K89" i="196"/>
  <c r="L89" i="196"/>
  <c r="M89" i="196"/>
  <c r="N89" i="196"/>
  <c r="O89" i="196"/>
  <c r="P89" i="196"/>
  <c r="Q89" i="196"/>
  <c r="Q88" i="196" s="1"/>
  <c r="Q77" i="196" s="1"/>
  <c r="R89" i="196"/>
  <c r="R88" i="196" s="1"/>
  <c r="R77" i="196" s="1"/>
  <c r="S89" i="196"/>
  <c r="T89" i="196"/>
  <c r="I90" i="196"/>
  <c r="J90" i="196"/>
  <c r="K90" i="196"/>
  <c r="L90" i="196"/>
  <c r="M90" i="196"/>
  <c r="M88" i="196" s="1"/>
  <c r="M77" i="196" s="1"/>
  <c r="N90" i="196"/>
  <c r="N88" i="196" s="1"/>
  <c r="N77" i="196" s="1"/>
  <c r="O90" i="196"/>
  <c r="P90" i="196"/>
  <c r="Q90" i="196"/>
  <c r="R90" i="196"/>
  <c r="S90" i="196"/>
  <c r="T90" i="196"/>
  <c r="I91" i="196"/>
  <c r="J91" i="196"/>
  <c r="K91" i="196"/>
  <c r="L91" i="196"/>
  <c r="M91" i="196"/>
  <c r="N91" i="196"/>
  <c r="O91" i="196"/>
  <c r="P91" i="196"/>
  <c r="Q91" i="196"/>
  <c r="R91" i="196"/>
  <c r="S91" i="196"/>
  <c r="T91" i="196"/>
  <c r="I93" i="196"/>
  <c r="I92" i="196" s="1"/>
  <c r="I78" i="196" s="1"/>
  <c r="J93" i="196"/>
  <c r="J92" i="196" s="1"/>
  <c r="J78" i="196" s="1"/>
  <c r="K93" i="196"/>
  <c r="L93" i="196"/>
  <c r="M93" i="196"/>
  <c r="N93" i="196"/>
  <c r="O93" i="196"/>
  <c r="P93" i="196"/>
  <c r="Q93" i="196"/>
  <c r="Q92" i="196" s="1"/>
  <c r="Q78" i="196" s="1"/>
  <c r="R93" i="196"/>
  <c r="R92" i="196" s="1"/>
  <c r="R78" i="196" s="1"/>
  <c r="S93" i="196"/>
  <c r="T93" i="196"/>
  <c r="I94" i="196"/>
  <c r="J94" i="196"/>
  <c r="K94" i="196"/>
  <c r="L94" i="196"/>
  <c r="M94" i="196"/>
  <c r="M92" i="196" s="1"/>
  <c r="M78" i="196" s="1"/>
  <c r="N94" i="196"/>
  <c r="N92" i="196" s="1"/>
  <c r="N78" i="196" s="1"/>
  <c r="O94" i="196"/>
  <c r="O92" i="196" s="1"/>
  <c r="O78" i="196" s="1"/>
  <c r="P94" i="196"/>
  <c r="P92" i="196" s="1"/>
  <c r="P78" i="196" s="1"/>
  <c r="Q94" i="196"/>
  <c r="R94" i="196"/>
  <c r="S94" i="196"/>
  <c r="T94" i="196"/>
  <c r="I95" i="196"/>
  <c r="J95" i="196"/>
  <c r="K95" i="196"/>
  <c r="L95" i="196"/>
  <c r="M95" i="196"/>
  <c r="N95" i="196"/>
  <c r="O95" i="196"/>
  <c r="P95" i="196"/>
  <c r="Q95" i="196"/>
  <c r="R95" i="196"/>
  <c r="S95" i="196"/>
  <c r="T95" i="196"/>
  <c r="I96" i="196"/>
  <c r="J96" i="196"/>
  <c r="K96" i="196"/>
  <c r="L96" i="196"/>
  <c r="M96" i="196"/>
  <c r="N96" i="196"/>
  <c r="O96" i="196"/>
  <c r="P96" i="196"/>
  <c r="Q96" i="196"/>
  <c r="R96" i="196"/>
  <c r="S96" i="196"/>
  <c r="T96" i="196"/>
  <c r="I97" i="196"/>
  <c r="J97" i="196"/>
  <c r="K97" i="196"/>
  <c r="L97" i="196"/>
  <c r="M97" i="196"/>
  <c r="N97" i="196"/>
  <c r="O97" i="196"/>
  <c r="P97" i="196"/>
  <c r="Q97" i="196"/>
  <c r="R97" i="196"/>
  <c r="S97" i="196"/>
  <c r="T97" i="196"/>
  <c r="I99" i="196"/>
  <c r="I98" i="196" s="1"/>
  <c r="I79" i="196" s="1"/>
  <c r="J99" i="196"/>
  <c r="J98" i="196" s="1"/>
  <c r="J79" i="196" s="1"/>
  <c r="K99" i="196"/>
  <c r="L99" i="196"/>
  <c r="M99" i="196"/>
  <c r="N99" i="196"/>
  <c r="O99" i="196"/>
  <c r="P99" i="196"/>
  <c r="Q99" i="196"/>
  <c r="Q98" i="196" s="1"/>
  <c r="Q79" i="196" s="1"/>
  <c r="R99" i="196"/>
  <c r="R98" i="196" s="1"/>
  <c r="R79" i="196" s="1"/>
  <c r="S99" i="196"/>
  <c r="T99" i="196"/>
  <c r="I100" i="196"/>
  <c r="J100" i="196"/>
  <c r="K100" i="196"/>
  <c r="L100" i="196"/>
  <c r="M100" i="196"/>
  <c r="M98" i="196" s="1"/>
  <c r="M79" i="196" s="1"/>
  <c r="N100" i="196"/>
  <c r="N98" i="196" s="1"/>
  <c r="N79" i="196" s="1"/>
  <c r="O100" i="196"/>
  <c r="O98" i="196" s="1"/>
  <c r="O79" i="196" s="1"/>
  <c r="P100" i="196"/>
  <c r="P98" i="196" s="1"/>
  <c r="P79" i="196" s="1"/>
  <c r="Q100" i="196"/>
  <c r="R100" i="196"/>
  <c r="S100" i="196"/>
  <c r="T100" i="196"/>
  <c r="I101" i="196"/>
  <c r="J101" i="196"/>
  <c r="K101" i="196"/>
  <c r="L101" i="196"/>
  <c r="M101" i="196"/>
  <c r="N101" i="196"/>
  <c r="O101" i="196"/>
  <c r="P101" i="196"/>
  <c r="Q101" i="196"/>
  <c r="R101" i="196"/>
  <c r="S101" i="196"/>
  <c r="T101" i="196"/>
  <c r="I102" i="196"/>
  <c r="J102" i="196"/>
  <c r="K102" i="196"/>
  <c r="L102" i="196"/>
  <c r="M102" i="196"/>
  <c r="N102" i="196"/>
  <c r="O102" i="196"/>
  <c r="P102" i="196"/>
  <c r="Q102" i="196"/>
  <c r="R102" i="196"/>
  <c r="S102" i="196"/>
  <c r="T102" i="196"/>
  <c r="I103" i="196"/>
  <c r="J103" i="196"/>
  <c r="K103" i="196"/>
  <c r="L103" i="196"/>
  <c r="M103" i="196"/>
  <c r="N103" i="196"/>
  <c r="O103" i="196"/>
  <c r="P103" i="196"/>
  <c r="Q103" i="196"/>
  <c r="R103" i="196"/>
  <c r="S103" i="196"/>
  <c r="T103" i="196"/>
  <c r="O104" i="196"/>
  <c r="O80" i="196" s="1"/>
  <c r="P104" i="196"/>
  <c r="P80" i="196" s="1"/>
  <c r="I105" i="196"/>
  <c r="I104" i="196" s="1"/>
  <c r="I80" i="196" s="1"/>
  <c r="J105" i="196"/>
  <c r="J104" i="196" s="1"/>
  <c r="J80" i="196" s="1"/>
  <c r="K105" i="196"/>
  <c r="L105" i="196"/>
  <c r="M105" i="196"/>
  <c r="N105" i="196"/>
  <c r="O105" i="196"/>
  <c r="P105" i="196"/>
  <c r="Q105" i="196"/>
  <c r="Q104" i="196" s="1"/>
  <c r="Q80" i="196" s="1"/>
  <c r="R105" i="196"/>
  <c r="R104" i="196" s="1"/>
  <c r="R80" i="196" s="1"/>
  <c r="S105" i="196"/>
  <c r="T105" i="196"/>
  <c r="I106" i="196"/>
  <c r="J106" i="196"/>
  <c r="K106" i="196"/>
  <c r="L106" i="196"/>
  <c r="M106" i="196"/>
  <c r="M104" i="196" s="1"/>
  <c r="M80" i="196" s="1"/>
  <c r="N106" i="196"/>
  <c r="N104" i="196" s="1"/>
  <c r="N80" i="196" s="1"/>
  <c r="O106" i="196"/>
  <c r="P106" i="196"/>
  <c r="Q106" i="196"/>
  <c r="R106" i="196"/>
  <c r="S106" i="196"/>
  <c r="T106" i="196"/>
  <c r="I107" i="196"/>
  <c r="J107" i="196"/>
  <c r="K107" i="196"/>
  <c r="L107" i="196"/>
  <c r="M107" i="196"/>
  <c r="N107" i="196"/>
  <c r="O107" i="196"/>
  <c r="P107" i="196"/>
  <c r="Q107" i="196"/>
  <c r="R107" i="196"/>
  <c r="S107" i="196"/>
  <c r="T107" i="196"/>
  <c r="I108" i="196"/>
  <c r="J108" i="196"/>
  <c r="K108" i="196"/>
  <c r="L108" i="196"/>
  <c r="M108" i="196"/>
  <c r="N108" i="196"/>
  <c r="O108" i="196"/>
  <c r="P108" i="196"/>
  <c r="Q108" i="196"/>
  <c r="R108" i="196"/>
  <c r="S108" i="196"/>
  <c r="T108" i="196"/>
  <c r="I109" i="196"/>
  <c r="J109" i="196"/>
  <c r="K109" i="196"/>
  <c r="L109" i="196"/>
  <c r="M109" i="196"/>
  <c r="N109" i="196"/>
  <c r="O109" i="196"/>
  <c r="P109" i="196"/>
  <c r="Q109" i="196"/>
  <c r="R109" i="196"/>
  <c r="S109" i="196"/>
  <c r="T109" i="196"/>
  <c r="I110" i="196"/>
  <c r="J110" i="196"/>
  <c r="K110" i="196"/>
  <c r="L110" i="196"/>
  <c r="M110" i="196"/>
  <c r="N110" i="196"/>
  <c r="O110" i="196"/>
  <c r="P110" i="196"/>
  <c r="Q110" i="196"/>
  <c r="R110" i="196"/>
  <c r="S110" i="196"/>
  <c r="T110" i="196"/>
  <c r="I112" i="196"/>
  <c r="J112" i="196"/>
  <c r="K112" i="196"/>
  <c r="L112" i="196"/>
  <c r="M112" i="196"/>
  <c r="M111" i="196" s="1"/>
  <c r="M81" i="196" s="1"/>
  <c r="N112" i="196"/>
  <c r="N111" i="196" s="1"/>
  <c r="N81" i="196" s="1"/>
  <c r="O112" i="196"/>
  <c r="P112" i="196"/>
  <c r="Q112" i="196"/>
  <c r="R112" i="196"/>
  <c r="S112" i="196"/>
  <c r="T112" i="196"/>
  <c r="I113" i="196"/>
  <c r="I111" i="196" s="1"/>
  <c r="I81" i="196" s="1"/>
  <c r="J113" i="196"/>
  <c r="J111" i="196" s="1"/>
  <c r="J81" i="196" s="1"/>
  <c r="K113" i="196"/>
  <c r="K111" i="196" s="1"/>
  <c r="K81" i="196" s="1"/>
  <c r="L113" i="196"/>
  <c r="L111" i="196" s="1"/>
  <c r="L81" i="196" s="1"/>
  <c r="M113" i="196"/>
  <c r="N113" i="196"/>
  <c r="O113" i="196"/>
  <c r="P113" i="196"/>
  <c r="Q113" i="196"/>
  <c r="Q111" i="196" s="1"/>
  <c r="Q81" i="196" s="1"/>
  <c r="R113" i="196"/>
  <c r="R111" i="196" s="1"/>
  <c r="R81" i="196" s="1"/>
  <c r="S113" i="196"/>
  <c r="S111" i="196" s="1"/>
  <c r="S81" i="196" s="1"/>
  <c r="T113" i="196"/>
  <c r="T111" i="196" s="1"/>
  <c r="T81" i="196" s="1"/>
  <c r="I114" i="196"/>
  <c r="J114" i="196"/>
  <c r="K114" i="196"/>
  <c r="L114" i="196"/>
  <c r="M114" i="196"/>
  <c r="N114" i="196"/>
  <c r="O114" i="196"/>
  <c r="P114" i="196"/>
  <c r="Q114" i="196"/>
  <c r="R114" i="196"/>
  <c r="S114" i="196"/>
  <c r="T114" i="196"/>
  <c r="I115" i="196"/>
  <c r="J115" i="196"/>
  <c r="K115" i="196"/>
  <c r="L115" i="196"/>
  <c r="M115" i="196"/>
  <c r="N115" i="196"/>
  <c r="O115" i="196"/>
  <c r="P115" i="196"/>
  <c r="Q115" i="196"/>
  <c r="R115" i="196"/>
  <c r="S115" i="196"/>
  <c r="T115" i="196"/>
  <c r="O116" i="196"/>
  <c r="O82" i="196" s="1"/>
  <c r="P116" i="196"/>
  <c r="P82" i="196" s="1"/>
  <c r="I117" i="196"/>
  <c r="I116" i="196" s="1"/>
  <c r="I82" i="196" s="1"/>
  <c r="J117" i="196"/>
  <c r="J116" i="196" s="1"/>
  <c r="J82" i="196" s="1"/>
  <c r="K117" i="196"/>
  <c r="L117" i="196"/>
  <c r="M117" i="196"/>
  <c r="N117" i="196"/>
  <c r="O117" i="196"/>
  <c r="P117" i="196"/>
  <c r="Q117" i="196"/>
  <c r="Q116" i="196" s="1"/>
  <c r="Q82" i="196" s="1"/>
  <c r="R117" i="196"/>
  <c r="R116" i="196" s="1"/>
  <c r="R82" i="196" s="1"/>
  <c r="S117" i="196"/>
  <c r="T117" i="196"/>
  <c r="I118" i="196"/>
  <c r="J118" i="196"/>
  <c r="K118" i="196"/>
  <c r="L118" i="196"/>
  <c r="M118" i="196"/>
  <c r="M116" i="196" s="1"/>
  <c r="M82" i="196" s="1"/>
  <c r="N118" i="196"/>
  <c r="N116" i="196" s="1"/>
  <c r="N82" i="196" s="1"/>
  <c r="O118" i="196"/>
  <c r="P118" i="196"/>
  <c r="Q118" i="196"/>
  <c r="R118" i="196"/>
  <c r="S118" i="196"/>
  <c r="T118" i="196"/>
  <c r="I119" i="196"/>
  <c r="J119" i="196"/>
  <c r="K119" i="196"/>
  <c r="L119" i="196"/>
  <c r="M119" i="196"/>
  <c r="N119" i="196"/>
  <c r="O119" i="196"/>
  <c r="P119" i="196"/>
  <c r="Q119" i="196"/>
  <c r="R119" i="196"/>
  <c r="S119" i="196"/>
  <c r="T119" i="196"/>
  <c r="I120" i="196"/>
  <c r="J120" i="196"/>
  <c r="K120" i="196"/>
  <c r="L120" i="196"/>
  <c r="M120" i="196"/>
  <c r="N120" i="196"/>
  <c r="O120" i="196"/>
  <c r="P120" i="196"/>
  <c r="Q120" i="196"/>
  <c r="R120" i="196"/>
  <c r="S120" i="196"/>
  <c r="T120" i="196"/>
  <c r="I121" i="196"/>
  <c r="J121" i="196"/>
  <c r="K121" i="196"/>
  <c r="L121" i="196"/>
  <c r="M121" i="196"/>
  <c r="N121" i="196"/>
  <c r="O121" i="196"/>
  <c r="P121" i="196"/>
  <c r="Q121" i="196"/>
  <c r="R121" i="196"/>
  <c r="S121" i="196"/>
  <c r="T121" i="196"/>
  <c r="I122" i="196"/>
  <c r="J122" i="196"/>
  <c r="K122" i="196"/>
  <c r="L122" i="196"/>
  <c r="M122" i="196"/>
  <c r="N122" i="196"/>
  <c r="O122" i="196"/>
  <c r="P122" i="196"/>
  <c r="Q122" i="196"/>
  <c r="R122" i="196"/>
  <c r="S122" i="196"/>
  <c r="T122" i="196"/>
  <c r="I123" i="196"/>
  <c r="J123" i="196"/>
  <c r="K123" i="196"/>
  <c r="L123" i="196"/>
  <c r="M123" i="196"/>
  <c r="N123" i="196"/>
  <c r="O123" i="196"/>
  <c r="P123" i="196"/>
  <c r="Q123" i="196"/>
  <c r="R123" i="196"/>
  <c r="S123" i="196"/>
  <c r="T123" i="196"/>
  <c r="I125" i="196"/>
  <c r="I124" i="196" s="1"/>
  <c r="I83" i="196" s="1"/>
  <c r="J125" i="196"/>
  <c r="J124" i="196" s="1"/>
  <c r="J83" i="196" s="1"/>
  <c r="K125" i="196"/>
  <c r="L125" i="196"/>
  <c r="M125" i="196"/>
  <c r="N125" i="196"/>
  <c r="O125" i="196"/>
  <c r="P125" i="196"/>
  <c r="Q125" i="196"/>
  <c r="Q124" i="196" s="1"/>
  <c r="Q83" i="196" s="1"/>
  <c r="R125" i="196"/>
  <c r="R124" i="196" s="1"/>
  <c r="R83" i="196" s="1"/>
  <c r="S125" i="196"/>
  <c r="T125" i="196"/>
  <c r="I126" i="196"/>
  <c r="J126" i="196"/>
  <c r="K126" i="196"/>
  <c r="L126" i="196"/>
  <c r="M126" i="196"/>
  <c r="M124" i="196" s="1"/>
  <c r="M83" i="196" s="1"/>
  <c r="N126" i="196"/>
  <c r="N124" i="196" s="1"/>
  <c r="N83" i="196" s="1"/>
  <c r="O126" i="196"/>
  <c r="O124" i="196" s="1"/>
  <c r="O83" i="196" s="1"/>
  <c r="P126" i="196"/>
  <c r="P124" i="196" s="1"/>
  <c r="P83" i="196" s="1"/>
  <c r="Q126" i="196"/>
  <c r="R126" i="196"/>
  <c r="S126" i="196"/>
  <c r="T126" i="196"/>
  <c r="I127" i="196"/>
  <c r="J127" i="196"/>
  <c r="K127" i="196"/>
  <c r="L127" i="196"/>
  <c r="M127" i="196"/>
  <c r="N127" i="196"/>
  <c r="O127" i="196"/>
  <c r="P127" i="196"/>
  <c r="Q127" i="196"/>
  <c r="R127" i="196"/>
  <c r="S127" i="196"/>
  <c r="T127" i="196"/>
  <c r="I128" i="196"/>
  <c r="J128" i="196"/>
  <c r="K128" i="196"/>
  <c r="L128" i="196"/>
  <c r="M128" i="196"/>
  <c r="N128" i="196"/>
  <c r="O128" i="196"/>
  <c r="P128" i="196"/>
  <c r="Q128" i="196"/>
  <c r="R128" i="196"/>
  <c r="S128" i="196"/>
  <c r="T128" i="196"/>
  <c r="I129" i="196"/>
  <c r="J129" i="196"/>
  <c r="K129" i="196"/>
  <c r="L129" i="196"/>
  <c r="M129" i="196"/>
  <c r="N129" i="196"/>
  <c r="O129" i="196"/>
  <c r="P129" i="196"/>
  <c r="Q129" i="196"/>
  <c r="R129" i="196"/>
  <c r="S129" i="196"/>
  <c r="T129" i="196"/>
  <c r="I131" i="196"/>
  <c r="I130" i="196" s="1"/>
  <c r="I84" i="196" s="1"/>
  <c r="J131" i="196"/>
  <c r="J130" i="196" s="1"/>
  <c r="J84" i="196" s="1"/>
  <c r="K131" i="196"/>
  <c r="K130" i="196" s="1"/>
  <c r="K84" i="196" s="1"/>
  <c r="L131" i="196"/>
  <c r="L130" i="196" s="1"/>
  <c r="L84" i="196" s="1"/>
  <c r="M131" i="196"/>
  <c r="N131" i="196"/>
  <c r="O131" i="196"/>
  <c r="P131" i="196"/>
  <c r="Q131" i="196"/>
  <c r="Q130" i="196" s="1"/>
  <c r="Q84" i="196" s="1"/>
  <c r="R131" i="196"/>
  <c r="R130" i="196" s="1"/>
  <c r="R84" i="196" s="1"/>
  <c r="S131" i="196"/>
  <c r="S130" i="196" s="1"/>
  <c r="S84" i="196" s="1"/>
  <c r="T131" i="196"/>
  <c r="T130" i="196" s="1"/>
  <c r="T84" i="196" s="1"/>
  <c r="I132" i="196"/>
  <c r="J132" i="196"/>
  <c r="K132" i="196"/>
  <c r="L132" i="196"/>
  <c r="M132" i="196"/>
  <c r="M130" i="196" s="1"/>
  <c r="M84" i="196" s="1"/>
  <c r="N132" i="196"/>
  <c r="N130" i="196" s="1"/>
  <c r="N84" i="196" s="1"/>
  <c r="O132" i="196"/>
  <c r="O130" i="196" s="1"/>
  <c r="O84" i="196" s="1"/>
  <c r="P132" i="196"/>
  <c r="P130" i="196" s="1"/>
  <c r="P84" i="196" s="1"/>
  <c r="Q132" i="196"/>
  <c r="R132" i="196"/>
  <c r="S132" i="196"/>
  <c r="T132" i="196"/>
  <c r="I134" i="196"/>
  <c r="J134" i="196"/>
  <c r="K134" i="196"/>
  <c r="L134" i="196"/>
  <c r="M134" i="196"/>
  <c r="M133" i="196" s="1"/>
  <c r="M85" i="196" s="1"/>
  <c r="N134" i="196"/>
  <c r="N133" i="196" s="1"/>
  <c r="N85" i="196" s="1"/>
  <c r="O134" i="196"/>
  <c r="P134" i="196"/>
  <c r="Q134" i="196"/>
  <c r="R134" i="196"/>
  <c r="S134" i="196"/>
  <c r="T134" i="196"/>
  <c r="I135" i="196"/>
  <c r="I133" i="196" s="1"/>
  <c r="I85" i="196" s="1"/>
  <c r="J135" i="196"/>
  <c r="J133" i="196" s="1"/>
  <c r="J85" i="196" s="1"/>
  <c r="K135" i="196"/>
  <c r="K133" i="196" s="1"/>
  <c r="K85" i="196" s="1"/>
  <c r="L135" i="196"/>
  <c r="L133" i="196" s="1"/>
  <c r="L85" i="196" s="1"/>
  <c r="M135" i="196"/>
  <c r="N135" i="196"/>
  <c r="O135" i="196"/>
  <c r="P135" i="196"/>
  <c r="Q135" i="196"/>
  <c r="Q133" i="196" s="1"/>
  <c r="Q85" i="196" s="1"/>
  <c r="R135" i="196"/>
  <c r="R133" i="196" s="1"/>
  <c r="R85" i="196" s="1"/>
  <c r="S135" i="196"/>
  <c r="S133" i="196" s="1"/>
  <c r="S85" i="196" s="1"/>
  <c r="T135" i="196"/>
  <c r="T133" i="196" s="1"/>
  <c r="T85" i="196" s="1"/>
  <c r="I136" i="196"/>
  <c r="J136" i="196"/>
  <c r="K136" i="196"/>
  <c r="L136" i="196"/>
  <c r="M136" i="196"/>
  <c r="N136" i="196"/>
  <c r="O136" i="196"/>
  <c r="P136" i="196"/>
  <c r="Q136" i="196"/>
  <c r="R136" i="196"/>
  <c r="S136" i="196"/>
  <c r="T136" i="196"/>
  <c r="F1" i="194"/>
  <c r="F1" i="192"/>
  <c r="F1" i="191"/>
  <c r="F1" i="190"/>
  <c r="F1" i="189"/>
  <c r="F1" i="188"/>
  <c r="F1" i="187"/>
  <c r="F1" i="186"/>
  <c r="F1" i="185"/>
  <c r="F1" i="178"/>
  <c r="F1" i="177"/>
  <c r="F1" i="170"/>
  <c r="Z43" i="92"/>
  <c r="AD6" i="92"/>
  <c r="AE6" i="92"/>
  <c r="AF6" i="92"/>
  <c r="AG6" i="92"/>
  <c r="AH6" i="92"/>
  <c r="AI6" i="92"/>
  <c r="AJ6" i="92"/>
  <c r="AK6" i="92"/>
  <c r="AK22" i="92"/>
  <c r="AD29" i="92"/>
  <c r="AE29" i="92"/>
  <c r="AF29" i="92"/>
  <c r="AG29" i="92"/>
  <c r="AH29" i="92"/>
  <c r="AI29" i="92"/>
  <c r="AJ29" i="92"/>
  <c r="AK29" i="92"/>
  <c r="AD30" i="92"/>
  <c r="AE30" i="92"/>
  <c r="AF30" i="92"/>
  <c r="AG30" i="92"/>
  <c r="AH30" i="92"/>
  <c r="AI30" i="92"/>
  <c r="AJ30" i="92"/>
  <c r="AK30" i="92"/>
  <c r="AD31" i="92"/>
  <c r="AE31" i="92"/>
  <c r="AF31" i="92"/>
  <c r="AG31" i="92"/>
  <c r="AH31" i="92"/>
  <c r="AI31" i="92"/>
  <c r="AJ31" i="92"/>
  <c r="AK31" i="92"/>
  <c r="AD36" i="92"/>
  <c r="AE36" i="92"/>
  <c r="AF36" i="92"/>
  <c r="AG36" i="92"/>
  <c r="AH36" i="92"/>
  <c r="AI36" i="92"/>
  <c r="AJ36" i="92"/>
  <c r="AK36" i="92"/>
  <c r="AD37" i="92"/>
  <c r="AE37" i="92"/>
  <c r="AF37" i="92"/>
  <c r="AG37" i="92"/>
  <c r="AH37" i="92"/>
  <c r="AI37" i="92"/>
  <c r="AJ37" i="92"/>
  <c r="AK37" i="92"/>
  <c r="AD39" i="92"/>
  <c r="AE39" i="92"/>
  <c r="AF39" i="92"/>
  <c r="AG39" i="92"/>
  <c r="AH39" i="92"/>
  <c r="AI39" i="92"/>
  <c r="AJ39" i="92"/>
  <c r="AK39" i="92"/>
  <c r="AD40" i="92"/>
  <c r="AE40" i="92"/>
  <c r="AF40" i="92"/>
  <c r="AG40" i="92"/>
  <c r="AH40" i="92"/>
  <c r="AI40" i="92"/>
  <c r="AJ40" i="92"/>
  <c r="AK40" i="92"/>
  <c r="AD43" i="92"/>
  <c r="AK44" i="92"/>
  <c r="AT44" i="92"/>
  <c r="AT39" i="92"/>
  <c r="AT40" i="92"/>
  <c r="AT29" i="92"/>
  <c r="AT30" i="92"/>
  <c r="AT31" i="92"/>
  <c r="AT22" i="92"/>
  <c r="AT6" i="92"/>
  <c r="P28" i="197"/>
  <c r="P23" i="197"/>
  <c r="C172" i="179"/>
  <c r="C172" i="169"/>
  <c r="O15" i="213"/>
  <c r="AS63" i="86"/>
  <c r="AS60" i="86"/>
  <c r="AS54" i="86"/>
  <c r="AS46" i="86"/>
  <c r="AS41" i="86"/>
  <c r="AS34" i="86"/>
  <c r="AS28" i="86"/>
  <c r="AS22" i="86"/>
  <c r="AS18" i="86"/>
  <c r="AS8" i="86"/>
  <c r="BJ5" i="156" l="1"/>
  <c r="BH3" i="156"/>
  <c r="BJ3" i="156" s="1"/>
  <c r="AH44" i="92"/>
  <c r="AP44" i="92" s="1"/>
  <c r="AG44" i="92"/>
  <c r="AI44" i="92"/>
  <c r="AL18" i="123"/>
  <c r="HN6" i="129"/>
  <c r="HM6" i="129"/>
  <c r="X86" i="120"/>
  <c r="AN12" i="122"/>
  <c r="AN5" i="122" s="1"/>
  <c r="X99" i="120"/>
  <c r="X80" i="120"/>
  <c r="X74" i="120" s="1"/>
  <c r="AN9" i="122"/>
  <c r="X104" i="120"/>
  <c r="X92" i="120"/>
  <c r="AO5" i="116"/>
  <c r="AO4" i="116" s="1"/>
  <c r="L124" i="196"/>
  <c r="L83" i="196" s="1"/>
  <c r="T92" i="196"/>
  <c r="T78" i="196" s="1"/>
  <c r="S124" i="196"/>
  <c r="S83" i="196" s="1"/>
  <c r="K92" i="196"/>
  <c r="K78" i="196" s="1"/>
  <c r="L98" i="196"/>
  <c r="L79" i="196" s="1"/>
  <c r="N75" i="196"/>
  <c r="K98" i="196"/>
  <c r="K79" i="196" s="1"/>
  <c r="L104" i="196"/>
  <c r="L80" i="196" s="1"/>
  <c r="K104" i="196"/>
  <c r="K80" i="196" s="1"/>
  <c r="T116" i="196"/>
  <c r="T82" i="196" s="1"/>
  <c r="L116" i="196"/>
  <c r="L82" i="196" s="1"/>
  <c r="T88" i="196"/>
  <c r="T77" i="196" s="1"/>
  <c r="T75" i="196" s="1"/>
  <c r="L88" i="196"/>
  <c r="L77" i="196" s="1"/>
  <c r="L75" i="196" s="1"/>
  <c r="R75" i="196"/>
  <c r="J75" i="196"/>
  <c r="I75" i="196"/>
  <c r="T124" i="196"/>
  <c r="T83" i="196" s="1"/>
  <c r="L92" i="196"/>
  <c r="L78" i="196" s="1"/>
  <c r="K124" i="196"/>
  <c r="K83" i="196" s="1"/>
  <c r="S92" i="196"/>
  <c r="S78" i="196" s="1"/>
  <c r="O75" i="196"/>
  <c r="P133" i="196"/>
  <c r="P85" i="196" s="1"/>
  <c r="T98" i="196"/>
  <c r="T79" i="196" s="1"/>
  <c r="O133" i="196"/>
  <c r="O85" i="196" s="1"/>
  <c r="S98" i="196"/>
  <c r="S79" i="196" s="1"/>
  <c r="M75" i="196"/>
  <c r="S75" i="196"/>
  <c r="P111" i="196"/>
  <c r="P81" i="196" s="1"/>
  <c r="P75" i="196" s="1"/>
  <c r="T104" i="196"/>
  <c r="T80" i="196" s="1"/>
  <c r="O111" i="196"/>
  <c r="O81" i="196" s="1"/>
  <c r="S104" i="196"/>
  <c r="S80" i="196" s="1"/>
  <c r="S116" i="196"/>
  <c r="S82" i="196" s="1"/>
  <c r="K116" i="196"/>
  <c r="K82" i="196" s="1"/>
  <c r="S88" i="196"/>
  <c r="S77" i="196" s="1"/>
  <c r="K88" i="196"/>
  <c r="K77" i="196" s="1"/>
  <c r="K75" i="196" s="1"/>
  <c r="Q75" i="196"/>
  <c r="AJ44" i="92"/>
  <c r="AF44" i="92"/>
  <c r="AE44" i="92"/>
  <c r="AM40" i="92"/>
  <c r="AL40" i="92"/>
  <c r="AM39" i="92"/>
  <c r="AL39" i="92"/>
  <c r="AM37" i="92"/>
  <c r="AL37" i="92"/>
  <c r="AO37" i="92"/>
  <c r="AM36" i="92"/>
  <c r="AL36" i="92"/>
  <c r="AO36" i="92"/>
  <c r="AM31" i="92"/>
  <c r="AL31" i="92"/>
  <c r="AM30" i="92"/>
  <c r="AL30" i="92"/>
  <c r="AM29" i="92"/>
  <c r="AL29" i="92"/>
  <c r="AM22" i="92"/>
  <c r="AL22" i="92"/>
  <c r="AM6" i="92"/>
  <c r="AM44" i="92" s="1"/>
  <c r="AL6" i="92"/>
  <c r="AL44" i="92" s="1"/>
  <c r="R77" i="204"/>
  <c r="S77" i="204"/>
  <c r="R78" i="204"/>
  <c r="S78" i="204"/>
  <c r="AB19" i="176"/>
  <c r="AB23" i="176"/>
  <c r="AJ20" i="176"/>
  <c r="AJ21" i="176"/>
  <c r="AJ5" i="176"/>
  <c r="AJ6" i="176"/>
  <c r="AJ7" i="176"/>
  <c r="AJ8" i="176"/>
  <c r="AJ9" i="176"/>
  <c r="AJ10" i="176"/>
  <c r="AJ12" i="176"/>
  <c r="AJ15" i="176"/>
  <c r="AJ17" i="176"/>
  <c r="HC19" i="129"/>
  <c r="HC20" i="129"/>
  <c r="HC21" i="129"/>
  <c r="HC22" i="129"/>
  <c r="HC23" i="129"/>
  <c r="HC24" i="129"/>
  <c r="HC25" i="129"/>
  <c r="HC26" i="129"/>
  <c r="HC27" i="129"/>
  <c r="HC28" i="129"/>
  <c r="HC29" i="129"/>
  <c r="HC30" i="129"/>
  <c r="HC31" i="129"/>
  <c r="HC32" i="129"/>
  <c r="HC33" i="129"/>
  <c r="HC34" i="129"/>
  <c r="HC35" i="129"/>
  <c r="HC36" i="129"/>
  <c r="HC37" i="129"/>
  <c r="HC38" i="129"/>
  <c r="HC39" i="129"/>
  <c r="HC40" i="129"/>
  <c r="HC41" i="129"/>
  <c r="HC42" i="129"/>
  <c r="HC43" i="129"/>
  <c r="HC44" i="129"/>
  <c r="HC45" i="129"/>
  <c r="HC46" i="129"/>
  <c r="HC47" i="129"/>
  <c r="HC48" i="129"/>
  <c r="HC49" i="129"/>
  <c r="HC50" i="129"/>
  <c r="HC51" i="129"/>
  <c r="HC52" i="129"/>
  <c r="HC53" i="129"/>
  <c r="HC54" i="129"/>
  <c r="HC55" i="129"/>
  <c r="HC56" i="129"/>
  <c r="HC57" i="129"/>
  <c r="HC58" i="129"/>
  <c r="HC59" i="129"/>
  <c r="HC60" i="129"/>
  <c r="HC61" i="129"/>
  <c r="HC62" i="129"/>
  <c r="HC63" i="129"/>
  <c r="HC64" i="129"/>
  <c r="HC65" i="129"/>
  <c r="HC66" i="129"/>
  <c r="HC67" i="129"/>
  <c r="HC18" i="129"/>
  <c r="C171" i="169"/>
  <c r="C171" i="179"/>
  <c r="AR8" i="86"/>
  <c r="AR18" i="86"/>
  <c r="AR22" i="86"/>
  <c r="AR28" i="86"/>
  <c r="AR34" i="86"/>
  <c r="AR41" i="86"/>
  <c r="AR46" i="86"/>
  <c r="AR54" i="86"/>
  <c r="AN128" i="114"/>
  <c r="AN12" i="114" s="1"/>
  <c r="AN129" i="114"/>
  <c r="AN13" i="114" s="1"/>
  <c r="AN136" i="114"/>
  <c r="AN20" i="114" s="1"/>
  <c r="AN137" i="114"/>
  <c r="AN21" i="114" s="1"/>
  <c r="AN144" i="114"/>
  <c r="AN28" i="114" s="1"/>
  <c r="AN152" i="114"/>
  <c r="AN36" i="114" s="1"/>
  <c r="AN153" i="114"/>
  <c r="AN37" i="114" s="1"/>
  <c r="AN160" i="114"/>
  <c r="AN44" i="114" s="1"/>
  <c r="AN161" i="114"/>
  <c r="AN45" i="114" s="1"/>
  <c r="AN169" i="114"/>
  <c r="AN53" i="114" s="1"/>
  <c r="AN124" i="114"/>
  <c r="AN8" i="114" s="1"/>
  <c r="AN125" i="114"/>
  <c r="AN9" i="114" s="1"/>
  <c r="AN130" i="114"/>
  <c r="AN14" i="114" s="1"/>
  <c r="AN131" i="114"/>
  <c r="AN15" i="114" s="1"/>
  <c r="AN134" i="114"/>
  <c r="AN18" i="114" s="1"/>
  <c r="AN135" i="114"/>
  <c r="AN19" i="114" s="1"/>
  <c r="AN140" i="114"/>
  <c r="AN24" i="114" s="1"/>
  <c r="AN141" i="114"/>
  <c r="AN25" i="114" s="1"/>
  <c r="AN142" i="114"/>
  <c r="AN26" i="114" s="1"/>
  <c r="AN143" i="114"/>
  <c r="AN27" i="114" s="1"/>
  <c r="AN147" i="114"/>
  <c r="AN31" i="114" s="1"/>
  <c r="AN148" i="114"/>
  <c r="AN32" i="114" s="1"/>
  <c r="AN149" i="114"/>
  <c r="AN33" i="114" s="1"/>
  <c r="AN154" i="114"/>
  <c r="AN38" i="114" s="1"/>
  <c r="AN155" i="114"/>
  <c r="AN39" i="114" s="1"/>
  <c r="AN156" i="114"/>
  <c r="AN40" i="114" s="1"/>
  <c r="AN157" i="114"/>
  <c r="AN41" i="114" s="1"/>
  <c r="AN162" i="114"/>
  <c r="AN46" i="114" s="1"/>
  <c r="AN163" i="114"/>
  <c r="AN47" i="114" s="1"/>
  <c r="AN170" i="114"/>
  <c r="AN54" i="114" s="1"/>
  <c r="AL7" i="123" l="1"/>
  <c r="AL17" i="123"/>
  <c r="AN167" i="114"/>
  <c r="AN168" i="114"/>
  <c r="AN52" i="114" s="1"/>
  <c r="AN51" i="114" s="1"/>
  <c r="AN158" i="114"/>
  <c r="AN159" i="114"/>
  <c r="AN43" i="114" s="1"/>
  <c r="AN42" i="114" s="1"/>
  <c r="AN121" i="114"/>
  <c r="AN5" i="114" s="1"/>
  <c r="AN145" i="114"/>
  <c r="AN146" i="114"/>
  <c r="AN30" i="114" s="1"/>
  <c r="AN29" i="114" s="1"/>
  <c r="AN166" i="114"/>
  <c r="AN50" i="114" s="1"/>
  <c r="AN126" i="114"/>
  <c r="AN127" i="114"/>
  <c r="AN11" i="114" s="1"/>
  <c r="AN10" i="114" s="1"/>
  <c r="AN132" i="114"/>
  <c r="AN133" i="114"/>
  <c r="AN17" i="114" s="1"/>
  <c r="AN16" i="114" s="1"/>
  <c r="AN164" i="114"/>
  <c r="AN165" i="114"/>
  <c r="AN49" i="114" s="1"/>
  <c r="AN150" i="114"/>
  <c r="AN151" i="114"/>
  <c r="AN35" i="114" s="1"/>
  <c r="AN34" i="114" s="1"/>
  <c r="AN138" i="114"/>
  <c r="AN139" i="114"/>
  <c r="AN23" i="114" s="1"/>
  <c r="AN22" i="114" s="1"/>
  <c r="T77" i="204"/>
  <c r="AA36" i="92"/>
  <c r="AA37" i="92"/>
  <c r="T78" i="204"/>
  <c r="BL54" i="156"/>
  <c r="BL53" i="156"/>
  <c r="BL52" i="156"/>
  <c r="BL51" i="156"/>
  <c r="BL50" i="156"/>
  <c r="BL10" i="156" s="1"/>
  <c r="BL49" i="156"/>
  <c r="BL48" i="156"/>
  <c r="BL47" i="156"/>
  <c r="BL46" i="156"/>
  <c r="BL45" i="156"/>
  <c r="BL44" i="156"/>
  <c r="BL43" i="156"/>
  <c r="BL42" i="156"/>
  <c r="BL41" i="156"/>
  <c r="BL40" i="156"/>
  <c r="BL39" i="156"/>
  <c r="BL38" i="156"/>
  <c r="BL37" i="156"/>
  <c r="BL36" i="156"/>
  <c r="BL12" i="156" s="1"/>
  <c r="BL35" i="156"/>
  <c r="BL34" i="156"/>
  <c r="BL33" i="156"/>
  <c r="BL32" i="156"/>
  <c r="BL31" i="156"/>
  <c r="BL30" i="156"/>
  <c r="BL29" i="156"/>
  <c r="BL28" i="156"/>
  <c r="BL27" i="156"/>
  <c r="BL26" i="156"/>
  <c r="BL25" i="156"/>
  <c r="BL24" i="156"/>
  <c r="BL23" i="156"/>
  <c r="BL11" i="156" s="1"/>
  <c r="BL22" i="156"/>
  <c r="BL21" i="156"/>
  <c r="BL6" i="156" s="1"/>
  <c r="BL20" i="156"/>
  <c r="BL19" i="156"/>
  <c r="BL13" i="156" s="1"/>
  <c r="BL18" i="156"/>
  <c r="BL17" i="156"/>
  <c r="BL7" i="156" s="1"/>
  <c r="BL16" i="156"/>
  <c r="BL5" i="156" s="1"/>
  <c r="BL15" i="156"/>
  <c r="BL9" i="156" s="1"/>
  <c r="BL14" i="156"/>
  <c r="BL8" i="156"/>
  <c r="BL4" i="156"/>
  <c r="AN122" i="114" l="1"/>
  <c r="AN123" i="114"/>
  <c r="AN7" i="114" s="1"/>
  <c r="AN48" i="114"/>
  <c r="BL3" i="156"/>
  <c r="AN6" i="114" l="1"/>
  <c r="AN4" i="114" s="1"/>
  <c r="AM11" i="122"/>
  <c r="AM17" i="122"/>
  <c r="AM6" i="122" s="1"/>
  <c r="AM18" i="122"/>
  <c r="W100" i="120" s="1"/>
  <c r="AM19" i="122"/>
  <c r="AM7" i="122" s="1"/>
  <c r="AM20" i="122"/>
  <c r="AM9" i="122" s="1"/>
  <c r="AM21" i="122"/>
  <c r="AM22" i="122"/>
  <c r="AM23" i="122"/>
  <c r="AM24" i="122"/>
  <c r="AM25" i="122"/>
  <c r="AM26" i="122"/>
  <c r="AM13" i="122" s="1"/>
  <c r="AM27" i="122"/>
  <c r="AM28" i="122"/>
  <c r="AM29" i="122"/>
  <c r="AM10" i="122" s="1"/>
  <c r="AM30" i="122"/>
  <c r="AM31" i="122"/>
  <c r="AM32" i="122"/>
  <c r="AM33" i="122"/>
  <c r="AM8" i="122" s="1"/>
  <c r="AM34" i="122"/>
  <c r="AM35" i="122"/>
  <c r="W84" i="120" s="1"/>
  <c r="AM36" i="122"/>
  <c r="AM37" i="122"/>
  <c r="AM14" i="122" s="1"/>
  <c r="AM38" i="122"/>
  <c r="AM39" i="122"/>
  <c r="AM40" i="122"/>
  <c r="AM15" i="122" s="1"/>
  <c r="AM41" i="122"/>
  <c r="AM42" i="122"/>
  <c r="AM43" i="122"/>
  <c r="AM44" i="122"/>
  <c r="AM45" i="122"/>
  <c r="W108" i="120" s="1"/>
  <c r="AM46" i="122"/>
  <c r="AM47" i="122"/>
  <c r="AM48" i="122"/>
  <c r="AM49" i="122"/>
  <c r="W91" i="120" s="1"/>
  <c r="AM50" i="122"/>
  <c r="W101" i="120" s="1"/>
  <c r="AM51" i="122"/>
  <c r="W102" i="120" s="1"/>
  <c r="AM52" i="122"/>
  <c r="W103" i="120" s="1"/>
  <c r="AM53" i="122"/>
  <c r="W109" i="120" s="1"/>
  <c r="AM54" i="122"/>
  <c r="AM55" i="122"/>
  <c r="AM56" i="122"/>
  <c r="AM57" i="122"/>
  <c r="W117" i="120" s="1"/>
  <c r="V64" i="187"/>
  <c r="V56" i="187"/>
  <c r="V55" i="187"/>
  <c r="V46" i="187"/>
  <c r="V45" i="187"/>
  <c r="V40" i="187"/>
  <c r="R38" i="187"/>
  <c r="V31" i="187"/>
  <c r="V29" i="187"/>
  <c r="V22" i="187"/>
  <c r="I67" i="187"/>
  <c r="I69" i="187" s="1"/>
  <c r="W77" i="121"/>
  <c r="W78" i="121"/>
  <c r="W79" i="121"/>
  <c r="W80" i="121"/>
  <c r="W80" i="124" s="1"/>
  <c r="W81" i="121"/>
  <c r="W82" i="121"/>
  <c r="W83" i="121"/>
  <c r="W83" i="124" s="1"/>
  <c r="W84" i="121"/>
  <c r="W85" i="121"/>
  <c r="W86" i="121"/>
  <c r="W87" i="121"/>
  <c r="W88" i="121"/>
  <c r="W88" i="124" s="1"/>
  <c r="W89" i="121"/>
  <c r="W90" i="121"/>
  <c r="W91" i="121"/>
  <c r="W92" i="121"/>
  <c r="W92" i="124" s="1"/>
  <c r="W93" i="121"/>
  <c r="W94" i="121"/>
  <c r="W95" i="121"/>
  <c r="W96" i="121"/>
  <c r="W96" i="124" s="1"/>
  <c r="W97" i="121"/>
  <c r="W98" i="121"/>
  <c r="W99" i="121"/>
  <c r="W99" i="124" s="1"/>
  <c r="W100" i="121"/>
  <c r="W100" i="124" s="1"/>
  <c r="W101" i="121"/>
  <c r="W102" i="121"/>
  <c r="W103" i="121"/>
  <c r="W104" i="121"/>
  <c r="W105" i="121"/>
  <c r="W106" i="121"/>
  <c r="W107" i="121"/>
  <c r="W107" i="124" s="1"/>
  <c r="W108" i="121"/>
  <c r="W109" i="121"/>
  <c r="W110" i="121"/>
  <c r="W111" i="121"/>
  <c r="W112" i="121"/>
  <c r="W112" i="124" s="1"/>
  <c r="W113" i="121"/>
  <c r="W114" i="121"/>
  <c r="W114" i="124" s="1"/>
  <c r="W115" i="121"/>
  <c r="W116" i="121"/>
  <c r="W116" i="124" s="1"/>
  <c r="W117" i="121"/>
  <c r="W118" i="121"/>
  <c r="W119" i="121"/>
  <c r="W120" i="121"/>
  <c r="W120" i="124" s="1"/>
  <c r="W121" i="121"/>
  <c r="W122" i="121"/>
  <c r="W123" i="121"/>
  <c r="W124" i="121"/>
  <c r="W125" i="121"/>
  <c r="W126" i="121"/>
  <c r="W127" i="121"/>
  <c r="W128" i="121"/>
  <c r="W128" i="124" s="1"/>
  <c r="W129" i="121"/>
  <c r="W130" i="121"/>
  <c r="W131" i="121"/>
  <c r="W131" i="124" s="1"/>
  <c r="W132" i="121"/>
  <c r="W132" i="124" s="1"/>
  <c r="W133" i="121"/>
  <c r="W134" i="121"/>
  <c r="W135" i="121"/>
  <c r="W136" i="121"/>
  <c r="W136" i="124" s="1"/>
  <c r="W137" i="121"/>
  <c r="W76" i="121"/>
  <c r="W81" i="124"/>
  <c r="W82" i="124"/>
  <c r="W91" i="124"/>
  <c r="W101" i="124"/>
  <c r="W105" i="124"/>
  <c r="W106" i="124"/>
  <c r="W113" i="124"/>
  <c r="W123" i="124"/>
  <c r="W126" i="124"/>
  <c r="W133" i="124"/>
  <c r="W134" i="124"/>
  <c r="W137" i="124"/>
  <c r="W78" i="124"/>
  <c r="W86" i="124"/>
  <c r="W118" i="124"/>
  <c r="W76" i="124"/>
  <c r="W77" i="124"/>
  <c r="W79" i="124"/>
  <c r="W84" i="124"/>
  <c r="W85" i="124"/>
  <c r="W89" i="124"/>
  <c r="W93" i="124"/>
  <c r="W95" i="124"/>
  <c r="W97" i="124"/>
  <c r="W103" i="124"/>
  <c r="W108" i="124"/>
  <c r="W109" i="124"/>
  <c r="W111" i="124"/>
  <c r="W117" i="124"/>
  <c r="W119" i="124"/>
  <c r="W121" i="124"/>
  <c r="W124" i="124"/>
  <c r="W125" i="124"/>
  <c r="W127" i="124"/>
  <c r="W129" i="124"/>
  <c r="W135" i="124"/>
  <c r="O15" i="212"/>
  <c r="AM127" i="114"/>
  <c r="AM128" i="114"/>
  <c r="AM129" i="114"/>
  <c r="AM135" i="114"/>
  <c r="AM136" i="114"/>
  <c r="AM137" i="114"/>
  <c r="AM144" i="114"/>
  <c r="AM148" i="114"/>
  <c r="AM151" i="114"/>
  <c r="AM152" i="114"/>
  <c r="AM159" i="114"/>
  <c r="AM160" i="114"/>
  <c r="AM168" i="114"/>
  <c r="AM169" i="114"/>
  <c r="HC9" i="129"/>
  <c r="HE16" i="129"/>
  <c r="HC16" i="129"/>
  <c r="HE15" i="129"/>
  <c r="HC15" i="129"/>
  <c r="HE14" i="129"/>
  <c r="HC14" i="129"/>
  <c r="HE13" i="129"/>
  <c r="HC13" i="129"/>
  <c r="HE12" i="129"/>
  <c r="HC12" i="129"/>
  <c r="HE11" i="129"/>
  <c r="HC11" i="129"/>
  <c r="HE10" i="129"/>
  <c r="HC10" i="129"/>
  <c r="HE9" i="129"/>
  <c r="HE8" i="129"/>
  <c r="HC8" i="129"/>
  <c r="HE7" i="129"/>
  <c r="HC7" i="129"/>
  <c r="R76" i="204"/>
  <c r="S76" i="204"/>
  <c r="W48" i="204"/>
  <c r="W54" i="204" s="1"/>
  <c r="W17" i="110"/>
  <c r="AN17" i="116"/>
  <c r="AN6" i="116" s="1"/>
  <c r="AN19" i="116"/>
  <c r="AN18" i="116" s="1"/>
  <c r="AN7" i="116" s="1"/>
  <c r="AN20" i="116"/>
  <c r="AN21" i="116"/>
  <c r="AN23" i="116"/>
  <c r="AN24" i="116"/>
  <c r="AN25" i="116"/>
  <c r="AN26" i="116"/>
  <c r="AN22" i="116" s="1"/>
  <c r="AN8" i="116" s="1"/>
  <c r="AN27" i="116"/>
  <c r="AN29" i="116"/>
  <c r="AN28" i="116" s="1"/>
  <c r="AN9" i="116" s="1"/>
  <c r="AN30" i="116"/>
  <c r="AN31" i="116"/>
  <c r="AN32" i="116"/>
  <c r="AN33" i="116"/>
  <c r="AN35" i="116"/>
  <c r="AN34" i="116" s="1"/>
  <c r="AN10" i="116" s="1"/>
  <c r="AN36" i="116"/>
  <c r="AN37" i="116"/>
  <c r="AN38" i="116"/>
  <c r="AN39" i="116"/>
  <c r="AN40" i="116"/>
  <c r="AN42" i="116"/>
  <c r="AN41" i="116" s="1"/>
  <c r="AN11" i="116" s="1"/>
  <c r="AN43" i="116"/>
  <c r="AN44" i="116"/>
  <c r="AN45" i="116"/>
  <c r="AN47" i="116"/>
  <c r="AN46" i="116" s="1"/>
  <c r="AN12" i="116" s="1"/>
  <c r="AN48" i="116"/>
  <c r="AN49" i="116"/>
  <c r="AN50" i="116"/>
  <c r="AN51" i="116"/>
  <c r="AN52" i="116"/>
  <c r="AN53" i="116"/>
  <c r="AN55" i="116"/>
  <c r="AN56" i="116"/>
  <c r="AN57" i="116"/>
  <c r="AN58" i="116"/>
  <c r="AN54" i="116" s="1"/>
  <c r="AN13" i="116" s="1"/>
  <c r="AN59" i="116"/>
  <c r="AN61" i="116"/>
  <c r="AN60" i="116" s="1"/>
  <c r="AN14" i="116" s="1"/>
  <c r="AN62" i="116"/>
  <c r="AN64" i="116"/>
  <c r="AN63" i="116" s="1"/>
  <c r="AN15" i="116" s="1"/>
  <c r="AN65" i="116"/>
  <c r="AN66" i="116"/>
  <c r="W75" i="120"/>
  <c r="W77" i="120"/>
  <c r="W76" i="120" s="1"/>
  <c r="W78" i="120"/>
  <c r="W79" i="120"/>
  <c r="W81" i="120"/>
  <c r="W82" i="120"/>
  <c r="W83" i="120"/>
  <c r="W85" i="120"/>
  <c r="W87" i="120"/>
  <c r="W88" i="120"/>
  <c r="W89" i="120"/>
  <c r="W90" i="120"/>
  <c r="W94" i="120"/>
  <c r="W95" i="120"/>
  <c r="W96" i="120"/>
  <c r="W97" i="120"/>
  <c r="W98" i="120"/>
  <c r="W105" i="120"/>
  <c r="W106" i="120"/>
  <c r="W107" i="120"/>
  <c r="W110" i="120"/>
  <c r="W111" i="120"/>
  <c r="W113" i="120"/>
  <c r="W114" i="120"/>
  <c r="W115" i="120"/>
  <c r="W116" i="120"/>
  <c r="W120" i="120"/>
  <c r="W122" i="120"/>
  <c r="W121" i="120" s="1"/>
  <c r="W123" i="120"/>
  <c r="W124" i="120"/>
  <c r="AJ53" i="99"/>
  <c r="AJ54" i="99"/>
  <c r="AJ52" i="99"/>
  <c r="AJ50" i="99"/>
  <c r="AJ49" i="99"/>
  <c r="AJ44" i="99"/>
  <c r="AJ45" i="99"/>
  <c r="AJ46" i="99"/>
  <c r="AJ47" i="99"/>
  <c r="AJ43" i="99"/>
  <c r="AJ36" i="99"/>
  <c r="AJ37" i="99"/>
  <c r="AJ38" i="99"/>
  <c r="AJ39" i="99"/>
  <c r="AJ40" i="99"/>
  <c r="AJ41" i="99"/>
  <c r="AJ35" i="99"/>
  <c r="AJ31" i="99"/>
  <c r="AJ32" i="99"/>
  <c r="AJ33" i="99"/>
  <c r="AJ30" i="99"/>
  <c r="AJ24" i="99"/>
  <c r="AJ22" i="99" s="1"/>
  <c r="AJ25" i="99"/>
  <c r="AJ26" i="99"/>
  <c r="AJ27" i="99"/>
  <c r="AJ28" i="99"/>
  <c r="AJ23" i="99"/>
  <c r="AJ18" i="99"/>
  <c r="AJ19" i="99"/>
  <c r="AJ20" i="99"/>
  <c r="AJ21" i="99"/>
  <c r="AJ17" i="99"/>
  <c r="AJ12" i="99"/>
  <c r="AJ13" i="99"/>
  <c r="AJ14" i="99"/>
  <c r="AJ15" i="99"/>
  <c r="AJ11" i="99"/>
  <c r="AJ8" i="99"/>
  <c r="AJ9" i="99"/>
  <c r="AJ7" i="99"/>
  <c r="AJ16" i="99"/>
  <c r="AJ34" i="99"/>
  <c r="AJ48" i="99"/>
  <c r="AJ51" i="99"/>
  <c r="AJ5" i="99"/>
  <c r="AI5" i="99"/>
  <c r="AI5" i="176"/>
  <c r="AI6" i="176"/>
  <c r="AS6" i="92" s="1"/>
  <c r="AI7" i="176"/>
  <c r="AS29" i="92" s="1"/>
  <c r="AI8" i="176"/>
  <c r="AS30" i="92" s="1"/>
  <c r="AI9" i="176"/>
  <c r="AS22" i="92" s="1"/>
  <c r="AI10" i="176"/>
  <c r="AS31" i="92" s="1"/>
  <c r="AI12" i="176"/>
  <c r="AI15" i="176"/>
  <c r="AI17" i="176"/>
  <c r="AI20" i="176"/>
  <c r="AS44" i="92" s="1"/>
  <c r="AI21" i="176"/>
  <c r="BF54" i="156"/>
  <c r="BE54" i="156"/>
  <c r="BF53" i="156"/>
  <c r="BE53" i="156"/>
  <c r="BF52" i="156"/>
  <c r="BE52" i="156"/>
  <c r="BF51" i="156"/>
  <c r="BE51" i="156"/>
  <c r="BF50" i="156"/>
  <c r="BE50" i="156"/>
  <c r="BF49" i="156"/>
  <c r="BE49" i="156"/>
  <c r="BF48" i="156"/>
  <c r="BE48" i="156"/>
  <c r="BF47" i="156"/>
  <c r="BE47" i="156"/>
  <c r="BF46" i="156"/>
  <c r="BE46" i="156"/>
  <c r="BF45" i="156"/>
  <c r="BE45" i="156"/>
  <c r="BF44" i="156"/>
  <c r="BE44" i="156"/>
  <c r="BF43" i="156"/>
  <c r="BE43" i="156"/>
  <c r="BF42" i="156"/>
  <c r="BE42" i="156"/>
  <c r="BF41" i="156"/>
  <c r="BE41" i="156"/>
  <c r="BF40" i="156"/>
  <c r="BE40" i="156"/>
  <c r="BF39" i="156"/>
  <c r="BE39" i="156"/>
  <c r="BF38" i="156"/>
  <c r="BE38" i="156"/>
  <c r="BF37" i="156"/>
  <c r="BE37" i="156"/>
  <c r="BF36" i="156"/>
  <c r="BE36" i="156"/>
  <c r="BF35" i="156"/>
  <c r="BE35" i="156"/>
  <c r="BF34" i="156"/>
  <c r="BF12" i="156" s="1"/>
  <c r="BE34" i="156"/>
  <c r="BE12" i="156" s="1"/>
  <c r="BF33" i="156"/>
  <c r="BE33" i="156"/>
  <c r="BF32" i="156"/>
  <c r="BE32" i="156"/>
  <c r="BF31" i="156"/>
  <c r="BF8" i="156" s="1"/>
  <c r="BE31" i="156"/>
  <c r="BE8" i="156" s="1"/>
  <c r="BF30" i="156"/>
  <c r="BE30" i="156"/>
  <c r="BF29" i="156"/>
  <c r="BE29" i="156"/>
  <c r="BF28" i="156"/>
  <c r="BE28" i="156"/>
  <c r="BF27" i="156"/>
  <c r="BE27" i="156"/>
  <c r="BF26" i="156"/>
  <c r="BE26" i="156"/>
  <c r="BF25" i="156"/>
  <c r="BF10" i="156" s="1"/>
  <c r="BE25" i="156"/>
  <c r="BE10" i="156" s="1"/>
  <c r="BF24" i="156"/>
  <c r="BE24" i="156"/>
  <c r="BF23" i="156"/>
  <c r="BF11" i="156" s="1"/>
  <c r="BE23" i="156"/>
  <c r="BE11" i="156" s="1"/>
  <c r="BF22" i="156"/>
  <c r="BE22" i="156"/>
  <c r="BF21" i="156"/>
  <c r="BF6" i="156" s="1"/>
  <c r="BE21" i="156"/>
  <c r="BE6" i="156" s="1"/>
  <c r="BF20" i="156"/>
  <c r="BE20" i="156"/>
  <c r="BF19" i="156"/>
  <c r="BF13" i="156" s="1"/>
  <c r="BE19" i="156"/>
  <c r="BE13" i="156" s="1"/>
  <c r="BF18" i="156"/>
  <c r="BE18" i="156"/>
  <c r="BF17" i="156"/>
  <c r="BE17" i="156"/>
  <c r="BF16" i="156"/>
  <c r="BF5" i="156" s="1"/>
  <c r="BE16" i="156"/>
  <c r="BE5" i="156" s="1"/>
  <c r="BF15" i="156"/>
  <c r="BF9" i="156" s="1"/>
  <c r="BE15" i="156"/>
  <c r="BE9" i="156" s="1"/>
  <c r="BF14" i="156"/>
  <c r="BE14" i="156"/>
  <c r="BF7" i="156"/>
  <c r="BE7" i="156"/>
  <c r="BF4" i="156"/>
  <c r="BE4" i="156"/>
  <c r="BG118" i="156"/>
  <c r="BG117" i="156"/>
  <c r="BG116" i="156"/>
  <c r="BG115" i="156"/>
  <c r="BG114" i="156"/>
  <c r="BG113" i="156"/>
  <c r="BG112" i="156"/>
  <c r="BG111" i="156"/>
  <c r="BG110" i="156"/>
  <c r="BG109" i="156"/>
  <c r="BG108" i="156"/>
  <c r="BG107" i="156"/>
  <c r="BG106" i="156"/>
  <c r="BG105" i="156"/>
  <c r="BG104" i="156"/>
  <c r="BG103" i="156"/>
  <c r="BG102" i="156"/>
  <c r="BG101" i="156"/>
  <c r="BG100" i="156"/>
  <c r="BG99" i="156"/>
  <c r="BG98" i="156"/>
  <c r="BG97" i="156"/>
  <c r="BG96" i="156"/>
  <c r="BG95" i="156"/>
  <c r="BG94" i="156"/>
  <c r="BG93" i="156"/>
  <c r="BG92" i="156"/>
  <c r="BG91" i="156"/>
  <c r="BG90" i="156"/>
  <c r="BG89" i="156"/>
  <c r="BG88" i="156"/>
  <c r="BG87" i="156"/>
  <c r="BG86" i="156"/>
  <c r="BG85" i="156"/>
  <c r="BG84" i="156"/>
  <c r="BG83" i="156"/>
  <c r="BG82" i="156"/>
  <c r="BG81" i="156"/>
  <c r="BG80" i="156"/>
  <c r="BG79" i="156"/>
  <c r="BG78" i="156"/>
  <c r="BG77" i="156"/>
  <c r="BG76" i="156"/>
  <c r="BG75" i="156"/>
  <c r="BG74" i="156"/>
  <c r="BG73" i="156"/>
  <c r="BG72" i="156"/>
  <c r="BG71" i="156"/>
  <c r="BG70" i="156"/>
  <c r="BG60" i="156"/>
  <c r="BG59" i="156"/>
  <c r="BY56" i="155"/>
  <c r="BY55" i="155"/>
  <c r="BY54" i="155"/>
  <c r="BY52" i="155"/>
  <c r="BY51" i="155"/>
  <c r="BY49" i="155"/>
  <c r="BY48" i="155"/>
  <c r="BY47" i="155"/>
  <c r="BY46" i="155"/>
  <c r="BY45" i="155"/>
  <c r="BY44" i="155" s="1"/>
  <c r="BY43" i="155"/>
  <c r="BY42" i="155"/>
  <c r="BY41" i="155"/>
  <c r="BY40" i="155"/>
  <c r="BY39" i="155"/>
  <c r="BY38" i="155"/>
  <c r="BY37" i="155"/>
  <c r="BY35" i="155"/>
  <c r="BY34" i="155"/>
  <c r="BY33" i="155"/>
  <c r="BY32" i="155"/>
  <c r="BY30" i="155"/>
  <c r="BY29" i="155"/>
  <c r="BY28" i="155"/>
  <c r="BY27" i="155"/>
  <c r="BY26" i="155"/>
  <c r="BY25" i="155"/>
  <c r="BY23" i="155"/>
  <c r="BY22" i="155"/>
  <c r="BY21" i="155"/>
  <c r="BY20" i="155"/>
  <c r="BY19" i="155"/>
  <c r="BY17" i="155"/>
  <c r="BY16" i="155"/>
  <c r="BY15" i="155"/>
  <c r="BY14" i="155"/>
  <c r="BY13" i="155"/>
  <c r="BY11" i="155"/>
  <c r="BY10" i="155"/>
  <c r="BY9" i="155"/>
  <c r="BY7" i="155"/>
  <c r="BX6" i="155"/>
  <c r="BW6" i="155"/>
  <c r="BV6" i="155"/>
  <c r="O28" i="197"/>
  <c r="O23" i="197"/>
  <c r="D147" i="179"/>
  <c r="E147" i="179"/>
  <c r="F147" i="179"/>
  <c r="G147" i="179"/>
  <c r="H147" i="179"/>
  <c r="I147" i="179"/>
  <c r="J147" i="179"/>
  <c r="K147" i="179"/>
  <c r="L147" i="179"/>
  <c r="M147" i="179"/>
  <c r="N147" i="179"/>
  <c r="O147" i="179"/>
  <c r="C147" i="179"/>
  <c r="U2" i="196" s="1"/>
  <c r="D147" i="169"/>
  <c r="E147" i="169"/>
  <c r="F147" i="169"/>
  <c r="G147" i="169"/>
  <c r="H147" i="169"/>
  <c r="I147" i="169"/>
  <c r="J147" i="169"/>
  <c r="K147" i="169"/>
  <c r="K57" i="202" s="1"/>
  <c r="L147" i="169"/>
  <c r="L57" i="202" s="1"/>
  <c r="M147" i="169"/>
  <c r="N147" i="169"/>
  <c r="O147" i="169"/>
  <c r="C147" i="169"/>
  <c r="C133" i="196"/>
  <c r="D133" i="196"/>
  <c r="E133" i="196"/>
  <c r="F133" i="196"/>
  <c r="G133" i="196"/>
  <c r="C130" i="196"/>
  <c r="D130" i="196"/>
  <c r="E130" i="196"/>
  <c r="F130" i="196"/>
  <c r="G130" i="196"/>
  <c r="C124" i="196"/>
  <c r="D124" i="196"/>
  <c r="E124" i="196"/>
  <c r="F124" i="196"/>
  <c r="G124" i="196"/>
  <c r="C116" i="196"/>
  <c r="D116" i="196"/>
  <c r="E116" i="196"/>
  <c r="F116" i="196"/>
  <c r="G116" i="196"/>
  <c r="C111" i="196"/>
  <c r="D111" i="196"/>
  <c r="E111" i="196"/>
  <c r="F111" i="196"/>
  <c r="G111" i="196"/>
  <c r="C104" i="196"/>
  <c r="D104" i="196"/>
  <c r="E104" i="196"/>
  <c r="F104" i="196"/>
  <c r="G104" i="196"/>
  <c r="C98" i="196"/>
  <c r="D98" i="196"/>
  <c r="E98" i="196"/>
  <c r="F98" i="196"/>
  <c r="G98" i="196"/>
  <c r="C92" i="196"/>
  <c r="D92" i="196"/>
  <c r="E92" i="196"/>
  <c r="F92" i="196"/>
  <c r="G92" i="196"/>
  <c r="C88" i="196"/>
  <c r="D88" i="196"/>
  <c r="E88" i="196"/>
  <c r="F88" i="196"/>
  <c r="G88" i="196"/>
  <c r="HT6" i="129"/>
  <c r="HT7" i="129"/>
  <c r="HT8" i="129"/>
  <c r="HT9" i="129"/>
  <c r="HT10" i="129"/>
  <c r="HT11" i="129"/>
  <c r="HT12" i="129"/>
  <c r="HT13" i="129"/>
  <c r="HT14" i="129"/>
  <c r="HT15" i="129"/>
  <c r="HT16" i="129"/>
  <c r="HT18" i="129"/>
  <c r="HT19" i="129"/>
  <c r="HT20" i="129"/>
  <c r="HT21" i="129"/>
  <c r="HT22" i="129"/>
  <c r="HT23" i="129"/>
  <c r="HT24" i="129"/>
  <c r="HT25" i="129"/>
  <c r="HT26" i="129"/>
  <c r="HT27" i="129"/>
  <c r="HT28" i="129"/>
  <c r="HT29" i="129"/>
  <c r="HT30" i="129"/>
  <c r="HT31" i="129"/>
  <c r="HT32" i="129"/>
  <c r="HT33" i="129"/>
  <c r="HT34" i="129"/>
  <c r="HT35" i="129"/>
  <c r="HT36" i="129"/>
  <c r="HT37" i="129"/>
  <c r="HT38" i="129"/>
  <c r="HT39" i="129"/>
  <c r="HT40" i="129"/>
  <c r="HT41" i="129"/>
  <c r="HT42" i="129"/>
  <c r="HT43" i="129"/>
  <c r="HT44" i="129"/>
  <c r="HT45" i="129"/>
  <c r="HT46" i="129"/>
  <c r="HT47" i="129"/>
  <c r="HT48" i="129"/>
  <c r="HT49" i="129"/>
  <c r="HT50" i="129"/>
  <c r="HT51" i="129"/>
  <c r="HT52" i="129"/>
  <c r="HT53" i="129"/>
  <c r="HT54" i="129"/>
  <c r="HT55" i="129"/>
  <c r="HT56" i="129"/>
  <c r="HT57" i="129"/>
  <c r="HT58" i="129"/>
  <c r="HT59" i="129"/>
  <c r="HT60" i="129"/>
  <c r="HT61" i="129"/>
  <c r="HT62" i="129"/>
  <c r="HT63" i="129"/>
  <c r="HT64" i="129"/>
  <c r="HT65" i="129"/>
  <c r="HT66" i="129"/>
  <c r="HT67" i="129"/>
  <c r="GH68" i="129"/>
  <c r="GR68" i="129" s="1"/>
  <c r="HB68" i="129" s="1"/>
  <c r="HL68" i="129" s="1"/>
  <c r="H89" i="196"/>
  <c r="H90" i="196"/>
  <c r="H91" i="196"/>
  <c r="H93" i="196"/>
  <c r="H94" i="196"/>
  <c r="H95" i="196"/>
  <c r="H96" i="196"/>
  <c r="H97" i="196"/>
  <c r="H99" i="196"/>
  <c r="H100" i="196"/>
  <c r="H101" i="196"/>
  <c r="H102" i="196"/>
  <c r="H103" i="196"/>
  <c r="H105" i="196"/>
  <c r="H106" i="196"/>
  <c r="H107" i="196"/>
  <c r="H108" i="196"/>
  <c r="H109" i="196"/>
  <c r="H110" i="196"/>
  <c r="H112" i="196"/>
  <c r="H113" i="196"/>
  <c r="H114" i="196"/>
  <c r="H115" i="196"/>
  <c r="H117" i="196"/>
  <c r="H118" i="196"/>
  <c r="H119" i="196"/>
  <c r="H120" i="196"/>
  <c r="H121" i="196"/>
  <c r="H122" i="196"/>
  <c r="H123" i="196"/>
  <c r="H125" i="196"/>
  <c r="H126" i="196"/>
  <c r="H127" i="196"/>
  <c r="H128" i="196"/>
  <c r="H129" i="196"/>
  <c r="H131" i="196"/>
  <c r="H132" i="196"/>
  <c r="H134" i="196"/>
  <c r="H135" i="196"/>
  <c r="H136" i="196"/>
  <c r="H87" i="196"/>
  <c r="AA23" i="176"/>
  <c r="AA19" i="176"/>
  <c r="AM125" i="114"/>
  <c r="AX9" i="86"/>
  <c r="AX10" i="86"/>
  <c r="AX11" i="86"/>
  <c r="AX12" i="86"/>
  <c r="AX13" i="86"/>
  <c r="AX14" i="86"/>
  <c r="AX15" i="86"/>
  <c r="AX16" i="86"/>
  <c r="AX17" i="86"/>
  <c r="AX19" i="86"/>
  <c r="AM123" i="114" s="1"/>
  <c r="AX20" i="86"/>
  <c r="AM124" i="114" s="1"/>
  <c r="AX21" i="86"/>
  <c r="AX23" i="86"/>
  <c r="AX24" i="86"/>
  <c r="AX25" i="86"/>
  <c r="AX26" i="86"/>
  <c r="AM130" i="114" s="1"/>
  <c r="AX27" i="86"/>
  <c r="AM131" i="114" s="1"/>
  <c r="AX29" i="86"/>
  <c r="AM133" i="114" s="1"/>
  <c r="AX30" i="86"/>
  <c r="AM134" i="114" s="1"/>
  <c r="AX31" i="86"/>
  <c r="AX32" i="86"/>
  <c r="AX33" i="86"/>
  <c r="AX35" i="86"/>
  <c r="AM139" i="114" s="1"/>
  <c r="AX36" i="86"/>
  <c r="AM140" i="114" s="1"/>
  <c r="AX37" i="86"/>
  <c r="AM141" i="114" s="1"/>
  <c r="AX38" i="86"/>
  <c r="AM142" i="114" s="1"/>
  <c r="AX39" i="86"/>
  <c r="AM143" i="114" s="1"/>
  <c r="AX40" i="86"/>
  <c r="AX42" i="86"/>
  <c r="AM146" i="114" s="1"/>
  <c r="AX43" i="86"/>
  <c r="AM147" i="114" s="1"/>
  <c r="AX44" i="86"/>
  <c r="AX45" i="86"/>
  <c r="AM149" i="114" s="1"/>
  <c r="AX47" i="86"/>
  <c r="AX48" i="86"/>
  <c r="AX49" i="86"/>
  <c r="AM153" i="114" s="1"/>
  <c r="AX50" i="86"/>
  <c r="AM154" i="114" s="1"/>
  <c r="AX51" i="86"/>
  <c r="AM155" i="114" s="1"/>
  <c r="AX52" i="86"/>
  <c r="AM156" i="114" s="1"/>
  <c r="AX53" i="86"/>
  <c r="AM157" i="114" s="1"/>
  <c r="AX55" i="86"/>
  <c r="AX56" i="86"/>
  <c r="AX57" i="86"/>
  <c r="AM161" i="114" s="1"/>
  <c r="AX58" i="86"/>
  <c r="AM162" i="114" s="1"/>
  <c r="AX59" i="86"/>
  <c r="AM163" i="114" s="1"/>
  <c r="AX61" i="86"/>
  <c r="AM165" i="114" s="1"/>
  <c r="AX62" i="86"/>
  <c r="AM166" i="114" s="1"/>
  <c r="AX64" i="86"/>
  <c r="AX65" i="86"/>
  <c r="AX66" i="86"/>
  <c r="AM170" i="114" s="1"/>
  <c r="AK15" i="165" l="1"/>
  <c r="AK9" i="165"/>
  <c r="HE6" i="129"/>
  <c r="AJ6" i="165"/>
  <c r="AJ8" i="165"/>
  <c r="V13" i="187"/>
  <c r="H133" i="196"/>
  <c r="Z31" i="92"/>
  <c r="I57" i="202"/>
  <c r="U2" i="158"/>
  <c r="C57" i="202"/>
  <c r="Z40" i="92"/>
  <c r="N57" i="202"/>
  <c r="Z29" i="92"/>
  <c r="E57" i="202"/>
  <c r="Z6" i="92"/>
  <c r="D57" i="202"/>
  <c r="H57" i="202"/>
  <c r="Z36" i="92"/>
  <c r="G57" i="202"/>
  <c r="Z30" i="92"/>
  <c r="F57" i="202"/>
  <c r="Z39" i="92"/>
  <c r="M57" i="202"/>
  <c r="Z37" i="92"/>
  <c r="J57" i="202"/>
  <c r="T76" i="204"/>
  <c r="HC6" i="129"/>
  <c r="AM12" i="122"/>
  <c r="AM5" i="122" s="1"/>
  <c r="W86" i="120"/>
  <c r="W93" i="120"/>
  <c r="W119" i="120"/>
  <c r="W80" i="120"/>
  <c r="W74" i="120" s="1"/>
  <c r="W92" i="120"/>
  <c r="R30" i="187"/>
  <c r="S30" i="187" s="1"/>
  <c r="V14" i="187"/>
  <c r="V16" i="187"/>
  <c r="V28" i="187"/>
  <c r="V47" i="187"/>
  <c r="R34" i="187"/>
  <c r="S34" i="187" s="1"/>
  <c r="V37" i="187"/>
  <c r="J67" i="187"/>
  <c r="J69" i="187" s="1"/>
  <c r="V7" i="187"/>
  <c r="V34" i="187"/>
  <c r="M67" i="187"/>
  <c r="M69" i="187" s="1"/>
  <c r="V24" i="187"/>
  <c r="V36" i="187"/>
  <c r="H67" i="187"/>
  <c r="H69" i="187" s="1"/>
  <c r="V32" i="187"/>
  <c r="V26" i="187"/>
  <c r="V48" i="187"/>
  <c r="D67" i="187"/>
  <c r="D69" i="187" s="1"/>
  <c r="V12" i="187"/>
  <c r="V21" i="187"/>
  <c r="R52" i="187"/>
  <c r="V52" i="187"/>
  <c r="V60" i="187"/>
  <c r="V30" i="187"/>
  <c r="R37" i="187"/>
  <c r="S37" i="187" s="1"/>
  <c r="V25" i="187"/>
  <c r="V65" i="187"/>
  <c r="V5" i="187"/>
  <c r="V18" i="187"/>
  <c r="V23" i="187"/>
  <c r="V43" i="187"/>
  <c r="V54" i="187"/>
  <c r="V35" i="187"/>
  <c r="S38" i="187"/>
  <c r="C67" i="187"/>
  <c r="C69" i="187" s="1"/>
  <c r="V17" i="187"/>
  <c r="V38" i="187"/>
  <c r="R47" i="187"/>
  <c r="S47" i="187" s="1"/>
  <c r="S52" i="187"/>
  <c r="V62" i="187"/>
  <c r="V20" i="187"/>
  <c r="R24" i="187"/>
  <c r="S24" i="187" s="1"/>
  <c r="V33" i="187"/>
  <c r="V39" i="187"/>
  <c r="V41" i="187"/>
  <c r="V44" i="187"/>
  <c r="V49" i="187"/>
  <c r="V51" i="187"/>
  <c r="V53" i="187"/>
  <c r="V61" i="187"/>
  <c r="V63" i="187"/>
  <c r="N67" i="187"/>
  <c r="N69" i="187" s="1"/>
  <c r="V19" i="187"/>
  <c r="V27" i="187"/>
  <c r="V50" i="187"/>
  <c r="V57" i="187"/>
  <c r="E67" i="187"/>
  <c r="E69" i="187" s="1"/>
  <c r="G67" i="187"/>
  <c r="G69" i="187" s="1"/>
  <c r="R49" i="187"/>
  <c r="S49" i="187" s="1"/>
  <c r="V59" i="187"/>
  <c r="V42" i="187"/>
  <c r="V58" i="187"/>
  <c r="W104" i="124"/>
  <c r="W115" i="124"/>
  <c r="W130" i="124"/>
  <c r="W122" i="124"/>
  <c r="W98" i="124"/>
  <c r="W90" i="124"/>
  <c r="W110" i="124"/>
  <c r="W102" i="124"/>
  <c r="W94" i="124"/>
  <c r="H130" i="196"/>
  <c r="AM145" i="114"/>
  <c r="AM164" i="114"/>
  <c r="AM126" i="114"/>
  <c r="AM122" i="114"/>
  <c r="AN5" i="116"/>
  <c r="AN4" i="116" s="1"/>
  <c r="W118" i="120"/>
  <c r="W112" i="120"/>
  <c r="W104" i="120"/>
  <c r="W99" i="120"/>
  <c r="AJ42" i="99"/>
  <c r="AJ29" i="99"/>
  <c r="AJ10" i="99"/>
  <c r="AJ6" i="99"/>
  <c r="BE3" i="156"/>
  <c r="BF3" i="156"/>
  <c r="BY18" i="155"/>
  <c r="BY31" i="155"/>
  <c r="BY50" i="155"/>
  <c r="BY36" i="155"/>
  <c r="BY24" i="155"/>
  <c r="BY8" i="155"/>
  <c r="BY12" i="155"/>
  <c r="BY53" i="155"/>
  <c r="AM150" i="114"/>
  <c r="AM167" i="114"/>
  <c r="AM158" i="114"/>
  <c r="AM138" i="114"/>
  <c r="AM132" i="114"/>
  <c r="H98" i="196"/>
  <c r="H116" i="196"/>
  <c r="H111" i="196"/>
  <c r="H92" i="196"/>
  <c r="H88" i="196"/>
  <c r="H124" i="196"/>
  <c r="H104" i="196"/>
  <c r="AJ15" i="165"/>
  <c r="AK6" i="165"/>
  <c r="R75" i="204"/>
  <c r="S75" i="204"/>
  <c r="AK6" i="123"/>
  <c r="AK53" i="123" s="1"/>
  <c r="FP53" i="129" s="1"/>
  <c r="R74" i="204"/>
  <c r="S74" i="204"/>
  <c r="AR63" i="86"/>
  <c r="AX63" i="86" s="1"/>
  <c r="AR60" i="86"/>
  <c r="AX60" i="86" s="1"/>
  <c r="AX54" i="86"/>
  <c r="AX46" i="86"/>
  <c r="AX41" i="86"/>
  <c r="AX34" i="86"/>
  <c r="AX28" i="86"/>
  <c r="AX22" i="86"/>
  <c r="AX18" i="86"/>
  <c r="AX8" i="86"/>
  <c r="AJ9" i="165" l="1"/>
  <c r="AK12" i="165"/>
  <c r="AJ13" i="165"/>
  <c r="AJ12" i="165"/>
  <c r="AJ10" i="165"/>
  <c r="AJ14" i="165"/>
  <c r="AJ11" i="165"/>
  <c r="AJ16" i="165"/>
  <c r="AK10" i="165"/>
  <c r="AK44" i="123"/>
  <c r="FP44" i="129" s="1"/>
  <c r="AK45" i="123"/>
  <c r="FP45" i="129" s="1"/>
  <c r="AK48" i="123"/>
  <c r="FP48" i="129" s="1"/>
  <c r="R63" i="187"/>
  <c r="S63" i="187" s="1"/>
  <c r="R39" i="187"/>
  <c r="S39" i="187" s="1"/>
  <c r="V10" i="187"/>
  <c r="V8" i="187"/>
  <c r="V6" i="187"/>
  <c r="R22" i="187"/>
  <c r="S22" i="187" s="1"/>
  <c r="V11" i="187"/>
  <c r="V9" i="187"/>
  <c r="R35" i="187"/>
  <c r="S35" i="187" s="1"/>
  <c r="AK26" i="123"/>
  <c r="FP26" i="129" s="1"/>
  <c r="BY6" i="155"/>
  <c r="AK25" i="123"/>
  <c r="FP25" i="129" s="1"/>
  <c r="AK33" i="123"/>
  <c r="FP33" i="129" s="1"/>
  <c r="AK58" i="123"/>
  <c r="FP58" i="129" s="1"/>
  <c r="AK34" i="123"/>
  <c r="FP34" i="129" s="1"/>
  <c r="AK59" i="123"/>
  <c r="FP59" i="129" s="1"/>
  <c r="AK36" i="123"/>
  <c r="FP36" i="129" s="1"/>
  <c r="AK60" i="123"/>
  <c r="FP60" i="129" s="1"/>
  <c r="AK13" i="165"/>
  <c r="AK37" i="123"/>
  <c r="FP37" i="129" s="1"/>
  <c r="AK62" i="123"/>
  <c r="AK14" i="165"/>
  <c r="AK41" i="123"/>
  <c r="FP41" i="129" s="1"/>
  <c r="AK63" i="123"/>
  <c r="FP63" i="129" s="1"/>
  <c r="AK16" i="165"/>
  <c r="AK66" i="123"/>
  <c r="AK20" i="123"/>
  <c r="FP20" i="129" s="1"/>
  <c r="AK21" i="123"/>
  <c r="FP21" i="129" s="1"/>
  <c r="AK43" i="123"/>
  <c r="FP43" i="129" s="1"/>
  <c r="AK65" i="123"/>
  <c r="FP65" i="129" s="1"/>
  <c r="AK8" i="165"/>
  <c r="AK67" i="123"/>
  <c r="FP67" i="129" s="1"/>
  <c r="AK49" i="123"/>
  <c r="FP49" i="129" s="1"/>
  <c r="AK46" i="123"/>
  <c r="AK28" i="123"/>
  <c r="FP28" i="129" s="1"/>
  <c r="AK31" i="123"/>
  <c r="FP31" i="129" s="1"/>
  <c r="AK56" i="123"/>
  <c r="AK27" i="123"/>
  <c r="FP27" i="129" s="1"/>
  <c r="AK50" i="123"/>
  <c r="FP50" i="129" s="1"/>
  <c r="AK51" i="123"/>
  <c r="FP51" i="129" s="1"/>
  <c r="AK30" i="123"/>
  <c r="AK52" i="123"/>
  <c r="FP52" i="129" s="1"/>
  <c r="AK32" i="123"/>
  <c r="FP32" i="129" s="1"/>
  <c r="AK57" i="123"/>
  <c r="FP57" i="129" s="1"/>
  <c r="T75" i="204"/>
  <c r="AK11" i="165"/>
  <c r="T74" i="204"/>
  <c r="U78" i="204" s="1"/>
  <c r="AK22" i="123"/>
  <c r="AK38" i="123"/>
  <c r="AK54" i="123"/>
  <c r="AK39" i="123"/>
  <c r="FP39" i="129" s="1"/>
  <c r="AK24" i="123"/>
  <c r="AK40" i="123"/>
  <c r="FP40" i="129" s="1"/>
  <c r="CX127" i="114"/>
  <c r="BN81" i="114" s="1"/>
  <c r="CW127" i="114"/>
  <c r="BN80" i="114" s="1"/>
  <c r="CV127" i="114"/>
  <c r="BN79" i="114" s="1"/>
  <c r="CU127" i="114"/>
  <c r="BN78" i="114" s="1"/>
  <c r="CR127" i="114"/>
  <c r="CQ127" i="114"/>
  <c r="CP127" i="114"/>
  <c r="CO127" i="114"/>
  <c r="AJ7" i="165" l="1"/>
  <c r="AK7" i="165"/>
  <c r="R19" i="187"/>
  <c r="S19" i="187" s="1"/>
  <c r="R20" i="187"/>
  <c r="S20" i="187" s="1"/>
  <c r="R51" i="187"/>
  <c r="S51" i="187" s="1"/>
  <c r="F67" i="187"/>
  <c r="F69" i="187" s="1"/>
  <c r="R57" i="187"/>
  <c r="S57" i="187" s="1"/>
  <c r="R28" i="187"/>
  <c r="S28" i="187" s="1"/>
  <c r="K67" i="187"/>
  <c r="K69" i="187" s="1"/>
  <c r="R54" i="187"/>
  <c r="S54" i="187" s="1"/>
  <c r="V4" i="187"/>
  <c r="R50" i="187"/>
  <c r="S50" i="187" s="1"/>
  <c r="R42" i="187"/>
  <c r="S42" i="187" s="1"/>
  <c r="R61" i="187"/>
  <c r="S61" i="187" s="1"/>
  <c r="R41" i="187"/>
  <c r="S41" i="187" s="1"/>
  <c r="R44" i="187"/>
  <c r="S44" i="187" s="1"/>
  <c r="R43" i="187"/>
  <c r="S43" i="187" s="1"/>
  <c r="R29" i="187"/>
  <c r="S29" i="187" s="1"/>
  <c r="R26" i="187"/>
  <c r="S26" i="187" s="1"/>
  <c r="AK55" i="123"/>
  <c r="FP56" i="129"/>
  <c r="AK61" i="123"/>
  <c r="FP62" i="129"/>
  <c r="AK19" i="123"/>
  <c r="FP22" i="129"/>
  <c r="AK42" i="123"/>
  <c r="FP46" i="129"/>
  <c r="AK29" i="123"/>
  <c r="FP30" i="129"/>
  <c r="AK64" i="123"/>
  <c r="FP66" i="129"/>
  <c r="AK35" i="123"/>
  <c r="FP38" i="129"/>
  <c r="AK23" i="123"/>
  <c r="FP24" i="129"/>
  <c r="AK47" i="123"/>
  <c r="FP54" i="129"/>
  <c r="BM79" i="114"/>
  <c r="BN84" i="114" s="1"/>
  <c r="BM80" i="114"/>
  <c r="BN85" i="114" s="1"/>
  <c r="BM78" i="114"/>
  <c r="BM81" i="114"/>
  <c r="BN86" i="114"/>
  <c r="CU128" i="114"/>
  <c r="CV128" i="114"/>
  <c r="CW128" i="114"/>
  <c r="CX128" i="114"/>
  <c r="R46" i="187" l="1"/>
  <c r="S46" i="187" s="1"/>
  <c r="R40" i="187"/>
  <c r="S40" i="187" s="1"/>
  <c r="R55" i="187"/>
  <c r="S55" i="187" s="1"/>
  <c r="R16" i="187"/>
  <c r="S16" i="187" s="1"/>
  <c r="R32" i="187"/>
  <c r="S32" i="187" s="1"/>
  <c r="R56" i="187"/>
  <c r="S56" i="187" s="1"/>
  <c r="R36" i="187"/>
  <c r="S36" i="187" s="1"/>
  <c r="R65" i="187"/>
  <c r="S65" i="187" s="1"/>
  <c r="R31" i="187"/>
  <c r="S31" i="187" s="1"/>
  <c r="R18" i="187"/>
  <c r="S18" i="187" s="1"/>
  <c r="R23" i="187"/>
  <c r="S23" i="187" s="1"/>
  <c r="R60" i="187"/>
  <c r="S60" i="187" s="1"/>
  <c r="R25" i="187"/>
  <c r="S25" i="187" s="1"/>
  <c r="R48" i="187"/>
  <c r="S48" i="187" s="1"/>
  <c r="R64" i="187"/>
  <c r="S64" i="187" s="1"/>
  <c r="R58" i="187"/>
  <c r="S58" i="187" s="1"/>
  <c r="AK9" i="123"/>
  <c r="FP23" i="129"/>
  <c r="AK11" i="123"/>
  <c r="FP35" i="129"/>
  <c r="AK16" i="123"/>
  <c r="FP64" i="129"/>
  <c r="AK12" i="123"/>
  <c r="FP42" i="129"/>
  <c r="AK8" i="123"/>
  <c r="FP19" i="129"/>
  <c r="AK10" i="123"/>
  <c r="FP29" i="129"/>
  <c r="AK15" i="123"/>
  <c r="FP61" i="129"/>
  <c r="AK13" i="123"/>
  <c r="FP47" i="129"/>
  <c r="AK14" i="123"/>
  <c r="FP55" i="129"/>
  <c r="BN83" i="114"/>
  <c r="R17" i="187" l="1"/>
  <c r="S17" i="187" s="1"/>
  <c r="R5" i="187"/>
  <c r="S5" i="187" s="1"/>
  <c r="L67" i="187"/>
  <c r="L69" i="187" s="1"/>
  <c r="R27" i="187"/>
  <c r="S27" i="187" s="1"/>
  <c r="R45" i="187"/>
  <c r="S45" i="187" s="1"/>
  <c r="R33" i="187"/>
  <c r="S33" i="187" s="1"/>
  <c r="R59" i="187"/>
  <c r="S59" i="187" s="1"/>
  <c r="R53" i="187"/>
  <c r="S53" i="187" s="1"/>
  <c r="R62" i="187"/>
  <c r="S62" i="187" s="1"/>
  <c r="R21" i="187"/>
  <c r="S21" i="187" s="1"/>
  <c r="R10" i="187"/>
  <c r="S10" i="187" s="1"/>
  <c r="AK18" i="123"/>
  <c r="R9" i="187" l="1"/>
  <c r="S9" i="187" s="1"/>
  <c r="O67" i="187"/>
  <c r="O69" i="187" s="1"/>
  <c r="S2" i="187" s="1"/>
  <c r="R8" i="187"/>
  <c r="S8" i="187" s="1"/>
  <c r="R14" i="187"/>
  <c r="S14" i="187" s="1"/>
  <c r="R13" i="187"/>
  <c r="S13" i="187" s="1"/>
  <c r="R11" i="187"/>
  <c r="S11" i="187" s="1"/>
  <c r="R6" i="187"/>
  <c r="S6" i="187" s="1"/>
  <c r="R7" i="187"/>
  <c r="S7" i="187" s="1"/>
  <c r="R12" i="187"/>
  <c r="S12" i="187" s="1"/>
  <c r="AK17" i="123"/>
  <c r="AK7" i="123"/>
  <c r="GU16" i="129"/>
  <c r="GU15" i="129"/>
  <c r="GU14" i="129"/>
  <c r="GU13" i="129"/>
  <c r="GU12" i="129"/>
  <c r="GU11" i="129"/>
  <c r="GU10" i="129"/>
  <c r="GU9" i="129"/>
  <c r="GU8" i="129"/>
  <c r="GU7" i="129"/>
  <c r="R4" i="187" l="1"/>
  <c r="S4" i="187" s="1"/>
  <c r="S3" i="187" s="1"/>
  <c r="FP18" i="129"/>
  <c r="S18" i="158"/>
  <c r="GU6" i="129"/>
  <c r="V77" i="121"/>
  <c r="V77" i="124" s="1"/>
  <c r="V78" i="121"/>
  <c r="V78" i="124" s="1"/>
  <c r="V79" i="121"/>
  <c r="V79" i="124" s="1"/>
  <c r="V80" i="121"/>
  <c r="V80" i="124" s="1"/>
  <c r="V81" i="121"/>
  <c r="V81" i="124" s="1"/>
  <c r="V82" i="121"/>
  <c r="V82" i="124" s="1"/>
  <c r="V83" i="121"/>
  <c r="V83" i="124" s="1"/>
  <c r="V84" i="121"/>
  <c r="V84" i="124" s="1"/>
  <c r="V85" i="121"/>
  <c r="V85" i="124" s="1"/>
  <c r="V86" i="121"/>
  <c r="V86" i="124" s="1"/>
  <c r="V87" i="121"/>
  <c r="V88" i="121"/>
  <c r="V88" i="124" s="1"/>
  <c r="V89" i="121"/>
  <c r="V89" i="124" s="1"/>
  <c r="V90" i="121"/>
  <c r="V90" i="124" s="1"/>
  <c r="V91" i="121"/>
  <c r="V91" i="124" s="1"/>
  <c r="V92" i="121"/>
  <c r="V92" i="124" s="1"/>
  <c r="V93" i="121"/>
  <c r="V94" i="121"/>
  <c r="V94" i="124" s="1"/>
  <c r="V95" i="121"/>
  <c r="V95" i="124" s="1"/>
  <c r="V96" i="121"/>
  <c r="V96" i="124" s="1"/>
  <c r="V97" i="121"/>
  <c r="V97" i="124" s="1"/>
  <c r="V98" i="121"/>
  <c r="V98" i="124" s="1"/>
  <c r="V99" i="121"/>
  <c r="V99" i="124" s="1"/>
  <c r="V100" i="121"/>
  <c r="V100" i="124" s="1"/>
  <c r="V101" i="121"/>
  <c r="V101" i="124" s="1"/>
  <c r="V102" i="121"/>
  <c r="V102" i="124" s="1"/>
  <c r="V103" i="121"/>
  <c r="V103" i="124" s="1"/>
  <c r="V104" i="121"/>
  <c r="V104" i="124" s="1"/>
  <c r="V105" i="121"/>
  <c r="V105" i="124" s="1"/>
  <c r="V106" i="121"/>
  <c r="V106" i="124" s="1"/>
  <c r="V107" i="121"/>
  <c r="V107" i="124" s="1"/>
  <c r="V108" i="121"/>
  <c r="V108" i="124" s="1"/>
  <c r="V109" i="121"/>
  <c r="V110" i="121"/>
  <c r="V110" i="124" s="1"/>
  <c r="V111" i="121"/>
  <c r="V111" i="124" s="1"/>
  <c r="V112" i="121"/>
  <c r="V112" i="124" s="1"/>
  <c r="V113" i="121"/>
  <c r="V113" i="124" s="1"/>
  <c r="V114" i="121"/>
  <c r="V114" i="124" s="1"/>
  <c r="V115" i="121"/>
  <c r="V115" i="124" s="1"/>
  <c r="V116" i="121"/>
  <c r="V117" i="121"/>
  <c r="V117" i="124" s="1"/>
  <c r="V118" i="121"/>
  <c r="V118" i="124" s="1"/>
  <c r="V119" i="121"/>
  <c r="V119" i="124" s="1"/>
  <c r="V120" i="121"/>
  <c r="V120" i="124" s="1"/>
  <c r="V121" i="121"/>
  <c r="V121" i="124" s="1"/>
  <c r="V122" i="121"/>
  <c r="V122" i="124" s="1"/>
  <c r="V123" i="121"/>
  <c r="V123" i="124" s="1"/>
  <c r="V124" i="121"/>
  <c r="V124" i="124" s="1"/>
  <c r="V125" i="121"/>
  <c r="V126" i="121"/>
  <c r="V127" i="121"/>
  <c r="V128" i="121"/>
  <c r="V128" i="124" s="1"/>
  <c r="V129" i="121"/>
  <c r="V129" i="124" s="1"/>
  <c r="V130" i="121"/>
  <c r="V130" i="124" s="1"/>
  <c r="V131" i="121"/>
  <c r="V131" i="124" s="1"/>
  <c r="V132" i="121"/>
  <c r="V132" i="124" s="1"/>
  <c r="V133" i="121"/>
  <c r="V133" i="124" s="1"/>
  <c r="V134" i="121"/>
  <c r="V134" i="124" s="1"/>
  <c r="V135" i="121"/>
  <c r="V135" i="124" s="1"/>
  <c r="V136" i="121"/>
  <c r="V137" i="121"/>
  <c r="V137" i="124" s="1"/>
  <c r="V76" i="121"/>
  <c r="V93" i="124"/>
  <c r="V109" i="124"/>
  <c r="V125" i="124"/>
  <c r="V126" i="124"/>
  <c r="V127" i="124"/>
  <c r="AH5" i="176"/>
  <c r="AH6" i="176"/>
  <c r="AR6" i="92" s="1"/>
  <c r="AH7" i="176"/>
  <c r="AR29" i="92" s="1"/>
  <c r="AH8" i="176"/>
  <c r="AR30" i="92" s="1"/>
  <c r="AH9" i="176"/>
  <c r="AR22" i="92" s="1"/>
  <c r="AH10" i="176"/>
  <c r="AR31" i="92" s="1"/>
  <c r="AH12" i="176"/>
  <c r="AH15" i="176"/>
  <c r="AH17" i="176"/>
  <c r="AH20" i="176"/>
  <c r="AR44" i="92" s="1"/>
  <c r="AH21" i="176"/>
  <c r="AA22" i="92" l="1"/>
  <c r="AA29" i="92"/>
  <c r="V136" i="124"/>
  <c r="V116" i="124"/>
  <c r="V76" i="124"/>
  <c r="V17" i="110"/>
  <c r="R73" i="204"/>
  <c r="S73" i="204"/>
  <c r="V48" i="204"/>
  <c r="V54" i="204" s="1"/>
  <c r="AB22" i="92" l="1"/>
  <c r="AA23" i="92"/>
  <c r="AA31" i="92"/>
  <c r="AO44" i="92"/>
  <c r="AA30" i="92"/>
  <c r="AN44" i="92"/>
  <c r="AA6" i="92"/>
  <c r="T73" i="204"/>
  <c r="U77" i="204" s="1"/>
  <c r="O15" i="211"/>
  <c r="AC22" i="92" l="1"/>
  <c r="AB23" i="92"/>
  <c r="GX1" i="129" s="1"/>
  <c r="R72" i="204"/>
  <c r="S72" i="204"/>
  <c r="AC23" i="92" l="1"/>
  <c r="HH1" i="129" s="1"/>
  <c r="T72" i="204"/>
  <c r="T52" i="204" l="1"/>
  <c r="U76" i="204"/>
  <c r="D146" i="169"/>
  <c r="E146" i="169"/>
  <c r="F146" i="169"/>
  <c r="G146" i="169"/>
  <c r="H146" i="169"/>
  <c r="I146" i="169"/>
  <c r="J146" i="169"/>
  <c r="K146" i="169"/>
  <c r="L146" i="169"/>
  <c r="M146" i="169"/>
  <c r="Y39" i="92" s="1"/>
  <c r="N146" i="169"/>
  <c r="Y40" i="92" s="1"/>
  <c r="O146" i="169"/>
  <c r="C146" i="169"/>
  <c r="P147" i="169" s="1"/>
  <c r="O1" i="212" l="1"/>
  <c r="O1" i="213"/>
  <c r="O1" i="211"/>
  <c r="Y49" i="92"/>
  <c r="D146" i="179"/>
  <c r="D56" i="202" s="1"/>
  <c r="E146" i="179"/>
  <c r="E56" i="202" s="1"/>
  <c r="F146" i="179"/>
  <c r="F56" i="202" s="1"/>
  <c r="G146" i="179"/>
  <c r="G56" i="202" s="1"/>
  <c r="H146" i="179"/>
  <c r="H56" i="202" s="1"/>
  <c r="I146" i="179"/>
  <c r="I56" i="202" s="1"/>
  <c r="J146" i="179"/>
  <c r="J56" i="202" s="1"/>
  <c r="K146" i="179"/>
  <c r="K56" i="202" s="1"/>
  <c r="L146" i="179"/>
  <c r="L56" i="202" s="1"/>
  <c r="M146" i="179"/>
  <c r="M56" i="202" s="1"/>
  <c r="N146" i="179"/>
  <c r="N56" i="202" s="1"/>
  <c r="O146" i="179"/>
  <c r="C146" i="179"/>
  <c r="P147" i="179" s="1"/>
  <c r="C56" i="202" l="1"/>
  <c r="BD70" i="156"/>
  <c r="BD60" i="156"/>
  <c r="BD71" i="156"/>
  <c r="AI7" i="99" s="1"/>
  <c r="BD72" i="156"/>
  <c r="AI8" i="99" s="1"/>
  <c r="BD73" i="156"/>
  <c r="AI9" i="99" s="1"/>
  <c r="BD74" i="156"/>
  <c r="BD75" i="156"/>
  <c r="AI11" i="99" s="1"/>
  <c r="BD76" i="156"/>
  <c r="AI12" i="99" s="1"/>
  <c r="BD77" i="156"/>
  <c r="AI13" i="99" s="1"/>
  <c r="BD78" i="156"/>
  <c r="AI14" i="99" s="1"/>
  <c r="BD79" i="156"/>
  <c r="AI15" i="99" s="1"/>
  <c r="BD80" i="156"/>
  <c r="BD81" i="156"/>
  <c r="AI17" i="99" s="1"/>
  <c r="BD82" i="156"/>
  <c r="AI18" i="99" s="1"/>
  <c r="BD83" i="156"/>
  <c r="AI19" i="99" s="1"/>
  <c r="BD84" i="156"/>
  <c r="AI20" i="99" s="1"/>
  <c r="BD85" i="156"/>
  <c r="AI21" i="99" s="1"/>
  <c r="BD86" i="156"/>
  <c r="BD87" i="156"/>
  <c r="AI23" i="99" s="1"/>
  <c r="BD88" i="156"/>
  <c r="AI24" i="99" s="1"/>
  <c r="BD89" i="156"/>
  <c r="AI25" i="99" s="1"/>
  <c r="BD90" i="156"/>
  <c r="AI26" i="99" s="1"/>
  <c r="BD91" i="156"/>
  <c r="AI27" i="99" s="1"/>
  <c r="BD92" i="156"/>
  <c r="AI28" i="99" s="1"/>
  <c r="BD93" i="156"/>
  <c r="BD94" i="156"/>
  <c r="AI30" i="99" s="1"/>
  <c r="BD95" i="156"/>
  <c r="AI31" i="99" s="1"/>
  <c r="BD96" i="156"/>
  <c r="AI32" i="99" s="1"/>
  <c r="BD97" i="156"/>
  <c r="AI33" i="99" s="1"/>
  <c r="BD98" i="156"/>
  <c r="BD99" i="156"/>
  <c r="AI35" i="99" s="1"/>
  <c r="BD100" i="156"/>
  <c r="AI36" i="99" s="1"/>
  <c r="BD101" i="156"/>
  <c r="AI37" i="99" s="1"/>
  <c r="BD102" i="156"/>
  <c r="AI38" i="99" s="1"/>
  <c r="BD103" i="156"/>
  <c r="AI39" i="99" s="1"/>
  <c r="BD104" i="156"/>
  <c r="AI40" i="99" s="1"/>
  <c r="BD105" i="156"/>
  <c r="AI41" i="99" s="1"/>
  <c r="BD106" i="156"/>
  <c r="BD107" i="156"/>
  <c r="AI43" i="99" s="1"/>
  <c r="BD108" i="156"/>
  <c r="AI44" i="99" s="1"/>
  <c r="BD109" i="156"/>
  <c r="AI45" i="99" s="1"/>
  <c r="BD110" i="156"/>
  <c r="AI46" i="99" s="1"/>
  <c r="BD111" i="156"/>
  <c r="AI47" i="99" s="1"/>
  <c r="BD112" i="156"/>
  <c r="BD113" i="156"/>
  <c r="AI49" i="99" s="1"/>
  <c r="AI48" i="99" s="1"/>
  <c r="BD114" i="156"/>
  <c r="AI50" i="99" s="1"/>
  <c r="BD115" i="156"/>
  <c r="BD116" i="156"/>
  <c r="AI52" i="99" s="1"/>
  <c r="BD117" i="156"/>
  <c r="AI53" i="99" s="1"/>
  <c r="BD118" i="156"/>
  <c r="AI54" i="99" s="1"/>
  <c r="BD59" i="156"/>
  <c r="BC53" i="156"/>
  <c r="BC54" i="156"/>
  <c r="BB54" i="156"/>
  <c r="BB53" i="156"/>
  <c r="BC50" i="156"/>
  <c r="BC51" i="156"/>
  <c r="BC52" i="156"/>
  <c r="BB51" i="156"/>
  <c r="BB52" i="156"/>
  <c r="BB50" i="156"/>
  <c r="BC47" i="156"/>
  <c r="BC48" i="156"/>
  <c r="BC49" i="156"/>
  <c r="BB48" i="156"/>
  <c r="BB49" i="156"/>
  <c r="BB47" i="156"/>
  <c r="BC43" i="156"/>
  <c r="BC44" i="156"/>
  <c r="BC45" i="156"/>
  <c r="BC46" i="156"/>
  <c r="BB46" i="156"/>
  <c r="BB45" i="156"/>
  <c r="BB44" i="156"/>
  <c r="BB43" i="156"/>
  <c r="BC36" i="156"/>
  <c r="BC37" i="156"/>
  <c r="BC38" i="156"/>
  <c r="BC39" i="156"/>
  <c r="BC40" i="156"/>
  <c r="BC41" i="156"/>
  <c r="BC42" i="156"/>
  <c r="BB42" i="156"/>
  <c r="BB41" i="156"/>
  <c r="BB40" i="156"/>
  <c r="BB39" i="156"/>
  <c r="BB38" i="156"/>
  <c r="BB37" i="156"/>
  <c r="BB36" i="156"/>
  <c r="BC20" i="156"/>
  <c r="BC21" i="156"/>
  <c r="BC22" i="156"/>
  <c r="BC23" i="156"/>
  <c r="BC24" i="156"/>
  <c r="BC25" i="156"/>
  <c r="BC26" i="156"/>
  <c r="BC27" i="156"/>
  <c r="BC28" i="156"/>
  <c r="BC29" i="156"/>
  <c r="BC30" i="156"/>
  <c r="BC31" i="156"/>
  <c r="BC32" i="156"/>
  <c r="BC33" i="156"/>
  <c r="BC34" i="156"/>
  <c r="BC35" i="156"/>
  <c r="BC19" i="156"/>
  <c r="BB28" i="156"/>
  <c r="BB27" i="156"/>
  <c r="BB26" i="156"/>
  <c r="BB35" i="156"/>
  <c r="BB34" i="156"/>
  <c r="BB33" i="156"/>
  <c r="BB32" i="156"/>
  <c r="BB31" i="156"/>
  <c r="BB30" i="156"/>
  <c r="BB29" i="156"/>
  <c r="BB25" i="156"/>
  <c r="BB24" i="156"/>
  <c r="BC18" i="156"/>
  <c r="BB23" i="156"/>
  <c r="BB22" i="156"/>
  <c r="BB21" i="156"/>
  <c r="BB20" i="156"/>
  <c r="BB19" i="156"/>
  <c r="BB18" i="156"/>
  <c r="BC14" i="156"/>
  <c r="BC15" i="156"/>
  <c r="BC16" i="156"/>
  <c r="BC17" i="156"/>
  <c r="BB17" i="156"/>
  <c r="BB16" i="156"/>
  <c r="BB15" i="156"/>
  <c r="BB14" i="156"/>
  <c r="AI43" i="108"/>
  <c r="BT6" i="155"/>
  <c r="BS6" i="155"/>
  <c r="BR6" i="155"/>
  <c r="BU56" i="155"/>
  <c r="AI54" i="108" s="1"/>
  <c r="BU55" i="155"/>
  <c r="AI53" i="108" s="1"/>
  <c r="BU54" i="155"/>
  <c r="AI52" i="108" s="1"/>
  <c r="BU52" i="155"/>
  <c r="AI50" i="108" s="1"/>
  <c r="BU51" i="155"/>
  <c r="AI49" i="108" s="1"/>
  <c r="BU49" i="155"/>
  <c r="AI47" i="108" s="1"/>
  <c r="BU48" i="155"/>
  <c r="AI46" i="108" s="1"/>
  <c r="BU47" i="155"/>
  <c r="AI45" i="108" s="1"/>
  <c r="BU46" i="155"/>
  <c r="AI44" i="108" s="1"/>
  <c r="BU45" i="155"/>
  <c r="BU43" i="155"/>
  <c r="AI41" i="108" s="1"/>
  <c r="BU42" i="155"/>
  <c r="AI40" i="108" s="1"/>
  <c r="BU41" i="155"/>
  <c r="AI39" i="108" s="1"/>
  <c r="BU40" i="155"/>
  <c r="AI38" i="108" s="1"/>
  <c r="BU39" i="155"/>
  <c r="AI37" i="108" s="1"/>
  <c r="BU38" i="155"/>
  <c r="AI36" i="108" s="1"/>
  <c r="BU37" i="155"/>
  <c r="AI35" i="108" s="1"/>
  <c r="BU35" i="155"/>
  <c r="AI33" i="108" s="1"/>
  <c r="BU34" i="155"/>
  <c r="AI32" i="108" s="1"/>
  <c r="BU33" i="155"/>
  <c r="AI31" i="108" s="1"/>
  <c r="BU32" i="155"/>
  <c r="AI30" i="108" s="1"/>
  <c r="BU30" i="155"/>
  <c r="AI28" i="108" s="1"/>
  <c r="BU29" i="155"/>
  <c r="AI27" i="108" s="1"/>
  <c r="BU28" i="155"/>
  <c r="AI26" i="108" s="1"/>
  <c r="BU27" i="155"/>
  <c r="AI25" i="108" s="1"/>
  <c r="BU26" i="155"/>
  <c r="AI24" i="108" s="1"/>
  <c r="BU25" i="155"/>
  <c r="AI23" i="108" s="1"/>
  <c r="BU23" i="155"/>
  <c r="AI21" i="108" s="1"/>
  <c r="BU22" i="155"/>
  <c r="AI20" i="108" s="1"/>
  <c r="BU21" i="155"/>
  <c r="AI19" i="108" s="1"/>
  <c r="BU20" i="155"/>
  <c r="AI18" i="108" s="1"/>
  <c r="BU19" i="155"/>
  <c r="AI17" i="108" s="1"/>
  <c r="BU17" i="155"/>
  <c r="AI15" i="108" s="1"/>
  <c r="BU16" i="155"/>
  <c r="AI14" i="108" s="1"/>
  <c r="BU15" i="155"/>
  <c r="AI13" i="108" s="1"/>
  <c r="BU14" i="155"/>
  <c r="AI12" i="108" s="1"/>
  <c r="BU13" i="155"/>
  <c r="AI11" i="108" s="1"/>
  <c r="BU11" i="155"/>
  <c r="AI9" i="108" s="1"/>
  <c r="BU10" i="155"/>
  <c r="AI8" i="108" s="1"/>
  <c r="BU9" i="155"/>
  <c r="AI7" i="108" s="1"/>
  <c r="BU7" i="155"/>
  <c r="AI5" i="108" s="1"/>
  <c r="BU8" i="155" l="1"/>
  <c r="AI6" i="108" s="1"/>
  <c r="AI34" i="99"/>
  <c r="AI29" i="99"/>
  <c r="AI51" i="99"/>
  <c r="AI42" i="99"/>
  <c r="AI16" i="99"/>
  <c r="AI10" i="99"/>
  <c r="BU50" i="155"/>
  <c r="AI48" i="108" s="1"/>
  <c r="BU12" i="155"/>
  <c r="AI10" i="108" s="1"/>
  <c r="AI6" i="99"/>
  <c r="AI22" i="99"/>
  <c r="BU53" i="155"/>
  <c r="AI51" i="108" s="1"/>
  <c r="BU18" i="155"/>
  <c r="AI16" i="108" s="1"/>
  <c r="BU24" i="155"/>
  <c r="AI22" i="108" s="1"/>
  <c r="BU44" i="155"/>
  <c r="AI42" i="108" s="1"/>
  <c r="BU31" i="155"/>
  <c r="AI29" i="108" s="1"/>
  <c r="BU36" i="155"/>
  <c r="AI34" i="108" s="1"/>
  <c r="C170" i="169"/>
  <c r="C170" i="179"/>
  <c r="BU6" i="155" l="1"/>
  <c r="N28" i="197"/>
  <c r="N23" i="197"/>
  <c r="L6" i="197"/>
  <c r="L4" i="197"/>
  <c r="EY5" i="129" l="1"/>
  <c r="O1" i="192"/>
  <c r="HQ7" i="129" l="1"/>
  <c r="HR7" i="129"/>
  <c r="HS7" i="129"/>
  <c r="HQ8" i="129"/>
  <c r="HR8" i="129"/>
  <c r="HS8" i="129"/>
  <c r="HQ9" i="129"/>
  <c r="HR9" i="129"/>
  <c r="HS9" i="129"/>
  <c r="HQ10" i="129"/>
  <c r="HR10" i="129"/>
  <c r="HS10" i="129"/>
  <c r="HQ11" i="129"/>
  <c r="HR11" i="129"/>
  <c r="HS11" i="129"/>
  <c r="HQ12" i="129"/>
  <c r="HR12" i="129"/>
  <c r="HS12" i="129"/>
  <c r="HQ13" i="129"/>
  <c r="HR13" i="129"/>
  <c r="HS13" i="129"/>
  <c r="HQ14" i="129"/>
  <c r="HR14" i="129"/>
  <c r="HS14" i="129"/>
  <c r="HQ15" i="129"/>
  <c r="HR15" i="129"/>
  <c r="HS15" i="129"/>
  <c r="HQ16" i="129"/>
  <c r="HR16" i="129"/>
  <c r="HS16" i="129"/>
  <c r="HQ18" i="129"/>
  <c r="HR18" i="129"/>
  <c r="HS18" i="129"/>
  <c r="HQ19" i="129"/>
  <c r="HR19" i="129"/>
  <c r="HS19" i="129"/>
  <c r="HQ20" i="129"/>
  <c r="HR20" i="129"/>
  <c r="HS20" i="129"/>
  <c r="HQ21" i="129"/>
  <c r="HR21" i="129"/>
  <c r="HS21" i="129"/>
  <c r="HQ22" i="129"/>
  <c r="HR22" i="129"/>
  <c r="HS22" i="129"/>
  <c r="HQ23" i="129"/>
  <c r="HR23" i="129"/>
  <c r="HS23" i="129"/>
  <c r="HQ24" i="129"/>
  <c r="HR24" i="129"/>
  <c r="HS24" i="129"/>
  <c r="HQ25" i="129"/>
  <c r="HR25" i="129"/>
  <c r="HS25" i="129"/>
  <c r="HQ26" i="129"/>
  <c r="HR26" i="129"/>
  <c r="HS26" i="129"/>
  <c r="HQ27" i="129"/>
  <c r="HR27" i="129"/>
  <c r="HS27" i="129"/>
  <c r="HQ28" i="129"/>
  <c r="HR28" i="129"/>
  <c r="HS28" i="129"/>
  <c r="HQ29" i="129"/>
  <c r="HR29" i="129"/>
  <c r="HS29" i="129"/>
  <c r="HQ30" i="129"/>
  <c r="HR30" i="129"/>
  <c r="HS30" i="129"/>
  <c r="HQ31" i="129"/>
  <c r="HR31" i="129"/>
  <c r="HS31" i="129"/>
  <c r="HQ32" i="129"/>
  <c r="HR32" i="129"/>
  <c r="HS32" i="129"/>
  <c r="HQ33" i="129"/>
  <c r="HR33" i="129"/>
  <c r="HS33" i="129"/>
  <c r="HQ34" i="129"/>
  <c r="HR34" i="129"/>
  <c r="HS34" i="129"/>
  <c r="HQ35" i="129"/>
  <c r="HR35" i="129"/>
  <c r="HS35" i="129"/>
  <c r="HQ36" i="129"/>
  <c r="HR36" i="129"/>
  <c r="HS36" i="129"/>
  <c r="HQ37" i="129"/>
  <c r="HR37" i="129"/>
  <c r="HS37" i="129"/>
  <c r="HQ38" i="129"/>
  <c r="HR38" i="129"/>
  <c r="HS38" i="129"/>
  <c r="HQ39" i="129"/>
  <c r="HR39" i="129"/>
  <c r="HS39" i="129"/>
  <c r="HQ40" i="129"/>
  <c r="HR40" i="129"/>
  <c r="HS40" i="129"/>
  <c r="HQ41" i="129"/>
  <c r="HR41" i="129"/>
  <c r="HS41" i="129"/>
  <c r="HQ42" i="129"/>
  <c r="HR42" i="129"/>
  <c r="HS42" i="129"/>
  <c r="HQ43" i="129"/>
  <c r="HR43" i="129"/>
  <c r="HS43" i="129"/>
  <c r="HQ44" i="129"/>
  <c r="HR44" i="129"/>
  <c r="HS44" i="129"/>
  <c r="HQ45" i="129"/>
  <c r="HR45" i="129"/>
  <c r="HS45" i="129"/>
  <c r="HQ46" i="129"/>
  <c r="HR46" i="129"/>
  <c r="HS46" i="129"/>
  <c r="HQ47" i="129"/>
  <c r="HR47" i="129"/>
  <c r="HS47" i="129"/>
  <c r="HQ48" i="129"/>
  <c r="HR48" i="129"/>
  <c r="HS48" i="129"/>
  <c r="HQ49" i="129"/>
  <c r="HR49" i="129"/>
  <c r="HS49" i="129"/>
  <c r="HQ50" i="129"/>
  <c r="HR50" i="129"/>
  <c r="HS50" i="129"/>
  <c r="HQ51" i="129"/>
  <c r="HR51" i="129"/>
  <c r="HS51" i="129"/>
  <c r="HQ52" i="129"/>
  <c r="HR52" i="129"/>
  <c r="HS52" i="129"/>
  <c r="HQ53" i="129"/>
  <c r="HR53" i="129"/>
  <c r="HS53" i="129"/>
  <c r="HQ54" i="129"/>
  <c r="HR54" i="129"/>
  <c r="HS54" i="129"/>
  <c r="HQ55" i="129"/>
  <c r="HR55" i="129"/>
  <c r="HS55" i="129"/>
  <c r="HQ56" i="129"/>
  <c r="HR56" i="129"/>
  <c r="HS56" i="129"/>
  <c r="HQ57" i="129"/>
  <c r="HR57" i="129"/>
  <c r="HS57" i="129"/>
  <c r="HQ58" i="129"/>
  <c r="HR58" i="129"/>
  <c r="HS58" i="129"/>
  <c r="HQ59" i="129"/>
  <c r="HR59" i="129"/>
  <c r="HS59" i="129"/>
  <c r="HQ60" i="129"/>
  <c r="HR60" i="129"/>
  <c r="HS60" i="129"/>
  <c r="HQ61" i="129"/>
  <c r="HR61" i="129"/>
  <c r="HS61" i="129"/>
  <c r="HQ62" i="129"/>
  <c r="HR62" i="129"/>
  <c r="HS62" i="129"/>
  <c r="HQ63" i="129"/>
  <c r="HR63" i="129"/>
  <c r="HS63" i="129"/>
  <c r="HQ64" i="129"/>
  <c r="HR64" i="129"/>
  <c r="HS64" i="129"/>
  <c r="HQ65" i="129"/>
  <c r="HR65" i="129"/>
  <c r="HS65" i="129"/>
  <c r="HQ66" i="129"/>
  <c r="HR66" i="129"/>
  <c r="HS66" i="129"/>
  <c r="HQ67" i="129"/>
  <c r="HR67" i="129"/>
  <c r="HS67" i="129"/>
  <c r="HR6" i="129"/>
  <c r="HS6" i="129"/>
  <c r="HQ6" i="129"/>
  <c r="R71" i="204"/>
  <c r="S71" i="204"/>
  <c r="AB37" i="92" l="1"/>
  <c r="AC37" i="92" s="1"/>
  <c r="T71" i="204"/>
  <c r="V5" i="124" l="1"/>
  <c r="V62" i="124" s="1"/>
  <c r="AB36" i="92"/>
  <c r="AC36" i="92" s="1"/>
  <c r="T51" i="204"/>
  <c r="U75" i="204"/>
  <c r="AA35" i="92"/>
  <c r="AC35" i="92" l="1"/>
  <c r="X5" i="124"/>
  <c r="V36" i="124"/>
  <c r="I34" i="211" s="1"/>
  <c r="V44" i="124"/>
  <c r="I42" i="211" s="1"/>
  <c r="V67" i="124"/>
  <c r="V57" i="124"/>
  <c r="I55" i="211" s="1"/>
  <c r="V50" i="124"/>
  <c r="V41" i="124"/>
  <c r="V49" i="124"/>
  <c r="V54" i="124"/>
  <c r="V20" i="124"/>
  <c r="V24" i="124"/>
  <c r="I22" i="211" s="1"/>
  <c r="V53" i="124"/>
  <c r="V51" i="124"/>
  <c r="I49" i="211" s="1"/>
  <c r="V63" i="124"/>
  <c r="V61" i="124" s="1"/>
  <c r="V37" i="124"/>
  <c r="V27" i="124"/>
  <c r="V39" i="124"/>
  <c r="V25" i="124"/>
  <c r="I23" i="211" s="1"/>
  <c r="V43" i="124"/>
  <c r="I41" i="211" s="1"/>
  <c r="V22" i="124"/>
  <c r="V59" i="124"/>
  <c r="V38" i="124"/>
  <c r="V52" i="124"/>
  <c r="V66" i="124"/>
  <c r="V28" i="124"/>
  <c r="V45" i="124"/>
  <c r="V26" i="124"/>
  <c r="I24" i="211" s="1"/>
  <c r="V31" i="124"/>
  <c r="I29" i="211" s="1"/>
  <c r="V46" i="124"/>
  <c r="I44" i="211" s="1"/>
  <c r="V56" i="124"/>
  <c r="I54" i="211" s="1"/>
  <c r="V40" i="124"/>
  <c r="I38" i="211" s="1"/>
  <c r="V48" i="124"/>
  <c r="I46" i="211" s="1"/>
  <c r="V30" i="124"/>
  <c r="I28" i="211" s="1"/>
  <c r="V58" i="124"/>
  <c r="V33" i="124"/>
  <c r="I31" i="211" s="1"/>
  <c r="V32" i="124"/>
  <c r="I30" i="211" s="1"/>
  <c r="V21" i="124"/>
  <c r="I19" i="211" s="1"/>
  <c r="V34" i="124"/>
  <c r="V60" i="124"/>
  <c r="V65" i="124"/>
  <c r="AB35" i="92"/>
  <c r="W5" i="124"/>
  <c r="I20" i="211"/>
  <c r="I65" i="211"/>
  <c r="I60" i="211"/>
  <c r="I51" i="211"/>
  <c r="X39" i="124" l="1"/>
  <c r="I37" i="213" s="1"/>
  <c r="X65" i="124"/>
  <c r="X40" i="124"/>
  <c r="I38" i="213" s="1"/>
  <c r="X20" i="124"/>
  <c r="X41" i="124"/>
  <c r="I39" i="213" s="1"/>
  <c r="X33" i="124"/>
  <c r="I31" i="213" s="1"/>
  <c r="X25" i="124"/>
  <c r="I23" i="213" s="1"/>
  <c r="X46" i="124"/>
  <c r="I44" i="213" s="1"/>
  <c r="X63" i="124"/>
  <c r="I61" i="213" s="1"/>
  <c r="X30" i="124"/>
  <c r="X49" i="124"/>
  <c r="I47" i="213" s="1"/>
  <c r="X31" i="124"/>
  <c r="I29" i="213" s="1"/>
  <c r="X56" i="124"/>
  <c r="X32" i="124"/>
  <c r="I30" i="213" s="1"/>
  <c r="X57" i="124"/>
  <c r="I55" i="213" s="1"/>
  <c r="X50" i="124"/>
  <c r="I48" i="213" s="1"/>
  <c r="X22" i="124"/>
  <c r="I20" i="213" s="1"/>
  <c r="X44" i="124"/>
  <c r="I42" i="213" s="1"/>
  <c r="X27" i="124"/>
  <c r="I25" i="213" s="1"/>
  <c r="X38" i="124"/>
  <c r="I36" i="213" s="1"/>
  <c r="X58" i="124"/>
  <c r="I56" i="213" s="1"/>
  <c r="X53" i="124"/>
  <c r="I51" i="213" s="1"/>
  <c r="X36" i="124"/>
  <c r="X48" i="124"/>
  <c r="X45" i="124"/>
  <c r="I43" i="213" s="1"/>
  <c r="X28" i="124"/>
  <c r="I26" i="213" s="1"/>
  <c r="X24" i="124"/>
  <c r="X37" i="124"/>
  <c r="I35" i="213" s="1"/>
  <c r="X66" i="124"/>
  <c r="I64" i="213" s="1"/>
  <c r="X51" i="124"/>
  <c r="I49" i="213" s="1"/>
  <c r="X34" i="124"/>
  <c r="I32" i="213" s="1"/>
  <c r="X21" i="124"/>
  <c r="I19" i="213" s="1"/>
  <c r="X67" i="124"/>
  <c r="I65" i="213" s="1"/>
  <c r="X60" i="124"/>
  <c r="I58" i="213" s="1"/>
  <c r="X52" i="124"/>
  <c r="I50" i="213" s="1"/>
  <c r="X62" i="124"/>
  <c r="X26" i="124"/>
  <c r="I24" i="213" s="1"/>
  <c r="X59" i="124"/>
  <c r="I57" i="213" s="1"/>
  <c r="X54" i="124"/>
  <c r="I52" i="213" s="1"/>
  <c r="X43" i="124"/>
  <c r="I48" i="211"/>
  <c r="I57" i="211"/>
  <c r="I50" i="211"/>
  <c r="I39" i="211"/>
  <c r="I36" i="211"/>
  <c r="I18" i="211"/>
  <c r="I52" i="211"/>
  <c r="V42" i="124"/>
  <c r="I43" i="211"/>
  <c r="V23" i="124"/>
  <c r="V9" i="124" s="1"/>
  <c r="I26" i="211"/>
  <c r="V47" i="124"/>
  <c r="V13" i="124" s="1"/>
  <c r="I25" i="211"/>
  <c r="V35" i="124"/>
  <c r="I33" i="211" s="1"/>
  <c r="I61" i="211"/>
  <c r="I35" i="211"/>
  <c r="I64" i="211"/>
  <c r="I47" i="211"/>
  <c r="I37" i="211"/>
  <c r="I56" i="211"/>
  <c r="I32" i="211"/>
  <c r="V64" i="124"/>
  <c r="V16" i="124" s="1"/>
  <c r="I63" i="211"/>
  <c r="V19" i="124"/>
  <c r="V55" i="124"/>
  <c r="I53" i="211" s="1"/>
  <c r="V29" i="124"/>
  <c r="I58" i="211"/>
  <c r="W49" i="124"/>
  <c r="I47" i="212" s="1"/>
  <c r="W27" i="124"/>
  <c r="I25" i="212" s="1"/>
  <c r="W31" i="124"/>
  <c r="I29" i="212" s="1"/>
  <c r="W65" i="124"/>
  <c r="I63" i="212" s="1"/>
  <c r="W46" i="124"/>
  <c r="I44" i="212" s="1"/>
  <c r="W56" i="124"/>
  <c r="I54" i="212" s="1"/>
  <c r="W44" i="124"/>
  <c r="I42" i="212" s="1"/>
  <c r="W34" i="124"/>
  <c r="I32" i="212" s="1"/>
  <c r="W41" i="124"/>
  <c r="I39" i="212" s="1"/>
  <c r="W63" i="124"/>
  <c r="I61" i="212" s="1"/>
  <c r="W22" i="124"/>
  <c r="I20" i="212" s="1"/>
  <c r="W21" i="124"/>
  <c r="I19" i="212" s="1"/>
  <c r="W25" i="124"/>
  <c r="I23" i="212" s="1"/>
  <c r="W39" i="124"/>
  <c r="I37" i="212" s="1"/>
  <c r="W66" i="124"/>
  <c r="I64" i="212" s="1"/>
  <c r="W51" i="124"/>
  <c r="I49" i="212" s="1"/>
  <c r="W30" i="124"/>
  <c r="I28" i="212" s="1"/>
  <c r="W54" i="124"/>
  <c r="I52" i="212" s="1"/>
  <c r="W58" i="124"/>
  <c r="I56" i="212" s="1"/>
  <c r="W57" i="124"/>
  <c r="I55" i="212" s="1"/>
  <c r="W53" i="124"/>
  <c r="I51" i="212" s="1"/>
  <c r="W37" i="124"/>
  <c r="I35" i="212" s="1"/>
  <c r="W62" i="124"/>
  <c r="I60" i="212" s="1"/>
  <c r="W26" i="124"/>
  <c r="I24" i="212" s="1"/>
  <c r="W33" i="124"/>
  <c r="I31" i="212" s="1"/>
  <c r="W36" i="124"/>
  <c r="I34" i="212" s="1"/>
  <c r="W38" i="124"/>
  <c r="I36" i="212" s="1"/>
  <c r="W48" i="124"/>
  <c r="I46" i="212" s="1"/>
  <c r="W59" i="124"/>
  <c r="I57" i="212" s="1"/>
  <c r="W67" i="124"/>
  <c r="I65" i="212" s="1"/>
  <c r="W43" i="124"/>
  <c r="I41" i="212" s="1"/>
  <c r="W50" i="124"/>
  <c r="I48" i="212" s="1"/>
  <c r="W40" i="124"/>
  <c r="I38" i="212" s="1"/>
  <c r="W32" i="124"/>
  <c r="I30" i="212" s="1"/>
  <c r="W45" i="124"/>
  <c r="I43" i="212" s="1"/>
  <c r="W24" i="124"/>
  <c r="I22" i="212" s="1"/>
  <c r="W60" i="124"/>
  <c r="I58" i="212" s="1"/>
  <c r="W20" i="124"/>
  <c r="I18" i="212" s="1"/>
  <c r="W28" i="124"/>
  <c r="I26" i="212" s="1"/>
  <c r="W52" i="124"/>
  <c r="I50" i="212" s="1"/>
  <c r="V15" i="124"/>
  <c r="I59" i="211"/>
  <c r="H84" i="196"/>
  <c r="H83" i="196"/>
  <c r="H81" i="196"/>
  <c r="H79" i="196"/>
  <c r="H78" i="196"/>
  <c r="H77" i="196"/>
  <c r="H76" i="196"/>
  <c r="H80" i="196"/>
  <c r="H82" i="196"/>
  <c r="H85" i="196"/>
  <c r="I41" i="213" l="1"/>
  <c r="X42" i="124"/>
  <c r="I46" i="213"/>
  <c r="X47" i="124"/>
  <c r="I34" i="213"/>
  <c r="X35" i="124"/>
  <c r="I54" i="213"/>
  <c r="X55" i="124"/>
  <c r="I60" i="213"/>
  <c r="X61" i="124"/>
  <c r="I18" i="213"/>
  <c r="X19" i="124"/>
  <c r="I22" i="213"/>
  <c r="X23" i="124"/>
  <c r="X29" i="124"/>
  <c r="I28" i="213"/>
  <c r="I63" i="213"/>
  <c r="X64" i="124"/>
  <c r="V11" i="124"/>
  <c r="I40" i="211"/>
  <c r="V12" i="124"/>
  <c r="I21" i="211"/>
  <c r="V14" i="124"/>
  <c r="I62" i="211"/>
  <c r="I45" i="211"/>
  <c r="I27" i="211"/>
  <c r="V8" i="124"/>
  <c r="V10" i="124"/>
  <c r="I17" i="211"/>
  <c r="W42" i="124"/>
  <c r="W19" i="124"/>
  <c r="W55" i="124"/>
  <c r="W35" i="124"/>
  <c r="W29" i="124"/>
  <c r="W61" i="124"/>
  <c r="W23" i="124"/>
  <c r="W47" i="124"/>
  <c r="W64" i="124"/>
  <c r="H75" i="196"/>
  <c r="AJ6" i="123"/>
  <c r="X14" i="124" l="1"/>
  <c r="I53" i="213"/>
  <c r="I33" i="213"/>
  <c r="I9" i="213" s="1"/>
  <c r="I121" i="200" s="1"/>
  <c r="X11" i="124"/>
  <c r="X9" i="124"/>
  <c r="I21" i="213"/>
  <c r="I7" i="213" s="1"/>
  <c r="I119" i="200" s="1"/>
  <c r="X8" i="124"/>
  <c r="I17" i="213"/>
  <c r="I6" i="213" s="1"/>
  <c r="I118" i="200" s="1"/>
  <c r="X13" i="124"/>
  <c r="I45" i="213"/>
  <c r="I11" i="213" s="1"/>
  <c r="I123" i="200" s="1"/>
  <c r="X16" i="124"/>
  <c r="I62" i="213"/>
  <c r="I14" i="213" s="1"/>
  <c r="I126" i="200" s="1"/>
  <c r="X15" i="124"/>
  <c r="I59" i="213"/>
  <c r="I13" i="213" s="1"/>
  <c r="I125" i="200" s="1"/>
  <c r="I40" i="213"/>
  <c r="I10" i="213" s="1"/>
  <c r="I122" i="200" s="1"/>
  <c r="X12" i="124"/>
  <c r="X10" i="124"/>
  <c r="I27" i="213"/>
  <c r="W13" i="124"/>
  <c r="I45" i="212"/>
  <c r="W9" i="124"/>
  <c r="I21" i="212"/>
  <c r="I7" i="212" s="1"/>
  <c r="I87" i="200" s="1"/>
  <c r="I135" i="200" s="1"/>
  <c r="W15" i="124"/>
  <c r="I59" i="212"/>
  <c r="I13" i="212" s="1"/>
  <c r="I93" i="200" s="1"/>
  <c r="W10" i="124"/>
  <c r="I27" i="212"/>
  <c r="I8" i="212" s="1"/>
  <c r="I88" i="200" s="1"/>
  <c r="W11" i="124"/>
  <c r="I33" i="212"/>
  <c r="I9" i="212" s="1"/>
  <c r="I89" i="200" s="1"/>
  <c r="W14" i="124"/>
  <c r="I53" i="212"/>
  <c r="I12" i="212" s="1"/>
  <c r="I92" i="200" s="1"/>
  <c r="W8" i="124"/>
  <c r="I17" i="212"/>
  <c r="I6" i="212" s="1"/>
  <c r="I86" i="200" s="1"/>
  <c r="W16" i="124"/>
  <c r="I62" i="212"/>
  <c r="I14" i="212" s="1"/>
  <c r="I94" i="200" s="1"/>
  <c r="W12" i="124"/>
  <c r="I40" i="212"/>
  <c r="V18" i="124"/>
  <c r="V7" i="124" s="1"/>
  <c r="V6" i="124" s="1"/>
  <c r="I8" i="213"/>
  <c r="I120" i="200" s="1"/>
  <c r="I12" i="213"/>
  <c r="I124" i="200" s="1"/>
  <c r="AJ53" i="123"/>
  <c r="FF53" i="129" s="1"/>
  <c r="AJ44" i="123"/>
  <c r="FF44" i="129" s="1"/>
  <c r="AJ34" i="123"/>
  <c r="FF34" i="129" s="1"/>
  <c r="AJ30" i="123"/>
  <c r="AJ20" i="123"/>
  <c r="AJ67" i="123"/>
  <c r="FF67" i="129" s="1"/>
  <c r="AJ62" i="123"/>
  <c r="AJ57" i="123"/>
  <c r="FF57" i="129" s="1"/>
  <c r="AJ52" i="123"/>
  <c r="FF52" i="129" s="1"/>
  <c r="AJ48" i="123"/>
  <c r="AJ43" i="123"/>
  <c r="FF43" i="129" s="1"/>
  <c r="AJ38" i="123"/>
  <c r="FF38" i="129" s="1"/>
  <c r="AJ33" i="123"/>
  <c r="FF33" i="129" s="1"/>
  <c r="AJ28" i="123"/>
  <c r="FF28" i="129" s="1"/>
  <c r="AJ24" i="123"/>
  <c r="AJ58" i="123"/>
  <c r="FF58" i="129" s="1"/>
  <c r="AJ49" i="123"/>
  <c r="FF49" i="129" s="1"/>
  <c r="AJ39" i="123"/>
  <c r="FF39" i="129" s="1"/>
  <c r="AJ25" i="123"/>
  <c r="FF25" i="129" s="1"/>
  <c r="AJ66" i="123"/>
  <c r="FF66" i="129" s="1"/>
  <c r="AJ60" i="123"/>
  <c r="FF60" i="129" s="1"/>
  <c r="AJ56" i="123"/>
  <c r="AJ51" i="123"/>
  <c r="FF51" i="129" s="1"/>
  <c r="AJ46" i="123"/>
  <c r="AJ41" i="123"/>
  <c r="FF41" i="129" s="1"/>
  <c r="AJ37" i="123"/>
  <c r="FF37" i="129" s="1"/>
  <c r="AJ32" i="123"/>
  <c r="FF32" i="129" s="1"/>
  <c r="AJ27" i="123"/>
  <c r="FF27" i="129" s="1"/>
  <c r="AJ22" i="123"/>
  <c r="FF22" i="129" s="1"/>
  <c r="AJ63" i="123"/>
  <c r="FF63" i="129" s="1"/>
  <c r="AJ65" i="123"/>
  <c r="AJ59" i="123"/>
  <c r="FF59" i="129" s="1"/>
  <c r="AJ54" i="123"/>
  <c r="FF54" i="129" s="1"/>
  <c r="AJ50" i="123"/>
  <c r="FF50" i="129" s="1"/>
  <c r="AJ45" i="123"/>
  <c r="FF45" i="129" s="1"/>
  <c r="AJ40" i="123"/>
  <c r="FF40" i="129" s="1"/>
  <c r="AJ36" i="123"/>
  <c r="AJ31" i="123"/>
  <c r="FF31" i="129" s="1"/>
  <c r="AJ26" i="123"/>
  <c r="FF26" i="129" s="1"/>
  <c r="AJ21" i="123"/>
  <c r="FF21" i="129" s="1"/>
  <c r="I134" i="200" l="1"/>
  <c r="I140" i="200"/>
  <c r="W18" i="124"/>
  <c r="I16" i="212" s="1"/>
  <c r="I5" i="212" s="1"/>
  <c r="I85" i="200" s="1"/>
  <c r="I16" i="211"/>
  <c r="X18" i="124"/>
  <c r="I137" i="200"/>
  <c r="I142" i="200"/>
  <c r="I136" i="200"/>
  <c r="I10" i="212"/>
  <c r="I90" i="200" s="1"/>
  <c r="I138" i="200" s="1"/>
  <c r="I11" i="212"/>
  <c r="I91" i="200" s="1"/>
  <c r="I139" i="200" s="1"/>
  <c r="I141" i="200"/>
  <c r="V17" i="124"/>
  <c r="W7" i="124"/>
  <c r="W6" i="124" s="1"/>
  <c r="W17" i="124"/>
  <c r="AJ29" i="123"/>
  <c r="FF30" i="129"/>
  <c r="AJ64" i="123"/>
  <c r="FF65" i="129"/>
  <c r="AJ23" i="123"/>
  <c r="FF24" i="129"/>
  <c r="AJ61" i="123"/>
  <c r="FF62" i="129"/>
  <c r="AJ42" i="123"/>
  <c r="FF46" i="129"/>
  <c r="AJ55" i="123"/>
  <c r="FF56" i="129"/>
  <c r="AJ47" i="123"/>
  <c r="FF48" i="129"/>
  <c r="AJ35" i="123"/>
  <c r="FF36" i="129"/>
  <c r="AJ19" i="123"/>
  <c r="FF20" i="129"/>
  <c r="I16" i="213" l="1"/>
  <c r="I5" i="213" s="1"/>
  <c r="I117" i="200" s="1"/>
  <c r="I133" i="200" s="1"/>
  <c r="X7" i="124"/>
  <c r="X6" i="124" s="1"/>
  <c r="X17" i="124"/>
  <c r="I4" i="212"/>
  <c r="I84" i="200" s="1"/>
  <c r="I4" i="213"/>
  <c r="I116" i="200" s="1"/>
  <c r="AJ11" i="123"/>
  <c r="FF35" i="129"/>
  <c r="AJ14" i="123"/>
  <c r="FF55" i="129"/>
  <c r="AJ15" i="123"/>
  <c r="FF61" i="129"/>
  <c r="AJ16" i="123"/>
  <c r="FF64" i="129"/>
  <c r="AJ8" i="123"/>
  <c r="FF19" i="129"/>
  <c r="AJ13" i="123"/>
  <c r="FF47" i="129"/>
  <c r="AJ12" i="123"/>
  <c r="FF42" i="129"/>
  <c r="AJ9" i="123"/>
  <c r="FF23" i="129"/>
  <c r="AJ10" i="123"/>
  <c r="FF29" i="129"/>
  <c r="I132" i="200" l="1"/>
  <c r="AJ18" i="123"/>
  <c r="AQ63" i="86"/>
  <c r="AQ60" i="86"/>
  <c r="AQ54" i="86"/>
  <c r="AQ46" i="86"/>
  <c r="AQ41" i="86"/>
  <c r="AQ34" i="86"/>
  <c r="AQ28" i="86"/>
  <c r="AQ22" i="86"/>
  <c r="AQ18" i="86"/>
  <c r="AQ8" i="86"/>
  <c r="AJ7" i="123" l="1"/>
  <c r="AJ17" i="123"/>
  <c r="AQ7" i="86"/>
  <c r="FF18" i="129" l="1"/>
  <c r="R18" i="158"/>
  <c r="R70" i="204"/>
  <c r="S70" i="204"/>
  <c r="T70" i="204" l="1"/>
  <c r="Z23" i="176"/>
  <c r="Z19" i="176"/>
  <c r="T50" i="204" l="1"/>
  <c r="U74" i="204"/>
  <c r="HV16" i="129"/>
  <c r="HV14" i="129"/>
  <c r="HV13" i="129"/>
  <c r="HV12" i="129"/>
  <c r="HV11" i="129"/>
  <c r="HV10" i="129"/>
  <c r="HV9" i="129"/>
  <c r="HV8" i="129"/>
  <c r="HV15" i="129"/>
  <c r="HV7" i="129"/>
  <c r="HV6" i="129" l="1"/>
  <c r="M28" i="197"/>
  <c r="M23" i="197"/>
  <c r="U77" i="121" l="1"/>
  <c r="U78" i="121"/>
  <c r="U79" i="121"/>
  <c r="U80" i="121"/>
  <c r="U81" i="121"/>
  <c r="U82" i="121"/>
  <c r="U83" i="121"/>
  <c r="U84" i="121"/>
  <c r="U85" i="121"/>
  <c r="U86" i="121"/>
  <c r="U87" i="121"/>
  <c r="U88" i="121"/>
  <c r="U89" i="121"/>
  <c r="U90" i="121"/>
  <c r="U91" i="121"/>
  <c r="U92" i="121"/>
  <c r="U93" i="121"/>
  <c r="U94" i="121"/>
  <c r="U95" i="121"/>
  <c r="U96" i="121"/>
  <c r="U97" i="121"/>
  <c r="U98" i="121"/>
  <c r="U99" i="121"/>
  <c r="U100" i="121"/>
  <c r="U101" i="121"/>
  <c r="U102" i="121"/>
  <c r="U103" i="121"/>
  <c r="U104" i="121"/>
  <c r="U105" i="121"/>
  <c r="U106" i="121"/>
  <c r="U107" i="121"/>
  <c r="U108" i="121"/>
  <c r="U109" i="121"/>
  <c r="U110" i="121"/>
  <c r="U111" i="121"/>
  <c r="U112" i="121"/>
  <c r="U113" i="121"/>
  <c r="U114" i="121"/>
  <c r="U115" i="121"/>
  <c r="U116" i="121"/>
  <c r="U117" i="121"/>
  <c r="U118" i="121"/>
  <c r="U119" i="121"/>
  <c r="U120" i="121"/>
  <c r="U121" i="121"/>
  <c r="U122" i="121"/>
  <c r="U123" i="121"/>
  <c r="U124" i="121"/>
  <c r="U125" i="121"/>
  <c r="U126" i="121"/>
  <c r="U127" i="121"/>
  <c r="U128" i="121"/>
  <c r="U129" i="121"/>
  <c r="U130" i="121"/>
  <c r="U131" i="121"/>
  <c r="U132" i="121"/>
  <c r="U133" i="121"/>
  <c r="U134" i="121"/>
  <c r="U135" i="121"/>
  <c r="U136" i="121"/>
  <c r="U137" i="121"/>
  <c r="U76" i="121"/>
  <c r="GK16" i="129" l="1"/>
  <c r="GK15" i="129"/>
  <c r="GK14" i="129"/>
  <c r="GK13" i="129"/>
  <c r="GK12" i="129"/>
  <c r="GK11" i="129"/>
  <c r="GK10" i="129"/>
  <c r="GK9" i="129"/>
  <c r="GK8" i="129"/>
  <c r="GK7" i="129"/>
  <c r="GK6" i="129" l="1"/>
  <c r="U76" i="124"/>
  <c r="U77" i="124"/>
  <c r="U78" i="124"/>
  <c r="U79" i="124"/>
  <c r="U80" i="124"/>
  <c r="U81" i="124"/>
  <c r="U82" i="124"/>
  <c r="U83" i="124"/>
  <c r="U84" i="124"/>
  <c r="U85" i="124"/>
  <c r="U86" i="124"/>
  <c r="U88" i="124"/>
  <c r="U89" i="124"/>
  <c r="U90" i="124"/>
  <c r="U91" i="124"/>
  <c r="U92" i="124"/>
  <c r="U93" i="124"/>
  <c r="U94" i="124"/>
  <c r="U95" i="124"/>
  <c r="U96" i="124"/>
  <c r="U97" i="124"/>
  <c r="U98" i="124"/>
  <c r="U99" i="124"/>
  <c r="U100" i="124"/>
  <c r="U101" i="124"/>
  <c r="U102" i="124"/>
  <c r="U103" i="124"/>
  <c r="U104" i="124"/>
  <c r="U105" i="124"/>
  <c r="U106" i="124"/>
  <c r="U107" i="124"/>
  <c r="U108" i="124"/>
  <c r="U109" i="124"/>
  <c r="U110" i="124"/>
  <c r="U111" i="124"/>
  <c r="U112" i="124"/>
  <c r="U113" i="124"/>
  <c r="U114" i="124"/>
  <c r="U115" i="124"/>
  <c r="U116" i="124"/>
  <c r="U117" i="124"/>
  <c r="U118" i="124"/>
  <c r="U119" i="124"/>
  <c r="U120" i="124"/>
  <c r="U121" i="124"/>
  <c r="U122" i="124"/>
  <c r="U123" i="124"/>
  <c r="U124" i="124"/>
  <c r="U125" i="124"/>
  <c r="U126" i="124"/>
  <c r="U127" i="124"/>
  <c r="U128" i="124"/>
  <c r="U129" i="124"/>
  <c r="U130" i="124"/>
  <c r="U131" i="124"/>
  <c r="U132" i="124"/>
  <c r="U133" i="124"/>
  <c r="U134" i="124"/>
  <c r="U135" i="124"/>
  <c r="U136" i="124"/>
  <c r="U137" i="124"/>
  <c r="AM19" i="116"/>
  <c r="AM20" i="116"/>
  <c r="AM21" i="116"/>
  <c r="AM23" i="116"/>
  <c r="AM24" i="116"/>
  <c r="AM25" i="116"/>
  <c r="AM26" i="116"/>
  <c r="AM27" i="116"/>
  <c r="AM29" i="116"/>
  <c r="AM30" i="116"/>
  <c r="AM31" i="116"/>
  <c r="AM32" i="116"/>
  <c r="AM33" i="116"/>
  <c r="AM35" i="116"/>
  <c r="AM36" i="116"/>
  <c r="AM37" i="116"/>
  <c r="AM38" i="116"/>
  <c r="AM39" i="116"/>
  <c r="AM40" i="116"/>
  <c r="AM42" i="116"/>
  <c r="AM43" i="116"/>
  <c r="AM44" i="116"/>
  <c r="AM45" i="116"/>
  <c r="AM47" i="116"/>
  <c r="AM48" i="116"/>
  <c r="AM49" i="116"/>
  <c r="AM50" i="116"/>
  <c r="AM51" i="116"/>
  <c r="AM52" i="116"/>
  <c r="AM53" i="116"/>
  <c r="AM55" i="116"/>
  <c r="AM56" i="116"/>
  <c r="AM57" i="116"/>
  <c r="AM58" i="116"/>
  <c r="AM59" i="116"/>
  <c r="AM61" i="116"/>
  <c r="AM62" i="116"/>
  <c r="AM64" i="116"/>
  <c r="AM65" i="116"/>
  <c r="AM66" i="116"/>
  <c r="AM41" i="116" l="1"/>
  <c r="AM11" i="116" s="1"/>
  <c r="AM60" i="116"/>
  <c r="AM14" i="116" s="1"/>
  <c r="AM18" i="116"/>
  <c r="AM7" i="116" s="1"/>
  <c r="AM63" i="116"/>
  <c r="AM15" i="116" s="1"/>
  <c r="AM34" i="116"/>
  <c r="AM10" i="116" s="1"/>
  <c r="AM22" i="116"/>
  <c r="AM8" i="116" s="1"/>
  <c r="AM54" i="116"/>
  <c r="AM13" i="116" s="1"/>
  <c r="AM28" i="116"/>
  <c r="AM9" i="116" s="1"/>
  <c r="AL6" i="116"/>
  <c r="AM17" i="116"/>
  <c r="AM6" i="116" s="1"/>
  <c r="AM46" i="116"/>
  <c r="AM12" i="116" s="1"/>
  <c r="AL63" i="116"/>
  <c r="AL15" i="116" s="1"/>
  <c r="AL60" i="116"/>
  <c r="AL14" i="116" s="1"/>
  <c r="AL54" i="116"/>
  <c r="AL13" i="116" s="1"/>
  <c r="AL46" i="116"/>
  <c r="AL12" i="116" s="1"/>
  <c r="AL41" i="116"/>
  <c r="AL11" i="116" s="1"/>
  <c r="AL34" i="116"/>
  <c r="AL10" i="116" s="1"/>
  <c r="AL28" i="116"/>
  <c r="AL9" i="116" s="1"/>
  <c r="AL22" i="116"/>
  <c r="AL8" i="116" s="1"/>
  <c r="AL18" i="116"/>
  <c r="AL7" i="116" s="1"/>
  <c r="AM5" i="116" l="1"/>
  <c r="AM4" i="116" s="1"/>
  <c r="AL5" i="116"/>
  <c r="AL4" i="116" s="1"/>
  <c r="U17" i="110"/>
  <c r="BQ56" i="155" l="1"/>
  <c r="AH54" i="108" s="1"/>
  <c r="BQ55" i="155"/>
  <c r="AH53" i="108" s="1"/>
  <c r="BQ54" i="155"/>
  <c r="AH52" i="108" s="1"/>
  <c r="BQ52" i="155"/>
  <c r="AH50" i="108" s="1"/>
  <c r="BQ51" i="155"/>
  <c r="AH49" i="108" s="1"/>
  <c r="BQ49" i="155"/>
  <c r="AH47" i="108" s="1"/>
  <c r="BQ48" i="155"/>
  <c r="BQ47" i="155"/>
  <c r="AH45" i="108" s="1"/>
  <c r="BQ46" i="155"/>
  <c r="AH44" i="108" s="1"/>
  <c r="BQ45" i="155"/>
  <c r="AH43" i="108" s="1"/>
  <c r="BP6" i="155"/>
  <c r="BQ43" i="155"/>
  <c r="AH41" i="108" s="1"/>
  <c r="BQ42" i="155"/>
  <c r="AH40" i="108" s="1"/>
  <c r="BQ41" i="155"/>
  <c r="AH39" i="108" s="1"/>
  <c r="BQ40" i="155"/>
  <c r="AH38" i="108" s="1"/>
  <c r="BQ39" i="155"/>
  <c r="BQ38" i="155"/>
  <c r="AH36" i="108" s="1"/>
  <c r="BQ37" i="155"/>
  <c r="BQ35" i="155"/>
  <c r="AH33" i="108" s="1"/>
  <c r="BQ34" i="155"/>
  <c r="AH32" i="108" s="1"/>
  <c r="BQ33" i="155"/>
  <c r="AH31" i="108" s="1"/>
  <c r="BQ32" i="155"/>
  <c r="AH30" i="108" s="1"/>
  <c r="BQ30" i="155"/>
  <c r="AH28" i="108" s="1"/>
  <c r="BQ29" i="155"/>
  <c r="AH27" i="108" s="1"/>
  <c r="BQ28" i="155"/>
  <c r="AH26" i="108" s="1"/>
  <c r="BQ27" i="155"/>
  <c r="AH25" i="108" s="1"/>
  <c r="BQ26" i="155"/>
  <c r="BQ25" i="155"/>
  <c r="AH23" i="108" s="1"/>
  <c r="BQ23" i="155"/>
  <c r="AH21" i="108" s="1"/>
  <c r="BQ22" i="155"/>
  <c r="AH20" i="108" s="1"/>
  <c r="BQ21" i="155"/>
  <c r="AH19" i="108" s="1"/>
  <c r="BQ20" i="155"/>
  <c r="AH18" i="108" s="1"/>
  <c r="BQ19" i="155"/>
  <c r="BQ17" i="155"/>
  <c r="BQ16" i="155"/>
  <c r="BQ15" i="155"/>
  <c r="BQ14" i="155"/>
  <c r="AH12" i="108" s="1"/>
  <c r="BQ13" i="155"/>
  <c r="AH11" i="108" s="1"/>
  <c r="BQ11" i="155"/>
  <c r="AH9" i="108" s="1"/>
  <c r="BQ10" i="155"/>
  <c r="AH8" i="108" s="1"/>
  <c r="BQ9" i="155"/>
  <c r="BN6" i="155"/>
  <c r="BQ7" i="155"/>
  <c r="AH5" i="108" s="1"/>
  <c r="BO6" i="155"/>
  <c r="BQ53" i="155" l="1"/>
  <c r="AH37" i="108"/>
  <c r="AH17" i="108"/>
  <c r="AH35" i="108"/>
  <c r="AH46" i="108"/>
  <c r="BQ24" i="155"/>
  <c r="AH24" i="108"/>
  <c r="BQ8" i="155"/>
  <c r="AH7" i="108"/>
  <c r="AH15" i="108"/>
  <c r="AH14" i="108"/>
  <c r="AH13" i="108"/>
  <c r="BQ50" i="155"/>
  <c r="BQ18" i="155"/>
  <c r="BQ44" i="155"/>
  <c r="BQ31" i="155"/>
  <c r="BQ36" i="155"/>
  <c r="BQ12" i="155"/>
  <c r="BQ6" i="155" l="1"/>
  <c r="R69" i="204"/>
  <c r="S69" i="204"/>
  <c r="U48" i="204"/>
  <c r="U54" i="204" s="1"/>
  <c r="T69" i="204" l="1"/>
  <c r="U73" i="204" s="1"/>
  <c r="T49" i="204" l="1"/>
  <c r="O15" i="207" l="1"/>
  <c r="W52" i="92" l="1"/>
  <c r="X52" i="92" s="1"/>
  <c r="Y52" i="92" s="1"/>
  <c r="Z52" i="92" s="1"/>
  <c r="AA52" i="92" s="1"/>
  <c r="AB52" i="92" s="1"/>
  <c r="AC52" i="92" s="1"/>
  <c r="W53" i="92"/>
  <c r="X53" i="92" s="1"/>
  <c r="Y53" i="92" s="1"/>
  <c r="Z53" i="92" s="1"/>
  <c r="AA53" i="92" s="1"/>
  <c r="AB53" i="92" s="1"/>
  <c r="AC53" i="92" s="1"/>
  <c r="W54" i="92"/>
  <c r="X54" i="92" s="1"/>
  <c r="Y54" i="92" s="1"/>
  <c r="Z54" i="92" s="1"/>
  <c r="AA54" i="92" s="1"/>
  <c r="AB54" i="92" s="1"/>
  <c r="AC54" i="92" s="1"/>
  <c r="W55" i="92"/>
  <c r="X55" i="92" s="1"/>
  <c r="Y55" i="92" s="1"/>
  <c r="Z55" i="92" s="1"/>
  <c r="AA55" i="92" s="1"/>
  <c r="AB55" i="92" s="1"/>
  <c r="AC55" i="92" s="1"/>
  <c r="W51" i="92"/>
  <c r="W56" i="92" l="1"/>
  <c r="X51" i="92"/>
  <c r="Y51" i="92" l="1"/>
  <c r="X56" i="92"/>
  <c r="AM121" i="114"/>
  <c r="AL159" i="114" l="1"/>
  <c r="AK167" i="114"/>
  <c r="AL151" i="114"/>
  <c r="AL139" i="114"/>
  <c r="AL127" i="114"/>
  <c r="Y56" i="92"/>
  <c r="Z51" i="92"/>
  <c r="AK168" i="114"/>
  <c r="AK165" i="114"/>
  <c r="AK159" i="114"/>
  <c r="AK151" i="114"/>
  <c r="AK139" i="114"/>
  <c r="AK127" i="114"/>
  <c r="AK123" i="114"/>
  <c r="AK146" i="114"/>
  <c r="AK133" i="114"/>
  <c r="AL156" i="114" l="1"/>
  <c r="AL169" i="114"/>
  <c r="AL147" i="114"/>
  <c r="AL137" i="114"/>
  <c r="AL141" i="114"/>
  <c r="AL134" i="114"/>
  <c r="AL164" i="114"/>
  <c r="AL129" i="114"/>
  <c r="AL153" i="114"/>
  <c r="AL163" i="114"/>
  <c r="AL131" i="114"/>
  <c r="AL170" i="114"/>
  <c r="AL125" i="114"/>
  <c r="AL155" i="114"/>
  <c r="AL136" i="114"/>
  <c r="AK122" i="114"/>
  <c r="AL144" i="114"/>
  <c r="AL157" i="114"/>
  <c r="AL135" i="114"/>
  <c r="AK138" i="114"/>
  <c r="AL143" i="114"/>
  <c r="AK150" i="114"/>
  <c r="AL149" i="114"/>
  <c r="AK126" i="114"/>
  <c r="AL148" i="114"/>
  <c r="AL161" i="114"/>
  <c r="Z56" i="92"/>
  <c r="AA51" i="92"/>
  <c r="AK158" i="114"/>
  <c r="AK132" i="114"/>
  <c r="AK145" i="114"/>
  <c r="AL162" i="114"/>
  <c r="AK135" i="114"/>
  <c r="AK143" i="114"/>
  <c r="AK124" i="114"/>
  <c r="AK136" i="114"/>
  <c r="AK144" i="114"/>
  <c r="AK152" i="114"/>
  <c r="AK160" i="114"/>
  <c r="AK169" i="114"/>
  <c r="AK125" i="114"/>
  <c r="AL133" i="114"/>
  <c r="AK141" i="114"/>
  <c r="AK153" i="114"/>
  <c r="AK161" i="114"/>
  <c r="AK163" i="114"/>
  <c r="AK134" i="114"/>
  <c r="AL146" i="114"/>
  <c r="AK162" i="114"/>
  <c r="AK164" i="114"/>
  <c r="AL130" i="114"/>
  <c r="AL142" i="114"/>
  <c r="AL154" i="114"/>
  <c r="AL123" i="114"/>
  <c r="AK131" i="114"/>
  <c r="AK147" i="114"/>
  <c r="AK155" i="114"/>
  <c r="AK128" i="114"/>
  <c r="AK140" i="114"/>
  <c r="AK148" i="114"/>
  <c r="AK156" i="114"/>
  <c r="AL168" i="114"/>
  <c r="AK166" i="114"/>
  <c r="AL121" i="114"/>
  <c r="AK129" i="114"/>
  <c r="AK137" i="114"/>
  <c r="AK149" i="114"/>
  <c r="AK157" i="114"/>
  <c r="AL165" i="114"/>
  <c r="AK130" i="114"/>
  <c r="AK142" i="114"/>
  <c r="AK154" i="114"/>
  <c r="AK170" i="114"/>
  <c r="AK121" i="114"/>
  <c r="R67" i="204"/>
  <c r="S67" i="204"/>
  <c r="R68" i="204"/>
  <c r="S68" i="204"/>
  <c r="AA56" i="92" l="1"/>
  <c r="AB51" i="92"/>
  <c r="AL126" i="114"/>
  <c r="AL128" i="114"/>
  <c r="AL122" i="114"/>
  <c r="AL124" i="114"/>
  <c r="AL145" i="114"/>
  <c r="AL166" i="114"/>
  <c r="AL167" i="114"/>
  <c r="AL138" i="114"/>
  <c r="AL140" i="114"/>
  <c r="AL132" i="114"/>
  <c r="AL158" i="114"/>
  <c r="AL150" i="114"/>
  <c r="AL160" i="114"/>
  <c r="AL152" i="114"/>
  <c r="AR7" i="86"/>
  <c r="T67" i="204"/>
  <c r="T68" i="204"/>
  <c r="AB56" i="92" l="1"/>
  <c r="AC51" i="92"/>
  <c r="AC56" i="92" s="1"/>
  <c r="AK120" i="114"/>
  <c r="AX7" i="86"/>
  <c r="AS7" i="86"/>
  <c r="S52" i="204"/>
  <c r="U72" i="204"/>
  <c r="S51" i="204"/>
  <c r="U71" i="204"/>
  <c r="AO43" i="92"/>
  <c r="AA43" i="92" s="1"/>
  <c r="AL120" i="114" l="1"/>
  <c r="K6" i="197"/>
  <c r="L7" i="197" s="1"/>
  <c r="K4" i="197"/>
  <c r="L5" i="197" s="1"/>
  <c r="AM120" i="114" l="1"/>
  <c r="AN120" i="114"/>
  <c r="CG127" i="206"/>
  <c r="CF127" i="206"/>
  <c r="CE127" i="206"/>
  <c r="CD127" i="206"/>
  <c r="CA127" i="206"/>
  <c r="BH81" i="206" s="1"/>
  <c r="BZ127" i="206"/>
  <c r="BY127" i="206"/>
  <c r="BX127" i="206"/>
  <c r="BH78" i="206" s="1"/>
  <c r="BU127" i="206"/>
  <c r="BT127" i="206"/>
  <c r="BS127" i="206"/>
  <c r="AZ79" i="206" s="1"/>
  <c r="BA84" i="206" s="1"/>
  <c r="BR127" i="206"/>
  <c r="AZ78" i="206" s="1"/>
  <c r="BO127" i="206"/>
  <c r="BO128" i="206" s="1"/>
  <c r="BN127" i="206"/>
  <c r="BN128" i="206" s="1"/>
  <c r="BM127" i="206"/>
  <c r="BL127" i="206"/>
  <c r="AY78" i="206" s="1"/>
  <c r="AY83" i="206" s="1"/>
  <c r="CM108" i="206"/>
  <c r="CL108" i="206"/>
  <c r="CK108" i="206"/>
  <c r="CJ108" i="206"/>
  <c r="AX78" i="206" s="1"/>
  <c r="CG108" i="206"/>
  <c r="CF108" i="206"/>
  <c r="AW80" i="206" s="1"/>
  <c r="CE108" i="206"/>
  <c r="AW79" i="206" s="1"/>
  <c r="CD108" i="206"/>
  <c r="CA108" i="206"/>
  <c r="BZ108" i="206"/>
  <c r="AV80" i="206" s="1"/>
  <c r="BY108" i="206"/>
  <c r="AV79" i="206" s="1"/>
  <c r="BX108" i="206"/>
  <c r="AV78" i="206" s="1"/>
  <c r="BU108" i="206"/>
  <c r="BT108" i="206"/>
  <c r="AU80" i="206" s="1"/>
  <c r="BS108" i="206"/>
  <c r="AU79" i="206" s="1"/>
  <c r="BR108" i="206"/>
  <c r="BX109" i="206" s="1"/>
  <c r="BO108" i="206"/>
  <c r="BN108" i="206"/>
  <c r="BM108" i="206"/>
  <c r="AT79" i="206" s="1"/>
  <c r="BL108" i="206"/>
  <c r="CM90" i="206"/>
  <c r="AS81" i="206" s="1"/>
  <c r="CL90" i="206"/>
  <c r="AS80" i="206" s="1"/>
  <c r="CK90" i="206"/>
  <c r="AS79" i="206" s="1"/>
  <c r="CJ90" i="206"/>
  <c r="BL109" i="206" s="1"/>
  <c r="CG90" i="206"/>
  <c r="CF90" i="206"/>
  <c r="AR80" i="206" s="1"/>
  <c r="CE90" i="206"/>
  <c r="AR79" i="206" s="1"/>
  <c r="CD90" i="206"/>
  <c r="CA90" i="206"/>
  <c r="CA91" i="206" s="1"/>
  <c r="BZ90" i="206"/>
  <c r="AQ80" i="206" s="1"/>
  <c r="BY90" i="206"/>
  <c r="AQ79" i="206" s="1"/>
  <c r="BX90" i="206"/>
  <c r="AQ78" i="206" s="1"/>
  <c r="BU90" i="206"/>
  <c r="BT90" i="206"/>
  <c r="BS90" i="206"/>
  <c r="AP79" i="206" s="1"/>
  <c r="BR90" i="206"/>
  <c r="AP78" i="206" s="1"/>
  <c r="BO90" i="206"/>
  <c r="AO81" i="206" s="1"/>
  <c r="BN90" i="206"/>
  <c r="AO80" i="206" s="1"/>
  <c r="BM90" i="206"/>
  <c r="AO79" i="206" s="1"/>
  <c r="BL90" i="206"/>
  <c r="AO78" i="206" s="1"/>
  <c r="AJ170" i="206"/>
  <c r="AI170" i="206"/>
  <c r="AH170" i="206"/>
  <c r="AG170" i="206"/>
  <c r="AF170" i="206"/>
  <c r="AE170" i="206"/>
  <c r="AD170" i="206"/>
  <c r="AC170" i="206"/>
  <c r="AB170" i="206"/>
  <c r="AA170" i="206"/>
  <c r="Z170" i="206"/>
  <c r="Y170" i="206"/>
  <c r="X170" i="206"/>
  <c r="W170" i="206"/>
  <c r="V170" i="206"/>
  <c r="U170" i="206"/>
  <c r="T170" i="206"/>
  <c r="S170" i="206"/>
  <c r="R170" i="206"/>
  <c r="Q170" i="206"/>
  <c r="M170" i="206"/>
  <c r="H170" i="206"/>
  <c r="C170" i="206"/>
  <c r="AJ169" i="206"/>
  <c r="AI169" i="206"/>
  <c r="AH169" i="206"/>
  <c r="AG169" i="206"/>
  <c r="AF169" i="206"/>
  <c r="AE169" i="206"/>
  <c r="AD169" i="206"/>
  <c r="AC169" i="206"/>
  <c r="AB169" i="206"/>
  <c r="AA169" i="206"/>
  <c r="Z169" i="206"/>
  <c r="Y169" i="206"/>
  <c r="X169" i="206"/>
  <c r="W169" i="206"/>
  <c r="V169" i="206"/>
  <c r="U169" i="206"/>
  <c r="T169" i="206"/>
  <c r="S169" i="206"/>
  <c r="R169" i="206"/>
  <c r="Q169" i="206"/>
  <c r="M169" i="206"/>
  <c r="H169" i="206"/>
  <c r="C169" i="206"/>
  <c r="AJ168" i="206"/>
  <c r="AI168" i="206"/>
  <c r="AH168" i="206"/>
  <c r="AG168" i="206"/>
  <c r="AF168" i="206"/>
  <c r="AE168" i="206"/>
  <c r="AD168" i="206"/>
  <c r="AC168" i="206"/>
  <c r="AB168" i="206"/>
  <c r="AA168" i="206"/>
  <c r="Z168" i="206"/>
  <c r="Y168" i="206"/>
  <c r="X168" i="206"/>
  <c r="W168" i="206"/>
  <c r="V168" i="206"/>
  <c r="U168" i="206"/>
  <c r="T168" i="206"/>
  <c r="S168" i="206"/>
  <c r="R168" i="206"/>
  <c r="M168" i="206"/>
  <c r="H168" i="206"/>
  <c r="H52" i="206" s="1"/>
  <c r="C168" i="206"/>
  <c r="W167" i="206"/>
  <c r="C167" i="206"/>
  <c r="AJ166" i="206"/>
  <c r="AI166" i="206"/>
  <c r="AH166" i="206"/>
  <c r="AG166" i="206"/>
  <c r="AF166" i="206"/>
  <c r="AE166" i="206"/>
  <c r="AD166" i="206"/>
  <c r="AC166" i="206"/>
  <c r="AB166" i="206"/>
  <c r="AA166" i="206"/>
  <c r="Z166" i="206"/>
  <c r="Y166" i="206"/>
  <c r="X166" i="206"/>
  <c r="W166" i="206"/>
  <c r="V166" i="206"/>
  <c r="U166" i="206"/>
  <c r="T166" i="206"/>
  <c r="S166" i="206"/>
  <c r="R166" i="206"/>
  <c r="Q166" i="206"/>
  <c r="M166" i="206"/>
  <c r="H166" i="206"/>
  <c r="C166" i="206"/>
  <c r="AJ165" i="206"/>
  <c r="AI165" i="206"/>
  <c r="AH165" i="206"/>
  <c r="AG165" i="206"/>
  <c r="AF165" i="206"/>
  <c r="AE165" i="206"/>
  <c r="AD165" i="206"/>
  <c r="AC165" i="206"/>
  <c r="AB165" i="206"/>
  <c r="AA165" i="206"/>
  <c r="Z165" i="206"/>
  <c r="Y165" i="206"/>
  <c r="X165" i="206"/>
  <c r="W165" i="206"/>
  <c r="V165" i="206"/>
  <c r="U165" i="206"/>
  <c r="T165" i="206"/>
  <c r="S165" i="206"/>
  <c r="R165" i="206"/>
  <c r="Q165" i="206"/>
  <c r="M165" i="206"/>
  <c r="H165" i="206"/>
  <c r="C165" i="206"/>
  <c r="W164" i="206"/>
  <c r="C164" i="206"/>
  <c r="AJ163" i="206"/>
  <c r="AI163" i="206"/>
  <c r="AH163" i="206"/>
  <c r="AG163" i="206"/>
  <c r="AF163" i="206"/>
  <c r="AE163" i="206"/>
  <c r="AD163" i="206"/>
  <c r="AC163" i="206"/>
  <c r="AB163" i="206"/>
  <c r="AA163" i="206"/>
  <c r="Z163" i="206"/>
  <c r="Y163" i="206"/>
  <c r="X163" i="206"/>
  <c r="W163" i="206"/>
  <c r="V163" i="206"/>
  <c r="U163" i="206"/>
  <c r="T163" i="206"/>
  <c r="S163" i="206"/>
  <c r="R163" i="206"/>
  <c r="Q163" i="206"/>
  <c r="M163" i="206"/>
  <c r="H163" i="206"/>
  <c r="C163" i="206"/>
  <c r="AJ162" i="206"/>
  <c r="AI162" i="206"/>
  <c r="AH162" i="206"/>
  <c r="AG162" i="206"/>
  <c r="AF162" i="206"/>
  <c r="AE162" i="206"/>
  <c r="AD162" i="206"/>
  <c r="AC162" i="206"/>
  <c r="AB162" i="206"/>
  <c r="AA162" i="206"/>
  <c r="Z162" i="206"/>
  <c r="Y162" i="206"/>
  <c r="X162" i="206"/>
  <c r="W162" i="206"/>
  <c r="V162" i="206"/>
  <c r="U162" i="206"/>
  <c r="T162" i="206"/>
  <c r="S162" i="206"/>
  <c r="R162" i="206"/>
  <c r="Q162" i="206"/>
  <c r="M162" i="206"/>
  <c r="H162" i="206"/>
  <c r="C162" i="206"/>
  <c r="AJ161" i="206"/>
  <c r="AI161" i="206"/>
  <c r="AH161" i="206"/>
  <c r="AG161" i="206"/>
  <c r="AF161" i="206"/>
  <c r="AE161" i="206"/>
  <c r="AD161" i="206"/>
  <c r="AC161" i="206"/>
  <c r="AB161" i="206"/>
  <c r="AA161" i="206"/>
  <c r="Z161" i="206"/>
  <c r="Y161" i="206"/>
  <c r="X161" i="206"/>
  <c r="W161" i="206"/>
  <c r="V161" i="206"/>
  <c r="U161" i="206"/>
  <c r="T161" i="206"/>
  <c r="S161" i="206"/>
  <c r="R161" i="206"/>
  <c r="Q161" i="206"/>
  <c r="M161" i="206"/>
  <c r="H161" i="206"/>
  <c r="C161" i="206"/>
  <c r="AJ160" i="206"/>
  <c r="AI160" i="206"/>
  <c r="AH160" i="206"/>
  <c r="AG160" i="206"/>
  <c r="AF160" i="206"/>
  <c r="AE160" i="206"/>
  <c r="AD160" i="206"/>
  <c r="AC160" i="206"/>
  <c r="AB160" i="206"/>
  <c r="AA160" i="206"/>
  <c r="Z160" i="206"/>
  <c r="Y160" i="206"/>
  <c r="X160" i="206"/>
  <c r="W160" i="206"/>
  <c r="V160" i="206"/>
  <c r="U160" i="206"/>
  <c r="T160" i="206"/>
  <c r="S160" i="206"/>
  <c r="R160" i="206"/>
  <c r="Q160" i="206"/>
  <c r="M160" i="206"/>
  <c r="H160" i="206"/>
  <c r="C160" i="206"/>
  <c r="AJ159" i="206"/>
  <c r="AI159" i="206"/>
  <c r="AH159" i="206"/>
  <c r="AG159" i="206"/>
  <c r="AF159" i="206"/>
  <c r="AE159" i="206"/>
  <c r="AD159" i="206"/>
  <c r="AC159" i="206"/>
  <c r="AB159" i="206"/>
  <c r="AA159" i="206"/>
  <c r="Z159" i="206"/>
  <c r="Y159" i="206"/>
  <c r="X159" i="206"/>
  <c r="W159" i="206"/>
  <c r="V159" i="206"/>
  <c r="U159" i="206"/>
  <c r="T159" i="206"/>
  <c r="S159" i="206"/>
  <c r="R159" i="206"/>
  <c r="M159" i="206"/>
  <c r="H159" i="206"/>
  <c r="H43" i="206" s="1"/>
  <c r="C159" i="206"/>
  <c r="W158" i="206"/>
  <c r="C158" i="206"/>
  <c r="AJ157" i="206"/>
  <c r="AI157" i="206"/>
  <c r="AH157" i="206"/>
  <c r="AG157" i="206"/>
  <c r="AF157" i="206"/>
  <c r="AE157" i="206"/>
  <c r="AD157" i="206"/>
  <c r="AC157" i="206"/>
  <c r="AB157" i="206"/>
  <c r="AA157" i="206"/>
  <c r="Z157" i="206"/>
  <c r="Y157" i="206"/>
  <c r="X157" i="206"/>
  <c r="W157" i="206"/>
  <c r="V157" i="206"/>
  <c r="U157" i="206"/>
  <c r="T157" i="206"/>
  <c r="S157" i="206"/>
  <c r="R157" i="206"/>
  <c r="Q157" i="206"/>
  <c r="M157" i="206"/>
  <c r="H157" i="206"/>
  <c r="C157" i="206"/>
  <c r="AJ156" i="206"/>
  <c r="AI156" i="206"/>
  <c r="AH156" i="206"/>
  <c r="AG156" i="206"/>
  <c r="AF156" i="206"/>
  <c r="AE156" i="206"/>
  <c r="AD156" i="206"/>
  <c r="AC156" i="206"/>
  <c r="AB156" i="206"/>
  <c r="AA156" i="206"/>
  <c r="Z156" i="206"/>
  <c r="Y156" i="206"/>
  <c r="X156" i="206"/>
  <c r="W156" i="206"/>
  <c r="V156" i="206"/>
  <c r="U156" i="206"/>
  <c r="T156" i="206"/>
  <c r="S156" i="206"/>
  <c r="R156" i="206"/>
  <c r="Q156" i="206"/>
  <c r="M156" i="206"/>
  <c r="H156" i="206"/>
  <c r="C156" i="206"/>
  <c r="AJ155" i="206"/>
  <c r="AI155" i="206"/>
  <c r="AH155" i="206"/>
  <c r="AG155" i="206"/>
  <c r="AF155" i="206"/>
  <c r="AE155" i="206"/>
  <c r="AD155" i="206"/>
  <c r="AC155" i="206"/>
  <c r="AB155" i="206"/>
  <c r="AA155" i="206"/>
  <c r="Z155" i="206"/>
  <c r="Y155" i="206"/>
  <c r="X155" i="206"/>
  <c r="W155" i="206"/>
  <c r="V155" i="206"/>
  <c r="U155" i="206"/>
  <c r="T155" i="206"/>
  <c r="S155" i="206"/>
  <c r="R155" i="206"/>
  <c r="Q155" i="206"/>
  <c r="M155" i="206"/>
  <c r="H155" i="206"/>
  <c r="C155" i="206"/>
  <c r="AJ154" i="206"/>
  <c r="AI154" i="206"/>
  <c r="AH154" i="206"/>
  <c r="AG154" i="206"/>
  <c r="AF154" i="206"/>
  <c r="AE154" i="206"/>
  <c r="AD154" i="206"/>
  <c r="AC154" i="206"/>
  <c r="AB154" i="206"/>
  <c r="AA154" i="206"/>
  <c r="Z154" i="206"/>
  <c r="Y154" i="206"/>
  <c r="X154" i="206"/>
  <c r="W154" i="206"/>
  <c r="V154" i="206"/>
  <c r="U154" i="206"/>
  <c r="T154" i="206"/>
  <c r="S154" i="206"/>
  <c r="R154" i="206"/>
  <c r="Q154" i="206"/>
  <c r="M154" i="206"/>
  <c r="H154" i="206"/>
  <c r="C154" i="206"/>
  <c r="AJ153" i="206"/>
  <c r="AI153" i="206"/>
  <c r="AH153" i="206"/>
  <c r="AG153" i="206"/>
  <c r="AF153" i="206"/>
  <c r="AE153" i="206"/>
  <c r="AD153" i="206"/>
  <c r="AC153" i="206"/>
  <c r="AB153" i="206"/>
  <c r="AA153" i="206"/>
  <c r="Z153" i="206"/>
  <c r="Y153" i="206"/>
  <c r="X153" i="206"/>
  <c r="W153" i="206"/>
  <c r="V153" i="206"/>
  <c r="U153" i="206"/>
  <c r="T153" i="206"/>
  <c r="S153" i="206"/>
  <c r="R153" i="206"/>
  <c r="Q153" i="206"/>
  <c r="M153" i="206"/>
  <c r="H153" i="206"/>
  <c r="C153" i="206"/>
  <c r="AJ152" i="206"/>
  <c r="AI152" i="206"/>
  <c r="AH152" i="206"/>
  <c r="AG152" i="206"/>
  <c r="AF152" i="206"/>
  <c r="AE152" i="206"/>
  <c r="AD152" i="206"/>
  <c r="AC152" i="206"/>
  <c r="AB152" i="206"/>
  <c r="AA152" i="206"/>
  <c r="Z152" i="206"/>
  <c r="Y152" i="206"/>
  <c r="X152" i="206"/>
  <c r="W152" i="206"/>
  <c r="V152" i="206"/>
  <c r="U152" i="206"/>
  <c r="T152" i="206"/>
  <c r="S152" i="206"/>
  <c r="R152" i="206"/>
  <c r="Q152" i="206"/>
  <c r="M152" i="206"/>
  <c r="H152" i="206"/>
  <c r="C152" i="206"/>
  <c r="AJ151" i="206"/>
  <c r="AI151" i="206"/>
  <c r="AH151" i="206"/>
  <c r="AG151" i="206"/>
  <c r="AF151" i="206"/>
  <c r="AE151" i="206"/>
  <c r="AD151" i="206"/>
  <c r="AC151" i="206"/>
  <c r="AB151" i="206"/>
  <c r="AA151" i="206"/>
  <c r="Z151" i="206"/>
  <c r="Y151" i="206"/>
  <c r="X151" i="206"/>
  <c r="W151" i="206"/>
  <c r="V151" i="206"/>
  <c r="U151" i="206"/>
  <c r="T151" i="206"/>
  <c r="S151" i="206"/>
  <c r="R151" i="206"/>
  <c r="Q151" i="206"/>
  <c r="M151" i="206"/>
  <c r="H151" i="206"/>
  <c r="C151" i="206"/>
  <c r="W150" i="206"/>
  <c r="C150" i="206"/>
  <c r="AJ149" i="206"/>
  <c r="AI149" i="206"/>
  <c r="AH149" i="206"/>
  <c r="AG149" i="206"/>
  <c r="AF149" i="206"/>
  <c r="AE149" i="206"/>
  <c r="AD149" i="206"/>
  <c r="AC149" i="206"/>
  <c r="AB149" i="206"/>
  <c r="AA149" i="206"/>
  <c r="Z149" i="206"/>
  <c r="Y149" i="206"/>
  <c r="X149" i="206"/>
  <c r="W149" i="206"/>
  <c r="V149" i="206"/>
  <c r="U149" i="206"/>
  <c r="T149" i="206"/>
  <c r="S149" i="206"/>
  <c r="R149" i="206"/>
  <c r="Q149" i="206"/>
  <c r="M149" i="206"/>
  <c r="H149" i="206"/>
  <c r="C149" i="206"/>
  <c r="AJ148" i="206"/>
  <c r="AI148" i="206"/>
  <c r="AH148" i="206"/>
  <c r="AG148" i="206"/>
  <c r="AF148" i="206"/>
  <c r="AE148" i="206"/>
  <c r="AD148" i="206"/>
  <c r="AC148" i="206"/>
  <c r="AB148" i="206"/>
  <c r="AA148" i="206"/>
  <c r="Z148" i="206"/>
  <c r="Y148" i="206"/>
  <c r="X148" i="206"/>
  <c r="W148" i="206"/>
  <c r="V148" i="206"/>
  <c r="U148" i="206"/>
  <c r="T148" i="206"/>
  <c r="S148" i="206"/>
  <c r="R148" i="206"/>
  <c r="Q148" i="206"/>
  <c r="M148" i="206"/>
  <c r="H148" i="206"/>
  <c r="C148" i="206"/>
  <c r="AJ147" i="206"/>
  <c r="AI147" i="206"/>
  <c r="AH147" i="206"/>
  <c r="AG147" i="206"/>
  <c r="AF147" i="206"/>
  <c r="AE147" i="206"/>
  <c r="AD147" i="206"/>
  <c r="AC147" i="206"/>
  <c r="AB147" i="206"/>
  <c r="AA147" i="206"/>
  <c r="Z147" i="206"/>
  <c r="Y147" i="206"/>
  <c r="X147" i="206"/>
  <c r="W147" i="206"/>
  <c r="V147" i="206"/>
  <c r="U147" i="206"/>
  <c r="T147" i="206"/>
  <c r="S147" i="206"/>
  <c r="R147" i="206"/>
  <c r="Q147" i="206"/>
  <c r="M147" i="206"/>
  <c r="H147" i="206"/>
  <c r="C147" i="206"/>
  <c r="AJ146" i="206"/>
  <c r="AI146" i="206"/>
  <c r="AH146" i="206"/>
  <c r="AG146" i="206"/>
  <c r="AF146" i="206"/>
  <c r="AE146" i="206"/>
  <c r="AD146" i="206"/>
  <c r="AC146" i="206"/>
  <c r="AB146" i="206"/>
  <c r="AA146" i="206"/>
  <c r="Z146" i="206"/>
  <c r="Y146" i="206"/>
  <c r="X146" i="206"/>
  <c r="W146" i="206"/>
  <c r="V146" i="206"/>
  <c r="U146" i="206"/>
  <c r="T146" i="206"/>
  <c r="S146" i="206"/>
  <c r="R146" i="206"/>
  <c r="M146" i="206"/>
  <c r="H146" i="206"/>
  <c r="H30" i="206" s="1"/>
  <c r="C146" i="206"/>
  <c r="W145" i="206"/>
  <c r="C145" i="206"/>
  <c r="AJ144" i="206"/>
  <c r="AI144" i="206"/>
  <c r="AH144" i="206"/>
  <c r="AG144" i="206"/>
  <c r="AF144" i="206"/>
  <c r="AE144" i="206"/>
  <c r="AD144" i="206"/>
  <c r="AC144" i="206"/>
  <c r="AB144" i="206"/>
  <c r="AA144" i="206"/>
  <c r="Z144" i="206"/>
  <c r="Y144" i="206"/>
  <c r="X144" i="206"/>
  <c r="W144" i="206"/>
  <c r="V144" i="206"/>
  <c r="U144" i="206"/>
  <c r="T144" i="206"/>
  <c r="S144" i="206"/>
  <c r="R144" i="206"/>
  <c r="Q144" i="206"/>
  <c r="M144" i="206"/>
  <c r="H144" i="206"/>
  <c r="C144" i="206"/>
  <c r="AJ143" i="206"/>
  <c r="AI143" i="206"/>
  <c r="AH143" i="206"/>
  <c r="AG143" i="206"/>
  <c r="AF143" i="206"/>
  <c r="AE143" i="206"/>
  <c r="AD143" i="206"/>
  <c r="AC143" i="206"/>
  <c r="AB143" i="206"/>
  <c r="AA143" i="206"/>
  <c r="Z143" i="206"/>
  <c r="Y143" i="206"/>
  <c r="X143" i="206"/>
  <c r="W143" i="206"/>
  <c r="V143" i="206"/>
  <c r="U143" i="206"/>
  <c r="T143" i="206"/>
  <c r="S143" i="206"/>
  <c r="R143" i="206"/>
  <c r="Q143" i="206"/>
  <c r="M143" i="206"/>
  <c r="H143" i="206"/>
  <c r="C143" i="206"/>
  <c r="AJ142" i="206"/>
  <c r="AI142" i="206"/>
  <c r="AH142" i="206"/>
  <c r="AG142" i="206"/>
  <c r="AF142" i="206"/>
  <c r="AE142" i="206"/>
  <c r="AD142" i="206"/>
  <c r="AC142" i="206"/>
  <c r="AB142" i="206"/>
  <c r="AA142" i="206"/>
  <c r="Z142" i="206"/>
  <c r="Y142" i="206"/>
  <c r="X142" i="206"/>
  <c r="W142" i="206"/>
  <c r="V142" i="206"/>
  <c r="U142" i="206"/>
  <c r="T142" i="206"/>
  <c r="S142" i="206"/>
  <c r="R142" i="206"/>
  <c r="Q142" i="206"/>
  <c r="M142" i="206"/>
  <c r="H142" i="206"/>
  <c r="C142" i="206"/>
  <c r="AJ141" i="206"/>
  <c r="AI141" i="206"/>
  <c r="AH141" i="206"/>
  <c r="AG141" i="206"/>
  <c r="AF141" i="206"/>
  <c r="AE141" i="206"/>
  <c r="AD141" i="206"/>
  <c r="AC141" i="206"/>
  <c r="AB141" i="206"/>
  <c r="AA141" i="206"/>
  <c r="Z141" i="206"/>
  <c r="Y141" i="206"/>
  <c r="X141" i="206"/>
  <c r="W141" i="206"/>
  <c r="V141" i="206"/>
  <c r="U141" i="206"/>
  <c r="T141" i="206"/>
  <c r="S141" i="206"/>
  <c r="R141" i="206"/>
  <c r="Q141" i="206"/>
  <c r="M141" i="206"/>
  <c r="H141" i="206"/>
  <c r="C141" i="206"/>
  <c r="AJ140" i="206"/>
  <c r="AI140" i="206"/>
  <c r="AH140" i="206"/>
  <c r="AG140" i="206"/>
  <c r="AF140" i="206"/>
  <c r="AE140" i="206"/>
  <c r="AD140" i="206"/>
  <c r="AC140" i="206"/>
  <c r="AB140" i="206"/>
  <c r="AA140" i="206"/>
  <c r="Z140" i="206"/>
  <c r="Y140" i="206"/>
  <c r="X140" i="206"/>
  <c r="W140" i="206"/>
  <c r="V140" i="206"/>
  <c r="U140" i="206"/>
  <c r="T140" i="206"/>
  <c r="S140" i="206"/>
  <c r="R140" i="206"/>
  <c r="Q140" i="206"/>
  <c r="M140" i="206"/>
  <c r="H140" i="206"/>
  <c r="C140" i="206"/>
  <c r="AJ139" i="206"/>
  <c r="AI139" i="206"/>
  <c r="AH139" i="206"/>
  <c r="AG139" i="206"/>
  <c r="AF139" i="206"/>
  <c r="AE139" i="206"/>
  <c r="AD139" i="206"/>
  <c r="AC139" i="206"/>
  <c r="AB139" i="206"/>
  <c r="AA139" i="206"/>
  <c r="Z139" i="206"/>
  <c r="Y139" i="206"/>
  <c r="X139" i="206"/>
  <c r="W139" i="206"/>
  <c r="V139" i="206"/>
  <c r="U139" i="206"/>
  <c r="T139" i="206"/>
  <c r="S139" i="206"/>
  <c r="R139" i="206"/>
  <c r="Q139" i="206"/>
  <c r="M139" i="206"/>
  <c r="H139" i="206"/>
  <c r="C139" i="206"/>
  <c r="W138" i="206"/>
  <c r="C138" i="206"/>
  <c r="AJ137" i="206"/>
  <c r="AI137" i="206"/>
  <c r="AH137" i="206"/>
  <c r="AG137" i="206"/>
  <c r="AF137" i="206"/>
  <c r="AE137" i="206"/>
  <c r="AD137" i="206"/>
  <c r="AC137" i="206"/>
  <c r="AB137" i="206"/>
  <c r="AA137" i="206"/>
  <c r="Z137" i="206"/>
  <c r="Y137" i="206"/>
  <c r="X137" i="206"/>
  <c r="W137" i="206"/>
  <c r="V137" i="206"/>
  <c r="U137" i="206"/>
  <c r="T137" i="206"/>
  <c r="S137" i="206"/>
  <c r="R137" i="206"/>
  <c r="Q137" i="206"/>
  <c r="M137" i="206"/>
  <c r="H137" i="206"/>
  <c r="C137" i="206"/>
  <c r="AJ136" i="206"/>
  <c r="AI136" i="206"/>
  <c r="AH136" i="206"/>
  <c r="AG136" i="206"/>
  <c r="AF136" i="206"/>
  <c r="AE136" i="206"/>
  <c r="AD136" i="206"/>
  <c r="AC136" i="206"/>
  <c r="AB136" i="206"/>
  <c r="AA136" i="206"/>
  <c r="Z136" i="206"/>
  <c r="Y136" i="206"/>
  <c r="X136" i="206"/>
  <c r="W136" i="206"/>
  <c r="V136" i="206"/>
  <c r="U136" i="206"/>
  <c r="T136" i="206"/>
  <c r="S136" i="206"/>
  <c r="R136" i="206"/>
  <c r="Q136" i="206"/>
  <c r="M136" i="206"/>
  <c r="H136" i="206"/>
  <c r="C136" i="206"/>
  <c r="AJ135" i="206"/>
  <c r="AI135" i="206"/>
  <c r="AH135" i="206"/>
  <c r="AG135" i="206"/>
  <c r="AF135" i="206"/>
  <c r="AE135" i="206"/>
  <c r="AD135" i="206"/>
  <c r="AC135" i="206"/>
  <c r="AB135" i="206"/>
  <c r="AA135" i="206"/>
  <c r="Z135" i="206"/>
  <c r="Y135" i="206"/>
  <c r="X135" i="206"/>
  <c r="W135" i="206"/>
  <c r="V135" i="206"/>
  <c r="U135" i="206"/>
  <c r="T135" i="206"/>
  <c r="S135" i="206"/>
  <c r="R135" i="206"/>
  <c r="Q135" i="206"/>
  <c r="M135" i="206"/>
  <c r="H135" i="206"/>
  <c r="C135" i="206"/>
  <c r="AJ134" i="206"/>
  <c r="AI134" i="206"/>
  <c r="AH134" i="206"/>
  <c r="AG134" i="206"/>
  <c r="AF134" i="206"/>
  <c r="AE134" i="206"/>
  <c r="AD134" i="206"/>
  <c r="AC134" i="206"/>
  <c r="AB134" i="206"/>
  <c r="AA134" i="206"/>
  <c r="Z134" i="206"/>
  <c r="Y134" i="206"/>
  <c r="X134" i="206"/>
  <c r="W134" i="206"/>
  <c r="V134" i="206"/>
  <c r="U134" i="206"/>
  <c r="T134" i="206"/>
  <c r="S134" i="206"/>
  <c r="R134" i="206"/>
  <c r="Q134" i="206"/>
  <c r="M134" i="206"/>
  <c r="H134" i="206"/>
  <c r="C134" i="206"/>
  <c r="AJ133" i="206"/>
  <c r="AI133" i="206"/>
  <c r="AH133" i="206"/>
  <c r="AG133" i="206"/>
  <c r="AF133" i="206"/>
  <c r="AE133" i="206"/>
  <c r="AD133" i="206"/>
  <c r="AC133" i="206"/>
  <c r="AB133" i="206"/>
  <c r="AA133" i="206"/>
  <c r="Z133" i="206"/>
  <c r="Y133" i="206"/>
  <c r="X133" i="206"/>
  <c r="W133" i="206"/>
  <c r="V133" i="206"/>
  <c r="U133" i="206"/>
  <c r="T133" i="206"/>
  <c r="S133" i="206"/>
  <c r="R133" i="206"/>
  <c r="Q133" i="206"/>
  <c r="M133" i="206"/>
  <c r="H133" i="206"/>
  <c r="H17" i="206" s="1"/>
  <c r="C133" i="206"/>
  <c r="W132" i="206"/>
  <c r="C132" i="206"/>
  <c r="AJ131" i="206"/>
  <c r="AI131" i="206"/>
  <c r="AH131" i="206"/>
  <c r="AG131" i="206"/>
  <c r="AF131" i="206"/>
  <c r="AE131" i="206"/>
  <c r="AD131" i="206"/>
  <c r="AC131" i="206"/>
  <c r="AB131" i="206"/>
  <c r="AA131" i="206"/>
  <c r="Z131" i="206"/>
  <c r="Y131" i="206"/>
  <c r="X131" i="206"/>
  <c r="W131" i="206"/>
  <c r="V131" i="206"/>
  <c r="U131" i="206"/>
  <c r="T131" i="206"/>
  <c r="S131" i="206"/>
  <c r="R131" i="206"/>
  <c r="Q131" i="206"/>
  <c r="M131" i="206"/>
  <c r="H131" i="206"/>
  <c r="C131" i="206"/>
  <c r="AJ130" i="206"/>
  <c r="AI130" i="206"/>
  <c r="AH130" i="206"/>
  <c r="AG130" i="206"/>
  <c r="AF130" i="206"/>
  <c r="AE130" i="206"/>
  <c r="AD130" i="206"/>
  <c r="AC130" i="206"/>
  <c r="AB130" i="206"/>
  <c r="AA130" i="206"/>
  <c r="Z130" i="206"/>
  <c r="Y130" i="206"/>
  <c r="X130" i="206"/>
  <c r="W130" i="206"/>
  <c r="V130" i="206"/>
  <c r="U130" i="206"/>
  <c r="T130" i="206"/>
  <c r="S130" i="206"/>
  <c r="R130" i="206"/>
  <c r="Q130" i="206"/>
  <c r="M130" i="206"/>
  <c r="H130" i="206"/>
  <c r="C130" i="206"/>
  <c r="AJ129" i="206"/>
  <c r="AI129" i="206"/>
  <c r="AH129" i="206"/>
  <c r="AG129" i="206"/>
  <c r="AF129" i="206"/>
  <c r="AE129" i="206"/>
  <c r="AD129" i="206"/>
  <c r="AC129" i="206"/>
  <c r="AB129" i="206"/>
  <c r="AA129" i="206"/>
  <c r="Z129" i="206"/>
  <c r="Y129" i="206"/>
  <c r="X129" i="206"/>
  <c r="W129" i="206"/>
  <c r="V129" i="206"/>
  <c r="U129" i="206"/>
  <c r="T129" i="206"/>
  <c r="S129" i="206"/>
  <c r="R129" i="206"/>
  <c r="Q129" i="206"/>
  <c r="M129" i="206"/>
  <c r="H129" i="206"/>
  <c r="C129" i="206"/>
  <c r="CG128" i="206"/>
  <c r="CF128" i="206"/>
  <c r="CA128" i="206"/>
  <c r="BZ128" i="206"/>
  <c r="AJ128" i="206"/>
  <c r="AI128" i="206"/>
  <c r="AH128" i="206"/>
  <c r="AG128" i="206"/>
  <c r="AF128" i="206"/>
  <c r="AE128" i="206"/>
  <c r="AD128" i="206"/>
  <c r="AC128" i="206"/>
  <c r="AB128" i="206"/>
  <c r="AA128" i="206"/>
  <c r="Z128" i="206"/>
  <c r="Y128" i="206"/>
  <c r="X128" i="206"/>
  <c r="W128" i="206"/>
  <c r="V128" i="206"/>
  <c r="U128" i="206"/>
  <c r="T128" i="206"/>
  <c r="S128" i="206"/>
  <c r="R128" i="206"/>
  <c r="Q128" i="206"/>
  <c r="M128" i="206"/>
  <c r="H128" i="206"/>
  <c r="C128" i="206"/>
  <c r="AJ127" i="206"/>
  <c r="AI127" i="206"/>
  <c r="AH127" i="206"/>
  <c r="AG127" i="206"/>
  <c r="AF127" i="206"/>
  <c r="AE127" i="206"/>
  <c r="AD127" i="206"/>
  <c r="AC127" i="206"/>
  <c r="AB127" i="206"/>
  <c r="AA127" i="206"/>
  <c r="Z127" i="206"/>
  <c r="Y127" i="206"/>
  <c r="X127" i="206"/>
  <c r="W127" i="206"/>
  <c r="V127" i="206"/>
  <c r="U127" i="206"/>
  <c r="T127" i="206"/>
  <c r="S127" i="206"/>
  <c r="R127" i="206"/>
  <c r="Q127" i="206"/>
  <c r="M127" i="206"/>
  <c r="H127" i="206"/>
  <c r="C127" i="206"/>
  <c r="W126" i="206"/>
  <c r="C126" i="206"/>
  <c r="AJ125" i="206"/>
  <c r="AI125" i="206"/>
  <c r="AH125" i="206"/>
  <c r="AG125" i="206"/>
  <c r="AF125" i="206"/>
  <c r="AE125" i="206"/>
  <c r="AD125" i="206"/>
  <c r="AC125" i="206"/>
  <c r="AB125" i="206"/>
  <c r="AA125" i="206"/>
  <c r="Z125" i="206"/>
  <c r="Y125" i="206"/>
  <c r="X125" i="206"/>
  <c r="W125" i="206"/>
  <c r="V125" i="206"/>
  <c r="U125" i="206"/>
  <c r="T125" i="206"/>
  <c r="S125" i="206"/>
  <c r="R125" i="206"/>
  <c r="Q125" i="206"/>
  <c r="M125" i="206"/>
  <c r="H125" i="206"/>
  <c r="C125" i="206"/>
  <c r="AJ124" i="206"/>
  <c r="AI124" i="206"/>
  <c r="AH124" i="206"/>
  <c r="AG124" i="206"/>
  <c r="AF124" i="206"/>
  <c r="AE124" i="206"/>
  <c r="AD124" i="206"/>
  <c r="AC124" i="206"/>
  <c r="AB124" i="206"/>
  <c r="AA124" i="206"/>
  <c r="Z124" i="206"/>
  <c r="Y124" i="206"/>
  <c r="X124" i="206"/>
  <c r="W124" i="206"/>
  <c r="V124" i="206"/>
  <c r="U124" i="206"/>
  <c r="T124" i="206"/>
  <c r="S124" i="206"/>
  <c r="R124" i="206"/>
  <c r="Q124" i="206"/>
  <c r="M124" i="206"/>
  <c r="H124" i="206"/>
  <c r="C124" i="206"/>
  <c r="AJ123" i="206"/>
  <c r="AI123" i="206"/>
  <c r="AH123" i="206"/>
  <c r="AG123" i="206"/>
  <c r="AF123" i="206"/>
  <c r="AE123" i="206"/>
  <c r="AD123" i="206"/>
  <c r="AC123" i="206"/>
  <c r="AB123" i="206"/>
  <c r="AA123" i="206"/>
  <c r="Z123" i="206"/>
  <c r="Y123" i="206"/>
  <c r="X123" i="206"/>
  <c r="W123" i="206"/>
  <c r="V123" i="206"/>
  <c r="U123" i="206"/>
  <c r="T123" i="206"/>
  <c r="S123" i="206"/>
  <c r="R123" i="206"/>
  <c r="Q123" i="206"/>
  <c r="M123" i="206"/>
  <c r="H123" i="206"/>
  <c r="C123" i="206"/>
  <c r="W122" i="206"/>
  <c r="C122" i="206"/>
  <c r="W121" i="206"/>
  <c r="C121" i="206"/>
  <c r="W120" i="206"/>
  <c r="C120" i="206"/>
  <c r="K114" i="206"/>
  <c r="J114" i="206"/>
  <c r="I114" i="206"/>
  <c r="H114" i="206"/>
  <c r="G114" i="206"/>
  <c r="K113" i="206"/>
  <c r="J113" i="206"/>
  <c r="I113" i="206"/>
  <c r="H113" i="206"/>
  <c r="G113" i="206"/>
  <c r="Q112" i="206"/>
  <c r="Q113" i="206" s="1"/>
  <c r="B112" i="206"/>
  <c r="AA111" i="206"/>
  <c r="Q111" i="206"/>
  <c r="CM110" i="206"/>
  <c r="CL110" i="206"/>
  <c r="CK110" i="206"/>
  <c r="CJ110" i="206"/>
  <c r="CG110" i="206"/>
  <c r="CF110" i="206"/>
  <c r="CE110" i="206"/>
  <c r="CD110" i="206"/>
  <c r="CA110" i="206"/>
  <c r="BZ110" i="206"/>
  <c r="BY110" i="206"/>
  <c r="BX110" i="206"/>
  <c r="BU110" i="206"/>
  <c r="BT110" i="206"/>
  <c r="BS110" i="206"/>
  <c r="BR110" i="206"/>
  <c r="BO110" i="206"/>
  <c r="BN110" i="206"/>
  <c r="BM110" i="206"/>
  <c r="BL110" i="206"/>
  <c r="K110" i="206"/>
  <c r="J110" i="206"/>
  <c r="I110" i="206"/>
  <c r="H110" i="206"/>
  <c r="G110" i="206"/>
  <c r="K109" i="206"/>
  <c r="J109" i="206"/>
  <c r="I109" i="206"/>
  <c r="H109" i="206"/>
  <c r="G109" i="206"/>
  <c r="AA108" i="206"/>
  <c r="K107" i="206"/>
  <c r="J107" i="206"/>
  <c r="I107" i="206"/>
  <c r="H107" i="206"/>
  <c r="G107" i="206"/>
  <c r="K106" i="206"/>
  <c r="J106" i="206"/>
  <c r="I106" i="206"/>
  <c r="H106" i="206"/>
  <c r="H46" i="206" s="1"/>
  <c r="G106" i="206"/>
  <c r="K105" i="206"/>
  <c r="J105" i="206"/>
  <c r="I105" i="206"/>
  <c r="H105" i="206"/>
  <c r="G105" i="206"/>
  <c r="K104" i="206"/>
  <c r="J104" i="206"/>
  <c r="I104" i="206"/>
  <c r="H104" i="206"/>
  <c r="G104" i="206"/>
  <c r="Q103" i="206"/>
  <c r="Q109" i="206" s="1"/>
  <c r="Q49" i="206" s="1"/>
  <c r="L103" i="206"/>
  <c r="L110" i="206" s="1"/>
  <c r="B103" i="206"/>
  <c r="B105" i="206" s="1"/>
  <c r="AA102" i="206"/>
  <c r="Q102" i="206"/>
  <c r="K101" i="206"/>
  <c r="J101" i="206"/>
  <c r="I101" i="206"/>
  <c r="H101" i="206"/>
  <c r="G101" i="206"/>
  <c r="K100" i="206"/>
  <c r="J100" i="206"/>
  <c r="I100" i="206"/>
  <c r="H100" i="206"/>
  <c r="G100" i="206"/>
  <c r="K99" i="206"/>
  <c r="J99" i="206"/>
  <c r="I99" i="206"/>
  <c r="H99" i="206"/>
  <c r="G99" i="206"/>
  <c r="K98" i="206"/>
  <c r="J98" i="206"/>
  <c r="I98" i="206"/>
  <c r="H98" i="206"/>
  <c r="G98" i="206"/>
  <c r="K97" i="206"/>
  <c r="J97" i="206"/>
  <c r="I97" i="206"/>
  <c r="H97" i="206"/>
  <c r="G97" i="206"/>
  <c r="K96" i="206"/>
  <c r="J96" i="206"/>
  <c r="I96" i="206"/>
  <c r="H96" i="206"/>
  <c r="G96" i="206"/>
  <c r="K95" i="206"/>
  <c r="J95" i="206"/>
  <c r="I95" i="206"/>
  <c r="H95" i="206"/>
  <c r="H35" i="206" s="1"/>
  <c r="G95" i="206"/>
  <c r="AA94" i="206"/>
  <c r="K93" i="206"/>
  <c r="J93" i="206"/>
  <c r="I93" i="206"/>
  <c r="H93" i="206"/>
  <c r="G93" i="206"/>
  <c r="CM92" i="206"/>
  <c r="CL92" i="206"/>
  <c r="CK92" i="206"/>
  <c r="CJ92" i="206"/>
  <c r="K92" i="206"/>
  <c r="J92" i="206"/>
  <c r="I92" i="206"/>
  <c r="H92" i="206"/>
  <c r="G92" i="206"/>
  <c r="K91" i="206"/>
  <c r="J91" i="206"/>
  <c r="I91" i="206"/>
  <c r="H91" i="206"/>
  <c r="G91" i="206"/>
  <c r="BG90" i="206"/>
  <c r="BF90" i="206"/>
  <c r="BE90" i="206"/>
  <c r="BD90" i="206"/>
  <c r="Q90" i="206"/>
  <c r="L90" i="206"/>
  <c r="B90" i="206"/>
  <c r="B96" i="206" s="1"/>
  <c r="AA89" i="206"/>
  <c r="Q89" i="206"/>
  <c r="BG88" i="206"/>
  <c r="BF88" i="206"/>
  <c r="BE88" i="206"/>
  <c r="BD88" i="206"/>
  <c r="K88" i="206"/>
  <c r="J88" i="206"/>
  <c r="I88" i="206"/>
  <c r="H88" i="206"/>
  <c r="G88" i="206"/>
  <c r="K87" i="206"/>
  <c r="J87" i="206"/>
  <c r="I87" i="206"/>
  <c r="H87" i="206"/>
  <c r="G87" i="206"/>
  <c r="BG86" i="206"/>
  <c r="BF86" i="206"/>
  <c r="BE86" i="206"/>
  <c r="BD86" i="206"/>
  <c r="BC86" i="206"/>
  <c r="BB86" i="206"/>
  <c r="K86" i="206"/>
  <c r="J86" i="206"/>
  <c r="I86" i="206"/>
  <c r="H86" i="206"/>
  <c r="G86" i="206"/>
  <c r="BG85" i="206"/>
  <c r="BF85" i="206"/>
  <c r="BE85" i="206"/>
  <c r="BD85" i="206"/>
  <c r="BC85" i="206"/>
  <c r="BB85" i="206"/>
  <c r="K85" i="206"/>
  <c r="J85" i="206"/>
  <c r="I85" i="206"/>
  <c r="H85" i="206"/>
  <c r="G85" i="206"/>
  <c r="BG84" i="206"/>
  <c r="BF84" i="206"/>
  <c r="BE84" i="206"/>
  <c r="BD84" i="206"/>
  <c r="BC84" i="206"/>
  <c r="BB84" i="206"/>
  <c r="K84" i="206"/>
  <c r="J84" i="206"/>
  <c r="I84" i="206"/>
  <c r="H84" i="206"/>
  <c r="G84" i="206"/>
  <c r="K83" i="206"/>
  <c r="J83" i="206"/>
  <c r="I83" i="206"/>
  <c r="H83" i="206"/>
  <c r="G83" i="206"/>
  <c r="AA82" i="206"/>
  <c r="K81" i="206"/>
  <c r="J81" i="206"/>
  <c r="I81" i="206"/>
  <c r="H81" i="206"/>
  <c r="G81" i="206"/>
  <c r="BH80" i="206"/>
  <c r="AY80" i="206"/>
  <c r="AX80" i="206"/>
  <c r="AT80" i="206"/>
  <c r="AP80" i="206"/>
  <c r="K80" i="206"/>
  <c r="J80" i="206"/>
  <c r="I80" i="206"/>
  <c r="H80" i="206"/>
  <c r="G80" i="206"/>
  <c r="BH79" i="206"/>
  <c r="AX79" i="206"/>
  <c r="K79" i="206"/>
  <c r="J79" i="206"/>
  <c r="I79" i="206"/>
  <c r="H79" i="206"/>
  <c r="H19" i="206" s="1"/>
  <c r="G79" i="206"/>
  <c r="K78" i="206"/>
  <c r="J78" i="206"/>
  <c r="I78" i="206"/>
  <c r="H78" i="206"/>
  <c r="G78" i="206"/>
  <c r="Q77" i="206"/>
  <c r="Q87" i="206" s="1"/>
  <c r="L77" i="206"/>
  <c r="L87" i="206" s="1"/>
  <c r="B77" i="206"/>
  <c r="B87" i="206" s="1"/>
  <c r="AA76" i="206"/>
  <c r="Q76" i="206"/>
  <c r="BD75" i="206"/>
  <c r="BC75" i="206"/>
  <c r="AW75" i="206"/>
  <c r="AV75" i="206"/>
  <c r="AU75" i="206"/>
  <c r="AT75" i="206"/>
  <c r="AS75" i="206"/>
  <c r="AR75" i="206"/>
  <c r="G75" i="206"/>
  <c r="G74" i="206"/>
  <c r="BI73" i="206"/>
  <c r="BH73" i="206"/>
  <c r="BG73" i="206"/>
  <c r="BF73" i="206"/>
  <c r="BE73" i="206"/>
  <c r="BD73" i="206"/>
  <c r="BC73" i="206"/>
  <c r="BB73" i="206"/>
  <c r="BB74" i="206" s="1"/>
  <c r="X63" i="206" s="1"/>
  <c r="AQ88" i="206" s="1"/>
  <c r="BA73" i="206"/>
  <c r="AZ73" i="206"/>
  <c r="AW73" i="206"/>
  <c r="AV73" i="206"/>
  <c r="AU73" i="206"/>
  <c r="AT73" i="206"/>
  <c r="AS73" i="206"/>
  <c r="AR73" i="206"/>
  <c r="AQ73" i="206"/>
  <c r="AP73" i="206"/>
  <c r="AO73" i="206"/>
  <c r="AN73" i="206"/>
  <c r="G73" i="206"/>
  <c r="G72" i="206"/>
  <c r="G71" i="206"/>
  <c r="AA70" i="206"/>
  <c r="G69" i="206"/>
  <c r="G68" i="206"/>
  <c r="G67" i="206"/>
  <c r="AA66" i="206"/>
  <c r="Q66" i="206"/>
  <c r="Q65" i="206"/>
  <c r="L65" i="206"/>
  <c r="L71" i="206" s="1"/>
  <c r="B65" i="206"/>
  <c r="B72" i="206" s="1"/>
  <c r="AA64" i="206"/>
  <c r="Q64" i="206"/>
  <c r="L64" i="206"/>
  <c r="G64" i="206"/>
  <c r="B64" i="206"/>
  <c r="Y62" i="206"/>
  <c r="X62" i="206"/>
  <c r="W62" i="206"/>
  <c r="V62" i="206"/>
  <c r="U62" i="206"/>
  <c r="T62" i="206"/>
  <c r="S62" i="206"/>
  <c r="R62" i="206"/>
  <c r="Q62" i="206"/>
  <c r="P62" i="206"/>
  <c r="O62" i="206"/>
  <c r="Y59" i="206"/>
  <c r="X59" i="206"/>
  <c r="W59" i="206"/>
  <c r="V59" i="206"/>
  <c r="Q59" i="206"/>
  <c r="P59" i="206"/>
  <c r="O59" i="206"/>
  <c r="N59" i="206"/>
  <c r="M59" i="206"/>
  <c r="L59" i="206"/>
  <c r="K59" i="206"/>
  <c r="J59" i="206"/>
  <c r="I59" i="206"/>
  <c r="H59" i="206"/>
  <c r="G59" i="206"/>
  <c r="F59" i="206"/>
  <c r="F60" i="206" s="1"/>
  <c r="E59" i="206"/>
  <c r="E60" i="206" s="1"/>
  <c r="E65" i="206" s="1"/>
  <c r="D59" i="206"/>
  <c r="C59" i="206"/>
  <c r="B59" i="206"/>
  <c r="H25" i="206" l="1"/>
  <c r="H47" i="206"/>
  <c r="H53" i="206"/>
  <c r="H24" i="206"/>
  <c r="H26" i="206"/>
  <c r="H23" i="206"/>
  <c r="H49" i="206"/>
  <c r="H18" i="206"/>
  <c r="BF91" i="206"/>
  <c r="BA74" i="206"/>
  <c r="W63" i="206" s="1"/>
  <c r="AP88" i="206" s="1"/>
  <c r="BC74" i="206"/>
  <c r="Y63" i="206" s="1"/>
  <c r="AR88" i="206" s="1"/>
  <c r="C60" i="206"/>
  <c r="C103" i="206" s="1"/>
  <c r="BF74" i="206"/>
  <c r="AB63" i="206" s="1"/>
  <c r="AU88" i="206" s="1"/>
  <c r="BE89" i="206"/>
  <c r="B107" i="206"/>
  <c r="BH74" i="206"/>
  <c r="AD63" i="206" s="1"/>
  <c r="AW88" i="206" s="1"/>
  <c r="H36" i="206"/>
  <c r="AR74" i="206"/>
  <c r="Z60" i="206" s="1"/>
  <c r="AS90" i="206" s="1"/>
  <c r="AQ81" i="206"/>
  <c r="H40" i="206"/>
  <c r="J65" i="206"/>
  <c r="J69" i="206" s="1"/>
  <c r="AY81" i="206"/>
  <c r="H33" i="206"/>
  <c r="BH83" i="206"/>
  <c r="K65" i="206"/>
  <c r="K74" i="206" s="1"/>
  <c r="H27" i="206"/>
  <c r="BE74" i="206"/>
  <c r="AA63" i="206" s="1"/>
  <c r="AT88" i="206" s="1"/>
  <c r="BG74" i="206"/>
  <c r="AC63" i="206" s="1"/>
  <c r="AV88" i="206" s="1"/>
  <c r="AZ83" i="206"/>
  <c r="AP74" i="206"/>
  <c r="X60" i="206" s="1"/>
  <c r="AQ90" i="206" s="1"/>
  <c r="H20" i="206"/>
  <c r="AV74" i="206"/>
  <c r="AD60" i="206" s="1"/>
  <c r="AW90" i="206" s="1"/>
  <c r="BS109" i="206"/>
  <c r="L67" i="206"/>
  <c r="H32" i="206"/>
  <c r="AO74" i="206"/>
  <c r="W60" i="206" s="1"/>
  <c r="AP90" i="206" s="1"/>
  <c r="H39" i="206"/>
  <c r="AU78" i="206"/>
  <c r="AV83" i="206" s="1"/>
  <c r="AQ74" i="206"/>
  <c r="Y60" i="206" s="1"/>
  <c r="AR90" i="206" s="1"/>
  <c r="Q75" i="206"/>
  <c r="Q15" i="206" s="1"/>
  <c r="Q74" i="206"/>
  <c r="Q14" i="206" s="1"/>
  <c r="AV85" i="206"/>
  <c r="AW85" i="206"/>
  <c r="BT128" i="206"/>
  <c r="AZ80" i="206"/>
  <c r="BA85" i="206" s="1"/>
  <c r="BU128" i="206"/>
  <c r="AZ81" i="206"/>
  <c r="BA86" i="206" s="1"/>
  <c r="H50" i="206"/>
  <c r="H48" i="206" s="1"/>
  <c r="H37" i="206"/>
  <c r="BI74" i="206"/>
  <c r="AE63" i="206" s="1"/>
  <c r="AP83" i="206"/>
  <c r="AS74" i="206"/>
  <c r="AA60" i="206" s="1"/>
  <c r="AT90" i="206" s="1"/>
  <c r="AT91" i="206" s="1"/>
  <c r="AT74" i="206"/>
  <c r="AB60" i="206" s="1"/>
  <c r="AU90" i="206" s="1"/>
  <c r="D60" i="206"/>
  <c r="D65" i="206" s="1"/>
  <c r="Q27" i="206"/>
  <c r="AR84" i="206"/>
  <c r="H28" i="206"/>
  <c r="BM128" i="206"/>
  <c r="CJ91" i="206"/>
  <c r="AW74" i="206"/>
  <c r="AE60" i="206" s="1"/>
  <c r="AX90" i="206" s="1"/>
  <c r="BD74" i="206"/>
  <c r="Z63" i="206" s="1"/>
  <c r="AS88" i="206" s="1"/>
  <c r="AS89" i="206" s="1"/>
  <c r="B75" i="206"/>
  <c r="H21" i="206"/>
  <c r="H54" i="206"/>
  <c r="H51" i="206" s="1"/>
  <c r="K60" i="206"/>
  <c r="H31" i="206"/>
  <c r="H45" i="206"/>
  <c r="H44" i="206"/>
  <c r="H41" i="206"/>
  <c r="AT84" i="206"/>
  <c r="AS84" i="206"/>
  <c r="Q114" i="206"/>
  <c r="Q54" i="206" s="1"/>
  <c r="H38" i="206"/>
  <c r="M60" i="206"/>
  <c r="M77" i="206" s="1"/>
  <c r="Q67" i="206"/>
  <c r="Q7" i="206" s="1"/>
  <c r="B78" i="206"/>
  <c r="B80" i="206"/>
  <c r="AP85" i="206"/>
  <c r="B81" i="206"/>
  <c r="B84" i="206"/>
  <c r="B86" i="206"/>
  <c r="L88" i="206"/>
  <c r="BG91" i="206"/>
  <c r="L105" i="206"/>
  <c r="B110" i="206"/>
  <c r="AT85" i="206"/>
  <c r="AS85" i="206"/>
  <c r="N60" i="206"/>
  <c r="N77" i="206" s="1"/>
  <c r="Q69" i="206"/>
  <c r="Q9" i="206" s="1"/>
  <c r="B104" i="206"/>
  <c r="L109" i="206"/>
  <c r="Q17" i="206"/>
  <c r="Q68" i="206"/>
  <c r="Q8" i="206" s="1"/>
  <c r="Q71" i="206"/>
  <c r="Q11" i="206" s="1"/>
  <c r="Q72" i="206"/>
  <c r="Q12" i="206" s="1"/>
  <c r="B79" i="206"/>
  <c r="Q86" i="206"/>
  <c r="Q26" i="206" s="1"/>
  <c r="B88" i="206"/>
  <c r="BE91" i="206"/>
  <c r="L106" i="206"/>
  <c r="Q53" i="206"/>
  <c r="BH84" i="206"/>
  <c r="AY79" i="206"/>
  <c r="CJ109" i="206"/>
  <c r="BL128" i="206"/>
  <c r="AX85" i="206"/>
  <c r="CK109" i="206"/>
  <c r="AW78" i="206"/>
  <c r="AW83" i="206" s="1"/>
  <c r="CD109" i="206"/>
  <c r="AV84" i="206"/>
  <c r="CE109" i="206"/>
  <c r="BY109" i="206"/>
  <c r="BR109" i="206"/>
  <c r="AU84" i="206"/>
  <c r="AT78" i="206"/>
  <c r="AS78" i="206"/>
  <c r="AR85" i="206"/>
  <c r="AQ83" i="206"/>
  <c r="AQ84" i="206"/>
  <c r="E75" i="206"/>
  <c r="E73" i="206"/>
  <c r="E74" i="206"/>
  <c r="E67" i="206"/>
  <c r="E72" i="206"/>
  <c r="E68" i="206"/>
  <c r="E71" i="206"/>
  <c r="E69" i="206"/>
  <c r="BU91" i="206"/>
  <c r="AP81" i="206"/>
  <c r="AP86" i="206" s="1"/>
  <c r="CG91" i="206"/>
  <c r="AR81" i="206"/>
  <c r="CM91" i="206"/>
  <c r="L98" i="206"/>
  <c r="L99" i="206"/>
  <c r="L95" i="206"/>
  <c r="L92" i="206"/>
  <c r="L101" i="206"/>
  <c r="L100" i="206"/>
  <c r="L97" i="206"/>
  <c r="L96" i="206"/>
  <c r="L93" i="206"/>
  <c r="N90" i="206"/>
  <c r="L91" i="206"/>
  <c r="H65" i="206"/>
  <c r="H60" i="206"/>
  <c r="P60" i="206"/>
  <c r="P77" i="206" s="1"/>
  <c r="E112" i="206"/>
  <c r="E103" i="206"/>
  <c r="E90" i="206"/>
  <c r="E77" i="206"/>
  <c r="I65" i="206"/>
  <c r="I60" i="206"/>
  <c r="J67" i="206"/>
  <c r="J71" i="206"/>
  <c r="AW84" i="206"/>
  <c r="AX84" i="206"/>
  <c r="BO109" i="206"/>
  <c r="AT81" i="206"/>
  <c r="AT86" i="206" s="1"/>
  <c r="BU109" i="206"/>
  <c r="AU81" i="206"/>
  <c r="CA109" i="206"/>
  <c r="AV81" i="206"/>
  <c r="CG109" i="206"/>
  <c r="AW81" i="206"/>
  <c r="AW86" i="206" s="1"/>
  <c r="CM109" i="206"/>
  <c r="AX81" i="206"/>
  <c r="AY86" i="206" s="1"/>
  <c r="N103" i="206"/>
  <c r="N65" i="206"/>
  <c r="F103" i="206"/>
  <c r="F112" i="206"/>
  <c r="F77" i="206"/>
  <c r="F90" i="206"/>
  <c r="F65" i="206"/>
  <c r="K69" i="206"/>
  <c r="K67" i="206"/>
  <c r="Q84" i="206"/>
  <c r="Q24" i="206" s="1"/>
  <c r="Q78" i="206"/>
  <c r="Q18" i="206" s="1"/>
  <c r="Q85" i="206"/>
  <c r="Q25" i="206" s="1"/>
  <c r="Q83" i="206"/>
  <c r="Q23" i="206" s="1"/>
  <c r="Q81" i="206"/>
  <c r="Q21" i="206" s="1"/>
  <c r="Q80" i="206"/>
  <c r="Q20" i="206" s="1"/>
  <c r="Q79" i="206"/>
  <c r="Q19" i="206" s="1"/>
  <c r="Q88" i="206"/>
  <c r="Q28" i="206" s="1"/>
  <c r="AP84" i="206"/>
  <c r="J60" i="206"/>
  <c r="AU91" i="206"/>
  <c r="L72" i="206"/>
  <c r="L69" i="206"/>
  <c r="L75" i="206"/>
  <c r="L73" i="206"/>
  <c r="L68" i="206"/>
  <c r="L74" i="206"/>
  <c r="AU74" i="206"/>
  <c r="AC60" i="206" s="1"/>
  <c r="AV90" i="206" s="1"/>
  <c r="C77" i="206"/>
  <c r="BG89" i="206"/>
  <c r="BF89" i="206"/>
  <c r="O60" i="206"/>
  <c r="O77" i="206" s="1"/>
  <c r="B74" i="206"/>
  <c r="B67" i="206"/>
  <c r="B71" i="206"/>
  <c r="B68" i="206"/>
  <c r="B69" i="206"/>
  <c r="B73" i="206"/>
  <c r="L86" i="206"/>
  <c r="L84" i="206"/>
  <c r="L81" i="206"/>
  <c r="L80" i="206"/>
  <c r="L79" i="206"/>
  <c r="L78" i="206"/>
  <c r="L85" i="206"/>
  <c r="L83" i="206"/>
  <c r="B100" i="206"/>
  <c r="B101" i="206"/>
  <c r="B97" i="206"/>
  <c r="B99" i="206"/>
  <c r="B98" i="206"/>
  <c r="B91" i="206"/>
  <c r="B93" i="206"/>
  <c r="B92" i="206"/>
  <c r="Q99" i="206"/>
  <c r="Q39" i="206" s="1"/>
  <c r="Q100" i="206"/>
  <c r="Q40" i="206" s="1"/>
  <c r="Q96" i="206"/>
  <c r="Q36" i="206" s="1"/>
  <c r="Q93" i="206"/>
  <c r="Q33" i="206" s="1"/>
  <c r="Q97" i="206"/>
  <c r="Q37" i="206" s="1"/>
  <c r="Q95" i="206"/>
  <c r="Q35" i="206" s="1"/>
  <c r="Q101" i="206"/>
  <c r="Q41" i="206" s="1"/>
  <c r="Q98" i="206"/>
  <c r="Q38" i="206" s="1"/>
  <c r="Q91" i="206"/>
  <c r="Q31" i="206" s="1"/>
  <c r="Q92" i="206"/>
  <c r="Q32" i="206" s="1"/>
  <c r="B95" i="206"/>
  <c r="BR91" i="206"/>
  <c r="AR78" i="206"/>
  <c r="AR83" i="206" s="1"/>
  <c r="CD91" i="206"/>
  <c r="B113" i="206"/>
  <c r="B114" i="206"/>
  <c r="C112" i="206"/>
  <c r="Q73" i="206"/>
  <c r="Q13" i="206" s="1"/>
  <c r="AQ85" i="206"/>
  <c r="AU85" i="206"/>
  <c r="AY85" i="206"/>
  <c r="BX91" i="206"/>
  <c r="BS91" i="206"/>
  <c r="BY91" i="206"/>
  <c r="CE91" i="206"/>
  <c r="CK91" i="206"/>
  <c r="B83" i="206"/>
  <c r="B85" i="206"/>
  <c r="BT91" i="206"/>
  <c r="BZ91" i="206"/>
  <c r="CF91" i="206"/>
  <c r="CL91" i="206"/>
  <c r="BN109" i="206"/>
  <c r="BT109" i="206"/>
  <c r="BZ109" i="206"/>
  <c r="CF109" i="206"/>
  <c r="CL109" i="206"/>
  <c r="Q104" i="206"/>
  <c r="Q44" i="206" s="1"/>
  <c r="Q105" i="206"/>
  <c r="Q45" i="206" s="1"/>
  <c r="Q106" i="206"/>
  <c r="Q46" i="206" s="1"/>
  <c r="Q107" i="206"/>
  <c r="Q47" i="206" s="1"/>
  <c r="Q110" i="206"/>
  <c r="Q50" i="206" s="1"/>
  <c r="Q48" i="206" s="1"/>
  <c r="BR128" i="206"/>
  <c r="BX128" i="206"/>
  <c r="CD128" i="206"/>
  <c r="BM109" i="206"/>
  <c r="BS128" i="206"/>
  <c r="BY128" i="206"/>
  <c r="CE128" i="206"/>
  <c r="L104" i="206"/>
  <c r="B106" i="206"/>
  <c r="B109" i="206"/>
  <c r="L107" i="206"/>
  <c r="H16" i="206" l="1"/>
  <c r="H29" i="206"/>
  <c r="H22" i="206"/>
  <c r="C43" i="206"/>
  <c r="C106" i="206"/>
  <c r="C46" i="206" s="1"/>
  <c r="C110" i="206"/>
  <c r="C50" i="206" s="1"/>
  <c r="C107" i="206"/>
  <c r="C47" i="206" s="1"/>
  <c r="C105" i="206"/>
  <c r="C45" i="206" s="1"/>
  <c r="J68" i="206"/>
  <c r="J74" i="206"/>
  <c r="AV89" i="206"/>
  <c r="AU89" i="206"/>
  <c r="K75" i="206"/>
  <c r="C65" i="206"/>
  <c r="C69" i="206" s="1"/>
  <c r="C9" i="206" s="1"/>
  <c r="AW91" i="206"/>
  <c r="K73" i="206"/>
  <c r="C90" i="206"/>
  <c r="C95" i="206" s="1"/>
  <c r="C35" i="206" s="1"/>
  <c r="AS91" i="206"/>
  <c r="AF60" i="206"/>
  <c r="M103" i="206"/>
  <c r="K72" i="206"/>
  <c r="K68" i="206"/>
  <c r="AT89" i="206"/>
  <c r="H42" i="206"/>
  <c r="H34" i="206"/>
  <c r="D112" i="206"/>
  <c r="D113" i="206" s="1"/>
  <c r="AW89" i="206"/>
  <c r="J75" i="206"/>
  <c r="C75" i="206"/>
  <c r="C15" i="206" s="1"/>
  <c r="M90" i="206"/>
  <c r="M100" i="206" s="1"/>
  <c r="M40" i="206" s="1"/>
  <c r="M65" i="206"/>
  <c r="M75" i="206" s="1"/>
  <c r="M15" i="206" s="1"/>
  <c r="D77" i="206"/>
  <c r="D81" i="206" s="1"/>
  <c r="K71" i="206"/>
  <c r="Q6" i="206"/>
  <c r="D103" i="206"/>
  <c r="C109" i="206"/>
  <c r="C49" i="206" s="1"/>
  <c r="D90" i="206"/>
  <c r="D100" i="206" s="1"/>
  <c r="J72" i="206"/>
  <c r="J73" i="206"/>
  <c r="AR86" i="206"/>
  <c r="AX83" i="206"/>
  <c r="BH86" i="206"/>
  <c r="O90" i="206"/>
  <c r="O101" i="206" s="1"/>
  <c r="AZ86" i="206"/>
  <c r="AF63" i="206"/>
  <c r="AX88" i="206"/>
  <c r="AX89" i="206" s="1"/>
  <c r="AZ85" i="206"/>
  <c r="BH85" i="206"/>
  <c r="C104" i="206"/>
  <c r="C44" i="206" s="1"/>
  <c r="AT83" i="206"/>
  <c r="AU83" i="206"/>
  <c r="AS86" i="206"/>
  <c r="P90" i="206"/>
  <c r="P98" i="206" s="1"/>
  <c r="AV91" i="206"/>
  <c r="P103" i="206"/>
  <c r="P104" i="206" s="1"/>
  <c r="Q10" i="206"/>
  <c r="AS83" i="206"/>
  <c r="AY84" i="206"/>
  <c r="AZ84" i="206"/>
  <c r="AU86" i="206"/>
  <c r="O88" i="206"/>
  <c r="O87" i="206"/>
  <c r="O84" i="206"/>
  <c r="O78" i="206"/>
  <c r="O85" i="206"/>
  <c r="O83" i="206"/>
  <c r="O80" i="206"/>
  <c r="O86" i="206"/>
  <c r="O81" i="206"/>
  <c r="O79" i="206"/>
  <c r="D98" i="206"/>
  <c r="D99" i="206"/>
  <c r="D101" i="206"/>
  <c r="D97" i="206"/>
  <c r="D95" i="206"/>
  <c r="D92" i="206"/>
  <c r="D96" i="206"/>
  <c r="D93" i="206"/>
  <c r="D72" i="206"/>
  <c r="D69" i="206"/>
  <c r="D75" i="206"/>
  <c r="D73" i="206"/>
  <c r="D71" i="206"/>
  <c r="D74" i="206"/>
  <c r="D67" i="206"/>
  <c r="D68" i="206"/>
  <c r="Q22" i="206"/>
  <c r="F100" i="206"/>
  <c r="F101" i="206"/>
  <c r="F97" i="206"/>
  <c r="F91" i="206"/>
  <c r="F99" i="206"/>
  <c r="F96" i="206"/>
  <c r="F95" i="206"/>
  <c r="F93" i="206"/>
  <c r="F92" i="206"/>
  <c r="F98" i="206"/>
  <c r="N74" i="206"/>
  <c r="N67" i="206"/>
  <c r="N71" i="206"/>
  <c r="N68" i="206"/>
  <c r="N75" i="206"/>
  <c r="N69" i="206"/>
  <c r="N72" i="206"/>
  <c r="N73" i="206"/>
  <c r="E104" i="206"/>
  <c r="E105" i="206"/>
  <c r="E109" i="206"/>
  <c r="E107" i="206"/>
  <c r="E106" i="206"/>
  <c r="E110" i="206"/>
  <c r="M30" i="206"/>
  <c r="M85" i="206"/>
  <c r="M25" i="206" s="1"/>
  <c r="M83" i="206"/>
  <c r="M23" i="206" s="1"/>
  <c r="M81" i="206"/>
  <c r="M21" i="206" s="1"/>
  <c r="M80" i="206"/>
  <c r="M20" i="206" s="1"/>
  <c r="M79" i="206"/>
  <c r="M19" i="206" s="1"/>
  <c r="M86" i="206"/>
  <c r="M26" i="206" s="1"/>
  <c r="M87" i="206"/>
  <c r="M27" i="206" s="1"/>
  <c r="M84" i="206"/>
  <c r="M24" i="206" s="1"/>
  <c r="M88" i="206"/>
  <c r="M28" i="206" s="1"/>
  <c r="M78" i="206"/>
  <c r="M18" i="206" s="1"/>
  <c r="M17" i="206"/>
  <c r="P109" i="206"/>
  <c r="P105" i="206"/>
  <c r="P106" i="206"/>
  <c r="C88" i="206"/>
  <c r="C28" i="206" s="1"/>
  <c r="C81" i="206"/>
  <c r="C21" i="206" s="1"/>
  <c r="C80" i="206"/>
  <c r="C20" i="206" s="1"/>
  <c r="C79" i="206"/>
  <c r="C19" i="206" s="1"/>
  <c r="C86" i="206"/>
  <c r="C26" i="206" s="1"/>
  <c r="C85" i="206"/>
  <c r="C25" i="206" s="1"/>
  <c r="C83" i="206"/>
  <c r="C23" i="206" s="1"/>
  <c r="C87" i="206"/>
  <c r="C27" i="206" s="1"/>
  <c r="C78" i="206"/>
  <c r="C18" i="206" s="1"/>
  <c r="C84" i="206"/>
  <c r="C24" i="206" s="1"/>
  <c r="C17" i="206"/>
  <c r="M69" i="206"/>
  <c r="M9" i="206" s="1"/>
  <c r="M67" i="206"/>
  <c r="M7" i="206" s="1"/>
  <c r="M71" i="206"/>
  <c r="M11" i="206" s="1"/>
  <c r="F87" i="206"/>
  <c r="F85" i="206"/>
  <c r="F83" i="206"/>
  <c r="F88" i="206"/>
  <c r="F84" i="206"/>
  <c r="F78" i="206"/>
  <c r="F80" i="206"/>
  <c r="F86" i="206"/>
  <c r="F81" i="206"/>
  <c r="F79" i="206"/>
  <c r="N105" i="206"/>
  <c r="N109" i="206"/>
  <c r="N106" i="206"/>
  <c r="N110" i="206"/>
  <c r="N107" i="206"/>
  <c r="N104" i="206"/>
  <c r="I75" i="206"/>
  <c r="I73" i="206"/>
  <c r="I74" i="206"/>
  <c r="I71" i="206"/>
  <c r="I69" i="206"/>
  <c r="I67" i="206"/>
  <c r="I68" i="206"/>
  <c r="I72" i="206"/>
  <c r="E114" i="206"/>
  <c r="E113" i="206"/>
  <c r="H72" i="206"/>
  <c r="H12" i="206" s="1"/>
  <c r="H69" i="206"/>
  <c r="H9" i="206" s="1"/>
  <c r="H75" i="206"/>
  <c r="H15" i="206" s="1"/>
  <c r="H73" i="206"/>
  <c r="H13" i="206" s="1"/>
  <c r="H71" i="206"/>
  <c r="H11" i="206" s="1"/>
  <c r="H67" i="206"/>
  <c r="H7" i="206" s="1"/>
  <c r="H68" i="206"/>
  <c r="H8" i="206" s="1"/>
  <c r="H74" i="206"/>
  <c r="H14" i="206" s="1"/>
  <c r="M104" i="206"/>
  <c r="M44" i="206" s="1"/>
  <c r="M105" i="206"/>
  <c r="M45" i="206" s="1"/>
  <c r="M109" i="206"/>
  <c r="M49" i="206" s="1"/>
  <c r="M110" i="206"/>
  <c r="M50" i="206" s="1"/>
  <c r="M106" i="206"/>
  <c r="M46" i="206" s="1"/>
  <c r="M107" i="206"/>
  <c r="M47" i="206" s="1"/>
  <c r="M43" i="206"/>
  <c r="C113" i="206"/>
  <c r="C53" i="206" s="1"/>
  <c r="C114" i="206"/>
  <c r="C54" i="206" s="1"/>
  <c r="C52" i="206"/>
  <c r="O100" i="206"/>
  <c r="O91" i="206"/>
  <c r="Q34" i="206"/>
  <c r="O112" i="206"/>
  <c r="O65" i="206"/>
  <c r="P86" i="206"/>
  <c r="P84" i="206"/>
  <c r="P81" i="206"/>
  <c r="P80" i="206"/>
  <c r="P79" i="206"/>
  <c r="P78" i="206"/>
  <c r="P88" i="206"/>
  <c r="P87" i="206"/>
  <c r="P85" i="206"/>
  <c r="P83" i="206"/>
  <c r="F113" i="206"/>
  <c r="F114" i="206"/>
  <c r="AX86" i="206"/>
  <c r="AV86" i="206"/>
  <c r="D88" i="206"/>
  <c r="D87" i="206"/>
  <c r="E86" i="206"/>
  <c r="E87" i="206"/>
  <c r="E78" i="206"/>
  <c r="E88" i="206"/>
  <c r="E80" i="206"/>
  <c r="E85" i="206"/>
  <c r="E79" i="206"/>
  <c r="E84" i="206"/>
  <c r="E83" i="206"/>
  <c r="E81" i="206"/>
  <c r="N100" i="206"/>
  <c r="N101" i="206"/>
  <c r="N97" i="206"/>
  <c r="N99" i="206"/>
  <c r="N91" i="206"/>
  <c r="N98" i="206"/>
  <c r="N92" i="206"/>
  <c r="N93" i="206"/>
  <c r="N96" i="206"/>
  <c r="N95" i="206"/>
  <c r="O103" i="206"/>
  <c r="N87" i="206"/>
  <c r="N85" i="206"/>
  <c r="N83" i="206"/>
  <c r="N86" i="206"/>
  <c r="N88" i="206"/>
  <c r="N81" i="206"/>
  <c r="N79" i="206"/>
  <c r="N78" i="206"/>
  <c r="N80" i="206"/>
  <c r="N84" i="206"/>
  <c r="Q16" i="206"/>
  <c r="F74" i="206"/>
  <c r="F67" i="206"/>
  <c r="F71" i="206"/>
  <c r="F72" i="206"/>
  <c r="F75" i="206"/>
  <c r="F68" i="206"/>
  <c r="F69" i="206"/>
  <c r="F73" i="206"/>
  <c r="F105" i="206"/>
  <c r="F109" i="206"/>
  <c r="F106" i="206"/>
  <c r="F110" i="206"/>
  <c r="F107" i="206"/>
  <c r="F104" i="206"/>
  <c r="AY90" i="206"/>
  <c r="AG60" i="206"/>
  <c r="D110" i="206"/>
  <c r="D107" i="206"/>
  <c r="D104" i="206"/>
  <c r="D109" i="206"/>
  <c r="D105" i="206"/>
  <c r="D106" i="206"/>
  <c r="E99" i="206"/>
  <c r="E100" i="206"/>
  <c r="E96" i="206"/>
  <c r="E93" i="206"/>
  <c r="E92" i="206"/>
  <c r="E91" i="206"/>
  <c r="E101" i="206"/>
  <c r="E98" i="206"/>
  <c r="E97" i="206"/>
  <c r="E95" i="206"/>
  <c r="P112" i="206"/>
  <c r="P65" i="206"/>
  <c r="AX91" i="206"/>
  <c r="AQ86" i="206"/>
  <c r="C48" i="206" l="1"/>
  <c r="C42" i="206"/>
  <c r="C93" i="206"/>
  <c r="C33" i="206" s="1"/>
  <c r="C68" i="206"/>
  <c r="C8" i="206" s="1"/>
  <c r="C72" i="206"/>
  <c r="C12" i="206" s="1"/>
  <c r="O98" i="206"/>
  <c r="C101" i="206"/>
  <c r="C41" i="206" s="1"/>
  <c r="C97" i="206"/>
  <c r="C37" i="206" s="1"/>
  <c r="C5" i="206"/>
  <c r="C98" i="206"/>
  <c r="C38" i="206" s="1"/>
  <c r="C67" i="206"/>
  <c r="C7" i="206" s="1"/>
  <c r="C91" i="206"/>
  <c r="C31" i="206" s="1"/>
  <c r="C100" i="206"/>
  <c r="C40" i="206" s="1"/>
  <c r="C71" i="206"/>
  <c r="C11" i="206" s="1"/>
  <c r="C92" i="206"/>
  <c r="C32" i="206" s="1"/>
  <c r="C74" i="206"/>
  <c r="C14" i="206" s="1"/>
  <c r="C99" i="206"/>
  <c r="C39" i="206" s="1"/>
  <c r="C73" i="206"/>
  <c r="C13" i="206" s="1"/>
  <c r="C96" i="206"/>
  <c r="C36" i="206" s="1"/>
  <c r="C30" i="206"/>
  <c r="M95" i="206"/>
  <c r="M35" i="206" s="1"/>
  <c r="D78" i="206"/>
  <c r="M92" i="206"/>
  <c r="M32" i="206" s="1"/>
  <c r="M97" i="206"/>
  <c r="M37" i="206" s="1"/>
  <c r="D86" i="206"/>
  <c r="M98" i="206"/>
  <c r="M38" i="206" s="1"/>
  <c r="D114" i="206"/>
  <c r="M74" i="206"/>
  <c r="M14" i="206" s="1"/>
  <c r="O97" i="206"/>
  <c r="M68" i="206"/>
  <c r="M8" i="206" s="1"/>
  <c r="M91" i="206"/>
  <c r="M31" i="206" s="1"/>
  <c r="D80" i="206"/>
  <c r="M93" i="206"/>
  <c r="M33" i="206" s="1"/>
  <c r="D84" i="206"/>
  <c r="M101" i="206"/>
  <c r="M41" i="206" s="1"/>
  <c r="O96" i="206"/>
  <c r="M99" i="206"/>
  <c r="M39" i="206" s="1"/>
  <c r="O93" i="206"/>
  <c r="D85" i="206"/>
  <c r="M72" i="206"/>
  <c r="M12" i="206" s="1"/>
  <c r="M10" i="206" s="1"/>
  <c r="M73" i="206"/>
  <c r="M13" i="206" s="1"/>
  <c r="O99" i="206"/>
  <c r="O92" i="206"/>
  <c r="D91" i="206"/>
  <c r="D83" i="206"/>
  <c r="D79" i="206"/>
  <c r="M96" i="206"/>
  <c r="M36" i="206" s="1"/>
  <c r="O95" i="206"/>
  <c r="P101" i="206"/>
  <c r="P93" i="206"/>
  <c r="P107" i="206"/>
  <c r="P110" i="206"/>
  <c r="P92" i="206"/>
  <c r="P95" i="206"/>
  <c r="P99" i="206"/>
  <c r="P100" i="206"/>
  <c r="P91" i="206"/>
  <c r="P96" i="206"/>
  <c r="P97" i="206"/>
  <c r="AY88" i="206"/>
  <c r="AY89" i="206" s="1"/>
  <c r="AG63" i="206"/>
  <c r="C51" i="206"/>
  <c r="C16" i="206"/>
  <c r="C22" i="206"/>
  <c r="P72" i="206"/>
  <c r="P69" i="206"/>
  <c r="P75" i="206"/>
  <c r="P73" i="206"/>
  <c r="P67" i="206"/>
  <c r="P71" i="206"/>
  <c r="P68" i="206"/>
  <c r="P74" i="206"/>
  <c r="O109" i="206"/>
  <c r="O106" i="206"/>
  <c r="O110" i="206"/>
  <c r="O107" i="206"/>
  <c r="O105" i="206"/>
  <c r="O104" i="206"/>
  <c r="M6" i="206"/>
  <c r="P114" i="206"/>
  <c r="P113" i="206"/>
  <c r="O71" i="206"/>
  <c r="O68" i="206"/>
  <c r="O72" i="206"/>
  <c r="O69" i="206"/>
  <c r="O75" i="206"/>
  <c r="O74" i="206"/>
  <c r="O73" i="206"/>
  <c r="O67" i="206"/>
  <c r="AZ90" i="206"/>
  <c r="AZ91" i="206" s="1"/>
  <c r="AH60" i="206"/>
  <c r="O113" i="206"/>
  <c r="O114" i="206"/>
  <c r="M42" i="206"/>
  <c r="M48" i="206"/>
  <c r="H6" i="206"/>
  <c r="M16" i="206"/>
  <c r="H10" i="206"/>
  <c r="M22" i="206"/>
  <c r="AY91" i="206"/>
  <c r="M29" i="206" l="1"/>
  <c r="C34" i="206"/>
  <c r="M34" i="206"/>
  <c r="C10" i="206"/>
  <c r="C6" i="206"/>
  <c r="C4" i="206" s="1"/>
  <c r="C29" i="206"/>
  <c r="AZ88" i="206"/>
  <c r="AH63" i="206"/>
  <c r="AZ89" i="206"/>
  <c r="BA90" i="206"/>
  <c r="BA91" i="206" s="1"/>
  <c r="AI60" i="206"/>
  <c r="BH90" i="206"/>
  <c r="BH91" i="206" s="1"/>
  <c r="C24" i="197"/>
  <c r="C4" i="197"/>
  <c r="D4" i="197"/>
  <c r="E4" i="197"/>
  <c r="F4" i="197"/>
  <c r="G4" i="197"/>
  <c r="H4" i="197"/>
  <c r="I4" i="197"/>
  <c r="J4" i="197"/>
  <c r="K5" i="197" s="1"/>
  <c r="BH88" i="206" l="1"/>
  <c r="BA88" i="206"/>
  <c r="BA89" i="206" s="1"/>
  <c r="BA83" i="206" s="1"/>
  <c r="AI63" i="206"/>
  <c r="BH89" i="206"/>
  <c r="BB90" i="206"/>
  <c r="BB91" i="206" s="1"/>
  <c r="AJ60" i="206"/>
  <c r="Y23" i="176"/>
  <c r="BB88" i="206" l="1"/>
  <c r="AJ63" i="206"/>
  <c r="BC90" i="206"/>
  <c r="BD91" i="206" s="1"/>
  <c r="AK60" i="206"/>
  <c r="BC91" i="206"/>
  <c r="BC88" i="206" l="1"/>
  <c r="BD89" i="206" s="1"/>
  <c r="AK63" i="206"/>
  <c r="BC89" i="206"/>
  <c r="BB89" i="206"/>
  <c r="BB83" i="206" s="1"/>
  <c r="BC83" i="206" s="1"/>
  <c r="BD83" i="206" s="1"/>
  <c r="BE83" i="206" s="1"/>
  <c r="BF83" i="206" s="1"/>
  <c r="BG83" i="206" s="1"/>
  <c r="P67" i="196" l="1"/>
  <c r="O67" i="196"/>
  <c r="N67" i="196"/>
  <c r="M67" i="196"/>
  <c r="L67" i="196"/>
  <c r="K67" i="196"/>
  <c r="J67" i="196"/>
  <c r="I67" i="196"/>
  <c r="H67" i="196"/>
  <c r="P66" i="196"/>
  <c r="O66" i="196"/>
  <c r="N66" i="196"/>
  <c r="M66" i="196"/>
  <c r="L66" i="196"/>
  <c r="K66" i="196"/>
  <c r="J66" i="196"/>
  <c r="I66" i="196"/>
  <c r="H66" i="196"/>
  <c r="P65" i="196"/>
  <c r="O65" i="196"/>
  <c r="N65" i="196"/>
  <c r="M65" i="196"/>
  <c r="L65" i="196"/>
  <c r="K65" i="196"/>
  <c r="J65" i="196"/>
  <c r="I65" i="196"/>
  <c r="H65" i="196"/>
  <c r="P63" i="196"/>
  <c r="O63" i="196"/>
  <c r="N63" i="196"/>
  <c r="M63" i="196"/>
  <c r="L63" i="196"/>
  <c r="K63" i="196"/>
  <c r="J63" i="196"/>
  <c r="I63" i="196"/>
  <c r="H63" i="196"/>
  <c r="P62" i="196"/>
  <c r="O62" i="196"/>
  <c r="N62" i="196"/>
  <c r="M62" i="196"/>
  <c r="L62" i="196"/>
  <c r="K62" i="196"/>
  <c r="J62" i="196"/>
  <c r="I62" i="196"/>
  <c r="H62" i="196"/>
  <c r="P60" i="196"/>
  <c r="O60" i="196"/>
  <c r="N60" i="196"/>
  <c r="M60" i="196"/>
  <c r="L60" i="196"/>
  <c r="K60" i="196"/>
  <c r="J60" i="196"/>
  <c r="I60" i="196"/>
  <c r="H60" i="196"/>
  <c r="P59" i="196"/>
  <c r="O59" i="196"/>
  <c r="N59" i="196"/>
  <c r="M59" i="196"/>
  <c r="L59" i="196"/>
  <c r="K59" i="196"/>
  <c r="J59" i="196"/>
  <c r="I59" i="196"/>
  <c r="H59" i="196"/>
  <c r="P58" i="196"/>
  <c r="O58" i="196"/>
  <c r="N58" i="196"/>
  <c r="M58" i="196"/>
  <c r="L58" i="196"/>
  <c r="K58" i="196"/>
  <c r="J58" i="196"/>
  <c r="I58" i="196"/>
  <c r="H58" i="196"/>
  <c r="P57" i="196"/>
  <c r="O57" i="196"/>
  <c r="N57" i="196"/>
  <c r="M57" i="196"/>
  <c r="L57" i="196"/>
  <c r="K57" i="196"/>
  <c r="J57" i="196"/>
  <c r="I57" i="196"/>
  <c r="H57" i="196"/>
  <c r="P56" i="196"/>
  <c r="O56" i="196"/>
  <c r="N56" i="196"/>
  <c r="M56" i="196"/>
  <c r="L56" i="196"/>
  <c r="K56" i="196"/>
  <c r="J56" i="196"/>
  <c r="I56" i="196"/>
  <c r="H56" i="196"/>
  <c r="P54" i="196"/>
  <c r="O54" i="196"/>
  <c r="N54" i="196"/>
  <c r="M54" i="196"/>
  <c r="L54" i="196"/>
  <c r="K54" i="196"/>
  <c r="J54" i="196"/>
  <c r="I54" i="196"/>
  <c r="H54" i="196"/>
  <c r="P53" i="196"/>
  <c r="O53" i="196"/>
  <c r="N53" i="196"/>
  <c r="M53" i="196"/>
  <c r="L53" i="196"/>
  <c r="K53" i="196"/>
  <c r="J53" i="196"/>
  <c r="I53" i="196"/>
  <c r="H53" i="196"/>
  <c r="P52" i="196"/>
  <c r="O52" i="196"/>
  <c r="N52" i="196"/>
  <c r="M52" i="196"/>
  <c r="L52" i="196"/>
  <c r="K52" i="196"/>
  <c r="J52" i="196"/>
  <c r="I52" i="196"/>
  <c r="H52" i="196"/>
  <c r="P51" i="196"/>
  <c r="O51" i="196"/>
  <c r="N51" i="196"/>
  <c r="M51" i="196"/>
  <c r="L51" i="196"/>
  <c r="K51" i="196"/>
  <c r="J51" i="196"/>
  <c r="I51" i="196"/>
  <c r="H51" i="196"/>
  <c r="P50" i="196"/>
  <c r="O50" i="196"/>
  <c r="N50" i="196"/>
  <c r="M50" i="196"/>
  <c r="L50" i="196"/>
  <c r="K50" i="196"/>
  <c r="J50" i="196"/>
  <c r="I50" i="196"/>
  <c r="H50" i="196"/>
  <c r="P49" i="196"/>
  <c r="O49" i="196"/>
  <c r="N49" i="196"/>
  <c r="M49" i="196"/>
  <c r="L49" i="196"/>
  <c r="K49" i="196"/>
  <c r="J49" i="196"/>
  <c r="I49" i="196"/>
  <c r="H49" i="196"/>
  <c r="P48" i="196"/>
  <c r="O48" i="196"/>
  <c r="N48" i="196"/>
  <c r="M48" i="196"/>
  <c r="L48" i="196"/>
  <c r="K48" i="196"/>
  <c r="J48" i="196"/>
  <c r="I48" i="196"/>
  <c r="H48" i="196"/>
  <c r="P46" i="196"/>
  <c r="O46" i="196"/>
  <c r="N46" i="196"/>
  <c r="M46" i="196"/>
  <c r="L46" i="196"/>
  <c r="K46" i="196"/>
  <c r="J46" i="196"/>
  <c r="I46" i="196"/>
  <c r="H46" i="196"/>
  <c r="P45" i="196"/>
  <c r="O45" i="196"/>
  <c r="N45" i="196"/>
  <c r="M45" i="196"/>
  <c r="L45" i="196"/>
  <c r="K45" i="196"/>
  <c r="J45" i="196"/>
  <c r="I45" i="196"/>
  <c r="H45" i="196"/>
  <c r="P44" i="196"/>
  <c r="O44" i="196"/>
  <c r="N44" i="196"/>
  <c r="M44" i="196"/>
  <c r="L44" i="196"/>
  <c r="K44" i="196"/>
  <c r="J44" i="196"/>
  <c r="I44" i="196"/>
  <c r="H44" i="196"/>
  <c r="P43" i="196"/>
  <c r="O43" i="196"/>
  <c r="N43" i="196"/>
  <c r="M43" i="196"/>
  <c r="L43" i="196"/>
  <c r="K43" i="196"/>
  <c r="J43" i="196"/>
  <c r="I43" i="196"/>
  <c r="H43" i="196"/>
  <c r="P41" i="196"/>
  <c r="O41" i="196"/>
  <c r="N41" i="196"/>
  <c r="M41" i="196"/>
  <c r="L41" i="196"/>
  <c r="K41" i="196"/>
  <c r="J41" i="196"/>
  <c r="I41" i="196"/>
  <c r="H41" i="196"/>
  <c r="P40" i="196"/>
  <c r="O40" i="196"/>
  <c r="N40" i="196"/>
  <c r="M40" i="196"/>
  <c r="L40" i="196"/>
  <c r="K40" i="196"/>
  <c r="J40" i="196"/>
  <c r="I40" i="196"/>
  <c r="H40" i="196"/>
  <c r="P39" i="196"/>
  <c r="O39" i="196"/>
  <c r="N39" i="196"/>
  <c r="M39" i="196"/>
  <c r="L39" i="196"/>
  <c r="K39" i="196"/>
  <c r="J39" i="196"/>
  <c r="I39" i="196"/>
  <c r="H39" i="196"/>
  <c r="P38" i="196"/>
  <c r="O38" i="196"/>
  <c r="N38" i="196"/>
  <c r="M38" i="196"/>
  <c r="L38" i="196"/>
  <c r="K38" i="196"/>
  <c r="J38" i="196"/>
  <c r="I38" i="196"/>
  <c r="H38" i="196"/>
  <c r="P37" i="196"/>
  <c r="O37" i="196"/>
  <c r="N37" i="196"/>
  <c r="M37" i="196"/>
  <c r="L37" i="196"/>
  <c r="K37" i="196"/>
  <c r="J37" i="196"/>
  <c r="I37" i="196"/>
  <c r="H37" i="196"/>
  <c r="P36" i="196"/>
  <c r="O36" i="196"/>
  <c r="N36" i="196"/>
  <c r="M36" i="196"/>
  <c r="L36" i="196"/>
  <c r="K36" i="196"/>
  <c r="J36" i="196"/>
  <c r="I36" i="196"/>
  <c r="H36" i="196"/>
  <c r="P34" i="196"/>
  <c r="O34" i="196"/>
  <c r="N34" i="196"/>
  <c r="M34" i="196"/>
  <c r="L34" i="196"/>
  <c r="K34" i="196"/>
  <c r="J34" i="196"/>
  <c r="I34" i="196"/>
  <c r="H34" i="196"/>
  <c r="P33" i="196"/>
  <c r="O33" i="196"/>
  <c r="N33" i="196"/>
  <c r="M33" i="196"/>
  <c r="L33" i="196"/>
  <c r="K33" i="196"/>
  <c r="J33" i="196"/>
  <c r="I33" i="196"/>
  <c r="H33" i="196"/>
  <c r="P32" i="196"/>
  <c r="O32" i="196"/>
  <c r="N32" i="196"/>
  <c r="M32" i="196"/>
  <c r="L32" i="196"/>
  <c r="K32" i="196"/>
  <c r="J32" i="196"/>
  <c r="I32" i="196"/>
  <c r="H32" i="196"/>
  <c r="P31" i="196"/>
  <c r="O31" i="196"/>
  <c r="N31" i="196"/>
  <c r="M31" i="196"/>
  <c r="L31" i="196"/>
  <c r="K31" i="196"/>
  <c r="J31" i="196"/>
  <c r="I31" i="196"/>
  <c r="H31" i="196"/>
  <c r="P30" i="196"/>
  <c r="O30" i="196"/>
  <c r="N30" i="196"/>
  <c r="M30" i="196"/>
  <c r="L30" i="196"/>
  <c r="K30" i="196"/>
  <c r="J30" i="196"/>
  <c r="I30" i="196"/>
  <c r="H30" i="196"/>
  <c r="P28" i="196"/>
  <c r="O28" i="196"/>
  <c r="N28" i="196"/>
  <c r="M28" i="196"/>
  <c r="L28" i="196"/>
  <c r="K28" i="196"/>
  <c r="J28" i="196"/>
  <c r="I28" i="196"/>
  <c r="H28" i="196"/>
  <c r="P27" i="196"/>
  <c r="O27" i="196"/>
  <c r="N27" i="196"/>
  <c r="M27" i="196"/>
  <c r="L27" i="196"/>
  <c r="K27" i="196"/>
  <c r="J27" i="196"/>
  <c r="I27" i="196"/>
  <c r="H27" i="196"/>
  <c r="P26" i="196"/>
  <c r="O26" i="196"/>
  <c r="N26" i="196"/>
  <c r="M26" i="196"/>
  <c r="L26" i="196"/>
  <c r="K26" i="196"/>
  <c r="J26" i="196"/>
  <c r="I26" i="196"/>
  <c r="H26" i="196"/>
  <c r="P25" i="196"/>
  <c r="O25" i="196"/>
  <c r="N25" i="196"/>
  <c r="M25" i="196"/>
  <c r="L25" i="196"/>
  <c r="K25" i="196"/>
  <c r="J25" i="196"/>
  <c r="I25" i="196"/>
  <c r="H25" i="196"/>
  <c r="P24" i="196"/>
  <c r="O24" i="196"/>
  <c r="N24" i="196"/>
  <c r="M24" i="196"/>
  <c r="L24" i="196"/>
  <c r="K24" i="196"/>
  <c r="J24" i="196"/>
  <c r="I24" i="196"/>
  <c r="H24" i="196"/>
  <c r="P22" i="196"/>
  <c r="O22" i="196"/>
  <c r="N22" i="196"/>
  <c r="M22" i="196"/>
  <c r="L22" i="196"/>
  <c r="K22" i="196"/>
  <c r="J22" i="196"/>
  <c r="I22" i="196"/>
  <c r="H22" i="196"/>
  <c r="P21" i="196"/>
  <c r="O21" i="196"/>
  <c r="N21" i="196"/>
  <c r="M21" i="196"/>
  <c r="L21" i="196"/>
  <c r="K21" i="196"/>
  <c r="J21" i="196"/>
  <c r="I21" i="196"/>
  <c r="H21" i="196"/>
  <c r="P20" i="196"/>
  <c r="O20" i="196"/>
  <c r="N20" i="196"/>
  <c r="M20" i="196"/>
  <c r="L20" i="196"/>
  <c r="K20" i="196"/>
  <c r="J20" i="196"/>
  <c r="I20" i="196"/>
  <c r="H20" i="196"/>
  <c r="P18" i="196"/>
  <c r="O18" i="196"/>
  <c r="N18" i="196"/>
  <c r="M18" i="196"/>
  <c r="L18" i="196"/>
  <c r="K18" i="196"/>
  <c r="J18" i="196"/>
  <c r="I18" i="196"/>
  <c r="H18" i="196"/>
  <c r="G18" i="196"/>
  <c r="BL73" i="114" l="1"/>
  <c r="BK73" i="114"/>
  <c r="BC73" i="114"/>
  <c r="AZ75" i="114"/>
  <c r="AV75" i="114"/>
  <c r="AU75" i="114"/>
  <c r="AU73" i="114"/>
  <c r="AT73" i="114"/>
  <c r="AS73" i="114"/>
  <c r="AR73" i="114"/>
  <c r="AQ73" i="114"/>
  <c r="AY75" i="114"/>
  <c r="AX75" i="114"/>
  <c r="AW75" i="114"/>
  <c r="V61" i="92"/>
  <c r="BL53" i="155"/>
  <c r="BK53" i="155"/>
  <c r="BJ53" i="155"/>
  <c r="BL50" i="155"/>
  <c r="BK50" i="155"/>
  <c r="BJ50" i="155"/>
  <c r="BL44" i="155"/>
  <c r="BK44" i="155"/>
  <c r="BJ44" i="155"/>
  <c r="BL36" i="155"/>
  <c r="BK36" i="155"/>
  <c r="BJ36" i="155"/>
  <c r="BL31" i="155"/>
  <c r="BK31" i="155"/>
  <c r="BJ31" i="155"/>
  <c r="BL24" i="155"/>
  <c r="BK24" i="155"/>
  <c r="BJ24" i="155"/>
  <c r="BL18" i="155"/>
  <c r="BK18" i="155"/>
  <c r="BJ18" i="155"/>
  <c r="BL12" i="155"/>
  <c r="BK12" i="155"/>
  <c r="BJ12" i="155"/>
  <c r="BL8" i="155"/>
  <c r="BK8" i="155"/>
  <c r="BJ8" i="155"/>
  <c r="BL6" i="155" l="1"/>
  <c r="AU74" i="114"/>
  <c r="BK6" i="155"/>
  <c r="BL74" i="114"/>
  <c r="BJ6" i="155"/>
  <c r="AG33" i="122" l="1"/>
  <c r="V63" i="92" l="1"/>
  <c r="EM5" i="129" s="1"/>
  <c r="V64" i="92" l="1"/>
  <c r="AG17" i="122" l="1"/>
  <c r="AI6" i="165" l="1"/>
  <c r="AI15" i="165" l="1"/>
  <c r="AI14" i="165"/>
  <c r="AI12" i="165"/>
  <c r="AI13" i="165"/>
  <c r="AI16" i="165"/>
  <c r="AI8" i="165"/>
  <c r="AI11" i="165"/>
  <c r="AI10" i="165"/>
  <c r="AI9" i="165"/>
  <c r="C169" i="179"/>
  <c r="C145" i="179"/>
  <c r="P146" i="179" s="1"/>
  <c r="O145" i="179"/>
  <c r="N145" i="179"/>
  <c r="M145" i="179"/>
  <c r="L145" i="179"/>
  <c r="K145" i="179"/>
  <c r="J145" i="179"/>
  <c r="I145" i="179"/>
  <c r="H145" i="179"/>
  <c r="G145" i="179"/>
  <c r="F145" i="179"/>
  <c r="E145" i="179"/>
  <c r="D145" i="179"/>
  <c r="AI7" i="165" l="1"/>
  <c r="AI6" i="123"/>
  <c r="AI20" i="123" l="1"/>
  <c r="EV20" i="129" s="1"/>
  <c r="AI66" i="123"/>
  <c r="EV66" i="129" s="1"/>
  <c r="AI60" i="123"/>
  <c r="EV60" i="129" s="1"/>
  <c r="AI56" i="123"/>
  <c r="EV56" i="129" s="1"/>
  <c r="AI51" i="123"/>
  <c r="EV51" i="129" s="1"/>
  <c r="AI46" i="123"/>
  <c r="EV46" i="129" s="1"/>
  <c r="AI41" i="123"/>
  <c r="EV41" i="129" s="1"/>
  <c r="AI37" i="123"/>
  <c r="EV37" i="129" s="1"/>
  <c r="AI32" i="123"/>
  <c r="EV32" i="129" s="1"/>
  <c r="AI27" i="123"/>
  <c r="EV27" i="129" s="1"/>
  <c r="AI22" i="123"/>
  <c r="EV22" i="129" s="1"/>
  <c r="AI65" i="123"/>
  <c r="EV65" i="129" s="1"/>
  <c r="AI59" i="123"/>
  <c r="EV59" i="129" s="1"/>
  <c r="AI54" i="123"/>
  <c r="EV54" i="129" s="1"/>
  <c r="AI50" i="123"/>
  <c r="EV50" i="129" s="1"/>
  <c r="AI45" i="123"/>
  <c r="EV45" i="129" s="1"/>
  <c r="AI40" i="123"/>
  <c r="EV40" i="129" s="1"/>
  <c r="AI36" i="123"/>
  <c r="EV36" i="129" s="1"/>
  <c r="AI31" i="123"/>
  <c r="EV31" i="129" s="1"/>
  <c r="AI26" i="123"/>
  <c r="EV26" i="129" s="1"/>
  <c r="AI21" i="123"/>
  <c r="EV21" i="129" s="1"/>
  <c r="AI63" i="123"/>
  <c r="EV63" i="129" s="1"/>
  <c r="AI58" i="123"/>
  <c r="EV58" i="129" s="1"/>
  <c r="AI53" i="123"/>
  <c r="EV53" i="129" s="1"/>
  <c r="AI49" i="123"/>
  <c r="EV49" i="129" s="1"/>
  <c r="AI44" i="123"/>
  <c r="EV44" i="129" s="1"/>
  <c r="AI39" i="123"/>
  <c r="EV39" i="129" s="1"/>
  <c r="AI34" i="123"/>
  <c r="EV34" i="129" s="1"/>
  <c r="AI30" i="123"/>
  <c r="EV30" i="129" s="1"/>
  <c r="AI25" i="123"/>
  <c r="EV25" i="129" s="1"/>
  <c r="AI67" i="123"/>
  <c r="EV67" i="129" s="1"/>
  <c r="AI62" i="123"/>
  <c r="EV62" i="129" s="1"/>
  <c r="AI57" i="123"/>
  <c r="EV57" i="129" s="1"/>
  <c r="AI52" i="123"/>
  <c r="EV52" i="129" s="1"/>
  <c r="AI48" i="123"/>
  <c r="EV48" i="129" s="1"/>
  <c r="AI43" i="123"/>
  <c r="EV43" i="129" s="1"/>
  <c r="AI38" i="123"/>
  <c r="EV38" i="129" s="1"/>
  <c r="AI33" i="123"/>
  <c r="EV33" i="129" s="1"/>
  <c r="AI28" i="123"/>
  <c r="EV28" i="129" s="1"/>
  <c r="AI24" i="123"/>
  <c r="EV24" i="129" s="1"/>
  <c r="V57" i="92"/>
  <c r="V56" i="92"/>
  <c r="AI47" i="123" l="1"/>
  <c r="AI13" i="123" s="1"/>
  <c r="AI42" i="123"/>
  <c r="EV42" i="129" s="1"/>
  <c r="AI61" i="123"/>
  <c r="AI15" i="123" s="1"/>
  <c r="AI35" i="123"/>
  <c r="EV35" i="129" s="1"/>
  <c r="AI23" i="123"/>
  <c r="AI9" i="123" s="1"/>
  <c r="AI29" i="123"/>
  <c r="AI10" i="123" s="1"/>
  <c r="AI19" i="123"/>
  <c r="AI8" i="123" s="1"/>
  <c r="AI64" i="123"/>
  <c r="AI16" i="123" s="1"/>
  <c r="AI55" i="123"/>
  <c r="AI14" i="123" s="1"/>
  <c r="AI12" i="123"/>
  <c r="V49" i="92"/>
  <c r="V47" i="92"/>
  <c r="T47" i="92"/>
  <c r="EV29" i="129" l="1"/>
  <c r="EV23" i="129"/>
  <c r="EV61" i="129"/>
  <c r="EV47" i="129"/>
  <c r="EV55" i="129"/>
  <c r="AI11" i="123"/>
  <c r="EV64" i="129"/>
  <c r="EV19" i="129"/>
  <c r="C169" i="169"/>
  <c r="C168" i="169"/>
  <c r="D145" i="169"/>
  <c r="E145" i="169"/>
  <c r="F145" i="169"/>
  <c r="G145" i="169"/>
  <c r="H145" i="169"/>
  <c r="I145" i="169"/>
  <c r="J145" i="169"/>
  <c r="K145" i="169"/>
  <c r="K55" i="202" s="1"/>
  <c r="L145" i="169"/>
  <c r="L55" i="202" s="1"/>
  <c r="M145" i="169"/>
  <c r="N145" i="169"/>
  <c r="O145" i="169"/>
  <c r="C145" i="169"/>
  <c r="D144" i="169"/>
  <c r="C144" i="169"/>
  <c r="C143" i="169"/>
  <c r="N55" i="202" l="1"/>
  <c r="M55" i="202"/>
  <c r="P146" i="169"/>
  <c r="AI18" i="123"/>
  <c r="EV18" i="129" s="1"/>
  <c r="F55" i="202"/>
  <c r="I55" i="202"/>
  <c r="E55" i="202"/>
  <c r="J55" i="202"/>
  <c r="C55" i="202"/>
  <c r="H55" i="202"/>
  <c r="D55" i="202"/>
  <c r="G55" i="202"/>
  <c r="P144" i="169"/>
  <c r="P145" i="169"/>
  <c r="AI7" i="123" l="1"/>
  <c r="AI17" i="123"/>
  <c r="CL127" i="114" l="1"/>
  <c r="CK127" i="114"/>
  <c r="CJ127" i="114"/>
  <c r="CI127" i="114"/>
  <c r="BL79" i="114" l="1"/>
  <c r="CP128" i="114"/>
  <c r="BL80" i="114"/>
  <c r="CQ128" i="114"/>
  <c r="BL78" i="114"/>
  <c r="CO128" i="114"/>
  <c r="BL81" i="114"/>
  <c r="CR128" i="114"/>
  <c r="BM85" i="114" l="1"/>
  <c r="BM83" i="114"/>
  <c r="BM84" i="114"/>
  <c r="BM86" i="114"/>
  <c r="R58" i="204"/>
  <c r="S58" i="204"/>
  <c r="R59" i="204"/>
  <c r="S59" i="204"/>
  <c r="R60" i="204"/>
  <c r="S60" i="204"/>
  <c r="R61" i="204"/>
  <c r="S61" i="204"/>
  <c r="R62" i="204"/>
  <c r="S62" i="204"/>
  <c r="R63" i="204"/>
  <c r="S63" i="204"/>
  <c r="R64" i="204"/>
  <c r="S64" i="204"/>
  <c r="R65" i="204"/>
  <c r="S65" i="204"/>
  <c r="R66" i="204"/>
  <c r="S66" i="204"/>
  <c r="S57" i="204"/>
  <c r="R57" i="204"/>
  <c r="T57" i="204" l="1"/>
  <c r="T63" i="204"/>
  <c r="R51" i="204" s="1"/>
  <c r="T59" i="204"/>
  <c r="T65" i="204"/>
  <c r="T61" i="204"/>
  <c r="R49" i="204" s="1"/>
  <c r="T66" i="204"/>
  <c r="T64" i="204"/>
  <c r="R52" i="204" s="1"/>
  <c r="T62" i="204"/>
  <c r="R50" i="204" s="1"/>
  <c r="T60" i="204"/>
  <c r="T58" i="204"/>
  <c r="S48" i="204"/>
  <c r="R48" i="204"/>
  <c r="S50" i="204" l="1"/>
  <c r="U70" i="204"/>
  <c r="S49" i="204"/>
  <c r="U69" i="204"/>
  <c r="O144" i="169"/>
  <c r="N144" i="169"/>
  <c r="M144" i="169"/>
  <c r="L144" i="169"/>
  <c r="K144" i="169"/>
  <c r="J144" i="169"/>
  <c r="I144" i="169"/>
  <c r="H144" i="169"/>
  <c r="G144" i="169"/>
  <c r="F144" i="169"/>
  <c r="E144" i="169"/>
  <c r="O143" i="169"/>
  <c r="N143" i="169"/>
  <c r="M143" i="169"/>
  <c r="L143" i="169"/>
  <c r="K143" i="169"/>
  <c r="J143" i="169"/>
  <c r="I143" i="169"/>
  <c r="H143" i="169"/>
  <c r="G143" i="169"/>
  <c r="F143" i="169"/>
  <c r="E143" i="169"/>
  <c r="D143" i="169"/>
  <c r="O142" i="169"/>
  <c r="N142" i="169"/>
  <c r="M142" i="169"/>
  <c r="J142" i="169"/>
  <c r="I142" i="169"/>
  <c r="H142" i="169"/>
  <c r="G142" i="169"/>
  <c r="F142" i="169"/>
  <c r="E142" i="169"/>
  <c r="D142" i="169"/>
  <c r="C142" i="169"/>
  <c r="P143" i="169" s="1"/>
  <c r="O141" i="169"/>
  <c r="N141" i="169"/>
  <c r="M141" i="169"/>
  <c r="L141" i="169"/>
  <c r="K141" i="169"/>
  <c r="J141" i="169"/>
  <c r="I141" i="169"/>
  <c r="H141" i="169"/>
  <c r="G141" i="169"/>
  <c r="F141" i="169"/>
  <c r="E141" i="169"/>
  <c r="D141" i="169"/>
  <c r="C141" i="169"/>
  <c r="O140" i="169"/>
  <c r="N140" i="169"/>
  <c r="M140" i="169"/>
  <c r="L140" i="169"/>
  <c r="K140" i="169"/>
  <c r="J140" i="169"/>
  <c r="I140" i="169"/>
  <c r="H140" i="169"/>
  <c r="G140" i="169"/>
  <c r="F140" i="169"/>
  <c r="E140" i="169"/>
  <c r="D140" i="169"/>
  <c r="C140" i="169"/>
  <c r="O139" i="169"/>
  <c r="N139" i="169"/>
  <c r="M139" i="169"/>
  <c r="L139" i="169"/>
  <c r="K139" i="169"/>
  <c r="J139" i="169"/>
  <c r="I139" i="169"/>
  <c r="H139" i="169"/>
  <c r="G139" i="169"/>
  <c r="F139" i="169"/>
  <c r="E139" i="169"/>
  <c r="D139" i="169"/>
  <c r="C139" i="169"/>
  <c r="O138" i="169"/>
  <c r="N138" i="169"/>
  <c r="M138" i="169"/>
  <c r="L138" i="169"/>
  <c r="K138" i="169"/>
  <c r="J138" i="169"/>
  <c r="I138" i="169"/>
  <c r="H138" i="169"/>
  <c r="G138" i="169"/>
  <c r="F138" i="169"/>
  <c r="E138" i="169"/>
  <c r="D138" i="169"/>
  <c r="C138" i="169"/>
  <c r="O137" i="169"/>
  <c r="N137" i="169"/>
  <c r="M137" i="169"/>
  <c r="L137" i="169"/>
  <c r="K137" i="169"/>
  <c r="J137" i="169"/>
  <c r="I137" i="169"/>
  <c r="H137" i="169"/>
  <c r="G137" i="169"/>
  <c r="F137" i="169"/>
  <c r="E137" i="169"/>
  <c r="D137" i="169"/>
  <c r="C137" i="169"/>
  <c r="O136" i="169"/>
  <c r="N136" i="169"/>
  <c r="M136" i="169"/>
  <c r="L136" i="169"/>
  <c r="K136" i="169"/>
  <c r="J136" i="169"/>
  <c r="I136" i="169"/>
  <c r="H136" i="169"/>
  <c r="G136" i="169"/>
  <c r="F136" i="169"/>
  <c r="E136" i="169"/>
  <c r="D136" i="169"/>
  <c r="C136" i="169"/>
  <c r="O135" i="169"/>
  <c r="N135" i="169"/>
  <c r="M135" i="169"/>
  <c r="L135" i="169"/>
  <c r="K135" i="169"/>
  <c r="J135" i="169"/>
  <c r="I135" i="169"/>
  <c r="H135" i="169"/>
  <c r="G135" i="169"/>
  <c r="F135" i="169"/>
  <c r="E135" i="169"/>
  <c r="D135" i="169"/>
  <c r="C135" i="169"/>
  <c r="O134" i="169"/>
  <c r="N134" i="169"/>
  <c r="M134" i="169"/>
  <c r="L134" i="169"/>
  <c r="K134" i="169"/>
  <c r="J134" i="169"/>
  <c r="I134" i="169"/>
  <c r="H134" i="169"/>
  <c r="G134" i="169"/>
  <c r="F134" i="169"/>
  <c r="E134" i="169"/>
  <c r="D134" i="169"/>
  <c r="C134" i="169"/>
  <c r="O133" i="169"/>
  <c r="N133" i="169"/>
  <c r="M133" i="169"/>
  <c r="L133" i="169"/>
  <c r="K133" i="169"/>
  <c r="J133" i="169"/>
  <c r="I133" i="169"/>
  <c r="H133" i="169"/>
  <c r="G133" i="169"/>
  <c r="F133" i="169"/>
  <c r="E133" i="169"/>
  <c r="D133" i="169"/>
  <c r="C133" i="169"/>
  <c r="O132" i="169"/>
  <c r="N132" i="169"/>
  <c r="M132" i="169"/>
  <c r="L132" i="169"/>
  <c r="K132" i="169"/>
  <c r="J132" i="169"/>
  <c r="I132" i="169"/>
  <c r="H132" i="169"/>
  <c r="G132" i="169"/>
  <c r="F132" i="169"/>
  <c r="E132" i="169"/>
  <c r="D132" i="169"/>
  <c r="C132" i="169"/>
  <c r="O131" i="169"/>
  <c r="N131" i="169"/>
  <c r="M131" i="169"/>
  <c r="L131" i="169"/>
  <c r="K131" i="169"/>
  <c r="J131" i="169"/>
  <c r="I131" i="169"/>
  <c r="H131" i="169"/>
  <c r="G131" i="169"/>
  <c r="F131" i="169"/>
  <c r="E131" i="169"/>
  <c r="D131" i="169"/>
  <c r="C131" i="169"/>
  <c r="O130" i="169"/>
  <c r="N130" i="169"/>
  <c r="M130" i="169"/>
  <c r="L130" i="169"/>
  <c r="K130" i="169"/>
  <c r="J130" i="169"/>
  <c r="I130" i="169"/>
  <c r="H130" i="169"/>
  <c r="G130" i="169"/>
  <c r="F130" i="169"/>
  <c r="E130" i="169"/>
  <c r="D130" i="169"/>
  <c r="C130" i="169"/>
  <c r="O129" i="169"/>
  <c r="N129" i="169"/>
  <c r="M129" i="169"/>
  <c r="L129" i="169"/>
  <c r="K129" i="169"/>
  <c r="J129" i="169"/>
  <c r="I129" i="169"/>
  <c r="H129" i="169"/>
  <c r="G129" i="169"/>
  <c r="F129" i="169"/>
  <c r="E129" i="169"/>
  <c r="D129" i="169"/>
  <c r="C129" i="169"/>
  <c r="O128" i="169"/>
  <c r="N128" i="169"/>
  <c r="M128" i="169"/>
  <c r="L128" i="169"/>
  <c r="K128" i="169"/>
  <c r="J128" i="169"/>
  <c r="I128" i="169"/>
  <c r="H128" i="169"/>
  <c r="G128" i="169"/>
  <c r="F128" i="169"/>
  <c r="E128" i="169"/>
  <c r="D128" i="169"/>
  <c r="C128" i="169"/>
  <c r="O127" i="169"/>
  <c r="N127" i="169"/>
  <c r="M127" i="169"/>
  <c r="L127" i="169"/>
  <c r="K127" i="169"/>
  <c r="J127" i="169"/>
  <c r="I127" i="169"/>
  <c r="H127" i="169"/>
  <c r="G127" i="169"/>
  <c r="F127" i="169"/>
  <c r="E127" i="169"/>
  <c r="D127" i="169"/>
  <c r="C127" i="169"/>
  <c r="O126" i="169"/>
  <c r="N126" i="169"/>
  <c r="M126" i="169"/>
  <c r="L126" i="169"/>
  <c r="K126" i="169"/>
  <c r="J126" i="169"/>
  <c r="I126" i="169"/>
  <c r="H126" i="169"/>
  <c r="G126" i="169"/>
  <c r="F126" i="169"/>
  <c r="E126" i="169"/>
  <c r="D126" i="169"/>
  <c r="C126" i="169"/>
  <c r="O125" i="169"/>
  <c r="N125" i="169"/>
  <c r="M125" i="169"/>
  <c r="L125" i="169"/>
  <c r="K125" i="169"/>
  <c r="J125" i="169"/>
  <c r="I125" i="169"/>
  <c r="H125" i="169"/>
  <c r="G125" i="169"/>
  <c r="F125" i="169"/>
  <c r="E125" i="169"/>
  <c r="D125" i="169"/>
  <c r="C125" i="169"/>
  <c r="O124" i="169"/>
  <c r="N124" i="169"/>
  <c r="M124" i="169"/>
  <c r="L124" i="169"/>
  <c r="K124" i="169"/>
  <c r="J124" i="169"/>
  <c r="I124" i="169"/>
  <c r="H124" i="169"/>
  <c r="G124" i="169"/>
  <c r="F124" i="169"/>
  <c r="E124" i="169"/>
  <c r="D124" i="169"/>
  <c r="C124" i="169"/>
  <c r="P128" i="169" l="1"/>
  <c r="P125" i="169"/>
  <c r="P129" i="169"/>
  <c r="P133" i="169"/>
  <c r="P137" i="169"/>
  <c r="P141" i="169"/>
  <c r="P126" i="169"/>
  <c r="L142" i="169"/>
  <c r="K142" i="169" s="1"/>
  <c r="P127" i="169"/>
  <c r="P130" i="169"/>
  <c r="P134" i="169"/>
  <c r="P138" i="169"/>
  <c r="P142" i="169"/>
  <c r="P131" i="169"/>
  <c r="P135" i="169"/>
  <c r="P139" i="169"/>
  <c r="P132" i="169"/>
  <c r="P136" i="169"/>
  <c r="P140" i="169"/>
  <c r="U5" i="124" l="1"/>
  <c r="Z35" i="92"/>
  <c r="Y19" i="176"/>
  <c r="AG5" i="176"/>
  <c r="AG6" i="176"/>
  <c r="AQ6" i="92" s="1"/>
  <c r="AG7" i="176"/>
  <c r="AQ29" i="92" s="1"/>
  <c r="AG8" i="176"/>
  <c r="AQ30" i="92" s="1"/>
  <c r="AG9" i="176"/>
  <c r="AQ22" i="92" s="1"/>
  <c r="AG10" i="176"/>
  <c r="AQ31" i="92" s="1"/>
  <c r="AG12" i="176"/>
  <c r="AG15" i="176"/>
  <c r="AG17" i="176"/>
  <c r="AG20" i="176"/>
  <c r="AQ44" i="92" s="1"/>
  <c r="AG21" i="176"/>
  <c r="GH5" i="129" l="1"/>
  <c r="AB43" i="92"/>
  <c r="U32" i="124"/>
  <c r="U56" i="124"/>
  <c r="U33" i="124"/>
  <c r="U44" i="124"/>
  <c r="U21" i="124"/>
  <c r="U52" i="124"/>
  <c r="U57" i="124"/>
  <c r="U60" i="124"/>
  <c r="U28" i="124"/>
  <c r="U53" i="124"/>
  <c r="U59" i="124"/>
  <c r="U31" i="124"/>
  <c r="U58" i="124"/>
  <c r="U38" i="124"/>
  <c r="U22" i="124"/>
  <c r="U49" i="124"/>
  <c r="U48" i="124"/>
  <c r="U24" i="124"/>
  <c r="U37" i="124"/>
  <c r="U45" i="124"/>
  <c r="U51" i="124"/>
  <c r="U27" i="124"/>
  <c r="U54" i="124"/>
  <c r="U34" i="124"/>
  <c r="U41" i="124"/>
  <c r="U40" i="124"/>
  <c r="U20" i="124"/>
  <c r="U67" i="124"/>
  <c r="U43" i="124"/>
  <c r="U66" i="124"/>
  <c r="U50" i="124"/>
  <c r="U30" i="124"/>
  <c r="U25" i="124"/>
  <c r="U36" i="124"/>
  <c r="U65" i="124"/>
  <c r="U63" i="124"/>
  <c r="U39" i="124"/>
  <c r="U62" i="124"/>
  <c r="U46" i="124"/>
  <c r="U26" i="124"/>
  <c r="R27" i="176"/>
  <c r="S27" i="176" s="1"/>
  <c r="T27" i="176" s="1"/>
  <c r="U27" i="176" s="1"/>
  <c r="V27" i="176" s="1"/>
  <c r="W27" i="176" s="1"/>
  <c r="X27" i="176" s="1"/>
  <c r="Y27" i="176" s="1"/>
  <c r="Z27" i="176" s="1"/>
  <c r="AA27" i="176" s="1"/>
  <c r="AB27" i="176" s="1"/>
  <c r="R28" i="176"/>
  <c r="S28" i="176" s="1"/>
  <c r="T28" i="176" s="1"/>
  <c r="U28" i="176" s="1"/>
  <c r="V28" i="176" s="1"/>
  <c r="W28" i="176" s="1"/>
  <c r="X28" i="176" s="1"/>
  <c r="Y28" i="176" s="1"/>
  <c r="Z28" i="176" s="1"/>
  <c r="AA28" i="176" s="1"/>
  <c r="AB28" i="176" s="1"/>
  <c r="R29" i="176"/>
  <c r="S29" i="176" s="1"/>
  <c r="T29" i="176" s="1"/>
  <c r="U29" i="176" s="1"/>
  <c r="V29" i="176" s="1"/>
  <c r="W29" i="176" s="1"/>
  <c r="X29" i="176" s="1"/>
  <c r="Y29" i="176" s="1"/>
  <c r="Z29" i="176" s="1"/>
  <c r="AA29" i="176" s="1"/>
  <c r="AB29" i="176" s="1"/>
  <c r="R30" i="176"/>
  <c r="S30" i="176" s="1"/>
  <c r="T30" i="176" s="1"/>
  <c r="U30" i="176" s="1"/>
  <c r="V30" i="176" s="1"/>
  <c r="W30" i="176" s="1"/>
  <c r="X30" i="176" s="1"/>
  <c r="Y30" i="176" s="1"/>
  <c r="Z30" i="176" s="1"/>
  <c r="AA30" i="176" s="1"/>
  <c r="AB30" i="176" s="1"/>
  <c r="R31" i="176"/>
  <c r="S31" i="176" s="1"/>
  <c r="T31" i="176" s="1"/>
  <c r="U31" i="176" s="1"/>
  <c r="V31" i="176" s="1"/>
  <c r="W31" i="176" s="1"/>
  <c r="X31" i="176" s="1"/>
  <c r="Y31" i="176" s="1"/>
  <c r="Z31" i="176" s="1"/>
  <c r="AA31" i="176" s="1"/>
  <c r="AB31" i="176" s="1"/>
  <c r="R32" i="176"/>
  <c r="S32" i="176" s="1"/>
  <c r="T32" i="176" s="1"/>
  <c r="U32" i="176" s="1"/>
  <c r="V32" i="176" s="1"/>
  <c r="W32" i="176" s="1"/>
  <c r="X32" i="176" s="1"/>
  <c r="Y32" i="176" s="1"/>
  <c r="Z32" i="176" s="1"/>
  <c r="AA32" i="176" s="1"/>
  <c r="AB32" i="176" s="1"/>
  <c r="R34" i="176"/>
  <c r="S34" i="176" s="1"/>
  <c r="T34" i="176" s="1"/>
  <c r="U34" i="176" s="1"/>
  <c r="V34" i="176" s="1"/>
  <c r="W34" i="176" s="1"/>
  <c r="X34" i="176" s="1"/>
  <c r="Y34" i="176" s="1"/>
  <c r="Z34" i="176" s="1"/>
  <c r="AA34" i="176" s="1"/>
  <c r="AB34" i="176" s="1"/>
  <c r="R37" i="176"/>
  <c r="S37" i="176" s="1"/>
  <c r="T37" i="176" s="1"/>
  <c r="U37" i="176" s="1"/>
  <c r="V37" i="176" s="1"/>
  <c r="W37" i="176" s="1"/>
  <c r="X37" i="176" s="1"/>
  <c r="Y37" i="176" s="1"/>
  <c r="Z37" i="176" s="1"/>
  <c r="AA37" i="176" s="1"/>
  <c r="AB37" i="176" s="1"/>
  <c r="R42" i="176"/>
  <c r="S42" i="176" s="1"/>
  <c r="T42" i="176" s="1"/>
  <c r="U42" i="176" s="1"/>
  <c r="V42" i="176" s="1"/>
  <c r="W42" i="176" s="1"/>
  <c r="X42" i="176" s="1"/>
  <c r="Y42" i="176" s="1"/>
  <c r="Z42" i="176" s="1"/>
  <c r="AA42" i="176" s="1"/>
  <c r="AB42" i="176" s="1"/>
  <c r="R43" i="176"/>
  <c r="S43" i="176" s="1"/>
  <c r="T43" i="176" s="1"/>
  <c r="U43" i="176" s="1"/>
  <c r="V43" i="176" s="1"/>
  <c r="W43" i="176" s="1"/>
  <c r="X43" i="176" s="1"/>
  <c r="Y43" i="176" s="1"/>
  <c r="Z43" i="176" s="1"/>
  <c r="AA43" i="176" s="1"/>
  <c r="AB43" i="176" s="1"/>
  <c r="S54" i="204"/>
  <c r="T48" i="204"/>
  <c r="T54" i="204" s="1"/>
  <c r="BE84" i="114"/>
  <c r="BF84" i="114"/>
  <c r="BG84" i="114"/>
  <c r="BH84" i="114"/>
  <c r="BI84" i="114"/>
  <c r="BJ84" i="114"/>
  <c r="BE85" i="114"/>
  <c r="BF85" i="114"/>
  <c r="BG85" i="114"/>
  <c r="BH85" i="114"/>
  <c r="BI85" i="114"/>
  <c r="BJ85" i="114"/>
  <c r="BE86" i="114"/>
  <c r="BF86" i="114"/>
  <c r="BG86" i="114"/>
  <c r="BH86" i="114"/>
  <c r="BI86" i="114"/>
  <c r="BJ86" i="114"/>
  <c r="BG88" i="114"/>
  <c r="BH88" i="114"/>
  <c r="BI88" i="114"/>
  <c r="BI89" i="114" s="1"/>
  <c r="BJ88" i="114"/>
  <c r="BG90" i="114"/>
  <c r="BH90" i="114"/>
  <c r="BI90" i="114"/>
  <c r="BJ90" i="114"/>
  <c r="AN63" i="86"/>
  <c r="AG167" i="206" s="1"/>
  <c r="AO63" i="86"/>
  <c r="AH167" i="206" s="1"/>
  <c r="AP63" i="86"/>
  <c r="AI167" i="206" s="1"/>
  <c r="AN60" i="86"/>
  <c r="AG164" i="206" s="1"/>
  <c r="AO60" i="86"/>
  <c r="AH164" i="206" s="1"/>
  <c r="AP60" i="86"/>
  <c r="AI164" i="206" s="1"/>
  <c r="AN54" i="86"/>
  <c r="AG158" i="206" s="1"/>
  <c r="AO54" i="86"/>
  <c r="AH158" i="206" s="1"/>
  <c r="AP54" i="86"/>
  <c r="AI158" i="206" s="1"/>
  <c r="AN46" i="86"/>
  <c r="AG150" i="206" s="1"/>
  <c r="AO46" i="86"/>
  <c r="AH150" i="206" s="1"/>
  <c r="AP46" i="86"/>
  <c r="AI150" i="206" s="1"/>
  <c r="AN41" i="86"/>
  <c r="AG145" i="206" s="1"/>
  <c r="AO41" i="86"/>
  <c r="AH145" i="206" s="1"/>
  <c r="AP41" i="86"/>
  <c r="AI145" i="206" s="1"/>
  <c r="AN34" i="86"/>
  <c r="AG138" i="206" s="1"/>
  <c r="AO34" i="86"/>
  <c r="AH138" i="206" s="1"/>
  <c r="AP34" i="86"/>
  <c r="AI138" i="206" s="1"/>
  <c r="AN28" i="86"/>
  <c r="AG132" i="206" s="1"/>
  <c r="AO28" i="86"/>
  <c r="AH132" i="206" s="1"/>
  <c r="AP28" i="86"/>
  <c r="AI132" i="206" s="1"/>
  <c r="AN22" i="86"/>
  <c r="AG126" i="206" s="1"/>
  <c r="AO22" i="86"/>
  <c r="AH126" i="206" s="1"/>
  <c r="AP22" i="86"/>
  <c r="AI126" i="206" s="1"/>
  <c r="AN18" i="86"/>
  <c r="AG122" i="206" s="1"/>
  <c r="AO18" i="86"/>
  <c r="AH122" i="206" s="1"/>
  <c r="AP18" i="86"/>
  <c r="AI122" i="206" s="1"/>
  <c r="AJ122" i="206"/>
  <c r="AN8" i="86"/>
  <c r="AG121" i="206" s="1"/>
  <c r="AO8" i="86"/>
  <c r="AH121" i="206" s="1"/>
  <c r="AP8" i="86"/>
  <c r="AI121" i="206" s="1"/>
  <c r="AJ126" i="206"/>
  <c r="AJ132" i="206"/>
  <c r="AJ138" i="206"/>
  <c r="AJ145" i="206"/>
  <c r="AJ150" i="206"/>
  <c r="AJ158" i="206"/>
  <c r="AJ164" i="206"/>
  <c r="AJ167" i="206"/>
  <c r="HB5" i="129" l="1"/>
  <c r="AC43" i="92"/>
  <c r="HL5" i="129" s="1"/>
  <c r="GR5" i="129"/>
  <c r="BI91" i="114"/>
  <c r="U51" i="204"/>
  <c r="U50" i="204"/>
  <c r="V50" i="204" s="1"/>
  <c r="BH91" i="114"/>
  <c r="BJ91" i="114"/>
  <c r="BJ89" i="114"/>
  <c r="AB6" i="92"/>
  <c r="AC6" i="92" s="1"/>
  <c r="AB30" i="92"/>
  <c r="AC30" i="92" s="1"/>
  <c r="AB29" i="92"/>
  <c r="AC29" i="92" s="1"/>
  <c r="I61" i="207"/>
  <c r="I65" i="207"/>
  <c r="I32" i="207"/>
  <c r="I43" i="207"/>
  <c r="I47" i="207"/>
  <c r="I29" i="207"/>
  <c r="I58" i="207"/>
  <c r="I42" i="207"/>
  <c r="I44" i="207"/>
  <c r="I18" i="207"/>
  <c r="I52" i="207"/>
  <c r="I35" i="207"/>
  <c r="I57" i="207"/>
  <c r="I55" i="207"/>
  <c r="I31" i="207"/>
  <c r="I64" i="207"/>
  <c r="I38" i="207"/>
  <c r="I25" i="207"/>
  <c r="I22" i="207"/>
  <c r="I36" i="207"/>
  <c r="I51" i="207"/>
  <c r="I50" i="207"/>
  <c r="I54" i="207"/>
  <c r="I37" i="207"/>
  <c r="I23" i="207"/>
  <c r="I39" i="207"/>
  <c r="I49" i="207"/>
  <c r="I46" i="207"/>
  <c r="I26" i="207"/>
  <c r="I19" i="207"/>
  <c r="I30" i="207"/>
  <c r="U49" i="204"/>
  <c r="V49" i="204" s="1"/>
  <c r="I28" i="207"/>
  <c r="U29" i="124"/>
  <c r="I63" i="207"/>
  <c r="U64" i="124"/>
  <c r="U47" i="124"/>
  <c r="I48" i="207"/>
  <c r="U19" i="124"/>
  <c r="I20" i="207"/>
  <c r="U23" i="124"/>
  <c r="I24" i="207"/>
  <c r="U61" i="124"/>
  <c r="I60" i="207"/>
  <c r="I34" i="207"/>
  <c r="U35" i="124"/>
  <c r="I41" i="207"/>
  <c r="U42" i="124"/>
  <c r="U55" i="124"/>
  <c r="I56" i="207"/>
  <c r="HU16" i="129"/>
  <c r="HU14" i="129"/>
  <c r="HU12" i="129"/>
  <c r="HU9" i="129"/>
  <c r="HU13" i="129"/>
  <c r="HU15" i="129"/>
  <c r="HU11" i="129"/>
  <c r="HU8" i="129"/>
  <c r="BH89" i="114"/>
  <c r="L23" i="197"/>
  <c r="T87" i="121"/>
  <c r="GA16" i="129"/>
  <c r="GA15" i="129"/>
  <c r="GA14" i="129"/>
  <c r="GA13" i="129"/>
  <c r="GA12" i="129"/>
  <c r="GA11" i="129"/>
  <c r="GA10" i="129"/>
  <c r="GA9" i="129"/>
  <c r="GA8" i="129"/>
  <c r="GA7" i="129"/>
  <c r="AC28" i="92" l="1"/>
  <c r="X5" i="119"/>
  <c r="AC59" i="92"/>
  <c r="X5" i="125"/>
  <c r="AC57" i="92"/>
  <c r="X5" i="93"/>
  <c r="W5" i="125"/>
  <c r="AB57" i="92"/>
  <c r="W5" i="120" s="1"/>
  <c r="AB59" i="92"/>
  <c r="W5" i="93"/>
  <c r="V53" i="204"/>
  <c r="V45" i="204" s="1"/>
  <c r="W45" i="204" s="1"/>
  <c r="X45" i="204" s="1"/>
  <c r="AB28" i="92"/>
  <c r="W5" i="119"/>
  <c r="AA49" i="92"/>
  <c r="V5" i="112" s="1"/>
  <c r="AB31" i="92"/>
  <c r="AA59" i="92"/>
  <c r="V5" i="125"/>
  <c r="AA57" i="92"/>
  <c r="V5" i="120" s="1"/>
  <c r="V5" i="93"/>
  <c r="AA28" i="92"/>
  <c r="AA27" i="92" s="1"/>
  <c r="AA26" i="92" s="1"/>
  <c r="V5" i="119"/>
  <c r="I13" i="211"/>
  <c r="I61" i="200" s="1"/>
  <c r="I109" i="200" s="1"/>
  <c r="I7" i="211"/>
  <c r="I55" i="200" s="1"/>
  <c r="I103" i="200" s="1"/>
  <c r="I6" i="211"/>
  <c r="I54" i="200" s="1"/>
  <c r="I102" i="200" s="1"/>
  <c r="I9" i="211"/>
  <c r="I57" i="200" s="1"/>
  <c r="I105" i="200" s="1"/>
  <c r="I8" i="211"/>
  <c r="I56" i="200" s="1"/>
  <c r="I104" i="200" s="1"/>
  <c r="I11" i="211"/>
  <c r="I59" i="200" s="1"/>
  <c r="I107" i="200" s="1"/>
  <c r="I12" i="211"/>
  <c r="I60" i="200" s="1"/>
  <c r="I108" i="200" s="1"/>
  <c r="I10" i="211"/>
  <c r="I58" i="200" s="1"/>
  <c r="I106" i="200" s="1"/>
  <c r="I14" i="211"/>
  <c r="I62" i="200" s="1"/>
  <c r="I110" i="200" s="1"/>
  <c r="T53" i="204"/>
  <c r="U53" i="204"/>
  <c r="U45" i="204" s="1"/>
  <c r="U14" i="124"/>
  <c r="I53" i="207"/>
  <c r="U11" i="124"/>
  <c r="I33" i="207"/>
  <c r="U13" i="124"/>
  <c r="I45" i="207"/>
  <c r="U15" i="124"/>
  <c r="I59" i="207"/>
  <c r="U12" i="124"/>
  <c r="I40" i="207"/>
  <c r="U9" i="124"/>
  <c r="I21" i="207"/>
  <c r="U16" i="124"/>
  <c r="I62" i="207"/>
  <c r="U10" i="124"/>
  <c r="I27" i="207"/>
  <c r="U8" i="124"/>
  <c r="I17" i="207"/>
  <c r="HU10" i="129"/>
  <c r="GA6" i="129"/>
  <c r="AB27" i="92" l="1"/>
  <c r="AB26" i="92" s="1"/>
  <c r="AC58" i="92"/>
  <c r="X5" i="121" s="1"/>
  <c r="X5" i="120"/>
  <c r="AB49" i="92"/>
  <c r="W5" i="112" s="1"/>
  <c r="AC31" i="92"/>
  <c r="AC49" i="92" s="1"/>
  <c r="X5" i="112" s="1"/>
  <c r="X20" i="119"/>
  <c r="X38" i="119"/>
  <c r="G36" i="213" s="1"/>
  <c r="X48" i="119"/>
  <c r="X57" i="119"/>
  <c r="G55" i="213" s="1"/>
  <c r="X65" i="119"/>
  <c r="X43" i="119"/>
  <c r="X21" i="119"/>
  <c r="G19" i="213" s="1"/>
  <c r="X30" i="119"/>
  <c r="X39" i="119"/>
  <c r="G37" i="213" s="1"/>
  <c r="X49" i="119"/>
  <c r="G47" i="213" s="1"/>
  <c r="X58" i="119"/>
  <c r="G56" i="213" s="1"/>
  <c r="X66" i="119"/>
  <c r="G64" i="213" s="1"/>
  <c r="X33" i="119"/>
  <c r="G31" i="213" s="1"/>
  <c r="X22" i="119"/>
  <c r="G20" i="213" s="1"/>
  <c r="X31" i="119"/>
  <c r="G29" i="213" s="1"/>
  <c r="X40" i="119"/>
  <c r="G38" i="213" s="1"/>
  <c r="X50" i="119"/>
  <c r="G48" i="213" s="1"/>
  <c r="X59" i="119"/>
  <c r="G57" i="213" s="1"/>
  <c r="X67" i="119"/>
  <c r="G65" i="213" s="1"/>
  <c r="X25" i="119"/>
  <c r="G23" i="213" s="1"/>
  <c r="X24" i="119"/>
  <c r="X32" i="119"/>
  <c r="G30" i="213" s="1"/>
  <c r="X41" i="119"/>
  <c r="G39" i="213" s="1"/>
  <c r="X51" i="119"/>
  <c r="G49" i="213" s="1"/>
  <c r="X60" i="119"/>
  <c r="G58" i="213" s="1"/>
  <c r="X52" i="119"/>
  <c r="G50" i="213" s="1"/>
  <c r="X26" i="119"/>
  <c r="G24" i="213" s="1"/>
  <c r="X34" i="119"/>
  <c r="G32" i="213" s="1"/>
  <c r="X44" i="119"/>
  <c r="G42" i="213" s="1"/>
  <c r="X53" i="119"/>
  <c r="G51" i="213" s="1"/>
  <c r="X62" i="119"/>
  <c r="X28" i="119"/>
  <c r="G26" i="213" s="1"/>
  <c r="X46" i="119"/>
  <c r="G44" i="213" s="1"/>
  <c r="X56" i="119"/>
  <c r="X27" i="119"/>
  <c r="G25" i="213" s="1"/>
  <c r="X36" i="119"/>
  <c r="X45" i="119"/>
  <c r="G43" i="213" s="1"/>
  <c r="X54" i="119"/>
  <c r="G52" i="213" s="1"/>
  <c r="X63" i="119"/>
  <c r="G61" i="213" s="1"/>
  <c r="X37" i="119"/>
  <c r="G35" i="213" s="1"/>
  <c r="AC48" i="92"/>
  <c r="AC50" i="92" s="1"/>
  <c r="AC27" i="92"/>
  <c r="AC26" i="92" s="1"/>
  <c r="X20" i="93"/>
  <c r="X40" i="93"/>
  <c r="D38" i="213" s="1"/>
  <c r="X60" i="93"/>
  <c r="D58" i="213" s="1"/>
  <c r="X52" i="93"/>
  <c r="D50" i="213" s="1"/>
  <c r="X22" i="93"/>
  <c r="D20" i="213" s="1"/>
  <c r="X65" i="93"/>
  <c r="X31" i="93"/>
  <c r="D29" i="213" s="1"/>
  <c r="X33" i="93"/>
  <c r="D31" i="213" s="1"/>
  <c r="X41" i="93"/>
  <c r="D39" i="213" s="1"/>
  <c r="X44" i="93"/>
  <c r="D42" i="213" s="1"/>
  <c r="X63" i="93"/>
  <c r="D61" i="213" s="1"/>
  <c r="X59" i="93"/>
  <c r="D57" i="213" s="1"/>
  <c r="X50" i="93"/>
  <c r="D48" i="213" s="1"/>
  <c r="X38" i="93"/>
  <c r="D36" i="213" s="1"/>
  <c r="X43" i="93"/>
  <c r="X37" i="93"/>
  <c r="D35" i="213" s="1"/>
  <c r="X30" i="93"/>
  <c r="X51" i="93"/>
  <c r="D49" i="213" s="1"/>
  <c r="X34" i="93"/>
  <c r="D32" i="213" s="1"/>
  <c r="X57" i="93"/>
  <c r="D55" i="213" s="1"/>
  <c r="X27" i="93"/>
  <c r="D25" i="213" s="1"/>
  <c r="X48" i="93"/>
  <c r="X45" i="93"/>
  <c r="D43" i="213" s="1"/>
  <c r="X49" i="93"/>
  <c r="D47" i="213" s="1"/>
  <c r="X36" i="93"/>
  <c r="X54" i="93"/>
  <c r="D52" i="213" s="1"/>
  <c r="X39" i="93"/>
  <c r="D37" i="213" s="1"/>
  <c r="X58" i="93"/>
  <c r="D56" i="213" s="1"/>
  <c r="X56" i="93"/>
  <c r="X62" i="93"/>
  <c r="X53" i="93"/>
  <c r="D51" i="213" s="1"/>
  <c r="X26" i="93"/>
  <c r="D24" i="213" s="1"/>
  <c r="X21" i="93"/>
  <c r="D19" i="213" s="1"/>
  <c r="X24" i="93"/>
  <c r="X67" i="93"/>
  <c r="D65" i="213" s="1"/>
  <c r="X25" i="93"/>
  <c r="D23" i="213" s="1"/>
  <c r="X32" i="93"/>
  <c r="D30" i="213" s="1"/>
  <c r="X46" i="93"/>
  <c r="D44" i="213" s="1"/>
  <c r="X66" i="93"/>
  <c r="D64" i="213" s="1"/>
  <c r="X28" i="93"/>
  <c r="D26" i="213" s="1"/>
  <c r="AB58" i="92"/>
  <c r="W5" i="121" s="1"/>
  <c r="W34" i="121" s="1"/>
  <c r="W21" i="119"/>
  <c r="G19" i="212" s="1"/>
  <c r="W31" i="119"/>
  <c r="G29" i="212" s="1"/>
  <c r="W40" i="119"/>
  <c r="G38" i="212" s="1"/>
  <c r="W50" i="119"/>
  <c r="G48" i="212" s="1"/>
  <c r="W59" i="119"/>
  <c r="G57" i="212" s="1"/>
  <c r="W22" i="119"/>
  <c r="G20" i="212" s="1"/>
  <c r="W32" i="119"/>
  <c r="G30" i="212" s="1"/>
  <c r="W41" i="119"/>
  <c r="G39" i="212" s="1"/>
  <c r="W51" i="119"/>
  <c r="G49" i="212" s="1"/>
  <c r="W60" i="119"/>
  <c r="G58" i="212" s="1"/>
  <c r="W30" i="119"/>
  <c r="G28" i="212" s="1"/>
  <c r="W44" i="119"/>
  <c r="G42" i="212" s="1"/>
  <c r="W56" i="119"/>
  <c r="G54" i="212" s="1"/>
  <c r="W34" i="119"/>
  <c r="G32" i="212" s="1"/>
  <c r="W58" i="119"/>
  <c r="G56" i="212" s="1"/>
  <c r="W33" i="119"/>
  <c r="G31" i="212" s="1"/>
  <c r="W45" i="119"/>
  <c r="G43" i="212" s="1"/>
  <c r="W57" i="119"/>
  <c r="G55" i="212" s="1"/>
  <c r="W20" i="119"/>
  <c r="G18" i="212" s="1"/>
  <c r="W46" i="119"/>
  <c r="G44" i="212" s="1"/>
  <c r="W24" i="119"/>
  <c r="G22" i="212" s="1"/>
  <c r="W39" i="119"/>
  <c r="G37" i="212" s="1"/>
  <c r="W63" i="119"/>
  <c r="G61" i="212" s="1"/>
  <c r="W48" i="119"/>
  <c r="G46" i="212" s="1"/>
  <c r="W53" i="119"/>
  <c r="G51" i="212" s="1"/>
  <c r="W37" i="119"/>
  <c r="G35" i="212" s="1"/>
  <c r="W25" i="119"/>
  <c r="G23" i="212" s="1"/>
  <c r="W43" i="119"/>
  <c r="G41" i="212" s="1"/>
  <c r="W65" i="119"/>
  <c r="G63" i="212" s="1"/>
  <c r="W26" i="119"/>
  <c r="G24" i="212" s="1"/>
  <c r="W66" i="119"/>
  <c r="G64" i="212" s="1"/>
  <c r="W27" i="119"/>
  <c r="G25" i="212" s="1"/>
  <c r="W49" i="119"/>
  <c r="G47" i="212" s="1"/>
  <c r="W67" i="119"/>
  <c r="G65" i="212" s="1"/>
  <c r="W28" i="119"/>
  <c r="G26" i="212" s="1"/>
  <c r="W52" i="119"/>
  <c r="G50" i="212" s="1"/>
  <c r="W36" i="119"/>
  <c r="G34" i="212" s="1"/>
  <c r="W54" i="119"/>
  <c r="G52" i="212" s="1"/>
  <c r="W38" i="119"/>
  <c r="G36" i="212" s="1"/>
  <c r="W62" i="119"/>
  <c r="G60" i="212" s="1"/>
  <c r="AB48" i="92"/>
  <c r="W24" i="120"/>
  <c r="W65" i="120"/>
  <c r="W21" i="120"/>
  <c r="W32" i="120"/>
  <c r="W59" i="120"/>
  <c r="W60" i="120"/>
  <c r="W41" i="120"/>
  <c r="W46" i="120"/>
  <c r="W20" i="120"/>
  <c r="W25" i="120"/>
  <c r="W31" i="120"/>
  <c r="W56" i="120"/>
  <c r="W26" i="120"/>
  <c r="W67" i="120"/>
  <c r="W39" i="120"/>
  <c r="W43" i="120"/>
  <c r="W27" i="120"/>
  <c r="W63" i="120"/>
  <c r="W58" i="120"/>
  <c r="W57" i="120"/>
  <c r="W34" i="120"/>
  <c r="W37" i="120"/>
  <c r="W66" i="120"/>
  <c r="W40" i="120"/>
  <c r="W49" i="120"/>
  <c r="W45" i="120"/>
  <c r="W50" i="120"/>
  <c r="W33" i="120"/>
  <c r="W38" i="120"/>
  <c r="W44" i="120"/>
  <c r="W52" i="120"/>
  <c r="W54" i="120"/>
  <c r="W22" i="120"/>
  <c r="W62" i="120"/>
  <c r="W28" i="120"/>
  <c r="W36" i="120"/>
  <c r="W53" i="120"/>
  <c r="W30" i="120"/>
  <c r="W51" i="120"/>
  <c r="W48" i="120"/>
  <c r="V63" i="119"/>
  <c r="V52" i="119"/>
  <c r="V31" i="119"/>
  <c r="V45" i="119"/>
  <c r="V56" i="119"/>
  <c r="V43" i="119"/>
  <c r="V38" i="119"/>
  <c r="V40" i="119"/>
  <c r="V54" i="119"/>
  <c r="V66" i="119"/>
  <c r="V59" i="119"/>
  <c r="V20" i="119"/>
  <c r="V53" i="119"/>
  <c r="V21" i="119"/>
  <c r="V22" i="119"/>
  <c r="V28" i="119"/>
  <c r="V49" i="119"/>
  <c r="V65" i="119"/>
  <c r="V39" i="119"/>
  <c r="V32" i="119"/>
  <c r="V60" i="119"/>
  <c r="V58" i="119"/>
  <c r="V34" i="119"/>
  <c r="V67" i="119"/>
  <c r="V33" i="119"/>
  <c r="V46" i="119"/>
  <c r="V26" i="119"/>
  <c r="V41" i="119"/>
  <c r="V51" i="119"/>
  <c r="V25" i="119"/>
  <c r="V62" i="119"/>
  <c r="V36" i="119"/>
  <c r="V50" i="119"/>
  <c r="V48" i="119"/>
  <c r="V57" i="119"/>
  <c r="V24" i="119"/>
  <c r="V44" i="119"/>
  <c r="V27" i="119"/>
  <c r="V30" i="119"/>
  <c r="V37" i="119"/>
  <c r="AA48" i="92"/>
  <c r="AA50" i="92" s="1"/>
  <c r="AA58" i="92"/>
  <c r="V5" i="121" s="1"/>
  <c r="U18" i="124"/>
  <c r="D144" i="179"/>
  <c r="E144" i="179"/>
  <c r="F144" i="179"/>
  <c r="G144" i="179"/>
  <c r="H144" i="179"/>
  <c r="I144" i="179"/>
  <c r="J144" i="179"/>
  <c r="K144" i="179"/>
  <c r="K54" i="202" s="1"/>
  <c r="L144" i="179"/>
  <c r="L54" i="202" s="1"/>
  <c r="M144" i="179"/>
  <c r="N144" i="179"/>
  <c r="O144" i="179"/>
  <c r="C144" i="179"/>
  <c r="AB50" i="92" l="1"/>
  <c r="W45" i="121"/>
  <c r="W45" i="125" s="1"/>
  <c r="H43" i="212" s="1"/>
  <c r="W31" i="121"/>
  <c r="X35" i="119"/>
  <c r="G34" i="213"/>
  <c r="AC47" i="92"/>
  <c r="X47" i="119"/>
  <c r="G46" i="213"/>
  <c r="X55" i="119"/>
  <c r="G54" i="213"/>
  <c r="X19" i="119"/>
  <c r="G18" i="213"/>
  <c r="G28" i="213"/>
  <c r="X29" i="119"/>
  <c r="X61" i="119"/>
  <c r="G60" i="213"/>
  <c r="X42" i="119"/>
  <c r="G41" i="213"/>
  <c r="X28" i="120"/>
  <c r="X36" i="120"/>
  <c r="X56" i="120"/>
  <c r="X26" i="120"/>
  <c r="X32" i="120"/>
  <c r="X34" i="120"/>
  <c r="X24" i="120"/>
  <c r="X37" i="120"/>
  <c r="X67" i="120"/>
  <c r="X53" i="120"/>
  <c r="X50" i="120"/>
  <c r="X43" i="120"/>
  <c r="X49" i="120"/>
  <c r="X44" i="120"/>
  <c r="X41" i="120"/>
  <c r="X22" i="120"/>
  <c r="X48" i="120"/>
  <c r="X33" i="120"/>
  <c r="X31" i="120"/>
  <c r="X62" i="120"/>
  <c r="X58" i="120"/>
  <c r="X46" i="120"/>
  <c r="X63" i="120"/>
  <c r="X51" i="120"/>
  <c r="X54" i="120"/>
  <c r="X39" i="120"/>
  <c r="X66" i="120"/>
  <c r="X21" i="120"/>
  <c r="X65" i="120"/>
  <c r="X40" i="120"/>
  <c r="X60" i="120"/>
  <c r="X59" i="120"/>
  <c r="X38" i="120"/>
  <c r="X45" i="120"/>
  <c r="X52" i="120"/>
  <c r="X25" i="120"/>
  <c r="X20" i="120"/>
  <c r="X30" i="120"/>
  <c r="X57" i="120"/>
  <c r="X27" i="120"/>
  <c r="X23" i="119"/>
  <c r="G22" i="213"/>
  <c r="G63" i="213"/>
  <c r="X64" i="119"/>
  <c r="X24" i="121"/>
  <c r="X67" i="121"/>
  <c r="X27" i="121"/>
  <c r="X30" i="121"/>
  <c r="X63" i="121"/>
  <c r="X46" i="121"/>
  <c r="X20" i="121"/>
  <c r="X48" i="121"/>
  <c r="X56" i="121"/>
  <c r="X43" i="121"/>
  <c r="X22" i="121"/>
  <c r="X62" i="121"/>
  <c r="X61" i="121" s="1"/>
  <c r="X15" i="121" s="1"/>
  <c r="X49" i="121"/>
  <c r="X32" i="121"/>
  <c r="X25" i="121"/>
  <c r="X66" i="121"/>
  <c r="X41" i="121"/>
  <c r="X28" i="121"/>
  <c r="X21" i="121"/>
  <c r="X53" i="121"/>
  <c r="X50" i="121"/>
  <c r="X33" i="121"/>
  <c r="X44" i="121"/>
  <c r="X54" i="121"/>
  <c r="X39" i="121"/>
  <c r="X45" i="121"/>
  <c r="X34" i="121"/>
  <c r="X58" i="121"/>
  <c r="X36" i="121"/>
  <c r="X65" i="121"/>
  <c r="X37" i="121"/>
  <c r="X26" i="121"/>
  <c r="X38" i="121"/>
  <c r="X52" i="121"/>
  <c r="X51" i="121"/>
  <c r="X40" i="121"/>
  <c r="X59" i="121"/>
  <c r="X31" i="121"/>
  <c r="X60" i="121"/>
  <c r="X57" i="121"/>
  <c r="D41" i="213"/>
  <c r="X42" i="93"/>
  <c r="D60" i="213"/>
  <c r="X61" i="93"/>
  <c r="D46" i="213"/>
  <c r="X47" i="93"/>
  <c r="D63" i="213"/>
  <c r="X64" i="93"/>
  <c r="D54" i="213"/>
  <c r="X55" i="93"/>
  <c r="D22" i="213"/>
  <c r="X23" i="93"/>
  <c r="D34" i="213"/>
  <c r="X35" i="93"/>
  <c r="D28" i="213"/>
  <c r="X29" i="93"/>
  <c r="D18" i="213"/>
  <c r="X19" i="93"/>
  <c r="W25" i="121"/>
  <c r="W25" i="125" s="1"/>
  <c r="H23" i="212" s="1"/>
  <c r="W27" i="121"/>
  <c r="W27" i="125" s="1"/>
  <c r="H25" i="212" s="1"/>
  <c r="W20" i="121"/>
  <c r="W20" i="125" s="1"/>
  <c r="H18" i="212" s="1"/>
  <c r="W24" i="121"/>
  <c r="W24" i="125" s="1"/>
  <c r="H22" i="212" s="1"/>
  <c r="W53" i="121"/>
  <c r="W53" i="125" s="1"/>
  <c r="H51" i="212" s="1"/>
  <c r="W63" i="121"/>
  <c r="W63" i="125" s="1"/>
  <c r="H61" i="212" s="1"/>
  <c r="W50" i="121"/>
  <c r="W50" i="125" s="1"/>
  <c r="H48" i="212" s="1"/>
  <c r="W57" i="121"/>
  <c r="W57" i="125" s="1"/>
  <c r="H55" i="212" s="1"/>
  <c r="W49" i="121"/>
  <c r="W49" i="125" s="1"/>
  <c r="H47" i="212" s="1"/>
  <c r="W44" i="121"/>
  <c r="W44" i="125" s="1"/>
  <c r="H42" i="212" s="1"/>
  <c r="W41" i="121"/>
  <c r="W41" i="125" s="1"/>
  <c r="H39" i="212" s="1"/>
  <c r="W62" i="121"/>
  <c r="W62" i="125" s="1"/>
  <c r="H60" i="212" s="1"/>
  <c r="W30" i="121"/>
  <c r="W30" i="125" s="1"/>
  <c r="H28" i="212" s="1"/>
  <c r="W38" i="121"/>
  <c r="W38" i="125" s="1"/>
  <c r="H36" i="212" s="1"/>
  <c r="W26" i="121"/>
  <c r="W26" i="125" s="1"/>
  <c r="H24" i="212" s="1"/>
  <c r="W60" i="121"/>
  <c r="W60" i="125" s="1"/>
  <c r="H58" i="212" s="1"/>
  <c r="W39" i="121"/>
  <c r="W39" i="125" s="1"/>
  <c r="H37" i="212" s="1"/>
  <c r="W56" i="121"/>
  <c r="W56" i="125" s="1"/>
  <c r="H54" i="212" s="1"/>
  <c r="W22" i="121"/>
  <c r="W22" i="125" s="1"/>
  <c r="H20" i="212" s="1"/>
  <c r="W37" i="121"/>
  <c r="W37" i="125" s="1"/>
  <c r="H35" i="212" s="1"/>
  <c r="W46" i="121"/>
  <c r="W46" i="125" s="1"/>
  <c r="H44" i="212" s="1"/>
  <c r="W51" i="121"/>
  <c r="W51" i="125" s="1"/>
  <c r="H49" i="212" s="1"/>
  <c r="W66" i="121"/>
  <c r="W66" i="125" s="1"/>
  <c r="H64" i="212" s="1"/>
  <c r="W52" i="121"/>
  <c r="W52" i="125" s="1"/>
  <c r="H50" i="212" s="1"/>
  <c r="W54" i="121"/>
  <c r="W54" i="125" s="1"/>
  <c r="H52" i="212" s="1"/>
  <c r="W28" i="121"/>
  <c r="W32" i="121"/>
  <c r="W33" i="121"/>
  <c r="W33" i="125" s="1"/>
  <c r="H31" i="212" s="1"/>
  <c r="W48" i="121"/>
  <c r="W48" i="125" s="1"/>
  <c r="H46" i="212" s="1"/>
  <c r="W21" i="121"/>
  <c r="W21" i="125" s="1"/>
  <c r="H19" i="212" s="1"/>
  <c r="W58" i="121"/>
  <c r="W58" i="125" s="1"/>
  <c r="H56" i="212" s="1"/>
  <c r="W40" i="121"/>
  <c r="W40" i="125" s="1"/>
  <c r="H38" i="212" s="1"/>
  <c r="W59" i="121"/>
  <c r="W59" i="125" s="1"/>
  <c r="H57" i="212" s="1"/>
  <c r="W65" i="121"/>
  <c r="W65" i="125" s="1"/>
  <c r="H63" i="212" s="1"/>
  <c r="W67" i="121"/>
  <c r="W67" i="125" s="1"/>
  <c r="H65" i="212" s="1"/>
  <c r="W43" i="121"/>
  <c r="W43" i="125" s="1"/>
  <c r="H41" i="212" s="1"/>
  <c r="W36" i="121"/>
  <c r="W36" i="125" s="1"/>
  <c r="H34" i="212" s="1"/>
  <c r="W31" i="125"/>
  <c r="H29" i="212" s="1"/>
  <c r="W42" i="120"/>
  <c r="AB47" i="92"/>
  <c r="W23" i="119"/>
  <c r="G21" i="212" s="1"/>
  <c r="W23" i="120"/>
  <c r="W47" i="120"/>
  <c r="W29" i="119"/>
  <c r="G27" i="212" s="1"/>
  <c r="W29" i="120"/>
  <c r="W61" i="120"/>
  <c r="W35" i="119"/>
  <c r="G33" i="212" s="1"/>
  <c r="W19" i="119"/>
  <c r="G17" i="212" s="1"/>
  <c r="AA47" i="92"/>
  <c r="W34" i="125"/>
  <c r="H32" i="212" s="1"/>
  <c r="W61" i="119"/>
  <c r="G59" i="212" s="1"/>
  <c r="W47" i="119"/>
  <c r="G45" i="212" s="1"/>
  <c r="W64" i="120"/>
  <c r="W64" i="119"/>
  <c r="G62" i="212" s="1"/>
  <c r="W55" i="119"/>
  <c r="G53" i="212" s="1"/>
  <c r="W19" i="120"/>
  <c r="W42" i="119"/>
  <c r="G40" i="212" s="1"/>
  <c r="W35" i="120"/>
  <c r="W55" i="120"/>
  <c r="G35" i="211"/>
  <c r="G65" i="211"/>
  <c r="G26" i="211"/>
  <c r="G38" i="211"/>
  <c r="G32" i="211"/>
  <c r="G20" i="211"/>
  <c r="G36" i="211"/>
  <c r="G25" i="211"/>
  <c r="G23" i="211"/>
  <c r="G56" i="211"/>
  <c r="G19" i="211"/>
  <c r="G42" i="211"/>
  <c r="G49" i="211"/>
  <c r="G58" i="211"/>
  <c r="G51" i="211"/>
  <c r="G39" i="211"/>
  <c r="G30" i="211"/>
  <c r="G43" i="211"/>
  <c r="G55" i="211"/>
  <c r="G24" i="211"/>
  <c r="G37" i="211"/>
  <c r="G57" i="211"/>
  <c r="G29" i="211"/>
  <c r="G44" i="211"/>
  <c r="G64" i="211"/>
  <c r="G50" i="211"/>
  <c r="G48" i="211"/>
  <c r="G31" i="211"/>
  <c r="G47" i="211"/>
  <c r="G52" i="211"/>
  <c r="G61" i="211"/>
  <c r="V42" i="119"/>
  <c r="G41" i="211"/>
  <c r="V60" i="121"/>
  <c r="V63" i="121"/>
  <c r="V24" i="121"/>
  <c r="V54" i="121"/>
  <c r="V30" i="121"/>
  <c r="V26" i="121"/>
  <c r="V46" i="121"/>
  <c r="V21" i="121"/>
  <c r="V59" i="121"/>
  <c r="V34" i="121"/>
  <c r="V56" i="121"/>
  <c r="V32" i="121"/>
  <c r="V20" i="121"/>
  <c r="V52" i="121"/>
  <c r="V28" i="121"/>
  <c r="V31" i="121"/>
  <c r="V33" i="121"/>
  <c r="V36" i="121"/>
  <c r="V37" i="121"/>
  <c r="V66" i="121"/>
  <c r="V62" i="121"/>
  <c r="V65" i="121"/>
  <c r="V57" i="121"/>
  <c r="V41" i="121"/>
  <c r="V51" i="121"/>
  <c r="V58" i="121"/>
  <c r="V25" i="121"/>
  <c r="V38" i="121"/>
  <c r="V40" i="121"/>
  <c r="V44" i="121"/>
  <c r="V49" i="121"/>
  <c r="V67" i="121"/>
  <c r="V50" i="121"/>
  <c r="V43" i="121"/>
  <c r="V45" i="121"/>
  <c r="V39" i="121"/>
  <c r="V22" i="121"/>
  <c r="V53" i="121"/>
  <c r="V48" i="121"/>
  <c r="V27" i="121"/>
  <c r="V55" i="119"/>
  <c r="G54" i="211"/>
  <c r="G63" i="211"/>
  <c r="V64" i="119"/>
  <c r="V23" i="119"/>
  <c r="G22" i="211"/>
  <c r="G34" i="211"/>
  <c r="V35" i="119"/>
  <c r="G18" i="211"/>
  <c r="V19" i="119"/>
  <c r="G46" i="211"/>
  <c r="V47" i="119"/>
  <c r="V29" i="119"/>
  <c r="G28" i="211"/>
  <c r="G60" i="211"/>
  <c r="V61" i="119"/>
  <c r="U7" i="124"/>
  <c r="U6" i="124" s="1"/>
  <c r="U17" i="124"/>
  <c r="I16" i="207"/>
  <c r="P145" i="179"/>
  <c r="G54" i="202"/>
  <c r="H54" i="202"/>
  <c r="N54" i="202"/>
  <c r="J54" i="202"/>
  <c r="F54" i="202"/>
  <c r="D54" i="202"/>
  <c r="M54" i="202"/>
  <c r="I54" i="202"/>
  <c r="E54" i="202"/>
  <c r="C54" i="202"/>
  <c r="X42" i="121" l="1"/>
  <c r="X12" i="121" s="1"/>
  <c r="X19" i="121"/>
  <c r="X8" i="121" s="1"/>
  <c r="X29" i="121"/>
  <c r="X10" i="121" s="1"/>
  <c r="X64" i="121"/>
  <c r="X16" i="121" s="1"/>
  <c r="X55" i="121"/>
  <c r="X14" i="121" s="1"/>
  <c r="X29" i="120"/>
  <c r="X30" i="125"/>
  <c r="H28" i="213" s="1"/>
  <c r="X40" i="125"/>
  <c r="H38" i="213" s="1"/>
  <c r="X46" i="125"/>
  <c r="H44" i="213" s="1"/>
  <c r="X44" i="125"/>
  <c r="H42" i="213" s="1"/>
  <c r="X34" i="125"/>
  <c r="H32" i="213" s="1"/>
  <c r="X16" i="119"/>
  <c r="G62" i="213"/>
  <c r="X19" i="120"/>
  <c r="X20" i="125"/>
  <c r="H18" i="213" s="1"/>
  <c r="X64" i="120"/>
  <c r="X65" i="125"/>
  <c r="H63" i="213" s="1"/>
  <c r="X58" i="125"/>
  <c r="H56" i="213" s="1"/>
  <c r="X49" i="125"/>
  <c r="H47" i="213" s="1"/>
  <c r="X32" i="125"/>
  <c r="H30" i="213" s="1"/>
  <c r="X15" i="119"/>
  <c r="G59" i="213"/>
  <c r="G13" i="213" s="1"/>
  <c r="G125" i="200" s="1"/>
  <c r="X14" i="119"/>
  <c r="G53" i="213"/>
  <c r="G12" i="213" s="1"/>
  <c r="G124" i="200" s="1"/>
  <c r="X23" i="121"/>
  <c r="X9" i="121" s="1"/>
  <c r="X25" i="125"/>
  <c r="H23" i="213" s="1"/>
  <c r="X21" i="125"/>
  <c r="H19" i="213" s="1"/>
  <c r="X61" i="120"/>
  <c r="X62" i="125"/>
  <c r="H60" i="213" s="1"/>
  <c r="X42" i="120"/>
  <c r="X43" i="125"/>
  <c r="H41" i="213" s="1"/>
  <c r="X26" i="125"/>
  <c r="H24" i="213" s="1"/>
  <c r="X52" i="125"/>
  <c r="H50" i="213" s="1"/>
  <c r="X66" i="125"/>
  <c r="H64" i="213" s="1"/>
  <c r="X31" i="125"/>
  <c r="H29" i="213" s="1"/>
  <c r="X50" i="125"/>
  <c r="H48" i="213" s="1"/>
  <c r="X55" i="120"/>
  <c r="X56" i="125"/>
  <c r="H54" i="213" s="1"/>
  <c r="X13" i="119"/>
  <c r="G45" i="213"/>
  <c r="X35" i="121"/>
  <c r="X11" i="121" s="1"/>
  <c r="X47" i="121"/>
  <c r="X13" i="121" s="1"/>
  <c r="X9" i="119"/>
  <c r="G21" i="213"/>
  <c r="X45" i="125"/>
  <c r="H43" i="213" s="1"/>
  <c r="X39" i="125"/>
  <c r="H37" i="213" s="1"/>
  <c r="X33" i="125"/>
  <c r="H31" i="213" s="1"/>
  <c r="X53" i="125"/>
  <c r="H51" i="213" s="1"/>
  <c r="X36" i="125"/>
  <c r="H34" i="213" s="1"/>
  <c r="X35" i="120"/>
  <c r="X10" i="119"/>
  <c r="G27" i="213"/>
  <c r="G8" i="213" s="1"/>
  <c r="G120" i="200" s="1"/>
  <c r="X38" i="125"/>
  <c r="H36" i="213" s="1"/>
  <c r="X54" i="125"/>
  <c r="H52" i="213" s="1"/>
  <c r="X47" i="120"/>
  <c r="X48" i="125"/>
  <c r="H46" i="213" s="1"/>
  <c r="X67" i="125"/>
  <c r="H65" i="213" s="1"/>
  <c r="X28" i="125"/>
  <c r="H26" i="213" s="1"/>
  <c r="X27" i="125"/>
  <c r="H25" i="213" s="1"/>
  <c r="X59" i="125"/>
  <c r="H57" i="213" s="1"/>
  <c r="X51" i="125"/>
  <c r="H49" i="213" s="1"/>
  <c r="X22" i="125"/>
  <c r="H20" i="213" s="1"/>
  <c r="X37" i="125"/>
  <c r="H35" i="213" s="1"/>
  <c r="X57" i="125"/>
  <c r="H55" i="213" s="1"/>
  <c r="X60" i="125"/>
  <c r="H58" i="213" s="1"/>
  <c r="X63" i="125"/>
  <c r="H61" i="213" s="1"/>
  <c r="X41" i="125"/>
  <c r="H39" i="213" s="1"/>
  <c r="X23" i="120"/>
  <c r="X24" i="125"/>
  <c r="H22" i="213" s="1"/>
  <c r="X12" i="119"/>
  <c r="G40" i="213"/>
  <c r="G10" i="213" s="1"/>
  <c r="G122" i="200" s="1"/>
  <c r="X8" i="119"/>
  <c r="G17" i="213"/>
  <c r="G6" i="213" s="1"/>
  <c r="G118" i="200" s="1"/>
  <c r="X11" i="119"/>
  <c r="G33" i="213"/>
  <c r="X10" i="93"/>
  <c r="D27" i="213"/>
  <c r="X16" i="93"/>
  <c r="D62" i="213"/>
  <c r="X11" i="93"/>
  <c r="D33" i="213"/>
  <c r="X13" i="93"/>
  <c r="D45" i="213"/>
  <c r="X9" i="93"/>
  <c r="D21" i="213"/>
  <c r="X15" i="93"/>
  <c r="D59" i="213"/>
  <c r="X8" i="93"/>
  <c r="D17" i="213"/>
  <c r="X14" i="93"/>
  <c r="D53" i="213"/>
  <c r="X12" i="93"/>
  <c r="D40" i="213"/>
  <c r="W61" i="121"/>
  <c r="W15" i="121" s="1"/>
  <c r="W23" i="121"/>
  <c r="W9" i="121" s="1"/>
  <c r="G11" i="213"/>
  <c r="G123" i="200" s="1"/>
  <c r="G9" i="213"/>
  <c r="G121" i="200" s="1"/>
  <c r="G14" i="213"/>
  <c r="G126" i="200" s="1"/>
  <c r="G7" i="213"/>
  <c r="G119" i="200" s="1"/>
  <c r="W42" i="121"/>
  <c r="W12" i="121" s="1"/>
  <c r="W29" i="121"/>
  <c r="W10" i="121" s="1"/>
  <c r="W32" i="125"/>
  <c r="H30" i="212" s="1"/>
  <c r="W19" i="121"/>
  <c r="W8" i="121" s="1"/>
  <c r="W28" i="125"/>
  <c r="H26" i="212" s="1"/>
  <c r="W47" i="121"/>
  <c r="W13" i="121" s="1"/>
  <c r="W35" i="121"/>
  <c r="W11" i="121" s="1"/>
  <c r="W55" i="121"/>
  <c r="W14" i="121" s="1"/>
  <c r="W64" i="121"/>
  <c r="W16" i="121" s="1"/>
  <c r="W15" i="120"/>
  <c r="W8" i="119"/>
  <c r="W10" i="119"/>
  <c r="W9" i="119"/>
  <c r="W12" i="119"/>
  <c r="W9" i="120"/>
  <c r="W16" i="119"/>
  <c r="W14" i="120"/>
  <c r="W16" i="120"/>
  <c r="W13" i="119"/>
  <c r="W8" i="120"/>
  <c r="W11" i="119"/>
  <c r="W10" i="120"/>
  <c r="W13" i="120"/>
  <c r="W11" i="120"/>
  <c r="W14" i="119"/>
  <c r="W15" i="119"/>
  <c r="W12" i="120"/>
  <c r="V42" i="121"/>
  <c r="V12" i="121" s="1"/>
  <c r="V47" i="121"/>
  <c r="V13" i="121" s="1"/>
  <c r="V61" i="121"/>
  <c r="V15" i="121" s="1"/>
  <c r="V14" i="119"/>
  <c r="G53" i="211"/>
  <c r="V64" i="121"/>
  <c r="V16" i="121" s="1"/>
  <c r="V35" i="121"/>
  <c r="V11" i="121" s="1"/>
  <c r="G45" i="211"/>
  <c r="V13" i="119"/>
  <c r="V8" i="119"/>
  <c r="G17" i="211"/>
  <c r="V19" i="121"/>
  <c r="V8" i="121" s="1"/>
  <c r="V29" i="121"/>
  <c r="V10" i="121" s="1"/>
  <c r="G27" i="211"/>
  <c r="V10" i="119"/>
  <c r="V9" i="119"/>
  <c r="G21" i="211"/>
  <c r="G59" i="211"/>
  <c r="V15" i="119"/>
  <c r="G33" i="211"/>
  <c r="V11" i="119"/>
  <c r="G62" i="211"/>
  <c r="V16" i="119"/>
  <c r="V55" i="121"/>
  <c r="V14" i="121" s="1"/>
  <c r="V23" i="121"/>
  <c r="V9" i="121" s="1"/>
  <c r="V12" i="119"/>
  <c r="G40" i="211"/>
  <c r="I5" i="211"/>
  <c r="I53" i="200" s="1"/>
  <c r="I101" i="200" s="1"/>
  <c r="J6" i="197"/>
  <c r="K7" i="197" s="1"/>
  <c r="X18" i="119" l="1"/>
  <c r="X9" i="120"/>
  <c r="X9" i="125" s="1"/>
  <c r="X23" i="125"/>
  <c r="H21" i="213" s="1"/>
  <c r="X42" i="125"/>
  <c r="H40" i="213" s="1"/>
  <c r="X12" i="120"/>
  <c r="X12" i="125" s="1"/>
  <c r="X11" i="120"/>
  <c r="X11" i="125" s="1"/>
  <c r="X35" i="125"/>
  <c r="H33" i="213" s="1"/>
  <c r="X13" i="120"/>
  <c r="X13" i="125" s="1"/>
  <c r="X47" i="125"/>
  <c r="H45" i="213" s="1"/>
  <c r="X15" i="120"/>
  <c r="X15" i="125" s="1"/>
  <c r="X61" i="125"/>
  <c r="H59" i="213" s="1"/>
  <c r="X64" i="125"/>
  <c r="H62" i="213" s="1"/>
  <c r="X16" i="120"/>
  <c r="X16" i="125" s="1"/>
  <c r="X19" i="125"/>
  <c r="H17" i="213" s="1"/>
  <c r="X8" i="120"/>
  <c r="X29" i="125"/>
  <c r="H27" i="213" s="1"/>
  <c r="X10" i="120"/>
  <c r="X10" i="125" s="1"/>
  <c r="X14" i="120"/>
  <c r="X14" i="125" s="1"/>
  <c r="X55" i="125"/>
  <c r="H53" i="213" s="1"/>
  <c r="X18" i="121"/>
  <c r="X7" i="121" s="1"/>
  <c r="X6" i="121" s="1"/>
  <c r="X18" i="93"/>
  <c r="W9" i="125"/>
  <c r="W61" i="125"/>
  <c r="H59" i="212" s="1"/>
  <c r="W15" i="125"/>
  <c r="W23" i="125"/>
  <c r="H21" i="212" s="1"/>
  <c r="W29" i="125"/>
  <c r="H27" i="212" s="1"/>
  <c r="W42" i="125"/>
  <c r="H40" i="212" s="1"/>
  <c r="W12" i="125"/>
  <c r="W10" i="125"/>
  <c r="W47" i="125"/>
  <c r="H45" i="212" s="1"/>
  <c r="W18" i="121"/>
  <c r="W7" i="121" s="1"/>
  <c r="W6" i="121" s="1"/>
  <c r="W13" i="125"/>
  <c r="W19" i="125"/>
  <c r="H17" i="212" s="1"/>
  <c r="W35" i="125"/>
  <c r="H33" i="212" s="1"/>
  <c r="W64" i="125"/>
  <c r="H62" i="212" s="1"/>
  <c r="W11" i="125"/>
  <c r="W16" i="125"/>
  <c r="W55" i="125"/>
  <c r="H53" i="212" s="1"/>
  <c r="W14" i="125"/>
  <c r="G12" i="212"/>
  <c r="W18" i="119"/>
  <c r="G7" i="212"/>
  <c r="G6" i="212"/>
  <c r="G13" i="212"/>
  <c r="G9" i="212"/>
  <c r="G8" i="212"/>
  <c r="G11" i="212"/>
  <c r="G14" i="212"/>
  <c r="G10" i="212"/>
  <c r="W8" i="125"/>
  <c r="W18" i="120"/>
  <c r="V18" i="119"/>
  <c r="V18" i="121"/>
  <c r="V7" i="121" s="1"/>
  <c r="V6" i="121" s="1"/>
  <c r="I4" i="211"/>
  <c r="I52" i="200" s="1"/>
  <c r="I100" i="200" s="1"/>
  <c r="FP7" i="129"/>
  <c r="FP8" i="129"/>
  <c r="FP9" i="129"/>
  <c r="FP10" i="129"/>
  <c r="FP11" i="129"/>
  <c r="FP12" i="129"/>
  <c r="FP13" i="129"/>
  <c r="FP14" i="129"/>
  <c r="FP15" i="129"/>
  <c r="FP16" i="129"/>
  <c r="FF7" i="129"/>
  <c r="FF8" i="129"/>
  <c r="FF9" i="129"/>
  <c r="FF10" i="129"/>
  <c r="FF11" i="129"/>
  <c r="FF12" i="129"/>
  <c r="FF13" i="129"/>
  <c r="FF14" i="129"/>
  <c r="FF15" i="129"/>
  <c r="FF16" i="129"/>
  <c r="X8" i="125" l="1"/>
  <c r="X18" i="120"/>
  <c r="X7" i="119"/>
  <c r="X6" i="119" s="1"/>
  <c r="G16" i="213"/>
  <c r="G5" i="213" s="1"/>
  <c r="G117" i="200" s="1"/>
  <c r="D16" i="213"/>
  <c r="X7" i="93"/>
  <c r="X6" i="93" s="1"/>
  <c r="X17" i="93"/>
  <c r="G91" i="200"/>
  <c r="G139" i="200" s="1"/>
  <c r="W7" i="119"/>
  <c r="W6" i="119" s="1"/>
  <c r="G16" i="212"/>
  <c r="G87" i="200"/>
  <c r="G135" i="200" s="1"/>
  <c r="G90" i="200"/>
  <c r="G138" i="200" s="1"/>
  <c r="G88" i="200"/>
  <c r="G136" i="200" s="1"/>
  <c r="G86" i="200"/>
  <c r="G134" i="200" s="1"/>
  <c r="G93" i="200"/>
  <c r="G141" i="200" s="1"/>
  <c r="G92" i="200"/>
  <c r="G140" i="200" s="1"/>
  <c r="G89" i="200"/>
  <c r="G137" i="200" s="1"/>
  <c r="W7" i="120"/>
  <c r="W18" i="125"/>
  <c r="H16" i="212" s="1"/>
  <c r="G94" i="200"/>
  <c r="G142" i="200" s="1"/>
  <c r="V7" i="119"/>
  <c r="V6" i="119" s="1"/>
  <c r="G16" i="211"/>
  <c r="FP6" i="129"/>
  <c r="FF6" i="129"/>
  <c r="X18" i="125" l="1"/>
  <c r="H16" i="213" s="1"/>
  <c r="X7" i="120"/>
  <c r="G4" i="213"/>
  <c r="G116" i="200" s="1"/>
  <c r="W6" i="120"/>
  <c r="W6" i="125" s="1"/>
  <c r="W7" i="125"/>
  <c r="G5" i="212"/>
  <c r="EQ5" i="129"/>
  <c r="X6" i="120" l="1"/>
  <c r="X6" i="125" s="1"/>
  <c r="X7" i="125"/>
  <c r="G85" i="200"/>
  <c r="G133" i="200" s="1"/>
  <c r="G4" i="212"/>
  <c r="Y42" i="92"/>
  <c r="G84" i="200" l="1"/>
  <c r="G132" i="200" s="1"/>
  <c r="Z42" i="92"/>
  <c r="AA42" i="92" s="1"/>
  <c r="C168" i="179"/>
  <c r="GG5" i="129" l="1"/>
  <c r="GQ5" i="129"/>
  <c r="AB42" i="92"/>
  <c r="Q48" i="204"/>
  <c r="P48" i="204"/>
  <c r="AC42" i="92" l="1"/>
  <c r="HK5" i="129" s="1"/>
  <c r="HA5" i="129"/>
  <c r="BM56" i="155"/>
  <c r="BM55" i="155"/>
  <c r="BM54" i="155"/>
  <c r="BM52" i="155"/>
  <c r="BM51" i="155"/>
  <c r="BM49" i="155"/>
  <c r="BM48" i="155"/>
  <c r="BM47" i="155"/>
  <c r="BM46" i="155"/>
  <c r="BM45" i="155"/>
  <c r="BM43" i="155"/>
  <c r="BM42" i="155"/>
  <c r="BM41" i="155"/>
  <c r="BM40" i="155"/>
  <c r="BM39" i="155"/>
  <c r="BM38" i="155"/>
  <c r="BM37" i="155"/>
  <c r="BM35" i="155"/>
  <c r="BM34" i="155"/>
  <c r="BM33" i="155"/>
  <c r="BM32" i="155"/>
  <c r="BM30" i="155"/>
  <c r="BM29" i="155"/>
  <c r="BM28" i="155"/>
  <c r="BM27" i="155"/>
  <c r="BM26" i="155"/>
  <c r="BM25" i="155"/>
  <c r="BM23" i="155"/>
  <c r="BM22" i="155"/>
  <c r="BM21" i="155"/>
  <c r="BM20" i="155"/>
  <c r="BM19" i="155"/>
  <c r="BM17" i="155"/>
  <c r="BM16" i="155"/>
  <c r="BM15" i="155"/>
  <c r="BM14" i="155"/>
  <c r="BM13" i="155"/>
  <c r="BM11" i="155"/>
  <c r="BM10" i="155"/>
  <c r="BM9" i="155"/>
  <c r="BM7" i="155"/>
  <c r="HK63" i="129" l="1"/>
  <c r="HK21" i="129"/>
  <c r="HK28" i="129"/>
  <c r="HK36" i="129"/>
  <c r="HK54" i="129"/>
  <c r="HK27" i="129"/>
  <c r="HK38" i="129"/>
  <c r="HK60" i="129"/>
  <c r="HK50" i="129"/>
  <c r="HK53" i="129"/>
  <c r="HK33" i="129"/>
  <c r="HK58" i="129"/>
  <c r="HK39" i="129"/>
  <c r="HK30" i="129"/>
  <c r="HK51" i="129"/>
  <c r="HK43" i="129"/>
  <c r="HK40" i="129"/>
  <c r="HK52" i="129"/>
  <c r="HK32" i="129"/>
  <c r="HK31" i="129"/>
  <c r="HK25" i="129"/>
  <c r="HK46" i="129"/>
  <c r="HK24" i="129"/>
  <c r="HK23" i="129" s="1"/>
  <c r="HK9" i="129" s="1"/>
  <c r="HK48" i="129"/>
  <c r="HK49" i="129"/>
  <c r="HK57" i="129"/>
  <c r="HK37" i="129"/>
  <c r="HK34" i="129"/>
  <c r="HK41" i="129"/>
  <c r="HK22" i="129"/>
  <c r="HK20" i="129"/>
  <c r="HK44" i="129"/>
  <c r="HK59" i="129"/>
  <c r="HK65" i="129"/>
  <c r="HK66" i="129"/>
  <c r="HK45" i="129"/>
  <c r="HK26" i="129"/>
  <c r="HK62" i="129"/>
  <c r="HK67" i="129"/>
  <c r="HK56" i="129"/>
  <c r="BM8" i="155"/>
  <c r="BM12" i="155"/>
  <c r="BM53" i="155"/>
  <c r="BM50" i="155"/>
  <c r="BM18" i="155"/>
  <c r="BM24" i="155"/>
  <c r="BM44" i="155"/>
  <c r="BM31" i="155"/>
  <c r="BM36" i="155"/>
  <c r="AG5" i="108"/>
  <c r="AG35" i="108"/>
  <c r="AG17" i="108"/>
  <c r="AG26" i="108"/>
  <c r="AG36" i="108"/>
  <c r="AG45" i="108"/>
  <c r="AG15" i="108"/>
  <c r="AG18" i="108"/>
  <c r="AG27" i="108"/>
  <c r="AG37" i="108"/>
  <c r="AG46" i="108"/>
  <c r="AG9" i="108"/>
  <c r="AG19" i="108"/>
  <c r="AG28" i="108"/>
  <c r="AG38" i="108"/>
  <c r="AG47" i="108"/>
  <c r="AG44" i="108"/>
  <c r="AG11" i="108"/>
  <c r="AG30" i="108"/>
  <c r="AG49" i="108"/>
  <c r="AG31" i="108"/>
  <c r="AG40" i="108"/>
  <c r="AG13" i="108"/>
  <c r="AG23" i="108"/>
  <c r="AG32" i="108"/>
  <c r="AG41" i="108"/>
  <c r="AG52" i="108"/>
  <c r="AG25" i="108"/>
  <c r="AG8" i="108"/>
  <c r="AG20" i="108"/>
  <c r="AG39" i="108"/>
  <c r="AG12" i="108"/>
  <c r="AG21" i="108"/>
  <c r="AG50" i="108"/>
  <c r="AG14" i="108"/>
  <c r="AG24" i="108"/>
  <c r="AG33" i="108"/>
  <c r="AG43" i="108"/>
  <c r="AG53" i="108"/>
  <c r="AG7" i="108"/>
  <c r="AG54" i="108"/>
  <c r="AJ8" i="86"/>
  <c r="AC121" i="206" s="1"/>
  <c r="AK8" i="86"/>
  <c r="AD121" i="206" s="1"/>
  <c r="AL8" i="86"/>
  <c r="AE121" i="206" s="1"/>
  <c r="AM8" i="86"/>
  <c r="AF121" i="206" s="1"/>
  <c r="AM63" i="86"/>
  <c r="AF167" i="206" s="1"/>
  <c r="AL63" i="86"/>
  <c r="AE167" i="206" s="1"/>
  <c r="AK63" i="86"/>
  <c r="AD167" i="206" s="1"/>
  <c r="AJ63" i="86"/>
  <c r="AC167" i="206" s="1"/>
  <c r="AM60" i="86"/>
  <c r="AF164" i="206" s="1"/>
  <c r="AL60" i="86"/>
  <c r="AE164" i="206" s="1"/>
  <c r="AK60" i="86"/>
  <c r="AD164" i="206" s="1"/>
  <c r="AJ60" i="86"/>
  <c r="AC164" i="206" s="1"/>
  <c r="AM54" i="86"/>
  <c r="AF158" i="206" s="1"/>
  <c r="AL54" i="86"/>
  <c r="AE158" i="206" s="1"/>
  <c r="AK54" i="86"/>
  <c r="AD158" i="206" s="1"/>
  <c r="AJ54" i="86"/>
  <c r="AC158" i="206" s="1"/>
  <c r="AM46" i="86"/>
  <c r="AF150" i="206" s="1"/>
  <c r="AL46" i="86"/>
  <c r="AE150" i="206" s="1"/>
  <c r="AK46" i="86"/>
  <c r="AD150" i="206" s="1"/>
  <c r="AJ46" i="86"/>
  <c r="AC150" i="206" s="1"/>
  <c r="AM41" i="86"/>
  <c r="AF145" i="206" s="1"/>
  <c r="AL41" i="86"/>
  <c r="AE145" i="206" s="1"/>
  <c r="AK41" i="86"/>
  <c r="AD145" i="206" s="1"/>
  <c r="AJ41" i="86"/>
  <c r="AC145" i="206" s="1"/>
  <c r="AM34" i="86"/>
  <c r="AF138" i="206" s="1"/>
  <c r="AL34" i="86"/>
  <c r="AE138" i="206" s="1"/>
  <c r="AK34" i="86"/>
  <c r="AD138" i="206" s="1"/>
  <c r="AJ34" i="86"/>
  <c r="AC138" i="206" s="1"/>
  <c r="AM28" i="86"/>
  <c r="AF132" i="206" s="1"/>
  <c r="AL28" i="86"/>
  <c r="AE132" i="206" s="1"/>
  <c r="AK28" i="86"/>
  <c r="AD132" i="206" s="1"/>
  <c r="AJ28" i="86"/>
  <c r="AC132" i="206" s="1"/>
  <c r="AM22" i="86"/>
  <c r="AF126" i="206" s="1"/>
  <c r="AL22" i="86"/>
  <c r="AE126" i="206" s="1"/>
  <c r="AK22" i="86"/>
  <c r="AD126" i="206" s="1"/>
  <c r="AJ22" i="86"/>
  <c r="AC126" i="206" s="1"/>
  <c r="AM18" i="86"/>
  <c r="AF122" i="206" s="1"/>
  <c r="AL18" i="86"/>
  <c r="AE122" i="206" s="1"/>
  <c r="AK18" i="86"/>
  <c r="AD122" i="206" s="1"/>
  <c r="AJ18" i="86"/>
  <c r="HK55" i="129" l="1"/>
  <c r="HK14" i="129" s="1"/>
  <c r="HK61" i="129"/>
  <c r="HK15" i="129" s="1"/>
  <c r="HK47" i="129"/>
  <c r="HK13" i="129" s="1"/>
  <c r="HK19" i="129"/>
  <c r="HK8" i="129" s="1"/>
  <c r="HK42" i="129"/>
  <c r="HK12" i="129" s="1"/>
  <c r="HK29" i="129"/>
  <c r="HK10" i="129" s="1"/>
  <c r="HK35" i="129"/>
  <c r="HK11" i="129" s="1"/>
  <c r="HK64" i="129"/>
  <c r="HK16" i="129" s="1"/>
  <c r="AJ7" i="86"/>
  <c r="AC120" i="206" s="1"/>
  <c r="AC122" i="206"/>
  <c r="AG22" i="108"/>
  <c r="AG34" i="108"/>
  <c r="AG48" i="108"/>
  <c r="AG29" i="108"/>
  <c r="AG10" i="108"/>
  <c r="AG42" i="108"/>
  <c r="AN7" i="86"/>
  <c r="AG120" i="206" s="1"/>
  <c r="AL7" i="86"/>
  <c r="AE120" i="206" s="1"/>
  <c r="AK7" i="86"/>
  <c r="AD120" i="206" s="1"/>
  <c r="AO7" i="86"/>
  <c r="AM7" i="86"/>
  <c r="AF120" i="206" s="1"/>
  <c r="AG16" i="108"/>
  <c r="AG51" i="108"/>
  <c r="AG6" i="108"/>
  <c r="BM6" i="155"/>
  <c r="HK18" i="129" l="1"/>
  <c r="HK7" i="129" s="1"/>
  <c r="HK6" i="129" s="1"/>
  <c r="AG4" i="108"/>
  <c r="AO6" i="86"/>
  <c r="AH120" i="206"/>
  <c r="FC5" i="129" l="1"/>
  <c r="FC20" i="129" l="1"/>
  <c r="FC25" i="129"/>
  <c r="FC30" i="129"/>
  <c r="FC34" i="129"/>
  <c r="FC39" i="129"/>
  <c r="FC44" i="129"/>
  <c r="FC49" i="129"/>
  <c r="FC53" i="129"/>
  <c r="FC58" i="129"/>
  <c r="FC63" i="129"/>
  <c r="FC21" i="129"/>
  <c r="FC26" i="129"/>
  <c r="FC31" i="129"/>
  <c r="FC36" i="129"/>
  <c r="FC40" i="129"/>
  <c r="FC45" i="129"/>
  <c r="FC50" i="129"/>
  <c r="FC54" i="129"/>
  <c r="FC59" i="129"/>
  <c r="FC65" i="129"/>
  <c r="FC24" i="129"/>
  <c r="FC33" i="129"/>
  <c r="FC43" i="129"/>
  <c r="FC52" i="129"/>
  <c r="FC62" i="129"/>
  <c r="FC22" i="129"/>
  <c r="FC27" i="129"/>
  <c r="FC32" i="129"/>
  <c r="FC37" i="129"/>
  <c r="FC41" i="129"/>
  <c r="FC46" i="129"/>
  <c r="FC51" i="129"/>
  <c r="FC56" i="129"/>
  <c r="FC60" i="129"/>
  <c r="FC66" i="129"/>
  <c r="FC28" i="129"/>
  <c r="FC38" i="129"/>
  <c r="FC48" i="129"/>
  <c r="FC57" i="129"/>
  <c r="FC67" i="129"/>
  <c r="T5" i="124"/>
  <c r="O1" i="207"/>
  <c r="O1" i="194"/>
  <c r="FM5" i="129"/>
  <c r="FC61" i="129" l="1"/>
  <c r="FC47" i="129"/>
  <c r="FC64" i="129"/>
  <c r="FC42" i="129"/>
  <c r="FC29" i="129"/>
  <c r="FC55" i="129"/>
  <c r="FC35" i="129"/>
  <c r="FC23" i="129"/>
  <c r="FC19" i="129"/>
  <c r="FX5" i="129"/>
  <c r="O1" i="205"/>
  <c r="C10" i="197"/>
  <c r="D10" i="197"/>
  <c r="E10" i="197"/>
  <c r="F10" i="197"/>
  <c r="F11" i="197" s="1"/>
  <c r="G10" i="197"/>
  <c r="H10" i="197"/>
  <c r="C8" i="197"/>
  <c r="D8" i="197"/>
  <c r="E8" i="197"/>
  <c r="F8" i="197"/>
  <c r="G8" i="197"/>
  <c r="H8" i="197"/>
  <c r="H9" i="197" s="1"/>
  <c r="H11" i="197" l="1"/>
  <c r="G9" i="197"/>
  <c r="E11" i="197"/>
  <c r="G11" i="197"/>
  <c r="G24" i="197" s="1"/>
  <c r="E67" i="196"/>
  <c r="G66" i="196"/>
  <c r="C66" i="196"/>
  <c r="E65" i="196"/>
  <c r="G85" i="196"/>
  <c r="C85" i="196"/>
  <c r="E63" i="196"/>
  <c r="G62" i="196"/>
  <c r="C62" i="196"/>
  <c r="E84" i="196"/>
  <c r="G60" i="196"/>
  <c r="C60" i="196"/>
  <c r="E59" i="196"/>
  <c r="G58" i="196"/>
  <c r="C58" i="196"/>
  <c r="E57" i="196"/>
  <c r="G56" i="196"/>
  <c r="C56" i="196"/>
  <c r="E83" i="196"/>
  <c r="G54" i="196"/>
  <c r="C54" i="196"/>
  <c r="E53" i="196"/>
  <c r="G52" i="196"/>
  <c r="C52" i="196"/>
  <c r="E51" i="196"/>
  <c r="G50" i="196"/>
  <c r="C50" i="196"/>
  <c r="E49" i="196"/>
  <c r="G48" i="196"/>
  <c r="C48" i="196"/>
  <c r="E82" i="196"/>
  <c r="D82" i="196"/>
  <c r="G46" i="196"/>
  <c r="C46" i="196"/>
  <c r="E45" i="196"/>
  <c r="G44" i="196"/>
  <c r="C44" i="196"/>
  <c r="E43" i="196"/>
  <c r="G81" i="196"/>
  <c r="F81" i="196"/>
  <c r="C81" i="196"/>
  <c r="E41" i="196"/>
  <c r="G40" i="196"/>
  <c r="C40" i="196"/>
  <c r="E39" i="196"/>
  <c r="G38" i="196"/>
  <c r="C38" i="196"/>
  <c r="E37" i="196"/>
  <c r="G36" i="196"/>
  <c r="C36" i="196"/>
  <c r="E80" i="196"/>
  <c r="G34" i="196"/>
  <c r="C34" i="196"/>
  <c r="E33" i="196"/>
  <c r="G32" i="196"/>
  <c r="C32" i="196"/>
  <c r="E31" i="196"/>
  <c r="G30" i="196"/>
  <c r="C30" i="196"/>
  <c r="E79" i="196"/>
  <c r="D79" i="196"/>
  <c r="G28" i="196"/>
  <c r="C28" i="196"/>
  <c r="E27" i="196"/>
  <c r="G26" i="196"/>
  <c r="C26" i="196"/>
  <c r="E25" i="196"/>
  <c r="G24" i="196"/>
  <c r="C24" i="196"/>
  <c r="E78" i="196"/>
  <c r="D78" i="196"/>
  <c r="G22" i="196"/>
  <c r="C22" i="196"/>
  <c r="E21" i="196"/>
  <c r="G20" i="196"/>
  <c r="C20" i="196"/>
  <c r="E77" i="196"/>
  <c r="D77" i="196"/>
  <c r="G76" i="196"/>
  <c r="F76" i="196"/>
  <c r="C76" i="196"/>
  <c r="F85" i="196"/>
  <c r="E85" i="196"/>
  <c r="D85" i="196"/>
  <c r="G84" i="196"/>
  <c r="F84" i="196"/>
  <c r="D84" i="196"/>
  <c r="C84" i="196"/>
  <c r="G83" i="196"/>
  <c r="F83" i="196"/>
  <c r="D83" i="196"/>
  <c r="C83" i="196"/>
  <c r="G82" i="196"/>
  <c r="F82" i="196"/>
  <c r="C82" i="196"/>
  <c r="E81" i="196"/>
  <c r="D81" i="196"/>
  <c r="G80" i="196"/>
  <c r="F80" i="196"/>
  <c r="D80" i="196"/>
  <c r="C80" i="196"/>
  <c r="G79" i="196"/>
  <c r="F79" i="196"/>
  <c r="C79" i="196"/>
  <c r="G78" i="196"/>
  <c r="F78" i="196"/>
  <c r="C78" i="196"/>
  <c r="G77" i="196"/>
  <c r="F77" i="196"/>
  <c r="C77" i="196"/>
  <c r="E76" i="196"/>
  <c r="D76" i="196"/>
  <c r="G67" i="196"/>
  <c r="F67" i="196"/>
  <c r="D67" i="196"/>
  <c r="C67" i="196"/>
  <c r="F66" i="196"/>
  <c r="E66" i="196"/>
  <c r="D66" i="196"/>
  <c r="N64" i="196"/>
  <c r="N16" i="196" s="1"/>
  <c r="T15" i="199" s="1"/>
  <c r="H64" i="196"/>
  <c r="H16" i="196" s="1"/>
  <c r="N15" i="199" s="1"/>
  <c r="G65" i="196"/>
  <c r="F65" i="196"/>
  <c r="D65" i="196"/>
  <c r="C65" i="196"/>
  <c r="G63" i="196"/>
  <c r="F63" i="196"/>
  <c r="D63" i="196"/>
  <c r="C63" i="196"/>
  <c r="L61" i="196"/>
  <c r="L15" i="196" s="1"/>
  <c r="R14" i="199" s="1"/>
  <c r="H61" i="196"/>
  <c r="H15" i="196" s="1"/>
  <c r="N14" i="199" s="1"/>
  <c r="F62" i="196"/>
  <c r="E62" i="196"/>
  <c r="D62" i="196"/>
  <c r="P61" i="196"/>
  <c r="P15" i="196" s="1"/>
  <c r="V14" i="199" s="1"/>
  <c r="H55" i="196"/>
  <c r="H14" i="196" s="1"/>
  <c r="N13" i="199" s="1"/>
  <c r="F60" i="196"/>
  <c r="E60" i="196"/>
  <c r="D60" i="196"/>
  <c r="G59" i="196"/>
  <c r="F59" i="196"/>
  <c r="D59" i="196"/>
  <c r="C59" i="196"/>
  <c r="F58" i="196"/>
  <c r="E58" i="196"/>
  <c r="D58" i="196"/>
  <c r="G57" i="196"/>
  <c r="F57" i="196"/>
  <c r="D57" i="196"/>
  <c r="C57" i="196"/>
  <c r="F56" i="196"/>
  <c r="E56" i="196"/>
  <c r="D56" i="196"/>
  <c r="P55" i="196"/>
  <c r="P14" i="196" s="1"/>
  <c r="V13" i="199" s="1"/>
  <c r="F54" i="196"/>
  <c r="E54" i="196"/>
  <c r="D54" i="196"/>
  <c r="G53" i="196"/>
  <c r="F53" i="196"/>
  <c r="D53" i="196"/>
  <c r="C53" i="196"/>
  <c r="F52" i="196"/>
  <c r="E52" i="196"/>
  <c r="D52" i="196"/>
  <c r="G51" i="196"/>
  <c r="F51" i="196"/>
  <c r="D51" i="196"/>
  <c r="C51" i="196"/>
  <c r="F50" i="196"/>
  <c r="E50" i="196"/>
  <c r="D50" i="196"/>
  <c r="G49" i="196"/>
  <c r="F49" i="196"/>
  <c r="D49" i="196"/>
  <c r="C49" i="196"/>
  <c r="F48" i="196"/>
  <c r="E48" i="196"/>
  <c r="D48" i="196"/>
  <c r="F46" i="196"/>
  <c r="E46" i="196"/>
  <c r="D46" i="196"/>
  <c r="G45" i="196"/>
  <c r="F45" i="196"/>
  <c r="D45" i="196"/>
  <c r="C45" i="196"/>
  <c r="F44" i="196"/>
  <c r="E44" i="196"/>
  <c r="D44" i="196"/>
  <c r="K42" i="196"/>
  <c r="K12" i="196" s="1"/>
  <c r="Q11" i="199" s="1"/>
  <c r="G43" i="196"/>
  <c r="F43" i="196"/>
  <c r="D43" i="196"/>
  <c r="C43" i="196"/>
  <c r="L35" i="196"/>
  <c r="L11" i="196" s="1"/>
  <c r="R10" i="199" s="1"/>
  <c r="G41" i="196"/>
  <c r="F41" i="196"/>
  <c r="D41" i="196"/>
  <c r="C41" i="196"/>
  <c r="F40" i="196"/>
  <c r="E40" i="196"/>
  <c r="D40" i="196"/>
  <c r="G39" i="196"/>
  <c r="F39" i="196"/>
  <c r="D39" i="196"/>
  <c r="C39" i="196"/>
  <c r="F38" i="196"/>
  <c r="E38" i="196"/>
  <c r="D38" i="196"/>
  <c r="G37" i="196"/>
  <c r="F37" i="196"/>
  <c r="D37" i="196"/>
  <c r="C37" i="196"/>
  <c r="F36" i="196"/>
  <c r="E36" i="196"/>
  <c r="D36" i="196"/>
  <c r="P35" i="196"/>
  <c r="F34" i="196"/>
  <c r="E34" i="196"/>
  <c r="D34" i="196"/>
  <c r="G33" i="196"/>
  <c r="F33" i="196"/>
  <c r="D33" i="196"/>
  <c r="C33" i="196"/>
  <c r="F32" i="196"/>
  <c r="E32" i="196"/>
  <c r="D32" i="196"/>
  <c r="G31" i="196"/>
  <c r="F31" i="196"/>
  <c r="D31" i="196"/>
  <c r="C31" i="196"/>
  <c r="N29" i="196"/>
  <c r="N10" i="196" s="1"/>
  <c r="T9" i="199" s="1"/>
  <c r="I29" i="196"/>
  <c r="I10" i="196" s="1"/>
  <c r="O9" i="199" s="1"/>
  <c r="F30" i="196"/>
  <c r="E30" i="196"/>
  <c r="D30" i="196"/>
  <c r="F28" i="196"/>
  <c r="E28" i="196"/>
  <c r="D28" i="196"/>
  <c r="G27" i="196"/>
  <c r="F27" i="196"/>
  <c r="D27" i="196"/>
  <c r="C27" i="196"/>
  <c r="F26" i="196"/>
  <c r="E26" i="196"/>
  <c r="D26" i="196"/>
  <c r="G25" i="196"/>
  <c r="F25" i="196"/>
  <c r="D25" i="196"/>
  <c r="C25" i="196"/>
  <c r="F24" i="196"/>
  <c r="E24" i="196"/>
  <c r="D24" i="196"/>
  <c r="P23" i="196"/>
  <c r="F22" i="196"/>
  <c r="E22" i="196"/>
  <c r="D22" i="196"/>
  <c r="G21" i="196"/>
  <c r="F21" i="196"/>
  <c r="D21" i="196"/>
  <c r="C21" i="196"/>
  <c r="N19" i="196"/>
  <c r="N8" i="196" s="1"/>
  <c r="T7" i="199" s="1"/>
  <c r="H19" i="196"/>
  <c r="H8" i="196" s="1"/>
  <c r="N7" i="199" s="1"/>
  <c r="F20" i="196"/>
  <c r="E20" i="196"/>
  <c r="D20" i="196"/>
  <c r="P19" i="196"/>
  <c r="L19" i="196"/>
  <c r="L8" i="196" s="1"/>
  <c r="R7" i="199" s="1"/>
  <c r="M7" i="196"/>
  <c r="S6" i="199" s="1"/>
  <c r="F18" i="196"/>
  <c r="E18" i="196"/>
  <c r="E7" i="196" s="1"/>
  <c r="K6" i="199" s="1"/>
  <c r="D18" i="196"/>
  <c r="D7" i="196" s="1"/>
  <c r="J6" i="199" s="1"/>
  <c r="P7" i="196"/>
  <c r="L7" i="196"/>
  <c r="R6" i="199" s="1"/>
  <c r="I7" i="196"/>
  <c r="O6" i="199" s="1"/>
  <c r="H7" i="196"/>
  <c r="N6" i="199" s="1"/>
  <c r="K28" i="197"/>
  <c r="K23" i="197"/>
  <c r="H24" i="197"/>
  <c r="F24" i="197"/>
  <c r="H29" i="197"/>
  <c r="G29" i="197"/>
  <c r="I6" i="197"/>
  <c r="H6" i="197"/>
  <c r="G6" i="197"/>
  <c r="F6" i="197"/>
  <c r="E6" i="197"/>
  <c r="D6" i="197"/>
  <c r="C6" i="197"/>
  <c r="E62" i="199"/>
  <c r="G59" i="199"/>
  <c r="C57" i="199"/>
  <c r="G64" i="199"/>
  <c r="E64" i="199"/>
  <c r="D64" i="199"/>
  <c r="C64" i="199"/>
  <c r="G63" i="199"/>
  <c r="E63" i="199"/>
  <c r="D63" i="199"/>
  <c r="C63" i="199"/>
  <c r="G62" i="199"/>
  <c r="D62" i="199"/>
  <c r="C62" i="199"/>
  <c r="G61" i="199"/>
  <c r="E61" i="199"/>
  <c r="D61" i="199"/>
  <c r="C61" i="199"/>
  <c r="G60" i="199"/>
  <c r="E60" i="199"/>
  <c r="D60" i="199"/>
  <c r="C60" i="199"/>
  <c r="E59" i="199"/>
  <c r="D59" i="199"/>
  <c r="C59" i="199"/>
  <c r="G58" i="199"/>
  <c r="E58" i="199"/>
  <c r="D58" i="199"/>
  <c r="C58" i="199"/>
  <c r="G57" i="199"/>
  <c r="E57" i="199"/>
  <c r="D57" i="199"/>
  <c r="G56" i="199"/>
  <c r="E56" i="199"/>
  <c r="D56" i="199"/>
  <c r="C56" i="199"/>
  <c r="G55" i="199"/>
  <c r="E55" i="199"/>
  <c r="D55" i="199"/>
  <c r="C55" i="199"/>
  <c r="G54" i="199"/>
  <c r="E54" i="199"/>
  <c r="D54" i="199"/>
  <c r="C54" i="199"/>
  <c r="G49" i="199"/>
  <c r="E49" i="199"/>
  <c r="C49" i="199"/>
  <c r="G48" i="199"/>
  <c r="F48" i="199"/>
  <c r="E48" i="199"/>
  <c r="C48" i="199"/>
  <c r="G47" i="199"/>
  <c r="F47" i="199"/>
  <c r="E47" i="199"/>
  <c r="C47" i="199"/>
  <c r="G46" i="199"/>
  <c r="F46" i="199"/>
  <c r="E46" i="199"/>
  <c r="C46" i="199"/>
  <c r="G45" i="199"/>
  <c r="F45" i="199"/>
  <c r="E45" i="199"/>
  <c r="C45" i="199"/>
  <c r="G44" i="199"/>
  <c r="F44" i="199"/>
  <c r="E44" i="199"/>
  <c r="D44" i="199"/>
  <c r="C44" i="199"/>
  <c r="G43" i="199"/>
  <c r="F43" i="199"/>
  <c r="E43" i="199"/>
  <c r="C43" i="199"/>
  <c r="G42" i="199"/>
  <c r="F42" i="199"/>
  <c r="E42" i="199"/>
  <c r="C42" i="199"/>
  <c r="G41" i="199"/>
  <c r="F41" i="199"/>
  <c r="E41" i="199"/>
  <c r="C41" i="199"/>
  <c r="G40" i="199"/>
  <c r="F40" i="199"/>
  <c r="E40" i="199"/>
  <c r="D40" i="199"/>
  <c r="C40" i="199"/>
  <c r="G39" i="199"/>
  <c r="F39" i="199"/>
  <c r="E39" i="199"/>
  <c r="C39" i="199"/>
  <c r="J40" i="199" l="1"/>
  <c r="G5" i="197"/>
  <c r="G28" i="197" s="1"/>
  <c r="H7" i="197"/>
  <c r="H23" i="197" s="1"/>
  <c r="E5" i="197"/>
  <c r="E28" i="197" s="1"/>
  <c r="F7" i="197"/>
  <c r="F23" i="197" s="1"/>
  <c r="I5" i="197"/>
  <c r="I28" i="197" s="1"/>
  <c r="J5" i="197"/>
  <c r="J28" i="197" s="1"/>
  <c r="F5" i="197"/>
  <c r="F28" i="197" s="1"/>
  <c r="G7" i="197"/>
  <c r="G23" i="197" s="1"/>
  <c r="H5" i="197"/>
  <c r="H28" i="197" s="1"/>
  <c r="E7" i="197"/>
  <c r="E23" i="197" s="1"/>
  <c r="I7" i="197"/>
  <c r="I23" i="197" s="1"/>
  <c r="J7" i="197"/>
  <c r="J23" i="197" s="1"/>
  <c r="N40" i="199"/>
  <c r="R40" i="199"/>
  <c r="F64" i="196"/>
  <c r="F16" i="196" s="1"/>
  <c r="L15" i="199" s="1"/>
  <c r="V6" i="199"/>
  <c r="D29" i="196"/>
  <c r="D10" i="196" s="1"/>
  <c r="J9" i="199" s="1"/>
  <c r="D61" i="196"/>
  <c r="D15" i="196" s="1"/>
  <c r="J14" i="199" s="1"/>
  <c r="D42" i="196"/>
  <c r="D12" i="196" s="1"/>
  <c r="J11" i="199" s="1"/>
  <c r="G23" i="196"/>
  <c r="G9" i="196" s="1"/>
  <c r="M8" i="199" s="1"/>
  <c r="N61" i="196"/>
  <c r="N15" i="196" s="1"/>
  <c r="T14" i="199" s="1"/>
  <c r="G19" i="196"/>
  <c r="G8" i="196" s="1"/>
  <c r="M7" i="199" s="1"/>
  <c r="M41" i="199" s="1"/>
  <c r="O47" i="196"/>
  <c r="O13" i="196" s="1"/>
  <c r="U12" i="199" s="1"/>
  <c r="K61" i="196"/>
  <c r="K15" i="196" s="1"/>
  <c r="Q14" i="199" s="1"/>
  <c r="C64" i="196"/>
  <c r="C16" i="196" s="1"/>
  <c r="I15" i="199" s="1"/>
  <c r="H49" i="199" s="1"/>
  <c r="L23" i="196"/>
  <c r="L9" i="196" s="1"/>
  <c r="R8" i="199" s="1"/>
  <c r="N23" i="196"/>
  <c r="N9" i="196" s="1"/>
  <c r="T8" i="199" s="1"/>
  <c r="H29" i="196"/>
  <c r="H10" i="196" s="1"/>
  <c r="N9" i="199" s="1"/>
  <c r="L29" i="196"/>
  <c r="L10" i="196" s="1"/>
  <c r="R9" i="199" s="1"/>
  <c r="L64" i="196"/>
  <c r="L16" i="196" s="1"/>
  <c r="R15" i="199" s="1"/>
  <c r="H35" i="196"/>
  <c r="H11" i="196" s="1"/>
  <c r="N10" i="199" s="1"/>
  <c r="I19" i="196"/>
  <c r="I8" i="196" s="1"/>
  <c r="O7" i="199" s="1"/>
  <c r="N41" i="199" s="1"/>
  <c r="C35" i="196"/>
  <c r="C11" i="196" s="1"/>
  <c r="I10" i="199" s="1"/>
  <c r="H44" i="199" s="1"/>
  <c r="F69" i="196"/>
  <c r="L69" i="196"/>
  <c r="D19" i="196"/>
  <c r="D8" i="196" s="1"/>
  <c r="J7" i="199" s="1"/>
  <c r="F29" i="196"/>
  <c r="F10" i="196" s="1"/>
  <c r="L9" i="199" s="1"/>
  <c r="H42" i="196"/>
  <c r="H12" i="196" s="1"/>
  <c r="N11" i="199" s="1"/>
  <c r="D55" i="196"/>
  <c r="D14" i="196" s="1"/>
  <c r="J13" i="199" s="1"/>
  <c r="F61" i="196"/>
  <c r="F15" i="196" s="1"/>
  <c r="L14" i="199" s="1"/>
  <c r="L48" i="199" s="1"/>
  <c r="G75" i="196"/>
  <c r="C19" i="196"/>
  <c r="C8" i="196" s="1"/>
  <c r="I7" i="199" s="1"/>
  <c r="H41" i="199" s="1"/>
  <c r="E19" i="196"/>
  <c r="E8" i="196" s="1"/>
  <c r="K7" i="199" s="1"/>
  <c r="K23" i="196"/>
  <c r="K9" i="196" s="1"/>
  <c r="Q8" i="199" s="1"/>
  <c r="G29" i="196"/>
  <c r="G10" i="196" s="1"/>
  <c r="M9" i="199" s="1"/>
  <c r="C42" i="196"/>
  <c r="C12" i="196" s="1"/>
  <c r="I11" i="199" s="1"/>
  <c r="H45" i="199" s="1"/>
  <c r="K47" i="196"/>
  <c r="K13" i="196" s="1"/>
  <c r="Q12" i="199" s="1"/>
  <c r="K55" i="196"/>
  <c r="K14" i="196" s="1"/>
  <c r="Q13" i="199" s="1"/>
  <c r="M55" i="196"/>
  <c r="M14" i="196" s="1"/>
  <c r="S13" i="199" s="1"/>
  <c r="G61" i="196"/>
  <c r="G15" i="196" s="1"/>
  <c r="M14" i="199" s="1"/>
  <c r="M48" i="199" s="1"/>
  <c r="I61" i="196"/>
  <c r="I15" i="196" s="1"/>
  <c r="O14" i="199" s="1"/>
  <c r="N48" i="199" s="1"/>
  <c r="M64" i="196"/>
  <c r="M16" i="196" s="1"/>
  <c r="S15" i="199" s="1"/>
  <c r="K29" i="196"/>
  <c r="K10" i="196" s="1"/>
  <c r="Q9" i="199" s="1"/>
  <c r="E42" i="196"/>
  <c r="E12" i="196" s="1"/>
  <c r="K11" i="199" s="1"/>
  <c r="M61" i="196"/>
  <c r="M15" i="196" s="1"/>
  <c r="S14" i="199" s="1"/>
  <c r="J19" i="196"/>
  <c r="J8" i="196" s="1"/>
  <c r="P7" i="199" s="1"/>
  <c r="H23" i="196"/>
  <c r="H9" i="196" s="1"/>
  <c r="N8" i="199" s="1"/>
  <c r="M42" i="199" s="1"/>
  <c r="N35" i="196"/>
  <c r="N11" i="196" s="1"/>
  <c r="T10" i="199" s="1"/>
  <c r="N47" i="196"/>
  <c r="N13" i="196" s="1"/>
  <c r="T12" i="199" s="1"/>
  <c r="L55" i="196"/>
  <c r="L14" i="196" s="1"/>
  <c r="R13" i="199" s="1"/>
  <c r="D64" i="196"/>
  <c r="D16" i="196" s="1"/>
  <c r="J15" i="199" s="1"/>
  <c r="J64" i="196"/>
  <c r="J16" i="196" s="1"/>
  <c r="P15" i="199" s="1"/>
  <c r="C75" i="196"/>
  <c r="E75" i="196"/>
  <c r="K19" i="196"/>
  <c r="K8" i="196" s="1"/>
  <c r="Q7" i="199" s="1"/>
  <c r="M19" i="196"/>
  <c r="M8" i="196" s="1"/>
  <c r="S7" i="199" s="1"/>
  <c r="G35" i="196"/>
  <c r="G11" i="196" s="1"/>
  <c r="M10" i="199" s="1"/>
  <c r="I42" i="196"/>
  <c r="I12" i="196" s="1"/>
  <c r="O11" i="199" s="1"/>
  <c r="C47" i="196"/>
  <c r="C13" i="196" s="1"/>
  <c r="I12" i="199" s="1"/>
  <c r="H46" i="199" s="1"/>
  <c r="E47" i="196"/>
  <c r="E13" i="196" s="1"/>
  <c r="K12" i="199" s="1"/>
  <c r="C55" i="196"/>
  <c r="C14" i="196" s="1"/>
  <c r="I13" i="199" s="1"/>
  <c r="H47" i="199" s="1"/>
  <c r="E55" i="196"/>
  <c r="E14" i="196" s="1"/>
  <c r="K13" i="199" s="1"/>
  <c r="E64" i="196"/>
  <c r="E16" i="196" s="1"/>
  <c r="K15" i="199" s="1"/>
  <c r="G64" i="196"/>
  <c r="G16" i="196" s="1"/>
  <c r="M15" i="199" s="1"/>
  <c r="M49" i="199" s="1"/>
  <c r="F19" i="196"/>
  <c r="F8" i="196" s="1"/>
  <c r="L7" i="199" s="1"/>
  <c r="K41" i="199" s="1"/>
  <c r="E23" i="196"/>
  <c r="E9" i="196" s="1"/>
  <c r="K8" i="199" s="1"/>
  <c r="J23" i="196"/>
  <c r="J9" i="196" s="1"/>
  <c r="P8" i="199" s="1"/>
  <c r="D23" i="196"/>
  <c r="D9" i="196" s="1"/>
  <c r="J8" i="199" s="1"/>
  <c r="J29" i="196"/>
  <c r="J10" i="196" s="1"/>
  <c r="P9" i="199" s="1"/>
  <c r="O43" i="199" s="1"/>
  <c r="J35" i="196"/>
  <c r="J11" i="196" s="1"/>
  <c r="P10" i="199" s="1"/>
  <c r="L42" i="196"/>
  <c r="L12" i="196" s="1"/>
  <c r="R11" i="199" s="1"/>
  <c r="J47" i="196"/>
  <c r="J13" i="196" s="1"/>
  <c r="P12" i="199" s="1"/>
  <c r="J61" i="196"/>
  <c r="J15" i="196" s="1"/>
  <c r="P14" i="199" s="1"/>
  <c r="C29" i="196"/>
  <c r="C10" i="196" s="1"/>
  <c r="I9" i="199" s="1"/>
  <c r="H43" i="199" s="1"/>
  <c r="K35" i="196"/>
  <c r="K11" i="196" s="1"/>
  <c r="Q10" i="199" s="1"/>
  <c r="M42" i="196"/>
  <c r="M12" i="196" s="1"/>
  <c r="S11" i="199" s="1"/>
  <c r="G47" i="196"/>
  <c r="G13" i="196" s="1"/>
  <c r="M12" i="199" s="1"/>
  <c r="I47" i="196"/>
  <c r="I13" i="196" s="1"/>
  <c r="O12" i="199" s="1"/>
  <c r="G55" i="196"/>
  <c r="G14" i="196" s="1"/>
  <c r="M13" i="199" s="1"/>
  <c r="M47" i="199" s="1"/>
  <c r="I55" i="196"/>
  <c r="I14" i="196" s="1"/>
  <c r="O13" i="199" s="1"/>
  <c r="N47" i="199" s="1"/>
  <c r="C61" i="196"/>
  <c r="C15" i="196" s="1"/>
  <c r="I14" i="199" s="1"/>
  <c r="H48" i="199" s="1"/>
  <c r="E61" i="196"/>
  <c r="E15" i="196" s="1"/>
  <c r="K14" i="199" s="1"/>
  <c r="I64" i="196"/>
  <c r="I16" i="196" s="1"/>
  <c r="O15" i="199" s="1"/>
  <c r="N49" i="199" s="1"/>
  <c r="K64" i="196"/>
  <c r="K16" i="196" s="1"/>
  <c r="Q15" i="199" s="1"/>
  <c r="D5" i="197"/>
  <c r="D28" i="197" s="1"/>
  <c r="M6" i="197"/>
  <c r="N6" i="197" s="1"/>
  <c r="O6" i="197" s="1"/>
  <c r="P6" i="197" s="1"/>
  <c r="D7" i="197"/>
  <c r="D23" i="197" s="1"/>
  <c r="E24" i="197"/>
  <c r="O55" i="196"/>
  <c r="O19" i="196"/>
  <c r="C23" i="196"/>
  <c r="C9" i="196" s="1"/>
  <c r="I8" i="199" s="1"/>
  <c r="H42" i="199" s="1"/>
  <c r="O29" i="196"/>
  <c r="O42" i="196"/>
  <c r="J69" i="196"/>
  <c r="N69" i="196"/>
  <c r="F35" i="196"/>
  <c r="F11" i="196" s="1"/>
  <c r="L10" i="199" s="1"/>
  <c r="C18" i="196"/>
  <c r="M35" i="196"/>
  <c r="M11" i="196" s="1"/>
  <c r="S10" i="199" s="1"/>
  <c r="P42" i="196"/>
  <c r="P29" i="196"/>
  <c r="O35" i="196"/>
  <c r="O61" i="196"/>
  <c r="O64" i="196"/>
  <c r="P9" i="196"/>
  <c r="V8" i="199" s="1"/>
  <c r="E29" i="196"/>
  <c r="E10" i="196" s="1"/>
  <c r="K9" i="199" s="1"/>
  <c r="D35" i="196"/>
  <c r="D11" i="196" s="1"/>
  <c r="J10" i="199" s="1"/>
  <c r="G42" i="196"/>
  <c r="G12" i="196" s="1"/>
  <c r="M11" i="199" s="1"/>
  <c r="F7" i="196"/>
  <c r="L6" i="199" s="1"/>
  <c r="K40" i="199" s="1"/>
  <c r="J7" i="196"/>
  <c r="P6" i="199" s="1"/>
  <c r="O40" i="199" s="1"/>
  <c r="N7" i="196"/>
  <c r="T6" i="199" s="1"/>
  <c r="S40" i="199" s="1"/>
  <c r="P8" i="196"/>
  <c r="V7" i="199" s="1"/>
  <c r="O23" i="196"/>
  <c r="I23" i="196"/>
  <c r="I9" i="196" s="1"/>
  <c r="O8" i="199" s="1"/>
  <c r="P11" i="196"/>
  <c r="V10" i="199" s="1"/>
  <c r="D69" i="196"/>
  <c r="H69" i="196"/>
  <c r="F23" i="196"/>
  <c r="F9" i="196" s="1"/>
  <c r="L8" i="199" s="1"/>
  <c r="I35" i="196"/>
  <c r="I11" i="196" s="1"/>
  <c r="O10" i="199" s="1"/>
  <c r="M47" i="196"/>
  <c r="M13" i="196" s="1"/>
  <c r="S12" i="199" s="1"/>
  <c r="E69" i="196"/>
  <c r="I69" i="196"/>
  <c r="M69" i="196"/>
  <c r="M23" i="196"/>
  <c r="M9" i="196" s="1"/>
  <c r="S8" i="199" s="1"/>
  <c r="M29" i="196"/>
  <c r="M10" i="196" s="1"/>
  <c r="S9" i="199" s="1"/>
  <c r="E35" i="196"/>
  <c r="E11" i="196" s="1"/>
  <c r="K10" i="199" s="1"/>
  <c r="F47" i="196"/>
  <c r="F13" i="196" s="1"/>
  <c r="L12" i="199" s="1"/>
  <c r="P64" i="196"/>
  <c r="F42" i="196"/>
  <c r="F12" i="196" s="1"/>
  <c r="L11" i="199" s="1"/>
  <c r="J42" i="196"/>
  <c r="J12" i="196" s="1"/>
  <c r="P11" i="199" s="1"/>
  <c r="P45" i="199" s="1"/>
  <c r="N42" i="196"/>
  <c r="N12" i="196" s="1"/>
  <c r="T11" i="199" s="1"/>
  <c r="D47" i="196"/>
  <c r="D13" i="196" s="1"/>
  <c r="J12" i="199" s="1"/>
  <c r="H47" i="196"/>
  <c r="H13" i="196" s="1"/>
  <c r="N12" i="199" s="1"/>
  <c r="L47" i="196"/>
  <c r="L13" i="196" s="1"/>
  <c r="R12" i="199" s="1"/>
  <c r="P47" i="196"/>
  <c r="F75" i="196"/>
  <c r="D75" i="196"/>
  <c r="F55" i="196"/>
  <c r="F14" i="196" s="1"/>
  <c r="L13" i="199" s="1"/>
  <c r="J55" i="196"/>
  <c r="J14" i="196" s="1"/>
  <c r="P13" i="199" s="1"/>
  <c r="N55" i="196"/>
  <c r="N14" i="196" s="1"/>
  <c r="T13" i="199" s="1"/>
  <c r="D9" i="197"/>
  <c r="D29" i="197" s="1"/>
  <c r="D11" i="197"/>
  <c r="D24" i="197" s="1"/>
  <c r="E9" i="197"/>
  <c r="E29" i="197" s="1"/>
  <c r="F9" i="197"/>
  <c r="F29" i="197" s="1"/>
  <c r="C29" i="197"/>
  <c r="D42" i="199"/>
  <c r="D39" i="199"/>
  <c r="D41" i="199"/>
  <c r="D43" i="199"/>
  <c r="D45" i="199"/>
  <c r="D46" i="199"/>
  <c r="D47" i="199"/>
  <c r="D48" i="199"/>
  <c r="D49" i="199"/>
  <c r="F49" i="199"/>
  <c r="F54" i="199"/>
  <c r="F55" i="199"/>
  <c r="F56" i="199"/>
  <c r="F57" i="199"/>
  <c r="F58" i="199"/>
  <c r="F59" i="199"/>
  <c r="F60" i="199"/>
  <c r="F61" i="199"/>
  <c r="F62" i="199"/>
  <c r="F63" i="199"/>
  <c r="F64" i="199"/>
  <c r="K45" i="199" l="1"/>
  <c r="J47" i="199"/>
  <c r="I46" i="199"/>
  <c r="J44" i="199"/>
  <c r="N45" i="199"/>
  <c r="R49" i="199"/>
  <c r="J41" i="199"/>
  <c r="O47" i="199"/>
  <c r="M46" i="199"/>
  <c r="I44" i="199"/>
  <c r="J43" i="199"/>
  <c r="K46" i="199"/>
  <c r="L45" i="199"/>
  <c r="J48" i="199"/>
  <c r="I49" i="199"/>
  <c r="L43" i="199"/>
  <c r="L49" i="199"/>
  <c r="L46" i="199"/>
  <c r="L41" i="199"/>
  <c r="K42" i="199"/>
  <c r="J49" i="199"/>
  <c r="K47" i="199"/>
  <c r="J45" i="199"/>
  <c r="L47" i="199"/>
  <c r="K44" i="199"/>
  <c r="J42" i="199"/>
  <c r="M45" i="199"/>
  <c r="I45" i="199"/>
  <c r="K49" i="199"/>
  <c r="L44" i="199"/>
  <c r="K43" i="199"/>
  <c r="I48" i="199"/>
  <c r="I42" i="199"/>
  <c r="J46" i="199"/>
  <c r="K48" i="199"/>
  <c r="I41" i="199"/>
  <c r="I43" i="199"/>
  <c r="I47" i="199"/>
  <c r="M44" i="199"/>
  <c r="T46" i="199"/>
  <c r="L42" i="199"/>
  <c r="P49" i="199"/>
  <c r="N44" i="199"/>
  <c r="S47" i="199"/>
  <c r="P43" i="199"/>
  <c r="Q49" i="199"/>
  <c r="P41" i="199"/>
  <c r="P48" i="199"/>
  <c r="O45" i="199"/>
  <c r="S45" i="199"/>
  <c r="O48" i="199"/>
  <c r="O41" i="199"/>
  <c r="P47" i="199"/>
  <c r="E6" i="196"/>
  <c r="O44" i="199"/>
  <c r="O42" i="199"/>
  <c r="R42" i="199"/>
  <c r="O46" i="199"/>
  <c r="Q46" i="199"/>
  <c r="N42" i="199"/>
  <c r="R44" i="199"/>
  <c r="Q45" i="199"/>
  <c r="O49" i="199"/>
  <c r="R47" i="199"/>
  <c r="Q42" i="199"/>
  <c r="S48" i="199"/>
  <c r="N46" i="199"/>
  <c r="R48" i="199"/>
  <c r="S43" i="199"/>
  <c r="R43" i="199"/>
  <c r="Q43" i="199"/>
  <c r="Q48" i="199"/>
  <c r="R45" i="199"/>
  <c r="R41" i="199"/>
  <c r="S41" i="199"/>
  <c r="Q47" i="199"/>
  <c r="P46" i="199"/>
  <c r="M43" i="199"/>
  <c r="N43" i="199"/>
  <c r="Q44" i="199"/>
  <c r="P44" i="199"/>
  <c r="Q41" i="199"/>
  <c r="S46" i="199"/>
  <c r="S49" i="199"/>
  <c r="S42" i="199"/>
  <c r="S44" i="199"/>
  <c r="R46" i="199"/>
  <c r="P42" i="199"/>
  <c r="L6" i="196"/>
  <c r="D6" i="196"/>
  <c r="H6" i="196"/>
  <c r="I6" i="196"/>
  <c r="N6" i="196"/>
  <c r="F6" i="196"/>
  <c r="M6" i="196"/>
  <c r="O11" i="196"/>
  <c r="G69" i="196"/>
  <c r="G7" i="196"/>
  <c r="O9" i="196"/>
  <c r="C69" i="196"/>
  <c r="C7" i="196"/>
  <c r="O8" i="196"/>
  <c r="O14" i="196"/>
  <c r="U13" i="199" s="1"/>
  <c r="P12" i="196"/>
  <c r="V11" i="199" s="1"/>
  <c r="O69" i="196"/>
  <c r="O7" i="196"/>
  <c r="U6" i="199" s="1"/>
  <c r="U40" i="199" s="1"/>
  <c r="O12" i="196"/>
  <c r="O10" i="196"/>
  <c r="O15" i="196"/>
  <c r="U14" i="199" s="1"/>
  <c r="P13" i="196"/>
  <c r="P16" i="196"/>
  <c r="V15" i="199" s="1"/>
  <c r="J6" i="196"/>
  <c r="O16" i="196"/>
  <c r="P10" i="196"/>
  <c r="K69" i="196"/>
  <c r="K7" i="196"/>
  <c r="C6" i="196" l="1"/>
  <c r="I6" i="199"/>
  <c r="G6" i="196"/>
  <c r="M6" i="199"/>
  <c r="L5" i="199"/>
  <c r="J5" i="199"/>
  <c r="K5" i="199"/>
  <c r="P6" i="196"/>
  <c r="V5" i="199" s="1"/>
  <c r="V9" i="199"/>
  <c r="U48" i="199"/>
  <c r="T48" i="199"/>
  <c r="U8" i="199"/>
  <c r="O5" i="199"/>
  <c r="N5" i="199"/>
  <c r="U15" i="199"/>
  <c r="V12" i="199"/>
  <c r="U9" i="199"/>
  <c r="U10" i="199"/>
  <c r="R5" i="199"/>
  <c r="U11" i="199"/>
  <c r="U47" i="199"/>
  <c r="T47" i="199"/>
  <c r="K6" i="196"/>
  <c r="Q6" i="199"/>
  <c r="P5" i="199"/>
  <c r="S5" i="199"/>
  <c r="T40" i="199"/>
  <c r="U7" i="199"/>
  <c r="T5" i="199"/>
  <c r="O6" i="196"/>
  <c r="J39" i="199" l="1"/>
  <c r="K39" i="199"/>
  <c r="I5" i="199"/>
  <c r="H39" i="199" s="1"/>
  <c r="L40" i="199"/>
  <c r="M40" i="199"/>
  <c r="H40" i="199"/>
  <c r="I40" i="199"/>
  <c r="M5" i="199"/>
  <c r="L39" i="199" s="1"/>
  <c r="O39" i="199"/>
  <c r="T41" i="199"/>
  <c r="U41" i="199"/>
  <c r="T45" i="199"/>
  <c r="U46" i="199"/>
  <c r="T42" i="199"/>
  <c r="U42" i="199"/>
  <c r="Q40" i="199"/>
  <c r="P40" i="199"/>
  <c r="T49" i="199"/>
  <c r="Q5" i="199"/>
  <c r="Q39" i="199" s="1"/>
  <c r="U45" i="199"/>
  <c r="T44" i="199"/>
  <c r="U44" i="199"/>
  <c r="U49" i="199"/>
  <c r="S39" i="199"/>
  <c r="R39" i="199"/>
  <c r="T43" i="199"/>
  <c r="N39" i="199"/>
  <c r="U43" i="199"/>
  <c r="U5" i="199"/>
  <c r="I39" i="199" l="1"/>
  <c r="M39" i="199"/>
  <c r="U39" i="199"/>
  <c r="T39" i="199"/>
  <c r="P39" i="199"/>
  <c r="C87" i="124" l="1"/>
  <c r="D87" i="124"/>
  <c r="E87" i="124"/>
  <c r="F87" i="124"/>
  <c r="G87" i="124"/>
  <c r="H87" i="124"/>
  <c r="I87" i="124"/>
  <c r="J87" i="124"/>
  <c r="K87" i="124"/>
  <c r="L87" i="124"/>
  <c r="N87" i="124"/>
  <c r="O87" i="124"/>
  <c r="P87" i="124"/>
  <c r="Q87" i="124"/>
  <c r="R87" i="124"/>
  <c r="S35" i="91" l="1"/>
  <c r="S34" i="91"/>
  <c r="S32" i="91"/>
  <c r="S30" i="91"/>
  <c r="S28" i="91"/>
  <c r="S27" i="91"/>
  <c r="S48" i="91"/>
  <c r="T34" i="91" s="1"/>
  <c r="S49" i="91"/>
  <c r="S41" i="91"/>
  <c r="S46" i="91"/>
  <c r="S44" i="91"/>
  <c r="S42" i="91"/>
  <c r="P5" i="91"/>
  <c r="Q5" i="91" s="1"/>
  <c r="P12" i="91"/>
  <c r="Q12" i="91" s="1"/>
  <c r="P4" i="91"/>
  <c r="Q4" i="91" s="1"/>
  <c r="T32" i="91" l="1"/>
  <c r="T30" i="91"/>
  <c r="T27" i="91"/>
  <c r="T28" i="91"/>
  <c r="P11" i="91"/>
  <c r="Q11" i="91" s="1"/>
  <c r="P10" i="91"/>
  <c r="Q10" i="91" s="1"/>
  <c r="P9" i="91"/>
  <c r="Q9" i="91" s="1"/>
  <c r="P8" i="91"/>
  <c r="Q8" i="91" s="1"/>
  <c r="P7" i="91"/>
  <c r="Q7" i="91" s="1"/>
  <c r="P6" i="91"/>
  <c r="Q6" i="91" s="1"/>
  <c r="T19" i="176" l="1"/>
  <c r="L56" i="92" l="1"/>
  <c r="L58" i="92" s="1"/>
  <c r="G5" i="121" s="1"/>
  <c r="P56" i="92"/>
  <c r="P58" i="92" s="1"/>
  <c r="K5" i="121" s="1"/>
  <c r="T56" i="92"/>
  <c r="T58" i="92" s="1"/>
  <c r="O5" i="121" s="1"/>
  <c r="K56" i="92"/>
  <c r="K58" i="92" s="1"/>
  <c r="O56" i="92"/>
  <c r="O58" i="92" s="1"/>
  <c r="S56" i="92"/>
  <c r="S57" i="92" s="1"/>
  <c r="N5" i="120" s="1"/>
  <c r="N56" i="92"/>
  <c r="N57" i="92" s="1"/>
  <c r="H56" i="92"/>
  <c r="H58" i="92" s="1"/>
  <c r="I56" i="92"/>
  <c r="I57" i="92" s="1"/>
  <c r="M56" i="92"/>
  <c r="M57" i="92" s="1"/>
  <c r="H5" i="120" s="1"/>
  <c r="Q56" i="92"/>
  <c r="Q58" i="92" s="1"/>
  <c r="L5" i="121" s="1"/>
  <c r="U56" i="92"/>
  <c r="J56" i="92"/>
  <c r="J58" i="92" s="1"/>
  <c r="R56" i="92"/>
  <c r="R57" i="92" s="1"/>
  <c r="M5" i="120" s="1"/>
  <c r="L57" i="92" l="1"/>
  <c r="L59" i="92" s="1"/>
  <c r="U57" i="92"/>
  <c r="P5" i="120" s="1"/>
  <c r="U58" i="92"/>
  <c r="P5" i="121" s="1"/>
  <c r="N58" i="92"/>
  <c r="I5" i="121" s="1"/>
  <c r="J57" i="92"/>
  <c r="J59" i="92" s="1"/>
  <c r="O57" i="92"/>
  <c r="J5" i="120" s="1"/>
  <c r="Q57" i="92"/>
  <c r="L5" i="120" s="1"/>
  <c r="T57" i="92"/>
  <c r="O5" i="120" s="1"/>
  <c r="H57" i="92"/>
  <c r="H59" i="92" s="1"/>
  <c r="K57" i="92"/>
  <c r="K59" i="92" s="1"/>
  <c r="S58" i="92"/>
  <c r="S59" i="92" s="1"/>
  <c r="P57" i="92"/>
  <c r="K5" i="120" s="1"/>
  <c r="M58" i="92"/>
  <c r="H5" i="121" s="1"/>
  <c r="J5" i="121"/>
  <c r="I58" i="92"/>
  <c r="I59" i="92" s="1"/>
  <c r="R58" i="92"/>
  <c r="M5" i="121" s="1"/>
  <c r="I5" i="120"/>
  <c r="O59" i="92" l="1"/>
  <c r="N59" i="92"/>
  <c r="T59" i="92"/>
  <c r="Q59" i="92"/>
  <c r="P59" i="92"/>
  <c r="U59" i="92"/>
  <c r="N5" i="121"/>
  <c r="R59" i="92"/>
  <c r="M59" i="92"/>
  <c r="AJ170" i="114" l="1"/>
  <c r="AJ169" i="114"/>
  <c r="AJ166" i="114"/>
  <c r="AJ163" i="114"/>
  <c r="AJ162" i="114"/>
  <c r="AJ161" i="114"/>
  <c r="AJ160" i="114"/>
  <c r="AJ157" i="114"/>
  <c r="AJ156" i="114"/>
  <c r="AJ155" i="114"/>
  <c r="AJ154" i="114"/>
  <c r="AJ153" i="114"/>
  <c r="AJ152" i="114"/>
  <c r="AJ149" i="114"/>
  <c r="AJ148" i="114"/>
  <c r="AJ147" i="114"/>
  <c r="AJ144" i="114"/>
  <c r="AJ143" i="114"/>
  <c r="AJ142" i="114"/>
  <c r="AJ141" i="114"/>
  <c r="AJ140" i="114"/>
  <c r="AJ137" i="114"/>
  <c r="AJ136" i="114"/>
  <c r="AJ135" i="114"/>
  <c r="AJ134" i="114"/>
  <c r="AJ131" i="114"/>
  <c r="AJ130" i="114"/>
  <c r="AJ129" i="114"/>
  <c r="AJ128" i="114"/>
  <c r="AJ127" i="114"/>
  <c r="AJ125" i="114"/>
  <c r="AJ124" i="114"/>
  <c r="AJ121" i="206"/>
  <c r="AI63" i="86"/>
  <c r="AB167" i="206" s="1"/>
  <c r="AH63" i="86"/>
  <c r="AA167" i="206" s="1"/>
  <c r="AG63" i="86"/>
  <c r="Z167" i="206" s="1"/>
  <c r="AF63" i="86"/>
  <c r="Y167" i="206" s="1"/>
  <c r="AE63" i="86"/>
  <c r="X167" i="206" s="1"/>
  <c r="AI60" i="86"/>
  <c r="AB164" i="206" s="1"/>
  <c r="AH60" i="86"/>
  <c r="AA164" i="206" s="1"/>
  <c r="AG60" i="86"/>
  <c r="Z164" i="206" s="1"/>
  <c r="AF60" i="86"/>
  <c r="Y164" i="206" s="1"/>
  <c r="AE60" i="86"/>
  <c r="X164" i="206" s="1"/>
  <c r="AI54" i="86"/>
  <c r="AB158" i="206" s="1"/>
  <c r="AH54" i="86"/>
  <c r="AA158" i="206" s="1"/>
  <c r="AG54" i="86"/>
  <c r="Z158" i="206" s="1"/>
  <c r="AF54" i="86"/>
  <c r="Y158" i="206" s="1"/>
  <c r="AE54" i="86"/>
  <c r="X158" i="206" s="1"/>
  <c r="AI46" i="86"/>
  <c r="AB150" i="206" s="1"/>
  <c r="AH46" i="86"/>
  <c r="AA150" i="206" s="1"/>
  <c r="AG46" i="86"/>
  <c r="Z150" i="206" s="1"/>
  <c r="AF46" i="86"/>
  <c r="Y150" i="206" s="1"/>
  <c r="AE46" i="86"/>
  <c r="X150" i="206" s="1"/>
  <c r="AI41" i="86"/>
  <c r="AB145" i="206" s="1"/>
  <c r="AH41" i="86"/>
  <c r="AA145" i="206" s="1"/>
  <c r="AG41" i="86"/>
  <c r="Z145" i="206" s="1"/>
  <c r="AF41" i="86"/>
  <c r="Y145" i="206" s="1"/>
  <c r="AE41" i="86"/>
  <c r="X145" i="206" s="1"/>
  <c r="AI34" i="86"/>
  <c r="AB138" i="206" s="1"/>
  <c r="AH34" i="86"/>
  <c r="AA138" i="206" s="1"/>
  <c r="AG34" i="86"/>
  <c r="Z138" i="206" s="1"/>
  <c r="AF34" i="86"/>
  <c r="Y138" i="206" s="1"/>
  <c r="AE34" i="86"/>
  <c r="X138" i="206" s="1"/>
  <c r="AI28" i="86"/>
  <c r="AB132" i="206" s="1"/>
  <c r="AH28" i="86"/>
  <c r="AA132" i="206" s="1"/>
  <c r="AG28" i="86"/>
  <c r="Z132" i="206" s="1"/>
  <c r="AF28" i="86"/>
  <c r="Y132" i="206" s="1"/>
  <c r="AE28" i="86"/>
  <c r="X132" i="206" s="1"/>
  <c r="AI22" i="86"/>
  <c r="AB126" i="206" s="1"/>
  <c r="AH22" i="86"/>
  <c r="AA126" i="206" s="1"/>
  <c r="AG22" i="86"/>
  <c r="Z126" i="206" s="1"/>
  <c r="AF22" i="86"/>
  <c r="Y126" i="206" s="1"/>
  <c r="AE22" i="86"/>
  <c r="X126" i="206" s="1"/>
  <c r="AI18" i="86"/>
  <c r="AB122" i="206" s="1"/>
  <c r="AH18" i="86"/>
  <c r="AA122" i="206" s="1"/>
  <c r="AG18" i="86"/>
  <c r="Z122" i="206" s="1"/>
  <c r="AF18" i="86"/>
  <c r="Y122" i="206" s="1"/>
  <c r="AE18" i="86"/>
  <c r="X122" i="206" s="1"/>
  <c r="AN6" i="86"/>
  <c r="AI8" i="86"/>
  <c r="AB121" i="206" s="1"/>
  <c r="AH8" i="86"/>
  <c r="AA121" i="206" s="1"/>
  <c r="AG8" i="86"/>
  <c r="Z121" i="206" s="1"/>
  <c r="AF8" i="86"/>
  <c r="Y121" i="206" s="1"/>
  <c r="AE8" i="86"/>
  <c r="X121" i="206" s="1"/>
  <c r="AJ158" i="114" l="1"/>
  <c r="AJ159" i="114"/>
  <c r="AJ146" i="114"/>
  <c r="AJ145" i="114"/>
  <c r="AJ164" i="114"/>
  <c r="AJ165" i="114"/>
  <c r="AJ139" i="114"/>
  <c r="AJ138" i="114"/>
  <c r="AJ168" i="114"/>
  <c r="AJ167" i="114"/>
  <c r="AJ123" i="114"/>
  <c r="AJ122" i="114"/>
  <c r="AJ132" i="114"/>
  <c r="AJ133" i="114"/>
  <c r="AJ151" i="114"/>
  <c r="AJ150" i="114"/>
  <c r="AJ126" i="114"/>
  <c r="AF7" i="86"/>
  <c r="Y120" i="206" s="1"/>
  <c r="AG7" i="86"/>
  <c r="Z120" i="206" s="1"/>
  <c r="AH7" i="86"/>
  <c r="AA120" i="206" s="1"/>
  <c r="AE7" i="86"/>
  <c r="X120" i="206" s="1"/>
  <c r="AI7" i="86"/>
  <c r="C59" i="114"/>
  <c r="D59" i="114"/>
  <c r="E59" i="114"/>
  <c r="F59" i="114"/>
  <c r="G59" i="114"/>
  <c r="H59" i="114"/>
  <c r="I59" i="114"/>
  <c r="J59" i="114"/>
  <c r="K59" i="114"/>
  <c r="L59" i="114"/>
  <c r="M59" i="114"/>
  <c r="N59" i="114"/>
  <c r="O59" i="114"/>
  <c r="P59" i="114"/>
  <c r="Q59" i="114"/>
  <c r="O62" i="114"/>
  <c r="P62" i="114"/>
  <c r="Q62" i="114"/>
  <c r="G64" i="114"/>
  <c r="L64" i="114"/>
  <c r="Q64" i="114"/>
  <c r="L65" i="114"/>
  <c r="L75" i="114" s="1"/>
  <c r="Q65" i="114"/>
  <c r="Q66" i="114"/>
  <c r="Q75" i="114" s="1"/>
  <c r="G67" i="114"/>
  <c r="G68" i="114"/>
  <c r="G69" i="114"/>
  <c r="G71" i="114"/>
  <c r="G72" i="114"/>
  <c r="G73" i="114"/>
  <c r="G74" i="114"/>
  <c r="G75" i="114"/>
  <c r="Q76" i="114"/>
  <c r="L77" i="114"/>
  <c r="L78" i="114" s="1"/>
  <c r="Q77" i="114"/>
  <c r="Q78" i="114" s="1"/>
  <c r="G78" i="114"/>
  <c r="H78" i="114"/>
  <c r="I78" i="114"/>
  <c r="J78" i="114"/>
  <c r="K78" i="114"/>
  <c r="G79" i="114"/>
  <c r="H79" i="114"/>
  <c r="I79" i="114"/>
  <c r="J79" i="114"/>
  <c r="K79" i="114"/>
  <c r="G80" i="114"/>
  <c r="H80" i="114"/>
  <c r="I80" i="114"/>
  <c r="J80" i="114"/>
  <c r="K80" i="114"/>
  <c r="G81" i="114"/>
  <c r="H81" i="114"/>
  <c r="I81" i="114"/>
  <c r="J81" i="114"/>
  <c r="K81" i="114"/>
  <c r="G83" i="114"/>
  <c r="H83" i="114"/>
  <c r="I83" i="114"/>
  <c r="J83" i="114"/>
  <c r="K83" i="114"/>
  <c r="G84" i="114"/>
  <c r="H84" i="114"/>
  <c r="I84" i="114"/>
  <c r="J84" i="114"/>
  <c r="K84" i="114"/>
  <c r="G85" i="114"/>
  <c r="H85" i="114"/>
  <c r="I85" i="114"/>
  <c r="J85" i="114"/>
  <c r="K85" i="114"/>
  <c r="G86" i="114"/>
  <c r="H86" i="114"/>
  <c r="I86" i="114"/>
  <c r="J86" i="114"/>
  <c r="K86" i="114"/>
  <c r="G87" i="114"/>
  <c r="H87" i="114"/>
  <c r="I87" i="114"/>
  <c r="J87" i="114"/>
  <c r="K87" i="114"/>
  <c r="G88" i="114"/>
  <c r="H88" i="114"/>
  <c r="I88" i="114"/>
  <c r="J88" i="114"/>
  <c r="K88" i="114"/>
  <c r="Q89" i="114"/>
  <c r="L90" i="114"/>
  <c r="L92" i="114" s="1"/>
  <c r="Q90" i="114"/>
  <c r="Q93" i="114" s="1"/>
  <c r="G91" i="114"/>
  <c r="H91" i="114"/>
  <c r="I91" i="114"/>
  <c r="J91" i="114"/>
  <c r="K91" i="114"/>
  <c r="G92" i="114"/>
  <c r="H92" i="114"/>
  <c r="I92" i="114"/>
  <c r="J92" i="114"/>
  <c r="K92" i="114"/>
  <c r="G93" i="114"/>
  <c r="H93" i="114"/>
  <c r="I93" i="114"/>
  <c r="J93" i="114"/>
  <c r="K93" i="114"/>
  <c r="G95" i="114"/>
  <c r="H95" i="114"/>
  <c r="I95" i="114"/>
  <c r="J95" i="114"/>
  <c r="K95" i="114"/>
  <c r="G96" i="114"/>
  <c r="H96" i="114"/>
  <c r="I96" i="114"/>
  <c r="J96" i="114"/>
  <c r="K96" i="114"/>
  <c r="G97" i="114"/>
  <c r="H97" i="114"/>
  <c r="I97" i="114"/>
  <c r="J97" i="114"/>
  <c r="K97" i="114"/>
  <c r="G98" i="114"/>
  <c r="H98" i="114"/>
  <c r="I98" i="114"/>
  <c r="J98" i="114"/>
  <c r="K98" i="114"/>
  <c r="G99" i="114"/>
  <c r="H99" i="114"/>
  <c r="I99" i="114"/>
  <c r="J99" i="114"/>
  <c r="K99" i="114"/>
  <c r="G100" i="114"/>
  <c r="H100" i="114"/>
  <c r="I100" i="114"/>
  <c r="J100" i="114"/>
  <c r="K100" i="114"/>
  <c r="G101" i="114"/>
  <c r="H101" i="114"/>
  <c r="I101" i="114"/>
  <c r="J101" i="114"/>
  <c r="K101" i="114"/>
  <c r="Q102" i="114"/>
  <c r="L103" i="114"/>
  <c r="L110" i="114" s="1"/>
  <c r="Q103" i="114"/>
  <c r="Q107" i="114" s="1"/>
  <c r="G104" i="114"/>
  <c r="H104" i="114"/>
  <c r="I104" i="114"/>
  <c r="J104" i="114"/>
  <c r="K104" i="114"/>
  <c r="G105" i="114"/>
  <c r="H105" i="114"/>
  <c r="I105" i="114"/>
  <c r="J105" i="114"/>
  <c r="K105" i="114"/>
  <c r="G106" i="114"/>
  <c r="H106" i="114"/>
  <c r="I106" i="114"/>
  <c r="J106" i="114"/>
  <c r="K106" i="114"/>
  <c r="G107" i="114"/>
  <c r="H107" i="114"/>
  <c r="I107" i="114"/>
  <c r="J107" i="114"/>
  <c r="K107" i="114"/>
  <c r="G109" i="114"/>
  <c r="H109" i="114"/>
  <c r="I109" i="114"/>
  <c r="J109" i="114"/>
  <c r="K109" i="114"/>
  <c r="G110" i="114"/>
  <c r="H110" i="114"/>
  <c r="I110" i="114"/>
  <c r="J110" i="114"/>
  <c r="K110" i="114"/>
  <c r="Q111" i="114"/>
  <c r="Q112" i="114"/>
  <c r="Q113" i="114" s="1"/>
  <c r="G113" i="114"/>
  <c r="H113" i="114"/>
  <c r="I113" i="114"/>
  <c r="J113" i="114"/>
  <c r="K113" i="114"/>
  <c r="G114" i="114"/>
  <c r="H114" i="114"/>
  <c r="I114" i="114"/>
  <c r="J114" i="114"/>
  <c r="K114" i="114"/>
  <c r="C120" i="114"/>
  <c r="C121" i="114"/>
  <c r="C122" i="114"/>
  <c r="C123" i="114"/>
  <c r="H123" i="114"/>
  <c r="M123" i="114"/>
  <c r="Q123" i="114"/>
  <c r="C124" i="114"/>
  <c r="H124" i="114"/>
  <c r="M124" i="114"/>
  <c r="Q124" i="114"/>
  <c r="C125" i="114"/>
  <c r="H125" i="114"/>
  <c r="M125" i="114"/>
  <c r="Q125" i="114"/>
  <c r="C126" i="114"/>
  <c r="C127" i="114"/>
  <c r="H127" i="114"/>
  <c r="M127" i="114"/>
  <c r="Q127" i="114"/>
  <c r="C128" i="114"/>
  <c r="H128" i="114"/>
  <c r="M128" i="114"/>
  <c r="Q128" i="114"/>
  <c r="C129" i="114"/>
  <c r="H129" i="114"/>
  <c r="M129" i="114"/>
  <c r="Q129" i="114"/>
  <c r="C130" i="114"/>
  <c r="H130" i="114"/>
  <c r="M130" i="114"/>
  <c r="Q130" i="114"/>
  <c r="C131" i="114"/>
  <c r="H131" i="114"/>
  <c r="M131" i="114"/>
  <c r="Q131" i="114"/>
  <c r="C132" i="114"/>
  <c r="C133" i="114"/>
  <c r="H133" i="114"/>
  <c r="H17" i="114" s="1"/>
  <c r="M133" i="114"/>
  <c r="Q133" i="114"/>
  <c r="C134" i="114"/>
  <c r="H134" i="114"/>
  <c r="M134" i="114"/>
  <c r="Q134" i="114"/>
  <c r="C135" i="114"/>
  <c r="H135" i="114"/>
  <c r="M135" i="114"/>
  <c r="Q135" i="114"/>
  <c r="C136" i="114"/>
  <c r="H136" i="114"/>
  <c r="M136" i="114"/>
  <c r="Q136" i="114"/>
  <c r="C137" i="114"/>
  <c r="H137" i="114"/>
  <c r="M137" i="114"/>
  <c r="Q137" i="114"/>
  <c r="C138" i="114"/>
  <c r="C139" i="114"/>
  <c r="H139" i="114"/>
  <c r="M139" i="114"/>
  <c r="Q139" i="114"/>
  <c r="C140" i="114"/>
  <c r="H140" i="114"/>
  <c r="M140" i="114"/>
  <c r="Q140" i="114"/>
  <c r="C141" i="114"/>
  <c r="H141" i="114"/>
  <c r="M141" i="114"/>
  <c r="Q141" i="114"/>
  <c r="C142" i="114"/>
  <c r="H142" i="114"/>
  <c r="M142" i="114"/>
  <c r="Q142" i="114"/>
  <c r="C143" i="114"/>
  <c r="H143" i="114"/>
  <c r="M143" i="114"/>
  <c r="Q143" i="114"/>
  <c r="C144" i="114"/>
  <c r="H144" i="114"/>
  <c r="M144" i="114"/>
  <c r="Q144" i="114"/>
  <c r="C145" i="114"/>
  <c r="C146" i="114"/>
  <c r="H146" i="114"/>
  <c r="H30" i="114" s="1"/>
  <c r="M146" i="114"/>
  <c r="C147" i="114"/>
  <c r="H147" i="114"/>
  <c r="M147" i="114"/>
  <c r="Q147" i="114"/>
  <c r="C148" i="114"/>
  <c r="H148" i="114"/>
  <c r="M148" i="114"/>
  <c r="Q148" i="114"/>
  <c r="C149" i="114"/>
  <c r="H149" i="114"/>
  <c r="M149" i="114"/>
  <c r="Q149" i="114"/>
  <c r="C150" i="114"/>
  <c r="C151" i="114"/>
  <c r="H151" i="114"/>
  <c r="M151" i="114"/>
  <c r="Q151" i="114"/>
  <c r="C152" i="114"/>
  <c r="H152" i="114"/>
  <c r="M152" i="114"/>
  <c r="Q152" i="114"/>
  <c r="C153" i="114"/>
  <c r="H153" i="114"/>
  <c r="M153" i="114"/>
  <c r="Q153" i="114"/>
  <c r="C154" i="114"/>
  <c r="H154" i="114"/>
  <c r="M154" i="114"/>
  <c r="Q154" i="114"/>
  <c r="C155" i="114"/>
  <c r="H155" i="114"/>
  <c r="M155" i="114"/>
  <c r="Q155" i="114"/>
  <c r="C156" i="114"/>
  <c r="H156" i="114"/>
  <c r="M156" i="114"/>
  <c r="Q156" i="114"/>
  <c r="C157" i="114"/>
  <c r="H157" i="114"/>
  <c r="M157" i="114"/>
  <c r="Q157" i="114"/>
  <c r="C158" i="114"/>
  <c r="C159" i="114"/>
  <c r="H159" i="114"/>
  <c r="H43" i="114" s="1"/>
  <c r="M159" i="114"/>
  <c r="C160" i="114"/>
  <c r="H160" i="114"/>
  <c r="M160" i="114"/>
  <c r="Q160" i="114"/>
  <c r="C161" i="114"/>
  <c r="H161" i="114"/>
  <c r="M161" i="114"/>
  <c r="Q161" i="114"/>
  <c r="C162" i="114"/>
  <c r="H162" i="114"/>
  <c r="M162" i="114"/>
  <c r="Q162" i="114"/>
  <c r="C163" i="114"/>
  <c r="H163" i="114"/>
  <c r="M163" i="114"/>
  <c r="Q163" i="114"/>
  <c r="C164" i="114"/>
  <c r="C165" i="114"/>
  <c r="H165" i="114"/>
  <c r="M165" i="114"/>
  <c r="Q165" i="114"/>
  <c r="C166" i="114"/>
  <c r="H166" i="114"/>
  <c r="M166" i="114"/>
  <c r="Q166" i="114"/>
  <c r="C167" i="114"/>
  <c r="C168" i="114"/>
  <c r="H168" i="114"/>
  <c r="H52" i="114" s="1"/>
  <c r="M168" i="114"/>
  <c r="C169" i="114"/>
  <c r="H169" i="114"/>
  <c r="M169" i="114"/>
  <c r="Q169" i="114"/>
  <c r="C170" i="114"/>
  <c r="H170" i="114"/>
  <c r="M170" i="114"/>
  <c r="Q170" i="114"/>
  <c r="Q5" i="129"/>
  <c r="AA5" i="129"/>
  <c r="AK5" i="129"/>
  <c r="AU5" i="129"/>
  <c r="BE5" i="129"/>
  <c r="BO5" i="129"/>
  <c r="BY5" i="129"/>
  <c r="CI5" i="129"/>
  <c r="CS5" i="129"/>
  <c r="DC5" i="129"/>
  <c r="DM5" i="129"/>
  <c r="DW5" i="129"/>
  <c r="EG5" i="129"/>
  <c r="S5" i="129"/>
  <c r="AC5" i="129"/>
  <c r="AM5" i="129"/>
  <c r="BG5" i="129"/>
  <c r="BQ5" i="129"/>
  <c r="CA5" i="129"/>
  <c r="N68" i="153"/>
  <c r="EF5" i="129"/>
  <c r="G68" i="153"/>
  <c r="G68" i="152"/>
  <c r="G68" i="151"/>
  <c r="G68" i="134"/>
  <c r="G68" i="157"/>
  <c r="G68" i="170"/>
  <c r="G68" i="177"/>
  <c r="G68" i="178"/>
  <c r="G68" i="185"/>
  <c r="G68" i="186"/>
  <c r="G68" i="188"/>
  <c r="G68" i="189"/>
  <c r="I68" i="153"/>
  <c r="I68" i="152"/>
  <c r="I68" i="151"/>
  <c r="I68" i="134"/>
  <c r="I68" i="157"/>
  <c r="I68" i="170"/>
  <c r="I68" i="177"/>
  <c r="I68" i="178"/>
  <c r="I68" i="185"/>
  <c r="I68" i="186"/>
  <c r="I68" i="188"/>
  <c r="D68" i="153"/>
  <c r="D68" i="152"/>
  <c r="D68" i="151"/>
  <c r="D68" i="134"/>
  <c r="D68" i="157"/>
  <c r="D68" i="170"/>
  <c r="D68" i="177"/>
  <c r="D68" i="178"/>
  <c r="D68" i="185"/>
  <c r="D68" i="186"/>
  <c r="D68" i="188"/>
  <c r="D68" i="189"/>
  <c r="L84" i="114" l="1"/>
  <c r="AI6" i="86"/>
  <c r="AB120" i="206"/>
  <c r="AJ121" i="114"/>
  <c r="K65" i="114"/>
  <c r="K67" i="114" s="1"/>
  <c r="AP7" i="86"/>
  <c r="DK5" i="129"/>
  <c r="AI5" i="129"/>
  <c r="Q63" i="92"/>
  <c r="I63" i="92"/>
  <c r="Y5" i="129"/>
  <c r="T63" i="92"/>
  <c r="L63" i="92"/>
  <c r="EE5" i="129"/>
  <c r="CQ5" i="129"/>
  <c r="BC5" i="129"/>
  <c r="O5" i="129"/>
  <c r="S63" i="92"/>
  <c r="O63" i="92"/>
  <c r="K63" i="92"/>
  <c r="BW5" i="129"/>
  <c r="U63" i="92"/>
  <c r="M63" i="92"/>
  <c r="DA5" i="129"/>
  <c r="BM5" i="129"/>
  <c r="P63" i="92"/>
  <c r="H63" i="92"/>
  <c r="T61" i="92"/>
  <c r="P61" i="92"/>
  <c r="L61" i="92"/>
  <c r="H61" i="92"/>
  <c r="DU5" i="129"/>
  <c r="CG5" i="129"/>
  <c r="AS5" i="129"/>
  <c r="R63" i="92"/>
  <c r="N63" i="92"/>
  <c r="J63" i="92"/>
  <c r="S61" i="92"/>
  <c r="O61" i="92"/>
  <c r="K61" i="92"/>
  <c r="DR5" i="129"/>
  <c r="S62" i="92"/>
  <c r="CD5" i="129"/>
  <c r="O62" i="92"/>
  <c r="AP5" i="129"/>
  <c r="K62" i="92"/>
  <c r="S64" i="92"/>
  <c r="DN5" i="129" s="1"/>
  <c r="O64" i="92"/>
  <c r="BZ5" i="129" s="1"/>
  <c r="K64" i="92"/>
  <c r="AL5" i="129" s="1"/>
  <c r="R61" i="92"/>
  <c r="N61" i="92"/>
  <c r="J61" i="92"/>
  <c r="DH5" i="129"/>
  <c r="R62" i="92"/>
  <c r="BT5" i="129"/>
  <c r="N62" i="92"/>
  <c r="AF5" i="129"/>
  <c r="J62" i="92"/>
  <c r="R64" i="92"/>
  <c r="DD5" i="129" s="1"/>
  <c r="N64" i="92"/>
  <c r="BP5" i="129" s="1"/>
  <c r="J64" i="92"/>
  <c r="AB5" i="129" s="1"/>
  <c r="U61" i="92"/>
  <c r="Q61" i="92"/>
  <c r="M61" i="92"/>
  <c r="I61" i="92"/>
  <c r="EL5" i="129"/>
  <c r="U62" i="92"/>
  <c r="CX5" i="129"/>
  <c r="Q62" i="92"/>
  <c r="BJ5" i="129"/>
  <c r="M62" i="92"/>
  <c r="V5" i="129"/>
  <c r="I62" i="92"/>
  <c r="U64" i="92"/>
  <c r="EH5" i="129" s="1"/>
  <c r="Q64" i="92"/>
  <c r="CT5" i="129" s="1"/>
  <c r="M64" i="92"/>
  <c r="BF5" i="129" s="1"/>
  <c r="I64" i="92"/>
  <c r="R5" i="129" s="1"/>
  <c r="EB5" i="129"/>
  <c r="T62" i="92"/>
  <c r="CN5" i="129"/>
  <c r="P62" i="92"/>
  <c r="AZ5" i="129"/>
  <c r="L62" i="92"/>
  <c r="U6" i="123"/>
  <c r="C4" i="153" s="1"/>
  <c r="H62" i="92"/>
  <c r="T64" i="92"/>
  <c r="DX5" i="129" s="1"/>
  <c r="P64" i="92"/>
  <c r="CJ5" i="129" s="1"/>
  <c r="L64" i="92"/>
  <c r="AV5" i="129" s="1"/>
  <c r="H64" i="92"/>
  <c r="H5" i="129" s="1"/>
  <c r="H68" i="188"/>
  <c r="N5" i="125"/>
  <c r="H68" i="178"/>
  <c r="J5" i="125"/>
  <c r="H68" i="134"/>
  <c r="F5" i="125"/>
  <c r="M5" i="125"/>
  <c r="H68" i="177"/>
  <c r="I5" i="125"/>
  <c r="H68" i="151"/>
  <c r="E5" i="125"/>
  <c r="H68" i="190"/>
  <c r="P5" i="125"/>
  <c r="H68" i="186"/>
  <c r="L5" i="125"/>
  <c r="H68" i="170"/>
  <c r="H5" i="125"/>
  <c r="H68" i="152"/>
  <c r="D5" i="125"/>
  <c r="H68" i="189"/>
  <c r="O5" i="125"/>
  <c r="H68" i="185"/>
  <c r="K5" i="125"/>
  <c r="H68" i="157"/>
  <c r="G5" i="125"/>
  <c r="H68" i="153"/>
  <c r="C5" i="125"/>
  <c r="N68" i="186"/>
  <c r="CR5" i="129"/>
  <c r="N68" i="170"/>
  <c r="BD5" i="129"/>
  <c r="N68" i="152"/>
  <c r="P5" i="129"/>
  <c r="O68" i="190"/>
  <c r="EI5" i="129"/>
  <c r="O68" i="186"/>
  <c r="CU5" i="129"/>
  <c r="N68" i="189"/>
  <c r="DV5" i="129"/>
  <c r="N68" i="185"/>
  <c r="CH5" i="129"/>
  <c r="N68" i="157"/>
  <c r="AT5" i="129"/>
  <c r="O68" i="189"/>
  <c r="DY5" i="129"/>
  <c r="O68" i="185"/>
  <c r="CK5" i="129"/>
  <c r="O68" i="157"/>
  <c r="AW5" i="129"/>
  <c r="N68" i="188"/>
  <c r="DL5" i="129"/>
  <c r="N68" i="178"/>
  <c r="BX5" i="129"/>
  <c r="N68" i="134"/>
  <c r="AJ5" i="129"/>
  <c r="O68" i="188"/>
  <c r="DO5" i="129"/>
  <c r="DB5" i="129"/>
  <c r="N68" i="177"/>
  <c r="BN5" i="129"/>
  <c r="N68" i="151"/>
  <c r="Z5" i="129"/>
  <c r="DE5" i="129"/>
  <c r="L87" i="114"/>
  <c r="L88" i="114"/>
  <c r="L86" i="114"/>
  <c r="L85" i="114"/>
  <c r="L72" i="114"/>
  <c r="J65" i="114"/>
  <c r="J75" i="114" s="1"/>
  <c r="Q99" i="114"/>
  <c r="Q39" i="114" s="1"/>
  <c r="L83" i="114"/>
  <c r="Q79" i="114"/>
  <c r="Q19" i="114" s="1"/>
  <c r="L99" i="114"/>
  <c r="L81" i="114"/>
  <c r="O60" i="114"/>
  <c r="O65" i="114" s="1"/>
  <c r="P60" i="114"/>
  <c r="P112" i="114" s="1"/>
  <c r="P114" i="114" s="1"/>
  <c r="E60" i="114"/>
  <c r="E65" i="114" s="1"/>
  <c r="E72" i="114" s="1"/>
  <c r="L104" i="114"/>
  <c r="I60" i="114"/>
  <c r="Q95" i="114"/>
  <c r="Q35" i="114" s="1"/>
  <c r="L95" i="114"/>
  <c r="L73" i="114"/>
  <c r="J60" i="114"/>
  <c r="L100" i="114"/>
  <c r="L96" i="114"/>
  <c r="L91" i="114"/>
  <c r="Q72" i="114"/>
  <c r="Q12" i="114" s="1"/>
  <c r="F60" i="114"/>
  <c r="L98" i="114"/>
  <c r="L93" i="114"/>
  <c r="Q86" i="114"/>
  <c r="Q26" i="114" s="1"/>
  <c r="Q80" i="114"/>
  <c r="Q20" i="114" s="1"/>
  <c r="Q84" i="114"/>
  <c r="Q24" i="114" s="1"/>
  <c r="H60" i="114"/>
  <c r="Q100" i="114"/>
  <c r="Q40" i="114" s="1"/>
  <c r="Q96" i="114"/>
  <c r="Q36" i="114" s="1"/>
  <c r="Q91" i="114"/>
  <c r="Q31" i="114" s="1"/>
  <c r="Q101" i="114"/>
  <c r="Q41" i="114" s="1"/>
  <c r="Q97" i="114"/>
  <c r="Q37" i="114" s="1"/>
  <c r="Q92" i="114"/>
  <c r="Q32" i="114" s="1"/>
  <c r="L101" i="114"/>
  <c r="Q98" i="114"/>
  <c r="Q38" i="114" s="1"/>
  <c r="L97" i="114"/>
  <c r="Q74" i="114"/>
  <c r="Q14" i="114" s="1"/>
  <c r="Q69" i="114"/>
  <c r="Q9" i="114" s="1"/>
  <c r="F68" i="153"/>
  <c r="E5" i="129"/>
  <c r="D68" i="190"/>
  <c r="P5" i="93"/>
  <c r="J68" i="190"/>
  <c r="J68" i="186"/>
  <c r="J68" i="170"/>
  <c r="J68" i="152"/>
  <c r="P5" i="119"/>
  <c r="G68" i="190"/>
  <c r="F68" i="188"/>
  <c r="F68" i="178"/>
  <c r="F68" i="134"/>
  <c r="N68" i="190"/>
  <c r="AF6" i="123"/>
  <c r="C68" i="188"/>
  <c r="C68" i="178"/>
  <c r="C68" i="134"/>
  <c r="O68" i="170"/>
  <c r="O68" i="152"/>
  <c r="O5" i="124"/>
  <c r="I68" i="189"/>
  <c r="J68" i="151"/>
  <c r="F68" i="189"/>
  <c r="F68" i="185"/>
  <c r="AG6" i="123"/>
  <c r="C68" i="189"/>
  <c r="C68" i="157"/>
  <c r="O68" i="177"/>
  <c r="J68" i="189"/>
  <c r="J68" i="185"/>
  <c r="J68" i="157"/>
  <c r="J68" i="153"/>
  <c r="F68" i="177"/>
  <c r="F68" i="151"/>
  <c r="AE6" i="123"/>
  <c r="C68" i="177"/>
  <c r="C68" i="151"/>
  <c r="O68" i="153"/>
  <c r="J68" i="177"/>
  <c r="F68" i="157"/>
  <c r="AC6" i="123"/>
  <c r="C68" i="185"/>
  <c r="C68" i="153"/>
  <c r="O68" i="151"/>
  <c r="P5" i="124"/>
  <c r="I68" i="190"/>
  <c r="J68" i="188"/>
  <c r="J68" i="178"/>
  <c r="J68" i="134"/>
  <c r="F68" i="190"/>
  <c r="F68" i="186"/>
  <c r="F68" i="170"/>
  <c r="F68" i="152"/>
  <c r="C68" i="190"/>
  <c r="AD6" i="123"/>
  <c r="C68" i="186"/>
  <c r="C68" i="170"/>
  <c r="C68" i="152"/>
  <c r="O68" i="178"/>
  <c r="O68" i="134"/>
  <c r="AH6" i="123"/>
  <c r="AH6" i="165"/>
  <c r="U49" i="92"/>
  <c r="P5" i="112" s="1"/>
  <c r="U47" i="92"/>
  <c r="U48" i="92"/>
  <c r="L107" i="114"/>
  <c r="L106" i="114"/>
  <c r="L105" i="114"/>
  <c r="L109" i="114"/>
  <c r="Q88" i="114"/>
  <c r="Q28" i="114" s="1"/>
  <c r="Q85" i="114"/>
  <c r="Q25" i="114" s="1"/>
  <c r="Q81" i="114"/>
  <c r="Q21" i="114" s="1"/>
  <c r="Q68" i="114"/>
  <c r="Q8" i="114" s="1"/>
  <c r="I65" i="114"/>
  <c r="Q83" i="114"/>
  <c r="Q23" i="114" s="1"/>
  <c r="Q73" i="114"/>
  <c r="Q13" i="114" s="1"/>
  <c r="K73" i="114"/>
  <c r="Q71" i="114"/>
  <c r="Q11" i="114" s="1"/>
  <c r="Q67" i="114"/>
  <c r="Q7" i="114" s="1"/>
  <c r="Q87" i="114"/>
  <c r="Q27" i="114" s="1"/>
  <c r="K74" i="114"/>
  <c r="K72" i="114"/>
  <c r="K71" i="114"/>
  <c r="K68" i="114"/>
  <c r="H65" i="114"/>
  <c r="H68" i="114" s="1"/>
  <c r="H8" i="114" s="1"/>
  <c r="Q47" i="114"/>
  <c r="H23" i="114"/>
  <c r="Q33" i="114"/>
  <c r="H32" i="114"/>
  <c r="Q53" i="114"/>
  <c r="H47" i="114"/>
  <c r="H46" i="114"/>
  <c r="H27" i="114"/>
  <c r="H18" i="114"/>
  <c r="H41" i="114"/>
  <c r="Q106" i="114"/>
  <c r="Q46" i="114" s="1"/>
  <c r="Q105" i="114"/>
  <c r="Q45" i="114" s="1"/>
  <c r="Q110" i="114"/>
  <c r="Q50" i="114" s="1"/>
  <c r="Q104" i="114"/>
  <c r="Q44" i="114" s="1"/>
  <c r="Q109" i="114"/>
  <c r="Q49" i="114" s="1"/>
  <c r="H37" i="114"/>
  <c r="Q114" i="114"/>
  <c r="Q54" i="114" s="1"/>
  <c r="H53" i="114"/>
  <c r="H38" i="114"/>
  <c r="H33" i="114"/>
  <c r="H28" i="114"/>
  <c r="H24" i="114"/>
  <c r="L79" i="114"/>
  <c r="H19" i="114"/>
  <c r="Q15" i="114"/>
  <c r="L74" i="114"/>
  <c r="L67" i="114"/>
  <c r="H54" i="114"/>
  <c r="H49" i="114"/>
  <c r="H44" i="114"/>
  <c r="H39" i="114"/>
  <c r="H35" i="114"/>
  <c r="H25" i="114"/>
  <c r="L80" i="114"/>
  <c r="H20" i="114"/>
  <c r="Q17" i="114"/>
  <c r="L71" i="114"/>
  <c r="L69" i="114"/>
  <c r="L68" i="114"/>
  <c r="H50" i="114"/>
  <c r="H45" i="114"/>
  <c r="H40" i="114"/>
  <c r="H36" i="114"/>
  <c r="H31" i="114"/>
  <c r="H29" i="114" s="1"/>
  <c r="H26" i="114"/>
  <c r="H21" i="114"/>
  <c r="Q18" i="114"/>
  <c r="K60" i="114"/>
  <c r="M60" i="114"/>
  <c r="M103" i="114" s="1"/>
  <c r="N60" i="114"/>
  <c r="K69" i="114" l="1"/>
  <c r="K75" i="114"/>
  <c r="AI120" i="206"/>
  <c r="AP6" i="86"/>
  <c r="AJ120" i="114"/>
  <c r="AJ120" i="206"/>
  <c r="AH22" i="123"/>
  <c r="AH20" i="123"/>
  <c r="ED5" i="129"/>
  <c r="BB5" i="129"/>
  <c r="J69" i="114"/>
  <c r="CF5" i="129"/>
  <c r="M68" i="157"/>
  <c r="N5" i="129"/>
  <c r="M68" i="177"/>
  <c r="M68" i="152"/>
  <c r="M68" i="153"/>
  <c r="M68" i="178"/>
  <c r="H5" i="111"/>
  <c r="E68" i="170"/>
  <c r="BI5" i="129"/>
  <c r="BR5" i="129"/>
  <c r="K68" i="177"/>
  <c r="E5" i="111"/>
  <c r="AE5" i="129"/>
  <c r="E68" i="151"/>
  <c r="CB5" i="129"/>
  <c r="K68" i="178"/>
  <c r="E68" i="134"/>
  <c r="F5" i="111"/>
  <c r="AO5" i="129"/>
  <c r="BK5" i="129"/>
  <c r="L68" i="177"/>
  <c r="E68" i="189"/>
  <c r="EA5" i="129"/>
  <c r="O5" i="111"/>
  <c r="L68" i="190"/>
  <c r="EC5" i="129"/>
  <c r="L68" i="178"/>
  <c r="BU5" i="129"/>
  <c r="M68" i="170"/>
  <c r="M68" i="190"/>
  <c r="M68" i="151"/>
  <c r="M68" i="134"/>
  <c r="BH5" i="129"/>
  <c r="K68" i="170"/>
  <c r="J5" i="111"/>
  <c r="CC5" i="129"/>
  <c r="E68" i="178"/>
  <c r="CY5" i="129"/>
  <c r="E68" i="153"/>
  <c r="K5" i="129"/>
  <c r="C5" i="111"/>
  <c r="C5" i="129"/>
  <c r="L68" i="153"/>
  <c r="E68" i="190"/>
  <c r="EK5" i="129"/>
  <c r="P5" i="111"/>
  <c r="K68" i="151"/>
  <c r="AD5" i="129"/>
  <c r="DF5" i="129"/>
  <c r="M5" i="111"/>
  <c r="DG5" i="129"/>
  <c r="AN5" i="129"/>
  <c r="K68" i="134"/>
  <c r="DP5" i="129"/>
  <c r="K68" i="188"/>
  <c r="N5" i="111"/>
  <c r="DQ5" i="129"/>
  <c r="E68" i="188"/>
  <c r="E68" i="157"/>
  <c r="AY5" i="129"/>
  <c r="G5" i="111"/>
  <c r="L68" i="185"/>
  <c r="CE5" i="129"/>
  <c r="M68" i="186"/>
  <c r="L68" i="157"/>
  <c r="AQ5" i="129"/>
  <c r="M5" i="129"/>
  <c r="L68" i="152"/>
  <c r="M68" i="188"/>
  <c r="AX5" i="129"/>
  <c r="K68" i="157"/>
  <c r="K68" i="189"/>
  <c r="DZ5" i="129"/>
  <c r="K68" i="190"/>
  <c r="EJ5" i="129"/>
  <c r="CW5" i="129"/>
  <c r="E68" i="186"/>
  <c r="L5" i="111"/>
  <c r="I5" i="111"/>
  <c r="BS5" i="129"/>
  <c r="E68" i="177"/>
  <c r="M68" i="185"/>
  <c r="L68" i="188"/>
  <c r="DI5" i="129"/>
  <c r="J5" i="129"/>
  <c r="K68" i="153"/>
  <c r="K68" i="185"/>
  <c r="CL5" i="129"/>
  <c r="T5" i="129"/>
  <c r="K68" i="152"/>
  <c r="K68" i="186"/>
  <c r="CV5" i="129"/>
  <c r="U5" i="129"/>
  <c r="E68" i="152"/>
  <c r="D5" i="111"/>
  <c r="L68" i="151"/>
  <c r="W5" i="129"/>
  <c r="M68" i="189"/>
  <c r="E68" i="185"/>
  <c r="CM5" i="129"/>
  <c r="K5" i="111"/>
  <c r="L68" i="170"/>
  <c r="BA5" i="129"/>
  <c r="L68" i="134"/>
  <c r="AG5" i="129"/>
  <c r="L68" i="189"/>
  <c r="DS5" i="129"/>
  <c r="L68" i="186"/>
  <c r="CO5" i="129"/>
  <c r="BV5" i="129"/>
  <c r="X5" i="129"/>
  <c r="CZ5" i="129"/>
  <c r="BL5" i="129"/>
  <c r="AH5" i="129"/>
  <c r="DJ5" i="129"/>
  <c r="AR5" i="129"/>
  <c r="DT5" i="129"/>
  <c r="CP5" i="129"/>
  <c r="J67" i="114"/>
  <c r="J73" i="114"/>
  <c r="J71" i="114"/>
  <c r="J72" i="114"/>
  <c r="J68" i="114"/>
  <c r="J74" i="114"/>
  <c r="P103" i="114"/>
  <c r="P110" i="114" s="1"/>
  <c r="P77" i="114"/>
  <c r="P79" i="114" s="1"/>
  <c r="P65" i="114"/>
  <c r="P72" i="114" s="1"/>
  <c r="P90" i="114"/>
  <c r="P91" i="114" s="1"/>
  <c r="E103" i="114"/>
  <c r="E110" i="114" s="1"/>
  <c r="E112" i="114"/>
  <c r="E113" i="114" s="1"/>
  <c r="E77" i="114"/>
  <c r="E80" i="114" s="1"/>
  <c r="E90" i="114"/>
  <c r="E101" i="114" s="1"/>
  <c r="O77" i="114"/>
  <c r="O87" i="114" s="1"/>
  <c r="O69" i="114"/>
  <c r="O67" i="114"/>
  <c r="O112" i="114"/>
  <c r="O114" i="114" s="1"/>
  <c r="O90" i="114"/>
  <c r="O98" i="114" s="1"/>
  <c r="O103" i="114"/>
  <c r="O104" i="114" s="1"/>
  <c r="E67" i="114"/>
  <c r="O68" i="114"/>
  <c r="E69" i="114"/>
  <c r="H71" i="114"/>
  <c r="H11" i="114" s="1"/>
  <c r="F90" i="114"/>
  <c r="F112" i="114"/>
  <c r="F77" i="114"/>
  <c r="F103" i="114"/>
  <c r="F65" i="114"/>
  <c r="E71" i="114"/>
  <c r="N65" i="114"/>
  <c r="N67" i="114" s="1"/>
  <c r="S5" i="124"/>
  <c r="U50" i="92"/>
  <c r="P113" i="114"/>
  <c r="H74" i="114"/>
  <c r="H14" i="114" s="1"/>
  <c r="O73" i="114"/>
  <c r="O72" i="114"/>
  <c r="O75" i="114"/>
  <c r="O71" i="114"/>
  <c r="O74" i="114"/>
  <c r="H72" i="114"/>
  <c r="H12" i="114" s="1"/>
  <c r="H73" i="114"/>
  <c r="H13" i="114" s="1"/>
  <c r="I69" i="114"/>
  <c r="I73" i="114"/>
  <c r="I67" i="114"/>
  <c r="I68" i="114"/>
  <c r="I71" i="114"/>
  <c r="I72" i="114"/>
  <c r="I74" i="114"/>
  <c r="I75" i="114"/>
  <c r="H75" i="114"/>
  <c r="H15" i="114" s="1"/>
  <c r="H67" i="114"/>
  <c r="H7" i="114" s="1"/>
  <c r="H69" i="114"/>
  <c r="H9" i="114" s="1"/>
  <c r="E73" i="114"/>
  <c r="E75" i="114"/>
  <c r="E68" i="114"/>
  <c r="E74" i="114"/>
  <c r="H51" i="114"/>
  <c r="H42" i="114"/>
  <c r="H16" i="114"/>
  <c r="H22" i="114"/>
  <c r="Q34" i="114"/>
  <c r="Q16" i="114"/>
  <c r="Q48" i="114"/>
  <c r="Q22" i="114"/>
  <c r="N77" i="114"/>
  <c r="M43" i="114"/>
  <c r="M106" i="114"/>
  <c r="M46" i="114" s="1"/>
  <c r="M105" i="114"/>
  <c r="M45" i="114" s="1"/>
  <c r="M110" i="114"/>
  <c r="M50" i="114" s="1"/>
  <c r="M104" i="114"/>
  <c r="M44" i="114" s="1"/>
  <c r="M109" i="114"/>
  <c r="M49" i="114" s="1"/>
  <c r="M107" i="114"/>
  <c r="M47" i="114" s="1"/>
  <c r="Q6" i="114"/>
  <c r="M65" i="114"/>
  <c r="M90" i="114"/>
  <c r="Q10" i="114"/>
  <c r="N103" i="114"/>
  <c r="N90" i="114"/>
  <c r="H34" i="114"/>
  <c r="H48" i="114"/>
  <c r="M77" i="114"/>
  <c r="U19" i="176"/>
  <c r="V19" i="176"/>
  <c r="W19" i="176"/>
  <c r="X19" i="176"/>
  <c r="X23" i="176"/>
  <c r="AF5" i="176"/>
  <c r="AF6" i="176"/>
  <c r="AF7" i="176"/>
  <c r="AF8" i="176"/>
  <c r="AF9" i="176"/>
  <c r="AF10" i="176"/>
  <c r="AF12" i="176"/>
  <c r="AF15" i="176"/>
  <c r="AF17" i="176"/>
  <c r="AF20" i="176"/>
  <c r="AF21" i="176"/>
  <c r="Z49" i="92" l="1"/>
  <c r="U5" i="112" s="1"/>
  <c r="Q4" i="190"/>
  <c r="Q4" i="191"/>
  <c r="P85" i="114"/>
  <c r="P83" i="114"/>
  <c r="P80" i="114"/>
  <c r="P78" i="114"/>
  <c r="P84" i="114"/>
  <c r="P87" i="114"/>
  <c r="P88" i="114"/>
  <c r="P67" i="114"/>
  <c r="E88" i="114"/>
  <c r="P69" i="114"/>
  <c r="P86" i="114"/>
  <c r="P81" i="114"/>
  <c r="E95" i="114"/>
  <c r="P107" i="114"/>
  <c r="P104" i="114"/>
  <c r="P105" i="114"/>
  <c r="P109" i="114"/>
  <c r="E79" i="114"/>
  <c r="E106" i="114"/>
  <c r="P106" i="114"/>
  <c r="P73" i="114"/>
  <c r="O81" i="114"/>
  <c r="E78" i="114"/>
  <c r="P68" i="114"/>
  <c r="O86" i="114"/>
  <c r="E87" i="114"/>
  <c r="O88" i="114"/>
  <c r="E85" i="114"/>
  <c r="O85" i="114"/>
  <c r="O80" i="114"/>
  <c r="E86" i="114"/>
  <c r="E81" i="114"/>
  <c r="P74" i="114"/>
  <c r="P75" i="114"/>
  <c r="O84" i="114"/>
  <c r="P71" i="114"/>
  <c r="E84" i="114"/>
  <c r="E83" i="114"/>
  <c r="O83" i="114"/>
  <c r="O79" i="114"/>
  <c r="O78" i="114"/>
  <c r="P97" i="114"/>
  <c r="P99" i="114"/>
  <c r="P92" i="114"/>
  <c r="P96" i="114"/>
  <c r="P101" i="114"/>
  <c r="P95" i="114"/>
  <c r="P100" i="114"/>
  <c r="P98" i="114"/>
  <c r="P93" i="114"/>
  <c r="O106" i="114"/>
  <c r="E96" i="114"/>
  <c r="E92" i="114"/>
  <c r="E100" i="114"/>
  <c r="N68" i="114"/>
  <c r="E98" i="114"/>
  <c r="E114" i="114"/>
  <c r="E97" i="114"/>
  <c r="E93" i="114"/>
  <c r="E91" i="114"/>
  <c r="E99" i="114"/>
  <c r="O107" i="114"/>
  <c r="E104" i="114"/>
  <c r="O110" i="114"/>
  <c r="O109" i="114"/>
  <c r="E109" i="114"/>
  <c r="E105" i="114"/>
  <c r="E107" i="114"/>
  <c r="O105" i="114"/>
  <c r="O96" i="114"/>
  <c r="O101" i="114"/>
  <c r="O92" i="114"/>
  <c r="O99" i="114"/>
  <c r="O93" i="114"/>
  <c r="O95" i="114"/>
  <c r="O100" i="114"/>
  <c r="O97" i="114"/>
  <c r="O91" i="114"/>
  <c r="O113" i="114"/>
  <c r="H6" i="114"/>
  <c r="N74" i="114"/>
  <c r="N69" i="114"/>
  <c r="N71" i="114"/>
  <c r="N75" i="114"/>
  <c r="N72" i="114"/>
  <c r="N73" i="114"/>
  <c r="H10" i="114"/>
  <c r="F80" i="114"/>
  <c r="F88" i="114"/>
  <c r="F83" i="114"/>
  <c r="F79" i="114"/>
  <c r="F85" i="114"/>
  <c r="F86" i="114"/>
  <c r="F81" i="114"/>
  <c r="F87" i="114"/>
  <c r="F78" i="114"/>
  <c r="F84" i="114"/>
  <c r="F113" i="114"/>
  <c r="F114" i="114"/>
  <c r="F105" i="114"/>
  <c r="F107" i="114"/>
  <c r="F109" i="114"/>
  <c r="F104" i="114"/>
  <c r="F106" i="114"/>
  <c r="F110" i="114"/>
  <c r="F67" i="114"/>
  <c r="F72" i="114"/>
  <c r="F71" i="114"/>
  <c r="F73" i="114"/>
  <c r="F75" i="114"/>
  <c r="F69" i="114"/>
  <c r="F74" i="114"/>
  <c r="F68" i="114"/>
  <c r="F100" i="114"/>
  <c r="F96" i="114"/>
  <c r="F93" i="114"/>
  <c r="F92" i="114"/>
  <c r="F99" i="114"/>
  <c r="F97" i="114"/>
  <c r="F95" i="114"/>
  <c r="F101" i="114"/>
  <c r="F98" i="114"/>
  <c r="F91" i="114"/>
  <c r="M30" i="114"/>
  <c r="M92" i="114"/>
  <c r="M32" i="114" s="1"/>
  <c r="M97" i="114"/>
  <c r="M37" i="114" s="1"/>
  <c r="M101" i="114"/>
  <c r="M41" i="114" s="1"/>
  <c r="M91" i="114"/>
  <c r="M31" i="114" s="1"/>
  <c r="M96" i="114"/>
  <c r="M36" i="114" s="1"/>
  <c r="M100" i="114"/>
  <c r="M40" i="114" s="1"/>
  <c r="M93" i="114"/>
  <c r="M33" i="114" s="1"/>
  <c r="M95" i="114"/>
  <c r="M35" i="114" s="1"/>
  <c r="M99" i="114"/>
  <c r="M39" i="114" s="1"/>
  <c r="M98" i="114"/>
  <c r="M38" i="114" s="1"/>
  <c r="M67" i="114"/>
  <c r="M7" i="114" s="1"/>
  <c r="M72" i="114"/>
  <c r="M12" i="114" s="1"/>
  <c r="M71" i="114"/>
  <c r="M11" i="114" s="1"/>
  <c r="M69" i="114"/>
  <c r="M9" i="114" s="1"/>
  <c r="M73" i="114"/>
  <c r="M13" i="114" s="1"/>
  <c r="M68" i="114"/>
  <c r="M8" i="114" s="1"/>
  <c r="M74" i="114"/>
  <c r="M14" i="114" s="1"/>
  <c r="M75" i="114"/>
  <c r="M15" i="114" s="1"/>
  <c r="M42" i="114"/>
  <c r="N93" i="114"/>
  <c r="N98" i="114"/>
  <c r="N95" i="114"/>
  <c r="N92" i="114"/>
  <c r="N97" i="114"/>
  <c r="N101" i="114"/>
  <c r="N91" i="114"/>
  <c r="N96" i="114"/>
  <c r="N100" i="114"/>
  <c r="N99" i="114"/>
  <c r="N79" i="114"/>
  <c r="N84" i="114"/>
  <c r="N88" i="114"/>
  <c r="N78" i="114"/>
  <c r="N83" i="114"/>
  <c r="N87" i="114"/>
  <c r="N81" i="114"/>
  <c r="N86" i="114"/>
  <c r="N80" i="114"/>
  <c r="N85" i="114"/>
  <c r="M17" i="114"/>
  <c r="M78" i="114"/>
  <c r="M18" i="114" s="1"/>
  <c r="M83" i="114"/>
  <c r="M23" i="114" s="1"/>
  <c r="M87" i="114"/>
  <c r="M27" i="114" s="1"/>
  <c r="M81" i="114"/>
  <c r="M21" i="114" s="1"/>
  <c r="M86" i="114"/>
  <c r="M26" i="114" s="1"/>
  <c r="M79" i="114"/>
  <c r="M19" i="114" s="1"/>
  <c r="M80" i="114"/>
  <c r="M20" i="114" s="1"/>
  <c r="M85" i="114"/>
  <c r="M25" i="114" s="1"/>
  <c r="M84" i="114"/>
  <c r="M24" i="114" s="1"/>
  <c r="M88" i="114"/>
  <c r="M28" i="114" s="1"/>
  <c r="N107" i="114"/>
  <c r="N106" i="114"/>
  <c r="N105" i="114"/>
  <c r="N110" i="114"/>
  <c r="N104" i="114"/>
  <c r="N109" i="114"/>
  <c r="M48" i="114"/>
  <c r="U5" i="125" l="1"/>
  <c r="Z57" i="92"/>
  <c r="U5" i="120" s="1"/>
  <c r="Z59" i="92"/>
  <c r="U5" i="119"/>
  <c r="U22" i="119" s="1"/>
  <c r="Z28" i="92"/>
  <c r="U5" i="93"/>
  <c r="M16" i="114"/>
  <c r="M10" i="114"/>
  <c r="M22" i="114"/>
  <c r="M6" i="114"/>
  <c r="M34" i="114"/>
  <c r="M29" i="114"/>
  <c r="Z48" i="92" l="1"/>
  <c r="Z50" i="92" s="1"/>
  <c r="Z27" i="92"/>
  <c r="Z26" i="92" s="1"/>
  <c r="Z47" i="92" s="1"/>
  <c r="G20" i="207"/>
  <c r="U51" i="119"/>
  <c r="U36" i="119"/>
  <c r="U63" i="119"/>
  <c r="U31" i="119"/>
  <c r="U41" i="119"/>
  <c r="U43" i="119"/>
  <c r="U34" i="119"/>
  <c r="U44" i="119"/>
  <c r="U20" i="119"/>
  <c r="G18" i="207" s="1"/>
  <c r="U58" i="119"/>
  <c r="U46" i="119"/>
  <c r="U27" i="119"/>
  <c r="U21" i="119"/>
  <c r="U65" i="119"/>
  <c r="U57" i="119"/>
  <c r="U26" i="119"/>
  <c r="U67" i="119"/>
  <c r="U33" i="119"/>
  <c r="U52" i="119"/>
  <c r="U32" i="119"/>
  <c r="U49" i="119"/>
  <c r="U59" i="119"/>
  <c r="U48" i="119"/>
  <c r="U30" i="119"/>
  <c r="U37" i="119"/>
  <c r="U28" i="119"/>
  <c r="U24" i="119"/>
  <c r="U60" i="119"/>
  <c r="U38" i="119"/>
  <c r="U53" i="119"/>
  <c r="U50" i="119"/>
  <c r="U39" i="119"/>
  <c r="U66" i="119"/>
  <c r="U62" i="119"/>
  <c r="U45" i="119"/>
  <c r="U25" i="119"/>
  <c r="U40" i="119"/>
  <c r="U54" i="119"/>
  <c r="U56" i="119"/>
  <c r="Z58" i="92"/>
  <c r="U5" i="121" s="1"/>
  <c r="U41" i="121" s="1"/>
  <c r="S87" i="124"/>
  <c r="S87" i="121"/>
  <c r="S17" i="110"/>
  <c r="BC13" i="156"/>
  <c r="BC12" i="156"/>
  <c r="BC11" i="156"/>
  <c r="BC10" i="156"/>
  <c r="BC9" i="156"/>
  <c r="BC8" i="156"/>
  <c r="BC7" i="156"/>
  <c r="BC6" i="156"/>
  <c r="BC5" i="156"/>
  <c r="BC4" i="156"/>
  <c r="D143" i="179"/>
  <c r="E143" i="179"/>
  <c r="F143" i="179"/>
  <c r="G143" i="179"/>
  <c r="H143" i="179"/>
  <c r="I143" i="179"/>
  <c r="J143" i="179"/>
  <c r="K143" i="179"/>
  <c r="L143" i="179"/>
  <c r="M143" i="179"/>
  <c r="N143" i="179"/>
  <c r="O143" i="179"/>
  <c r="C143" i="179"/>
  <c r="C53" i="202" s="1"/>
  <c r="U19" i="119" l="1"/>
  <c r="U8" i="119" s="1"/>
  <c r="U53" i="121"/>
  <c r="G54" i="207"/>
  <c r="U48" i="121"/>
  <c r="U22" i="121"/>
  <c r="U65" i="121"/>
  <c r="U56" i="121"/>
  <c r="U38" i="121"/>
  <c r="G22" i="207"/>
  <c r="G52" i="207"/>
  <c r="G60" i="207"/>
  <c r="G51" i="207"/>
  <c r="G26" i="207"/>
  <c r="G57" i="207"/>
  <c r="G50" i="207"/>
  <c r="G25" i="207"/>
  <c r="G42" i="207"/>
  <c r="G29" i="207"/>
  <c r="G6" i="211"/>
  <c r="G54" i="200" s="1"/>
  <c r="G102" i="200" s="1"/>
  <c r="G38" i="207"/>
  <c r="G64" i="207"/>
  <c r="G36" i="207"/>
  <c r="G35" i="207"/>
  <c r="G47" i="207"/>
  <c r="G31" i="207"/>
  <c r="G55" i="207"/>
  <c r="G44" i="207"/>
  <c r="G32" i="207"/>
  <c r="G61" i="207"/>
  <c r="G23" i="207"/>
  <c r="G37" i="207"/>
  <c r="G58" i="207"/>
  <c r="G28" i="207"/>
  <c r="G65" i="207"/>
  <c r="G63" i="207"/>
  <c r="G56" i="207"/>
  <c r="G41" i="207"/>
  <c r="G34" i="207"/>
  <c r="G43" i="207"/>
  <c r="G48" i="207"/>
  <c r="G46" i="207"/>
  <c r="G30" i="207"/>
  <c r="G24" i="207"/>
  <c r="G19" i="207"/>
  <c r="G39" i="207"/>
  <c r="G49" i="207"/>
  <c r="U58" i="121"/>
  <c r="U40" i="121"/>
  <c r="U27" i="121"/>
  <c r="U20" i="121"/>
  <c r="U24" i="121"/>
  <c r="U34" i="121"/>
  <c r="U52" i="121"/>
  <c r="U37" i="121"/>
  <c r="U50" i="121"/>
  <c r="U21" i="121"/>
  <c r="U39" i="121"/>
  <c r="U33" i="121"/>
  <c r="U32" i="121"/>
  <c r="U54" i="121"/>
  <c r="U62" i="121"/>
  <c r="U51" i="121"/>
  <c r="U67" i="121"/>
  <c r="U31" i="121"/>
  <c r="U28" i="121"/>
  <c r="U26" i="121"/>
  <c r="U46" i="121"/>
  <c r="U59" i="121"/>
  <c r="U44" i="121"/>
  <c r="U66" i="121"/>
  <c r="U25" i="121"/>
  <c r="U30" i="121"/>
  <c r="U43" i="121"/>
  <c r="U36" i="121"/>
  <c r="U45" i="121"/>
  <c r="U60" i="121"/>
  <c r="U49" i="121"/>
  <c r="U63" i="121"/>
  <c r="U57" i="121"/>
  <c r="U61" i="119"/>
  <c r="U47" i="119"/>
  <c r="U42" i="119"/>
  <c r="G40" i="207" s="1"/>
  <c r="U29" i="119"/>
  <c r="U35" i="119"/>
  <c r="U64" i="119"/>
  <c r="U23" i="119"/>
  <c r="U9" i="119" s="1"/>
  <c r="U55" i="119"/>
  <c r="P144" i="179"/>
  <c r="L53" i="202"/>
  <c r="K53" i="202"/>
  <c r="O1" i="191"/>
  <c r="ES5" i="129"/>
  <c r="N53" i="202"/>
  <c r="J53" i="202"/>
  <c r="F53" i="202"/>
  <c r="M53" i="202"/>
  <c r="I53" i="202"/>
  <c r="E53" i="202"/>
  <c r="Q5" i="119"/>
  <c r="H53" i="202"/>
  <c r="D53" i="202"/>
  <c r="R5" i="124"/>
  <c r="G53" i="202"/>
  <c r="BC3" i="156"/>
  <c r="G17" i="207" l="1"/>
  <c r="U61" i="121"/>
  <c r="U15" i="121" s="1"/>
  <c r="U64" i="121"/>
  <c r="U16" i="121" s="1"/>
  <c r="U14" i="119"/>
  <c r="G33" i="207"/>
  <c r="G59" i="207"/>
  <c r="U16" i="119"/>
  <c r="U15" i="119"/>
  <c r="U13" i="119"/>
  <c r="U55" i="121"/>
  <c r="U14" i="121" s="1"/>
  <c r="U10" i="119"/>
  <c r="G11" i="211"/>
  <c r="G59" i="200" s="1"/>
  <c r="G107" i="200" s="1"/>
  <c r="G45" i="207"/>
  <c r="G7" i="211"/>
  <c r="G55" i="200" s="1"/>
  <c r="G103" i="200" s="1"/>
  <c r="G21" i="207"/>
  <c r="U23" i="121"/>
  <c r="U9" i="121" s="1"/>
  <c r="U12" i="119"/>
  <c r="G14" i="211"/>
  <c r="G62" i="200" s="1"/>
  <c r="G110" i="200" s="1"/>
  <c r="G62" i="207"/>
  <c r="U42" i="121"/>
  <c r="U12" i="121" s="1"/>
  <c r="U19" i="121"/>
  <c r="U8" i="121" s="1"/>
  <c r="U47" i="121"/>
  <c r="U13" i="121" s="1"/>
  <c r="U29" i="121"/>
  <c r="U35" i="121"/>
  <c r="U11" i="119"/>
  <c r="G53" i="207"/>
  <c r="G27" i="207"/>
  <c r="Q5" i="125"/>
  <c r="Q5" i="120"/>
  <c r="V59" i="92"/>
  <c r="V58" i="92" s="1"/>
  <c r="Q5" i="121" s="1"/>
  <c r="EP5" i="129"/>
  <c r="EO5" i="129"/>
  <c r="Q5" i="93"/>
  <c r="U18" i="119" l="1"/>
  <c r="G13" i="211"/>
  <c r="G61" i="200" s="1"/>
  <c r="G109" i="200" s="1"/>
  <c r="G10" i="211"/>
  <c r="G58" i="200" s="1"/>
  <c r="G106" i="200" s="1"/>
  <c r="G9" i="211"/>
  <c r="G57" i="200" s="1"/>
  <c r="G105" i="200" s="1"/>
  <c r="G12" i="211"/>
  <c r="G60" i="200" s="1"/>
  <c r="G108" i="200" s="1"/>
  <c r="G8" i="211"/>
  <c r="G56" i="200" s="1"/>
  <c r="G104" i="200" s="1"/>
  <c r="U11" i="121"/>
  <c r="U10" i="121"/>
  <c r="W64" i="92"/>
  <c r="ER5" i="129"/>
  <c r="EN5" i="129" s="1"/>
  <c r="M87" i="124"/>
  <c r="G16" i="207" l="1"/>
  <c r="U7" i="119"/>
  <c r="U6" i="119" s="1"/>
  <c r="G5" i="211"/>
  <c r="G53" i="200" s="1"/>
  <c r="G101" i="200" s="1"/>
  <c r="U18" i="121"/>
  <c r="C167" i="179"/>
  <c r="C166" i="179"/>
  <c r="C165" i="179"/>
  <c r="C164" i="179"/>
  <c r="C163" i="179"/>
  <c r="C162" i="179"/>
  <c r="C161" i="179"/>
  <c r="C160" i="179"/>
  <c r="C159" i="179"/>
  <c r="C158" i="179"/>
  <c r="C157" i="179"/>
  <c r="C156" i="179"/>
  <c r="C155" i="179"/>
  <c r="C154" i="179"/>
  <c r="C153" i="179"/>
  <c r="C152" i="179"/>
  <c r="C151" i="179"/>
  <c r="C150" i="179"/>
  <c r="C149" i="179"/>
  <c r="C167" i="169"/>
  <c r="C166" i="169"/>
  <c r="C165" i="169"/>
  <c r="C164" i="169"/>
  <c r="C163" i="169"/>
  <c r="C162" i="169"/>
  <c r="C161" i="169"/>
  <c r="C160" i="169"/>
  <c r="C159" i="169"/>
  <c r="C158" i="169"/>
  <c r="C157" i="169"/>
  <c r="C156" i="169"/>
  <c r="C155" i="169"/>
  <c r="C154" i="169"/>
  <c r="C153" i="169"/>
  <c r="C152" i="169"/>
  <c r="C151" i="169"/>
  <c r="C150" i="169"/>
  <c r="C149" i="169"/>
  <c r="G4" i="211" l="1"/>
  <c r="G52" i="200" s="1"/>
  <c r="G100" i="200" s="1"/>
  <c r="U7" i="121"/>
  <c r="AI141" i="114"/>
  <c r="U6" i="121" l="1"/>
  <c r="AI137" i="114"/>
  <c r="AI148" i="114"/>
  <c r="AI166" i="114"/>
  <c r="AI161" i="114"/>
  <c r="AI152" i="114"/>
  <c r="AI142" i="114"/>
  <c r="AI170" i="114"/>
  <c r="AI160" i="114"/>
  <c r="AI155" i="114"/>
  <c r="AI151" i="114"/>
  <c r="AI146" i="114"/>
  <c r="AI136" i="114"/>
  <c r="AI131" i="114"/>
  <c r="AI127" i="114"/>
  <c r="AI169" i="114"/>
  <c r="AI159" i="114"/>
  <c r="AI149" i="114"/>
  <c r="AI140" i="114"/>
  <c r="AI135" i="114"/>
  <c r="AI125" i="114"/>
  <c r="AI163" i="114"/>
  <c r="AI154" i="114"/>
  <c r="AI144" i="114"/>
  <c r="AI130" i="114"/>
  <c r="AI168" i="114"/>
  <c r="AI162" i="114"/>
  <c r="AI157" i="114"/>
  <c r="AI153" i="114"/>
  <c r="AI143" i="114"/>
  <c r="AI139" i="114"/>
  <c r="AI134" i="114"/>
  <c r="AI129" i="114"/>
  <c r="AI124" i="114"/>
  <c r="AI147" i="114"/>
  <c r="AI133" i="114"/>
  <c r="AI150" i="114" l="1"/>
  <c r="AI122" i="114"/>
  <c r="AI145" i="114"/>
  <c r="AI167" i="114"/>
  <c r="AI126" i="114"/>
  <c r="AI121" i="114"/>
  <c r="AI138" i="114"/>
  <c r="AI158" i="114"/>
  <c r="AI128" i="114"/>
  <c r="AI156" i="114"/>
  <c r="AI132" i="114"/>
  <c r="AI123" i="114"/>
  <c r="AI165" i="114"/>
  <c r="AI164" i="114"/>
  <c r="AI120" i="114" l="1"/>
  <c r="BF53" i="155" l="1"/>
  <c r="BG53" i="155"/>
  <c r="BH53" i="155"/>
  <c r="BF50" i="155"/>
  <c r="BG50" i="155"/>
  <c r="BH50" i="155"/>
  <c r="BF44" i="155"/>
  <c r="BG44" i="155"/>
  <c r="BH44" i="155"/>
  <c r="BF36" i="155"/>
  <c r="BG36" i="155"/>
  <c r="BH36" i="155"/>
  <c r="BF31" i="155"/>
  <c r="BG31" i="155"/>
  <c r="BH31" i="155"/>
  <c r="BF24" i="155"/>
  <c r="BG24" i="155"/>
  <c r="BH24" i="155"/>
  <c r="BF18" i="155"/>
  <c r="BG18" i="155"/>
  <c r="BH18" i="155"/>
  <c r="BF12" i="155"/>
  <c r="BG12" i="155"/>
  <c r="BH12" i="155"/>
  <c r="BF8" i="155"/>
  <c r="BG8" i="155"/>
  <c r="BH8" i="155"/>
  <c r="CF127" i="114" l="1"/>
  <c r="CE127" i="114"/>
  <c r="CD127" i="114"/>
  <c r="CC127" i="114"/>
  <c r="BZ127" i="114"/>
  <c r="BC81" i="114" s="1"/>
  <c r="BD86" i="114" s="1"/>
  <c r="BY127" i="114"/>
  <c r="BC80" i="114" s="1"/>
  <c r="BD85" i="114" s="1"/>
  <c r="BX127" i="114"/>
  <c r="BC79" i="114" s="1"/>
  <c r="BD84" i="114" s="1"/>
  <c r="BW127" i="114"/>
  <c r="BC78" i="114" s="1"/>
  <c r="BK78" i="114" l="1"/>
  <c r="BL83" i="114" s="1"/>
  <c r="CI128" i="114"/>
  <c r="BK79" i="114"/>
  <c r="CJ128" i="114"/>
  <c r="CK128" i="114"/>
  <c r="BK80" i="114"/>
  <c r="CL128" i="114"/>
  <c r="BK81" i="114"/>
  <c r="CC128" i="114"/>
  <c r="CD128" i="114"/>
  <c r="CE128" i="114"/>
  <c r="CF128" i="114"/>
  <c r="W23" i="176"/>
  <c r="AE5" i="176"/>
  <c r="AE6" i="176"/>
  <c r="AE7" i="176"/>
  <c r="AE8" i="176"/>
  <c r="AE9" i="176"/>
  <c r="AE10" i="176"/>
  <c r="AE12" i="176"/>
  <c r="AE15" i="176"/>
  <c r="AE17" i="176"/>
  <c r="AE20" i="176"/>
  <c r="AE21" i="176"/>
  <c r="BK84" i="114" l="1"/>
  <c r="BL84" i="114"/>
  <c r="BK85" i="114"/>
  <c r="BL85" i="114"/>
  <c r="BK86" i="114"/>
  <c r="BL86" i="114"/>
  <c r="AG6" i="165" l="1"/>
  <c r="AG8" i="165" l="1"/>
  <c r="AG10" i="165"/>
  <c r="AG12" i="165"/>
  <c r="AG11" i="165"/>
  <c r="AG16" i="165"/>
  <c r="AG15" i="165"/>
  <c r="AG14" i="165"/>
  <c r="AG13" i="165"/>
  <c r="AG9" i="165"/>
  <c r="AD17" i="176" l="1"/>
  <c r="AC17" i="176"/>
  <c r="V23" i="176"/>
  <c r="R17" i="110" l="1"/>
  <c r="AZ13" i="156" l="1"/>
  <c r="AZ12" i="156"/>
  <c r="AZ11" i="156"/>
  <c r="AZ10" i="156"/>
  <c r="AZ9" i="156"/>
  <c r="AZ8" i="156"/>
  <c r="AZ7" i="156"/>
  <c r="AZ6" i="156"/>
  <c r="AZ5" i="156"/>
  <c r="AZ4" i="156"/>
  <c r="R87" i="121"/>
  <c r="AZ3" i="156" l="1"/>
  <c r="N142" i="179" l="1"/>
  <c r="N52" i="202" s="1"/>
  <c r="O142" i="179"/>
  <c r="M142" i="179"/>
  <c r="E142" i="179"/>
  <c r="E52" i="202" s="1"/>
  <c r="F142" i="179"/>
  <c r="F52" i="202" s="1"/>
  <c r="G142" i="179"/>
  <c r="H142" i="179"/>
  <c r="I142" i="179"/>
  <c r="I52" i="202" s="1"/>
  <c r="J142" i="179"/>
  <c r="J52" i="202" s="1"/>
  <c r="D142" i="179"/>
  <c r="D52" i="202" s="1"/>
  <c r="AD7" i="176"/>
  <c r="AD8" i="176"/>
  <c r="AD9" i="176"/>
  <c r="AD10" i="176"/>
  <c r="AD12" i="176"/>
  <c r="AD15" i="176"/>
  <c r="AD20" i="176"/>
  <c r="AD21" i="176"/>
  <c r="AC5" i="176"/>
  <c r="AD5" i="176"/>
  <c r="AD6" i="176"/>
  <c r="C142" i="179"/>
  <c r="O141" i="179"/>
  <c r="N141" i="179"/>
  <c r="N51" i="202" s="1"/>
  <c r="M141" i="179"/>
  <c r="L141" i="179"/>
  <c r="K141" i="179"/>
  <c r="K51" i="202" s="1"/>
  <c r="J141" i="179"/>
  <c r="J51" i="202" s="1"/>
  <c r="I141" i="179"/>
  <c r="I51" i="202" s="1"/>
  <c r="H141" i="179"/>
  <c r="G141" i="179"/>
  <c r="G51" i="202" s="1"/>
  <c r="F141" i="179"/>
  <c r="F51" i="202" s="1"/>
  <c r="E141" i="179"/>
  <c r="D141" i="179"/>
  <c r="C141" i="179"/>
  <c r="C51" i="202" s="1"/>
  <c r="O140" i="179"/>
  <c r="N140" i="179"/>
  <c r="N50" i="202" s="1"/>
  <c r="M140" i="179"/>
  <c r="M50" i="202" s="1"/>
  <c r="L140" i="179"/>
  <c r="L50" i="202" s="1"/>
  <c r="K140" i="179"/>
  <c r="K50" i="202" s="1"/>
  <c r="J140" i="179"/>
  <c r="I140" i="179"/>
  <c r="I50" i="202" s="1"/>
  <c r="H140" i="179"/>
  <c r="H50" i="202" s="1"/>
  <c r="G140" i="179"/>
  <c r="G50" i="202" s="1"/>
  <c r="F140" i="179"/>
  <c r="F50" i="202" s="1"/>
  <c r="E140" i="179"/>
  <c r="E50" i="202" s="1"/>
  <c r="D140" i="179"/>
  <c r="D50" i="202" s="1"/>
  <c r="C140" i="179"/>
  <c r="C50" i="202" s="1"/>
  <c r="O139" i="179"/>
  <c r="N139" i="179"/>
  <c r="M139" i="179"/>
  <c r="M49" i="202" s="1"/>
  <c r="L139" i="179"/>
  <c r="L49" i="202" s="1"/>
  <c r="K139" i="179"/>
  <c r="K49" i="202" s="1"/>
  <c r="J139" i="179"/>
  <c r="I139" i="179"/>
  <c r="I49" i="202" s="1"/>
  <c r="H139" i="179"/>
  <c r="H49" i="202" s="1"/>
  <c r="G139" i="179"/>
  <c r="F139" i="179"/>
  <c r="E139" i="179"/>
  <c r="E49" i="202" s="1"/>
  <c r="D139" i="179"/>
  <c r="D49" i="202" s="1"/>
  <c r="C139" i="179"/>
  <c r="C49" i="202" s="1"/>
  <c r="O138" i="179"/>
  <c r="N138" i="179"/>
  <c r="N48" i="202" s="1"/>
  <c r="M138" i="179"/>
  <c r="M48" i="202" s="1"/>
  <c r="L138" i="179"/>
  <c r="K138" i="179"/>
  <c r="J138" i="179"/>
  <c r="J48" i="202" s="1"/>
  <c r="I138" i="179"/>
  <c r="I48" i="202" s="1"/>
  <c r="H138" i="179"/>
  <c r="H48" i="202" s="1"/>
  <c r="G138" i="179"/>
  <c r="F138" i="179"/>
  <c r="F48" i="202" s="1"/>
  <c r="E138" i="179"/>
  <c r="E48" i="202" s="1"/>
  <c r="D138" i="179"/>
  <c r="D48" i="202" s="1"/>
  <c r="C138" i="179"/>
  <c r="O137" i="179"/>
  <c r="N137" i="179"/>
  <c r="N47" i="202" s="1"/>
  <c r="M137" i="179"/>
  <c r="M47" i="202" s="1"/>
  <c r="L137" i="179"/>
  <c r="K137" i="179"/>
  <c r="K47" i="202" s="1"/>
  <c r="J137" i="179"/>
  <c r="J47" i="202" s="1"/>
  <c r="I137" i="179"/>
  <c r="H137" i="179"/>
  <c r="G137" i="179"/>
  <c r="G47" i="202" s="1"/>
  <c r="F137" i="179"/>
  <c r="F47" i="202" s="1"/>
  <c r="E137" i="179"/>
  <c r="E47" i="202" s="1"/>
  <c r="D137" i="179"/>
  <c r="C137" i="179"/>
  <c r="C47" i="202" s="1"/>
  <c r="O136" i="179"/>
  <c r="N136" i="179"/>
  <c r="M136" i="179"/>
  <c r="M46" i="202" s="1"/>
  <c r="L136" i="179"/>
  <c r="L46" i="202" s="1"/>
  <c r="K136" i="179"/>
  <c r="K46" i="202" s="1"/>
  <c r="J136" i="179"/>
  <c r="J46" i="202" s="1"/>
  <c r="I136" i="179"/>
  <c r="I46" i="202" s="1"/>
  <c r="H136" i="179"/>
  <c r="H46" i="202" s="1"/>
  <c r="G136" i="179"/>
  <c r="G46" i="202" s="1"/>
  <c r="F136" i="179"/>
  <c r="E136" i="179"/>
  <c r="E46" i="202" s="1"/>
  <c r="D136" i="179"/>
  <c r="D46" i="202" s="1"/>
  <c r="C136" i="179"/>
  <c r="C46" i="202" s="1"/>
  <c r="O135" i="179"/>
  <c r="N135" i="179"/>
  <c r="M135" i="179"/>
  <c r="M45" i="202" s="1"/>
  <c r="L135" i="179"/>
  <c r="L45" i="202" s="1"/>
  <c r="K135" i="179"/>
  <c r="J135" i="179"/>
  <c r="I135" i="179"/>
  <c r="I45" i="202" s="1"/>
  <c r="H135" i="179"/>
  <c r="H45" i="202" s="1"/>
  <c r="G135" i="179"/>
  <c r="G45" i="202" s="1"/>
  <c r="F135" i="179"/>
  <c r="E135" i="179"/>
  <c r="E45" i="202" s="1"/>
  <c r="D135" i="179"/>
  <c r="D45" i="202" s="1"/>
  <c r="C135" i="179"/>
  <c r="O134" i="179"/>
  <c r="N134" i="179"/>
  <c r="N44" i="202" s="1"/>
  <c r="M134" i="179"/>
  <c r="M44" i="202" s="1"/>
  <c r="L134" i="179"/>
  <c r="L44" i="202" s="1"/>
  <c r="K134" i="179"/>
  <c r="J134" i="179"/>
  <c r="J44" i="202" s="1"/>
  <c r="I134" i="179"/>
  <c r="I44" i="202" s="1"/>
  <c r="H134" i="179"/>
  <c r="G134" i="179"/>
  <c r="F134" i="179"/>
  <c r="F44" i="202" s="1"/>
  <c r="E134" i="179"/>
  <c r="E44" i="202" s="1"/>
  <c r="D134" i="179"/>
  <c r="D44" i="202" s="1"/>
  <c r="C134" i="179"/>
  <c r="O133" i="179"/>
  <c r="N133" i="179"/>
  <c r="M133" i="179"/>
  <c r="L133" i="179"/>
  <c r="K133" i="179"/>
  <c r="J133" i="179"/>
  <c r="I133" i="179"/>
  <c r="H133" i="179"/>
  <c r="G133" i="179"/>
  <c r="F133" i="179"/>
  <c r="E133" i="179"/>
  <c r="D133" i="179"/>
  <c r="C133" i="179"/>
  <c r="O132" i="179"/>
  <c r="N132" i="179"/>
  <c r="M132" i="179"/>
  <c r="L132" i="179"/>
  <c r="K132" i="179"/>
  <c r="J132" i="179"/>
  <c r="I132" i="179"/>
  <c r="H132" i="179"/>
  <c r="G132" i="179"/>
  <c r="F132" i="179"/>
  <c r="E132" i="179"/>
  <c r="D132" i="179"/>
  <c r="C132" i="179"/>
  <c r="O131" i="179"/>
  <c r="N131" i="179"/>
  <c r="M131" i="179"/>
  <c r="L131" i="179"/>
  <c r="K131" i="179"/>
  <c r="J131" i="179"/>
  <c r="I131" i="179"/>
  <c r="H131" i="179"/>
  <c r="G131" i="179"/>
  <c r="F131" i="179"/>
  <c r="E131" i="179"/>
  <c r="D131" i="179"/>
  <c r="C131" i="179"/>
  <c r="O130" i="179"/>
  <c r="N130" i="179"/>
  <c r="M130" i="179"/>
  <c r="L130" i="179"/>
  <c r="K130" i="179"/>
  <c r="J130" i="179"/>
  <c r="I130" i="179"/>
  <c r="H130" i="179"/>
  <c r="G130" i="179"/>
  <c r="F130" i="179"/>
  <c r="E130" i="179"/>
  <c r="D130" i="179"/>
  <c r="C130" i="179"/>
  <c r="O129" i="179"/>
  <c r="N129" i="179"/>
  <c r="M129" i="179"/>
  <c r="L129" i="179"/>
  <c r="K129" i="179"/>
  <c r="J129" i="179"/>
  <c r="I129" i="179"/>
  <c r="H129" i="179"/>
  <c r="G129" i="179"/>
  <c r="F129" i="179"/>
  <c r="E129" i="179"/>
  <c r="D129" i="179"/>
  <c r="C129" i="179"/>
  <c r="O128" i="179"/>
  <c r="N128" i="179"/>
  <c r="M128" i="179"/>
  <c r="L128" i="179"/>
  <c r="K128" i="179"/>
  <c r="J128" i="179"/>
  <c r="I128" i="179"/>
  <c r="H128" i="179"/>
  <c r="G128" i="179"/>
  <c r="F128" i="179"/>
  <c r="E128" i="179"/>
  <c r="D128" i="179"/>
  <c r="C128" i="179"/>
  <c r="O127" i="179"/>
  <c r="N127" i="179"/>
  <c r="M127" i="179"/>
  <c r="L127" i="179"/>
  <c r="K127" i="179"/>
  <c r="J127" i="179"/>
  <c r="I127" i="179"/>
  <c r="H127" i="179"/>
  <c r="G127" i="179"/>
  <c r="F127" i="179"/>
  <c r="E127" i="179"/>
  <c r="D127" i="179"/>
  <c r="C127" i="179"/>
  <c r="O126" i="179"/>
  <c r="N126" i="179"/>
  <c r="M126" i="179"/>
  <c r="L126" i="179"/>
  <c r="K126" i="179"/>
  <c r="J126" i="179"/>
  <c r="I126" i="179"/>
  <c r="H126" i="179"/>
  <c r="G126" i="179"/>
  <c r="F126" i="179"/>
  <c r="E126" i="179"/>
  <c r="D126" i="179"/>
  <c r="C126" i="179"/>
  <c r="O125" i="179"/>
  <c r="N125" i="179"/>
  <c r="M125" i="179"/>
  <c r="L125" i="179"/>
  <c r="K125" i="179"/>
  <c r="J125" i="179"/>
  <c r="I125" i="179"/>
  <c r="H125" i="179"/>
  <c r="G125" i="179"/>
  <c r="F125" i="179"/>
  <c r="E125" i="179"/>
  <c r="D125" i="179"/>
  <c r="C125" i="179"/>
  <c r="O124" i="179"/>
  <c r="N124" i="179"/>
  <c r="M124" i="179"/>
  <c r="L124" i="179"/>
  <c r="K124" i="179"/>
  <c r="J124" i="179"/>
  <c r="I124" i="179"/>
  <c r="H124" i="179"/>
  <c r="G124" i="179"/>
  <c r="F124" i="179"/>
  <c r="E124" i="179"/>
  <c r="D124" i="179"/>
  <c r="C124" i="179"/>
  <c r="L48" i="202"/>
  <c r="Q21" i="176"/>
  <c r="Q20" i="176"/>
  <c r="Q15" i="176"/>
  <c r="Q12" i="176"/>
  <c r="Q6" i="176"/>
  <c r="Q7" i="176"/>
  <c r="Q8" i="176"/>
  <c r="R23" i="176" s="1"/>
  <c r="Q9" i="176"/>
  <c r="Q10" i="176"/>
  <c r="Q5" i="176"/>
  <c r="BT127" i="114"/>
  <c r="BS127" i="114"/>
  <c r="BR127" i="114"/>
  <c r="BQ127" i="114"/>
  <c r="BB78" i="114" s="1"/>
  <c r="AF6" i="165"/>
  <c r="Q17" i="110"/>
  <c r="Q87" i="121"/>
  <c r="AW13" i="156"/>
  <c r="AW12" i="156"/>
  <c r="AW11" i="156"/>
  <c r="AW10" i="156"/>
  <c r="AW9" i="156"/>
  <c r="AW8" i="156"/>
  <c r="AW7" i="156"/>
  <c r="AW6" i="156"/>
  <c r="AW5" i="156"/>
  <c r="AW4" i="156"/>
  <c r="BI56" i="155"/>
  <c r="BI55" i="155"/>
  <c r="BI54" i="155"/>
  <c r="BI52" i="155"/>
  <c r="BI49" i="155"/>
  <c r="BI43" i="155"/>
  <c r="BI42" i="155"/>
  <c r="BI41" i="155"/>
  <c r="BI40" i="155"/>
  <c r="BI39" i="155"/>
  <c r="BI38" i="155"/>
  <c r="BI34" i="155"/>
  <c r="BI28" i="155"/>
  <c r="BI23" i="155"/>
  <c r="BI22" i="155"/>
  <c r="BI21" i="155"/>
  <c r="BI20" i="155"/>
  <c r="BI11" i="155"/>
  <c r="BI10" i="155"/>
  <c r="BI9" i="155"/>
  <c r="H47" i="92"/>
  <c r="I47" i="92"/>
  <c r="J47" i="92"/>
  <c r="K47" i="92"/>
  <c r="L47" i="92"/>
  <c r="M47" i="92"/>
  <c r="N47" i="92"/>
  <c r="O47" i="92"/>
  <c r="P47" i="92"/>
  <c r="Q47" i="92"/>
  <c r="R47" i="92"/>
  <c r="AE63" i="114"/>
  <c r="AY73" i="114"/>
  <c r="CR110" i="114"/>
  <c r="CQ110" i="114"/>
  <c r="CP110" i="114"/>
  <c r="CO110" i="114"/>
  <c r="CR108" i="114"/>
  <c r="CQ108" i="114"/>
  <c r="CP108" i="114"/>
  <c r="BA79" i="114" s="1"/>
  <c r="BA84" i="114" s="1"/>
  <c r="CO108" i="114"/>
  <c r="AE164" i="114"/>
  <c r="AE138" i="114"/>
  <c r="AE132" i="114"/>
  <c r="AC6" i="165"/>
  <c r="AD6" i="165"/>
  <c r="AE6" i="165"/>
  <c r="P87" i="121"/>
  <c r="AD164" i="114"/>
  <c r="AD132" i="114"/>
  <c r="AD150" i="114"/>
  <c r="AD158" i="114"/>
  <c r="AD122" i="114"/>
  <c r="AD126" i="114"/>
  <c r="AT13" i="156"/>
  <c r="AT12" i="156"/>
  <c r="AT11" i="156"/>
  <c r="AT10" i="156"/>
  <c r="AT9" i="156"/>
  <c r="AT8" i="156"/>
  <c r="AT7" i="156"/>
  <c r="AT6" i="156"/>
  <c r="AT5" i="156"/>
  <c r="AT4" i="156"/>
  <c r="S49" i="92"/>
  <c r="N5" i="112" s="1"/>
  <c r="N5" i="93"/>
  <c r="AV18" i="155"/>
  <c r="CL110" i="114"/>
  <c r="CK110" i="114"/>
  <c r="CJ110" i="114"/>
  <c r="CI110" i="114"/>
  <c r="CL108" i="114"/>
  <c r="AZ81" i="114" s="1"/>
  <c r="CK108" i="114"/>
  <c r="CJ108" i="114"/>
  <c r="AZ79" i="114" s="1"/>
  <c r="CI108" i="114"/>
  <c r="AZ78" i="114" s="1"/>
  <c r="BE56" i="155"/>
  <c r="AE54" i="108" s="1"/>
  <c r="BE55" i="155"/>
  <c r="AE53" i="108" s="1"/>
  <c r="BE54" i="155"/>
  <c r="AE52" i="108" s="1"/>
  <c r="BE49" i="155"/>
  <c r="AE47" i="108" s="1"/>
  <c r="BE48" i="155"/>
  <c r="AE46" i="108" s="1"/>
  <c r="BE47" i="155"/>
  <c r="AE45" i="108" s="1"/>
  <c r="BE46" i="155"/>
  <c r="AE44" i="108" s="1"/>
  <c r="BE45" i="155"/>
  <c r="AE43" i="108" s="1"/>
  <c r="BE43" i="155"/>
  <c r="AE41" i="108" s="1"/>
  <c r="BE42" i="155"/>
  <c r="AE40" i="108" s="1"/>
  <c r="BE35" i="155"/>
  <c r="AE33" i="108" s="1"/>
  <c r="BE34" i="155"/>
  <c r="AE32" i="108" s="1"/>
  <c r="BE33" i="155"/>
  <c r="AE31" i="108" s="1"/>
  <c r="BE30" i="155"/>
  <c r="AE28" i="108" s="1"/>
  <c r="BE28" i="155"/>
  <c r="AE26" i="108" s="1"/>
  <c r="BE27" i="155"/>
  <c r="AE25" i="108" s="1"/>
  <c r="BE26" i="155"/>
  <c r="AE24" i="108" s="1"/>
  <c r="BE23" i="155"/>
  <c r="AE21" i="108" s="1"/>
  <c r="BE20" i="155"/>
  <c r="AE18" i="108" s="1"/>
  <c r="BE16" i="155"/>
  <c r="AE14" i="108" s="1"/>
  <c r="BE15" i="155"/>
  <c r="AE13" i="108" s="1"/>
  <c r="BE11" i="155"/>
  <c r="AE9" i="108" s="1"/>
  <c r="BE10" i="155"/>
  <c r="AE8" i="108" s="1"/>
  <c r="BE7" i="155"/>
  <c r="AE5" i="108" s="1"/>
  <c r="O17" i="110"/>
  <c r="O87" i="121"/>
  <c r="AQ13" i="156"/>
  <c r="AQ12" i="156"/>
  <c r="AQ11" i="156"/>
  <c r="AQ10" i="156"/>
  <c r="AQ9" i="156"/>
  <c r="AQ8" i="156"/>
  <c r="AQ7" i="156"/>
  <c r="AQ6" i="156"/>
  <c r="AQ5" i="156"/>
  <c r="AQ4" i="156"/>
  <c r="AE131" i="114"/>
  <c r="AE154" i="114"/>
  <c r="AE159" i="114"/>
  <c r="AE169" i="114"/>
  <c r="AE162" i="114"/>
  <c r="AE153" i="114"/>
  <c r="AE148" i="114"/>
  <c r="AE142" i="114"/>
  <c r="AE134" i="114"/>
  <c r="AE135" i="114"/>
  <c r="AE128" i="114"/>
  <c r="AE130" i="114"/>
  <c r="AE124" i="114"/>
  <c r="AE125" i="114"/>
  <c r="AE129" i="114"/>
  <c r="AE136" i="114"/>
  <c r="AE137" i="114"/>
  <c r="AE139" i="114"/>
  <c r="AE140" i="114"/>
  <c r="AE141" i="114"/>
  <c r="AE143" i="114"/>
  <c r="AE144" i="114"/>
  <c r="AE147" i="114"/>
  <c r="AE149" i="114"/>
  <c r="AE152" i="114"/>
  <c r="AE155" i="114"/>
  <c r="AE156" i="114"/>
  <c r="AE157" i="114"/>
  <c r="AE160" i="114"/>
  <c r="AE161" i="114"/>
  <c r="AE163" i="114"/>
  <c r="AE165" i="114"/>
  <c r="AE166" i="114"/>
  <c r="AE170" i="114"/>
  <c r="AD167" i="114"/>
  <c r="AD121" i="114"/>
  <c r="AD18" i="116"/>
  <c r="AD7" i="116" s="1"/>
  <c r="AD28" i="116"/>
  <c r="AD9" i="116" s="1"/>
  <c r="AD34" i="116"/>
  <c r="AD10" i="116" s="1"/>
  <c r="AD41" i="116"/>
  <c r="AD11" i="116" s="1"/>
  <c r="AD46" i="116"/>
  <c r="AD54" i="116"/>
  <c r="AD13" i="116" s="1"/>
  <c r="AD63" i="116"/>
  <c r="AD60" i="116"/>
  <c r="AD14" i="116" s="1"/>
  <c r="R49" i="92"/>
  <c r="M5" i="112" s="1"/>
  <c r="AL46" i="156"/>
  <c r="AC21" i="99" s="1"/>
  <c r="AD165" i="114"/>
  <c r="AD151" i="114"/>
  <c r="AD128" i="114"/>
  <c r="AD127" i="114"/>
  <c r="AQ51" i="108"/>
  <c r="AQ48" i="108"/>
  <c r="AQ42" i="108"/>
  <c r="AQ34" i="108"/>
  <c r="AQ29" i="108"/>
  <c r="AS5" i="108"/>
  <c r="AS7" i="108"/>
  <c r="AS8" i="108"/>
  <c r="AS9" i="108"/>
  <c r="AS11" i="108"/>
  <c r="AS12" i="108"/>
  <c r="AS13" i="108"/>
  <c r="AS14" i="108"/>
  <c r="AS15" i="108"/>
  <c r="AS17" i="108"/>
  <c r="AS18" i="108"/>
  <c r="AS19" i="108"/>
  <c r="AS20" i="108"/>
  <c r="AS21" i="108"/>
  <c r="AS23" i="108"/>
  <c r="AS24" i="108"/>
  <c r="AS25" i="108"/>
  <c r="AS26" i="108"/>
  <c r="AS27" i="108"/>
  <c r="AS28" i="108"/>
  <c r="AS30" i="108"/>
  <c r="AS31" i="108"/>
  <c r="AS32" i="108"/>
  <c r="AS33" i="108"/>
  <c r="AS35" i="108"/>
  <c r="AS36" i="108"/>
  <c r="AS37" i="108"/>
  <c r="AS38" i="108"/>
  <c r="AS39" i="108"/>
  <c r="AS40" i="108"/>
  <c r="AS41" i="108"/>
  <c r="AS43" i="108"/>
  <c r="AS44" i="108"/>
  <c r="AS45" i="108"/>
  <c r="AS46" i="108"/>
  <c r="AS47" i="108"/>
  <c r="AS49" i="108"/>
  <c r="AS50" i="108"/>
  <c r="AS52" i="108"/>
  <c r="AS53" i="108"/>
  <c r="AS54" i="108"/>
  <c r="AR6" i="108"/>
  <c r="AR10" i="108"/>
  <c r="AR16" i="108"/>
  <c r="AR22" i="108"/>
  <c r="AR29" i="108"/>
  <c r="AR34" i="108"/>
  <c r="AS34" i="108" s="1"/>
  <c r="AR42" i="108"/>
  <c r="AR48" i="108"/>
  <c r="AR51" i="108"/>
  <c r="AQ22" i="108"/>
  <c r="AQ16" i="108"/>
  <c r="AQ10" i="108"/>
  <c r="AQ6" i="108"/>
  <c r="BJ73" i="114"/>
  <c r="CF110" i="114"/>
  <c r="CE110" i="114"/>
  <c r="CD110" i="114"/>
  <c r="CC110" i="114"/>
  <c r="CF108" i="114"/>
  <c r="CE108" i="114"/>
  <c r="AY80" i="114" s="1"/>
  <c r="CD108" i="114"/>
  <c r="AY79" i="114" s="1"/>
  <c r="CC108" i="114"/>
  <c r="AY78" i="114" s="1"/>
  <c r="B59" i="114"/>
  <c r="B64" i="114"/>
  <c r="B65" i="114"/>
  <c r="B71" i="114" s="1"/>
  <c r="B77" i="114"/>
  <c r="B81" i="114" s="1"/>
  <c r="B90" i="114"/>
  <c r="B103" i="114"/>
  <c r="B104" i="114" s="1"/>
  <c r="B112" i="114"/>
  <c r="B114" i="114" s="1"/>
  <c r="AD123" i="114"/>
  <c r="AD124" i="114"/>
  <c r="AD125" i="114"/>
  <c r="AD129" i="114"/>
  <c r="AD130" i="114"/>
  <c r="AD131" i="114"/>
  <c r="AD133" i="114"/>
  <c r="AD134" i="114"/>
  <c r="AD135" i="114"/>
  <c r="AD136" i="114"/>
  <c r="AD137" i="114"/>
  <c r="AD139" i="114"/>
  <c r="AD140" i="114"/>
  <c r="AD141" i="114"/>
  <c r="AD142" i="114"/>
  <c r="AD143" i="114"/>
  <c r="AD144" i="114"/>
  <c r="AD147" i="114"/>
  <c r="AD148" i="114"/>
  <c r="AD149" i="114"/>
  <c r="AD152" i="114"/>
  <c r="AD153" i="114"/>
  <c r="AD154" i="114"/>
  <c r="AD155" i="114"/>
  <c r="AD156" i="114"/>
  <c r="AD157" i="114"/>
  <c r="AD159" i="114"/>
  <c r="AD160" i="114"/>
  <c r="AD161" i="114"/>
  <c r="AD162" i="114"/>
  <c r="AD163" i="114"/>
  <c r="AD166" i="114"/>
  <c r="AD168" i="114"/>
  <c r="AD169" i="114"/>
  <c r="AD170" i="114"/>
  <c r="AD138" i="114"/>
  <c r="M18" i="176"/>
  <c r="N18" i="176"/>
  <c r="O18" i="176"/>
  <c r="N87" i="121"/>
  <c r="BA56" i="155"/>
  <c r="AD54" i="108" s="1"/>
  <c r="BA45" i="155"/>
  <c r="AD43" i="108" s="1"/>
  <c r="BA41" i="155"/>
  <c r="AD39" i="108" s="1"/>
  <c r="BA33" i="155"/>
  <c r="AD31" i="108" s="1"/>
  <c r="BA30" i="155"/>
  <c r="AD28" i="108" s="1"/>
  <c r="BA29" i="155"/>
  <c r="AD27" i="108" s="1"/>
  <c r="BA28" i="155"/>
  <c r="AD26" i="108" s="1"/>
  <c r="BA27" i="155"/>
  <c r="AD25" i="108" s="1"/>
  <c r="BA21" i="155"/>
  <c r="AD19" i="108" s="1"/>
  <c r="BA17" i="155"/>
  <c r="AD15" i="108" s="1"/>
  <c r="BA16" i="155"/>
  <c r="AD14" i="108" s="1"/>
  <c r="BA15" i="155"/>
  <c r="AD13" i="108" s="1"/>
  <c r="AN13" i="156"/>
  <c r="AN12" i="156"/>
  <c r="AN11" i="156"/>
  <c r="AN10" i="156"/>
  <c r="AN9" i="156"/>
  <c r="AN8" i="156"/>
  <c r="AN7" i="156"/>
  <c r="AN6" i="156"/>
  <c r="AN5" i="156"/>
  <c r="AN4" i="156"/>
  <c r="S23" i="176"/>
  <c r="M13" i="156"/>
  <c r="L13" i="156"/>
  <c r="M12" i="156"/>
  <c r="L12" i="156"/>
  <c r="M11" i="156"/>
  <c r="N11" i="156" s="1"/>
  <c r="L11" i="156"/>
  <c r="M10" i="156"/>
  <c r="L10" i="156"/>
  <c r="M9" i="156"/>
  <c r="L9" i="156"/>
  <c r="M8" i="156"/>
  <c r="L8" i="156"/>
  <c r="M7" i="156"/>
  <c r="L7" i="156"/>
  <c r="M6" i="156"/>
  <c r="L6" i="156"/>
  <c r="M5" i="156"/>
  <c r="L5" i="156"/>
  <c r="M4" i="156"/>
  <c r="L4" i="156"/>
  <c r="J13" i="156"/>
  <c r="I13" i="156"/>
  <c r="J12" i="156"/>
  <c r="I12" i="156"/>
  <c r="J11" i="156"/>
  <c r="I11" i="156"/>
  <c r="J10" i="156"/>
  <c r="I10" i="156"/>
  <c r="J9" i="156"/>
  <c r="I9" i="156"/>
  <c r="J8" i="156"/>
  <c r="I8" i="156"/>
  <c r="J7" i="156"/>
  <c r="I7" i="156"/>
  <c r="J6" i="156"/>
  <c r="I6" i="156"/>
  <c r="J5" i="156"/>
  <c r="I5" i="156"/>
  <c r="J4" i="156"/>
  <c r="I4" i="156"/>
  <c r="G13" i="156"/>
  <c r="F13" i="156"/>
  <c r="G12" i="156"/>
  <c r="F12" i="156"/>
  <c r="G11" i="156"/>
  <c r="F11" i="156"/>
  <c r="G10" i="156"/>
  <c r="F10" i="156"/>
  <c r="G9" i="156"/>
  <c r="F9" i="156"/>
  <c r="G8" i="156"/>
  <c r="F8" i="156"/>
  <c r="G7" i="156"/>
  <c r="F7" i="156"/>
  <c r="G6" i="156"/>
  <c r="F6" i="156"/>
  <c r="G5" i="156"/>
  <c r="F5" i="156"/>
  <c r="G4" i="156"/>
  <c r="F4" i="156"/>
  <c r="D13" i="156"/>
  <c r="C13" i="156"/>
  <c r="D12" i="156"/>
  <c r="C12" i="156"/>
  <c r="D11" i="156"/>
  <c r="C11" i="156"/>
  <c r="D10" i="156"/>
  <c r="C10" i="156"/>
  <c r="D9" i="156"/>
  <c r="C9" i="156"/>
  <c r="D8" i="156"/>
  <c r="C8" i="156"/>
  <c r="D7" i="156"/>
  <c r="C7" i="156"/>
  <c r="D6" i="156"/>
  <c r="C6" i="156"/>
  <c r="D5" i="156"/>
  <c r="C5" i="156"/>
  <c r="D4" i="156"/>
  <c r="C4" i="156"/>
  <c r="P13" i="156"/>
  <c r="O13" i="156"/>
  <c r="P12" i="156"/>
  <c r="O12" i="156"/>
  <c r="P11" i="156"/>
  <c r="Q11" i="156" s="1"/>
  <c r="O11" i="156"/>
  <c r="P10" i="156"/>
  <c r="O10" i="156"/>
  <c r="P9" i="156"/>
  <c r="O9" i="156"/>
  <c r="P8" i="156"/>
  <c r="O8" i="156"/>
  <c r="P7" i="156"/>
  <c r="O7" i="156"/>
  <c r="P6" i="156"/>
  <c r="O6" i="156"/>
  <c r="P5" i="156"/>
  <c r="O5" i="156"/>
  <c r="P4" i="156"/>
  <c r="O4" i="156"/>
  <c r="S13" i="156"/>
  <c r="R13" i="156"/>
  <c r="S12" i="156"/>
  <c r="R12" i="156"/>
  <c r="S11" i="156"/>
  <c r="R11" i="156"/>
  <c r="S10" i="156"/>
  <c r="R10" i="156"/>
  <c r="S9" i="156"/>
  <c r="R9" i="156"/>
  <c r="S8" i="156"/>
  <c r="R8" i="156"/>
  <c r="S7" i="156"/>
  <c r="R7" i="156"/>
  <c r="S6" i="156"/>
  <c r="R6" i="156"/>
  <c r="S5" i="156"/>
  <c r="R5" i="156"/>
  <c r="S4" i="156"/>
  <c r="R4" i="156"/>
  <c r="V13" i="156"/>
  <c r="U13" i="156"/>
  <c r="V12" i="156"/>
  <c r="U12" i="156"/>
  <c r="V11" i="156"/>
  <c r="U11" i="156"/>
  <c r="V10" i="156"/>
  <c r="U10" i="156"/>
  <c r="V9" i="156"/>
  <c r="U9" i="156"/>
  <c r="V8" i="156"/>
  <c r="U8" i="156"/>
  <c r="V7" i="156"/>
  <c r="U7" i="156"/>
  <c r="V6" i="156"/>
  <c r="U6" i="156"/>
  <c r="V5" i="156"/>
  <c r="U5" i="156"/>
  <c r="V4" i="156"/>
  <c r="U4" i="156"/>
  <c r="Y13" i="156"/>
  <c r="X13" i="156"/>
  <c r="Y12" i="156"/>
  <c r="X12" i="156"/>
  <c r="Y11" i="156"/>
  <c r="X11" i="156"/>
  <c r="Y10" i="156"/>
  <c r="X10" i="156"/>
  <c r="Y9" i="156"/>
  <c r="X9" i="156"/>
  <c r="Y8" i="156"/>
  <c r="X8" i="156"/>
  <c r="Y7" i="156"/>
  <c r="X7" i="156"/>
  <c r="Y6" i="156"/>
  <c r="X6" i="156"/>
  <c r="Y5" i="156"/>
  <c r="X5" i="156"/>
  <c r="Y4" i="156"/>
  <c r="X4" i="156"/>
  <c r="AB13" i="156"/>
  <c r="AA13" i="156"/>
  <c r="AB12" i="156"/>
  <c r="AA12" i="156"/>
  <c r="AB11" i="156"/>
  <c r="AA11" i="156"/>
  <c r="AB10" i="156"/>
  <c r="AA10" i="156"/>
  <c r="AC10" i="156" s="1"/>
  <c r="AB9" i="156"/>
  <c r="AA9" i="156"/>
  <c r="AB8" i="156"/>
  <c r="AA8" i="156"/>
  <c r="AB7" i="156"/>
  <c r="AA7" i="156"/>
  <c r="AB6" i="156"/>
  <c r="AA6" i="156"/>
  <c r="AB5" i="156"/>
  <c r="AA5" i="156"/>
  <c r="AB4" i="156"/>
  <c r="AA4" i="156"/>
  <c r="AV53" i="155"/>
  <c r="AV50" i="155"/>
  <c r="AW51" i="155"/>
  <c r="AC49" i="108" s="1"/>
  <c r="AT50" i="155"/>
  <c r="AW49" i="155"/>
  <c r="AC47" i="108" s="1"/>
  <c r="AW46" i="155"/>
  <c r="AW42" i="155"/>
  <c r="AW41" i="155"/>
  <c r="AC39" i="108" s="1"/>
  <c r="AW38" i="155"/>
  <c r="AC36" i="108" s="1"/>
  <c r="AV36" i="155"/>
  <c r="AT36" i="155"/>
  <c r="AW35" i="155"/>
  <c r="AC33" i="108" s="1"/>
  <c r="AW34" i="155"/>
  <c r="AC32" i="108" s="1"/>
  <c r="AW33" i="155"/>
  <c r="AC31" i="108" s="1"/>
  <c r="AV31" i="155"/>
  <c r="AW22" i="155"/>
  <c r="AC20" i="108" s="1"/>
  <c r="AU18" i="155"/>
  <c r="AW14" i="155"/>
  <c r="AC12" i="108" s="1"/>
  <c r="AW10" i="155"/>
  <c r="AC8" i="108" s="1"/>
  <c r="AW7" i="155"/>
  <c r="AC5" i="108" s="1"/>
  <c r="R53" i="155"/>
  <c r="S53" i="155"/>
  <c r="T53" i="155"/>
  <c r="R50" i="155"/>
  <c r="S50" i="155"/>
  <c r="T50" i="155"/>
  <c r="R44" i="155"/>
  <c r="S44" i="155"/>
  <c r="T44" i="155"/>
  <c r="R36" i="155"/>
  <c r="S36" i="155"/>
  <c r="T36" i="155"/>
  <c r="V36" i="155"/>
  <c r="R31" i="155"/>
  <c r="S31" i="155"/>
  <c r="T31" i="155"/>
  <c r="R24" i="155"/>
  <c r="S24" i="155"/>
  <c r="T24" i="155"/>
  <c r="R18" i="155"/>
  <c r="S18" i="155"/>
  <c r="T18" i="155"/>
  <c r="R12" i="155"/>
  <c r="S12" i="155"/>
  <c r="T12" i="155"/>
  <c r="R8" i="155"/>
  <c r="S8" i="155"/>
  <c r="T8" i="155"/>
  <c r="V53" i="155"/>
  <c r="W53" i="155"/>
  <c r="X53" i="155"/>
  <c r="V50" i="155"/>
  <c r="W50" i="155"/>
  <c r="X50" i="155"/>
  <c r="V44" i="155"/>
  <c r="W44" i="155"/>
  <c r="X44" i="155"/>
  <c r="W36" i="155"/>
  <c r="X36" i="155"/>
  <c r="V31" i="155"/>
  <c r="W31" i="155"/>
  <c r="X31" i="155"/>
  <c r="V24" i="155"/>
  <c r="W24" i="155"/>
  <c r="X24" i="155"/>
  <c r="V18" i="155"/>
  <c r="W18" i="155"/>
  <c r="X18" i="155"/>
  <c r="V12" i="155"/>
  <c r="W12" i="155"/>
  <c r="X12" i="155"/>
  <c r="X8" i="155"/>
  <c r="W8" i="155"/>
  <c r="V8" i="155"/>
  <c r="BI73" i="114"/>
  <c r="AW73" i="114"/>
  <c r="BZ110" i="114"/>
  <c r="BY110" i="114"/>
  <c r="BX110" i="114"/>
  <c r="BW110" i="114"/>
  <c r="BZ108" i="114"/>
  <c r="BY108" i="114"/>
  <c r="BX108" i="114"/>
  <c r="BW108" i="114"/>
  <c r="AA111" i="114"/>
  <c r="AA108" i="114"/>
  <c r="AA102" i="114"/>
  <c r="AA94" i="114"/>
  <c r="AA89" i="114"/>
  <c r="AA82" i="114"/>
  <c r="AA76" i="114"/>
  <c r="AA70" i="114"/>
  <c r="AA66" i="114"/>
  <c r="AA64" i="114"/>
  <c r="AB6" i="123"/>
  <c r="AA23" i="122"/>
  <c r="AA21" i="122"/>
  <c r="K78" i="120" s="1"/>
  <c r="AB6" i="165"/>
  <c r="C47" i="92"/>
  <c r="D47" i="92"/>
  <c r="E47" i="92"/>
  <c r="F47" i="92"/>
  <c r="G47" i="92"/>
  <c r="C48" i="92"/>
  <c r="D48" i="92"/>
  <c r="E48" i="92"/>
  <c r="F48" i="92"/>
  <c r="G48" i="92"/>
  <c r="H48" i="92"/>
  <c r="I48" i="92"/>
  <c r="J48" i="92"/>
  <c r="K48" i="92"/>
  <c r="L48" i="92"/>
  <c r="M48" i="92"/>
  <c r="N48" i="92"/>
  <c r="O48" i="92"/>
  <c r="C49" i="92"/>
  <c r="D49" i="92"/>
  <c r="E49" i="92"/>
  <c r="F49" i="92"/>
  <c r="G49" i="92"/>
  <c r="H49" i="92"/>
  <c r="C5" i="112" s="1"/>
  <c r="I49" i="92"/>
  <c r="D5" i="112" s="1"/>
  <c r="J49" i="92"/>
  <c r="E5" i="112" s="1"/>
  <c r="K49" i="92"/>
  <c r="F5" i="112" s="1"/>
  <c r="L49" i="92"/>
  <c r="G5" i="112" s="1"/>
  <c r="M49" i="92"/>
  <c r="H5" i="112" s="1"/>
  <c r="N49" i="92"/>
  <c r="I5" i="112" s="1"/>
  <c r="O49" i="92"/>
  <c r="J5" i="112" s="1"/>
  <c r="P2" i="123"/>
  <c r="AO32" i="156"/>
  <c r="AD14" i="99" s="1"/>
  <c r="AO24" i="156"/>
  <c r="AD18" i="99" s="1"/>
  <c r="AK13" i="156"/>
  <c r="AK12" i="156"/>
  <c r="AK11" i="156"/>
  <c r="AK10" i="156"/>
  <c r="AK9" i="156"/>
  <c r="AK8" i="156"/>
  <c r="AK7" i="156"/>
  <c r="AK6" i="156"/>
  <c r="AK5" i="156"/>
  <c r="AK4" i="156"/>
  <c r="AC168" i="114"/>
  <c r="AC155" i="114"/>
  <c r="AC156" i="114"/>
  <c r="AC144" i="114"/>
  <c r="AC136" i="114"/>
  <c r="AC130" i="114"/>
  <c r="AC127" i="114"/>
  <c r="AC169" i="114"/>
  <c r="AC160" i="114"/>
  <c r="AC163" i="114"/>
  <c r="AB155" i="114"/>
  <c r="AC151" i="114"/>
  <c r="AC147" i="114"/>
  <c r="AC140" i="114"/>
  <c r="AC142" i="114"/>
  <c r="AC143" i="114"/>
  <c r="AC128" i="114"/>
  <c r="AC131" i="114"/>
  <c r="AC124" i="114"/>
  <c r="AC123" i="114"/>
  <c r="AC125" i="114"/>
  <c r="AC129" i="114"/>
  <c r="AC133" i="114"/>
  <c r="AC139" i="114"/>
  <c r="AC141" i="114"/>
  <c r="AC146" i="114"/>
  <c r="AC148" i="114"/>
  <c r="AC149" i="114"/>
  <c r="AC152" i="114"/>
  <c r="AC153" i="114"/>
  <c r="AC154" i="114"/>
  <c r="AC159" i="114"/>
  <c r="AC165" i="114"/>
  <c r="AC166" i="114"/>
  <c r="AC170" i="114"/>
  <c r="M87" i="121"/>
  <c r="CR92" i="114"/>
  <c r="CQ92" i="114"/>
  <c r="CP92" i="114"/>
  <c r="CO92" i="114"/>
  <c r="BR110" i="114"/>
  <c r="BS110" i="114"/>
  <c r="BT110" i="114"/>
  <c r="BQ110" i="114"/>
  <c r="BH73" i="114"/>
  <c r="BG75" i="114"/>
  <c r="BF75" i="114"/>
  <c r="BE73" i="114"/>
  <c r="BF73" i="114"/>
  <c r="AS18" i="91" s="1"/>
  <c r="BG73" i="114"/>
  <c r="BD73" i="114"/>
  <c r="BT108" i="114"/>
  <c r="AW81" i="114" s="1"/>
  <c r="BS108" i="114"/>
  <c r="BS109" i="114" s="1"/>
  <c r="BR108" i="114"/>
  <c r="BQ108" i="114"/>
  <c r="Q2" i="165"/>
  <c r="R2" i="165"/>
  <c r="S2" i="165"/>
  <c r="T2" i="165"/>
  <c r="U6" i="165"/>
  <c r="V6" i="165"/>
  <c r="W6" i="165"/>
  <c r="X6" i="165"/>
  <c r="Y6" i="165"/>
  <c r="Z6" i="165"/>
  <c r="AA6" i="165"/>
  <c r="P2" i="165"/>
  <c r="R2" i="123"/>
  <c r="R63" i="123" s="1"/>
  <c r="S2" i="123"/>
  <c r="S51" i="123" s="1"/>
  <c r="T2" i="123"/>
  <c r="T6" i="123" s="1"/>
  <c r="V6" i="123"/>
  <c r="C4" i="152" s="1"/>
  <c r="W6" i="123"/>
  <c r="C4" i="151" s="1"/>
  <c r="X6" i="123"/>
  <c r="C4" i="134" s="1"/>
  <c r="Y6" i="123"/>
  <c r="C4" i="157" s="1"/>
  <c r="Z6" i="123"/>
  <c r="AA6" i="123"/>
  <c r="Q2" i="123"/>
  <c r="P23" i="176"/>
  <c r="AB1" i="122" s="1"/>
  <c r="N23" i="176"/>
  <c r="Z1" i="122" s="1"/>
  <c r="O23" i="176"/>
  <c r="AA1" i="122" s="1"/>
  <c r="M23" i="176"/>
  <c r="Y1" i="122" s="1"/>
  <c r="L122" i="120"/>
  <c r="L81" i="120"/>
  <c r="K105" i="120"/>
  <c r="M106" i="120"/>
  <c r="L84" i="120"/>
  <c r="M97" i="120"/>
  <c r="M90" i="120"/>
  <c r="L101" i="120"/>
  <c r="K109" i="120"/>
  <c r="M116" i="120"/>
  <c r="K117" i="120"/>
  <c r="AB18" i="116"/>
  <c r="AB7" i="116" s="1"/>
  <c r="AB22" i="116"/>
  <c r="AB8" i="116" s="1"/>
  <c r="AB28" i="116"/>
  <c r="AB9" i="116" s="1"/>
  <c r="AB34" i="116"/>
  <c r="AB10" i="116" s="1"/>
  <c r="AB41" i="116"/>
  <c r="AB11" i="116" s="1"/>
  <c r="AK41" i="116"/>
  <c r="AK11" i="116" s="1"/>
  <c r="AB46" i="116"/>
  <c r="AB12" i="116" s="1"/>
  <c r="AB54" i="116"/>
  <c r="AB13" i="116" s="1"/>
  <c r="AB60" i="116"/>
  <c r="AB14" i="116" s="1"/>
  <c r="AB63" i="116"/>
  <c r="AB15" i="116" s="1"/>
  <c r="AD6" i="116"/>
  <c r="J75" i="120"/>
  <c r="J77" i="120"/>
  <c r="J78" i="120"/>
  <c r="J79" i="120"/>
  <c r="J81" i="120"/>
  <c r="J82" i="120"/>
  <c r="J83" i="120"/>
  <c r="J84" i="120"/>
  <c r="J85" i="120"/>
  <c r="J87" i="120"/>
  <c r="J88" i="120"/>
  <c r="J89" i="120"/>
  <c r="J90" i="120"/>
  <c r="J91" i="120"/>
  <c r="J93" i="120"/>
  <c r="J94" i="120"/>
  <c r="J95" i="120"/>
  <c r="J96" i="120"/>
  <c r="J97" i="120"/>
  <c r="J98" i="120"/>
  <c r="J100" i="120"/>
  <c r="J101" i="120"/>
  <c r="J102" i="120"/>
  <c r="J103" i="120"/>
  <c r="J105" i="120"/>
  <c r="J106" i="120"/>
  <c r="J107" i="120"/>
  <c r="J108" i="120"/>
  <c r="J109" i="120"/>
  <c r="J110" i="120"/>
  <c r="J111" i="120"/>
  <c r="J113" i="120"/>
  <c r="J114" i="120"/>
  <c r="J115" i="120"/>
  <c r="J116" i="120"/>
  <c r="J117" i="120"/>
  <c r="J119" i="120"/>
  <c r="J120" i="120"/>
  <c r="J122" i="120"/>
  <c r="J123" i="120"/>
  <c r="J124" i="120"/>
  <c r="H5" i="93"/>
  <c r="H5" i="119"/>
  <c r="H5" i="124"/>
  <c r="AI47" i="156"/>
  <c r="AB31" i="99" s="1"/>
  <c r="AI49" i="156"/>
  <c r="AB33" i="99" s="1"/>
  <c r="AI51" i="156"/>
  <c r="AB40" i="99" s="1"/>
  <c r="AI53" i="156"/>
  <c r="AB46" i="99" s="1"/>
  <c r="AI15" i="156"/>
  <c r="AB30" i="99" s="1"/>
  <c r="AI16" i="156"/>
  <c r="AB7" i="99" s="1"/>
  <c r="AI17" i="156"/>
  <c r="AB17" i="99" s="1"/>
  <c r="AI18" i="156"/>
  <c r="AB8" i="99" s="1"/>
  <c r="AI19" i="156"/>
  <c r="AB52" i="99" s="1"/>
  <c r="AI20" i="156"/>
  <c r="AB9" i="99" s="1"/>
  <c r="AI21" i="156"/>
  <c r="AB11" i="99" s="1"/>
  <c r="AI22" i="156"/>
  <c r="AB35" i="99" s="1"/>
  <c r="AI23" i="156"/>
  <c r="AB43" i="99" s="1"/>
  <c r="AI24" i="156"/>
  <c r="AB18" i="99" s="1"/>
  <c r="AI25" i="156"/>
  <c r="AB36" i="99" s="1"/>
  <c r="AI26" i="156"/>
  <c r="AB23" i="99" s="1"/>
  <c r="AI27" i="156"/>
  <c r="AB12" i="99" s="1"/>
  <c r="AI28" i="156"/>
  <c r="AB24" i="99" s="1"/>
  <c r="AI29" i="156"/>
  <c r="AB19" i="99" s="1"/>
  <c r="AI30" i="156"/>
  <c r="AB13" i="99" s="1"/>
  <c r="AI31" i="156"/>
  <c r="AB25" i="99" s="1"/>
  <c r="AI32" i="156"/>
  <c r="AB14" i="99" s="1"/>
  <c r="AI33" i="156"/>
  <c r="AB26" i="99" s="1"/>
  <c r="AI34" i="156"/>
  <c r="AB49" i="99" s="1"/>
  <c r="AI35" i="156"/>
  <c r="AB44" i="99" s="1"/>
  <c r="AI36" i="156"/>
  <c r="AB50" i="99" s="1"/>
  <c r="AI37" i="156"/>
  <c r="AB53" i="99" s="1"/>
  <c r="AI38" i="156"/>
  <c r="AB45" i="99" s="1"/>
  <c r="AI39" i="156"/>
  <c r="AB54" i="99" s="1"/>
  <c r="AI40" i="156"/>
  <c r="AB37" i="99" s="1"/>
  <c r="AI41" i="156"/>
  <c r="AB27" i="99" s="1"/>
  <c r="AI42" i="156"/>
  <c r="AB38" i="99" s="1"/>
  <c r="AI43" i="156"/>
  <c r="AB15" i="99" s="1"/>
  <c r="AI44" i="156"/>
  <c r="AB28" i="99" s="1"/>
  <c r="AI45" i="156"/>
  <c r="AB20" i="99" s="1"/>
  <c r="AI46" i="156"/>
  <c r="AB21" i="99" s="1"/>
  <c r="AI48" i="156"/>
  <c r="AB32" i="99" s="1"/>
  <c r="AI50" i="156"/>
  <c r="AB39" i="99" s="1"/>
  <c r="AI52" i="156"/>
  <c r="AB41" i="99" s="1"/>
  <c r="AI54" i="156"/>
  <c r="AB47" i="99" s="1"/>
  <c r="J5" i="119"/>
  <c r="AO56" i="155"/>
  <c r="AA54" i="108" s="1"/>
  <c r="AM53" i="155"/>
  <c r="AO54" i="155"/>
  <c r="AA52" i="108" s="1"/>
  <c r="AO52" i="155"/>
  <c r="AA50" i="108" s="1"/>
  <c r="AO47" i="155"/>
  <c r="AA45" i="108" s="1"/>
  <c r="AO38" i="155"/>
  <c r="AA36" i="108" s="1"/>
  <c r="AO33" i="155"/>
  <c r="AA31" i="108" s="1"/>
  <c r="AO32" i="155"/>
  <c r="AA30" i="108" s="1"/>
  <c r="AO28" i="155"/>
  <c r="AA26" i="108" s="1"/>
  <c r="AO27" i="155"/>
  <c r="AO23" i="155"/>
  <c r="AA21" i="108" s="1"/>
  <c r="AO22" i="155"/>
  <c r="AA20" i="108" s="1"/>
  <c r="AO19" i="155"/>
  <c r="AA17" i="108" s="1"/>
  <c r="AO17" i="155"/>
  <c r="AA15" i="108" s="1"/>
  <c r="AO14" i="155"/>
  <c r="AA12" i="108" s="1"/>
  <c r="AO9" i="155"/>
  <c r="AO7" i="155"/>
  <c r="AA5" i="108" s="1"/>
  <c r="AC6" i="116"/>
  <c r="AI14" i="156"/>
  <c r="L77" i="120"/>
  <c r="L88" i="120"/>
  <c r="L93" i="120"/>
  <c r="L115" i="120"/>
  <c r="L119" i="120"/>
  <c r="I5" i="93"/>
  <c r="I5" i="119"/>
  <c r="I5" i="124"/>
  <c r="AO13" i="155"/>
  <c r="AA11" i="108" s="1"/>
  <c r="AO25" i="155"/>
  <c r="AA23" i="108" s="1"/>
  <c r="AO30" i="155"/>
  <c r="AA28" i="108" s="1"/>
  <c r="AO37" i="155"/>
  <c r="AA35" i="108" s="1"/>
  <c r="AO42" i="155"/>
  <c r="AA40" i="108" s="1"/>
  <c r="AO49" i="155"/>
  <c r="AA47" i="108" s="1"/>
  <c r="AO55" i="155"/>
  <c r="AA53" i="108" s="1"/>
  <c r="AB6" i="116"/>
  <c r="AF16" i="156"/>
  <c r="AA7" i="99" s="1"/>
  <c r="AF14" i="156"/>
  <c r="AF17" i="156"/>
  <c r="AA17" i="99" s="1"/>
  <c r="AF18" i="156"/>
  <c r="AA8" i="99" s="1"/>
  <c r="AF20" i="156"/>
  <c r="AA9" i="99" s="1"/>
  <c r="AF21" i="156"/>
  <c r="AA11" i="99" s="1"/>
  <c r="AF22" i="156"/>
  <c r="AA35" i="99" s="1"/>
  <c r="AF23" i="156"/>
  <c r="AA43" i="99" s="1"/>
  <c r="AF24" i="156"/>
  <c r="AA18" i="99" s="1"/>
  <c r="AF29" i="156"/>
  <c r="AA19" i="99" s="1"/>
  <c r="AF45" i="156"/>
  <c r="AA20" i="99" s="1"/>
  <c r="AF46" i="156"/>
  <c r="AA21" i="99" s="1"/>
  <c r="AF26" i="156"/>
  <c r="AA23" i="99" s="1"/>
  <c r="AF28" i="156"/>
  <c r="AA24" i="99" s="1"/>
  <c r="AF31" i="156"/>
  <c r="AA25" i="99" s="1"/>
  <c r="AF33" i="156"/>
  <c r="AA26" i="99" s="1"/>
  <c r="AF41" i="156"/>
  <c r="AA27" i="99" s="1"/>
  <c r="AF44" i="156"/>
  <c r="AA28" i="99" s="1"/>
  <c r="AF15" i="156"/>
  <c r="AA30" i="99" s="1"/>
  <c r="AF47" i="156"/>
  <c r="AA31" i="99" s="1"/>
  <c r="AF48" i="156"/>
  <c r="AA32" i="99" s="1"/>
  <c r="AF49" i="156"/>
  <c r="AA33" i="99" s="1"/>
  <c r="AF25" i="156"/>
  <c r="AA36" i="99" s="1"/>
  <c r="AF40" i="156"/>
  <c r="AA37" i="99" s="1"/>
  <c r="AF42" i="156"/>
  <c r="AA38" i="99" s="1"/>
  <c r="AF50" i="156"/>
  <c r="AA39" i="99" s="1"/>
  <c r="AF51" i="156"/>
  <c r="AA40" i="99" s="1"/>
  <c r="AF52" i="156"/>
  <c r="AA41" i="99" s="1"/>
  <c r="AF35" i="156"/>
  <c r="AA44" i="99" s="1"/>
  <c r="AF38" i="156"/>
  <c r="AA45" i="99" s="1"/>
  <c r="AF53" i="156"/>
  <c r="AA46" i="99" s="1"/>
  <c r="AF54" i="156"/>
  <c r="AA47" i="99" s="1"/>
  <c r="AF34" i="156"/>
  <c r="AA49" i="99" s="1"/>
  <c r="AF36" i="156"/>
  <c r="AA50" i="99" s="1"/>
  <c r="AF19" i="156"/>
  <c r="AA52" i="99" s="1"/>
  <c r="AF37" i="156"/>
  <c r="AA53" i="99" s="1"/>
  <c r="AF39" i="156"/>
  <c r="AA54" i="99" s="1"/>
  <c r="K75" i="120"/>
  <c r="K81" i="120"/>
  <c r="K82" i="120"/>
  <c r="K83" i="120"/>
  <c r="K84" i="120"/>
  <c r="K85" i="120"/>
  <c r="K87" i="120"/>
  <c r="K88" i="120"/>
  <c r="K89" i="120"/>
  <c r="K90" i="120"/>
  <c r="K91" i="120"/>
  <c r="K94" i="120"/>
  <c r="K95" i="120"/>
  <c r="K96" i="120"/>
  <c r="K97" i="120"/>
  <c r="K98" i="120"/>
  <c r="K100" i="120"/>
  <c r="K101" i="120"/>
  <c r="K102" i="120"/>
  <c r="K103" i="120"/>
  <c r="K106" i="120"/>
  <c r="K107" i="120"/>
  <c r="K108" i="120"/>
  <c r="K110" i="120"/>
  <c r="K111" i="120"/>
  <c r="K113" i="120"/>
  <c r="K114" i="120"/>
  <c r="K115" i="120"/>
  <c r="K116" i="120"/>
  <c r="K119" i="120"/>
  <c r="K120" i="120"/>
  <c r="K122" i="120"/>
  <c r="K123" i="120"/>
  <c r="K124" i="120"/>
  <c r="J5" i="93"/>
  <c r="AA6" i="116"/>
  <c r="AA18" i="116"/>
  <c r="AA7" i="116" s="1"/>
  <c r="AA22" i="116"/>
  <c r="AA8" i="116" s="1"/>
  <c r="AA28" i="116"/>
  <c r="AA9" i="116" s="1"/>
  <c r="AA34" i="116"/>
  <c r="AA10" i="116" s="1"/>
  <c r="AA41" i="116"/>
  <c r="AA11" i="116" s="1"/>
  <c r="AA46" i="116"/>
  <c r="AA12" i="116" s="1"/>
  <c r="AA54" i="116"/>
  <c r="AA13" i="116" s="1"/>
  <c r="AA60" i="116"/>
  <c r="AA14" i="116" s="1"/>
  <c r="AA63" i="116"/>
  <c r="AA15" i="116" s="1"/>
  <c r="P11" i="176"/>
  <c r="P13" i="176" s="1"/>
  <c r="P14" i="176"/>
  <c r="P16" i="176" s="1"/>
  <c r="AB160" i="114"/>
  <c r="AB163" i="114"/>
  <c r="AB154" i="114"/>
  <c r="AB156" i="114"/>
  <c r="AB136" i="114"/>
  <c r="AB128" i="114"/>
  <c r="AA121" i="114"/>
  <c r="AA123" i="114"/>
  <c r="AA124" i="114"/>
  <c r="AA125" i="114"/>
  <c r="AA127" i="114"/>
  <c r="AA128" i="114"/>
  <c r="AA129" i="114"/>
  <c r="AA130" i="114"/>
  <c r="AA131" i="114"/>
  <c r="AA133" i="114"/>
  <c r="AA134" i="114"/>
  <c r="AA135" i="114"/>
  <c r="AA136" i="114"/>
  <c r="AA137" i="114"/>
  <c r="AA139" i="114"/>
  <c r="AA141" i="114"/>
  <c r="AA142" i="114"/>
  <c r="AA143" i="114"/>
  <c r="AA144" i="114"/>
  <c r="AA146" i="114"/>
  <c r="AA147" i="114"/>
  <c r="AA148" i="114"/>
  <c r="AA149" i="114"/>
  <c r="AA151" i="114"/>
  <c r="AA152" i="114"/>
  <c r="AA153" i="114"/>
  <c r="AA154" i="114"/>
  <c r="AA155" i="114"/>
  <c r="AA157" i="114"/>
  <c r="AA159" i="114"/>
  <c r="AA160" i="114"/>
  <c r="AA161" i="114"/>
  <c r="AA162" i="114"/>
  <c r="AA163" i="114"/>
  <c r="AA165" i="114"/>
  <c r="AA166" i="114"/>
  <c r="AA168" i="114"/>
  <c r="AA169" i="114"/>
  <c r="AA170" i="114"/>
  <c r="G5" i="120"/>
  <c r="AG13" i="156"/>
  <c r="AH13" i="156"/>
  <c r="AG12" i="156"/>
  <c r="AH12" i="156"/>
  <c r="AG11" i="156"/>
  <c r="AH11" i="156"/>
  <c r="AG10" i="156"/>
  <c r="AH10" i="156"/>
  <c r="AG9" i="156"/>
  <c r="AH9" i="156"/>
  <c r="AG8" i="156"/>
  <c r="AH8" i="156"/>
  <c r="AG7" i="156"/>
  <c r="AH7" i="156"/>
  <c r="AG6" i="156"/>
  <c r="AH6" i="156"/>
  <c r="AG5" i="156"/>
  <c r="AH5" i="156"/>
  <c r="AG4" i="156"/>
  <c r="AH4" i="156"/>
  <c r="L17" i="158"/>
  <c r="L87" i="121"/>
  <c r="C59" i="92"/>
  <c r="C58" i="92" s="1"/>
  <c r="N7" i="99"/>
  <c r="N5" i="99"/>
  <c r="N8" i="99"/>
  <c r="N9" i="99"/>
  <c r="N11" i="99"/>
  <c r="N12" i="99"/>
  <c r="N13" i="99"/>
  <c r="N10" i="99" s="1"/>
  <c r="N14" i="99"/>
  <c r="N15" i="99"/>
  <c r="N17" i="99"/>
  <c r="N18" i="99"/>
  <c r="N19" i="99"/>
  <c r="N20" i="99"/>
  <c r="N21" i="99"/>
  <c r="N23" i="99"/>
  <c r="N24" i="99"/>
  <c r="N22" i="99" s="1"/>
  <c r="N25" i="99"/>
  <c r="N26" i="99"/>
  <c r="N27" i="99"/>
  <c r="N28" i="99"/>
  <c r="N30" i="99"/>
  <c r="N31" i="99"/>
  <c r="N32" i="99"/>
  <c r="N33" i="99"/>
  <c r="N35" i="99"/>
  <c r="N36" i="99"/>
  <c r="N37" i="99"/>
  <c r="N38" i="99"/>
  <c r="N39" i="99"/>
  <c r="N40" i="99"/>
  <c r="N41" i="99"/>
  <c r="N43" i="99"/>
  <c r="N44" i="99"/>
  <c r="N45" i="99"/>
  <c r="N46" i="99"/>
  <c r="N47" i="99"/>
  <c r="N49" i="99"/>
  <c r="N50" i="99"/>
  <c r="N48" i="99" s="1"/>
  <c r="N52" i="99"/>
  <c r="N53" i="99"/>
  <c r="N54" i="99"/>
  <c r="Y123" i="114"/>
  <c r="Y121" i="114"/>
  <c r="Y124" i="114"/>
  <c r="Y125" i="114"/>
  <c r="Y127" i="114"/>
  <c r="Y128" i="114"/>
  <c r="Y129" i="114"/>
  <c r="Y130" i="114"/>
  <c r="Y131" i="114"/>
  <c r="Y133" i="114"/>
  <c r="Y134" i="114"/>
  <c r="Y135" i="114"/>
  <c r="Y136" i="114"/>
  <c r="Y137" i="114"/>
  <c r="Y139" i="114"/>
  <c r="Y140" i="114"/>
  <c r="Y141" i="114"/>
  <c r="Y142" i="114"/>
  <c r="Y143" i="114"/>
  <c r="Y144" i="114"/>
  <c r="Y146" i="114"/>
  <c r="Y147" i="114"/>
  <c r="Y148" i="114"/>
  <c r="Y149" i="114"/>
  <c r="Y151" i="114"/>
  <c r="Y152" i="114"/>
  <c r="Y153" i="114"/>
  <c r="Y154" i="114"/>
  <c r="Y155" i="114"/>
  <c r="Y156" i="114"/>
  <c r="Y157" i="114"/>
  <c r="Y159" i="114"/>
  <c r="Y160" i="114"/>
  <c r="Y161" i="114"/>
  <c r="Y162" i="114"/>
  <c r="Y163" i="114"/>
  <c r="Y165" i="114"/>
  <c r="Y166" i="114"/>
  <c r="Y168" i="114"/>
  <c r="Y169" i="114"/>
  <c r="Y170" i="114"/>
  <c r="AG7" i="155"/>
  <c r="Y5" i="108" s="1"/>
  <c r="AG10" i="155"/>
  <c r="Y8" i="108" s="1"/>
  <c r="AG11" i="155"/>
  <c r="Y9" i="108" s="1"/>
  <c r="AG14" i="155"/>
  <c r="Y12" i="108" s="1"/>
  <c r="AG15" i="155"/>
  <c r="Y13" i="108" s="1"/>
  <c r="AG17" i="155"/>
  <c r="Y15" i="108" s="1"/>
  <c r="AG19" i="155"/>
  <c r="Y17" i="108" s="1"/>
  <c r="AG20" i="155"/>
  <c r="Y18" i="108" s="1"/>
  <c r="AG21" i="155"/>
  <c r="Y19" i="108" s="1"/>
  <c r="AG22" i="155"/>
  <c r="Y20" i="108" s="1"/>
  <c r="AG23" i="155"/>
  <c r="Y21" i="108" s="1"/>
  <c r="AG25" i="155"/>
  <c r="Y23" i="108" s="1"/>
  <c r="AG26" i="155"/>
  <c r="Y24" i="108" s="1"/>
  <c r="AG27" i="155"/>
  <c r="Y25" i="108" s="1"/>
  <c r="AG28" i="155"/>
  <c r="Y26" i="108" s="1"/>
  <c r="AG29" i="155"/>
  <c r="Y27" i="108" s="1"/>
  <c r="AG30" i="155"/>
  <c r="Y28" i="108" s="1"/>
  <c r="AG33" i="155"/>
  <c r="Y31" i="108" s="1"/>
  <c r="AG34" i="155"/>
  <c r="Y32" i="108" s="1"/>
  <c r="AG35" i="155"/>
  <c r="Y33" i="108" s="1"/>
  <c r="AG37" i="155"/>
  <c r="Y35" i="108" s="1"/>
  <c r="AG38" i="155"/>
  <c r="Y36" i="108" s="1"/>
  <c r="AG39" i="155"/>
  <c r="Y37" i="108" s="1"/>
  <c r="AG40" i="155"/>
  <c r="Y38" i="108" s="1"/>
  <c r="AG41" i="155"/>
  <c r="Y39" i="108" s="1"/>
  <c r="AG42" i="155"/>
  <c r="Y40" i="108" s="1"/>
  <c r="AG45" i="155"/>
  <c r="Y43" i="108" s="1"/>
  <c r="AG46" i="155"/>
  <c r="Y44" i="108" s="1"/>
  <c r="AG47" i="155"/>
  <c r="Y45" i="108" s="1"/>
  <c r="AG48" i="155"/>
  <c r="Y46" i="108" s="1"/>
  <c r="AG49" i="155"/>
  <c r="Y47" i="108" s="1"/>
  <c r="AG52" i="155"/>
  <c r="Y50" i="108" s="1"/>
  <c r="AG54" i="155"/>
  <c r="Y52" i="108" s="1"/>
  <c r="AG55" i="155"/>
  <c r="Y53" i="108" s="1"/>
  <c r="AG56" i="155"/>
  <c r="Y54" i="108" s="1"/>
  <c r="X1" i="122"/>
  <c r="H77" i="120"/>
  <c r="H75" i="120"/>
  <c r="H78" i="120"/>
  <c r="H79" i="120"/>
  <c r="H81" i="120"/>
  <c r="H82" i="120"/>
  <c r="H83" i="120"/>
  <c r="H84" i="120"/>
  <c r="H85" i="120"/>
  <c r="H87" i="120"/>
  <c r="H88" i="120"/>
  <c r="H89" i="120"/>
  <c r="H90" i="120"/>
  <c r="H91" i="120"/>
  <c r="H93" i="120"/>
  <c r="H94" i="120"/>
  <c r="H95" i="120"/>
  <c r="H96" i="120"/>
  <c r="H97" i="120"/>
  <c r="H98" i="120"/>
  <c r="H100" i="120"/>
  <c r="H101" i="120"/>
  <c r="H102" i="120"/>
  <c r="H103" i="120"/>
  <c r="H105" i="120"/>
  <c r="H106" i="120"/>
  <c r="H107" i="120"/>
  <c r="H108" i="120"/>
  <c r="H109" i="120"/>
  <c r="H110" i="120"/>
  <c r="H111" i="120"/>
  <c r="H113" i="120"/>
  <c r="H114" i="120"/>
  <c r="H115" i="120"/>
  <c r="H116" i="120"/>
  <c r="H117" i="120"/>
  <c r="H119" i="120"/>
  <c r="H120" i="120"/>
  <c r="H122" i="120"/>
  <c r="H123" i="120"/>
  <c r="H124" i="120"/>
  <c r="I77" i="120"/>
  <c r="I75" i="120"/>
  <c r="I78" i="120"/>
  <c r="I79" i="120"/>
  <c r="I81" i="120"/>
  <c r="I82" i="120"/>
  <c r="I83" i="120"/>
  <c r="I84" i="120"/>
  <c r="I85" i="120"/>
  <c r="I87" i="120"/>
  <c r="I88" i="120"/>
  <c r="I89" i="120"/>
  <c r="I90" i="120"/>
  <c r="I91" i="120"/>
  <c r="I93" i="120"/>
  <c r="I94" i="120"/>
  <c r="I95" i="120"/>
  <c r="I96" i="120"/>
  <c r="I97" i="120"/>
  <c r="I98" i="120"/>
  <c r="I100" i="120"/>
  <c r="I101" i="120"/>
  <c r="I102" i="120"/>
  <c r="I103" i="120"/>
  <c r="I105" i="120"/>
  <c r="I106" i="120"/>
  <c r="I107" i="120"/>
  <c r="I108" i="120"/>
  <c r="I109" i="120"/>
  <c r="I110" i="120"/>
  <c r="I111" i="120"/>
  <c r="I113" i="120"/>
  <c r="I114" i="120"/>
  <c r="I115" i="120"/>
  <c r="I116" i="120"/>
  <c r="I117" i="120"/>
  <c r="I119" i="120"/>
  <c r="I120" i="120"/>
  <c r="I122" i="120"/>
  <c r="I123" i="120"/>
  <c r="I124" i="120"/>
  <c r="Z123" i="114"/>
  <c r="Z121" i="114"/>
  <c r="Z124" i="114"/>
  <c r="Z125" i="114"/>
  <c r="Z127" i="114"/>
  <c r="Z128" i="114"/>
  <c r="Z129" i="114"/>
  <c r="Z130" i="114"/>
  <c r="Z131" i="114"/>
  <c r="Z133" i="114"/>
  <c r="Z134" i="114"/>
  <c r="Z135" i="114"/>
  <c r="Z136" i="114"/>
  <c r="Z137" i="114"/>
  <c r="Z139" i="114"/>
  <c r="Z140" i="114"/>
  <c r="Z141" i="114"/>
  <c r="Z142" i="114"/>
  <c r="Z143" i="114"/>
  <c r="Z144" i="114"/>
  <c r="Z146" i="114"/>
  <c r="Z147" i="114"/>
  <c r="Z148" i="114"/>
  <c r="Z149" i="114"/>
  <c r="Z151" i="114"/>
  <c r="Z152" i="114"/>
  <c r="Z153" i="114"/>
  <c r="Z154" i="114"/>
  <c r="Z155" i="114"/>
  <c r="Z156" i="114"/>
  <c r="Z157" i="114"/>
  <c r="Z159" i="114"/>
  <c r="Z160" i="114"/>
  <c r="Z161" i="114"/>
  <c r="Z162" i="114"/>
  <c r="Z163" i="114"/>
  <c r="Z165" i="114"/>
  <c r="Z166" i="114"/>
  <c r="Z168" i="114"/>
  <c r="Z169" i="114"/>
  <c r="Z170" i="114"/>
  <c r="AK9" i="155"/>
  <c r="Z7" i="108" s="1"/>
  <c r="AK7" i="155"/>
  <c r="Z5" i="108" s="1"/>
  <c r="AK11" i="155"/>
  <c r="Z9" i="108" s="1"/>
  <c r="AK13" i="155"/>
  <c r="Z11" i="108" s="1"/>
  <c r="AK14" i="155"/>
  <c r="AK16" i="155"/>
  <c r="Z14" i="108" s="1"/>
  <c r="AK17" i="155"/>
  <c r="Z15" i="108" s="1"/>
  <c r="AK19" i="155"/>
  <c r="Z17" i="108" s="1"/>
  <c r="AI18" i="155"/>
  <c r="AK21" i="155"/>
  <c r="Z19" i="108" s="1"/>
  <c r="AK22" i="155"/>
  <c r="Z20" i="108" s="1"/>
  <c r="AK23" i="155"/>
  <c r="Z21" i="108" s="1"/>
  <c r="AK26" i="155"/>
  <c r="AI24" i="155"/>
  <c r="AK27" i="155"/>
  <c r="Z25" i="108" s="1"/>
  <c r="AK28" i="155"/>
  <c r="Z26" i="108" s="1"/>
  <c r="AK30" i="155"/>
  <c r="Z28" i="108" s="1"/>
  <c r="AK32" i="155"/>
  <c r="Z30" i="108" s="1"/>
  <c r="AK33" i="155"/>
  <c r="Z31" i="108" s="1"/>
  <c r="AK35" i="155"/>
  <c r="Z33" i="108" s="1"/>
  <c r="AK37" i="155"/>
  <c r="AK38" i="155"/>
  <c r="Z36" i="108" s="1"/>
  <c r="AK40" i="155"/>
  <c r="Z38" i="108" s="1"/>
  <c r="AI36" i="155"/>
  <c r="AK41" i="155"/>
  <c r="Z39" i="108" s="1"/>
  <c r="AK42" i="155"/>
  <c r="Z40" i="108" s="1"/>
  <c r="AK45" i="155"/>
  <c r="Z43" i="108" s="1"/>
  <c r="AK46" i="155"/>
  <c r="Z44" i="108" s="1"/>
  <c r="AK47" i="155"/>
  <c r="Z45" i="108" s="1"/>
  <c r="AI44" i="155"/>
  <c r="AK49" i="155"/>
  <c r="Z47" i="108" s="1"/>
  <c r="AK51" i="155"/>
  <c r="Z49" i="108" s="1"/>
  <c r="AK52" i="155"/>
  <c r="Z50" i="108" s="1"/>
  <c r="AI53" i="155"/>
  <c r="AK55" i="155"/>
  <c r="Z53" i="108" s="1"/>
  <c r="AK56" i="155"/>
  <c r="Z54" i="108" s="1"/>
  <c r="X125" i="114"/>
  <c r="X121" i="114"/>
  <c r="X123" i="114"/>
  <c r="X124" i="114"/>
  <c r="X127" i="114"/>
  <c r="X128" i="114"/>
  <c r="X129" i="114"/>
  <c r="X130" i="114"/>
  <c r="X131" i="114"/>
  <c r="X133" i="114"/>
  <c r="X134" i="114"/>
  <c r="X135" i="114"/>
  <c r="X136" i="114"/>
  <c r="X137" i="114"/>
  <c r="X139" i="114"/>
  <c r="X140" i="114"/>
  <c r="X141" i="114"/>
  <c r="X142" i="114"/>
  <c r="X143" i="114"/>
  <c r="X144" i="114"/>
  <c r="X146" i="114"/>
  <c r="X147" i="114"/>
  <c r="X148" i="114"/>
  <c r="X149" i="114"/>
  <c r="X151" i="114"/>
  <c r="X152" i="114"/>
  <c r="X153" i="114"/>
  <c r="X154" i="114"/>
  <c r="X155" i="114"/>
  <c r="X156" i="114"/>
  <c r="X157" i="114"/>
  <c r="X159" i="114"/>
  <c r="X160" i="114"/>
  <c r="X161" i="114"/>
  <c r="X162" i="114"/>
  <c r="X163" i="114"/>
  <c r="X165" i="114"/>
  <c r="X166" i="114"/>
  <c r="X168" i="114"/>
  <c r="X169" i="114"/>
  <c r="X170" i="114"/>
  <c r="AC7" i="155"/>
  <c r="X5" i="108" s="1"/>
  <c r="AC10" i="155"/>
  <c r="X8" i="108" s="1"/>
  <c r="AC14" i="155"/>
  <c r="X12" i="108" s="1"/>
  <c r="AC16" i="155"/>
  <c r="X14" i="108" s="1"/>
  <c r="AC17" i="155"/>
  <c r="X15" i="108" s="1"/>
  <c r="AC19" i="155"/>
  <c r="X17" i="108" s="1"/>
  <c r="AC20" i="155"/>
  <c r="X18" i="108" s="1"/>
  <c r="AC21" i="155"/>
  <c r="AC22" i="155"/>
  <c r="X20" i="108" s="1"/>
  <c r="AC23" i="155"/>
  <c r="X21" i="108" s="1"/>
  <c r="AC25" i="155"/>
  <c r="X23" i="108" s="1"/>
  <c r="AC26" i="155"/>
  <c r="X24" i="108" s="1"/>
  <c r="AC27" i="155"/>
  <c r="X25" i="108" s="1"/>
  <c r="AC28" i="155"/>
  <c r="X26" i="108" s="1"/>
  <c r="AC29" i="155"/>
  <c r="X27" i="108" s="1"/>
  <c r="AC30" i="155"/>
  <c r="AC32" i="155"/>
  <c r="X30" i="108" s="1"/>
  <c r="AC33" i="155"/>
  <c r="X31" i="108" s="1"/>
  <c r="AC35" i="155"/>
  <c r="X33" i="108" s="1"/>
  <c r="AC38" i="155"/>
  <c r="X36" i="108" s="1"/>
  <c r="AC40" i="155"/>
  <c r="X38" i="108" s="1"/>
  <c r="AC42" i="155"/>
  <c r="X40" i="108" s="1"/>
  <c r="AC45" i="155"/>
  <c r="X43" i="108" s="1"/>
  <c r="AC47" i="155"/>
  <c r="X45" i="108" s="1"/>
  <c r="AC48" i="155"/>
  <c r="X46" i="108" s="1"/>
  <c r="AC49" i="155"/>
  <c r="X47" i="108" s="1"/>
  <c r="AC51" i="155"/>
  <c r="X49" i="108" s="1"/>
  <c r="AC52" i="155"/>
  <c r="X50" i="108" s="1"/>
  <c r="AC54" i="155"/>
  <c r="AC55" i="155"/>
  <c r="X53" i="108" s="1"/>
  <c r="AC56" i="155"/>
  <c r="X54" i="108" s="1"/>
  <c r="W123" i="114"/>
  <c r="W121" i="114"/>
  <c r="W124" i="114"/>
  <c r="W125" i="114"/>
  <c r="W127" i="114"/>
  <c r="W128" i="114"/>
  <c r="W129" i="114"/>
  <c r="W130" i="114"/>
  <c r="W131" i="114"/>
  <c r="W133" i="114"/>
  <c r="W134" i="114"/>
  <c r="W135" i="114"/>
  <c r="W136" i="114"/>
  <c r="W137" i="114"/>
  <c r="W139" i="114"/>
  <c r="W140" i="114"/>
  <c r="W141" i="114"/>
  <c r="W142" i="114"/>
  <c r="W143" i="114"/>
  <c r="W144" i="114"/>
  <c r="W146" i="114"/>
  <c r="W147" i="114"/>
  <c r="W148" i="114"/>
  <c r="W149" i="114"/>
  <c r="W151" i="114"/>
  <c r="W152" i="114"/>
  <c r="W153" i="114"/>
  <c r="W154" i="114"/>
  <c r="W155" i="114"/>
  <c r="W156" i="114"/>
  <c r="W157" i="114"/>
  <c r="W159" i="114"/>
  <c r="W160" i="114"/>
  <c r="W161" i="114"/>
  <c r="W162" i="114"/>
  <c r="W163" i="114"/>
  <c r="W165" i="114"/>
  <c r="W166" i="114"/>
  <c r="W168" i="114"/>
  <c r="W169" i="114"/>
  <c r="W170" i="114"/>
  <c r="G5" i="93"/>
  <c r="Y9" i="155"/>
  <c r="Y7" i="155"/>
  <c r="W5" i="108" s="1"/>
  <c r="Y10" i="155"/>
  <c r="W8" i="108" s="1"/>
  <c r="Y11" i="155"/>
  <c r="W9" i="108" s="1"/>
  <c r="Y13" i="155"/>
  <c r="Y14" i="155"/>
  <c r="W12" i="108" s="1"/>
  <c r="Y15" i="155"/>
  <c r="W13" i="108" s="1"/>
  <c r="Y16" i="155"/>
  <c r="W14" i="108" s="1"/>
  <c r="Y17" i="155"/>
  <c r="W15" i="108" s="1"/>
  <c r="Y19" i="155"/>
  <c r="W17" i="108" s="1"/>
  <c r="Y20" i="155"/>
  <c r="W18" i="108" s="1"/>
  <c r="Y21" i="155"/>
  <c r="W19" i="108" s="1"/>
  <c r="Y22" i="155"/>
  <c r="W20" i="108" s="1"/>
  <c r="Y23" i="155"/>
  <c r="W21" i="108" s="1"/>
  <c r="Y25" i="155"/>
  <c r="Y26" i="155"/>
  <c r="W24" i="108" s="1"/>
  <c r="Y27" i="155"/>
  <c r="W25" i="108" s="1"/>
  <c r="Y28" i="155"/>
  <c r="W26" i="108" s="1"/>
  <c r="Y29" i="155"/>
  <c r="W27" i="108" s="1"/>
  <c r="Y30" i="155"/>
  <c r="W28" i="108" s="1"/>
  <c r="Y32" i="155"/>
  <c r="W30" i="108" s="1"/>
  <c r="Y33" i="155"/>
  <c r="Y34" i="155"/>
  <c r="W32" i="108" s="1"/>
  <c r="Y35" i="155"/>
  <c r="W33" i="108" s="1"/>
  <c r="Y37" i="155"/>
  <c r="W35" i="108" s="1"/>
  <c r="Y38" i="155"/>
  <c r="W36" i="108" s="1"/>
  <c r="Y39" i="155"/>
  <c r="W37" i="108" s="1"/>
  <c r="Y40" i="155"/>
  <c r="W38" i="108" s="1"/>
  <c r="Y41" i="155"/>
  <c r="W39" i="108" s="1"/>
  <c r="Y42" i="155"/>
  <c r="Y43" i="155"/>
  <c r="W41" i="108" s="1"/>
  <c r="Y45" i="155"/>
  <c r="W43" i="108" s="1"/>
  <c r="Y46" i="155"/>
  <c r="W44" i="108" s="1"/>
  <c r="Y47" i="155"/>
  <c r="W45" i="108" s="1"/>
  <c r="Y48" i="155"/>
  <c r="Y49" i="155"/>
  <c r="W47" i="108" s="1"/>
  <c r="Y51" i="155"/>
  <c r="W49" i="108" s="1"/>
  <c r="Y52" i="155"/>
  <c r="Y54" i="155"/>
  <c r="Y55" i="155"/>
  <c r="W53" i="108" s="1"/>
  <c r="Y56" i="155"/>
  <c r="W54" i="108" s="1"/>
  <c r="G77" i="120"/>
  <c r="G75" i="120"/>
  <c r="G78" i="120"/>
  <c r="G79" i="120"/>
  <c r="G81" i="120"/>
  <c r="G82" i="120"/>
  <c r="G83" i="120"/>
  <c r="G84" i="120"/>
  <c r="G85" i="120"/>
  <c r="G87" i="120"/>
  <c r="G88" i="120"/>
  <c r="G89" i="120"/>
  <c r="G90" i="120"/>
  <c r="G91" i="120"/>
  <c r="G93" i="120"/>
  <c r="G94" i="120"/>
  <c r="G95" i="120"/>
  <c r="G96" i="120"/>
  <c r="G97" i="120"/>
  <c r="G98" i="120"/>
  <c r="G100" i="120"/>
  <c r="G101" i="120"/>
  <c r="G102" i="120"/>
  <c r="G103" i="120"/>
  <c r="G105" i="120"/>
  <c r="G106" i="120"/>
  <c r="G107" i="120"/>
  <c r="G108" i="120"/>
  <c r="G109" i="120"/>
  <c r="G110" i="120"/>
  <c r="G111" i="120"/>
  <c r="G113" i="120"/>
  <c r="G114" i="120"/>
  <c r="G115" i="120"/>
  <c r="G116" i="120"/>
  <c r="G117" i="120"/>
  <c r="G119" i="120"/>
  <c r="G120" i="120"/>
  <c r="G122" i="120"/>
  <c r="G123" i="120"/>
  <c r="G124" i="120"/>
  <c r="G5" i="119"/>
  <c r="G5" i="124"/>
  <c r="V123" i="114"/>
  <c r="AC8" i="86"/>
  <c r="V124" i="114"/>
  <c r="V125" i="114"/>
  <c r="V127" i="114"/>
  <c r="V128" i="114"/>
  <c r="V129" i="114"/>
  <c r="V130" i="114"/>
  <c r="V131" i="114"/>
  <c r="V133" i="114"/>
  <c r="V134" i="114"/>
  <c r="V135" i="114"/>
  <c r="V136" i="114"/>
  <c r="V137" i="114"/>
  <c r="V139" i="114"/>
  <c r="V140" i="114"/>
  <c r="V141" i="114"/>
  <c r="V142" i="114"/>
  <c r="V143" i="114"/>
  <c r="V144" i="114"/>
  <c r="V146" i="114"/>
  <c r="V147" i="114"/>
  <c r="V148" i="114"/>
  <c r="V149" i="114"/>
  <c r="V151" i="114"/>
  <c r="V152" i="114"/>
  <c r="V153" i="114"/>
  <c r="V154" i="114"/>
  <c r="V155" i="114"/>
  <c r="V156" i="114"/>
  <c r="V157" i="114"/>
  <c r="V159" i="114"/>
  <c r="V160" i="114"/>
  <c r="V161" i="114"/>
  <c r="V162" i="114"/>
  <c r="V163" i="114"/>
  <c r="V165" i="114"/>
  <c r="V166" i="114"/>
  <c r="V168" i="114"/>
  <c r="V169" i="114"/>
  <c r="V170" i="114"/>
  <c r="F5" i="93"/>
  <c r="U9" i="155"/>
  <c r="V7" i="108" s="1"/>
  <c r="U7" i="155"/>
  <c r="V5" i="108" s="1"/>
  <c r="U10" i="155"/>
  <c r="V8" i="108" s="1"/>
  <c r="U11" i="155"/>
  <c r="V9" i="108" s="1"/>
  <c r="U13" i="155"/>
  <c r="V11" i="108" s="1"/>
  <c r="U14" i="155"/>
  <c r="V12" i="108" s="1"/>
  <c r="U15" i="155"/>
  <c r="V13" i="108" s="1"/>
  <c r="U16" i="155"/>
  <c r="U17" i="155"/>
  <c r="V15" i="108" s="1"/>
  <c r="U19" i="155"/>
  <c r="V17" i="108" s="1"/>
  <c r="U20" i="155"/>
  <c r="V18" i="108" s="1"/>
  <c r="U21" i="155"/>
  <c r="V19" i="108" s="1"/>
  <c r="U22" i="155"/>
  <c r="V20" i="108" s="1"/>
  <c r="U23" i="155"/>
  <c r="V21" i="108" s="1"/>
  <c r="U25" i="155"/>
  <c r="V23" i="108" s="1"/>
  <c r="U26" i="155"/>
  <c r="V24" i="108" s="1"/>
  <c r="U27" i="155"/>
  <c r="U28" i="155"/>
  <c r="V26" i="108" s="1"/>
  <c r="U29" i="155"/>
  <c r="V27" i="108" s="1"/>
  <c r="U30" i="155"/>
  <c r="V28" i="108" s="1"/>
  <c r="U32" i="155"/>
  <c r="V30" i="108" s="1"/>
  <c r="U33" i="155"/>
  <c r="V31" i="108" s="1"/>
  <c r="U34" i="155"/>
  <c r="V32" i="108" s="1"/>
  <c r="U35" i="155"/>
  <c r="U37" i="155"/>
  <c r="U38" i="155"/>
  <c r="V36" i="108" s="1"/>
  <c r="U39" i="155"/>
  <c r="V37" i="108" s="1"/>
  <c r="U40" i="155"/>
  <c r="V38" i="108" s="1"/>
  <c r="U41" i="155"/>
  <c r="V39" i="108" s="1"/>
  <c r="U42" i="155"/>
  <c r="V40" i="108" s="1"/>
  <c r="U43" i="155"/>
  <c r="V41" i="108" s="1"/>
  <c r="U45" i="155"/>
  <c r="U46" i="155"/>
  <c r="V44" i="108" s="1"/>
  <c r="U47" i="155"/>
  <c r="V45" i="108" s="1"/>
  <c r="U48" i="155"/>
  <c r="V46" i="108" s="1"/>
  <c r="U49" i="155"/>
  <c r="V47" i="108" s="1"/>
  <c r="U51" i="155"/>
  <c r="U52" i="155"/>
  <c r="V50" i="108" s="1"/>
  <c r="U54" i="155"/>
  <c r="U55" i="155"/>
  <c r="V53" i="108" s="1"/>
  <c r="U56" i="155"/>
  <c r="V54" i="108" s="1"/>
  <c r="F77" i="120"/>
  <c r="F75" i="120"/>
  <c r="F78" i="120"/>
  <c r="F79" i="120"/>
  <c r="F81" i="120"/>
  <c r="F82" i="120"/>
  <c r="F83" i="120"/>
  <c r="F84" i="120"/>
  <c r="F85" i="120"/>
  <c r="F87" i="120"/>
  <c r="F88" i="120"/>
  <c r="F89" i="120"/>
  <c r="F90" i="120"/>
  <c r="F91" i="120"/>
  <c r="F93" i="120"/>
  <c r="F94" i="120"/>
  <c r="F95" i="120"/>
  <c r="F96" i="120"/>
  <c r="F97" i="120"/>
  <c r="F98" i="120"/>
  <c r="F100" i="120"/>
  <c r="F101" i="120"/>
  <c r="F102" i="120"/>
  <c r="F103" i="120"/>
  <c r="F105" i="120"/>
  <c r="F106" i="120"/>
  <c r="F107" i="120"/>
  <c r="F108" i="120"/>
  <c r="F109" i="120"/>
  <c r="F110" i="120"/>
  <c r="F111" i="120"/>
  <c r="F113" i="120"/>
  <c r="F114" i="120"/>
  <c r="F115" i="120"/>
  <c r="F116" i="120"/>
  <c r="F117" i="120"/>
  <c r="F119" i="120"/>
  <c r="F120" i="120"/>
  <c r="F122" i="120"/>
  <c r="F123" i="120"/>
  <c r="F124" i="120"/>
  <c r="F5" i="120"/>
  <c r="F5" i="119"/>
  <c r="F5" i="124"/>
  <c r="L5" i="129"/>
  <c r="I5" i="129"/>
  <c r="Y62" i="114"/>
  <c r="Y59" i="114"/>
  <c r="CR90" i="114"/>
  <c r="CQ90" i="114"/>
  <c r="AV19" i="91" s="1"/>
  <c r="CP90" i="114"/>
  <c r="AU19" i="91" s="1"/>
  <c r="CO90" i="114"/>
  <c r="Z145" i="114"/>
  <c r="AJ53" i="155"/>
  <c r="AH53" i="155"/>
  <c r="AI50" i="155"/>
  <c r="AJ50" i="155"/>
  <c r="AH50" i="155"/>
  <c r="AJ44" i="155"/>
  <c r="AH44" i="155"/>
  <c r="AJ36" i="155"/>
  <c r="AH36" i="155"/>
  <c r="AJ31" i="155"/>
  <c r="AJ8" i="155"/>
  <c r="AJ12" i="155"/>
  <c r="AJ18" i="155"/>
  <c r="AJ24" i="155"/>
  <c r="AH8" i="155"/>
  <c r="AH12" i="155"/>
  <c r="AH18" i="155"/>
  <c r="AI31" i="155"/>
  <c r="AI12" i="155"/>
  <c r="AI8" i="155"/>
  <c r="AE13" i="156"/>
  <c r="AE12" i="156"/>
  <c r="AE11" i="156"/>
  <c r="AE10" i="156"/>
  <c r="AE9" i="156"/>
  <c r="AE8" i="156"/>
  <c r="AE7" i="156"/>
  <c r="AE6" i="156"/>
  <c r="AE5" i="156"/>
  <c r="AE4" i="156"/>
  <c r="AD13" i="156"/>
  <c r="AD12" i="156"/>
  <c r="AD11" i="156"/>
  <c r="AD10" i="156"/>
  <c r="AD9" i="156"/>
  <c r="AD8" i="156"/>
  <c r="AD7" i="156"/>
  <c r="AD6" i="156"/>
  <c r="AD5" i="156"/>
  <c r="AD4" i="156"/>
  <c r="AF4" i="156" s="1"/>
  <c r="AA5" i="99" s="1"/>
  <c r="W16" i="156"/>
  <c r="X7" i="99" s="1"/>
  <c r="W14" i="156"/>
  <c r="X5" i="99" s="1"/>
  <c r="W18" i="156"/>
  <c r="X8" i="99" s="1"/>
  <c r="W20" i="156"/>
  <c r="X9" i="99" s="1"/>
  <c r="W21" i="156"/>
  <c r="X11" i="99" s="1"/>
  <c r="W27" i="156"/>
  <c r="X12" i="99" s="1"/>
  <c r="W30" i="156"/>
  <c r="X13" i="99" s="1"/>
  <c r="W32" i="156"/>
  <c r="X14" i="99" s="1"/>
  <c r="W43" i="156"/>
  <c r="X15" i="99" s="1"/>
  <c r="W17" i="156"/>
  <c r="X17" i="99" s="1"/>
  <c r="W24" i="156"/>
  <c r="X18" i="99" s="1"/>
  <c r="W29" i="156"/>
  <c r="X19" i="99" s="1"/>
  <c r="W45" i="156"/>
  <c r="X20" i="99" s="1"/>
  <c r="W46" i="156"/>
  <c r="X21" i="99" s="1"/>
  <c r="W26" i="156"/>
  <c r="X23" i="99" s="1"/>
  <c r="W28" i="156"/>
  <c r="X24" i="99" s="1"/>
  <c r="W31" i="156"/>
  <c r="X25" i="99" s="1"/>
  <c r="W33" i="156"/>
  <c r="X26" i="99" s="1"/>
  <c r="W41" i="156"/>
  <c r="X27" i="99" s="1"/>
  <c r="W44" i="156"/>
  <c r="X28" i="99" s="1"/>
  <c r="W15" i="156"/>
  <c r="X30" i="99" s="1"/>
  <c r="W47" i="156"/>
  <c r="X31" i="99" s="1"/>
  <c r="W48" i="156"/>
  <c r="X32" i="99" s="1"/>
  <c r="W49" i="156"/>
  <c r="X33" i="99" s="1"/>
  <c r="W22" i="156"/>
  <c r="X35" i="99" s="1"/>
  <c r="W25" i="156"/>
  <c r="X36" i="99" s="1"/>
  <c r="W40" i="156"/>
  <c r="X37" i="99" s="1"/>
  <c r="W42" i="156"/>
  <c r="X38" i="99" s="1"/>
  <c r="W50" i="156"/>
  <c r="X39" i="99" s="1"/>
  <c r="W51" i="156"/>
  <c r="X40" i="99" s="1"/>
  <c r="W52" i="156"/>
  <c r="X41" i="99" s="1"/>
  <c r="W23" i="156"/>
  <c r="X43" i="99" s="1"/>
  <c r="W35" i="156"/>
  <c r="X44" i="99" s="1"/>
  <c r="W38" i="156"/>
  <c r="X45" i="99" s="1"/>
  <c r="W53" i="156"/>
  <c r="X46" i="99" s="1"/>
  <c r="W54" i="156"/>
  <c r="X47" i="99" s="1"/>
  <c r="W34" i="156"/>
  <c r="X49" i="99"/>
  <c r="W36" i="156"/>
  <c r="X50" i="99" s="1"/>
  <c r="W19" i="156"/>
  <c r="X52" i="99" s="1"/>
  <c r="W37" i="156"/>
  <c r="X53" i="99" s="1"/>
  <c r="W39" i="156"/>
  <c r="X54" i="99" s="1"/>
  <c r="AC16" i="156"/>
  <c r="Z7" i="99" s="1"/>
  <c r="AC14" i="156"/>
  <c r="AC17" i="156"/>
  <c r="Z17" i="99" s="1"/>
  <c r="AC18" i="156"/>
  <c r="Z8" i="99" s="1"/>
  <c r="AC20" i="156"/>
  <c r="Z9" i="99" s="1"/>
  <c r="AC21" i="156"/>
  <c r="Z11" i="99" s="1"/>
  <c r="AC22" i="156"/>
  <c r="Z35" i="99" s="1"/>
  <c r="AC23" i="156"/>
  <c r="Z43" i="99" s="1"/>
  <c r="AC24" i="156"/>
  <c r="Z18" i="99" s="1"/>
  <c r="AC29" i="156"/>
  <c r="Z19" i="99" s="1"/>
  <c r="AC45" i="156"/>
  <c r="Z20" i="99" s="1"/>
  <c r="AC46" i="156"/>
  <c r="Z21" i="99" s="1"/>
  <c r="AC26" i="156"/>
  <c r="Z23" i="99" s="1"/>
  <c r="AC28" i="156"/>
  <c r="Z24" i="99" s="1"/>
  <c r="AC31" i="156"/>
  <c r="Z25" i="99" s="1"/>
  <c r="AC33" i="156"/>
  <c r="Z26" i="99" s="1"/>
  <c r="AC41" i="156"/>
  <c r="Z27" i="99" s="1"/>
  <c r="AC44" i="156"/>
  <c r="Z28" i="99" s="1"/>
  <c r="AC15" i="156"/>
  <c r="Z30" i="99" s="1"/>
  <c r="AC47" i="156"/>
  <c r="Z31" i="99" s="1"/>
  <c r="AC48" i="156"/>
  <c r="Z32" i="99" s="1"/>
  <c r="AC49" i="156"/>
  <c r="Z33" i="99" s="1"/>
  <c r="AC25" i="156"/>
  <c r="Z36" i="99" s="1"/>
  <c r="AC40" i="156"/>
  <c r="Z37" i="99" s="1"/>
  <c r="AC42" i="156"/>
  <c r="Z38" i="99" s="1"/>
  <c r="AC50" i="156"/>
  <c r="Z39" i="99" s="1"/>
  <c r="AC51" i="156"/>
  <c r="Z40" i="99" s="1"/>
  <c r="AC52" i="156"/>
  <c r="Z41" i="99" s="1"/>
  <c r="AC35" i="156"/>
  <c r="Z44" i="99" s="1"/>
  <c r="AC38" i="156"/>
  <c r="Z45" i="99" s="1"/>
  <c r="AC53" i="156"/>
  <c r="Z46" i="99" s="1"/>
  <c r="AC54" i="156"/>
  <c r="Z47" i="99" s="1"/>
  <c r="AC34" i="156"/>
  <c r="Z49" i="99" s="1"/>
  <c r="AC36" i="156"/>
  <c r="Z50" i="99" s="1"/>
  <c r="AC19" i="156"/>
  <c r="Z52" i="99" s="1"/>
  <c r="AC37" i="156"/>
  <c r="Z53" i="99" s="1"/>
  <c r="AC39" i="156"/>
  <c r="Z54" i="99" s="1"/>
  <c r="Z16" i="156"/>
  <c r="Y7" i="99" s="1"/>
  <c r="Z14" i="156"/>
  <c r="Y5" i="99" s="1"/>
  <c r="Z18" i="156"/>
  <c r="Y8" i="99" s="1"/>
  <c r="Z20" i="156"/>
  <c r="Y9" i="99" s="1"/>
  <c r="Z21" i="156"/>
  <c r="Y11" i="99" s="1"/>
  <c r="Z27" i="156"/>
  <c r="Y12" i="99" s="1"/>
  <c r="Z30" i="156"/>
  <c r="Y13" i="99" s="1"/>
  <c r="Z32" i="156"/>
  <c r="Y14" i="99" s="1"/>
  <c r="Z43" i="156"/>
  <c r="Y15" i="99" s="1"/>
  <c r="Z17" i="156"/>
  <c r="Y17" i="99" s="1"/>
  <c r="Z24" i="156"/>
  <c r="Y18" i="99" s="1"/>
  <c r="Z29" i="156"/>
  <c r="Y19" i="99" s="1"/>
  <c r="Z45" i="156"/>
  <c r="Y20" i="99" s="1"/>
  <c r="Z46" i="156"/>
  <c r="Y21" i="99" s="1"/>
  <c r="Z26" i="156"/>
  <c r="Y23" i="99" s="1"/>
  <c r="Z28" i="156"/>
  <c r="Y24" i="99" s="1"/>
  <c r="Z31" i="156"/>
  <c r="Y25" i="99" s="1"/>
  <c r="Z33" i="156"/>
  <c r="Y26" i="99" s="1"/>
  <c r="Z41" i="156"/>
  <c r="Y27" i="99" s="1"/>
  <c r="Z44" i="156"/>
  <c r="Y28" i="99" s="1"/>
  <c r="Z15" i="156"/>
  <c r="Y30" i="99" s="1"/>
  <c r="Z47" i="156"/>
  <c r="Y31" i="99" s="1"/>
  <c r="Z48" i="156"/>
  <c r="Y32" i="99" s="1"/>
  <c r="Z49" i="156"/>
  <c r="Y33" i="99" s="1"/>
  <c r="Z22" i="156"/>
  <c r="Y35" i="99" s="1"/>
  <c r="Z25" i="156"/>
  <c r="Y36" i="99" s="1"/>
  <c r="Z40" i="156"/>
  <c r="Y37" i="99" s="1"/>
  <c r="Z42" i="156"/>
  <c r="Y38" i="99" s="1"/>
  <c r="Z50" i="156"/>
  <c r="Y39" i="99" s="1"/>
  <c r="Z51" i="156"/>
  <c r="Y40" i="99" s="1"/>
  <c r="Z52" i="156"/>
  <c r="Y41" i="99" s="1"/>
  <c r="Z23" i="156"/>
  <c r="Y43" i="99" s="1"/>
  <c r="Z35" i="156"/>
  <c r="Y44" i="99" s="1"/>
  <c r="Z38" i="156"/>
  <c r="Y45" i="99" s="1"/>
  <c r="Z53" i="156"/>
  <c r="Y46" i="99" s="1"/>
  <c r="Z54" i="156"/>
  <c r="Y47" i="99" s="1"/>
  <c r="Z34" i="156"/>
  <c r="Y49" i="99" s="1"/>
  <c r="Z36" i="156"/>
  <c r="Y50" i="99" s="1"/>
  <c r="Z19" i="156"/>
  <c r="Y52" i="99" s="1"/>
  <c r="Z37" i="156"/>
  <c r="Y53" i="99" s="1"/>
  <c r="Z39" i="156"/>
  <c r="Y54" i="99" s="1"/>
  <c r="N16" i="176"/>
  <c r="O16" i="176"/>
  <c r="M16" i="176"/>
  <c r="L16" i="176" s="1"/>
  <c r="N13" i="176"/>
  <c r="O13" i="176"/>
  <c r="M13" i="176"/>
  <c r="L13" i="176" s="1"/>
  <c r="K87" i="121"/>
  <c r="AA164" i="114"/>
  <c r="AA158" i="114"/>
  <c r="AA150" i="114"/>
  <c r="AA145" i="114"/>
  <c r="AA132" i="114"/>
  <c r="AA126" i="114"/>
  <c r="AA138" i="114"/>
  <c r="AA167" i="114"/>
  <c r="AF27" i="156"/>
  <c r="AA12" i="99" s="1"/>
  <c r="AF30" i="156"/>
  <c r="AA13" i="99" s="1"/>
  <c r="AF32" i="156"/>
  <c r="AA14" i="99" s="1"/>
  <c r="AF43" i="156"/>
  <c r="AA15" i="99" s="1"/>
  <c r="L11" i="176"/>
  <c r="L14" i="176"/>
  <c r="X62" i="114"/>
  <c r="X59" i="114"/>
  <c r="AA6" i="122"/>
  <c r="AA8" i="122"/>
  <c r="AA9" i="122"/>
  <c r="AA10" i="122"/>
  <c r="AA11" i="122"/>
  <c r="AA12" i="122"/>
  <c r="AA13" i="122"/>
  <c r="AA14" i="122"/>
  <c r="AA15" i="122"/>
  <c r="Y6" i="116"/>
  <c r="Y18" i="116"/>
  <c r="Y7" i="116" s="1"/>
  <c r="Y22" i="116"/>
  <c r="Y8" i="116" s="1"/>
  <c r="Y28" i="116"/>
  <c r="Y9" i="116" s="1"/>
  <c r="Y34" i="116"/>
  <c r="Y10" i="116" s="1"/>
  <c r="Y41" i="116"/>
  <c r="Y11" i="116" s="1"/>
  <c r="Y46" i="116"/>
  <c r="Y12" i="116" s="1"/>
  <c r="Y54" i="116"/>
  <c r="Y13" i="116" s="1"/>
  <c r="Y60" i="116"/>
  <c r="Y14" i="116" s="1"/>
  <c r="Y63" i="116"/>
  <c r="Z6" i="116"/>
  <c r="Z18" i="116"/>
  <c r="Z7" i="116" s="1"/>
  <c r="Z22" i="116"/>
  <c r="Z8" i="116" s="1"/>
  <c r="Z28" i="116"/>
  <c r="Z9" i="116" s="1"/>
  <c r="Z34" i="116"/>
  <c r="Z10" i="116" s="1"/>
  <c r="Z41" i="116"/>
  <c r="Z46" i="116"/>
  <c r="Z12" i="116" s="1"/>
  <c r="Z54" i="116"/>
  <c r="Z60" i="116"/>
  <c r="Z63" i="116"/>
  <c r="Z15" i="116" s="1"/>
  <c r="D59" i="92"/>
  <c r="D58" i="92" s="1"/>
  <c r="E59" i="92"/>
  <c r="E58" i="92" s="1"/>
  <c r="F59" i="92"/>
  <c r="F58" i="92" s="1"/>
  <c r="G59" i="92"/>
  <c r="G58" i="92" s="1"/>
  <c r="C5" i="121"/>
  <c r="D5" i="121"/>
  <c r="E5" i="121"/>
  <c r="P115" i="169"/>
  <c r="P116" i="169"/>
  <c r="P117" i="169"/>
  <c r="P118" i="169"/>
  <c r="P119" i="169"/>
  <c r="P120" i="169"/>
  <c r="P121" i="169"/>
  <c r="P122" i="169"/>
  <c r="P123" i="169"/>
  <c r="P114" i="169"/>
  <c r="P115" i="179"/>
  <c r="P116" i="179"/>
  <c r="P117" i="179"/>
  <c r="P118" i="179"/>
  <c r="P119" i="179"/>
  <c r="P120" i="179"/>
  <c r="P121" i="179"/>
  <c r="P122" i="179"/>
  <c r="P123" i="179"/>
  <c r="P114" i="179"/>
  <c r="X6" i="116"/>
  <c r="X18" i="116"/>
  <c r="X7" i="116" s="1"/>
  <c r="X22" i="116"/>
  <c r="X8" i="116" s="1"/>
  <c r="X28" i="116"/>
  <c r="X9" i="116" s="1"/>
  <c r="X34" i="116"/>
  <c r="X10" i="116" s="1"/>
  <c r="X41" i="116"/>
  <c r="X11" i="116" s="1"/>
  <c r="X46" i="116"/>
  <c r="X12" i="116" s="1"/>
  <c r="X54" i="116"/>
  <c r="X13" i="116" s="1"/>
  <c r="X60" i="116"/>
  <c r="X14" i="116" s="1"/>
  <c r="X63" i="116"/>
  <c r="X15" i="116" s="1"/>
  <c r="T39" i="156"/>
  <c r="W54" i="99" s="1"/>
  <c r="T14" i="156"/>
  <c r="W5" i="99" s="1"/>
  <c r="T16" i="156"/>
  <c r="W7" i="99" s="1"/>
  <c r="T18" i="156"/>
  <c r="W8" i="99" s="1"/>
  <c r="T20" i="156"/>
  <c r="W9" i="99" s="1"/>
  <c r="T21" i="156"/>
  <c r="W11" i="99" s="1"/>
  <c r="T27" i="156"/>
  <c r="W12" i="99" s="1"/>
  <c r="T30" i="156"/>
  <c r="W13" i="99" s="1"/>
  <c r="T32" i="156"/>
  <c r="W14" i="99" s="1"/>
  <c r="T43" i="156"/>
  <c r="W15" i="99" s="1"/>
  <c r="T17" i="156"/>
  <c r="W17" i="99" s="1"/>
  <c r="T24" i="156"/>
  <c r="W18" i="99" s="1"/>
  <c r="T29" i="156"/>
  <c r="W19" i="99" s="1"/>
  <c r="T45" i="156"/>
  <c r="W20" i="99" s="1"/>
  <c r="T46" i="156"/>
  <c r="W21" i="99" s="1"/>
  <c r="T26" i="156"/>
  <c r="W23" i="99" s="1"/>
  <c r="T28" i="156"/>
  <c r="W24" i="99" s="1"/>
  <c r="T31" i="156"/>
  <c r="W25" i="99" s="1"/>
  <c r="T33" i="156"/>
  <c r="W26" i="99" s="1"/>
  <c r="T41" i="156"/>
  <c r="W27" i="99" s="1"/>
  <c r="T44" i="156"/>
  <c r="W28" i="99" s="1"/>
  <c r="T15" i="156"/>
  <c r="W30" i="99" s="1"/>
  <c r="T47" i="156"/>
  <c r="W31" i="99" s="1"/>
  <c r="T48" i="156"/>
  <c r="W32" i="99" s="1"/>
  <c r="T49" i="156"/>
  <c r="W33" i="99" s="1"/>
  <c r="T22" i="156"/>
  <c r="W35" i="99" s="1"/>
  <c r="T25" i="156"/>
  <c r="W36" i="99" s="1"/>
  <c r="T40" i="156"/>
  <c r="W37" i="99" s="1"/>
  <c r="T42" i="156"/>
  <c r="W38" i="99" s="1"/>
  <c r="T50" i="156"/>
  <c r="W39" i="99" s="1"/>
  <c r="T51" i="156"/>
  <c r="W40" i="99" s="1"/>
  <c r="T52" i="156"/>
  <c r="W41" i="99" s="1"/>
  <c r="T23" i="156"/>
  <c r="W43" i="99" s="1"/>
  <c r="T35" i="156"/>
  <c r="W44" i="99" s="1"/>
  <c r="T38" i="156"/>
  <c r="W45" i="99" s="1"/>
  <c r="T53" i="156"/>
  <c r="W46" i="99" s="1"/>
  <c r="T54" i="156"/>
  <c r="W47" i="99" s="1"/>
  <c r="T34" i="156"/>
  <c r="W49" i="99" s="1"/>
  <c r="T36" i="156"/>
  <c r="W50" i="99" s="1"/>
  <c r="T19" i="156"/>
  <c r="W52" i="99" s="1"/>
  <c r="T37" i="156"/>
  <c r="W53" i="99" s="1"/>
  <c r="W6" i="116"/>
  <c r="W18" i="116"/>
  <c r="W7" i="116" s="1"/>
  <c r="W22" i="116"/>
  <c r="W8" i="116" s="1"/>
  <c r="W28" i="116"/>
  <c r="W9" i="116" s="1"/>
  <c r="W34" i="116"/>
  <c r="W10" i="116" s="1"/>
  <c r="W41" i="116"/>
  <c r="W11" i="116" s="1"/>
  <c r="W46" i="116"/>
  <c r="W12" i="116" s="1"/>
  <c r="W54" i="116"/>
  <c r="W13" i="116" s="1"/>
  <c r="W60" i="116"/>
  <c r="W14" i="116" s="1"/>
  <c r="W63" i="116"/>
  <c r="W15" i="116" s="1"/>
  <c r="Q39" i="156"/>
  <c r="V54" i="99" s="1"/>
  <c r="Q14" i="156"/>
  <c r="V5" i="99" s="1"/>
  <c r="Q16" i="156"/>
  <c r="V7" i="99" s="1"/>
  <c r="Q18" i="156"/>
  <c r="V8" i="99" s="1"/>
  <c r="Q20" i="156"/>
  <c r="V9" i="99" s="1"/>
  <c r="Q21" i="156"/>
  <c r="V11" i="99" s="1"/>
  <c r="Q27" i="156"/>
  <c r="V12" i="99" s="1"/>
  <c r="Q30" i="156"/>
  <c r="V13" i="99" s="1"/>
  <c r="Q32" i="156"/>
  <c r="V14" i="99" s="1"/>
  <c r="Q43" i="156"/>
  <c r="V15" i="99" s="1"/>
  <c r="Q17" i="156"/>
  <c r="V17" i="99" s="1"/>
  <c r="Q24" i="156"/>
  <c r="V18" i="99" s="1"/>
  <c r="Q29" i="156"/>
  <c r="V19" i="99" s="1"/>
  <c r="Q45" i="156"/>
  <c r="V20" i="99" s="1"/>
  <c r="Q46" i="156"/>
  <c r="V21" i="99" s="1"/>
  <c r="Q26" i="156"/>
  <c r="V23" i="99" s="1"/>
  <c r="Q28" i="156"/>
  <c r="V24" i="99" s="1"/>
  <c r="Q31" i="156"/>
  <c r="V25" i="99" s="1"/>
  <c r="Q33" i="156"/>
  <c r="V26" i="99" s="1"/>
  <c r="Q41" i="156"/>
  <c r="V27" i="99" s="1"/>
  <c r="Q44" i="156"/>
  <c r="V28" i="99" s="1"/>
  <c r="Q15" i="156"/>
  <c r="V30" i="99" s="1"/>
  <c r="Q47" i="156"/>
  <c r="V31" i="99" s="1"/>
  <c r="Q48" i="156"/>
  <c r="V32" i="99" s="1"/>
  <c r="Q49" i="156"/>
  <c r="V33" i="99" s="1"/>
  <c r="Q22" i="156"/>
  <c r="V35" i="99" s="1"/>
  <c r="Q25" i="156"/>
  <c r="V36" i="99" s="1"/>
  <c r="Q40" i="156"/>
  <c r="V37" i="99" s="1"/>
  <c r="Q42" i="156"/>
  <c r="V38" i="99" s="1"/>
  <c r="Q50" i="156"/>
  <c r="V39" i="99" s="1"/>
  <c r="Q51" i="156"/>
  <c r="V40" i="99" s="1"/>
  <c r="Q52" i="156"/>
  <c r="V41" i="99" s="1"/>
  <c r="Q23" i="156"/>
  <c r="V43" i="99" s="1"/>
  <c r="Q35" i="156"/>
  <c r="V44" i="99" s="1"/>
  <c r="Q38" i="156"/>
  <c r="V45" i="99" s="1"/>
  <c r="Q53" i="156"/>
  <c r="V46" i="99" s="1"/>
  <c r="Q54" i="156"/>
  <c r="V47" i="99" s="1"/>
  <c r="Q34" i="156"/>
  <c r="V49" i="99" s="1"/>
  <c r="Q36" i="156"/>
  <c r="V50" i="99" s="1"/>
  <c r="Q19" i="156"/>
  <c r="V52" i="99" s="1"/>
  <c r="Q37" i="156"/>
  <c r="V53" i="99" s="1"/>
  <c r="E5" i="120"/>
  <c r="E124" i="120"/>
  <c r="E75" i="120"/>
  <c r="E77" i="120"/>
  <c r="E79" i="120"/>
  <c r="E81" i="120"/>
  <c r="E82" i="120"/>
  <c r="E83" i="120"/>
  <c r="E84" i="120"/>
  <c r="E85" i="120"/>
  <c r="E87" i="120"/>
  <c r="E88" i="120"/>
  <c r="E89" i="120"/>
  <c r="E90" i="120"/>
  <c r="E91" i="120"/>
  <c r="E93" i="120"/>
  <c r="E94" i="120"/>
  <c r="E95" i="120"/>
  <c r="E96" i="120"/>
  <c r="E97" i="120"/>
  <c r="E98" i="120"/>
  <c r="E100" i="120"/>
  <c r="E101" i="120"/>
  <c r="E102" i="120"/>
  <c r="E103" i="120"/>
  <c r="E105" i="120"/>
  <c r="E106" i="120"/>
  <c r="E107" i="120"/>
  <c r="E108" i="120"/>
  <c r="E109" i="120"/>
  <c r="E110" i="120"/>
  <c r="E111" i="120"/>
  <c r="E113" i="120"/>
  <c r="E114" i="120"/>
  <c r="E115" i="120"/>
  <c r="E116" i="120"/>
  <c r="E117" i="120"/>
  <c r="E119" i="120"/>
  <c r="E120" i="120"/>
  <c r="E122" i="120"/>
  <c r="E123" i="120"/>
  <c r="E5" i="124"/>
  <c r="E5" i="119"/>
  <c r="V6" i="116"/>
  <c r="V18" i="116"/>
  <c r="V7" i="116" s="1"/>
  <c r="V22" i="116"/>
  <c r="V8" i="116" s="1"/>
  <c r="V28" i="116"/>
  <c r="V9" i="116" s="1"/>
  <c r="V34" i="116"/>
  <c r="V10" i="116" s="1"/>
  <c r="V41" i="116"/>
  <c r="V11" i="116" s="1"/>
  <c r="V46" i="116"/>
  <c r="V12" i="116" s="1"/>
  <c r="V54" i="116"/>
  <c r="V13" i="116" s="1"/>
  <c r="V60" i="116"/>
  <c r="V14" i="116" s="1"/>
  <c r="V63" i="116"/>
  <c r="V15" i="116" s="1"/>
  <c r="E5" i="93"/>
  <c r="U170" i="114"/>
  <c r="AB8" i="86"/>
  <c r="U121" i="206" s="1"/>
  <c r="U123" i="114"/>
  <c r="U124" i="114"/>
  <c r="U125" i="114"/>
  <c r="U127" i="114"/>
  <c r="U128" i="114"/>
  <c r="U129" i="114"/>
  <c r="U130" i="114"/>
  <c r="U131" i="114"/>
  <c r="U133" i="114"/>
  <c r="U134" i="114"/>
  <c r="U135" i="114"/>
  <c r="U136" i="114"/>
  <c r="U137" i="114"/>
  <c r="U139" i="114"/>
  <c r="U140" i="114"/>
  <c r="U141" i="114"/>
  <c r="U142" i="114"/>
  <c r="U143" i="114"/>
  <c r="U144" i="114"/>
  <c r="U146" i="114"/>
  <c r="U147" i="114"/>
  <c r="U148" i="114"/>
  <c r="U149" i="114"/>
  <c r="U151" i="114"/>
  <c r="U152" i="114"/>
  <c r="U153" i="114"/>
  <c r="U154" i="114"/>
  <c r="U155" i="114"/>
  <c r="U156" i="114"/>
  <c r="U157" i="114"/>
  <c r="U159" i="114"/>
  <c r="U160" i="114"/>
  <c r="U161" i="114"/>
  <c r="U162" i="114"/>
  <c r="U163" i="114"/>
  <c r="U165" i="114"/>
  <c r="U166" i="114"/>
  <c r="U168" i="114"/>
  <c r="U169" i="114"/>
  <c r="Q56" i="155"/>
  <c r="U54" i="108" s="1"/>
  <c r="Q7" i="155"/>
  <c r="U5" i="108" s="1"/>
  <c r="Q9" i="155"/>
  <c r="U7" i="108" s="1"/>
  <c r="Q10" i="155"/>
  <c r="U8" i="108" s="1"/>
  <c r="Q11" i="155"/>
  <c r="U9" i="108" s="1"/>
  <c r="Q13" i="155"/>
  <c r="U11" i="108" s="1"/>
  <c r="Q14" i="155"/>
  <c r="U12" i="108" s="1"/>
  <c r="Q15" i="155"/>
  <c r="U13" i="108" s="1"/>
  <c r="Q16" i="155"/>
  <c r="U14" i="108" s="1"/>
  <c r="Q17" i="155"/>
  <c r="U15" i="108" s="1"/>
  <c r="Q19" i="155"/>
  <c r="U17" i="108" s="1"/>
  <c r="Q20" i="155"/>
  <c r="U18" i="108" s="1"/>
  <c r="Q21" i="155"/>
  <c r="U19" i="108" s="1"/>
  <c r="Q22" i="155"/>
  <c r="U20" i="108" s="1"/>
  <c r="Q23" i="155"/>
  <c r="U21" i="108" s="1"/>
  <c r="Q25" i="155"/>
  <c r="U23" i="108" s="1"/>
  <c r="Q26" i="155"/>
  <c r="U24" i="108" s="1"/>
  <c r="Q27" i="155"/>
  <c r="U25" i="108" s="1"/>
  <c r="Q28" i="155"/>
  <c r="U26" i="108" s="1"/>
  <c r="Q29" i="155"/>
  <c r="U27" i="108" s="1"/>
  <c r="Q30" i="155"/>
  <c r="U28" i="108" s="1"/>
  <c r="Q32" i="155"/>
  <c r="U30" i="108" s="1"/>
  <c r="Q33" i="155"/>
  <c r="U31" i="108" s="1"/>
  <c r="Q34" i="155"/>
  <c r="U32" i="108" s="1"/>
  <c r="Q35" i="155"/>
  <c r="U33" i="108" s="1"/>
  <c r="Q37" i="155"/>
  <c r="U35" i="108" s="1"/>
  <c r="Q38" i="155"/>
  <c r="U36" i="108" s="1"/>
  <c r="Q39" i="155"/>
  <c r="U37" i="108" s="1"/>
  <c r="Q40" i="155"/>
  <c r="U38" i="108" s="1"/>
  <c r="Q41" i="155"/>
  <c r="U39" i="108" s="1"/>
  <c r="Q42" i="155"/>
  <c r="U40" i="108" s="1"/>
  <c r="Q43" i="155"/>
  <c r="U41" i="108" s="1"/>
  <c r="Q45" i="155"/>
  <c r="U43" i="108" s="1"/>
  <c r="Q46" i="155"/>
  <c r="U44" i="108" s="1"/>
  <c r="Q47" i="155"/>
  <c r="U45" i="108" s="1"/>
  <c r="Q48" i="155"/>
  <c r="U46" i="108" s="1"/>
  <c r="Q49" i="155"/>
  <c r="U47" i="108" s="1"/>
  <c r="Q51" i="155"/>
  <c r="U49" i="108" s="1"/>
  <c r="Q52" i="155"/>
  <c r="U50" i="108" s="1"/>
  <c r="Q54" i="155"/>
  <c r="U52" i="108" s="1"/>
  <c r="Q55" i="155"/>
  <c r="U53" i="108" s="1"/>
  <c r="N39" i="156"/>
  <c r="U54" i="99" s="1"/>
  <c r="N14" i="156"/>
  <c r="U5" i="99" s="1"/>
  <c r="N16" i="156"/>
  <c r="U7" i="99" s="1"/>
  <c r="N18" i="156"/>
  <c r="U8" i="99" s="1"/>
  <c r="N20" i="156"/>
  <c r="U9" i="99" s="1"/>
  <c r="N21" i="156"/>
  <c r="U11" i="99" s="1"/>
  <c r="N27" i="156"/>
  <c r="U12" i="99" s="1"/>
  <c r="N30" i="156"/>
  <c r="U13" i="99" s="1"/>
  <c r="N32" i="156"/>
  <c r="U14" i="99" s="1"/>
  <c r="N43" i="156"/>
  <c r="U15" i="99" s="1"/>
  <c r="N17" i="156"/>
  <c r="U17" i="99" s="1"/>
  <c r="N24" i="156"/>
  <c r="U18" i="99" s="1"/>
  <c r="N29" i="156"/>
  <c r="U19" i="99" s="1"/>
  <c r="N45" i="156"/>
  <c r="U20" i="99" s="1"/>
  <c r="N46" i="156"/>
  <c r="U21" i="99" s="1"/>
  <c r="N26" i="156"/>
  <c r="U23" i="99" s="1"/>
  <c r="N28" i="156"/>
  <c r="U24" i="99" s="1"/>
  <c r="N31" i="156"/>
  <c r="U25" i="99" s="1"/>
  <c r="N33" i="156"/>
  <c r="U26" i="99" s="1"/>
  <c r="N41" i="156"/>
  <c r="U27" i="99" s="1"/>
  <c r="N44" i="156"/>
  <c r="U28" i="99" s="1"/>
  <c r="N15" i="156"/>
  <c r="U30" i="99" s="1"/>
  <c r="N47" i="156"/>
  <c r="U31" i="99" s="1"/>
  <c r="N48" i="156"/>
  <c r="U32" i="99" s="1"/>
  <c r="N49" i="156"/>
  <c r="U33" i="99" s="1"/>
  <c r="N22" i="156"/>
  <c r="U35" i="99" s="1"/>
  <c r="N25" i="156"/>
  <c r="U36" i="99" s="1"/>
  <c r="N40" i="156"/>
  <c r="U37" i="99" s="1"/>
  <c r="N42" i="156"/>
  <c r="U38" i="99" s="1"/>
  <c r="N50" i="156"/>
  <c r="U39" i="99" s="1"/>
  <c r="N51" i="156"/>
  <c r="U40" i="99" s="1"/>
  <c r="N52" i="156"/>
  <c r="U41" i="99" s="1"/>
  <c r="N23" i="156"/>
  <c r="U43" i="99" s="1"/>
  <c r="N35" i="156"/>
  <c r="U44" i="99" s="1"/>
  <c r="N38" i="156"/>
  <c r="U45" i="99" s="1"/>
  <c r="N53" i="156"/>
  <c r="U46" i="99" s="1"/>
  <c r="N54" i="156"/>
  <c r="U47" i="99" s="1"/>
  <c r="N34" i="156"/>
  <c r="U49" i="99" s="1"/>
  <c r="N36" i="156"/>
  <c r="U50" i="99" s="1"/>
  <c r="N19" i="156"/>
  <c r="U52" i="99" s="1"/>
  <c r="N37" i="156"/>
  <c r="U53" i="99" s="1"/>
  <c r="D5" i="120"/>
  <c r="D124" i="120"/>
  <c r="D75" i="120"/>
  <c r="D77" i="120"/>
  <c r="D78" i="120"/>
  <c r="D79" i="120"/>
  <c r="D81" i="120"/>
  <c r="D82" i="120"/>
  <c r="D83" i="120"/>
  <c r="D84" i="120"/>
  <c r="D85" i="120"/>
  <c r="D87" i="120"/>
  <c r="D88" i="120"/>
  <c r="D89" i="120"/>
  <c r="D90" i="120"/>
  <c r="D91" i="120"/>
  <c r="D93" i="120"/>
  <c r="D94" i="120"/>
  <c r="D95" i="120"/>
  <c r="D96" i="120"/>
  <c r="D97" i="120"/>
  <c r="D98" i="120"/>
  <c r="D100" i="120"/>
  <c r="D101" i="120"/>
  <c r="D102" i="120"/>
  <c r="D103" i="120"/>
  <c r="D105" i="120"/>
  <c r="D106" i="120"/>
  <c r="D107" i="120"/>
  <c r="D108" i="120"/>
  <c r="D109" i="120"/>
  <c r="D110" i="120"/>
  <c r="D111" i="120"/>
  <c r="D113" i="120"/>
  <c r="D114" i="120"/>
  <c r="D115" i="120"/>
  <c r="D116" i="120"/>
  <c r="D117" i="120"/>
  <c r="D119" i="120"/>
  <c r="D120" i="120"/>
  <c r="D122" i="120"/>
  <c r="D123" i="120"/>
  <c r="D5" i="124"/>
  <c r="D5" i="119"/>
  <c r="U6" i="116"/>
  <c r="U7" i="116"/>
  <c r="U8" i="116"/>
  <c r="U9" i="116"/>
  <c r="U10" i="116"/>
  <c r="U11" i="116"/>
  <c r="U12" i="116"/>
  <c r="U13" i="116"/>
  <c r="U14" i="116"/>
  <c r="U15" i="116"/>
  <c r="D5" i="93"/>
  <c r="T170" i="114"/>
  <c r="AA8" i="86"/>
  <c r="T121" i="206" s="1"/>
  <c r="T123" i="114"/>
  <c r="T124" i="114"/>
  <c r="T125" i="114"/>
  <c r="T127" i="114"/>
  <c r="T128" i="114"/>
  <c r="T129" i="114"/>
  <c r="T130" i="114"/>
  <c r="T131" i="114"/>
  <c r="T133" i="114"/>
  <c r="T134" i="114"/>
  <c r="T135" i="114"/>
  <c r="T136" i="114"/>
  <c r="T137" i="114"/>
  <c r="T139" i="114"/>
  <c r="T140" i="114"/>
  <c r="T141" i="114"/>
  <c r="T142" i="114"/>
  <c r="T143" i="114"/>
  <c r="T144" i="114"/>
  <c r="T146" i="114"/>
  <c r="T147" i="114"/>
  <c r="T148" i="114"/>
  <c r="T149" i="114"/>
  <c r="T151" i="114"/>
  <c r="T152" i="114"/>
  <c r="T153" i="114"/>
  <c r="T154" i="114"/>
  <c r="T155" i="114"/>
  <c r="T156" i="114"/>
  <c r="T157" i="114"/>
  <c r="T159" i="114"/>
  <c r="T160" i="114"/>
  <c r="T161" i="114"/>
  <c r="T162" i="114"/>
  <c r="T163" i="114"/>
  <c r="T165" i="114"/>
  <c r="T166" i="114"/>
  <c r="T168" i="114"/>
  <c r="T169" i="114"/>
  <c r="N56" i="155"/>
  <c r="T54" i="108" s="1"/>
  <c r="N7" i="155"/>
  <c r="T5" i="108" s="1"/>
  <c r="N9" i="155"/>
  <c r="T7" i="108" s="1"/>
  <c r="N10" i="155"/>
  <c r="T8" i="108" s="1"/>
  <c r="N11" i="155"/>
  <c r="T9" i="108" s="1"/>
  <c r="N13" i="155"/>
  <c r="T11" i="108" s="1"/>
  <c r="N14" i="155"/>
  <c r="T12" i="108" s="1"/>
  <c r="N15" i="155"/>
  <c r="T13" i="108" s="1"/>
  <c r="N16" i="155"/>
  <c r="T14" i="108" s="1"/>
  <c r="N17" i="155"/>
  <c r="T15" i="108" s="1"/>
  <c r="N19" i="155"/>
  <c r="T17" i="108" s="1"/>
  <c r="N20" i="155"/>
  <c r="T18" i="108" s="1"/>
  <c r="N21" i="155"/>
  <c r="T19" i="108" s="1"/>
  <c r="N22" i="155"/>
  <c r="T20" i="108" s="1"/>
  <c r="N23" i="155"/>
  <c r="T21" i="108" s="1"/>
  <c r="N25" i="155"/>
  <c r="T23" i="108" s="1"/>
  <c r="N26" i="155"/>
  <c r="T24" i="108" s="1"/>
  <c r="N27" i="155"/>
  <c r="T25" i="108" s="1"/>
  <c r="N28" i="155"/>
  <c r="T26" i="108" s="1"/>
  <c r="N29" i="155"/>
  <c r="T27" i="108" s="1"/>
  <c r="N30" i="155"/>
  <c r="T28" i="108" s="1"/>
  <c r="N32" i="155"/>
  <c r="T30" i="108" s="1"/>
  <c r="N33" i="155"/>
  <c r="T31" i="108" s="1"/>
  <c r="N34" i="155"/>
  <c r="T32" i="108" s="1"/>
  <c r="N35" i="155"/>
  <c r="T33" i="108" s="1"/>
  <c r="N37" i="155"/>
  <c r="T35" i="108" s="1"/>
  <c r="N38" i="155"/>
  <c r="T36" i="108" s="1"/>
  <c r="N39" i="155"/>
  <c r="T37" i="108" s="1"/>
  <c r="N40" i="155"/>
  <c r="T38" i="108" s="1"/>
  <c r="N41" i="155"/>
  <c r="T39" i="108" s="1"/>
  <c r="N42" i="155"/>
  <c r="T40" i="108" s="1"/>
  <c r="N43" i="155"/>
  <c r="T41" i="108" s="1"/>
  <c r="N45" i="155"/>
  <c r="T43" i="108" s="1"/>
  <c r="N46" i="155"/>
  <c r="T44" i="108" s="1"/>
  <c r="N47" i="155"/>
  <c r="T45" i="108" s="1"/>
  <c r="N48" i="155"/>
  <c r="T46" i="108" s="1"/>
  <c r="N49" i="155"/>
  <c r="T47" i="108" s="1"/>
  <c r="N51" i="155"/>
  <c r="T49" i="108" s="1"/>
  <c r="N52" i="155"/>
  <c r="T50" i="108" s="1"/>
  <c r="N54" i="155"/>
  <c r="T52" i="108" s="1"/>
  <c r="N55" i="155"/>
  <c r="T53" i="108" s="1"/>
  <c r="T54" i="99"/>
  <c r="T5" i="99"/>
  <c r="T7" i="99"/>
  <c r="T8" i="99"/>
  <c r="T9" i="99"/>
  <c r="T11" i="99"/>
  <c r="T12" i="99"/>
  <c r="T13" i="99"/>
  <c r="T14" i="99"/>
  <c r="T15" i="99"/>
  <c r="T17" i="99"/>
  <c r="T18" i="99"/>
  <c r="T19" i="99"/>
  <c r="T20" i="99"/>
  <c r="T21" i="99"/>
  <c r="T23" i="99"/>
  <c r="T24" i="99"/>
  <c r="T25" i="99"/>
  <c r="T26" i="99"/>
  <c r="T27" i="99"/>
  <c r="T28" i="99"/>
  <c r="T30" i="99"/>
  <c r="T31" i="99"/>
  <c r="T32" i="99"/>
  <c r="T33" i="99"/>
  <c r="T35" i="99"/>
  <c r="T36" i="99"/>
  <c r="T37" i="99"/>
  <c r="T38" i="99"/>
  <c r="T39" i="99"/>
  <c r="T40" i="99"/>
  <c r="T41" i="99"/>
  <c r="T43" i="99"/>
  <c r="T44" i="99"/>
  <c r="T45" i="99"/>
  <c r="T46" i="99"/>
  <c r="T47" i="99"/>
  <c r="T49" i="99"/>
  <c r="T50" i="99"/>
  <c r="T52" i="99"/>
  <c r="T53" i="99"/>
  <c r="C5" i="120"/>
  <c r="C124" i="120"/>
  <c r="C75" i="120"/>
  <c r="C77" i="120"/>
  <c r="C78" i="120"/>
  <c r="C79" i="120"/>
  <c r="C81" i="120"/>
  <c r="C82" i="120"/>
  <c r="C83" i="120"/>
  <c r="C84" i="120"/>
  <c r="C85" i="120"/>
  <c r="C87" i="120"/>
  <c r="C88" i="120"/>
  <c r="C89" i="120"/>
  <c r="C90" i="120"/>
  <c r="C91" i="120"/>
  <c r="C93" i="120"/>
  <c r="C94" i="120"/>
  <c r="C95" i="120"/>
  <c r="C96" i="120"/>
  <c r="C97" i="120"/>
  <c r="C98" i="120"/>
  <c r="C100" i="120"/>
  <c r="C101" i="120"/>
  <c r="C102" i="120"/>
  <c r="C103" i="120"/>
  <c r="C105" i="120"/>
  <c r="C106" i="120"/>
  <c r="C107" i="120"/>
  <c r="C108" i="120"/>
  <c r="C109" i="120"/>
  <c r="C110" i="120"/>
  <c r="C111" i="120"/>
  <c r="C113" i="120"/>
  <c r="C114" i="120"/>
  <c r="C115" i="120"/>
  <c r="C116" i="120"/>
  <c r="C117" i="120"/>
  <c r="C119" i="120"/>
  <c r="C120" i="120"/>
  <c r="C122" i="120"/>
  <c r="C123" i="120"/>
  <c r="C5" i="124"/>
  <c r="C5" i="119"/>
  <c r="T6" i="116"/>
  <c r="T7" i="116"/>
  <c r="T8" i="116"/>
  <c r="T9" i="116"/>
  <c r="T10" i="116"/>
  <c r="T11" i="116"/>
  <c r="T12" i="116"/>
  <c r="T13" i="116"/>
  <c r="T14" i="116"/>
  <c r="T15" i="116"/>
  <c r="C5" i="93"/>
  <c r="S170" i="114"/>
  <c r="Z8" i="86"/>
  <c r="S123" i="114"/>
  <c r="S124" i="114"/>
  <c r="S125" i="114"/>
  <c r="S127" i="114"/>
  <c r="S128" i="114"/>
  <c r="S129" i="114"/>
  <c r="S130" i="114"/>
  <c r="S131" i="114"/>
  <c r="S133" i="114"/>
  <c r="S134" i="114"/>
  <c r="S135" i="114"/>
  <c r="S136" i="114"/>
  <c r="S137" i="114"/>
  <c r="S139" i="114"/>
  <c r="S140" i="114"/>
  <c r="S141" i="114"/>
  <c r="S142" i="114"/>
  <c r="S143" i="114"/>
  <c r="S144" i="114"/>
  <c r="S146" i="114"/>
  <c r="S147" i="114"/>
  <c r="S148" i="114"/>
  <c r="S149" i="114"/>
  <c r="S151" i="114"/>
  <c r="S152" i="114"/>
  <c r="S153" i="114"/>
  <c r="S154" i="114"/>
  <c r="S155" i="114"/>
  <c r="S156" i="114"/>
  <c r="S157" i="114"/>
  <c r="S159" i="114"/>
  <c r="S160" i="114"/>
  <c r="S161" i="114"/>
  <c r="S162" i="114"/>
  <c r="S163" i="114"/>
  <c r="S165" i="114"/>
  <c r="S166" i="114"/>
  <c r="S168" i="114"/>
  <c r="S169" i="114"/>
  <c r="K56" i="155"/>
  <c r="S54" i="108" s="1"/>
  <c r="K7" i="155"/>
  <c r="S5" i="108" s="1"/>
  <c r="K9" i="155"/>
  <c r="S7" i="108" s="1"/>
  <c r="K10" i="155"/>
  <c r="S8" i="108" s="1"/>
  <c r="K11" i="155"/>
  <c r="S9" i="108" s="1"/>
  <c r="K13" i="155"/>
  <c r="S11" i="108" s="1"/>
  <c r="K14" i="155"/>
  <c r="S12" i="108" s="1"/>
  <c r="K15" i="155"/>
  <c r="S13" i="108" s="1"/>
  <c r="K16" i="155"/>
  <c r="S14" i="108" s="1"/>
  <c r="K17" i="155"/>
  <c r="S15" i="108" s="1"/>
  <c r="K19" i="155"/>
  <c r="S17" i="108" s="1"/>
  <c r="K20" i="155"/>
  <c r="S18" i="108" s="1"/>
  <c r="K21" i="155"/>
  <c r="S19" i="108" s="1"/>
  <c r="K22" i="155"/>
  <c r="S20" i="108" s="1"/>
  <c r="K23" i="155"/>
  <c r="S21" i="108" s="1"/>
  <c r="K25" i="155"/>
  <c r="S23" i="108" s="1"/>
  <c r="K26" i="155"/>
  <c r="S24" i="108" s="1"/>
  <c r="K27" i="155"/>
  <c r="S25" i="108" s="1"/>
  <c r="K28" i="155"/>
  <c r="S26" i="108" s="1"/>
  <c r="K29" i="155"/>
  <c r="S27" i="108" s="1"/>
  <c r="K30" i="155"/>
  <c r="S28" i="108" s="1"/>
  <c r="K32" i="155"/>
  <c r="S30" i="108" s="1"/>
  <c r="K33" i="155"/>
  <c r="S31" i="108" s="1"/>
  <c r="K34" i="155"/>
  <c r="S32" i="108" s="1"/>
  <c r="K35" i="155"/>
  <c r="S33" i="108" s="1"/>
  <c r="K37" i="155"/>
  <c r="S35" i="108" s="1"/>
  <c r="K38" i="155"/>
  <c r="S36" i="108" s="1"/>
  <c r="K39" i="155"/>
  <c r="S37" i="108" s="1"/>
  <c r="K40" i="155"/>
  <c r="S38" i="108" s="1"/>
  <c r="K41" i="155"/>
  <c r="S39" i="108" s="1"/>
  <c r="K42" i="155"/>
  <c r="S40" i="108" s="1"/>
  <c r="K43" i="155"/>
  <c r="S41" i="108" s="1"/>
  <c r="K45" i="155"/>
  <c r="S43" i="108" s="1"/>
  <c r="K46" i="155"/>
  <c r="S44" i="108" s="1"/>
  <c r="K47" i="155"/>
  <c r="S45" i="108" s="1"/>
  <c r="K48" i="155"/>
  <c r="S46" i="108" s="1"/>
  <c r="K49" i="155"/>
  <c r="S47" i="108" s="1"/>
  <c r="K51" i="155"/>
  <c r="S49" i="108" s="1"/>
  <c r="K52" i="155"/>
  <c r="S50" i="108" s="1"/>
  <c r="K54" i="155"/>
  <c r="S52" i="108" s="1"/>
  <c r="K55" i="155"/>
  <c r="S53" i="108" s="1"/>
  <c r="S54" i="99"/>
  <c r="S5" i="99"/>
  <c r="S7" i="99"/>
  <c r="S8" i="99"/>
  <c r="S9" i="99"/>
  <c r="S11" i="99"/>
  <c r="S12" i="99"/>
  <c r="S13" i="99"/>
  <c r="S14" i="99"/>
  <c r="S15" i="99"/>
  <c r="S17" i="99"/>
  <c r="S18" i="99"/>
  <c r="S19" i="99"/>
  <c r="S20" i="99"/>
  <c r="S21" i="99"/>
  <c r="S23" i="99"/>
  <c r="S24" i="99"/>
  <c r="S25" i="99"/>
  <c r="S26" i="99"/>
  <c r="S27" i="99"/>
  <c r="S28" i="99"/>
  <c r="S30" i="99"/>
  <c r="S31" i="99"/>
  <c r="S32" i="99"/>
  <c r="S33" i="99"/>
  <c r="S35" i="99"/>
  <c r="S36" i="99"/>
  <c r="S37" i="99"/>
  <c r="S38" i="99"/>
  <c r="S39" i="99"/>
  <c r="S40" i="99"/>
  <c r="S41" i="99"/>
  <c r="S43" i="99"/>
  <c r="S44" i="99"/>
  <c r="S45" i="99"/>
  <c r="S46" i="99"/>
  <c r="S47" i="99"/>
  <c r="S49" i="99"/>
  <c r="S50" i="99"/>
  <c r="S52" i="99"/>
  <c r="S53" i="99"/>
  <c r="S6" i="116"/>
  <c r="S7" i="116"/>
  <c r="S8" i="116"/>
  <c r="S9" i="116"/>
  <c r="S10" i="116"/>
  <c r="S11" i="116"/>
  <c r="S12" i="116"/>
  <c r="S13" i="116"/>
  <c r="S14" i="116"/>
  <c r="S15" i="116"/>
  <c r="R170" i="114"/>
  <c r="X8" i="86"/>
  <c r="R123" i="114"/>
  <c r="R124" i="114"/>
  <c r="R125" i="114"/>
  <c r="R127" i="114"/>
  <c r="R128" i="114"/>
  <c r="R129" i="114"/>
  <c r="R130" i="114"/>
  <c r="R131" i="114"/>
  <c r="R133" i="114"/>
  <c r="R134" i="114"/>
  <c r="R135" i="114"/>
  <c r="R136" i="114"/>
  <c r="R137" i="114"/>
  <c r="R139" i="114"/>
  <c r="R140" i="114"/>
  <c r="R141" i="114"/>
  <c r="R142" i="114"/>
  <c r="R143" i="114"/>
  <c r="R144" i="114"/>
  <c r="R146" i="114"/>
  <c r="R147" i="114"/>
  <c r="R148" i="114"/>
  <c r="R149" i="114"/>
  <c r="R151" i="114"/>
  <c r="R152" i="114"/>
  <c r="R153" i="114"/>
  <c r="R154" i="114"/>
  <c r="R155" i="114"/>
  <c r="R156" i="114"/>
  <c r="R157" i="114"/>
  <c r="R159" i="114"/>
  <c r="R160" i="114"/>
  <c r="R161" i="114"/>
  <c r="R162" i="114"/>
  <c r="R163" i="114"/>
  <c r="R165" i="114"/>
  <c r="R166" i="114"/>
  <c r="R168" i="114"/>
  <c r="R169" i="114"/>
  <c r="H56" i="155"/>
  <c r="R54" i="108" s="1"/>
  <c r="H7" i="155"/>
  <c r="R5" i="108" s="1"/>
  <c r="H9" i="155"/>
  <c r="R7" i="108" s="1"/>
  <c r="H10" i="155"/>
  <c r="R8" i="108" s="1"/>
  <c r="H11" i="155"/>
  <c r="R9" i="108" s="1"/>
  <c r="H13" i="155"/>
  <c r="R11" i="108" s="1"/>
  <c r="H14" i="155"/>
  <c r="R12" i="108" s="1"/>
  <c r="H15" i="155"/>
  <c r="R13" i="108" s="1"/>
  <c r="H16" i="155"/>
  <c r="R14" i="108" s="1"/>
  <c r="H17" i="155"/>
  <c r="R15" i="108" s="1"/>
  <c r="H19" i="155"/>
  <c r="R17" i="108" s="1"/>
  <c r="H20" i="155"/>
  <c r="R18" i="108" s="1"/>
  <c r="H21" i="155"/>
  <c r="R19" i="108" s="1"/>
  <c r="H22" i="155"/>
  <c r="R20" i="108" s="1"/>
  <c r="H23" i="155"/>
  <c r="R21" i="108" s="1"/>
  <c r="H25" i="155"/>
  <c r="R23" i="108" s="1"/>
  <c r="H26" i="155"/>
  <c r="R24" i="108" s="1"/>
  <c r="H27" i="155"/>
  <c r="R25" i="108" s="1"/>
  <c r="H28" i="155"/>
  <c r="R26" i="108" s="1"/>
  <c r="H29" i="155"/>
  <c r="R27" i="108" s="1"/>
  <c r="H30" i="155"/>
  <c r="R28" i="108" s="1"/>
  <c r="H32" i="155"/>
  <c r="R30" i="108" s="1"/>
  <c r="H33" i="155"/>
  <c r="R31" i="108" s="1"/>
  <c r="H34" i="155"/>
  <c r="R32" i="108" s="1"/>
  <c r="H35" i="155"/>
  <c r="R33" i="108" s="1"/>
  <c r="H37" i="155"/>
  <c r="R35" i="108" s="1"/>
  <c r="H38" i="155"/>
  <c r="R36" i="108" s="1"/>
  <c r="H39" i="155"/>
  <c r="R37" i="108" s="1"/>
  <c r="H40" i="155"/>
  <c r="R38" i="108" s="1"/>
  <c r="H41" i="155"/>
  <c r="R39" i="108" s="1"/>
  <c r="H42" i="155"/>
  <c r="R40" i="108" s="1"/>
  <c r="H43" i="155"/>
  <c r="R41" i="108" s="1"/>
  <c r="H45" i="155"/>
  <c r="R43" i="108" s="1"/>
  <c r="H46" i="155"/>
  <c r="R44" i="108" s="1"/>
  <c r="H47" i="155"/>
  <c r="R45" i="108" s="1"/>
  <c r="H48" i="155"/>
  <c r="R46" i="108" s="1"/>
  <c r="H49" i="155"/>
  <c r="R47" i="108" s="1"/>
  <c r="H51" i="155"/>
  <c r="R49" i="108" s="1"/>
  <c r="H52" i="155"/>
  <c r="R50" i="108" s="1"/>
  <c r="H54" i="155"/>
  <c r="R52" i="108" s="1"/>
  <c r="H55" i="155"/>
  <c r="R53" i="108" s="1"/>
  <c r="R54" i="99"/>
  <c r="R5" i="99"/>
  <c r="R7" i="99"/>
  <c r="R8" i="99"/>
  <c r="R9" i="99"/>
  <c r="R11" i="99"/>
  <c r="R12" i="99"/>
  <c r="R13" i="99"/>
  <c r="R14" i="99"/>
  <c r="R15" i="99"/>
  <c r="R17" i="99"/>
  <c r="R18" i="99"/>
  <c r="R19" i="99"/>
  <c r="R20" i="99"/>
  <c r="R21" i="99"/>
  <c r="R23" i="99"/>
  <c r="R24" i="99"/>
  <c r="R25" i="99"/>
  <c r="R26" i="99"/>
  <c r="R27" i="99"/>
  <c r="R28" i="99"/>
  <c r="R30" i="99"/>
  <c r="R31" i="99"/>
  <c r="R32" i="99"/>
  <c r="R33" i="99"/>
  <c r="R35" i="99"/>
  <c r="R36" i="99"/>
  <c r="R37" i="99"/>
  <c r="R38" i="99"/>
  <c r="R39" i="99"/>
  <c r="R40" i="99"/>
  <c r="R41" i="99"/>
  <c r="R43" i="99"/>
  <c r="R44" i="99"/>
  <c r="R45" i="99"/>
  <c r="R46" i="99"/>
  <c r="R47" i="99"/>
  <c r="R49" i="99"/>
  <c r="R50" i="99"/>
  <c r="R48" i="99" s="1"/>
  <c r="R52" i="99"/>
  <c r="R53" i="99"/>
  <c r="R6" i="116"/>
  <c r="R7" i="116"/>
  <c r="R8" i="116"/>
  <c r="R9" i="116"/>
  <c r="R10" i="116"/>
  <c r="R11" i="116"/>
  <c r="R12" i="116"/>
  <c r="R13" i="116"/>
  <c r="R14" i="116"/>
  <c r="R15" i="116"/>
  <c r="W8" i="86"/>
  <c r="W42" i="86"/>
  <c r="Q146" i="206" s="1"/>
  <c r="Q30" i="206" s="1"/>
  <c r="Q29" i="206" s="1"/>
  <c r="W55" i="86"/>
  <c r="W54" i="86" s="1"/>
  <c r="W64" i="86"/>
  <c r="E56" i="155"/>
  <c r="Q54" i="108" s="1"/>
  <c r="E7" i="155"/>
  <c r="Q5" i="108" s="1"/>
  <c r="E9" i="155"/>
  <c r="Q7" i="108" s="1"/>
  <c r="E10" i="155"/>
  <c r="Q8" i="108" s="1"/>
  <c r="E11" i="155"/>
  <c r="Q9" i="108" s="1"/>
  <c r="E13" i="155"/>
  <c r="Q11" i="108" s="1"/>
  <c r="E14" i="155"/>
  <c r="Q12" i="108" s="1"/>
  <c r="E15" i="155"/>
  <c r="Q13" i="108" s="1"/>
  <c r="E16" i="155"/>
  <c r="Q14" i="108" s="1"/>
  <c r="E17" i="155"/>
  <c r="Q15" i="108" s="1"/>
  <c r="E19" i="155"/>
  <c r="Q17" i="108" s="1"/>
  <c r="E20" i="155"/>
  <c r="Q18" i="108" s="1"/>
  <c r="E21" i="155"/>
  <c r="Q19" i="108" s="1"/>
  <c r="E22" i="155"/>
  <c r="Q20" i="108" s="1"/>
  <c r="E23" i="155"/>
  <c r="Q21" i="108" s="1"/>
  <c r="E25" i="155"/>
  <c r="Q23" i="108" s="1"/>
  <c r="E26" i="155"/>
  <c r="Q24" i="108" s="1"/>
  <c r="E27" i="155"/>
  <c r="Q25" i="108" s="1"/>
  <c r="E28" i="155"/>
  <c r="Q26" i="108" s="1"/>
  <c r="E29" i="155"/>
  <c r="Q27" i="108" s="1"/>
  <c r="E30" i="155"/>
  <c r="Q28" i="108" s="1"/>
  <c r="E32" i="155"/>
  <c r="Q30" i="108" s="1"/>
  <c r="E33" i="155"/>
  <c r="Q31" i="108" s="1"/>
  <c r="E34" i="155"/>
  <c r="Q32" i="108" s="1"/>
  <c r="E35" i="155"/>
  <c r="Q33" i="108" s="1"/>
  <c r="E37" i="155"/>
  <c r="Q35" i="108" s="1"/>
  <c r="E38" i="155"/>
  <c r="Q36" i="108" s="1"/>
  <c r="E39" i="155"/>
  <c r="Q37" i="108" s="1"/>
  <c r="E40" i="155"/>
  <c r="Q38" i="108" s="1"/>
  <c r="E41" i="155"/>
  <c r="Q39" i="108" s="1"/>
  <c r="E42" i="155"/>
  <c r="Q40" i="108" s="1"/>
  <c r="E43" i="155"/>
  <c r="Q41" i="108" s="1"/>
  <c r="E45" i="155"/>
  <c r="Q43" i="108" s="1"/>
  <c r="E46" i="155"/>
  <c r="Q44" i="108" s="1"/>
  <c r="E47" i="155"/>
  <c r="Q45" i="108" s="1"/>
  <c r="E48" i="155"/>
  <c r="Q46" i="108" s="1"/>
  <c r="E49" i="155"/>
  <c r="Q47" i="108" s="1"/>
  <c r="E51" i="155"/>
  <c r="Q49" i="108" s="1"/>
  <c r="E52" i="155"/>
  <c r="Q50" i="108" s="1"/>
  <c r="E54" i="155"/>
  <c r="Q52" i="108" s="1"/>
  <c r="E55" i="155"/>
  <c r="Q53" i="108" s="1"/>
  <c r="Q66" i="116"/>
  <c r="Q17" i="116"/>
  <c r="Q6" i="116" s="1"/>
  <c r="Q19" i="116"/>
  <c r="Q20" i="116"/>
  <c r="Q21" i="116"/>
  <c r="Q23" i="116"/>
  <c r="Q24" i="116"/>
  <c r="Q25" i="116"/>
  <c r="Q26" i="116"/>
  <c r="Q27" i="116"/>
  <c r="Q29" i="116"/>
  <c r="Q30" i="116"/>
  <c r="Q31" i="116"/>
  <c r="Q32" i="116"/>
  <c r="Q33" i="116"/>
  <c r="Q35" i="116"/>
  <c r="Q36" i="116"/>
  <c r="Q37" i="116"/>
  <c r="Q38" i="116"/>
  <c r="Q39" i="116"/>
  <c r="Q40" i="116"/>
  <c r="Q42" i="116"/>
  <c r="Q43" i="116"/>
  <c r="Q44" i="116"/>
  <c r="Q45" i="116"/>
  <c r="Q47" i="116"/>
  <c r="Q48" i="116"/>
  <c r="Q49" i="116"/>
  <c r="Q50" i="116"/>
  <c r="Q51" i="116"/>
  <c r="Q52" i="116"/>
  <c r="Q53" i="116"/>
  <c r="Q55" i="116"/>
  <c r="Q56" i="116"/>
  <c r="Q57" i="116"/>
  <c r="Q58" i="116"/>
  <c r="Q59" i="116"/>
  <c r="Q61" i="116"/>
  <c r="Q62" i="116"/>
  <c r="Q64" i="116"/>
  <c r="Q65" i="116"/>
  <c r="P66" i="116"/>
  <c r="P17" i="116"/>
  <c r="P6" i="116" s="1"/>
  <c r="P19" i="116"/>
  <c r="P20" i="116"/>
  <c r="P21" i="116"/>
  <c r="P23" i="116"/>
  <c r="P24" i="116"/>
  <c r="P25" i="116"/>
  <c r="P26" i="116"/>
  <c r="P27" i="116"/>
  <c r="P29" i="116"/>
  <c r="P30" i="116"/>
  <c r="P31" i="116"/>
  <c r="P32" i="116"/>
  <c r="P33" i="116"/>
  <c r="P35" i="116"/>
  <c r="P36" i="116"/>
  <c r="P37" i="116"/>
  <c r="P38" i="116"/>
  <c r="P39" i="116"/>
  <c r="P40" i="116"/>
  <c r="P42" i="116"/>
  <c r="P43" i="116"/>
  <c r="P44" i="116"/>
  <c r="P45" i="116"/>
  <c r="P47" i="116"/>
  <c r="P48" i="116"/>
  <c r="P49" i="116"/>
  <c r="P50" i="116"/>
  <c r="P51" i="116"/>
  <c r="P52" i="116"/>
  <c r="P53" i="116"/>
  <c r="P55" i="116"/>
  <c r="P56" i="116"/>
  <c r="P57" i="116"/>
  <c r="P58" i="116"/>
  <c r="P59" i="116"/>
  <c r="P61" i="116"/>
  <c r="P62" i="116"/>
  <c r="P64" i="116"/>
  <c r="P65" i="116"/>
  <c r="O19" i="116"/>
  <c r="O17" i="116"/>
  <c r="O6" i="116" s="1"/>
  <c r="O20" i="116"/>
  <c r="O21" i="116"/>
  <c r="O23" i="116"/>
  <c r="O24" i="116"/>
  <c r="O25" i="116"/>
  <c r="O26" i="116"/>
  <c r="O27" i="116"/>
  <c r="O29" i="116"/>
  <c r="O30" i="116"/>
  <c r="O31" i="116"/>
  <c r="O32" i="116"/>
  <c r="O33" i="116"/>
  <c r="O35" i="116"/>
  <c r="O36" i="116"/>
  <c r="O37" i="116"/>
  <c r="O38" i="116"/>
  <c r="O39" i="116"/>
  <c r="O40" i="116"/>
  <c r="O42" i="116"/>
  <c r="O43" i="116"/>
  <c r="O44" i="116"/>
  <c r="O45" i="116"/>
  <c r="O47" i="116"/>
  <c r="O48" i="116"/>
  <c r="O49" i="116"/>
  <c r="O50" i="116"/>
  <c r="O51" i="116"/>
  <c r="O52" i="116"/>
  <c r="O53" i="116"/>
  <c r="O55" i="116"/>
  <c r="O56" i="116"/>
  <c r="O57" i="116"/>
  <c r="O58" i="116"/>
  <c r="O59" i="116"/>
  <c r="O61" i="116"/>
  <c r="O62" i="116"/>
  <c r="O64" i="116"/>
  <c r="O65" i="116"/>
  <c r="O66" i="116"/>
  <c r="O20" i="123"/>
  <c r="O21" i="123"/>
  <c r="O22" i="123"/>
  <c r="O24" i="123"/>
  <c r="O25" i="123"/>
  <c r="O26" i="123"/>
  <c r="O27" i="123"/>
  <c r="O28" i="123"/>
  <c r="O30" i="123"/>
  <c r="O31" i="123"/>
  <c r="O32" i="123"/>
  <c r="O33" i="123"/>
  <c r="O34" i="123"/>
  <c r="O36" i="123"/>
  <c r="O37" i="123"/>
  <c r="O38" i="123"/>
  <c r="O39" i="123"/>
  <c r="O40" i="123"/>
  <c r="O41" i="123"/>
  <c r="O43" i="123"/>
  <c r="O44" i="123"/>
  <c r="O45" i="123"/>
  <c r="O46" i="123"/>
  <c r="O48" i="123"/>
  <c r="O49" i="123"/>
  <c r="O50" i="123"/>
  <c r="O51" i="123"/>
  <c r="O52" i="123"/>
  <c r="O53" i="123"/>
  <c r="O54" i="123"/>
  <c r="O56" i="123"/>
  <c r="O57" i="123"/>
  <c r="O58" i="123"/>
  <c r="O59" i="123"/>
  <c r="O60" i="123"/>
  <c r="O62" i="123"/>
  <c r="O61" i="123" s="1"/>
  <c r="O15" i="123" s="1"/>
  <c r="O63" i="123"/>
  <c r="O65" i="123"/>
  <c r="O66" i="123"/>
  <c r="O67" i="123"/>
  <c r="F5" i="129"/>
  <c r="G5" i="129"/>
  <c r="O20" i="165"/>
  <c r="O21" i="165"/>
  <c r="O22" i="165"/>
  <c r="O24" i="165"/>
  <c r="O25" i="165"/>
  <c r="O26" i="165"/>
  <c r="O27" i="165"/>
  <c r="O28" i="165"/>
  <c r="O30" i="165"/>
  <c r="O31" i="165"/>
  <c r="O32" i="165"/>
  <c r="O33" i="165"/>
  <c r="O34" i="165"/>
  <c r="O36" i="165"/>
  <c r="O37" i="165"/>
  <c r="O38" i="165"/>
  <c r="O39" i="165"/>
  <c r="O40" i="165"/>
  <c r="O41" i="165"/>
  <c r="O43" i="165"/>
  <c r="O44" i="165"/>
  <c r="O45" i="165"/>
  <c r="O46" i="165"/>
  <c r="O48" i="165"/>
  <c r="O49" i="165"/>
  <c r="O50" i="165"/>
  <c r="O51" i="165"/>
  <c r="O52" i="165"/>
  <c r="O53" i="165"/>
  <c r="O54" i="165"/>
  <c r="O56" i="165"/>
  <c r="O57" i="165"/>
  <c r="O58" i="165"/>
  <c r="O59" i="165"/>
  <c r="O60" i="165"/>
  <c r="O62" i="165"/>
  <c r="O63" i="165"/>
  <c r="O65" i="165"/>
  <c r="O66" i="165"/>
  <c r="O67" i="165"/>
  <c r="D20" i="123"/>
  <c r="D21" i="123"/>
  <c r="D22" i="123"/>
  <c r="D24" i="123"/>
  <c r="D25" i="123"/>
  <c r="D26" i="123"/>
  <c r="D27" i="123"/>
  <c r="D28" i="123"/>
  <c r="D30" i="123"/>
  <c r="D31" i="123"/>
  <c r="D32" i="123"/>
  <c r="D33" i="123"/>
  <c r="D34" i="123"/>
  <c r="D36" i="123"/>
  <c r="D37" i="123"/>
  <c r="D38" i="123"/>
  <c r="D39" i="123"/>
  <c r="D40" i="123"/>
  <c r="D41" i="123"/>
  <c r="D43" i="123"/>
  <c r="D44" i="123"/>
  <c r="D45" i="123"/>
  <c r="D46" i="123"/>
  <c r="D48" i="123"/>
  <c r="D49" i="123"/>
  <c r="D50" i="123"/>
  <c r="D51" i="123"/>
  <c r="D52" i="123"/>
  <c r="D53" i="123"/>
  <c r="D54" i="123"/>
  <c r="D56" i="123"/>
  <c r="D57" i="123"/>
  <c r="D58" i="123"/>
  <c r="D59" i="123"/>
  <c r="D60" i="123"/>
  <c r="D62" i="123"/>
  <c r="D61" i="123" s="1"/>
  <c r="D15" i="123" s="1"/>
  <c r="D63" i="123"/>
  <c r="D65" i="123"/>
  <c r="D66" i="123"/>
  <c r="D67" i="123"/>
  <c r="D19" i="116"/>
  <c r="D17" i="116"/>
  <c r="D6" i="116" s="1"/>
  <c r="D20" i="116"/>
  <c r="D21" i="116"/>
  <c r="D23" i="116"/>
  <c r="D24" i="116"/>
  <c r="D25" i="116"/>
  <c r="D26" i="116"/>
  <c r="D27" i="116"/>
  <c r="D29" i="116"/>
  <c r="D30" i="116"/>
  <c r="D31" i="116"/>
  <c r="D32" i="116"/>
  <c r="D33" i="116"/>
  <c r="D35" i="116"/>
  <c r="D36" i="116"/>
  <c r="D37" i="116"/>
  <c r="D38" i="116"/>
  <c r="D39" i="116"/>
  <c r="D40" i="116"/>
  <c r="D42" i="116"/>
  <c r="D43" i="116"/>
  <c r="D44" i="116"/>
  <c r="D45" i="116"/>
  <c r="D47" i="116"/>
  <c r="D48" i="116"/>
  <c r="D49" i="116"/>
  <c r="D50" i="116"/>
  <c r="D51" i="116"/>
  <c r="D52" i="116"/>
  <c r="D53" i="116"/>
  <c r="D55" i="116"/>
  <c r="D56" i="116"/>
  <c r="D57" i="116"/>
  <c r="D58" i="116"/>
  <c r="D59" i="116"/>
  <c r="D61" i="116"/>
  <c r="D62" i="116"/>
  <c r="D64" i="116"/>
  <c r="D65" i="116"/>
  <c r="D66" i="116"/>
  <c r="E20" i="123"/>
  <c r="E21" i="123"/>
  <c r="E24" i="123"/>
  <c r="E26" i="123"/>
  <c r="E28" i="123"/>
  <c r="E31" i="123"/>
  <c r="E33" i="123"/>
  <c r="E36" i="123"/>
  <c r="E38" i="123"/>
  <c r="E40" i="123"/>
  <c r="E43" i="123"/>
  <c r="E45" i="123"/>
  <c r="E48" i="123"/>
  <c r="E50" i="123"/>
  <c r="E52" i="123"/>
  <c r="E54" i="123"/>
  <c r="E57" i="123"/>
  <c r="E59" i="123"/>
  <c r="E62" i="123"/>
  <c r="E65" i="123"/>
  <c r="E67" i="123"/>
  <c r="E19" i="116"/>
  <c r="E17" i="116"/>
  <c r="E6" i="116" s="1"/>
  <c r="E20" i="116"/>
  <c r="E21" i="116"/>
  <c r="E23" i="116"/>
  <c r="E24" i="116"/>
  <c r="E25" i="116"/>
  <c r="E26" i="116"/>
  <c r="E27" i="116"/>
  <c r="E29" i="116"/>
  <c r="E30" i="116"/>
  <c r="E31" i="116"/>
  <c r="E32" i="116"/>
  <c r="E33" i="116"/>
  <c r="E35" i="116"/>
  <c r="E36" i="116"/>
  <c r="E37" i="116"/>
  <c r="E38" i="116"/>
  <c r="E39" i="116"/>
  <c r="E40" i="116"/>
  <c r="E42" i="116"/>
  <c r="E41" i="116" s="1"/>
  <c r="E11" i="116" s="1"/>
  <c r="E43" i="116"/>
  <c r="E44" i="116"/>
  <c r="E45" i="116"/>
  <c r="E47" i="116"/>
  <c r="E48" i="116"/>
  <c r="E49" i="116"/>
  <c r="E50" i="116"/>
  <c r="E51" i="116"/>
  <c r="E52" i="116"/>
  <c r="E53" i="116"/>
  <c r="E55" i="116"/>
  <c r="E56" i="116"/>
  <c r="E57" i="116"/>
  <c r="E58" i="116"/>
  <c r="E59" i="116"/>
  <c r="E61" i="116"/>
  <c r="E60" i="116" s="1"/>
  <c r="E14" i="116" s="1"/>
  <c r="E62" i="116"/>
  <c r="E64" i="116"/>
  <c r="E63" i="116" s="1"/>
  <c r="E15" i="116" s="1"/>
  <c r="E65" i="116"/>
  <c r="E66" i="116"/>
  <c r="F20" i="123"/>
  <c r="F21" i="123"/>
  <c r="F22" i="123"/>
  <c r="F24" i="123"/>
  <c r="F25" i="123"/>
  <c r="F26" i="123"/>
  <c r="F27" i="123"/>
  <c r="F28" i="123"/>
  <c r="F30" i="123"/>
  <c r="F31" i="123"/>
  <c r="F32" i="123"/>
  <c r="F33" i="123"/>
  <c r="F34" i="123"/>
  <c r="F36" i="123"/>
  <c r="F37" i="123"/>
  <c r="F38" i="123"/>
  <c r="F39" i="123"/>
  <c r="F40" i="123"/>
  <c r="F41" i="123"/>
  <c r="F43" i="123"/>
  <c r="F44" i="123"/>
  <c r="F45" i="123"/>
  <c r="F46" i="123"/>
  <c r="F48" i="123"/>
  <c r="F49" i="123"/>
  <c r="F50" i="123"/>
  <c r="F51" i="123"/>
  <c r="F52" i="123"/>
  <c r="F53" i="123"/>
  <c r="F54" i="123"/>
  <c r="F56" i="123"/>
  <c r="F57" i="123"/>
  <c r="F58" i="123"/>
  <c r="F59" i="123"/>
  <c r="F60" i="123"/>
  <c r="F62" i="123"/>
  <c r="F63" i="123"/>
  <c r="F65" i="123"/>
  <c r="F66" i="123"/>
  <c r="F67" i="123"/>
  <c r="F19" i="116"/>
  <c r="F17" i="116"/>
  <c r="F6" i="116" s="1"/>
  <c r="F20" i="116"/>
  <c r="F21" i="116"/>
  <c r="F23" i="116"/>
  <c r="F24" i="116"/>
  <c r="F25" i="116"/>
  <c r="F26" i="116"/>
  <c r="F27" i="116"/>
  <c r="F29" i="116"/>
  <c r="F30" i="116"/>
  <c r="F31" i="116"/>
  <c r="F32" i="116"/>
  <c r="F33" i="116"/>
  <c r="F35" i="116"/>
  <c r="F36" i="116"/>
  <c r="F37" i="116"/>
  <c r="F38" i="116"/>
  <c r="F39" i="116"/>
  <c r="F40" i="116"/>
  <c r="F42" i="116"/>
  <c r="F43" i="116"/>
  <c r="F44" i="116"/>
  <c r="F45" i="116"/>
  <c r="F47" i="116"/>
  <c r="F48" i="116"/>
  <c r="F49" i="116"/>
  <c r="F50" i="116"/>
  <c r="F51" i="116"/>
  <c r="F52" i="116"/>
  <c r="F53" i="116"/>
  <c r="F55" i="116"/>
  <c r="F56" i="116"/>
  <c r="F57" i="116"/>
  <c r="F58" i="116"/>
  <c r="F59" i="116"/>
  <c r="F61" i="116"/>
  <c r="F62" i="116"/>
  <c r="F64" i="116"/>
  <c r="F65" i="116"/>
  <c r="F66" i="116"/>
  <c r="G20" i="123"/>
  <c r="G21" i="123"/>
  <c r="G24" i="123"/>
  <c r="G26" i="123"/>
  <c r="G28" i="123"/>
  <c r="G31" i="123"/>
  <c r="G33" i="123"/>
  <c r="G36" i="123"/>
  <c r="G38" i="123"/>
  <c r="G40" i="123"/>
  <c r="G43" i="123"/>
  <c r="G45" i="123"/>
  <c r="G48" i="123"/>
  <c r="G50" i="123"/>
  <c r="G52" i="123"/>
  <c r="G54" i="123"/>
  <c r="G57" i="123"/>
  <c r="G59" i="123"/>
  <c r="G62" i="123"/>
  <c r="G65" i="123"/>
  <c r="G67" i="123"/>
  <c r="G19" i="116"/>
  <c r="G17" i="116"/>
  <c r="G6" i="116" s="1"/>
  <c r="G20" i="116"/>
  <c r="G21" i="116"/>
  <c r="G23" i="116"/>
  <c r="G24" i="116"/>
  <c r="G22" i="116" s="1"/>
  <c r="G8" i="116" s="1"/>
  <c r="G25" i="116"/>
  <c r="G26" i="116"/>
  <c r="G27" i="116"/>
  <c r="G29" i="116"/>
  <c r="G30" i="116"/>
  <c r="G31" i="116"/>
  <c r="G32" i="116"/>
  <c r="G33" i="116"/>
  <c r="G35" i="116"/>
  <c r="G36" i="116"/>
  <c r="G37" i="116"/>
  <c r="G38" i="116"/>
  <c r="G39" i="116"/>
  <c r="G40" i="116"/>
  <c r="G42" i="116"/>
  <c r="G43" i="116"/>
  <c r="G44" i="116"/>
  <c r="G45" i="116"/>
  <c r="G47" i="116"/>
  <c r="G48" i="116"/>
  <c r="G49" i="116"/>
  <c r="G50" i="116"/>
  <c r="G51" i="116"/>
  <c r="G52" i="116"/>
  <c r="G53" i="116"/>
  <c r="G55" i="116"/>
  <c r="G56" i="116"/>
  <c r="G57" i="116"/>
  <c r="G58" i="116"/>
  <c r="G59" i="116"/>
  <c r="G61" i="116"/>
  <c r="G62" i="116"/>
  <c r="G64" i="116"/>
  <c r="G65" i="116"/>
  <c r="G66" i="116"/>
  <c r="H20" i="123"/>
  <c r="H21" i="123"/>
  <c r="H22" i="123"/>
  <c r="H24" i="123"/>
  <c r="H25" i="123"/>
  <c r="H26" i="123"/>
  <c r="H27" i="123"/>
  <c r="H28" i="123"/>
  <c r="H30" i="123"/>
  <c r="H31" i="123"/>
  <c r="H32" i="123"/>
  <c r="H33" i="123"/>
  <c r="H34" i="123"/>
  <c r="H36" i="123"/>
  <c r="H37" i="123"/>
  <c r="H38" i="123"/>
  <c r="H39" i="123"/>
  <c r="H40" i="123"/>
  <c r="H41" i="123"/>
  <c r="H43" i="123"/>
  <c r="H44" i="123"/>
  <c r="H45" i="123"/>
  <c r="H46" i="123"/>
  <c r="H48" i="123"/>
  <c r="H49" i="123"/>
  <c r="H50" i="123"/>
  <c r="H51" i="123"/>
  <c r="H52" i="123"/>
  <c r="H53" i="123"/>
  <c r="H54" i="123"/>
  <c r="H56" i="123"/>
  <c r="H57" i="123"/>
  <c r="H58" i="123"/>
  <c r="H59" i="123"/>
  <c r="H60" i="123"/>
  <c r="H62" i="123"/>
  <c r="H63" i="123"/>
  <c r="H65" i="123"/>
  <c r="H66" i="123"/>
  <c r="H67" i="123"/>
  <c r="H19" i="116"/>
  <c r="H17" i="116"/>
  <c r="H6" i="116" s="1"/>
  <c r="H20" i="116"/>
  <c r="H21" i="116"/>
  <c r="H23" i="116"/>
  <c r="H24" i="116"/>
  <c r="H25" i="116"/>
  <c r="H26" i="116"/>
  <c r="H27" i="116"/>
  <c r="H29" i="116"/>
  <c r="H30" i="116"/>
  <c r="H31" i="116"/>
  <c r="H32" i="116"/>
  <c r="H33" i="116"/>
  <c r="H35" i="116"/>
  <c r="H36" i="116"/>
  <c r="H37" i="116"/>
  <c r="H38" i="116"/>
  <c r="H39" i="116"/>
  <c r="H40" i="116"/>
  <c r="H42" i="116"/>
  <c r="H43" i="116"/>
  <c r="H44" i="116"/>
  <c r="H45" i="116"/>
  <c r="H47" i="116"/>
  <c r="H48" i="116"/>
  <c r="H49" i="116"/>
  <c r="H50" i="116"/>
  <c r="H51" i="116"/>
  <c r="H52" i="116"/>
  <c r="H53" i="116"/>
  <c r="H55" i="116"/>
  <c r="H56" i="116"/>
  <c r="H57" i="116"/>
  <c r="H58" i="116"/>
  <c r="H59" i="116"/>
  <c r="H61" i="116"/>
  <c r="H62" i="116"/>
  <c r="H64" i="116"/>
  <c r="H65" i="116"/>
  <c r="H66" i="116"/>
  <c r="I20" i="123"/>
  <c r="I21" i="123"/>
  <c r="I22" i="123"/>
  <c r="I24" i="123"/>
  <c r="I25" i="123"/>
  <c r="I26" i="123"/>
  <c r="I27" i="123"/>
  <c r="I28" i="123"/>
  <c r="I30" i="123"/>
  <c r="I31" i="123"/>
  <c r="I32" i="123"/>
  <c r="I33" i="123"/>
  <c r="I34" i="123"/>
  <c r="I36" i="123"/>
  <c r="I37" i="123"/>
  <c r="I38" i="123"/>
  <c r="I39" i="123"/>
  <c r="I40" i="123"/>
  <c r="I41" i="123"/>
  <c r="I43" i="123"/>
  <c r="I44" i="123"/>
  <c r="I45" i="123"/>
  <c r="I46" i="123"/>
  <c r="I48" i="123"/>
  <c r="I49" i="123"/>
  <c r="I50" i="123"/>
  <c r="I51" i="123"/>
  <c r="I52" i="123"/>
  <c r="I53" i="123"/>
  <c r="I54" i="123"/>
  <c r="I56" i="123"/>
  <c r="I57" i="123"/>
  <c r="I58" i="123"/>
  <c r="I59" i="123"/>
  <c r="I60" i="123"/>
  <c r="I62" i="123"/>
  <c r="I63" i="123"/>
  <c r="I65" i="123"/>
  <c r="I66" i="123"/>
  <c r="I67" i="123"/>
  <c r="I19" i="116"/>
  <c r="I17" i="116"/>
  <c r="I6" i="116" s="1"/>
  <c r="I20" i="116"/>
  <c r="I21" i="116"/>
  <c r="I23" i="116"/>
  <c r="I24" i="116"/>
  <c r="I25" i="116"/>
  <c r="I26" i="116"/>
  <c r="I27" i="116"/>
  <c r="I29" i="116"/>
  <c r="I30" i="116"/>
  <c r="I31" i="116"/>
  <c r="I32" i="116"/>
  <c r="I33" i="116"/>
  <c r="I35" i="116"/>
  <c r="I36" i="116"/>
  <c r="I37" i="116"/>
  <c r="I38" i="116"/>
  <c r="I39" i="116"/>
  <c r="I40" i="116"/>
  <c r="I42" i="116"/>
  <c r="I43" i="116"/>
  <c r="I44" i="116"/>
  <c r="I45" i="116"/>
  <c r="I47" i="116"/>
  <c r="I48" i="116"/>
  <c r="I49" i="116"/>
  <c r="I50" i="116"/>
  <c r="I51" i="116"/>
  <c r="I52" i="116"/>
  <c r="I53" i="116"/>
  <c r="I55" i="116"/>
  <c r="I56" i="116"/>
  <c r="I57" i="116"/>
  <c r="I58" i="116"/>
  <c r="I59" i="116"/>
  <c r="I61" i="116"/>
  <c r="I62" i="116"/>
  <c r="I64" i="116"/>
  <c r="I65" i="116"/>
  <c r="I66" i="116"/>
  <c r="N8" i="86"/>
  <c r="J20" i="123"/>
  <c r="J21" i="123"/>
  <c r="J24" i="123"/>
  <c r="J26" i="123"/>
  <c r="J28" i="123"/>
  <c r="J31" i="123"/>
  <c r="J33" i="123"/>
  <c r="J36" i="123"/>
  <c r="J38" i="123"/>
  <c r="J40" i="123"/>
  <c r="J43" i="123"/>
  <c r="J45" i="123"/>
  <c r="J48" i="123"/>
  <c r="J50" i="123"/>
  <c r="J52" i="123"/>
  <c r="J54" i="123"/>
  <c r="J57" i="123"/>
  <c r="J59" i="123"/>
  <c r="J62" i="123"/>
  <c r="J65" i="123"/>
  <c r="J67" i="123"/>
  <c r="J19" i="116"/>
  <c r="J17" i="116"/>
  <c r="J6" i="116" s="1"/>
  <c r="J20" i="116"/>
  <c r="J21" i="116"/>
  <c r="J23" i="116"/>
  <c r="J24" i="116"/>
  <c r="J25" i="116"/>
  <c r="J26" i="116"/>
  <c r="J27" i="116"/>
  <c r="J29" i="116"/>
  <c r="J30" i="116"/>
  <c r="J31" i="116"/>
  <c r="J32" i="116"/>
  <c r="J33" i="116"/>
  <c r="J35" i="116"/>
  <c r="J36" i="116"/>
  <c r="J37" i="116"/>
  <c r="J38" i="116"/>
  <c r="J39" i="116"/>
  <c r="J40" i="116"/>
  <c r="J42" i="116"/>
  <c r="J43" i="116"/>
  <c r="J44" i="116"/>
  <c r="J45" i="116"/>
  <c r="J47" i="116"/>
  <c r="J48" i="116"/>
  <c r="J49" i="116"/>
  <c r="J50" i="116"/>
  <c r="J51" i="116"/>
  <c r="J52" i="116"/>
  <c r="J53" i="116"/>
  <c r="J55" i="116"/>
  <c r="J56" i="116"/>
  <c r="J57" i="116"/>
  <c r="J58" i="116"/>
  <c r="J59" i="116"/>
  <c r="J61" i="116"/>
  <c r="J62" i="116"/>
  <c r="J64" i="116"/>
  <c r="J65" i="116"/>
  <c r="J66" i="116"/>
  <c r="K20" i="123"/>
  <c r="K21" i="123"/>
  <c r="K24" i="123"/>
  <c r="K26" i="123"/>
  <c r="K28" i="123"/>
  <c r="K31" i="123"/>
  <c r="K33" i="123"/>
  <c r="K36" i="123"/>
  <c r="K38" i="123"/>
  <c r="K40" i="123"/>
  <c r="K43" i="123"/>
  <c r="K45" i="123"/>
  <c r="K48" i="123"/>
  <c r="K50" i="123"/>
  <c r="K52" i="123"/>
  <c r="K54" i="123"/>
  <c r="K57" i="123"/>
  <c r="K59" i="123"/>
  <c r="K62" i="123"/>
  <c r="K65" i="123"/>
  <c r="K67" i="123"/>
  <c r="K19" i="116"/>
  <c r="K17" i="116"/>
  <c r="K6" i="116" s="1"/>
  <c r="K20" i="116"/>
  <c r="K21" i="116"/>
  <c r="K23" i="116"/>
  <c r="K24" i="116"/>
  <c r="K25" i="116"/>
  <c r="K26" i="116"/>
  <c r="K27" i="116"/>
  <c r="K29" i="116"/>
  <c r="K30" i="116"/>
  <c r="K31" i="116"/>
  <c r="K32" i="116"/>
  <c r="K33" i="116"/>
  <c r="K35" i="116"/>
  <c r="K36" i="116"/>
  <c r="K37" i="116"/>
  <c r="K38" i="116"/>
  <c r="K39" i="116"/>
  <c r="K40" i="116"/>
  <c r="K42" i="116"/>
  <c r="K43" i="116"/>
  <c r="K44" i="116"/>
  <c r="K45" i="116"/>
  <c r="K47" i="116"/>
  <c r="K48" i="116"/>
  <c r="K49" i="116"/>
  <c r="K50" i="116"/>
  <c r="K51" i="116"/>
  <c r="K52" i="116"/>
  <c r="K53" i="116"/>
  <c r="K55" i="116"/>
  <c r="K56" i="116"/>
  <c r="K57" i="116"/>
  <c r="K58" i="116"/>
  <c r="K59" i="116"/>
  <c r="K61" i="116"/>
  <c r="K62" i="116"/>
  <c r="K64" i="116"/>
  <c r="K65" i="116"/>
  <c r="K66" i="116"/>
  <c r="L21" i="123"/>
  <c r="L24" i="123"/>
  <c r="L26" i="123"/>
  <c r="L28" i="123"/>
  <c r="L31" i="123"/>
  <c r="L33" i="123"/>
  <c r="L36" i="123"/>
  <c r="L38" i="123"/>
  <c r="L40" i="123"/>
  <c r="L43" i="123"/>
  <c r="L45" i="123"/>
  <c r="L48" i="123"/>
  <c r="L50" i="123"/>
  <c r="L52" i="123"/>
  <c r="L54" i="123"/>
  <c r="L57" i="123"/>
  <c r="L59" i="123"/>
  <c r="L62" i="123"/>
  <c r="L65" i="123"/>
  <c r="L67" i="123"/>
  <c r="L19" i="116"/>
  <c r="L17" i="116"/>
  <c r="L6" i="116" s="1"/>
  <c r="L20" i="116"/>
  <c r="L21" i="116"/>
  <c r="L23" i="116"/>
  <c r="L24" i="116"/>
  <c r="L25" i="116"/>
  <c r="L26" i="116"/>
  <c r="L27" i="116"/>
  <c r="L29" i="116"/>
  <c r="L30" i="116"/>
  <c r="L31" i="116"/>
  <c r="L32" i="116"/>
  <c r="L33" i="116"/>
  <c r="L35" i="116"/>
  <c r="L36" i="116"/>
  <c r="L37" i="116"/>
  <c r="L38" i="116"/>
  <c r="L39" i="116"/>
  <c r="L40" i="116"/>
  <c r="L42" i="116"/>
  <c r="L43" i="116"/>
  <c r="L44" i="116"/>
  <c r="L45" i="116"/>
  <c r="L47" i="116"/>
  <c r="L48" i="116"/>
  <c r="L49" i="116"/>
  <c r="L50" i="116"/>
  <c r="L51" i="116"/>
  <c r="L52" i="116"/>
  <c r="L53" i="116"/>
  <c r="L55" i="116"/>
  <c r="L56" i="116"/>
  <c r="L57" i="116"/>
  <c r="L58" i="116"/>
  <c r="L59" i="116"/>
  <c r="L61" i="116"/>
  <c r="L62" i="116"/>
  <c r="L64" i="116"/>
  <c r="L65" i="116"/>
  <c r="L66" i="116"/>
  <c r="M26" i="123"/>
  <c r="M28" i="123"/>
  <c r="M31" i="123"/>
  <c r="M33" i="123"/>
  <c r="M36" i="123"/>
  <c r="M38" i="123"/>
  <c r="M40" i="123"/>
  <c r="M43" i="123"/>
  <c r="M45" i="123"/>
  <c r="M48" i="123"/>
  <c r="M50" i="123"/>
  <c r="M52" i="123"/>
  <c r="M54" i="123"/>
  <c r="M57" i="123"/>
  <c r="M59" i="123"/>
  <c r="M62" i="123"/>
  <c r="M65" i="123"/>
  <c r="M67" i="123"/>
  <c r="M19" i="116"/>
  <c r="M17" i="116"/>
  <c r="M6" i="116" s="1"/>
  <c r="M20" i="116"/>
  <c r="M21" i="116"/>
  <c r="M23" i="116"/>
  <c r="M24" i="116"/>
  <c r="M25" i="116"/>
  <c r="M26" i="116"/>
  <c r="M27" i="116"/>
  <c r="M29" i="116"/>
  <c r="M30" i="116"/>
  <c r="M31" i="116"/>
  <c r="M32" i="116"/>
  <c r="M33" i="116"/>
  <c r="M35" i="116"/>
  <c r="M36" i="116"/>
  <c r="M37" i="116"/>
  <c r="M38" i="116"/>
  <c r="M39" i="116"/>
  <c r="M40" i="116"/>
  <c r="M42" i="116"/>
  <c r="M43" i="116"/>
  <c r="M44" i="116"/>
  <c r="M45" i="116"/>
  <c r="M47" i="116"/>
  <c r="M48" i="116"/>
  <c r="M49" i="116"/>
  <c r="M50" i="116"/>
  <c r="M51" i="116"/>
  <c r="M52" i="116"/>
  <c r="M53" i="116"/>
  <c r="M55" i="116"/>
  <c r="M56" i="116"/>
  <c r="M57" i="116"/>
  <c r="M58" i="116"/>
  <c r="M59" i="116"/>
  <c r="M61" i="116"/>
  <c r="M62" i="116"/>
  <c r="M64" i="116"/>
  <c r="M65" i="116"/>
  <c r="M63" i="116" s="1"/>
  <c r="M15" i="116" s="1"/>
  <c r="M66" i="116"/>
  <c r="N21" i="123"/>
  <c r="N24" i="123"/>
  <c r="N26" i="123"/>
  <c r="N28" i="123"/>
  <c r="N31" i="123"/>
  <c r="N33" i="123"/>
  <c r="N36" i="123"/>
  <c r="N38" i="123"/>
  <c r="N40" i="123"/>
  <c r="N43" i="123"/>
  <c r="N45" i="123"/>
  <c r="N48" i="123"/>
  <c r="N50" i="123"/>
  <c r="N52" i="123"/>
  <c r="N54" i="123"/>
  <c r="N57" i="123"/>
  <c r="N59" i="123"/>
  <c r="N62" i="123"/>
  <c r="N65" i="123"/>
  <c r="N67" i="123"/>
  <c r="N19" i="116"/>
  <c r="N17" i="116"/>
  <c r="N6" i="116" s="1"/>
  <c r="N20" i="116"/>
  <c r="N21" i="116"/>
  <c r="N23" i="116"/>
  <c r="N24" i="116"/>
  <c r="N25" i="116"/>
  <c r="N26" i="116"/>
  <c r="N27" i="116"/>
  <c r="N29" i="116"/>
  <c r="N30" i="116"/>
  <c r="N31" i="116"/>
  <c r="N32" i="116"/>
  <c r="N33" i="116"/>
  <c r="N35" i="116"/>
  <c r="N36" i="116"/>
  <c r="N37" i="116"/>
  <c r="N38" i="116"/>
  <c r="N39" i="116"/>
  <c r="N40" i="116"/>
  <c r="N42" i="116"/>
  <c r="N43" i="116"/>
  <c r="N44" i="116"/>
  <c r="N45" i="116"/>
  <c r="N47" i="116"/>
  <c r="N48" i="116"/>
  <c r="N49" i="116"/>
  <c r="N50" i="116"/>
  <c r="N51" i="116"/>
  <c r="N52" i="116"/>
  <c r="N53" i="116"/>
  <c r="N55" i="116"/>
  <c r="N56" i="116"/>
  <c r="N57" i="116"/>
  <c r="N58" i="116"/>
  <c r="N59" i="116"/>
  <c r="N61" i="116"/>
  <c r="N62" i="116"/>
  <c r="N64" i="116"/>
  <c r="N65" i="116"/>
  <c r="N66" i="116"/>
  <c r="S8" i="86"/>
  <c r="AA18" i="86"/>
  <c r="T122" i="206" s="1"/>
  <c r="AA22" i="86"/>
  <c r="AA28" i="86"/>
  <c r="AA34" i="86"/>
  <c r="AA41" i="86"/>
  <c r="AA46" i="86"/>
  <c r="AA54" i="86"/>
  <c r="AA60" i="86"/>
  <c r="AA63" i="86"/>
  <c r="AB18" i="86"/>
  <c r="AB22" i="86"/>
  <c r="AB28" i="86"/>
  <c r="AB34" i="86"/>
  <c r="AB41" i="86"/>
  <c r="AB46" i="86"/>
  <c r="AB54" i="86"/>
  <c r="AB60" i="86"/>
  <c r="AB63" i="86"/>
  <c r="AC18" i="86"/>
  <c r="AC22" i="86"/>
  <c r="V126" i="206" s="1"/>
  <c r="AC28" i="86"/>
  <c r="AC34" i="86"/>
  <c r="AC41" i="86"/>
  <c r="AC46" i="86"/>
  <c r="AC54" i="86"/>
  <c r="AC60" i="86"/>
  <c r="V164" i="206" s="1"/>
  <c r="AC63" i="86"/>
  <c r="W120" i="114"/>
  <c r="X126" i="114"/>
  <c r="X132" i="114"/>
  <c r="X138" i="114"/>
  <c r="X150" i="114"/>
  <c r="X158" i="114"/>
  <c r="X164" i="114"/>
  <c r="Y138" i="114"/>
  <c r="Y150" i="114"/>
  <c r="Y158" i="114"/>
  <c r="Y164" i="114"/>
  <c r="W122" i="114"/>
  <c r="Y122" i="114"/>
  <c r="Z122" i="114"/>
  <c r="W126" i="114"/>
  <c r="Z126" i="114"/>
  <c r="W132" i="114"/>
  <c r="Y132" i="114"/>
  <c r="Z132" i="114"/>
  <c r="W138" i="114"/>
  <c r="Z138" i="114"/>
  <c r="W145" i="114"/>
  <c r="Y145" i="114"/>
  <c r="W150" i="114"/>
  <c r="Z150" i="114"/>
  <c r="W158" i="114"/>
  <c r="Z158" i="114"/>
  <c r="W164" i="114"/>
  <c r="Z164" i="114"/>
  <c r="W167" i="114"/>
  <c r="Y167" i="114"/>
  <c r="Z167" i="114"/>
  <c r="Z22" i="86"/>
  <c r="Z28" i="86"/>
  <c r="Z34" i="86"/>
  <c r="Z41" i="86"/>
  <c r="Z46" i="86"/>
  <c r="Z54" i="86"/>
  <c r="S158" i="206" s="1"/>
  <c r="Z60" i="86"/>
  <c r="Z63" i="86"/>
  <c r="Z18" i="86"/>
  <c r="S122" i="206" s="1"/>
  <c r="CL90" i="114"/>
  <c r="CF90" i="114"/>
  <c r="CL91" i="114" s="1"/>
  <c r="CK90" i="114"/>
  <c r="AU80" i="114" s="1"/>
  <c r="CE90" i="114"/>
  <c r="CJ90" i="114"/>
  <c r="CD90" i="114"/>
  <c r="CI90" i="114"/>
  <c r="CC90" i="114"/>
  <c r="AT78" i="114" s="1"/>
  <c r="V62" i="114"/>
  <c r="AI63" i="155"/>
  <c r="AJ63" i="155"/>
  <c r="AH63" i="155"/>
  <c r="AR74" i="114"/>
  <c r="W60" i="114" s="1"/>
  <c r="AS90" i="114" s="1"/>
  <c r="V59" i="114"/>
  <c r="J87" i="121"/>
  <c r="AC43" i="156"/>
  <c r="Z15" i="99" s="1"/>
  <c r="AC32" i="156"/>
  <c r="Z14" i="99" s="1"/>
  <c r="AC30" i="156"/>
  <c r="Z13" i="99" s="1"/>
  <c r="AC27" i="156"/>
  <c r="Z12" i="99" s="1"/>
  <c r="Z6" i="122"/>
  <c r="Z7" i="122"/>
  <c r="Z8" i="122"/>
  <c r="Z9" i="122"/>
  <c r="Z10" i="122"/>
  <c r="Z11" i="122"/>
  <c r="Z12" i="122"/>
  <c r="Z13" i="122"/>
  <c r="Z14" i="122"/>
  <c r="Z15" i="122"/>
  <c r="AD8" i="155"/>
  <c r="AE8" i="155"/>
  <c r="AF8" i="155"/>
  <c r="AF18" i="155"/>
  <c r="AF24" i="155"/>
  <c r="AF31" i="155"/>
  <c r="AF36" i="155"/>
  <c r="AF44" i="155"/>
  <c r="AF50" i="155"/>
  <c r="AF53" i="155"/>
  <c r="AD12" i="155"/>
  <c r="AE12" i="155"/>
  <c r="AD18" i="155"/>
  <c r="AE18" i="155"/>
  <c r="AD24" i="155"/>
  <c r="AE24" i="155"/>
  <c r="AD31" i="155"/>
  <c r="AE31" i="155"/>
  <c r="AD36" i="155"/>
  <c r="AE36" i="155"/>
  <c r="AD44" i="155"/>
  <c r="AE44" i="155"/>
  <c r="AD50" i="155"/>
  <c r="AE50" i="155"/>
  <c r="AD53" i="155"/>
  <c r="AE53" i="155"/>
  <c r="Y55" i="156"/>
  <c r="X55" i="156"/>
  <c r="V55" i="156"/>
  <c r="U55" i="156"/>
  <c r="BZ90" i="114"/>
  <c r="BY90" i="114"/>
  <c r="AS80" i="114" s="1"/>
  <c r="BX90" i="114"/>
  <c r="AS79" i="114" s="1"/>
  <c r="BW90" i="114"/>
  <c r="H6" i="176"/>
  <c r="I6" i="176" s="1"/>
  <c r="H9" i="176"/>
  <c r="I9" i="176" s="1"/>
  <c r="H7" i="176"/>
  <c r="I7" i="176" s="1"/>
  <c r="H8" i="176"/>
  <c r="I8" i="176" s="1"/>
  <c r="H10" i="176"/>
  <c r="I10" i="176" s="1"/>
  <c r="H11" i="176"/>
  <c r="I11" i="176" s="1"/>
  <c r="H14" i="176"/>
  <c r="I14" i="176" s="1"/>
  <c r="W62" i="114"/>
  <c r="R62" i="114"/>
  <c r="S62" i="114"/>
  <c r="T62" i="114"/>
  <c r="U62" i="114"/>
  <c r="W59" i="114"/>
  <c r="I87" i="121"/>
  <c r="Y6" i="122"/>
  <c r="Y7" i="122"/>
  <c r="Y8" i="122"/>
  <c r="Y9" i="122"/>
  <c r="Y10" i="122"/>
  <c r="Y11" i="122"/>
  <c r="Y12" i="122"/>
  <c r="Y13" i="122"/>
  <c r="Y14" i="122"/>
  <c r="Y15" i="122"/>
  <c r="W15" i="122"/>
  <c r="W14" i="122"/>
  <c r="W13" i="122"/>
  <c r="W12" i="122"/>
  <c r="W11" i="122"/>
  <c r="W10" i="122"/>
  <c r="W9" i="122"/>
  <c r="W8" i="122"/>
  <c r="W7" i="122"/>
  <c r="W6" i="122"/>
  <c r="E20" i="165"/>
  <c r="E21" i="165"/>
  <c r="E22" i="165"/>
  <c r="E24" i="165"/>
  <c r="E25" i="165"/>
  <c r="E26" i="165"/>
  <c r="E27" i="165"/>
  <c r="E28" i="165"/>
  <c r="E30" i="165"/>
  <c r="E31" i="165"/>
  <c r="E32" i="165"/>
  <c r="E33" i="165"/>
  <c r="E34" i="165"/>
  <c r="E36" i="165"/>
  <c r="E37" i="165"/>
  <c r="E38" i="165"/>
  <c r="E39" i="165"/>
  <c r="E40" i="165"/>
  <c r="E41" i="165"/>
  <c r="E43" i="165"/>
  <c r="E44" i="165"/>
  <c r="E45" i="165"/>
  <c r="E46" i="165"/>
  <c r="E48" i="165"/>
  <c r="E49" i="165"/>
  <c r="E50" i="165"/>
  <c r="E51" i="165"/>
  <c r="E52" i="165"/>
  <c r="E53" i="165"/>
  <c r="E54" i="165"/>
  <c r="E56" i="165"/>
  <c r="E57" i="165"/>
  <c r="E58" i="165"/>
  <c r="E59" i="165"/>
  <c r="E60" i="165"/>
  <c r="E62" i="165"/>
  <c r="E63" i="165"/>
  <c r="E65" i="165"/>
  <c r="E66" i="165"/>
  <c r="E67" i="165"/>
  <c r="F20" i="165"/>
  <c r="F21" i="165"/>
  <c r="F22" i="165"/>
  <c r="F24" i="165"/>
  <c r="F25" i="165"/>
  <c r="F26" i="165"/>
  <c r="F27" i="165"/>
  <c r="F28" i="165"/>
  <c r="F30" i="165"/>
  <c r="F31" i="165"/>
  <c r="F32" i="165"/>
  <c r="F33" i="165"/>
  <c r="F34" i="165"/>
  <c r="F36" i="165"/>
  <c r="F37" i="165"/>
  <c r="F38" i="165"/>
  <c r="F39" i="165"/>
  <c r="F40" i="165"/>
  <c r="F41" i="165"/>
  <c r="F43" i="165"/>
  <c r="F44" i="165"/>
  <c r="F45" i="165"/>
  <c r="F46" i="165"/>
  <c r="F48" i="165"/>
  <c r="F49" i="165"/>
  <c r="F50" i="165"/>
  <c r="F51" i="165"/>
  <c r="F52" i="165"/>
  <c r="F53" i="165"/>
  <c r="F54" i="165"/>
  <c r="F56" i="165"/>
  <c r="F57" i="165"/>
  <c r="F58" i="165"/>
  <c r="F59" i="165"/>
  <c r="F60" i="165"/>
  <c r="F62" i="165"/>
  <c r="F63" i="165"/>
  <c r="F65" i="165"/>
  <c r="F66" i="165"/>
  <c r="F67" i="165"/>
  <c r="G20" i="165"/>
  <c r="G21" i="165"/>
  <c r="G22" i="165"/>
  <c r="G24" i="165"/>
  <c r="G25" i="165"/>
  <c r="G26" i="165"/>
  <c r="G27" i="165"/>
  <c r="G28" i="165"/>
  <c r="G30" i="165"/>
  <c r="G31" i="165"/>
  <c r="G32" i="165"/>
  <c r="G33" i="165"/>
  <c r="G34" i="165"/>
  <c r="G36" i="165"/>
  <c r="G37" i="165"/>
  <c r="G38" i="165"/>
  <c r="G39" i="165"/>
  <c r="G40" i="165"/>
  <c r="G41" i="165"/>
  <c r="G43" i="165"/>
  <c r="G44" i="165"/>
  <c r="G45" i="165"/>
  <c r="G46" i="165"/>
  <c r="G48" i="165"/>
  <c r="G49" i="165"/>
  <c r="G50" i="165"/>
  <c r="G51" i="165"/>
  <c r="G52" i="165"/>
  <c r="G53" i="165"/>
  <c r="G54" i="165"/>
  <c r="G56" i="165"/>
  <c r="G57" i="165"/>
  <c r="G58" i="165"/>
  <c r="G59" i="165"/>
  <c r="G60" i="165"/>
  <c r="G62" i="165"/>
  <c r="G63" i="165"/>
  <c r="G65" i="165"/>
  <c r="G66" i="165"/>
  <c r="G67" i="165"/>
  <c r="H20" i="165"/>
  <c r="H21" i="165"/>
  <c r="H22" i="165"/>
  <c r="H24" i="165"/>
  <c r="H25" i="165"/>
  <c r="H26" i="165"/>
  <c r="H27" i="165"/>
  <c r="H28" i="165"/>
  <c r="H30" i="165"/>
  <c r="H31" i="165"/>
  <c r="H32" i="165"/>
  <c r="H33" i="165"/>
  <c r="H34" i="165"/>
  <c r="H36" i="165"/>
  <c r="H37" i="165"/>
  <c r="H38" i="165"/>
  <c r="H39" i="165"/>
  <c r="H40" i="165"/>
  <c r="H41" i="165"/>
  <c r="H43" i="165"/>
  <c r="H44" i="165"/>
  <c r="H45" i="165"/>
  <c r="H46" i="165"/>
  <c r="H48" i="165"/>
  <c r="H49" i="165"/>
  <c r="H50" i="165"/>
  <c r="H51" i="165"/>
  <c r="H52" i="165"/>
  <c r="H53" i="165"/>
  <c r="H54" i="165"/>
  <c r="H56" i="165"/>
  <c r="H57" i="165"/>
  <c r="H58" i="165"/>
  <c r="H59" i="165"/>
  <c r="H60" i="165"/>
  <c r="H62" i="165"/>
  <c r="H63" i="165"/>
  <c r="H65" i="165"/>
  <c r="H66" i="165"/>
  <c r="H67" i="165"/>
  <c r="I20" i="165"/>
  <c r="I21" i="165"/>
  <c r="I22" i="165"/>
  <c r="I24" i="165"/>
  <c r="I25" i="165"/>
  <c r="I26" i="165"/>
  <c r="I27" i="165"/>
  <c r="I28" i="165"/>
  <c r="I30" i="165"/>
  <c r="I31" i="165"/>
  <c r="I32" i="165"/>
  <c r="I33" i="165"/>
  <c r="I34" i="165"/>
  <c r="I36" i="165"/>
  <c r="I37" i="165"/>
  <c r="I38" i="165"/>
  <c r="I39" i="165"/>
  <c r="I40" i="165"/>
  <c r="I41" i="165"/>
  <c r="I43" i="165"/>
  <c r="I44" i="165"/>
  <c r="I45" i="165"/>
  <c r="I46" i="165"/>
  <c r="I48" i="165"/>
  <c r="I49" i="165"/>
  <c r="I50" i="165"/>
  <c r="I51" i="165"/>
  <c r="I52" i="165"/>
  <c r="I53" i="165"/>
  <c r="I54" i="165"/>
  <c r="I56" i="165"/>
  <c r="I57" i="165"/>
  <c r="I58" i="165"/>
  <c r="I59" i="165"/>
  <c r="I60" i="165"/>
  <c r="I62" i="165"/>
  <c r="I63" i="165"/>
  <c r="I65" i="165"/>
  <c r="I66" i="165"/>
  <c r="I67" i="165"/>
  <c r="J20" i="165"/>
  <c r="J21" i="165"/>
  <c r="J22" i="165"/>
  <c r="J24" i="165"/>
  <c r="J25" i="165"/>
  <c r="J26" i="165"/>
  <c r="J27" i="165"/>
  <c r="J28" i="165"/>
  <c r="J30" i="165"/>
  <c r="J31" i="165"/>
  <c r="J32" i="165"/>
  <c r="J33" i="165"/>
  <c r="J34" i="165"/>
  <c r="J36" i="165"/>
  <c r="J37" i="165"/>
  <c r="J38" i="165"/>
  <c r="J39" i="165"/>
  <c r="J40" i="165"/>
  <c r="J41" i="165"/>
  <c r="J43" i="165"/>
  <c r="J44" i="165"/>
  <c r="J45" i="165"/>
  <c r="J46" i="165"/>
  <c r="J48" i="165"/>
  <c r="J49" i="165"/>
  <c r="J50" i="165"/>
  <c r="J51" i="165"/>
  <c r="J52" i="165"/>
  <c r="J53" i="165"/>
  <c r="J54" i="165"/>
  <c r="J56" i="165"/>
  <c r="J57" i="165"/>
  <c r="J58" i="165"/>
  <c r="J59" i="165"/>
  <c r="J60" i="165"/>
  <c r="J62" i="165"/>
  <c r="J63" i="165"/>
  <c r="J65" i="165"/>
  <c r="J66" i="165"/>
  <c r="J67" i="165"/>
  <c r="K20" i="165"/>
  <c r="K21" i="165"/>
  <c r="K22" i="165"/>
  <c r="K24" i="165"/>
  <c r="K25" i="165"/>
  <c r="K26" i="165"/>
  <c r="K27" i="165"/>
  <c r="K28" i="165"/>
  <c r="K30" i="165"/>
  <c r="K31" i="165"/>
  <c r="K32" i="165"/>
  <c r="K33" i="165"/>
  <c r="K34" i="165"/>
  <c r="K36" i="165"/>
  <c r="K37" i="165"/>
  <c r="K38" i="165"/>
  <c r="K39" i="165"/>
  <c r="K40" i="165"/>
  <c r="K41" i="165"/>
  <c r="K43" i="165"/>
  <c r="K44" i="165"/>
  <c r="K45" i="165"/>
  <c r="K46" i="165"/>
  <c r="K48" i="165"/>
  <c r="K49" i="165"/>
  <c r="K50" i="165"/>
  <c r="K51" i="165"/>
  <c r="K52" i="165"/>
  <c r="K53" i="165"/>
  <c r="K54" i="165"/>
  <c r="K56" i="165"/>
  <c r="K57" i="165"/>
  <c r="K58" i="165"/>
  <c r="K59" i="165"/>
  <c r="K60" i="165"/>
  <c r="K62" i="165"/>
  <c r="K63" i="165"/>
  <c r="K65" i="165"/>
  <c r="K66" i="165"/>
  <c r="K67" i="165"/>
  <c r="L20" i="165"/>
  <c r="L21" i="165"/>
  <c r="L22" i="165"/>
  <c r="L24" i="165"/>
  <c r="L25" i="165"/>
  <c r="L26" i="165"/>
  <c r="L27" i="165"/>
  <c r="L28" i="165"/>
  <c r="L30" i="165"/>
  <c r="L31" i="165"/>
  <c r="L32" i="165"/>
  <c r="L33" i="165"/>
  <c r="L34" i="165"/>
  <c r="L36" i="165"/>
  <c r="L37" i="165"/>
  <c r="L38" i="165"/>
  <c r="L39" i="165"/>
  <c r="L40" i="165"/>
  <c r="L41" i="165"/>
  <c r="L43" i="165"/>
  <c r="L44" i="165"/>
  <c r="L45" i="165"/>
  <c r="L46" i="165"/>
  <c r="L48" i="165"/>
  <c r="L49" i="165"/>
  <c r="L50" i="165"/>
  <c r="L51" i="165"/>
  <c r="L52" i="165"/>
  <c r="L53" i="165"/>
  <c r="L54" i="165"/>
  <c r="L56" i="165"/>
  <c r="L57" i="165"/>
  <c r="L58" i="165"/>
  <c r="L59" i="165"/>
  <c r="L60" i="165"/>
  <c r="L62" i="165"/>
  <c r="L63" i="165"/>
  <c r="L65" i="165"/>
  <c r="L66" i="165"/>
  <c r="L67" i="165"/>
  <c r="M20" i="165"/>
  <c r="M21" i="165"/>
  <c r="M22" i="165"/>
  <c r="M19" i="165" s="1"/>
  <c r="M8" i="165" s="1"/>
  <c r="M24" i="165"/>
  <c r="M25" i="165"/>
  <c r="M26" i="165"/>
  <c r="M27" i="165"/>
  <c r="M28" i="165"/>
  <c r="M30" i="165"/>
  <c r="M31" i="165"/>
  <c r="M32" i="165"/>
  <c r="M33" i="165"/>
  <c r="M34" i="165"/>
  <c r="M36" i="165"/>
  <c r="M37" i="165"/>
  <c r="M38" i="165"/>
  <c r="M39" i="165"/>
  <c r="M40" i="165"/>
  <c r="M41" i="165"/>
  <c r="M43" i="165"/>
  <c r="M44" i="165"/>
  <c r="M45" i="165"/>
  <c r="M46" i="165"/>
  <c r="M48" i="165"/>
  <c r="M49" i="165"/>
  <c r="M50" i="165"/>
  <c r="M51" i="165"/>
  <c r="M52" i="165"/>
  <c r="M53" i="165"/>
  <c r="M54" i="165"/>
  <c r="M56" i="165"/>
  <c r="M57" i="165"/>
  <c r="M58" i="165"/>
  <c r="M59" i="165"/>
  <c r="M60" i="165"/>
  <c r="M62" i="165"/>
  <c r="M63" i="165"/>
  <c r="M65" i="165"/>
  <c r="M66" i="165"/>
  <c r="M67" i="165"/>
  <c r="N20" i="165"/>
  <c r="N21" i="165"/>
  <c r="N22" i="165"/>
  <c r="N24" i="165"/>
  <c r="N25" i="165"/>
  <c r="N26" i="165"/>
  <c r="N27" i="165"/>
  <c r="N28" i="165"/>
  <c r="N30" i="165"/>
  <c r="N31" i="165"/>
  <c r="N32" i="165"/>
  <c r="N33" i="165"/>
  <c r="N34" i="165"/>
  <c r="N36" i="165"/>
  <c r="N37" i="165"/>
  <c r="N38" i="165"/>
  <c r="N39" i="165"/>
  <c r="N40" i="165"/>
  <c r="N41" i="165"/>
  <c r="N43" i="165"/>
  <c r="N44" i="165"/>
  <c r="N45" i="165"/>
  <c r="N46" i="165"/>
  <c r="N48" i="165"/>
  <c r="N49" i="165"/>
  <c r="N50" i="165"/>
  <c r="N51" i="165"/>
  <c r="N52" i="165"/>
  <c r="N53" i="165"/>
  <c r="N54" i="165"/>
  <c r="N56" i="165"/>
  <c r="N57" i="165"/>
  <c r="N58" i="165"/>
  <c r="N59" i="165"/>
  <c r="N60" i="165"/>
  <c r="N62" i="165"/>
  <c r="N63" i="165"/>
  <c r="N65" i="165"/>
  <c r="N66" i="165"/>
  <c r="N67" i="165"/>
  <c r="D67" i="165"/>
  <c r="D66" i="165"/>
  <c r="D65" i="165"/>
  <c r="D64" i="165" s="1"/>
  <c r="D16" i="165" s="1"/>
  <c r="D63" i="165"/>
  <c r="D62" i="165"/>
  <c r="D60" i="165"/>
  <c r="D59" i="165"/>
  <c r="D58" i="165"/>
  <c r="D57" i="165"/>
  <c r="D56" i="165"/>
  <c r="D54" i="165"/>
  <c r="D53" i="165"/>
  <c r="D52" i="165"/>
  <c r="D51" i="165"/>
  <c r="D50" i="165"/>
  <c r="D49" i="165"/>
  <c r="D48" i="165"/>
  <c r="D46" i="165"/>
  <c r="D45" i="165"/>
  <c r="D44" i="165"/>
  <c r="D43" i="165"/>
  <c r="D41" i="165"/>
  <c r="D40" i="165"/>
  <c r="D39" i="165"/>
  <c r="D38" i="165"/>
  <c r="D37" i="165"/>
  <c r="D36" i="165"/>
  <c r="D34" i="165"/>
  <c r="D33" i="165"/>
  <c r="D32" i="165"/>
  <c r="D31" i="165"/>
  <c r="D30" i="165"/>
  <c r="D28" i="165"/>
  <c r="D27" i="165"/>
  <c r="D26" i="165"/>
  <c r="D25" i="165"/>
  <c r="D24" i="165"/>
  <c r="D22" i="165"/>
  <c r="D21" i="165"/>
  <c r="D20" i="165"/>
  <c r="H12" i="176"/>
  <c r="I12" i="176" s="1"/>
  <c r="H13" i="176"/>
  <c r="I13" i="176" s="1"/>
  <c r="H15" i="176"/>
  <c r="I15" i="176" s="1"/>
  <c r="H16" i="176"/>
  <c r="I16" i="176" s="1"/>
  <c r="H5" i="176"/>
  <c r="I5" i="176" s="1"/>
  <c r="H21" i="176"/>
  <c r="H20" i="176"/>
  <c r="G5" i="176"/>
  <c r="G6" i="176"/>
  <c r="G7" i="176"/>
  <c r="G8" i="176"/>
  <c r="G9" i="176"/>
  <c r="G10" i="176"/>
  <c r="G11" i="176"/>
  <c r="G12" i="176"/>
  <c r="G13" i="176"/>
  <c r="G14" i="176"/>
  <c r="G15" i="176"/>
  <c r="G16" i="176"/>
  <c r="G20" i="176"/>
  <c r="G21" i="176"/>
  <c r="F6" i="176"/>
  <c r="F7" i="176"/>
  <c r="F8" i="176"/>
  <c r="F9" i="176"/>
  <c r="F10" i="176"/>
  <c r="F11" i="176"/>
  <c r="F12" i="176"/>
  <c r="F13" i="176"/>
  <c r="F14" i="176"/>
  <c r="F15" i="176"/>
  <c r="F16" i="176"/>
  <c r="F20" i="176"/>
  <c r="F21" i="176"/>
  <c r="F5" i="176"/>
  <c r="Z50" i="155"/>
  <c r="Z31" i="155"/>
  <c r="AA53" i="155"/>
  <c r="AB53" i="155"/>
  <c r="Z53" i="155"/>
  <c r="AA50" i="155"/>
  <c r="AB50" i="155"/>
  <c r="AA44" i="155"/>
  <c r="AB44" i="155"/>
  <c r="Z44" i="155"/>
  <c r="AA36" i="155"/>
  <c r="AB36" i="155"/>
  <c r="Z36" i="155"/>
  <c r="AA31" i="155"/>
  <c r="AB31" i="155"/>
  <c r="AA24" i="155"/>
  <c r="AB24" i="155"/>
  <c r="Z24" i="155"/>
  <c r="AA18" i="155"/>
  <c r="AB18" i="155"/>
  <c r="Z18" i="155"/>
  <c r="AA12" i="155"/>
  <c r="AB12" i="155"/>
  <c r="Z12" i="155"/>
  <c r="AA8" i="155"/>
  <c r="AB8" i="155"/>
  <c r="Z8" i="155"/>
  <c r="F4" i="91"/>
  <c r="F5" i="91"/>
  <c r="F6" i="91"/>
  <c r="F7" i="91"/>
  <c r="F8" i="91"/>
  <c r="F9" i="91"/>
  <c r="F3" i="91"/>
  <c r="X6" i="122"/>
  <c r="X7" i="122"/>
  <c r="X8" i="122"/>
  <c r="X9" i="122"/>
  <c r="X10" i="122"/>
  <c r="X11" i="122"/>
  <c r="X12" i="122"/>
  <c r="X13" i="122"/>
  <c r="X14" i="122"/>
  <c r="X15" i="122"/>
  <c r="H87" i="121"/>
  <c r="AM12" i="91"/>
  <c r="AO12" i="91"/>
  <c r="AL12" i="91"/>
  <c r="V6" i="122"/>
  <c r="V7" i="122"/>
  <c r="V8" i="122"/>
  <c r="V9" i="122"/>
  <c r="V10" i="122"/>
  <c r="V11" i="122"/>
  <c r="V12" i="122"/>
  <c r="V13" i="122"/>
  <c r="V14" i="122"/>
  <c r="V15" i="122"/>
  <c r="U21" i="122"/>
  <c r="BR90" i="114"/>
  <c r="AR79" i="114" s="1"/>
  <c r="BS90" i="114"/>
  <c r="BT90" i="114"/>
  <c r="AR81" i="114" s="1"/>
  <c r="BQ90" i="114"/>
  <c r="AR78" i="114" s="1"/>
  <c r="G87" i="121"/>
  <c r="AN12" i="91"/>
  <c r="Y8" i="86"/>
  <c r="Q76" i="122"/>
  <c r="Q18" i="122"/>
  <c r="Q11" i="122" s="1"/>
  <c r="Q43" i="122"/>
  <c r="Q41" i="122"/>
  <c r="Q56" i="122"/>
  <c r="Q57" i="122"/>
  <c r="Q13" i="122" s="1"/>
  <c r="Q40" i="122"/>
  <c r="Q159" i="122"/>
  <c r="Q7" i="99"/>
  <c r="Q5" i="99"/>
  <c r="Q8" i="99"/>
  <c r="Q9" i="99"/>
  <c r="Q11" i="99"/>
  <c r="Q12" i="99"/>
  <c r="Q13" i="99"/>
  <c r="Q14" i="99"/>
  <c r="Q15" i="99"/>
  <c r="Q17" i="99"/>
  <c r="Q18" i="99"/>
  <c r="Q19" i="99"/>
  <c r="Q20" i="99"/>
  <c r="Q21" i="99"/>
  <c r="Q23" i="99"/>
  <c r="Q24" i="99"/>
  <c r="Q25" i="99"/>
  <c r="Q26" i="99"/>
  <c r="Q27" i="99"/>
  <c r="Q28" i="99"/>
  <c r="Q30" i="99"/>
  <c r="Q31" i="99"/>
  <c r="Q32" i="99"/>
  <c r="Q33" i="99"/>
  <c r="Q35" i="99"/>
  <c r="Q36" i="99"/>
  <c r="Q37" i="99"/>
  <c r="Q38" i="99"/>
  <c r="Q39" i="99"/>
  <c r="Q40" i="99"/>
  <c r="Q41" i="99"/>
  <c r="Q43" i="99"/>
  <c r="Q44" i="99"/>
  <c r="Q45" i="99"/>
  <c r="Q46" i="99"/>
  <c r="Q47" i="99"/>
  <c r="Q49" i="99"/>
  <c r="Q50" i="99"/>
  <c r="Q52" i="99"/>
  <c r="Q53" i="99"/>
  <c r="Q54" i="99"/>
  <c r="P19" i="122"/>
  <c r="P17" i="122"/>
  <c r="P21" i="122"/>
  <c r="P76" i="122"/>
  <c r="P24" i="122"/>
  <c r="P30" i="122"/>
  <c r="P33" i="122"/>
  <c r="P35" i="122"/>
  <c r="P46" i="122"/>
  <c r="P20" i="122"/>
  <c r="P27" i="122"/>
  <c r="P32" i="122"/>
  <c r="P48" i="122"/>
  <c r="P49" i="122"/>
  <c r="P29" i="122"/>
  <c r="P31" i="122"/>
  <c r="P34" i="122"/>
  <c r="P36" i="122"/>
  <c r="P44" i="122"/>
  <c r="P47" i="122"/>
  <c r="P18" i="122"/>
  <c r="P50" i="122"/>
  <c r="P51" i="122"/>
  <c r="P52" i="122"/>
  <c r="P25" i="122"/>
  <c r="P28" i="122"/>
  <c r="P43" i="122"/>
  <c r="P45" i="122"/>
  <c r="P53" i="122"/>
  <c r="P54" i="122"/>
  <c r="P55" i="122"/>
  <c r="P26" i="122"/>
  <c r="P38" i="122"/>
  <c r="P41" i="122"/>
  <c r="P56" i="122"/>
  <c r="P57" i="122"/>
  <c r="P37" i="122"/>
  <c r="P39" i="122"/>
  <c r="P22" i="122"/>
  <c r="P40" i="122"/>
  <c r="P159" i="122"/>
  <c r="P170" i="122" s="1"/>
  <c r="P178" i="122" s="1"/>
  <c r="AC15" i="98"/>
  <c r="AC5" i="98"/>
  <c r="AC6" i="98"/>
  <c r="V10" i="86" s="1"/>
  <c r="AC7" i="98"/>
  <c r="V11" i="86" s="1"/>
  <c r="AC8" i="98"/>
  <c r="V12" i="86" s="1"/>
  <c r="AC9" i="98"/>
  <c r="V13" i="86" s="1"/>
  <c r="AC10" i="98"/>
  <c r="V14" i="86" s="1"/>
  <c r="AC11" i="98"/>
  <c r="V15" i="86" s="1"/>
  <c r="AC12" i="98"/>
  <c r="V16" i="86" s="1"/>
  <c r="AC13" i="98"/>
  <c r="V17" i="86" s="1"/>
  <c r="AC16" i="98"/>
  <c r="V20" i="86" s="1"/>
  <c r="AC17" i="98"/>
  <c r="V21" i="86" s="1"/>
  <c r="AC19" i="98"/>
  <c r="V23" i="86" s="1"/>
  <c r="P127" i="206" s="1"/>
  <c r="P11" i="206" s="1"/>
  <c r="AC20" i="98"/>
  <c r="V24" i="86" s="1"/>
  <c r="AC21" i="98"/>
  <c r="V25" i="86" s="1"/>
  <c r="AC22" i="98"/>
  <c r="V26" i="86" s="1"/>
  <c r="AC23" i="98"/>
  <c r="V27" i="86" s="1"/>
  <c r="AC25" i="98"/>
  <c r="AC26" i="98"/>
  <c r="V30" i="86" s="1"/>
  <c r="AC27" i="98"/>
  <c r="V31" i="86" s="1"/>
  <c r="AC28" i="98"/>
  <c r="V32" i="86" s="1"/>
  <c r="AC29" i="98"/>
  <c r="V33" i="86" s="1"/>
  <c r="AC31" i="98"/>
  <c r="V35" i="86" s="1"/>
  <c r="AC32" i="98"/>
  <c r="V36" i="86" s="1"/>
  <c r="AC33" i="98"/>
  <c r="V37" i="86" s="1"/>
  <c r="AC34" i="98"/>
  <c r="V38" i="86" s="1"/>
  <c r="AC35" i="98"/>
  <c r="V39" i="86" s="1"/>
  <c r="AC36" i="98"/>
  <c r="V40" i="86" s="1"/>
  <c r="AC38" i="98"/>
  <c r="V42" i="86" s="1"/>
  <c r="AC39" i="98"/>
  <c r="V43" i="86" s="1"/>
  <c r="AC40" i="98"/>
  <c r="AC41" i="98"/>
  <c r="V45" i="86" s="1"/>
  <c r="AC43" i="98"/>
  <c r="AC44" i="98"/>
  <c r="V48" i="86" s="1"/>
  <c r="AC45" i="98"/>
  <c r="V49" i="86" s="1"/>
  <c r="AC46" i="98"/>
  <c r="V50" i="86" s="1"/>
  <c r="AC47" i="98"/>
  <c r="V51" i="86" s="1"/>
  <c r="AC48" i="98"/>
  <c r="V52" i="86" s="1"/>
  <c r="AC49" i="98"/>
  <c r="V53" i="86" s="1"/>
  <c r="AC51" i="98"/>
  <c r="V55" i="86" s="1"/>
  <c r="AC52" i="98"/>
  <c r="AC53" i="98"/>
  <c r="V57" i="86" s="1"/>
  <c r="AC54" i="98"/>
  <c r="V58" i="86" s="1"/>
  <c r="AC55" i="98"/>
  <c r="V59" i="86" s="1"/>
  <c r="AC57" i="98"/>
  <c r="AC58" i="98"/>
  <c r="V62" i="86" s="1"/>
  <c r="AC60" i="98"/>
  <c r="AC61" i="98"/>
  <c r="V65" i="86" s="1"/>
  <c r="P169" i="206" s="1"/>
  <c r="P53" i="206" s="1"/>
  <c r="AC62" i="98"/>
  <c r="V66" i="86" s="1"/>
  <c r="AY9" i="107"/>
  <c r="P7" i="108" s="1"/>
  <c r="AY7" i="107"/>
  <c r="P5" i="108" s="1"/>
  <c r="AY10" i="107"/>
  <c r="P8" i="108" s="1"/>
  <c r="AY11" i="107"/>
  <c r="P9" i="108" s="1"/>
  <c r="AY13" i="107"/>
  <c r="P11" i="108" s="1"/>
  <c r="AY14" i="107"/>
  <c r="P12" i="108" s="1"/>
  <c r="AY15" i="107"/>
  <c r="P13" i="108" s="1"/>
  <c r="AY16" i="107"/>
  <c r="P14" i="108" s="1"/>
  <c r="AY17" i="107"/>
  <c r="P15" i="108" s="1"/>
  <c r="AY19" i="107"/>
  <c r="P17" i="108" s="1"/>
  <c r="AY20" i="107"/>
  <c r="P18" i="108" s="1"/>
  <c r="AY21" i="107"/>
  <c r="P19" i="108" s="1"/>
  <c r="AY22" i="107"/>
  <c r="P20" i="108" s="1"/>
  <c r="AY23" i="107"/>
  <c r="P21" i="108" s="1"/>
  <c r="AY25" i="107"/>
  <c r="AY36" i="107"/>
  <c r="AY26" i="107"/>
  <c r="AY29" i="107"/>
  <c r="AY27" i="107"/>
  <c r="P25" i="108" s="1"/>
  <c r="AY28" i="107"/>
  <c r="P26" i="108" s="1"/>
  <c r="AY30" i="107"/>
  <c r="AY31" i="107"/>
  <c r="AY32" i="107"/>
  <c r="AY33" i="107"/>
  <c r="AY34" i="107"/>
  <c r="AY35" i="107"/>
  <c r="AY38" i="107"/>
  <c r="AY39" i="107"/>
  <c r="AY40" i="107"/>
  <c r="AY44" i="107"/>
  <c r="AY60" i="107"/>
  <c r="AY42" i="107"/>
  <c r="P31" i="108" s="1"/>
  <c r="AY43" i="107"/>
  <c r="P32" i="108" s="1"/>
  <c r="AY41" i="107"/>
  <c r="AY45" i="107"/>
  <c r="AY47" i="107"/>
  <c r="P35" i="108" s="1"/>
  <c r="AY49" i="107"/>
  <c r="P36" i="108" s="1"/>
  <c r="AY50" i="107"/>
  <c r="P37" i="108" s="1"/>
  <c r="AY48" i="107"/>
  <c r="AY51" i="107"/>
  <c r="AY52" i="107"/>
  <c r="AY53" i="107"/>
  <c r="AY54" i="107"/>
  <c r="P39" i="108" s="1"/>
  <c r="AY55" i="107"/>
  <c r="P40" i="108" s="1"/>
  <c r="AY56" i="107"/>
  <c r="AY57" i="107"/>
  <c r="AY58" i="107"/>
  <c r="AY59" i="107"/>
  <c r="AY62" i="107"/>
  <c r="P43" i="108" s="1"/>
  <c r="AY63" i="107"/>
  <c r="P44" i="108" s="1"/>
  <c r="AY64" i="107"/>
  <c r="P45" i="108" s="1"/>
  <c r="AY67" i="107"/>
  <c r="P46" i="108" s="1"/>
  <c r="AY65" i="107"/>
  <c r="AY66" i="107"/>
  <c r="AY69" i="107"/>
  <c r="P49" i="108" s="1"/>
  <c r="AY70" i="107"/>
  <c r="P50" i="108" s="1"/>
  <c r="P48" i="108" s="1"/>
  <c r="AY72" i="107"/>
  <c r="AY75" i="107"/>
  <c r="P52" i="108" s="1"/>
  <c r="AY73" i="107"/>
  <c r="P53" i="108" s="1"/>
  <c r="AY74" i="107"/>
  <c r="P54" i="108" s="1"/>
  <c r="P7" i="99"/>
  <c r="P5" i="99"/>
  <c r="P8" i="99"/>
  <c r="P9" i="99"/>
  <c r="P11" i="99"/>
  <c r="P12" i="99"/>
  <c r="P13" i="99"/>
  <c r="P14" i="99"/>
  <c r="P15" i="99"/>
  <c r="P17" i="99"/>
  <c r="P18" i="99"/>
  <c r="P19" i="99"/>
  <c r="P20" i="99"/>
  <c r="P21" i="99"/>
  <c r="P23" i="99"/>
  <c r="P24" i="99"/>
  <c r="P25" i="99"/>
  <c r="P26" i="99"/>
  <c r="P27" i="99"/>
  <c r="P28" i="99"/>
  <c r="P30" i="99"/>
  <c r="P31" i="99"/>
  <c r="P32" i="99"/>
  <c r="P33" i="99"/>
  <c r="P35" i="99"/>
  <c r="P36" i="99"/>
  <c r="P37" i="99"/>
  <c r="P38" i="99"/>
  <c r="P39" i="99"/>
  <c r="P40" i="99"/>
  <c r="P41" i="99"/>
  <c r="P43" i="99"/>
  <c r="P44" i="99"/>
  <c r="P45" i="99"/>
  <c r="P46" i="99"/>
  <c r="P47" i="99"/>
  <c r="P49" i="99"/>
  <c r="P50" i="99"/>
  <c r="P52" i="99"/>
  <c r="P53" i="99"/>
  <c r="P54" i="99"/>
  <c r="O19" i="122"/>
  <c r="O17" i="122"/>
  <c r="O6" i="122" s="1"/>
  <c r="O21" i="122"/>
  <c r="O76" i="122"/>
  <c r="O24" i="122"/>
  <c r="O30" i="122"/>
  <c r="O33" i="122"/>
  <c r="O35" i="122"/>
  <c r="O46" i="122"/>
  <c r="O20" i="122"/>
  <c r="O27" i="122"/>
  <c r="O32" i="122"/>
  <c r="O48" i="122"/>
  <c r="O49" i="122"/>
  <c r="O29" i="122"/>
  <c r="O31" i="122"/>
  <c r="O34" i="122"/>
  <c r="O36" i="122"/>
  <c r="O44" i="122"/>
  <c r="O47" i="122"/>
  <c r="O18" i="122"/>
  <c r="O50" i="122"/>
  <c r="O51" i="122"/>
  <c r="O52" i="122"/>
  <c r="O25" i="122"/>
  <c r="O28" i="122"/>
  <c r="O43" i="122"/>
  <c r="O45" i="122"/>
  <c r="O53" i="122"/>
  <c r="O54" i="122"/>
  <c r="O55" i="122"/>
  <c r="O26" i="122"/>
  <c r="O38" i="122"/>
  <c r="O41" i="122"/>
  <c r="O56" i="122"/>
  <c r="O57" i="122"/>
  <c r="O37" i="122"/>
  <c r="O39" i="122"/>
  <c r="O22" i="122"/>
  <c r="O40" i="122"/>
  <c r="O159" i="122"/>
  <c r="AB15" i="98"/>
  <c r="AB5" i="98"/>
  <c r="AB6" i="98"/>
  <c r="U10" i="86" s="1"/>
  <c r="AB7" i="98"/>
  <c r="U11" i="86" s="1"/>
  <c r="AB8" i="98"/>
  <c r="U12" i="86" s="1"/>
  <c r="AB9" i="98"/>
  <c r="U13" i="86" s="1"/>
  <c r="AB10" i="98"/>
  <c r="U14" i="86" s="1"/>
  <c r="AB11" i="98"/>
  <c r="U15" i="86" s="1"/>
  <c r="AB12" i="98"/>
  <c r="U16" i="86" s="1"/>
  <c r="AB13" i="98"/>
  <c r="U17" i="86" s="1"/>
  <c r="AB16" i="98"/>
  <c r="AB17" i="98"/>
  <c r="U21" i="86" s="1"/>
  <c r="AB19" i="98"/>
  <c r="U23" i="86" s="1"/>
  <c r="AB20" i="98"/>
  <c r="U24" i="86" s="1"/>
  <c r="AB21" i="98"/>
  <c r="AB22" i="98"/>
  <c r="U26" i="86" s="1"/>
  <c r="O130" i="206" s="1"/>
  <c r="O14" i="206" s="1"/>
  <c r="AB23" i="98"/>
  <c r="U27" i="86" s="1"/>
  <c r="AB25" i="98"/>
  <c r="AB26" i="98"/>
  <c r="U30" i="86" s="1"/>
  <c r="AB27" i="98"/>
  <c r="U31" i="86" s="1"/>
  <c r="AB28" i="98"/>
  <c r="U32" i="86" s="1"/>
  <c r="AB29" i="98"/>
  <c r="U33" i="86" s="1"/>
  <c r="AB31" i="98"/>
  <c r="U35" i="86" s="1"/>
  <c r="AB32" i="98"/>
  <c r="AB33" i="98"/>
  <c r="U37" i="86" s="1"/>
  <c r="AB34" i="98"/>
  <c r="U38" i="86" s="1"/>
  <c r="AB35" i="98"/>
  <c r="AB36" i="98"/>
  <c r="U40" i="86" s="1"/>
  <c r="AB38" i="98"/>
  <c r="U42" i="86" s="1"/>
  <c r="O146" i="206" s="1"/>
  <c r="O30" i="206" s="1"/>
  <c r="AB39" i="98"/>
  <c r="AB40" i="98"/>
  <c r="U44" i="86" s="1"/>
  <c r="AB41" i="98"/>
  <c r="U45" i="86" s="1"/>
  <c r="AB43" i="98"/>
  <c r="AB44" i="98"/>
  <c r="U48" i="86" s="1"/>
  <c r="AB45" i="98"/>
  <c r="U49" i="86" s="1"/>
  <c r="AB46" i="98"/>
  <c r="U50" i="86" s="1"/>
  <c r="AB47" i="98"/>
  <c r="U51" i="86" s="1"/>
  <c r="AB48" i="98"/>
  <c r="U52" i="86" s="1"/>
  <c r="AB49" i="98"/>
  <c r="U53" i="86" s="1"/>
  <c r="AB51" i="98"/>
  <c r="U55" i="86" s="1"/>
  <c r="AB52" i="98"/>
  <c r="AB53" i="98"/>
  <c r="U57" i="86" s="1"/>
  <c r="AB54" i="98"/>
  <c r="U58" i="86" s="1"/>
  <c r="AB55" i="98"/>
  <c r="AB57" i="98"/>
  <c r="U61" i="86" s="1"/>
  <c r="AB58" i="98"/>
  <c r="AB60" i="98"/>
  <c r="AB61" i="98"/>
  <c r="U65" i="86" s="1"/>
  <c r="O169" i="206" s="1"/>
  <c r="O53" i="206" s="1"/>
  <c r="AB62" i="98"/>
  <c r="U66" i="86" s="1"/>
  <c r="AT9" i="107"/>
  <c r="O7" i="108" s="1"/>
  <c r="AT7" i="107"/>
  <c r="O5" i="108" s="1"/>
  <c r="AT10" i="107"/>
  <c r="O8" i="108" s="1"/>
  <c r="AT11" i="107"/>
  <c r="O9" i="108" s="1"/>
  <c r="AT13" i="107"/>
  <c r="O11" i="108" s="1"/>
  <c r="AT14" i="107"/>
  <c r="O12" i="108" s="1"/>
  <c r="AT15" i="107"/>
  <c r="O13" i="108" s="1"/>
  <c r="AT16" i="107"/>
  <c r="O14" i="108" s="1"/>
  <c r="AT17" i="107"/>
  <c r="O15" i="108" s="1"/>
  <c r="AT19" i="107"/>
  <c r="O17" i="108" s="1"/>
  <c r="AT20" i="107"/>
  <c r="O18" i="108" s="1"/>
  <c r="AT21" i="107"/>
  <c r="O19" i="108" s="1"/>
  <c r="AT22" i="107"/>
  <c r="O20" i="108" s="1"/>
  <c r="AT23" i="107"/>
  <c r="O21" i="108" s="1"/>
  <c r="AT25" i="107"/>
  <c r="AT36" i="107"/>
  <c r="AT26" i="107"/>
  <c r="AT29" i="107"/>
  <c r="AT27" i="107"/>
  <c r="O25" i="108" s="1"/>
  <c r="AT28" i="107"/>
  <c r="O26" i="108" s="1"/>
  <c r="AT30" i="107"/>
  <c r="AT31" i="107"/>
  <c r="AT32" i="107"/>
  <c r="AT33" i="107"/>
  <c r="AT34" i="107"/>
  <c r="AT35" i="107"/>
  <c r="AT38" i="107"/>
  <c r="AT39" i="107"/>
  <c r="AT40" i="107"/>
  <c r="AT44" i="107"/>
  <c r="AT60" i="107"/>
  <c r="AT42" i="107"/>
  <c r="O31" i="108" s="1"/>
  <c r="AT43" i="107"/>
  <c r="O32" i="108" s="1"/>
  <c r="AT41" i="107"/>
  <c r="AT45" i="107"/>
  <c r="AT47" i="107"/>
  <c r="O35" i="108" s="1"/>
  <c r="AT49" i="107"/>
  <c r="O36" i="108" s="1"/>
  <c r="AT59" i="107"/>
  <c r="O37" i="108" s="1"/>
  <c r="AT61" i="107"/>
  <c r="AT62" i="107"/>
  <c r="AT63" i="107"/>
  <c r="AT48" i="107"/>
  <c r="AT50" i="107"/>
  <c r="AT51" i="107"/>
  <c r="AT52" i="107"/>
  <c r="AT53" i="107"/>
  <c r="O39" i="108" s="1"/>
  <c r="AT54" i="107"/>
  <c r="O40" i="108" s="1"/>
  <c r="AT55" i="107"/>
  <c r="AT56" i="107"/>
  <c r="AT57" i="107"/>
  <c r="AT58" i="107"/>
  <c r="AT65" i="107"/>
  <c r="AT67" i="107"/>
  <c r="AT68" i="107"/>
  <c r="AT70" i="107"/>
  <c r="AT71" i="107"/>
  <c r="AT72" i="107"/>
  <c r="AT66" i="107"/>
  <c r="O44" i="108" s="1"/>
  <c r="AT77" i="107"/>
  <c r="AT78" i="107"/>
  <c r="AT79" i="107"/>
  <c r="AT80" i="107"/>
  <c r="AT69" i="107"/>
  <c r="AT73" i="107"/>
  <c r="AT75" i="107"/>
  <c r="AT76" i="107"/>
  <c r="AT74" i="107"/>
  <c r="AT85" i="107"/>
  <c r="O49" i="108" s="1"/>
  <c r="AT86" i="107"/>
  <c r="AT87" i="107"/>
  <c r="AT88" i="107"/>
  <c r="AT89" i="107"/>
  <c r="AT90" i="107"/>
  <c r="AT91" i="107"/>
  <c r="AT93" i="107"/>
  <c r="AT98" i="107"/>
  <c r="AT100" i="107"/>
  <c r="AT101" i="107"/>
  <c r="AT102" i="107"/>
  <c r="AT103" i="107"/>
  <c r="AT94" i="107"/>
  <c r="AT95" i="107"/>
  <c r="AT96" i="107"/>
  <c r="AT97" i="107"/>
  <c r="AT99" i="107"/>
  <c r="O7" i="99"/>
  <c r="O5" i="99"/>
  <c r="O8" i="99"/>
  <c r="O9" i="99"/>
  <c r="O11" i="99"/>
  <c r="O12" i="99"/>
  <c r="O13" i="99"/>
  <c r="O14" i="99"/>
  <c r="O15" i="99"/>
  <c r="O17" i="99"/>
  <c r="O18" i="99"/>
  <c r="O19" i="99"/>
  <c r="O20" i="99"/>
  <c r="O21" i="99"/>
  <c r="O23" i="99"/>
  <c r="O24" i="99"/>
  <c r="O25" i="99"/>
  <c r="O26" i="99"/>
  <c r="O27" i="99"/>
  <c r="O28" i="99"/>
  <c r="O30" i="99"/>
  <c r="O31" i="99"/>
  <c r="O32" i="99"/>
  <c r="O33" i="99"/>
  <c r="O35" i="99"/>
  <c r="O36" i="99"/>
  <c r="O37" i="99"/>
  <c r="O38" i="99"/>
  <c r="O39" i="99"/>
  <c r="O40" i="99"/>
  <c r="O41" i="99"/>
  <c r="O43" i="99"/>
  <c r="O44" i="99"/>
  <c r="O45" i="99"/>
  <c r="O46" i="99"/>
  <c r="O47" i="99"/>
  <c r="O49" i="99"/>
  <c r="O50" i="99"/>
  <c r="O52" i="99"/>
  <c r="O53" i="99"/>
  <c r="O54" i="99"/>
  <c r="N19" i="122"/>
  <c r="N17" i="122"/>
  <c r="N6" i="122" s="1"/>
  <c r="N21" i="122"/>
  <c r="N23" i="122"/>
  <c r="N24" i="122"/>
  <c r="N30" i="122"/>
  <c r="N33" i="122"/>
  <c r="N35" i="122"/>
  <c r="N46" i="122"/>
  <c r="N20" i="122"/>
  <c r="N27" i="122"/>
  <c r="N32" i="122"/>
  <c r="N48" i="122"/>
  <c r="N49" i="122"/>
  <c r="N29" i="122"/>
  <c r="N31" i="122"/>
  <c r="N34" i="122"/>
  <c r="N36" i="122"/>
  <c r="N44" i="122"/>
  <c r="N47" i="122"/>
  <c r="N18" i="122"/>
  <c r="N50" i="122"/>
  <c r="N51" i="122"/>
  <c r="N52" i="122"/>
  <c r="N25" i="122"/>
  <c r="N28" i="122"/>
  <c r="N43" i="122"/>
  <c r="N45" i="122"/>
  <c r="N53" i="122"/>
  <c r="N54" i="122"/>
  <c r="N55" i="122"/>
  <c r="N26" i="122"/>
  <c r="N38" i="122"/>
  <c r="N41" i="122"/>
  <c r="N56" i="122"/>
  <c r="N57" i="122"/>
  <c r="N37" i="122"/>
  <c r="N39" i="122"/>
  <c r="N22" i="122"/>
  <c r="N40" i="122"/>
  <c r="N159" i="122"/>
  <c r="AA15" i="98"/>
  <c r="T19" i="86" s="1"/>
  <c r="AA5" i="98"/>
  <c r="T9" i="86" s="1"/>
  <c r="AA6" i="98"/>
  <c r="AA7" i="98"/>
  <c r="T11" i="86" s="1"/>
  <c r="AA8" i="98"/>
  <c r="T12" i="86" s="1"/>
  <c r="AA9" i="98"/>
  <c r="T13" i="86" s="1"/>
  <c r="AA10" i="98"/>
  <c r="T14" i="86" s="1"/>
  <c r="AA11" i="98"/>
  <c r="T15" i="86" s="1"/>
  <c r="AA12" i="98"/>
  <c r="T16" i="86" s="1"/>
  <c r="AA13" i="98"/>
  <c r="T17" i="86" s="1"/>
  <c r="AA16" i="98"/>
  <c r="AA17" i="98"/>
  <c r="T21" i="86" s="1"/>
  <c r="N125" i="206" s="1"/>
  <c r="N9" i="206" s="1"/>
  <c r="AA19" i="98"/>
  <c r="AA20" i="98"/>
  <c r="T24" i="86"/>
  <c r="AA21" i="98"/>
  <c r="AA22" i="98"/>
  <c r="T26" i="86" s="1"/>
  <c r="AA23" i="98"/>
  <c r="T27" i="86"/>
  <c r="AA25" i="98"/>
  <c r="T29" i="86" s="1"/>
  <c r="AA26" i="98"/>
  <c r="AA27" i="98"/>
  <c r="T31" i="86" s="1"/>
  <c r="AA28" i="98"/>
  <c r="T32" i="86" s="1"/>
  <c r="AA29" i="98"/>
  <c r="T33" i="86" s="1"/>
  <c r="AA31" i="98"/>
  <c r="T35" i="86" s="1"/>
  <c r="AA32" i="98"/>
  <c r="T36" i="86" s="1"/>
  <c r="AA33" i="98"/>
  <c r="T37" i="86" s="1"/>
  <c r="AA34" i="98"/>
  <c r="AA35" i="98"/>
  <c r="T39" i="86" s="1"/>
  <c r="AA36" i="98"/>
  <c r="T40" i="86" s="1"/>
  <c r="AA38" i="98"/>
  <c r="AA39" i="98"/>
  <c r="AA40" i="98"/>
  <c r="T44" i="86" s="1"/>
  <c r="AA41" i="98"/>
  <c r="T45" i="86" s="1"/>
  <c r="AA43" i="98"/>
  <c r="AA44" i="98"/>
  <c r="T48" i="86" s="1"/>
  <c r="AA45" i="98"/>
  <c r="T49" i="86" s="1"/>
  <c r="AA46" i="98"/>
  <c r="T50" i="86" s="1"/>
  <c r="AA47" i="98"/>
  <c r="T51" i="86" s="1"/>
  <c r="AA48" i="98"/>
  <c r="T52" i="86" s="1"/>
  <c r="AA49" i="98"/>
  <c r="T53" i="86" s="1"/>
  <c r="AA51" i="98"/>
  <c r="T55" i="86" s="1"/>
  <c r="AA52" i="98"/>
  <c r="AA53" i="98"/>
  <c r="T57" i="86" s="1"/>
  <c r="AA54" i="98"/>
  <c r="T58" i="86" s="1"/>
  <c r="AA55" i="98"/>
  <c r="T59" i="86" s="1"/>
  <c r="AA57" i="98"/>
  <c r="AA58" i="98"/>
  <c r="T62" i="86" s="1"/>
  <c r="N166" i="206" s="1"/>
  <c r="N50" i="206" s="1"/>
  <c r="D9" i="91"/>
  <c r="AA60" i="98"/>
  <c r="T64" i="86" s="1"/>
  <c r="AA61" i="98"/>
  <c r="AA62" i="98"/>
  <c r="T66" i="86" s="1"/>
  <c r="AO9" i="107"/>
  <c r="N7" i="108" s="1"/>
  <c r="AO7" i="107"/>
  <c r="N5" i="108" s="1"/>
  <c r="AO10" i="107"/>
  <c r="N8" i="108" s="1"/>
  <c r="AO11" i="107"/>
  <c r="N9" i="108" s="1"/>
  <c r="AO13" i="107"/>
  <c r="N11" i="108" s="1"/>
  <c r="AO14" i="107"/>
  <c r="N12" i="108" s="1"/>
  <c r="AO15" i="107"/>
  <c r="N13" i="108" s="1"/>
  <c r="AO16" i="107"/>
  <c r="N14" i="108" s="1"/>
  <c r="AO17" i="107"/>
  <c r="N15" i="108" s="1"/>
  <c r="AO19" i="107"/>
  <c r="N17" i="108" s="1"/>
  <c r="AO20" i="107"/>
  <c r="N18" i="108" s="1"/>
  <c r="AO21" i="107"/>
  <c r="N19" i="108" s="1"/>
  <c r="AO22" i="107"/>
  <c r="N20" i="108" s="1"/>
  <c r="AO23" i="107"/>
  <c r="N21" i="108" s="1"/>
  <c r="AO25" i="107"/>
  <c r="AO36" i="107"/>
  <c r="AO26" i="107"/>
  <c r="AO29" i="107"/>
  <c r="AO27" i="107"/>
  <c r="N25" i="108" s="1"/>
  <c r="AO28" i="107"/>
  <c r="N26" i="108" s="1"/>
  <c r="AO30" i="107"/>
  <c r="AO31" i="107"/>
  <c r="AO32" i="107"/>
  <c r="AO33" i="107"/>
  <c r="AO34" i="107"/>
  <c r="AO35" i="107"/>
  <c r="AO38" i="107"/>
  <c r="AO39" i="107"/>
  <c r="AO40" i="107"/>
  <c r="AO44" i="107"/>
  <c r="AO60" i="107"/>
  <c r="AO42" i="107"/>
  <c r="N31" i="108" s="1"/>
  <c r="AO43" i="107"/>
  <c r="N32" i="108" s="1"/>
  <c r="AO41" i="107"/>
  <c r="AO45" i="107"/>
  <c r="AO47" i="107"/>
  <c r="N35" i="108" s="1"/>
  <c r="AO49" i="107"/>
  <c r="N36" i="108" s="1"/>
  <c r="AO59" i="107"/>
  <c r="AO61" i="107"/>
  <c r="AO62" i="107"/>
  <c r="AO63" i="107"/>
  <c r="AO48" i="107"/>
  <c r="AO50" i="107"/>
  <c r="AO51" i="107"/>
  <c r="AO52" i="107"/>
  <c r="AO53" i="107"/>
  <c r="N39" i="108" s="1"/>
  <c r="AO54" i="107"/>
  <c r="N40" i="108" s="1"/>
  <c r="AO55" i="107"/>
  <c r="AO56" i="107"/>
  <c r="AO57" i="107"/>
  <c r="AO58" i="107"/>
  <c r="AO65" i="107"/>
  <c r="AO66" i="107"/>
  <c r="AO67" i="107"/>
  <c r="AO69" i="107"/>
  <c r="AO70" i="107"/>
  <c r="AO71" i="107"/>
  <c r="AO76" i="107"/>
  <c r="AO77" i="107"/>
  <c r="AO78" i="107"/>
  <c r="AO79" i="107"/>
  <c r="AO80" i="107"/>
  <c r="AO81" i="107"/>
  <c r="AO82" i="107"/>
  <c r="AO83" i="107"/>
  <c r="AO68" i="107"/>
  <c r="AO72" i="107"/>
  <c r="AO74" i="107"/>
  <c r="AO73" i="107"/>
  <c r="AO75" i="107"/>
  <c r="AO85" i="107"/>
  <c r="N49" i="108" s="1"/>
  <c r="AO86" i="107"/>
  <c r="AO87" i="107"/>
  <c r="AO88" i="107"/>
  <c r="AO89" i="107"/>
  <c r="AO90" i="107"/>
  <c r="AO91" i="107"/>
  <c r="AO93" i="107"/>
  <c r="AO98" i="107"/>
  <c r="AO100" i="107"/>
  <c r="AO101" i="107"/>
  <c r="AO102" i="107"/>
  <c r="AO103" i="107"/>
  <c r="AO94" i="107"/>
  <c r="AO95" i="107"/>
  <c r="AO96" i="107"/>
  <c r="AO97" i="107"/>
  <c r="AO99" i="107"/>
  <c r="M19" i="122"/>
  <c r="M7" i="122" s="1"/>
  <c r="M17" i="122"/>
  <c r="M6" i="122" s="1"/>
  <c r="M21" i="122"/>
  <c r="M23" i="122"/>
  <c r="M24" i="122"/>
  <c r="M30" i="122"/>
  <c r="M33" i="122"/>
  <c r="M35" i="122"/>
  <c r="M46" i="122"/>
  <c r="M20" i="122"/>
  <c r="M27" i="122"/>
  <c r="M32" i="122"/>
  <c r="M48" i="122"/>
  <c r="M49" i="122"/>
  <c r="M29" i="122"/>
  <c r="M31" i="122"/>
  <c r="M34" i="122"/>
  <c r="M36" i="122"/>
  <c r="M44" i="122"/>
  <c r="M47" i="122"/>
  <c r="M18" i="122"/>
  <c r="M50" i="122"/>
  <c r="M51" i="122"/>
  <c r="M52" i="122"/>
  <c r="M25" i="122"/>
  <c r="M28" i="122"/>
  <c r="M43" i="122"/>
  <c r="M45" i="122"/>
  <c r="M53" i="122"/>
  <c r="M54" i="122"/>
  <c r="M55" i="122"/>
  <c r="M26" i="122"/>
  <c r="M13" i="122" s="1"/>
  <c r="M38" i="122"/>
  <c r="M41" i="122"/>
  <c r="M56" i="122"/>
  <c r="M57" i="122"/>
  <c r="M37" i="122"/>
  <c r="M39" i="122"/>
  <c r="M22" i="122"/>
  <c r="M40" i="122"/>
  <c r="M159" i="122"/>
  <c r="AL9" i="107"/>
  <c r="M7" i="108" s="1"/>
  <c r="AL7" i="107"/>
  <c r="M5" i="108" s="1"/>
  <c r="AL10" i="107"/>
  <c r="M8" i="108" s="1"/>
  <c r="AL11" i="107"/>
  <c r="M9" i="108" s="1"/>
  <c r="AL13" i="107"/>
  <c r="M11" i="108" s="1"/>
  <c r="AL14" i="107"/>
  <c r="M12" i="108" s="1"/>
  <c r="AL15" i="107"/>
  <c r="M13" i="108" s="1"/>
  <c r="AL16" i="107"/>
  <c r="M14" i="108" s="1"/>
  <c r="AL17" i="107"/>
  <c r="M15" i="108" s="1"/>
  <c r="AL19" i="107"/>
  <c r="M17" i="108" s="1"/>
  <c r="AL20" i="107"/>
  <c r="M18" i="108" s="1"/>
  <c r="AL21" i="107"/>
  <c r="M19" i="108" s="1"/>
  <c r="AL22" i="107"/>
  <c r="M20" i="108" s="1"/>
  <c r="AL23" i="107"/>
  <c r="M21" i="108" s="1"/>
  <c r="AL25" i="107"/>
  <c r="AL36" i="107"/>
  <c r="AL26" i="107"/>
  <c r="AL29" i="107"/>
  <c r="AL27" i="107"/>
  <c r="M25" i="108" s="1"/>
  <c r="AL28" i="107"/>
  <c r="M26" i="108" s="1"/>
  <c r="AL30" i="107"/>
  <c r="AL31" i="107"/>
  <c r="AL32" i="107"/>
  <c r="AL33" i="107"/>
  <c r="AL34" i="107"/>
  <c r="AL35" i="107"/>
  <c r="AL38" i="107"/>
  <c r="AL39" i="107"/>
  <c r="AL40" i="107"/>
  <c r="AL44" i="107"/>
  <c r="AL60" i="107"/>
  <c r="AL42" i="107"/>
  <c r="M31" i="108" s="1"/>
  <c r="AL43" i="107"/>
  <c r="M32" i="108" s="1"/>
  <c r="AL41" i="107"/>
  <c r="AL45" i="107"/>
  <c r="AL47" i="107"/>
  <c r="M35" i="108" s="1"/>
  <c r="AL49" i="107"/>
  <c r="M36" i="108" s="1"/>
  <c r="AL59" i="107"/>
  <c r="AL61" i="107"/>
  <c r="AL62" i="107"/>
  <c r="AL63" i="107"/>
  <c r="AL48" i="107"/>
  <c r="AL50" i="107"/>
  <c r="AL51" i="107"/>
  <c r="AL52" i="107"/>
  <c r="AL53" i="107"/>
  <c r="M39" i="108" s="1"/>
  <c r="AL54" i="107"/>
  <c r="M40" i="108" s="1"/>
  <c r="AL55" i="107"/>
  <c r="AL56" i="107"/>
  <c r="AL57" i="107"/>
  <c r="AL58" i="107"/>
  <c r="AL65" i="107"/>
  <c r="AL66" i="107"/>
  <c r="AL67" i="107"/>
  <c r="AL69" i="107"/>
  <c r="AL70" i="107"/>
  <c r="AL71" i="107"/>
  <c r="AL76" i="107"/>
  <c r="AL77" i="107"/>
  <c r="AL78" i="107"/>
  <c r="AL79" i="107"/>
  <c r="AL80" i="107"/>
  <c r="AL81" i="107"/>
  <c r="AL82" i="107"/>
  <c r="AL83" i="107"/>
  <c r="AL68" i="107"/>
  <c r="AL72" i="107"/>
  <c r="AL74" i="107"/>
  <c r="AL73" i="107"/>
  <c r="AL75" i="107"/>
  <c r="AL85" i="107"/>
  <c r="M49" i="108" s="1"/>
  <c r="AL86" i="107"/>
  <c r="AL87" i="107"/>
  <c r="AL88" i="107"/>
  <c r="AL89" i="107"/>
  <c r="AL90" i="107"/>
  <c r="AL91" i="107"/>
  <c r="AL93" i="107"/>
  <c r="AL98" i="107"/>
  <c r="AL100" i="107"/>
  <c r="AL101" i="107"/>
  <c r="AL102" i="107"/>
  <c r="AL103" i="107"/>
  <c r="AL94" i="107"/>
  <c r="AL95" i="107"/>
  <c r="AL96" i="107"/>
  <c r="AL97" i="107"/>
  <c r="AL99" i="107"/>
  <c r="M7" i="99"/>
  <c r="M5" i="99"/>
  <c r="M8" i="99"/>
  <c r="M9" i="99"/>
  <c r="M11" i="99"/>
  <c r="M12" i="99"/>
  <c r="M13" i="99"/>
  <c r="M14" i="99"/>
  <c r="M15" i="99"/>
  <c r="M17" i="99"/>
  <c r="M18" i="99"/>
  <c r="M19" i="99"/>
  <c r="M20" i="99"/>
  <c r="M21" i="99"/>
  <c r="M23" i="99"/>
  <c r="M24" i="99"/>
  <c r="M25" i="99"/>
  <c r="M26" i="99"/>
  <c r="M27" i="99"/>
  <c r="M28" i="99"/>
  <c r="M30" i="99"/>
  <c r="M31" i="99"/>
  <c r="M32" i="99"/>
  <c r="M33" i="99"/>
  <c r="M35" i="99"/>
  <c r="M36" i="99"/>
  <c r="M37" i="99"/>
  <c r="M38" i="99"/>
  <c r="M39" i="99"/>
  <c r="M40" i="99"/>
  <c r="M41" i="99"/>
  <c r="M43" i="99"/>
  <c r="M44" i="99"/>
  <c r="M45" i="99"/>
  <c r="M46" i="99"/>
  <c r="M47" i="99"/>
  <c r="M49" i="99"/>
  <c r="M50" i="99"/>
  <c r="M52" i="99"/>
  <c r="M53" i="99"/>
  <c r="M54" i="99"/>
  <c r="L19" i="122"/>
  <c r="L17" i="122"/>
  <c r="L6" i="122" s="1"/>
  <c r="L21" i="122"/>
  <c r="L23" i="122"/>
  <c r="L24" i="122"/>
  <c r="L30" i="122"/>
  <c r="L33" i="122"/>
  <c r="L35" i="122"/>
  <c r="L46" i="122"/>
  <c r="L20" i="122"/>
  <c r="L27" i="122"/>
  <c r="L32" i="122"/>
  <c r="L48" i="122"/>
  <c r="L49" i="122"/>
  <c r="L29" i="122"/>
  <c r="L31" i="122"/>
  <c r="L34" i="122"/>
  <c r="L36" i="122"/>
  <c r="L44" i="122"/>
  <c r="L47" i="122"/>
  <c r="L18" i="122"/>
  <c r="L50" i="122"/>
  <c r="L51" i="122"/>
  <c r="L52" i="122"/>
  <c r="L25" i="122"/>
  <c r="L28" i="122"/>
  <c r="L43" i="122"/>
  <c r="L45" i="122"/>
  <c r="L53" i="122"/>
  <c r="L54" i="122"/>
  <c r="L55" i="122"/>
  <c r="L26" i="122"/>
  <c r="L38" i="122"/>
  <c r="L41" i="122"/>
  <c r="L56" i="122"/>
  <c r="L57" i="122"/>
  <c r="L37" i="122"/>
  <c r="L39" i="122"/>
  <c r="L22" i="122"/>
  <c r="L40" i="122"/>
  <c r="L159" i="122"/>
  <c r="Y15" i="98"/>
  <c r="R19" i="86" s="1"/>
  <c r="L123" i="206" s="1"/>
  <c r="L7" i="206" s="1"/>
  <c r="Y5" i="98"/>
  <c r="R9" i="86" s="1"/>
  <c r="Y6" i="98"/>
  <c r="Y7" i="98"/>
  <c r="R11" i="86" s="1"/>
  <c r="Y8" i="98"/>
  <c r="R12" i="86" s="1"/>
  <c r="Y9" i="98"/>
  <c r="R13" i="86" s="1"/>
  <c r="Y10" i="98"/>
  <c r="R14" i="86" s="1"/>
  <c r="Y11" i="98"/>
  <c r="R15" i="86" s="1"/>
  <c r="Y12" i="98"/>
  <c r="R16" i="86" s="1"/>
  <c r="Y13" i="98"/>
  <c r="R17" i="86" s="1"/>
  <c r="Y16" i="98"/>
  <c r="Y17" i="98"/>
  <c r="R21" i="86" s="1"/>
  <c r="Y19" i="98"/>
  <c r="R23" i="86" s="1"/>
  <c r="Y20" i="98"/>
  <c r="R24" i="86" s="1"/>
  <c r="L128" i="206" s="1"/>
  <c r="L12" i="206" s="1"/>
  <c r="Y21" i="98"/>
  <c r="Y22" i="98"/>
  <c r="R26" i="86" s="1"/>
  <c r="Y23" i="98"/>
  <c r="R27" i="86" s="1"/>
  <c r="Y25" i="98"/>
  <c r="Y26" i="98"/>
  <c r="R30" i="86" s="1"/>
  <c r="Y27" i="98"/>
  <c r="R31" i="86" s="1"/>
  <c r="Y28" i="98"/>
  <c r="R32" i="86" s="1"/>
  <c r="Y29" i="98"/>
  <c r="R33" i="86" s="1"/>
  <c r="L137" i="206" s="1"/>
  <c r="L21" i="206" s="1"/>
  <c r="Y31" i="98"/>
  <c r="Y32" i="98"/>
  <c r="R36" i="86" s="1"/>
  <c r="Y33" i="98"/>
  <c r="R37" i="86" s="1"/>
  <c r="Y34" i="98"/>
  <c r="R38" i="86" s="1"/>
  <c r="Y35" i="98"/>
  <c r="R39" i="86" s="1"/>
  <c r="Y36" i="98"/>
  <c r="R40" i="86" s="1"/>
  <c r="Y38" i="98"/>
  <c r="R42" i="86" s="1"/>
  <c r="Y39" i="98"/>
  <c r="R43" i="86" s="1"/>
  <c r="Y40" i="98"/>
  <c r="Y41" i="98"/>
  <c r="R45" i="86" s="1"/>
  <c r="Y43" i="98"/>
  <c r="R47" i="86" s="1"/>
  <c r="Y44" i="98"/>
  <c r="R48" i="86" s="1"/>
  <c r="Y45" i="98"/>
  <c r="R49" i="86" s="1"/>
  <c r="Y46" i="98"/>
  <c r="R50" i="86" s="1"/>
  <c r="Y47" i="98"/>
  <c r="R51" i="86" s="1"/>
  <c r="Y48" i="98"/>
  <c r="R52" i="86" s="1"/>
  <c r="Y49" i="98"/>
  <c r="R53" i="86" s="1"/>
  <c r="Y51" i="98"/>
  <c r="Y52" i="98"/>
  <c r="R56" i="86" s="1"/>
  <c r="Y53" i="98"/>
  <c r="R57" i="86" s="1"/>
  <c r="Y54" i="98"/>
  <c r="R58" i="86" s="1"/>
  <c r="Y55" i="98"/>
  <c r="R59" i="86" s="1"/>
  <c r="Y57" i="98"/>
  <c r="R61" i="86" s="1"/>
  <c r="Y58" i="98"/>
  <c r="Y60" i="98"/>
  <c r="Y61" i="98"/>
  <c r="R65" i="86" s="1"/>
  <c r="L169" i="206" s="1"/>
  <c r="Y62" i="98"/>
  <c r="AG8" i="107"/>
  <c r="L7" i="108" s="1"/>
  <c r="AG6" i="107"/>
  <c r="L5" i="108" s="1"/>
  <c r="AG9" i="107"/>
  <c r="L8" i="108" s="1"/>
  <c r="AG10" i="107"/>
  <c r="L9" i="108" s="1"/>
  <c r="AG12" i="107"/>
  <c r="L11" i="108" s="1"/>
  <c r="AG13" i="107"/>
  <c r="L12" i="108" s="1"/>
  <c r="AG14" i="107"/>
  <c r="L13" i="108" s="1"/>
  <c r="AG15" i="107"/>
  <c r="L14" i="108" s="1"/>
  <c r="AG16" i="107"/>
  <c r="L15" i="108" s="1"/>
  <c r="AG18" i="107"/>
  <c r="L17" i="108" s="1"/>
  <c r="AG19" i="107"/>
  <c r="L18" i="108" s="1"/>
  <c r="AG20" i="107"/>
  <c r="L19" i="108" s="1"/>
  <c r="AG21" i="107"/>
  <c r="L20" i="108" s="1"/>
  <c r="AG22" i="107"/>
  <c r="L21" i="108" s="1"/>
  <c r="AG24" i="107"/>
  <c r="AG35" i="107"/>
  <c r="AG25" i="107"/>
  <c r="AG28" i="107"/>
  <c r="AG26" i="107"/>
  <c r="L25" i="108" s="1"/>
  <c r="AG27" i="107"/>
  <c r="L26" i="108" s="1"/>
  <c r="AG29" i="107"/>
  <c r="AG30" i="107"/>
  <c r="AG31" i="107"/>
  <c r="AG32" i="107"/>
  <c r="AG33" i="107"/>
  <c r="AG34" i="107"/>
  <c r="AG37" i="107"/>
  <c r="AG38" i="107"/>
  <c r="AG39" i="107"/>
  <c r="AG43" i="107"/>
  <c r="AG59" i="107"/>
  <c r="AG41" i="107"/>
  <c r="L31" i="108" s="1"/>
  <c r="AG42" i="107"/>
  <c r="L32" i="108" s="1"/>
  <c r="AG40" i="107"/>
  <c r="AG44" i="107"/>
  <c r="AG46" i="107"/>
  <c r="L35" i="108" s="1"/>
  <c r="AG48" i="107"/>
  <c r="L36" i="108" s="1"/>
  <c r="AG58" i="107"/>
  <c r="AG60" i="107"/>
  <c r="AG61" i="107"/>
  <c r="AG62" i="107"/>
  <c r="AG47" i="107"/>
  <c r="AG49" i="107"/>
  <c r="AG50" i="107"/>
  <c r="AG51" i="107"/>
  <c r="AG52" i="107"/>
  <c r="L39" i="108" s="1"/>
  <c r="AG53" i="107"/>
  <c r="L40" i="108" s="1"/>
  <c r="AG54" i="107"/>
  <c r="AG55" i="107"/>
  <c r="AG56" i="107"/>
  <c r="AG57" i="107"/>
  <c r="AG64" i="107"/>
  <c r="AG65" i="107"/>
  <c r="AG66" i="107"/>
  <c r="AG68" i="107"/>
  <c r="AG69" i="107"/>
  <c r="AG70" i="107"/>
  <c r="AG75" i="107"/>
  <c r="AG76" i="107"/>
  <c r="AG77" i="107"/>
  <c r="AG78" i="107"/>
  <c r="AG79" i="107"/>
  <c r="AG80" i="107"/>
  <c r="AG81" i="107"/>
  <c r="AG82" i="107"/>
  <c r="AG67" i="107"/>
  <c r="AG71" i="107"/>
  <c r="AG73" i="107"/>
  <c r="AG72" i="107"/>
  <c r="AG74" i="107"/>
  <c r="AG84" i="107"/>
  <c r="L49" i="108" s="1"/>
  <c r="AG85" i="107"/>
  <c r="AG86" i="107"/>
  <c r="AG87" i="107"/>
  <c r="AG88" i="107"/>
  <c r="AG89" i="107"/>
  <c r="AG90" i="107"/>
  <c r="AG92" i="107"/>
  <c r="AG97" i="107"/>
  <c r="AG99" i="107"/>
  <c r="AG100" i="107"/>
  <c r="AG101" i="107"/>
  <c r="L53" i="108" s="1"/>
  <c r="AG102" i="107"/>
  <c r="AG93" i="107"/>
  <c r="AG94" i="107"/>
  <c r="AG95" i="107"/>
  <c r="AG96" i="107"/>
  <c r="AG98" i="107"/>
  <c r="L7" i="99"/>
  <c r="L5" i="99"/>
  <c r="L8" i="99"/>
  <c r="L9" i="99"/>
  <c r="L11" i="99"/>
  <c r="L12" i="99"/>
  <c r="L13" i="99"/>
  <c r="L14" i="99"/>
  <c r="L15" i="99"/>
  <c r="L17" i="99"/>
  <c r="L18" i="99"/>
  <c r="L19" i="99"/>
  <c r="L20" i="99"/>
  <c r="L21" i="99"/>
  <c r="L23" i="99"/>
  <c r="L24" i="99"/>
  <c r="L25" i="99"/>
  <c r="L26" i="99"/>
  <c r="L27" i="99"/>
  <c r="L28" i="99"/>
  <c r="L30" i="99"/>
  <c r="L31" i="99"/>
  <c r="L32" i="99"/>
  <c r="L33" i="99"/>
  <c r="L35" i="99"/>
  <c r="L36" i="99"/>
  <c r="L37" i="99"/>
  <c r="L38" i="99"/>
  <c r="L39" i="99"/>
  <c r="L40" i="99"/>
  <c r="L41" i="99"/>
  <c r="L43" i="99"/>
  <c r="L44" i="99"/>
  <c r="L45" i="99"/>
  <c r="L46" i="99"/>
  <c r="L47" i="99"/>
  <c r="L49" i="99"/>
  <c r="L50" i="99"/>
  <c r="L52" i="99"/>
  <c r="L53" i="99"/>
  <c r="L54" i="99"/>
  <c r="K19" i="122"/>
  <c r="K17" i="122"/>
  <c r="K6" i="122" s="1"/>
  <c r="K21" i="122"/>
  <c r="K23" i="122"/>
  <c r="K24" i="122"/>
  <c r="K30" i="122"/>
  <c r="K33" i="122"/>
  <c r="K35" i="122"/>
  <c r="K46" i="122"/>
  <c r="K20" i="122"/>
  <c r="K27" i="122"/>
  <c r="K32" i="122"/>
  <c r="K48" i="122"/>
  <c r="K49" i="122"/>
  <c r="K102" i="122"/>
  <c r="K166" i="122" s="1"/>
  <c r="K174" i="122" s="1"/>
  <c r="K31" i="122"/>
  <c r="K34" i="122"/>
  <c r="K36" i="122"/>
  <c r="K44" i="122"/>
  <c r="K47" i="122"/>
  <c r="K18" i="122"/>
  <c r="K50" i="122"/>
  <c r="K51" i="122"/>
  <c r="K52" i="122"/>
  <c r="K25" i="122"/>
  <c r="K28" i="122"/>
  <c r="K43" i="122"/>
  <c r="K45" i="122"/>
  <c r="K53" i="122"/>
  <c r="K54" i="122"/>
  <c r="K55" i="122"/>
  <c r="K26" i="122"/>
  <c r="K38" i="122"/>
  <c r="K142" i="122"/>
  <c r="K56" i="122"/>
  <c r="K57" i="122"/>
  <c r="K37" i="122"/>
  <c r="K39" i="122"/>
  <c r="K22" i="122"/>
  <c r="K40" i="122"/>
  <c r="K159" i="122"/>
  <c r="X15" i="98"/>
  <c r="X5" i="98"/>
  <c r="Q9" i="86" s="1"/>
  <c r="X6" i="98"/>
  <c r="Q10" i="86" s="1"/>
  <c r="X7" i="98"/>
  <c r="Q11" i="86" s="1"/>
  <c r="X8" i="98"/>
  <c r="X9" i="98"/>
  <c r="X10" i="98"/>
  <c r="Q14" i="86" s="1"/>
  <c r="X11" i="98"/>
  <c r="Q15" i="86" s="1"/>
  <c r="X12" i="98"/>
  <c r="Q16" i="86" s="1"/>
  <c r="X13" i="98"/>
  <c r="Q17" i="86" s="1"/>
  <c r="X16" i="98"/>
  <c r="Q20" i="86" s="1"/>
  <c r="X17" i="98"/>
  <c r="Q21" i="86" s="1"/>
  <c r="X19" i="98"/>
  <c r="Q23" i="86" s="1"/>
  <c r="X20" i="98"/>
  <c r="Q24" i="86" s="1"/>
  <c r="X21" i="98"/>
  <c r="Q25" i="86" s="1"/>
  <c r="X22" i="98"/>
  <c r="Q26" i="86" s="1"/>
  <c r="K130" i="206" s="1"/>
  <c r="K14" i="206" s="1"/>
  <c r="X23" i="98"/>
  <c r="X25" i="98"/>
  <c r="Q29" i="86" s="1"/>
  <c r="X26" i="98"/>
  <c r="Q30" i="86" s="1"/>
  <c r="X27" i="98"/>
  <c r="Q31" i="86" s="1"/>
  <c r="X28" i="98"/>
  <c r="Q32" i="86" s="1"/>
  <c r="X29" i="98"/>
  <c r="Q33" i="86" s="1"/>
  <c r="X31" i="98"/>
  <c r="Q35" i="86" s="1"/>
  <c r="X32" i="98"/>
  <c r="X33" i="98"/>
  <c r="Q37" i="86" s="1"/>
  <c r="X34" i="98"/>
  <c r="Q38" i="86" s="1"/>
  <c r="X35" i="98"/>
  <c r="Q39" i="86" s="1"/>
  <c r="X36" i="98"/>
  <c r="Q40" i="86" s="1"/>
  <c r="X38" i="98"/>
  <c r="Q42" i="86" s="1"/>
  <c r="X39" i="98"/>
  <c r="Q43" i="86" s="1"/>
  <c r="X40" i="98"/>
  <c r="Q44" i="86" s="1"/>
  <c r="X41" i="98"/>
  <c r="X43" i="98"/>
  <c r="X44" i="98"/>
  <c r="Q48" i="86" s="1"/>
  <c r="X45" i="98"/>
  <c r="Q49" i="86" s="1"/>
  <c r="X46" i="98"/>
  <c r="Q50" i="86" s="1"/>
  <c r="X47" i="98"/>
  <c r="Q51" i="86" s="1"/>
  <c r="X48" i="98"/>
  <c r="X49" i="98"/>
  <c r="Q53" i="86" s="1"/>
  <c r="X51" i="98"/>
  <c r="Q55" i="86" s="1"/>
  <c r="X52" i="98"/>
  <c r="Q56" i="86" s="1"/>
  <c r="X53" i="98"/>
  <c r="Q57" i="86" s="1"/>
  <c r="X54" i="98"/>
  <c r="Q58" i="86" s="1"/>
  <c r="K162" i="206" s="1"/>
  <c r="K46" i="206" s="1"/>
  <c r="X55" i="98"/>
  <c r="Q59" i="86" s="1"/>
  <c r="X57" i="98"/>
  <c r="X58" i="98"/>
  <c r="Q62" i="86" s="1"/>
  <c r="X60" i="98"/>
  <c r="Q64" i="86" s="1"/>
  <c r="K168" i="206" s="1"/>
  <c r="K52" i="206" s="1"/>
  <c r="X61" i="98"/>
  <c r="X62" i="98"/>
  <c r="Q66" i="86" s="1"/>
  <c r="AB8" i="107"/>
  <c r="K7" i="108" s="1"/>
  <c r="AB6" i="107"/>
  <c r="K5" i="108" s="1"/>
  <c r="AB9" i="107"/>
  <c r="K8" i="108" s="1"/>
  <c r="AB10" i="107"/>
  <c r="K9" i="108" s="1"/>
  <c r="AB11" i="107"/>
  <c r="K11" i="108" s="1"/>
  <c r="AB12" i="107"/>
  <c r="K12" i="108" s="1"/>
  <c r="AB13" i="107"/>
  <c r="K13" i="108" s="1"/>
  <c r="AB14" i="107"/>
  <c r="K14" i="108" s="1"/>
  <c r="AB15" i="107"/>
  <c r="K15" i="108" s="1"/>
  <c r="AB17" i="107"/>
  <c r="K17" i="108" s="1"/>
  <c r="AB18" i="107"/>
  <c r="K18" i="108" s="1"/>
  <c r="AB21" i="107"/>
  <c r="K19" i="108" s="1"/>
  <c r="AB32" i="107"/>
  <c r="K20" i="108" s="1"/>
  <c r="AB33" i="107"/>
  <c r="K21" i="108" s="1"/>
  <c r="AB19" i="107"/>
  <c r="AB31" i="107"/>
  <c r="AB20" i="107"/>
  <c r="AB24" i="107"/>
  <c r="AB22" i="107"/>
  <c r="K25" i="108" s="1"/>
  <c r="AB23" i="107"/>
  <c r="K26" i="108" s="1"/>
  <c r="AB25" i="107"/>
  <c r="AB26" i="107"/>
  <c r="AB27" i="107"/>
  <c r="AB28" i="107"/>
  <c r="AB29" i="107"/>
  <c r="AB30" i="107"/>
  <c r="AB35" i="107"/>
  <c r="AB39" i="107"/>
  <c r="AB40" i="107"/>
  <c r="AB44" i="107"/>
  <c r="AB56" i="107"/>
  <c r="AB42" i="107"/>
  <c r="K31" i="108" s="1"/>
  <c r="AB43" i="107"/>
  <c r="K32" i="108" s="1"/>
  <c r="AB41" i="107"/>
  <c r="AB45" i="107"/>
  <c r="AB36" i="107"/>
  <c r="K35" i="108" s="1"/>
  <c r="AB38" i="107"/>
  <c r="K36" i="108" s="1"/>
  <c r="AB55" i="107"/>
  <c r="AB57" i="107"/>
  <c r="AB58" i="107"/>
  <c r="AB59" i="107"/>
  <c r="AB37" i="107"/>
  <c r="AB46" i="107"/>
  <c r="AB47" i="107"/>
  <c r="AB48" i="107"/>
  <c r="AB49" i="107"/>
  <c r="K39" i="108" s="1"/>
  <c r="AB50" i="107"/>
  <c r="K40" i="108" s="1"/>
  <c r="AB51" i="107"/>
  <c r="AB52" i="107"/>
  <c r="AB53" i="107"/>
  <c r="AB54" i="107"/>
  <c r="AB61" i="107"/>
  <c r="AB62" i="107"/>
  <c r="AB63" i="107"/>
  <c r="AB65" i="107"/>
  <c r="AB66" i="107"/>
  <c r="AB67" i="107"/>
  <c r="AB72" i="107"/>
  <c r="AB73" i="107"/>
  <c r="AB74" i="107"/>
  <c r="AB75" i="107"/>
  <c r="AB76" i="107"/>
  <c r="AB77" i="107"/>
  <c r="AB78" i="107"/>
  <c r="AB79" i="107"/>
  <c r="AB64" i="107"/>
  <c r="AB68" i="107"/>
  <c r="AB70" i="107"/>
  <c r="AB69" i="107"/>
  <c r="AB71" i="107"/>
  <c r="AB87" i="107"/>
  <c r="AB88" i="107"/>
  <c r="AB89" i="107"/>
  <c r="AB90" i="107"/>
  <c r="AB81" i="107"/>
  <c r="AB82" i="107"/>
  <c r="AB83" i="107"/>
  <c r="AB84" i="107"/>
  <c r="AB85" i="107"/>
  <c r="AB86" i="107"/>
  <c r="AB92" i="107"/>
  <c r="AB97" i="107"/>
  <c r="AB99" i="107"/>
  <c r="AB100" i="107"/>
  <c r="AB101" i="107"/>
  <c r="AB102" i="107"/>
  <c r="AB93" i="107"/>
  <c r="AB94" i="107"/>
  <c r="AB95" i="107"/>
  <c r="AB96" i="107"/>
  <c r="AB98" i="107"/>
  <c r="K7" i="99"/>
  <c r="K5" i="99"/>
  <c r="K8" i="99"/>
  <c r="K9" i="99"/>
  <c r="K11" i="99"/>
  <c r="K12" i="99"/>
  <c r="K13" i="99"/>
  <c r="K14" i="99"/>
  <c r="K15" i="99"/>
  <c r="K17" i="99"/>
  <c r="K18" i="99"/>
  <c r="K19" i="99"/>
  <c r="K20" i="99"/>
  <c r="K21" i="99"/>
  <c r="K23" i="99"/>
  <c r="K24" i="99"/>
  <c r="K25" i="99"/>
  <c r="K26" i="99"/>
  <c r="K27" i="99"/>
  <c r="K28" i="99"/>
  <c r="K30" i="99"/>
  <c r="K31" i="99"/>
  <c r="K32" i="99"/>
  <c r="K33" i="99"/>
  <c r="K35" i="99"/>
  <c r="K36" i="99"/>
  <c r="K37" i="99"/>
  <c r="K38" i="99"/>
  <c r="K39" i="99"/>
  <c r="K40" i="99"/>
  <c r="K41" i="99"/>
  <c r="K43" i="99"/>
  <c r="K44" i="99"/>
  <c r="K45" i="99"/>
  <c r="K46" i="99"/>
  <c r="K47" i="99"/>
  <c r="K49" i="99"/>
  <c r="K50" i="99"/>
  <c r="K52" i="99"/>
  <c r="K53" i="99"/>
  <c r="K54" i="99"/>
  <c r="J19" i="122"/>
  <c r="J17" i="122"/>
  <c r="J6" i="122" s="1"/>
  <c r="J21" i="122"/>
  <c r="J23" i="122"/>
  <c r="J24" i="122"/>
  <c r="J30" i="122"/>
  <c r="J33" i="122"/>
  <c r="J35" i="122"/>
  <c r="J46" i="122"/>
  <c r="J20" i="122"/>
  <c r="J27" i="122"/>
  <c r="J32" i="122"/>
  <c r="J48" i="122"/>
  <c r="J49" i="122"/>
  <c r="J29" i="122"/>
  <c r="J31" i="122"/>
  <c r="J34" i="122"/>
  <c r="J36" i="122"/>
  <c r="J44" i="122"/>
  <c r="J47" i="122"/>
  <c r="J18" i="122"/>
  <c r="J50" i="122"/>
  <c r="J51" i="122"/>
  <c r="J52" i="122"/>
  <c r="J25" i="122"/>
  <c r="J28" i="122"/>
  <c r="J43" i="122"/>
  <c r="J45" i="122"/>
  <c r="J53" i="122"/>
  <c r="J54" i="122"/>
  <c r="J55" i="122"/>
  <c r="J26" i="122"/>
  <c r="J38" i="122"/>
  <c r="J41" i="122"/>
  <c r="J56" i="122"/>
  <c r="J57" i="122"/>
  <c r="J37" i="122"/>
  <c r="J39" i="122"/>
  <c r="J22" i="122"/>
  <c r="J40" i="122"/>
  <c r="J159" i="122"/>
  <c r="W15" i="98"/>
  <c r="W5" i="98"/>
  <c r="P9" i="86" s="1"/>
  <c r="W6" i="98"/>
  <c r="P10" i="86" s="1"/>
  <c r="W7" i="98"/>
  <c r="P11" i="86" s="1"/>
  <c r="W8" i="98"/>
  <c r="P12" i="86" s="1"/>
  <c r="W9" i="98"/>
  <c r="P13" i="86" s="1"/>
  <c r="W10" i="98"/>
  <c r="P14" i="86" s="1"/>
  <c r="W11" i="98"/>
  <c r="P15" i="86" s="1"/>
  <c r="W12" i="98"/>
  <c r="P16" i="86" s="1"/>
  <c r="W13" i="98"/>
  <c r="P17" i="86" s="1"/>
  <c r="W16" i="98"/>
  <c r="P20" i="86" s="1"/>
  <c r="W17" i="98"/>
  <c r="P21" i="86" s="1"/>
  <c r="W19" i="98"/>
  <c r="W20" i="98"/>
  <c r="P24" i="86" s="1"/>
  <c r="J128" i="206" s="1"/>
  <c r="J12" i="206" s="1"/>
  <c r="W21" i="98"/>
  <c r="P25" i="86" s="1"/>
  <c r="W22" i="98"/>
  <c r="P26" i="86" s="1"/>
  <c r="W23" i="98"/>
  <c r="P27" i="86" s="1"/>
  <c r="W25" i="98"/>
  <c r="P29" i="86" s="1"/>
  <c r="W26" i="98"/>
  <c r="P30" i="86" s="1"/>
  <c r="W27" i="98"/>
  <c r="P31" i="86" s="1"/>
  <c r="W28" i="98"/>
  <c r="W29" i="98"/>
  <c r="P33" i="86" s="1"/>
  <c r="W31" i="98"/>
  <c r="P35" i="86" s="1"/>
  <c r="W32" i="98"/>
  <c r="W33" i="98"/>
  <c r="P37" i="86" s="1"/>
  <c r="W34" i="98"/>
  <c r="P38" i="86" s="1"/>
  <c r="W35" i="98"/>
  <c r="P39" i="86" s="1"/>
  <c r="W36" i="98"/>
  <c r="P40" i="86" s="1"/>
  <c r="W38" i="98"/>
  <c r="P42" i="86" s="1"/>
  <c r="W39" i="98"/>
  <c r="W40" i="98"/>
  <c r="P44" i="86" s="1"/>
  <c r="W41" i="98"/>
  <c r="P45" i="86" s="1"/>
  <c r="W43" i="98"/>
  <c r="P47" i="86" s="1"/>
  <c r="W44" i="98"/>
  <c r="P48" i="86" s="1"/>
  <c r="W45" i="98"/>
  <c r="P49" i="86" s="1"/>
  <c r="J153" i="206" s="1"/>
  <c r="J37" i="206" s="1"/>
  <c r="W46" i="98"/>
  <c r="P50" i="86" s="1"/>
  <c r="W47" i="98"/>
  <c r="W48" i="98"/>
  <c r="P52" i="86" s="1"/>
  <c r="W49" i="98"/>
  <c r="P53" i="86" s="1"/>
  <c r="W51" i="98"/>
  <c r="P55" i="86" s="1"/>
  <c r="W52" i="98"/>
  <c r="P56" i="86" s="1"/>
  <c r="W53" i="98"/>
  <c r="P57" i="86" s="1"/>
  <c r="W54" i="98"/>
  <c r="P58" i="86" s="1"/>
  <c r="W55" i="98"/>
  <c r="P59" i="86" s="1"/>
  <c r="J163" i="206" s="1"/>
  <c r="J47" i="206" s="1"/>
  <c r="W57" i="98"/>
  <c r="W58" i="98"/>
  <c r="P62" i="86" s="1"/>
  <c r="J166" i="206" s="1"/>
  <c r="J50" i="206" s="1"/>
  <c r="W60" i="98"/>
  <c r="W61" i="98"/>
  <c r="P65" i="86" s="1"/>
  <c r="W62" i="98"/>
  <c r="P66" i="86" s="1"/>
  <c r="Y8" i="107"/>
  <c r="J7" i="108" s="1"/>
  <c r="Y6" i="107"/>
  <c r="J5" i="108" s="1"/>
  <c r="Y9" i="107"/>
  <c r="J8" i="108" s="1"/>
  <c r="Y10" i="107"/>
  <c r="J9" i="108" s="1"/>
  <c r="Y11" i="107"/>
  <c r="J11" i="108" s="1"/>
  <c r="Y12" i="107"/>
  <c r="J12" i="108" s="1"/>
  <c r="Y13" i="107"/>
  <c r="J13" i="108" s="1"/>
  <c r="Y14" i="107"/>
  <c r="J14" i="108" s="1"/>
  <c r="Y15" i="107"/>
  <c r="J15" i="108" s="1"/>
  <c r="Y17" i="107"/>
  <c r="J17" i="108" s="1"/>
  <c r="Y18" i="107"/>
  <c r="J18" i="108" s="1"/>
  <c r="Y21" i="107"/>
  <c r="J19" i="108" s="1"/>
  <c r="Y32" i="107"/>
  <c r="J20" i="108" s="1"/>
  <c r="Y33" i="107"/>
  <c r="J21" i="108" s="1"/>
  <c r="Y19" i="107"/>
  <c r="Y31" i="107"/>
  <c r="Y20" i="107"/>
  <c r="Y24" i="107"/>
  <c r="Y22" i="107"/>
  <c r="J25" i="108" s="1"/>
  <c r="Y23" i="107"/>
  <c r="J26" i="108" s="1"/>
  <c r="Y25" i="107"/>
  <c r="Y26" i="107"/>
  <c r="Y27" i="107"/>
  <c r="Y28" i="107"/>
  <c r="Y29" i="107"/>
  <c r="Y30" i="107"/>
  <c r="Y35" i="107"/>
  <c r="Y39" i="107"/>
  <c r="Y40" i="107"/>
  <c r="Y44" i="107"/>
  <c r="Y56" i="107"/>
  <c r="Y42" i="107"/>
  <c r="J31" i="108" s="1"/>
  <c r="Y43" i="107"/>
  <c r="J32" i="108" s="1"/>
  <c r="Y41" i="107"/>
  <c r="Y45" i="107"/>
  <c r="Y36" i="107"/>
  <c r="J35" i="108" s="1"/>
  <c r="Y38" i="107"/>
  <c r="J36" i="108" s="1"/>
  <c r="Y55" i="107"/>
  <c r="Y57" i="107"/>
  <c r="Y58" i="107"/>
  <c r="Y59" i="107"/>
  <c r="Y37" i="107"/>
  <c r="Y46" i="107"/>
  <c r="Y47" i="107"/>
  <c r="Y48" i="107"/>
  <c r="Y49" i="107"/>
  <c r="J39" i="108" s="1"/>
  <c r="Y50" i="107"/>
  <c r="J40" i="108" s="1"/>
  <c r="Y51" i="107"/>
  <c r="Y52" i="107"/>
  <c r="Y53" i="107"/>
  <c r="Y54" i="107"/>
  <c r="Y61" i="107"/>
  <c r="Y62" i="107"/>
  <c r="Y63" i="107"/>
  <c r="Y65" i="107"/>
  <c r="Y66" i="107"/>
  <c r="Y67" i="107"/>
  <c r="Y72" i="107"/>
  <c r="Y73" i="107"/>
  <c r="Y74" i="107"/>
  <c r="Y75" i="107"/>
  <c r="Y76" i="107"/>
  <c r="Y77" i="107"/>
  <c r="Y78" i="107"/>
  <c r="Y79" i="107"/>
  <c r="Y64" i="107"/>
  <c r="Y68" i="107"/>
  <c r="Y70" i="107"/>
  <c r="Y69" i="107"/>
  <c r="Y71" i="107"/>
  <c r="Y87" i="107"/>
  <c r="Y88" i="107"/>
  <c r="Y89" i="107"/>
  <c r="Y90" i="107"/>
  <c r="Y81" i="107"/>
  <c r="Y82" i="107"/>
  <c r="Y83" i="107"/>
  <c r="Y84" i="107"/>
  <c r="Y85" i="107"/>
  <c r="Y86" i="107"/>
  <c r="Y92" i="107"/>
  <c r="Y97" i="107"/>
  <c r="Y99" i="107"/>
  <c r="Y100" i="107"/>
  <c r="Y101" i="107"/>
  <c r="Y102" i="107"/>
  <c r="Y93" i="107"/>
  <c r="Y94" i="107"/>
  <c r="Y95" i="107"/>
  <c r="Y96" i="107"/>
  <c r="Y98" i="107"/>
  <c r="J7" i="99"/>
  <c r="J5" i="99"/>
  <c r="J8" i="99"/>
  <c r="J9" i="99"/>
  <c r="J11" i="99"/>
  <c r="J12" i="99"/>
  <c r="J13" i="99"/>
  <c r="J14" i="99"/>
  <c r="J15" i="99"/>
  <c r="J17" i="99"/>
  <c r="J18" i="99"/>
  <c r="J19" i="99"/>
  <c r="J20" i="99"/>
  <c r="J21" i="99"/>
  <c r="J23" i="99"/>
  <c r="J24" i="99"/>
  <c r="J25" i="99"/>
  <c r="J26" i="99"/>
  <c r="J27" i="99"/>
  <c r="J28" i="99"/>
  <c r="J30" i="99"/>
  <c r="J31" i="99"/>
  <c r="J32" i="99"/>
  <c r="J33" i="99"/>
  <c r="J35" i="99"/>
  <c r="J36" i="99"/>
  <c r="J37" i="99"/>
  <c r="J38" i="99"/>
  <c r="J39" i="99"/>
  <c r="J40" i="99"/>
  <c r="J41" i="99"/>
  <c r="J43" i="99"/>
  <c r="J44" i="99"/>
  <c r="J45" i="99"/>
  <c r="J46" i="99"/>
  <c r="J47" i="99"/>
  <c r="J49" i="99"/>
  <c r="J50" i="99"/>
  <c r="J52" i="99"/>
  <c r="J53" i="99"/>
  <c r="J54" i="99"/>
  <c r="I19" i="122"/>
  <c r="I17" i="122"/>
  <c r="I6" i="122" s="1"/>
  <c r="I21" i="122"/>
  <c r="I23" i="122"/>
  <c r="I24" i="122"/>
  <c r="I30" i="122"/>
  <c r="I33" i="122"/>
  <c r="I35" i="122"/>
  <c r="I46" i="122"/>
  <c r="I20" i="122"/>
  <c r="I27" i="122"/>
  <c r="I32" i="122"/>
  <c r="I48" i="122"/>
  <c r="I49" i="122"/>
  <c r="I29" i="122"/>
  <c r="I31" i="122"/>
  <c r="I34" i="122"/>
  <c r="I36" i="122"/>
  <c r="I44" i="122"/>
  <c r="I47" i="122"/>
  <c r="I18" i="122"/>
  <c r="I50" i="122"/>
  <c r="I51" i="122"/>
  <c r="I52" i="122"/>
  <c r="I25" i="122"/>
  <c r="I28" i="122"/>
  <c r="I43" i="122"/>
  <c r="I45" i="122"/>
  <c r="I53" i="122"/>
  <c r="I54" i="122"/>
  <c r="I55" i="122"/>
  <c r="I26" i="122"/>
  <c r="I38" i="122"/>
  <c r="I41" i="122"/>
  <c r="I56" i="122"/>
  <c r="I57" i="122"/>
  <c r="I37" i="122"/>
  <c r="I39" i="122"/>
  <c r="I22" i="122"/>
  <c r="I40" i="122"/>
  <c r="I159" i="122"/>
  <c r="V15" i="98"/>
  <c r="V5" i="98"/>
  <c r="O9" i="86" s="1"/>
  <c r="V6" i="98"/>
  <c r="V7" i="98"/>
  <c r="O11" i="86" s="1"/>
  <c r="V8" i="98"/>
  <c r="O12" i="86" s="1"/>
  <c r="V9" i="98"/>
  <c r="O13" i="86" s="1"/>
  <c r="V10" i="98"/>
  <c r="O14" i="86" s="1"/>
  <c r="V11" i="98"/>
  <c r="O15" i="86" s="1"/>
  <c r="V12" i="98"/>
  <c r="O16" i="86" s="1"/>
  <c r="V13" i="98"/>
  <c r="O17" i="86" s="1"/>
  <c r="V16" i="98"/>
  <c r="O20" i="86" s="1"/>
  <c r="V17" i="98"/>
  <c r="O21" i="86" s="1"/>
  <c r="I125" i="206" s="1"/>
  <c r="I9" i="206" s="1"/>
  <c r="V19" i="98"/>
  <c r="O23" i="86" s="1"/>
  <c r="V20" i="98"/>
  <c r="O24" i="86" s="1"/>
  <c r="I128" i="206" s="1"/>
  <c r="I12" i="206" s="1"/>
  <c r="V21" i="98"/>
  <c r="O25" i="86" s="1"/>
  <c r="V22" i="98"/>
  <c r="V23" i="98"/>
  <c r="O27" i="86" s="1"/>
  <c r="V25" i="98"/>
  <c r="O29" i="86" s="1"/>
  <c r="V26" i="98"/>
  <c r="V27" i="98"/>
  <c r="O31" i="86" s="1"/>
  <c r="V28" i="98"/>
  <c r="O32" i="86" s="1"/>
  <c r="V29" i="98"/>
  <c r="O33" i="86" s="1"/>
  <c r="V31" i="98"/>
  <c r="O35" i="86" s="1"/>
  <c r="V32" i="98"/>
  <c r="O36" i="86" s="1"/>
  <c r="V33" i="98"/>
  <c r="O37" i="86" s="1"/>
  <c r="V34" i="98"/>
  <c r="O38" i="86" s="1"/>
  <c r="V35" i="98"/>
  <c r="O39" i="86" s="1"/>
  <c r="V36" i="98"/>
  <c r="O40" i="86" s="1"/>
  <c r="V38" i="98"/>
  <c r="O42" i="86" s="1"/>
  <c r="V39" i="98"/>
  <c r="O43" i="86" s="1"/>
  <c r="I147" i="206" s="1"/>
  <c r="I31" i="206" s="1"/>
  <c r="V40" i="98"/>
  <c r="O44" i="86" s="1"/>
  <c r="V41" i="98"/>
  <c r="V43" i="98"/>
  <c r="V44" i="98"/>
  <c r="O48" i="86" s="1"/>
  <c r="V45" i="98"/>
  <c r="O49" i="86" s="1"/>
  <c r="V46" i="98"/>
  <c r="O50" i="86" s="1"/>
  <c r="V47" i="98"/>
  <c r="O51" i="86" s="1"/>
  <c r="V48" i="98"/>
  <c r="O52" i="86" s="1"/>
  <c r="V49" i="98"/>
  <c r="O53" i="86" s="1"/>
  <c r="V51" i="98"/>
  <c r="O55" i="86" s="1"/>
  <c r="V52" i="98"/>
  <c r="O56" i="86" s="1"/>
  <c r="V53" i="98"/>
  <c r="O57" i="86" s="1"/>
  <c r="V54" i="98"/>
  <c r="O58" i="86" s="1"/>
  <c r="V55" i="98"/>
  <c r="O59" i="86" s="1"/>
  <c r="V57" i="98"/>
  <c r="V58" i="98"/>
  <c r="O62" i="86" s="1"/>
  <c r="V60" i="98"/>
  <c r="O64" i="86" s="1"/>
  <c r="V61" i="98"/>
  <c r="V62" i="98"/>
  <c r="O66" i="86" s="1"/>
  <c r="V8" i="107"/>
  <c r="I7" i="108" s="1"/>
  <c r="V6" i="107"/>
  <c r="I5" i="108" s="1"/>
  <c r="V9" i="107"/>
  <c r="I8" i="108" s="1"/>
  <c r="V10" i="107"/>
  <c r="I9" i="108" s="1"/>
  <c r="V11" i="107"/>
  <c r="I11" i="108" s="1"/>
  <c r="V12" i="107"/>
  <c r="I12" i="108" s="1"/>
  <c r="V13" i="107"/>
  <c r="I13" i="108" s="1"/>
  <c r="V14" i="107"/>
  <c r="I14" i="108" s="1"/>
  <c r="V15" i="107"/>
  <c r="I15" i="108" s="1"/>
  <c r="V17" i="107"/>
  <c r="I17" i="108" s="1"/>
  <c r="V18" i="107"/>
  <c r="I18" i="108" s="1"/>
  <c r="V21" i="107"/>
  <c r="I19" i="108" s="1"/>
  <c r="V32" i="107"/>
  <c r="I20" i="108" s="1"/>
  <c r="V33" i="107"/>
  <c r="I21" i="108" s="1"/>
  <c r="V19" i="107"/>
  <c r="V31" i="107"/>
  <c r="V20" i="107"/>
  <c r="V24" i="107"/>
  <c r="V22" i="107"/>
  <c r="I25" i="108" s="1"/>
  <c r="V23" i="107"/>
  <c r="I26" i="108" s="1"/>
  <c r="V25" i="107"/>
  <c r="V26" i="107"/>
  <c r="V27" i="107"/>
  <c r="V28" i="107"/>
  <c r="V29" i="107"/>
  <c r="V30" i="107"/>
  <c r="V35" i="107"/>
  <c r="V39" i="107"/>
  <c r="V40" i="107"/>
  <c r="V44" i="107"/>
  <c r="V56" i="107"/>
  <c r="V42" i="107"/>
  <c r="I31" i="108" s="1"/>
  <c r="V43" i="107"/>
  <c r="I32" i="108" s="1"/>
  <c r="V41" i="107"/>
  <c r="V45" i="107"/>
  <c r="V36" i="107"/>
  <c r="I35" i="108" s="1"/>
  <c r="V38" i="107"/>
  <c r="I36" i="108" s="1"/>
  <c r="V55" i="107"/>
  <c r="V57" i="107"/>
  <c r="V58" i="107"/>
  <c r="V59" i="107"/>
  <c r="V37" i="107"/>
  <c r="V46" i="107"/>
  <c r="V47" i="107"/>
  <c r="V48" i="107"/>
  <c r="V49" i="107"/>
  <c r="I39" i="108" s="1"/>
  <c r="V50" i="107"/>
  <c r="I40" i="108" s="1"/>
  <c r="V51" i="107"/>
  <c r="V52" i="107"/>
  <c r="V53" i="107"/>
  <c r="V54" i="107"/>
  <c r="V61" i="107"/>
  <c r="V62" i="107"/>
  <c r="V63" i="107"/>
  <c r="V65" i="107"/>
  <c r="V66" i="107"/>
  <c r="V67" i="107"/>
  <c r="V72" i="107"/>
  <c r="V73" i="107"/>
  <c r="V74" i="107"/>
  <c r="V75" i="107"/>
  <c r="V76" i="107"/>
  <c r="V77" i="107"/>
  <c r="V78" i="107"/>
  <c r="V79" i="107"/>
  <c r="V64" i="107"/>
  <c r="I46" i="108" s="1"/>
  <c r="V68" i="107"/>
  <c r="V70" i="107"/>
  <c r="V69" i="107"/>
  <c r="V71" i="107"/>
  <c r="I47" i="108" s="1"/>
  <c r="V87" i="107"/>
  <c r="V88" i="107"/>
  <c r="V89" i="107"/>
  <c r="V90" i="107"/>
  <c r="V81" i="107"/>
  <c r="V82" i="107"/>
  <c r="V83" i="107"/>
  <c r="V84" i="107"/>
  <c r="V85" i="107"/>
  <c r="V86" i="107"/>
  <c r="V92" i="107"/>
  <c r="V97" i="107"/>
  <c r="V99" i="107"/>
  <c r="V100" i="107"/>
  <c r="V101" i="107"/>
  <c r="V102" i="107"/>
  <c r="V93" i="107"/>
  <c r="V94" i="107"/>
  <c r="V95" i="107"/>
  <c r="V96" i="107"/>
  <c r="V98" i="107"/>
  <c r="I7" i="99"/>
  <c r="I5" i="99"/>
  <c r="I8" i="99"/>
  <c r="I9" i="99"/>
  <c r="I11" i="99"/>
  <c r="I12" i="99"/>
  <c r="I13" i="99"/>
  <c r="I14" i="99"/>
  <c r="I15" i="99"/>
  <c r="I17" i="99"/>
  <c r="I18" i="99"/>
  <c r="I19" i="99"/>
  <c r="I20" i="99"/>
  <c r="I21" i="99"/>
  <c r="I23" i="99"/>
  <c r="I24" i="99"/>
  <c r="I25" i="99"/>
  <c r="I26" i="99"/>
  <c r="I27" i="99"/>
  <c r="I28" i="99"/>
  <c r="I30" i="99"/>
  <c r="I31" i="99"/>
  <c r="I32" i="99"/>
  <c r="I33" i="99"/>
  <c r="I35" i="99"/>
  <c r="I36" i="99"/>
  <c r="I37" i="99"/>
  <c r="I38" i="99"/>
  <c r="I39" i="99"/>
  <c r="I40" i="99"/>
  <c r="I41" i="99"/>
  <c r="I43" i="99"/>
  <c r="I44" i="99"/>
  <c r="I45" i="99"/>
  <c r="I46" i="99"/>
  <c r="I47" i="99"/>
  <c r="I49" i="99"/>
  <c r="I50" i="99"/>
  <c r="I52" i="99"/>
  <c r="I53" i="99"/>
  <c r="I54" i="99"/>
  <c r="H19" i="122"/>
  <c r="H17" i="122"/>
  <c r="H6" i="122" s="1"/>
  <c r="H21" i="122"/>
  <c r="H23" i="122"/>
  <c r="H24" i="122"/>
  <c r="H30" i="122"/>
  <c r="H33" i="122"/>
  <c r="H35" i="122"/>
  <c r="H46" i="122"/>
  <c r="H20" i="122"/>
  <c r="H27" i="122"/>
  <c r="H32" i="122"/>
  <c r="H48" i="122"/>
  <c r="H49" i="122"/>
  <c r="H29" i="122"/>
  <c r="H31" i="122"/>
  <c r="H34" i="122"/>
  <c r="H36" i="122"/>
  <c r="H44" i="122"/>
  <c r="H47" i="122"/>
  <c r="H18" i="122"/>
  <c r="H50" i="122"/>
  <c r="H51" i="122"/>
  <c r="H52" i="122"/>
  <c r="H25" i="122"/>
  <c r="H28" i="122"/>
  <c r="H43" i="122"/>
  <c r="H45" i="122"/>
  <c r="H53" i="122"/>
  <c r="H54" i="122"/>
  <c r="H55" i="122"/>
  <c r="H26" i="122"/>
  <c r="H38" i="122"/>
  <c r="H41" i="122"/>
  <c r="H56" i="122"/>
  <c r="H57" i="122"/>
  <c r="H37" i="122"/>
  <c r="H39" i="122"/>
  <c r="H22" i="122"/>
  <c r="H40" i="122"/>
  <c r="H159" i="122"/>
  <c r="H170" i="122" s="1"/>
  <c r="H178" i="122" s="1"/>
  <c r="S8" i="107"/>
  <c r="H7" i="108" s="1"/>
  <c r="S6" i="107"/>
  <c r="H5" i="108" s="1"/>
  <c r="S9" i="107"/>
  <c r="H8" i="108" s="1"/>
  <c r="S10" i="107"/>
  <c r="H9" i="108" s="1"/>
  <c r="S11" i="107"/>
  <c r="H11" i="108" s="1"/>
  <c r="S12" i="107"/>
  <c r="H12" i="108" s="1"/>
  <c r="S13" i="107"/>
  <c r="H13" i="108" s="1"/>
  <c r="S14" i="107"/>
  <c r="H14" i="108" s="1"/>
  <c r="S15" i="107"/>
  <c r="H15" i="108" s="1"/>
  <c r="S17" i="107"/>
  <c r="H17" i="108" s="1"/>
  <c r="S18" i="107"/>
  <c r="H18" i="108" s="1"/>
  <c r="S21" i="107"/>
  <c r="H19" i="108" s="1"/>
  <c r="S32" i="107"/>
  <c r="H20" i="108" s="1"/>
  <c r="S33" i="107"/>
  <c r="H21" i="108" s="1"/>
  <c r="S19" i="107"/>
  <c r="S31" i="107"/>
  <c r="S20" i="107"/>
  <c r="S24" i="107"/>
  <c r="S22" i="107"/>
  <c r="H25" i="108" s="1"/>
  <c r="S23" i="107"/>
  <c r="H26" i="108" s="1"/>
  <c r="S25" i="107"/>
  <c r="S26" i="107"/>
  <c r="S27" i="107"/>
  <c r="S28" i="107"/>
  <c r="S29" i="107"/>
  <c r="S30" i="107"/>
  <c r="S35" i="107"/>
  <c r="S39" i="107"/>
  <c r="S40" i="107"/>
  <c r="S44" i="107"/>
  <c r="S56" i="107"/>
  <c r="S42" i="107"/>
  <c r="H31" i="108" s="1"/>
  <c r="S43" i="107"/>
  <c r="H32" i="108" s="1"/>
  <c r="S41" i="107"/>
  <c r="S45" i="107"/>
  <c r="S36" i="107"/>
  <c r="H35" i="108" s="1"/>
  <c r="S38" i="107"/>
  <c r="H36" i="108" s="1"/>
  <c r="S55" i="107"/>
  <c r="S57" i="107"/>
  <c r="S58" i="107"/>
  <c r="S59" i="107"/>
  <c r="S37" i="107"/>
  <c r="S46" i="107"/>
  <c r="S47" i="107"/>
  <c r="S48" i="107"/>
  <c r="S49" i="107"/>
  <c r="H39" i="108" s="1"/>
  <c r="S50" i="107"/>
  <c r="H40" i="108" s="1"/>
  <c r="S51" i="107"/>
  <c r="S52" i="107"/>
  <c r="S53" i="107"/>
  <c r="S54" i="107"/>
  <c r="S61" i="107"/>
  <c r="S62" i="107"/>
  <c r="S63" i="107"/>
  <c r="S65" i="107"/>
  <c r="S66" i="107"/>
  <c r="S67" i="107"/>
  <c r="S72" i="107"/>
  <c r="S73" i="107"/>
  <c r="S74" i="107"/>
  <c r="S75" i="107"/>
  <c r="S76" i="107"/>
  <c r="S77" i="107"/>
  <c r="S78" i="107"/>
  <c r="S79" i="107"/>
  <c r="S64" i="107"/>
  <c r="S68" i="107"/>
  <c r="S70" i="107"/>
  <c r="S69" i="107"/>
  <c r="S71" i="107"/>
  <c r="S87" i="107"/>
  <c r="S88" i="107"/>
  <c r="S89" i="107"/>
  <c r="S90" i="107"/>
  <c r="S81" i="107"/>
  <c r="S82" i="107"/>
  <c r="S83" i="107"/>
  <c r="S84" i="107"/>
  <c r="S85" i="107"/>
  <c r="S86" i="107"/>
  <c r="S92" i="107"/>
  <c r="S97" i="107"/>
  <c r="S99" i="107"/>
  <c r="S100" i="107"/>
  <c r="S101" i="107"/>
  <c r="S102" i="107"/>
  <c r="S93" i="107"/>
  <c r="S94" i="107"/>
  <c r="S95" i="107"/>
  <c r="S96" i="107"/>
  <c r="S98" i="107"/>
  <c r="H7" i="99"/>
  <c r="H5" i="99"/>
  <c r="H8" i="99"/>
  <c r="H9" i="99"/>
  <c r="H11" i="99"/>
  <c r="H12" i="99"/>
  <c r="H13" i="99"/>
  <c r="H14" i="99"/>
  <c r="H15" i="99"/>
  <c r="H17" i="99"/>
  <c r="H18" i="99"/>
  <c r="H19" i="99"/>
  <c r="H20" i="99"/>
  <c r="H21" i="99"/>
  <c r="H23" i="99"/>
  <c r="H24" i="99"/>
  <c r="H25" i="99"/>
  <c r="H26" i="99"/>
  <c r="H27" i="99"/>
  <c r="H28" i="99"/>
  <c r="H30" i="99"/>
  <c r="H31" i="99"/>
  <c r="H32" i="99"/>
  <c r="H33" i="99"/>
  <c r="H35" i="99"/>
  <c r="H36" i="99"/>
  <c r="H37" i="99"/>
  <c r="H38" i="99"/>
  <c r="H39" i="99"/>
  <c r="H40" i="99"/>
  <c r="H41" i="99"/>
  <c r="H43" i="99"/>
  <c r="H44" i="99"/>
  <c r="H45" i="99"/>
  <c r="H46" i="99"/>
  <c r="H47" i="99"/>
  <c r="H49" i="99"/>
  <c r="H50" i="99"/>
  <c r="H52" i="99"/>
  <c r="H53" i="99"/>
  <c r="H54" i="99"/>
  <c r="G19" i="122"/>
  <c r="G17" i="122"/>
  <c r="G6" i="122" s="1"/>
  <c r="G21" i="122"/>
  <c r="G23" i="122"/>
  <c r="G24" i="122"/>
  <c r="G30" i="122"/>
  <c r="G33" i="122"/>
  <c r="G35" i="122"/>
  <c r="G46" i="122"/>
  <c r="G20" i="122"/>
  <c r="G27" i="122"/>
  <c r="G32" i="122"/>
  <c r="G48" i="122"/>
  <c r="G49" i="122"/>
  <c r="G29" i="122"/>
  <c r="G31" i="122"/>
  <c r="G34" i="122"/>
  <c r="G36" i="122"/>
  <c r="G44" i="122"/>
  <c r="G47" i="122"/>
  <c r="G18" i="122"/>
  <c r="G50" i="122"/>
  <c r="G51" i="122"/>
  <c r="G52" i="122"/>
  <c r="G25" i="122"/>
  <c r="G28" i="122"/>
  <c r="G43" i="122"/>
  <c r="G45" i="122"/>
  <c r="G53" i="122"/>
  <c r="G54" i="122"/>
  <c r="G55" i="122"/>
  <c r="G26" i="122"/>
  <c r="G13" i="122" s="1"/>
  <c r="G38" i="122"/>
  <c r="G41" i="122"/>
  <c r="G56" i="122"/>
  <c r="G57" i="122"/>
  <c r="G37" i="122"/>
  <c r="G39" i="122"/>
  <c r="G22" i="122"/>
  <c r="G40" i="122"/>
  <c r="G159" i="122"/>
  <c r="G170" i="122" s="1"/>
  <c r="G178" i="122" s="1"/>
  <c r="U15" i="98"/>
  <c r="M19" i="86" s="1"/>
  <c r="U5" i="98"/>
  <c r="U6" i="98"/>
  <c r="M10" i="86" s="1"/>
  <c r="U7" i="98"/>
  <c r="M11" i="86" s="1"/>
  <c r="U8" i="98"/>
  <c r="M12" i="86" s="1"/>
  <c r="U9" i="98"/>
  <c r="M13" i="86" s="1"/>
  <c r="U10" i="98"/>
  <c r="M14" i="86" s="1"/>
  <c r="U11" i="98"/>
  <c r="M15" i="86" s="1"/>
  <c r="U12" i="98"/>
  <c r="M16" i="86" s="1"/>
  <c r="U13" i="98"/>
  <c r="M17" i="86" s="1"/>
  <c r="U16" i="98"/>
  <c r="M20" i="86" s="1"/>
  <c r="U17" i="98"/>
  <c r="M21" i="86" s="1"/>
  <c r="U19" i="98"/>
  <c r="M23" i="86" s="1"/>
  <c r="G127" i="206" s="1"/>
  <c r="G11" i="206" s="1"/>
  <c r="U20" i="98"/>
  <c r="M24" i="86" s="1"/>
  <c r="U21" i="98"/>
  <c r="M25" i="86" s="1"/>
  <c r="U22" i="98"/>
  <c r="M26" i="86" s="1"/>
  <c r="U23" i="98"/>
  <c r="U25" i="98"/>
  <c r="U26" i="98"/>
  <c r="M30" i="86" s="1"/>
  <c r="U27" i="98"/>
  <c r="M31" i="86" s="1"/>
  <c r="G135" i="206" s="1"/>
  <c r="G19" i="206" s="1"/>
  <c r="U28" i="98"/>
  <c r="M32" i="86" s="1"/>
  <c r="U29" i="98"/>
  <c r="M33" i="86" s="1"/>
  <c r="U31" i="98"/>
  <c r="M35" i="86" s="1"/>
  <c r="U32" i="98"/>
  <c r="M36" i="86" s="1"/>
  <c r="U33" i="98"/>
  <c r="M37" i="86" s="1"/>
  <c r="U34" i="98"/>
  <c r="M38" i="86" s="1"/>
  <c r="U35" i="98"/>
  <c r="M39" i="86" s="1"/>
  <c r="U36" i="98"/>
  <c r="M40" i="86" s="1"/>
  <c r="U38" i="98"/>
  <c r="M42" i="86" s="1"/>
  <c r="U39" i="98"/>
  <c r="M43" i="86" s="1"/>
  <c r="U40" i="98"/>
  <c r="M44" i="86" s="1"/>
  <c r="U41" i="98"/>
  <c r="M45" i="86" s="1"/>
  <c r="U43" i="98"/>
  <c r="U44" i="98"/>
  <c r="M48" i="86" s="1"/>
  <c r="U45" i="98"/>
  <c r="M49" i="86" s="1"/>
  <c r="U46" i="98"/>
  <c r="M50" i="86" s="1"/>
  <c r="U47" i="98"/>
  <c r="M51" i="86" s="1"/>
  <c r="U48" i="98"/>
  <c r="M52" i="86" s="1"/>
  <c r="U49" i="98"/>
  <c r="M53" i="86" s="1"/>
  <c r="U51" i="98"/>
  <c r="M55" i="86" s="1"/>
  <c r="U52" i="98"/>
  <c r="M56" i="86" s="1"/>
  <c r="U53" i="98"/>
  <c r="U54" i="98"/>
  <c r="M58" i="86" s="1"/>
  <c r="U55" i="98"/>
  <c r="M59" i="86" s="1"/>
  <c r="G163" i="206" s="1"/>
  <c r="G47" i="206" s="1"/>
  <c r="U57" i="98"/>
  <c r="M61" i="86" s="1"/>
  <c r="U58" i="98"/>
  <c r="M62" i="86" s="1"/>
  <c r="G166" i="206" s="1"/>
  <c r="G50" i="206" s="1"/>
  <c r="U60" i="98"/>
  <c r="M64" i="86" s="1"/>
  <c r="U61" i="98"/>
  <c r="U62" i="98"/>
  <c r="M66" i="86" s="1"/>
  <c r="P8" i="107"/>
  <c r="G7" i="108" s="1"/>
  <c r="P6" i="107"/>
  <c r="G5" i="108" s="1"/>
  <c r="P9" i="107"/>
  <c r="G8" i="108" s="1"/>
  <c r="P10" i="107"/>
  <c r="G9" i="108" s="1"/>
  <c r="P11" i="107"/>
  <c r="G11" i="108" s="1"/>
  <c r="P12" i="107"/>
  <c r="G12" i="108" s="1"/>
  <c r="P13" i="107"/>
  <c r="G13" i="108" s="1"/>
  <c r="P14" i="107"/>
  <c r="G14" i="108" s="1"/>
  <c r="P15" i="107"/>
  <c r="G15" i="108" s="1"/>
  <c r="P17" i="107"/>
  <c r="G17" i="108" s="1"/>
  <c r="P18" i="107"/>
  <c r="G18" i="108" s="1"/>
  <c r="P21" i="107"/>
  <c r="G19" i="108" s="1"/>
  <c r="P32" i="107"/>
  <c r="G20" i="108" s="1"/>
  <c r="P33" i="107"/>
  <c r="G21" i="108" s="1"/>
  <c r="P19" i="107"/>
  <c r="P31" i="107"/>
  <c r="P20" i="107"/>
  <c r="P24" i="107"/>
  <c r="P22" i="107"/>
  <c r="G25" i="108" s="1"/>
  <c r="P23" i="107"/>
  <c r="G26" i="108" s="1"/>
  <c r="P25" i="107"/>
  <c r="P26" i="107"/>
  <c r="P27" i="107"/>
  <c r="P28" i="107"/>
  <c r="P29" i="107"/>
  <c r="P30" i="107"/>
  <c r="G28" i="108" s="1"/>
  <c r="P35" i="107"/>
  <c r="P39" i="107"/>
  <c r="P40" i="107"/>
  <c r="P44" i="107"/>
  <c r="P56" i="107"/>
  <c r="G30" i="108" s="1"/>
  <c r="P42" i="107"/>
  <c r="G31" i="108" s="1"/>
  <c r="P43" i="107"/>
  <c r="G32" i="108" s="1"/>
  <c r="P41" i="107"/>
  <c r="P45" i="107"/>
  <c r="P36" i="107"/>
  <c r="G35" i="108" s="1"/>
  <c r="P38" i="107"/>
  <c r="G36" i="108" s="1"/>
  <c r="P55" i="107"/>
  <c r="P57" i="107"/>
  <c r="P58" i="107"/>
  <c r="P59" i="107"/>
  <c r="P37" i="107"/>
  <c r="P46" i="107"/>
  <c r="P47" i="107"/>
  <c r="P48" i="107"/>
  <c r="P49" i="107"/>
  <c r="G39" i="108" s="1"/>
  <c r="P50" i="107"/>
  <c r="G40" i="108" s="1"/>
  <c r="P51" i="107"/>
  <c r="P52" i="107"/>
  <c r="P53" i="107"/>
  <c r="P54" i="107"/>
  <c r="P61" i="107"/>
  <c r="P62" i="107"/>
  <c r="P63" i="107"/>
  <c r="P65" i="107"/>
  <c r="P66" i="107"/>
  <c r="P67" i="107"/>
  <c r="P72" i="107"/>
  <c r="P73" i="107"/>
  <c r="P74" i="107"/>
  <c r="P75" i="107"/>
  <c r="P76" i="107"/>
  <c r="P77" i="107"/>
  <c r="P78" i="107"/>
  <c r="P79" i="107"/>
  <c r="P64" i="107"/>
  <c r="P68" i="107"/>
  <c r="P70" i="107"/>
  <c r="P69" i="107"/>
  <c r="P71" i="107"/>
  <c r="P87" i="107"/>
  <c r="P88" i="107"/>
  <c r="P89" i="107"/>
  <c r="P90" i="107"/>
  <c r="P81" i="107"/>
  <c r="P82" i="107"/>
  <c r="P83" i="107"/>
  <c r="P84" i="107"/>
  <c r="P85" i="107"/>
  <c r="P86" i="107"/>
  <c r="P92" i="107"/>
  <c r="P97" i="107"/>
  <c r="P99" i="107"/>
  <c r="P100" i="107"/>
  <c r="P101" i="107"/>
  <c r="P102" i="107"/>
  <c r="P93" i="107"/>
  <c r="P94" i="107"/>
  <c r="P95" i="107"/>
  <c r="P96" i="107"/>
  <c r="P98" i="107"/>
  <c r="P6" i="101"/>
  <c r="G7" i="99" s="1"/>
  <c r="P4" i="101"/>
  <c r="G5" i="99" s="1"/>
  <c r="P7" i="101"/>
  <c r="G8" i="99" s="1"/>
  <c r="P8" i="101"/>
  <c r="G9" i="99" s="1"/>
  <c r="P9" i="101"/>
  <c r="G11" i="99" s="1"/>
  <c r="P10" i="101"/>
  <c r="G12" i="99" s="1"/>
  <c r="P11" i="101"/>
  <c r="G13" i="99" s="1"/>
  <c r="P12" i="101"/>
  <c r="G14" i="99" s="1"/>
  <c r="P13" i="101"/>
  <c r="G15" i="99" s="1"/>
  <c r="P15" i="101"/>
  <c r="G17" i="99" s="1"/>
  <c r="P16" i="101"/>
  <c r="G18" i="99" s="1"/>
  <c r="P19" i="101"/>
  <c r="G19" i="99" s="1"/>
  <c r="P30" i="101"/>
  <c r="G20" i="99" s="1"/>
  <c r="P31" i="101"/>
  <c r="G21" i="99" s="1"/>
  <c r="P17" i="101"/>
  <c r="P29" i="101"/>
  <c r="P18" i="101"/>
  <c r="P22" i="101"/>
  <c r="P20" i="101"/>
  <c r="G25" i="99" s="1"/>
  <c r="P21" i="101"/>
  <c r="G26" i="99" s="1"/>
  <c r="P23" i="101"/>
  <c r="P24" i="101"/>
  <c r="P25" i="101"/>
  <c r="P26" i="101"/>
  <c r="P27" i="101"/>
  <c r="P28" i="101"/>
  <c r="P33" i="101"/>
  <c r="P37" i="101"/>
  <c r="P38" i="101"/>
  <c r="P42" i="101"/>
  <c r="P54" i="101"/>
  <c r="P40" i="101"/>
  <c r="G31" i="99" s="1"/>
  <c r="P41" i="101"/>
  <c r="G32" i="99" s="1"/>
  <c r="P39" i="101"/>
  <c r="P43" i="101"/>
  <c r="P34" i="101"/>
  <c r="G35" i="99" s="1"/>
  <c r="P36" i="101"/>
  <c r="G36" i="99" s="1"/>
  <c r="P53" i="101"/>
  <c r="P55" i="101"/>
  <c r="P56" i="101"/>
  <c r="P57" i="101"/>
  <c r="P35" i="101"/>
  <c r="P44" i="101"/>
  <c r="P45" i="101"/>
  <c r="P46" i="101"/>
  <c r="P47" i="101"/>
  <c r="G39" i="99" s="1"/>
  <c r="P48" i="101"/>
  <c r="G40" i="99" s="1"/>
  <c r="P49" i="101"/>
  <c r="P50" i="101"/>
  <c r="P51" i="101"/>
  <c r="P52" i="101"/>
  <c r="P59" i="101"/>
  <c r="G43" i="99" s="1"/>
  <c r="P60" i="101"/>
  <c r="P61" i="101"/>
  <c r="P63" i="101"/>
  <c r="P64" i="101"/>
  <c r="P65" i="101"/>
  <c r="P70" i="101"/>
  <c r="P71" i="101"/>
  <c r="P72" i="101"/>
  <c r="P73" i="101"/>
  <c r="P74" i="101"/>
  <c r="P75" i="101"/>
  <c r="P76" i="101"/>
  <c r="P77" i="101"/>
  <c r="P62" i="101"/>
  <c r="P66" i="101"/>
  <c r="P68" i="101"/>
  <c r="P67" i="101"/>
  <c r="P69" i="101"/>
  <c r="P85" i="101"/>
  <c r="P86" i="101"/>
  <c r="P87" i="101"/>
  <c r="P88" i="101"/>
  <c r="P79" i="101"/>
  <c r="P80" i="101"/>
  <c r="P81" i="101"/>
  <c r="P82" i="101"/>
  <c r="P83" i="101"/>
  <c r="P84" i="101"/>
  <c r="P90" i="101"/>
  <c r="P95" i="101"/>
  <c r="P97" i="101"/>
  <c r="P98" i="101"/>
  <c r="P99" i="101"/>
  <c r="P100" i="101"/>
  <c r="P91" i="101"/>
  <c r="P92" i="101"/>
  <c r="P93" i="101"/>
  <c r="P94" i="101"/>
  <c r="P96" i="101"/>
  <c r="F19" i="122"/>
  <c r="F17" i="122"/>
  <c r="F6" i="122" s="1"/>
  <c r="F21" i="122"/>
  <c r="F23" i="122"/>
  <c r="F24" i="122"/>
  <c r="F30" i="122"/>
  <c r="F33" i="122"/>
  <c r="F35" i="122"/>
  <c r="F46" i="122"/>
  <c r="F8" i="122" s="1"/>
  <c r="F20" i="122"/>
  <c r="F27" i="122"/>
  <c r="F32" i="122"/>
  <c r="F48" i="122"/>
  <c r="F49" i="122"/>
  <c r="F29" i="122"/>
  <c r="F31" i="122"/>
  <c r="F34" i="122"/>
  <c r="F36" i="122"/>
  <c r="F44" i="122"/>
  <c r="F47" i="122"/>
  <c r="F18" i="122"/>
  <c r="F50" i="122"/>
  <c r="F51" i="122"/>
  <c r="F52" i="122"/>
  <c r="F25" i="122"/>
  <c r="F12" i="122" s="1"/>
  <c r="F28" i="122"/>
  <c r="F43" i="122"/>
  <c r="F45" i="122"/>
  <c r="F53" i="122"/>
  <c r="F54" i="122"/>
  <c r="F119" i="122"/>
  <c r="F55" i="122" s="1"/>
  <c r="F26" i="122"/>
  <c r="F38" i="122"/>
  <c r="F41" i="122"/>
  <c r="F56" i="122"/>
  <c r="F57" i="122"/>
  <c r="F37" i="122"/>
  <c r="F39" i="122"/>
  <c r="F22" i="122"/>
  <c r="F40" i="122"/>
  <c r="F159" i="122"/>
  <c r="T15" i="98"/>
  <c r="L19" i="86" s="1"/>
  <c r="T5" i="98"/>
  <c r="L9" i="86" s="1"/>
  <c r="T6" i="98"/>
  <c r="L10" i="86" s="1"/>
  <c r="T7" i="98"/>
  <c r="T8" i="98"/>
  <c r="L12" i="86" s="1"/>
  <c r="T9" i="98"/>
  <c r="L13" i="86" s="1"/>
  <c r="T10" i="98"/>
  <c r="L14" i="86" s="1"/>
  <c r="T11" i="98"/>
  <c r="T12" i="98"/>
  <c r="L16" i="86" s="1"/>
  <c r="T13" i="98"/>
  <c r="L17" i="86" s="1"/>
  <c r="T16" i="98"/>
  <c r="L20" i="86" s="1"/>
  <c r="T17" i="98"/>
  <c r="T19" i="98"/>
  <c r="T20" i="98"/>
  <c r="L24" i="86" s="1"/>
  <c r="T21" i="98"/>
  <c r="L25" i="86" s="1"/>
  <c r="T22" i="98"/>
  <c r="T23" i="98"/>
  <c r="L27" i="86" s="1"/>
  <c r="T25" i="98"/>
  <c r="L29" i="86" s="1"/>
  <c r="T26" i="98"/>
  <c r="L30" i="86" s="1"/>
  <c r="T27" i="98"/>
  <c r="L31" i="86" s="1"/>
  <c r="T28" i="98"/>
  <c r="L32" i="86" s="1"/>
  <c r="T29" i="98"/>
  <c r="L33" i="86" s="1"/>
  <c r="T31" i="98"/>
  <c r="L35" i="86" s="1"/>
  <c r="T32" i="98"/>
  <c r="L36" i="86" s="1"/>
  <c r="T33" i="98"/>
  <c r="L37" i="86" s="1"/>
  <c r="T34" i="98"/>
  <c r="T35" i="98"/>
  <c r="L39" i="86" s="1"/>
  <c r="T36" i="98"/>
  <c r="L40" i="86" s="1"/>
  <c r="T38" i="98"/>
  <c r="L42" i="86" s="1"/>
  <c r="T39" i="98"/>
  <c r="L43" i="86" s="1"/>
  <c r="F147" i="206" s="1"/>
  <c r="F31" i="206" s="1"/>
  <c r="T40" i="98"/>
  <c r="T41" i="98"/>
  <c r="L45" i="86" s="1"/>
  <c r="T43" i="98"/>
  <c r="L47" i="86" s="1"/>
  <c r="T44" i="98"/>
  <c r="L48" i="86" s="1"/>
  <c r="T45" i="98"/>
  <c r="L49" i="86" s="1"/>
  <c r="T46" i="98"/>
  <c r="L50" i="86" s="1"/>
  <c r="T47" i="98"/>
  <c r="L51" i="86" s="1"/>
  <c r="T48" i="98"/>
  <c r="T49" i="98"/>
  <c r="L53" i="86" s="1"/>
  <c r="T51" i="98"/>
  <c r="L55" i="86" s="1"/>
  <c r="T52" i="98"/>
  <c r="L56" i="86" s="1"/>
  <c r="T53" i="98"/>
  <c r="L57" i="86" s="1"/>
  <c r="T54" i="98"/>
  <c r="L58" i="86" s="1"/>
  <c r="T55" i="98"/>
  <c r="T57" i="98"/>
  <c r="T58" i="98"/>
  <c r="L62" i="86" s="1"/>
  <c r="T60" i="98"/>
  <c r="T61" i="98"/>
  <c r="L65" i="86" s="1"/>
  <c r="T62" i="98"/>
  <c r="L66" i="86" s="1"/>
  <c r="M8" i="107"/>
  <c r="F7" i="108" s="1"/>
  <c r="M6" i="107"/>
  <c r="F5" i="108" s="1"/>
  <c r="M9" i="107"/>
  <c r="F8" i="108" s="1"/>
  <c r="M10" i="107"/>
  <c r="F9" i="108" s="1"/>
  <c r="M11" i="107"/>
  <c r="F11" i="108" s="1"/>
  <c r="M12" i="107"/>
  <c r="F12" i="108" s="1"/>
  <c r="M13" i="107"/>
  <c r="F13" i="108" s="1"/>
  <c r="M14" i="107"/>
  <c r="F14" i="108" s="1"/>
  <c r="M15" i="107"/>
  <c r="F15" i="108" s="1"/>
  <c r="M17" i="107"/>
  <c r="F17" i="108" s="1"/>
  <c r="M18" i="107"/>
  <c r="F18" i="108" s="1"/>
  <c r="M21" i="107"/>
  <c r="F19" i="108" s="1"/>
  <c r="M32" i="107"/>
  <c r="F20" i="108" s="1"/>
  <c r="M33" i="107"/>
  <c r="F21" i="108" s="1"/>
  <c r="M19" i="107"/>
  <c r="M31" i="107"/>
  <c r="M20" i="107"/>
  <c r="M24" i="107"/>
  <c r="M22" i="107"/>
  <c r="F25" i="108" s="1"/>
  <c r="M23" i="107"/>
  <c r="F26" i="108" s="1"/>
  <c r="M25" i="107"/>
  <c r="M26" i="107"/>
  <c r="M27" i="107"/>
  <c r="M28" i="107"/>
  <c r="M29" i="107"/>
  <c r="M30" i="107"/>
  <c r="M35" i="107"/>
  <c r="M39" i="107"/>
  <c r="M40" i="107"/>
  <c r="M44" i="107"/>
  <c r="M56" i="107"/>
  <c r="M42" i="107"/>
  <c r="F31" i="108" s="1"/>
  <c r="M43" i="107"/>
  <c r="F32" i="108" s="1"/>
  <c r="M41" i="107"/>
  <c r="M45" i="107"/>
  <c r="M36" i="107"/>
  <c r="F35" i="108" s="1"/>
  <c r="M38" i="107"/>
  <c r="F36" i="108" s="1"/>
  <c r="M55" i="107"/>
  <c r="M57" i="107"/>
  <c r="M58" i="107"/>
  <c r="M59" i="107"/>
  <c r="M37" i="107"/>
  <c r="M46" i="107"/>
  <c r="M47" i="107"/>
  <c r="M48" i="107"/>
  <c r="M49" i="107"/>
  <c r="F39" i="108" s="1"/>
  <c r="M50" i="107"/>
  <c r="F40" i="108" s="1"/>
  <c r="M51" i="107"/>
  <c r="M52" i="107"/>
  <c r="M53" i="107"/>
  <c r="M54" i="107"/>
  <c r="M61" i="107"/>
  <c r="M62" i="107"/>
  <c r="M63" i="107"/>
  <c r="M65" i="107"/>
  <c r="M66" i="107"/>
  <c r="M67" i="107"/>
  <c r="M72" i="107"/>
  <c r="M73" i="107"/>
  <c r="M74" i="107"/>
  <c r="M75" i="107"/>
  <c r="M76" i="107"/>
  <c r="M77" i="107"/>
  <c r="M78" i="107"/>
  <c r="M79" i="107"/>
  <c r="M64" i="107"/>
  <c r="M68" i="107"/>
  <c r="F46" i="108" s="1"/>
  <c r="M70" i="107"/>
  <c r="M69" i="107"/>
  <c r="M71" i="107"/>
  <c r="M87" i="107"/>
  <c r="M88" i="107"/>
  <c r="M89" i="107"/>
  <c r="M90" i="107"/>
  <c r="M81" i="107"/>
  <c r="M82" i="107"/>
  <c r="M83" i="107"/>
  <c r="M84" i="107"/>
  <c r="M85" i="107"/>
  <c r="M86" i="107"/>
  <c r="M92" i="107"/>
  <c r="M97" i="107"/>
  <c r="M99" i="107"/>
  <c r="M100" i="107"/>
  <c r="M101" i="107"/>
  <c r="M102" i="107"/>
  <c r="M93" i="107"/>
  <c r="M94" i="107"/>
  <c r="M95" i="107"/>
  <c r="M96" i="107"/>
  <c r="M98" i="107"/>
  <c r="M6" i="101"/>
  <c r="F7" i="99" s="1"/>
  <c r="M4" i="101"/>
  <c r="F5" i="99" s="1"/>
  <c r="M7" i="101"/>
  <c r="F8" i="99" s="1"/>
  <c r="M8" i="101"/>
  <c r="F9" i="99" s="1"/>
  <c r="M9" i="101"/>
  <c r="F11" i="99" s="1"/>
  <c r="M10" i="101"/>
  <c r="F12" i="99" s="1"/>
  <c r="M11" i="101"/>
  <c r="F13" i="99" s="1"/>
  <c r="M12" i="101"/>
  <c r="F14" i="99" s="1"/>
  <c r="K13" i="101"/>
  <c r="M13" i="101" s="1"/>
  <c r="F15" i="99" s="1"/>
  <c r="M15" i="101"/>
  <c r="F17" i="99" s="1"/>
  <c r="M16" i="101"/>
  <c r="F18" i="99" s="1"/>
  <c r="M19" i="101"/>
  <c r="F19" i="99" s="1"/>
  <c r="M30" i="101"/>
  <c r="F20" i="99" s="1"/>
  <c r="M31" i="101"/>
  <c r="F21" i="99" s="1"/>
  <c r="M17" i="101"/>
  <c r="M29" i="101"/>
  <c r="M18" i="101"/>
  <c r="M22" i="101"/>
  <c r="F24" i="99" s="1"/>
  <c r="M20" i="101"/>
  <c r="F25" i="99" s="1"/>
  <c r="M21" i="101"/>
  <c r="F26" i="99" s="1"/>
  <c r="M23" i="101"/>
  <c r="M24" i="101"/>
  <c r="M25" i="101"/>
  <c r="M26" i="101"/>
  <c r="M27" i="101"/>
  <c r="M28" i="101"/>
  <c r="M33" i="101"/>
  <c r="M37" i="101"/>
  <c r="M38" i="101"/>
  <c r="M42" i="101"/>
  <c r="M54" i="101"/>
  <c r="M40" i="101"/>
  <c r="F31" i="99" s="1"/>
  <c r="M41" i="101"/>
  <c r="F32" i="99" s="1"/>
  <c r="M39" i="101"/>
  <c r="M43" i="101"/>
  <c r="M34" i="101"/>
  <c r="F35" i="99" s="1"/>
  <c r="M36" i="101"/>
  <c r="F36" i="99" s="1"/>
  <c r="M53" i="101"/>
  <c r="M55" i="101"/>
  <c r="M56" i="101"/>
  <c r="M57" i="101"/>
  <c r="M35" i="101"/>
  <c r="M44" i="101"/>
  <c r="M45" i="101"/>
  <c r="M46" i="101"/>
  <c r="M47" i="101"/>
  <c r="F39" i="99" s="1"/>
  <c r="M48" i="101"/>
  <c r="F40" i="99" s="1"/>
  <c r="M49" i="101"/>
  <c r="M50" i="101"/>
  <c r="M51" i="101"/>
  <c r="M52" i="101"/>
  <c r="M59" i="101"/>
  <c r="M60" i="101"/>
  <c r="M61" i="101"/>
  <c r="M63" i="101"/>
  <c r="M64" i="101"/>
  <c r="M65" i="101"/>
  <c r="M70" i="101"/>
  <c r="M71" i="101"/>
  <c r="M72" i="101"/>
  <c r="M73" i="101"/>
  <c r="M74" i="101"/>
  <c r="M75" i="101"/>
  <c r="M76" i="101"/>
  <c r="M77" i="101"/>
  <c r="M62" i="101"/>
  <c r="M66" i="101"/>
  <c r="M68" i="101"/>
  <c r="M67" i="101"/>
  <c r="M69" i="101"/>
  <c r="M85" i="101"/>
  <c r="M86" i="101"/>
  <c r="M87" i="101"/>
  <c r="M88" i="101"/>
  <c r="M79" i="101"/>
  <c r="M80" i="101"/>
  <c r="M81" i="101"/>
  <c r="M82" i="101"/>
  <c r="M83" i="101"/>
  <c r="M84" i="101"/>
  <c r="M90" i="101"/>
  <c r="M95" i="101"/>
  <c r="M97" i="101"/>
  <c r="M98" i="101"/>
  <c r="M99" i="101"/>
  <c r="M100" i="101"/>
  <c r="M91" i="101"/>
  <c r="M92" i="101"/>
  <c r="M93" i="101"/>
  <c r="M94" i="101"/>
  <c r="M96" i="101"/>
  <c r="E19" i="122"/>
  <c r="E17" i="122"/>
  <c r="E21" i="122"/>
  <c r="E23" i="122"/>
  <c r="E24" i="122"/>
  <c r="E30" i="122"/>
  <c r="E33" i="122"/>
  <c r="E35" i="122"/>
  <c r="E46" i="122"/>
  <c r="E20" i="122"/>
  <c r="E27" i="122"/>
  <c r="E32" i="122"/>
  <c r="E48" i="122"/>
  <c r="E49" i="122"/>
  <c r="E29" i="122"/>
  <c r="E31" i="122"/>
  <c r="E34" i="122"/>
  <c r="E36" i="122"/>
  <c r="E44" i="122"/>
  <c r="E47" i="122"/>
  <c r="E18" i="122"/>
  <c r="E50" i="122"/>
  <c r="E51" i="122"/>
  <c r="E52" i="122"/>
  <c r="E25" i="122"/>
  <c r="E28" i="122"/>
  <c r="E43" i="122"/>
  <c r="E45" i="122"/>
  <c r="E53" i="122"/>
  <c r="E54" i="122"/>
  <c r="E119" i="122"/>
  <c r="E167" i="122" s="1"/>
  <c r="E175" i="122" s="1"/>
  <c r="E26" i="122"/>
  <c r="E38" i="122"/>
  <c r="E41" i="122"/>
  <c r="E56" i="122"/>
  <c r="E57" i="122"/>
  <c r="E37" i="122"/>
  <c r="E39" i="122"/>
  <c r="E22" i="122"/>
  <c r="E40" i="122"/>
  <c r="E42" i="122"/>
  <c r="S15" i="98"/>
  <c r="K19" i="86" s="1"/>
  <c r="S5" i="98"/>
  <c r="K9" i="86" s="1"/>
  <c r="S6" i="98"/>
  <c r="S7" i="98"/>
  <c r="K11" i="86" s="1"/>
  <c r="S8" i="98"/>
  <c r="K12" i="86" s="1"/>
  <c r="S9" i="98"/>
  <c r="K13" i="86" s="1"/>
  <c r="S10" i="98"/>
  <c r="K14" i="86" s="1"/>
  <c r="S11" i="98"/>
  <c r="K15" i="86" s="1"/>
  <c r="S12" i="98"/>
  <c r="K16" i="86" s="1"/>
  <c r="S13" i="98"/>
  <c r="K17" i="86" s="1"/>
  <c r="S16" i="98"/>
  <c r="S17" i="98"/>
  <c r="K21" i="86" s="1"/>
  <c r="S19" i="98"/>
  <c r="K23" i="86" s="1"/>
  <c r="S20" i="98"/>
  <c r="K24" i="86" s="1"/>
  <c r="S21" i="98"/>
  <c r="K25" i="86" s="1"/>
  <c r="S22" i="98"/>
  <c r="K26" i="86" s="1"/>
  <c r="E130" i="206" s="1"/>
  <c r="E14" i="206" s="1"/>
  <c r="S23" i="98"/>
  <c r="S25" i="98"/>
  <c r="K29" i="86" s="1"/>
  <c r="S26" i="98"/>
  <c r="K30" i="86" s="1"/>
  <c r="S27" i="98"/>
  <c r="K31" i="86" s="1"/>
  <c r="S28" i="98"/>
  <c r="K32" i="86" s="1"/>
  <c r="S29" i="98"/>
  <c r="K33" i="86" s="1"/>
  <c r="S31" i="98"/>
  <c r="S32" i="98"/>
  <c r="K36" i="86"/>
  <c r="S33" i="98"/>
  <c r="K37" i="86" s="1"/>
  <c r="S34" i="98"/>
  <c r="K38" i="86" s="1"/>
  <c r="S35" i="98"/>
  <c r="K39" i="86" s="1"/>
  <c r="S36" i="98"/>
  <c r="K40" i="86" s="1"/>
  <c r="S38" i="98"/>
  <c r="S39" i="98"/>
  <c r="K43" i="86" s="1"/>
  <c r="S40" i="98"/>
  <c r="K44" i="86" s="1"/>
  <c r="S41" i="98"/>
  <c r="K45" i="86" s="1"/>
  <c r="S43" i="98"/>
  <c r="K47" i="86" s="1"/>
  <c r="S44" i="98"/>
  <c r="K48" i="86" s="1"/>
  <c r="S45" i="98"/>
  <c r="K49" i="86" s="1"/>
  <c r="S46" i="98"/>
  <c r="K50" i="86" s="1"/>
  <c r="S47" i="98"/>
  <c r="K51" i="86" s="1"/>
  <c r="S48" i="98"/>
  <c r="K52" i="86" s="1"/>
  <c r="S49" i="98"/>
  <c r="K53" i="86" s="1"/>
  <c r="S51" i="98"/>
  <c r="S52" i="98"/>
  <c r="K56" i="86" s="1"/>
  <c r="S53" i="98"/>
  <c r="K57" i="86" s="1"/>
  <c r="S54" i="98"/>
  <c r="K58" i="86" s="1"/>
  <c r="S55" i="98"/>
  <c r="K59" i="86" s="1"/>
  <c r="S57" i="98"/>
  <c r="K61" i="86" s="1"/>
  <c r="S58" i="98"/>
  <c r="K62" i="86" s="1"/>
  <c r="S60" i="98"/>
  <c r="K64" i="86" s="1"/>
  <c r="S61" i="98"/>
  <c r="K65" i="86" s="1"/>
  <c r="S62" i="98"/>
  <c r="K66" i="86" s="1"/>
  <c r="J8" i="107"/>
  <c r="E7" i="108"/>
  <c r="J6" i="107"/>
  <c r="E5" i="108" s="1"/>
  <c r="J9" i="107"/>
  <c r="E8" i="108" s="1"/>
  <c r="J10" i="107"/>
  <c r="E9" i="108" s="1"/>
  <c r="J11" i="107"/>
  <c r="E11" i="108" s="1"/>
  <c r="J12" i="107"/>
  <c r="E12" i="108" s="1"/>
  <c r="J13" i="107"/>
  <c r="E13" i="108" s="1"/>
  <c r="J14" i="107"/>
  <c r="E14" i="108" s="1"/>
  <c r="J15" i="107"/>
  <c r="E15" i="108" s="1"/>
  <c r="J17" i="107"/>
  <c r="E17" i="108" s="1"/>
  <c r="J18" i="107"/>
  <c r="E18" i="108" s="1"/>
  <c r="J21" i="107"/>
  <c r="E19" i="108" s="1"/>
  <c r="J32" i="107"/>
  <c r="E20" i="108" s="1"/>
  <c r="J33" i="107"/>
  <c r="E21" i="108" s="1"/>
  <c r="J19" i="107"/>
  <c r="J31" i="107"/>
  <c r="J20" i="107"/>
  <c r="J24" i="107"/>
  <c r="J22" i="107"/>
  <c r="E25" i="108" s="1"/>
  <c r="J23" i="107"/>
  <c r="E26" i="108" s="1"/>
  <c r="J25" i="107"/>
  <c r="J26" i="107"/>
  <c r="J27" i="107"/>
  <c r="J28" i="107"/>
  <c r="J29" i="107"/>
  <c r="J30" i="107"/>
  <c r="J35" i="107"/>
  <c r="J39" i="107"/>
  <c r="J40" i="107"/>
  <c r="J44" i="107"/>
  <c r="J56" i="107"/>
  <c r="J42" i="107"/>
  <c r="E31" i="108" s="1"/>
  <c r="J43" i="107"/>
  <c r="E32" i="108" s="1"/>
  <c r="J41" i="107"/>
  <c r="J45" i="107"/>
  <c r="J36" i="107"/>
  <c r="E35" i="108" s="1"/>
  <c r="J38" i="107"/>
  <c r="E36" i="108"/>
  <c r="J55" i="107"/>
  <c r="J57" i="107"/>
  <c r="J58" i="107"/>
  <c r="J59" i="107"/>
  <c r="J37" i="107"/>
  <c r="J46" i="107"/>
  <c r="J47" i="107"/>
  <c r="J48" i="107"/>
  <c r="J49" i="107"/>
  <c r="E39" i="108" s="1"/>
  <c r="J50" i="107"/>
  <c r="E40" i="108" s="1"/>
  <c r="J51" i="107"/>
  <c r="J52" i="107"/>
  <c r="J53" i="107"/>
  <c r="J54" i="107"/>
  <c r="J61" i="107"/>
  <c r="J62" i="107"/>
  <c r="J63" i="107"/>
  <c r="J65" i="107"/>
  <c r="J66" i="107"/>
  <c r="J67" i="107"/>
  <c r="J72" i="107"/>
  <c r="J73" i="107"/>
  <c r="J74" i="107"/>
  <c r="J75" i="107"/>
  <c r="J76" i="107"/>
  <c r="J77" i="107"/>
  <c r="J78" i="107"/>
  <c r="J79" i="107"/>
  <c r="J64" i="107"/>
  <c r="J68" i="107"/>
  <c r="J70" i="107"/>
  <c r="J69" i="107"/>
  <c r="J71" i="107"/>
  <c r="J87" i="107"/>
  <c r="J88" i="107"/>
  <c r="J89" i="107"/>
  <c r="J90" i="107"/>
  <c r="J81" i="107"/>
  <c r="J82" i="107"/>
  <c r="J83" i="107"/>
  <c r="J84" i="107"/>
  <c r="J85" i="107"/>
  <c r="J86" i="107"/>
  <c r="J92" i="107"/>
  <c r="J97" i="107"/>
  <c r="J99" i="107"/>
  <c r="J100" i="107"/>
  <c r="J101" i="107"/>
  <c r="J102" i="107"/>
  <c r="J93" i="107"/>
  <c r="J94" i="107"/>
  <c r="J95" i="107"/>
  <c r="J96" i="107"/>
  <c r="J98" i="107"/>
  <c r="J6" i="101"/>
  <c r="E7" i="99" s="1"/>
  <c r="J4" i="101"/>
  <c r="E5" i="99" s="1"/>
  <c r="J7" i="101"/>
  <c r="E8" i="99" s="1"/>
  <c r="J8" i="101"/>
  <c r="E9" i="99" s="1"/>
  <c r="J9" i="101"/>
  <c r="E11" i="99" s="1"/>
  <c r="J10" i="101"/>
  <c r="E12" i="99" s="1"/>
  <c r="J11" i="101"/>
  <c r="E13" i="99" s="1"/>
  <c r="J12" i="101"/>
  <c r="E14" i="99" s="1"/>
  <c r="J13" i="101"/>
  <c r="E15" i="99" s="1"/>
  <c r="J15" i="101"/>
  <c r="E17" i="99" s="1"/>
  <c r="J16" i="101"/>
  <c r="E18" i="99" s="1"/>
  <c r="J19" i="101"/>
  <c r="E19" i="99" s="1"/>
  <c r="J30" i="101"/>
  <c r="E20" i="99" s="1"/>
  <c r="J31" i="101"/>
  <c r="E21" i="99" s="1"/>
  <c r="J17" i="101"/>
  <c r="J29" i="101"/>
  <c r="J18" i="101"/>
  <c r="J22" i="101"/>
  <c r="J20" i="101"/>
  <c r="E25" i="99" s="1"/>
  <c r="J21" i="101"/>
  <c r="E26" i="99" s="1"/>
  <c r="J23" i="101"/>
  <c r="J24" i="101"/>
  <c r="J25" i="101"/>
  <c r="J26" i="101"/>
  <c r="J27" i="101"/>
  <c r="J28" i="101"/>
  <c r="J33" i="101"/>
  <c r="J37" i="101"/>
  <c r="J38" i="101"/>
  <c r="J42" i="101"/>
  <c r="J54" i="101"/>
  <c r="J40" i="101"/>
  <c r="E31" i="99" s="1"/>
  <c r="J41" i="101"/>
  <c r="E32" i="99" s="1"/>
  <c r="J39" i="101"/>
  <c r="J43" i="101"/>
  <c r="J34" i="101"/>
  <c r="E35" i="99" s="1"/>
  <c r="J36" i="101"/>
  <c r="E36" i="99" s="1"/>
  <c r="J53" i="101"/>
  <c r="J55" i="101"/>
  <c r="J56" i="101"/>
  <c r="J57" i="101"/>
  <c r="J35" i="101"/>
  <c r="J44" i="101"/>
  <c r="J45" i="101"/>
  <c r="J46" i="101"/>
  <c r="J47" i="101"/>
  <c r="E39" i="99" s="1"/>
  <c r="J48" i="101"/>
  <c r="E40" i="99" s="1"/>
  <c r="J49" i="101"/>
  <c r="J50" i="101"/>
  <c r="J51" i="101"/>
  <c r="J52" i="101"/>
  <c r="J59" i="101"/>
  <c r="J60" i="101"/>
  <c r="J61" i="101"/>
  <c r="J63" i="101"/>
  <c r="J64" i="101"/>
  <c r="J65" i="101"/>
  <c r="J70" i="101"/>
  <c r="J71" i="101"/>
  <c r="J72" i="101"/>
  <c r="J73" i="101"/>
  <c r="J74" i="101"/>
  <c r="J75" i="101"/>
  <c r="J76" i="101"/>
  <c r="J77" i="101"/>
  <c r="J62" i="101"/>
  <c r="J66" i="101"/>
  <c r="J68" i="101"/>
  <c r="J67" i="101"/>
  <c r="J69" i="101"/>
  <c r="J85" i="101"/>
  <c r="J86" i="101"/>
  <c r="J87" i="101"/>
  <c r="J88" i="101"/>
  <c r="J79" i="101"/>
  <c r="J80" i="101"/>
  <c r="J81" i="101"/>
  <c r="J82" i="101"/>
  <c r="J83" i="101"/>
  <c r="J84" i="101"/>
  <c r="J90" i="101"/>
  <c r="J95" i="101"/>
  <c r="J97" i="101"/>
  <c r="J98" i="101"/>
  <c r="J99" i="101"/>
  <c r="J100" i="101"/>
  <c r="J91" i="101"/>
  <c r="J92" i="101"/>
  <c r="J93" i="101"/>
  <c r="J94" i="101"/>
  <c r="J96" i="101"/>
  <c r="D19" i="122"/>
  <c r="D17" i="122"/>
  <c r="D6" i="122" s="1"/>
  <c r="D21" i="122"/>
  <c r="D23" i="122"/>
  <c r="D24" i="122"/>
  <c r="D30" i="122"/>
  <c r="D33" i="122"/>
  <c r="D35" i="122"/>
  <c r="D46" i="122"/>
  <c r="D20" i="122"/>
  <c r="D27" i="122"/>
  <c r="D32" i="122"/>
  <c r="D48" i="122"/>
  <c r="D49" i="122"/>
  <c r="D29" i="122"/>
  <c r="D31" i="122"/>
  <c r="D34" i="122"/>
  <c r="D36" i="122"/>
  <c r="D44" i="122"/>
  <c r="D47" i="122"/>
  <c r="D18" i="122"/>
  <c r="D50" i="122"/>
  <c r="D51" i="122"/>
  <c r="D52" i="122"/>
  <c r="D25" i="122"/>
  <c r="D28" i="122"/>
  <c r="D43" i="122"/>
  <c r="D45" i="122"/>
  <c r="D53" i="122"/>
  <c r="D54" i="122"/>
  <c r="D55" i="122"/>
  <c r="D26" i="122"/>
  <c r="D38" i="122"/>
  <c r="D41" i="122"/>
  <c r="D56" i="122"/>
  <c r="D57" i="122"/>
  <c r="D37" i="122"/>
  <c r="D39" i="122"/>
  <c r="D22" i="122"/>
  <c r="D40" i="122"/>
  <c r="D42" i="122"/>
  <c r="R15" i="98"/>
  <c r="J19" i="86" s="1"/>
  <c r="R5" i="98"/>
  <c r="J9" i="86" s="1"/>
  <c r="R6" i="98"/>
  <c r="J10" i="86" s="1"/>
  <c r="R7" i="98"/>
  <c r="J11" i="86" s="1"/>
  <c r="R8" i="98"/>
  <c r="J12" i="86" s="1"/>
  <c r="R9" i="98"/>
  <c r="J13" i="86" s="1"/>
  <c r="R10" i="98"/>
  <c r="J14" i="86" s="1"/>
  <c r="R11" i="98"/>
  <c r="J15" i="86" s="1"/>
  <c r="R12" i="98"/>
  <c r="J16" i="86" s="1"/>
  <c r="R13" i="98"/>
  <c r="J17" i="86" s="1"/>
  <c r="R16" i="98"/>
  <c r="J20" i="86" s="1"/>
  <c r="R17" i="98"/>
  <c r="J21" i="86" s="1"/>
  <c r="D125" i="206" s="1"/>
  <c r="D9" i="206" s="1"/>
  <c r="R19" i="98"/>
  <c r="J23" i="86" s="1"/>
  <c r="R20" i="98"/>
  <c r="J24" i="86" s="1"/>
  <c r="R21" i="98"/>
  <c r="J25" i="86" s="1"/>
  <c r="D129" i="206" s="1"/>
  <c r="D13" i="206" s="1"/>
  <c r="R22" i="98"/>
  <c r="J26" i="86" s="1"/>
  <c r="R23" i="98"/>
  <c r="J27" i="86" s="1"/>
  <c r="R25" i="98"/>
  <c r="R26" i="98"/>
  <c r="J30" i="86" s="1"/>
  <c r="R27" i="98"/>
  <c r="R28" i="98"/>
  <c r="R29" i="98"/>
  <c r="J33" i="86" s="1"/>
  <c r="R31" i="98"/>
  <c r="J35" i="86" s="1"/>
  <c r="R32" i="98"/>
  <c r="J36" i="86" s="1"/>
  <c r="R33" i="98"/>
  <c r="J37" i="86" s="1"/>
  <c r="R34" i="98"/>
  <c r="J38" i="86" s="1"/>
  <c r="R35" i="98"/>
  <c r="J39" i="86" s="1"/>
  <c r="R36" i="98"/>
  <c r="J40" i="86" s="1"/>
  <c r="R38" i="98"/>
  <c r="R39" i="98"/>
  <c r="J43" i="86" s="1"/>
  <c r="R40" i="98"/>
  <c r="J44" i="86" s="1"/>
  <c r="D148" i="206" s="1"/>
  <c r="D32" i="206" s="1"/>
  <c r="R41" i="98"/>
  <c r="J45" i="86" s="1"/>
  <c r="R43" i="98"/>
  <c r="J47" i="86" s="1"/>
  <c r="R44" i="98"/>
  <c r="J48" i="86" s="1"/>
  <c r="R45" i="98"/>
  <c r="J49" i="86" s="1"/>
  <c r="R46" i="98"/>
  <c r="J50" i="86" s="1"/>
  <c r="R47" i="98"/>
  <c r="J51" i="86" s="1"/>
  <c r="R48" i="98"/>
  <c r="J52" i="86" s="1"/>
  <c r="R49" i="98"/>
  <c r="J53" i="86" s="1"/>
  <c r="R51" i="98"/>
  <c r="R52" i="98"/>
  <c r="J56" i="86" s="1"/>
  <c r="R53" i="98"/>
  <c r="J57" i="86" s="1"/>
  <c r="R54" i="98"/>
  <c r="J58" i="86" s="1"/>
  <c r="R55" i="98"/>
  <c r="J59" i="86" s="1"/>
  <c r="R57" i="98"/>
  <c r="R58" i="98"/>
  <c r="J62" i="86" s="1"/>
  <c r="R60" i="98"/>
  <c r="J64" i="86" s="1"/>
  <c r="R61" i="98"/>
  <c r="J65" i="86" s="1"/>
  <c r="R62" i="98"/>
  <c r="J66" i="86" s="1"/>
  <c r="G8" i="107"/>
  <c r="D7" i="108" s="1"/>
  <c r="G6" i="107"/>
  <c r="D5" i="108" s="1"/>
  <c r="G9" i="107"/>
  <c r="D8" i="108" s="1"/>
  <c r="G10" i="107"/>
  <c r="D9" i="108" s="1"/>
  <c r="G11" i="107"/>
  <c r="D11" i="108" s="1"/>
  <c r="G12" i="107"/>
  <c r="D12" i="108" s="1"/>
  <c r="G13" i="107"/>
  <c r="D13" i="108" s="1"/>
  <c r="G14" i="107"/>
  <c r="D14" i="108" s="1"/>
  <c r="G15" i="107"/>
  <c r="D15" i="108" s="1"/>
  <c r="G17" i="107"/>
  <c r="D17" i="108" s="1"/>
  <c r="G18" i="107"/>
  <c r="D18" i="108" s="1"/>
  <c r="G21" i="107"/>
  <c r="D19" i="108" s="1"/>
  <c r="G32" i="107"/>
  <c r="D20" i="108" s="1"/>
  <c r="G33" i="107"/>
  <c r="D21" i="108" s="1"/>
  <c r="G19" i="107"/>
  <c r="G31" i="107"/>
  <c r="G20" i="107"/>
  <c r="G24" i="107"/>
  <c r="G22" i="107"/>
  <c r="D25" i="108" s="1"/>
  <c r="G23" i="107"/>
  <c r="D26" i="108" s="1"/>
  <c r="G25" i="107"/>
  <c r="G26" i="107"/>
  <c r="G27" i="107"/>
  <c r="G28" i="107"/>
  <c r="G29" i="107"/>
  <c r="G30" i="107"/>
  <c r="G35" i="107"/>
  <c r="G39" i="107"/>
  <c r="G40" i="107"/>
  <c r="G44" i="107"/>
  <c r="G56" i="107"/>
  <c r="G42" i="107"/>
  <c r="D31" i="108" s="1"/>
  <c r="G43" i="107"/>
  <c r="D32" i="108" s="1"/>
  <c r="G41" i="107"/>
  <c r="G45" i="107"/>
  <c r="G36" i="107"/>
  <c r="D35" i="108" s="1"/>
  <c r="G38" i="107"/>
  <c r="D36" i="108" s="1"/>
  <c r="G55" i="107"/>
  <c r="G57" i="107"/>
  <c r="G58" i="107"/>
  <c r="G59" i="107"/>
  <c r="G37" i="107"/>
  <c r="G46" i="107"/>
  <c r="G47" i="107"/>
  <c r="G48" i="107"/>
  <c r="G49" i="107"/>
  <c r="D39" i="108" s="1"/>
  <c r="G50" i="107"/>
  <c r="D40" i="108" s="1"/>
  <c r="G51" i="107"/>
  <c r="G52" i="107"/>
  <c r="G53" i="107"/>
  <c r="G54" i="107"/>
  <c r="F61" i="107"/>
  <c r="G62" i="107"/>
  <c r="G63" i="107"/>
  <c r="G65" i="107"/>
  <c r="G66" i="107"/>
  <c r="G67" i="107"/>
  <c r="G72" i="107"/>
  <c r="G73" i="107"/>
  <c r="G74" i="107"/>
  <c r="G75" i="107"/>
  <c r="G76" i="107"/>
  <c r="G77" i="107"/>
  <c r="G78" i="107"/>
  <c r="G79" i="107"/>
  <c r="G64" i="107"/>
  <c r="G68" i="107"/>
  <c r="G70" i="107"/>
  <c r="G69" i="107"/>
  <c r="G71" i="107"/>
  <c r="G87" i="107"/>
  <c r="G88" i="107"/>
  <c r="G89" i="107"/>
  <c r="G90" i="107"/>
  <c r="G81" i="107"/>
  <c r="G82" i="107"/>
  <c r="G83" i="107"/>
  <c r="G84" i="107"/>
  <c r="G85" i="107"/>
  <c r="G86" i="107"/>
  <c r="G92" i="107"/>
  <c r="G97" i="107"/>
  <c r="G99" i="107"/>
  <c r="G100" i="107"/>
  <c r="G101" i="107"/>
  <c r="G102" i="107"/>
  <c r="G93" i="107"/>
  <c r="G94" i="107"/>
  <c r="G95" i="107"/>
  <c r="G96" i="107"/>
  <c r="G98" i="107"/>
  <c r="G6" i="101"/>
  <c r="D7" i="99" s="1"/>
  <c r="G4" i="101"/>
  <c r="D5" i="99" s="1"/>
  <c r="G7" i="101"/>
  <c r="D8" i="99" s="1"/>
  <c r="G8" i="101"/>
  <c r="D9" i="99" s="1"/>
  <c r="G9" i="101"/>
  <c r="D11" i="99" s="1"/>
  <c r="G10" i="101"/>
  <c r="D12" i="99" s="1"/>
  <c r="G11" i="101"/>
  <c r="D13" i="99" s="1"/>
  <c r="G12" i="101"/>
  <c r="D14" i="99" s="1"/>
  <c r="G13" i="101"/>
  <c r="D15" i="99" s="1"/>
  <c r="G15" i="101"/>
  <c r="D17" i="99" s="1"/>
  <c r="G16" i="101"/>
  <c r="D18" i="99" s="1"/>
  <c r="G19" i="101"/>
  <c r="D19" i="99" s="1"/>
  <c r="G30" i="101"/>
  <c r="D20" i="99" s="1"/>
  <c r="G31" i="101"/>
  <c r="D21" i="99" s="1"/>
  <c r="G17" i="101"/>
  <c r="G29" i="101"/>
  <c r="G18" i="101"/>
  <c r="G22" i="101"/>
  <c r="G20" i="101"/>
  <c r="D25" i="99" s="1"/>
  <c r="G21" i="101"/>
  <c r="D26" i="99" s="1"/>
  <c r="G23" i="101"/>
  <c r="G24" i="101"/>
  <c r="G25" i="101"/>
  <c r="G26" i="101"/>
  <c r="G27" i="101"/>
  <c r="G28" i="101"/>
  <c r="G33" i="101"/>
  <c r="G37" i="101"/>
  <c r="G38" i="101"/>
  <c r="G42" i="101"/>
  <c r="G54" i="101"/>
  <c r="G40" i="101"/>
  <c r="D31" i="99" s="1"/>
  <c r="G41" i="101"/>
  <c r="D32" i="99" s="1"/>
  <c r="G39" i="101"/>
  <c r="G43" i="101"/>
  <c r="G34" i="101"/>
  <c r="D35" i="99" s="1"/>
  <c r="G36" i="101"/>
  <c r="D36" i="99" s="1"/>
  <c r="G53" i="101"/>
  <c r="G55" i="101"/>
  <c r="G56" i="101"/>
  <c r="G57" i="101"/>
  <c r="G35" i="101"/>
  <c r="G44" i="101"/>
  <c r="G45" i="101"/>
  <c r="G46" i="101"/>
  <c r="G47" i="101"/>
  <c r="D39" i="99" s="1"/>
  <c r="G48" i="101"/>
  <c r="D40" i="99" s="1"/>
  <c r="G49" i="101"/>
  <c r="G50" i="101"/>
  <c r="G51" i="101"/>
  <c r="G52" i="101"/>
  <c r="G59" i="101"/>
  <c r="G60" i="101"/>
  <c r="G61" i="101"/>
  <c r="G63" i="101"/>
  <c r="G64" i="101"/>
  <c r="G65" i="101"/>
  <c r="G70" i="101"/>
  <c r="G71" i="101"/>
  <c r="G72" i="101"/>
  <c r="G73" i="101"/>
  <c r="G74" i="101"/>
  <c r="G75" i="101"/>
  <c r="G76" i="101"/>
  <c r="G77" i="101"/>
  <c r="G62" i="101"/>
  <c r="G66" i="101"/>
  <c r="G68" i="101"/>
  <c r="G67" i="101"/>
  <c r="G69" i="101"/>
  <c r="G85" i="101"/>
  <c r="G86" i="101"/>
  <c r="G87" i="101"/>
  <c r="G88" i="101"/>
  <c r="G79" i="101"/>
  <c r="G80" i="101"/>
  <c r="G81" i="101"/>
  <c r="G82" i="101"/>
  <c r="G83" i="101"/>
  <c r="G84" i="101"/>
  <c r="G90" i="101"/>
  <c r="G95" i="101"/>
  <c r="G97" i="101"/>
  <c r="G98" i="101"/>
  <c r="G99" i="101"/>
  <c r="G100" i="101"/>
  <c r="G91" i="101"/>
  <c r="G92" i="101"/>
  <c r="G93" i="101"/>
  <c r="G94" i="101"/>
  <c r="G96" i="101"/>
  <c r="C19" i="122"/>
  <c r="C17" i="122"/>
  <c r="C6" i="122" s="1"/>
  <c r="C21" i="122"/>
  <c r="C23" i="122"/>
  <c r="C24" i="122"/>
  <c r="C30" i="122"/>
  <c r="C33" i="122"/>
  <c r="C35" i="122"/>
  <c r="C46" i="122"/>
  <c r="C20" i="122"/>
  <c r="C27" i="122"/>
  <c r="C32" i="122"/>
  <c r="C48" i="122"/>
  <c r="C49" i="122"/>
  <c r="C29" i="122"/>
  <c r="C31" i="122"/>
  <c r="C34" i="122"/>
  <c r="C36" i="122"/>
  <c r="C44" i="122"/>
  <c r="C47" i="122"/>
  <c r="C18" i="122"/>
  <c r="C50" i="122"/>
  <c r="C51" i="122"/>
  <c r="C52" i="122"/>
  <c r="C25" i="122"/>
  <c r="C28" i="122"/>
  <c r="C43" i="122"/>
  <c r="C45" i="122"/>
  <c r="C53" i="122"/>
  <c r="C54" i="122"/>
  <c r="C55" i="122"/>
  <c r="C26" i="122"/>
  <c r="C38" i="122"/>
  <c r="C41" i="122"/>
  <c r="C56" i="122"/>
  <c r="C57" i="122"/>
  <c r="C37" i="122"/>
  <c r="C39" i="122"/>
  <c r="C22" i="122"/>
  <c r="C40" i="122"/>
  <c r="C42" i="122"/>
  <c r="D8" i="107"/>
  <c r="C7" i="108" s="1"/>
  <c r="D6" i="107"/>
  <c r="C5" i="108" s="1"/>
  <c r="D9" i="107"/>
  <c r="C8" i="108" s="1"/>
  <c r="D10" i="107"/>
  <c r="C9" i="108" s="1"/>
  <c r="D11" i="107"/>
  <c r="C11" i="108" s="1"/>
  <c r="D12" i="107"/>
  <c r="C12" i="108" s="1"/>
  <c r="D13" i="107"/>
  <c r="C13" i="108" s="1"/>
  <c r="D14" i="107"/>
  <c r="C14" i="108" s="1"/>
  <c r="D15" i="107"/>
  <c r="C15" i="108" s="1"/>
  <c r="D17" i="107"/>
  <c r="C17" i="108" s="1"/>
  <c r="D18" i="107"/>
  <c r="C18" i="108" s="1"/>
  <c r="D21" i="107"/>
  <c r="C19" i="108" s="1"/>
  <c r="D32" i="107"/>
  <c r="C20" i="108" s="1"/>
  <c r="D33" i="107"/>
  <c r="C21" i="108" s="1"/>
  <c r="D19" i="107"/>
  <c r="D31" i="107"/>
  <c r="D20" i="107"/>
  <c r="D24" i="107"/>
  <c r="D22" i="107"/>
  <c r="C25" i="108" s="1"/>
  <c r="D23" i="107"/>
  <c r="C26" i="108" s="1"/>
  <c r="D25" i="107"/>
  <c r="D26" i="107"/>
  <c r="D27" i="107"/>
  <c r="D28" i="107"/>
  <c r="D29" i="107"/>
  <c r="D30" i="107"/>
  <c r="C35" i="107"/>
  <c r="D39" i="107"/>
  <c r="D40" i="107"/>
  <c r="D44" i="107"/>
  <c r="D56" i="107"/>
  <c r="D42" i="107"/>
  <c r="C31" i="108" s="1"/>
  <c r="D43" i="107"/>
  <c r="C32" i="108" s="1"/>
  <c r="D41" i="107"/>
  <c r="D45" i="107"/>
  <c r="D36" i="107"/>
  <c r="C35" i="108" s="1"/>
  <c r="D38" i="107"/>
  <c r="C36" i="108" s="1"/>
  <c r="D55" i="107"/>
  <c r="D57" i="107"/>
  <c r="D58" i="107"/>
  <c r="D59" i="107"/>
  <c r="D37" i="107"/>
  <c r="D46" i="107"/>
  <c r="D47" i="107"/>
  <c r="D48" i="107"/>
  <c r="D49" i="107"/>
  <c r="C39" i="108" s="1"/>
  <c r="D50" i="107"/>
  <c r="C40" i="108" s="1"/>
  <c r="D51" i="107"/>
  <c r="D52" i="107"/>
  <c r="D53" i="107"/>
  <c r="D54" i="107"/>
  <c r="D61" i="107"/>
  <c r="D62" i="107"/>
  <c r="D63" i="107"/>
  <c r="D65" i="107"/>
  <c r="D66" i="107"/>
  <c r="D67" i="107"/>
  <c r="D72" i="107"/>
  <c r="D73" i="107"/>
  <c r="D74" i="107"/>
  <c r="D75" i="107"/>
  <c r="D76" i="107"/>
  <c r="D77" i="107"/>
  <c r="D78" i="107"/>
  <c r="D79" i="107"/>
  <c r="D64" i="107"/>
  <c r="D68" i="107"/>
  <c r="D70" i="107"/>
  <c r="D69" i="107"/>
  <c r="D71" i="107"/>
  <c r="D87" i="107"/>
  <c r="D88" i="107"/>
  <c r="D89" i="107"/>
  <c r="D90" i="107"/>
  <c r="D81" i="107"/>
  <c r="D82" i="107"/>
  <c r="D83" i="107"/>
  <c r="D84" i="107"/>
  <c r="D85" i="107"/>
  <c r="D86" i="107"/>
  <c r="D92" i="107"/>
  <c r="D97" i="107"/>
  <c r="D99" i="107"/>
  <c r="D100" i="107"/>
  <c r="D101" i="107"/>
  <c r="D102" i="107"/>
  <c r="D93" i="107"/>
  <c r="D94" i="107"/>
  <c r="D95" i="107"/>
  <c r="D96" i="107"/>
  <c r="D98" i="107"/>
  <c r="D6" i="101"/>
  <c r="C7" i="99" s="1"/>
  <c r="D4" i="101"/>
  <c r="C5" i="99" s="1"/>
  <c r="D7" i="101"/>
  <c r="C8" i="99" s="1"/>
  <c r="D8" i="101"/>
  <c r="C9" i="99" s="1"/>
  <c r="D9" i="101"/>
  <c r="C11" i="99" s="1"/>
  <c r="D10" i="101"/>
  <c r="C12" i="99" s="1"/>
  <c r="D11" i="101"/>
  <c r="C13" i="99"/>
  <c r="D12" i="101"/>
  <c r="C14" i="99" s="1"/>
  <c r="D13" i="101"/>
  <c r="C15" i="99" s="1"/>
  <c r="D15" i="101"/>
  <c r="C17" i="99" s="1"/>
  <c r="D16" i="101"/>
  <c r="C18" i="99" s="1"/>
  <c r="D19" i="101"/>
  <c r="C19" i="99" s="1"/>
  <c r="D30" i="101"/>
  <c r="C20" i="99" s="1"/>
  <c r="D31" i="101"/>
  <c r="C21" i="99" s="1"/>
  <c r="D17" i="101"/>
  <c r="D29" i="101"/>
  <c r="D18" i="101"/>
  <c r="D22" i="101"/>
  <c r="D20" i="101"/>
  <c r="C25" i="99" s="1"/>
  <c r="D21" i="101"/>
  <c r="C26" i="99" s="1"/>
  <c r="D23" i="101"/>
  <c r="D24" i="101"/>
  <c r="D25" i="101"/>
  <c r="D26" i="101"/>
  <c r="D27" i="101"/>
  <c r="D28" i="101"/>
  <c r="D33" i="101"/>
  <c r="D37" i="101"/>
  <c r="D38" i="101"/>
  <c r="D42" i="101"/>
  <c r="D54" i="101"/>
  <c r="D40" i="101"/>
  <c r="C31" i="99" s="1"/>
  <c r="D41" i="101"/>
  <c r="C32" i="99" s="1"/>
  <c r="D39" i="101"/>
  <c r="D43" i="101"/>
  <c r="D34" i="101"/>
  <c r="C35" i="99" s="1"/>
  <c r="D36" i="101"/>
  <c r="C36" i="99" s="1"/>
  <c r="D53" i="101"/>
  <c r="D55" i="101"/>
  <c r="D56" i="101"/>
  <c r="D57" i="101"/>
  <c r="D35" i="101"/>
  <c r="D44" i="101"/>
  <c r="D45" i="101"/>
  <c r="D46" i="101"/>
  <c r="D47" i="101"/>
  <c r="C39" i="99" s="1"/>
  <c r="D48" i="101"/>
  <c r="C40" i="99" s="1"/>
  <c r="D49" i="101"/>
  <c r="D50" i="101"/>
  <c r="D51" i="101"/>
  <c r="D52" i="101"/>
  <c r="D59" i="101"/>
  <c r="D60" i="101"/>
  <c r="D61" i="101"/>
  <c r="D63" i="101"/>
  <c r="D64" i="101"/>
  <c r="D65" i="101"/>
  <c r="D70" i="101"/>
  <c r="D71" i="101"/>
  <c r="D72" i="101"/>
  <c r="D73" i="101"/>
  <c r="D74" i="101"/>
  <c r="D75" i="101"/>
  <c r="D76" i="101"/>
  <c r="D77" i="101"/>
  <c r="D62" i="101"/>
  <c r="D66" i="101"/>
  <c r="D68" i="101"/>
  <c r="D67" i="101"/>
  <c r="D69" i="101"/>
  <c r="D85" i="101"/>
  <c r="D86" i="101"/>
  <c r="D87" i="101"/>
  <c r="D88" i="101"/>
  <c r="D79" i="101"/>
  <c r="D80" i="101"/>
  <c r="D81" i="101"/>
  <c r="D82" i="101"/>
  <c r="D83" i="101"/>
  <c r="D84" i="101"/>
  <c r="D90" i="101"/>
  <c r="D95" i="101"/>
  <c r="D97" i="101"/>
  <c r="D98" i="101"/>
  <c r="D99" i="101"/>
  <c r="D100" i="101"/>
  <c r="D91" i="101"/>
  <c r="D92" i="101"/>
  <c r="D93" i="101"/>
  <c r="D94" i="101"/>
  <c r="D96" i="101"/>
  <c r="T5" i="156"/>
  <c r="Q6" i="156"/>
  <c r="N7" i="156"/>
  <c r="Q53" i="155"/>
  <c r="N53" i="155"/>
  <c r="K53" i="155"/>
  <c r="H53" i="155"/>
  <c r="E53" i="155"/>
  <c r="Q50" i="155"/>
  <c r="N50" i="155"/>
  <c r="K50" i="155"/>
  <c r="H50" i="155"/>
  <c r="E50" i="155"/>
  <c r="Q44" i="155"/>
  <c r="N44" i="155"/>
  <c r="K44" i="155"/>
  <c r="H44" i="155"/>
  <c r="E44" i="155"/>
  <c r="Q36" i="155"/>
  <c r="N36" i="155"/>
  <c r="K36" i="155"/>
  <c r="H36" i="155"/>
  <c r="E36" i="155"/>
  <c r="Q31" i="155"/>
  <c r="N31" i="155"/>
  <c r="K31" i="155"/>
  <c r="H31" i="155"/>
  <c r="E31" i="155"/>
  <c r="Q24" i="155"/>
  <c r="N24" i="155"/>
  <c r="K24" i="155"/>
  <c r="H24" i="155"/>
  <c r="E24" i="155"/>
  <c r="Q18" i="155"/>
  <c r="N18" i="155"/>
  <c r="K18" i="155"/>
  <c r="H18" i="155"/>
  <c r="E18" i="155"/>
  <c r="Q12" i="155"/>
  <c r="N12" i="155"/>
  <c r="K12" i="155"/>
  <c r="H12" i="155"/>
  <c r="E12" i="155"/>
  <c r="Q8" i="155"/>
  <c r="N8" i="155"/>
  <c r="K8" i="155"/>
  <c r="H8" i="155"/>
  <c r="E8" i="155"/>
  <c r="Q6" i="155"/>
  <c r="N6" i="155"/>
  <c r="K6" i="155"/>
  <c r="H6" i="155"/>
  <c r="E6" i="155"/>
  <c r="U6" i="122"/>
  <c r="U8" i="122"/>
  <c r="U9" i="122"/>
  <c r="U10" i="122"/>
  <c r="U11" i="122"/>
  <c r="U12" i="122"/>
  <c r="U13" i="122"/>
  <c r="U14" i="122"/>
  <c r="U15" i="122"/>
  <c r="AL6" i="107"/>
  <c r="AO6" i="107"/>
  <c r="AT6" i="107"/>
  <c r="AY6" i="107"/>
  <c r="AL8" i="107"/>
  <c r="AO8" i="107"/>
  <c r="AT8" i="107"/>
  <c r="AY8" i="107"/>
  <c r="AL12" i="107"/>
  <c r="AO12" i="107"/>
  <c r="AT12" i="107"/>
  <c r="AY12" i="107"/>
  <c r="AL18" i="107"/>
  <c r="AO18" i="107"/>
  <c r="AT18" i="107"/>
  <c r="AY18" i="107"/>
  <c r="AL24" i="107"/>
  <c r="AO24" i="107"/>
  <c r="AT24" i="107"/>
  <c r="AY24" i="107"/>
  <c r="AL37" i="107"/>
  <c r="AO37" i="107"/>
  <c r="AT37" i="107"/>
  <c r="AY37" i="107"/>
  <c r="AL46" i="107"/>
  <c r="AO46" i="107"/>
  <c r="AT46" i="107"/>
  <c r="AY46" i="107"/>
  <c r="AY61" i="107"/>
  <c r="AL64" i="107"/>
  <c r="AO64" i="107"/>
  <c r="AT64" i="107"/>
  <c r="AY68" i="107"/>
  <c r="AY71" i="107"/>
  <c r="AL84" i="107"/>
  <c r="AO84" i="107"/>
  <c r="AT84" i="107"/>
  <c r="AL92" i="107"/>
  <c r="AO92" i="107"/>
  <c r="AT92" i="107"/>
  <c r="D165" i="122"/>
  <c r="D173" i="122" s="1"/>
  <c r="E165" i="122"/>
  <c r="F165" i="122"/>
  <c r="F173" i="122" s="1"/>
  <c r="G165" i="122"/>
  <c r="G173" i="122" s="1"/>
  <c r="H165" i="122"/>
  <c r="H173" i="122" s="1"/>
  <c r="I165" i="122"/>
  <c r="I173" i="122" s="1"/>
  <c r="J165" i="122"/>
  <c r="J173" i="122" s="1"/>
  <c r="K165" i="122"/>
  <c r="K173" i="122" s="1"/>
  <c r="L165" i="122"/>
  <c r="M165" i="122"/>
  <c r="N165" i="122"/>
  <c r="N173" i="122" s="1"/>
  <c r="C165" i="122"/>
  <c r="C173" i="122" s="1"/>
  <c r="D164" i="122"/>
  <c r="E164" i="122"/>
  <c r="F164" i="122"/>
  <c r="G164" i="122"/>
  <c r="H164" i="122"/>
  <c r="I164" i="122"/>
  <c r="J164" i="122"/>
  <c r="K164" i="122"/>
  <c r="L164" i="122"/>
  <c r="M164" i="122"/>
  <c r="N164" i="122"/>
  <c r="O164" i="122"/>
  <c r="P164" i="122"/>
  <c r="Q164" i="122"/>
  <c r="D166" i="122"/>
  <c r="E166" i="122"/>
  <c r="E174" i="122" s="1"/>
  <c r="F166" i="122"/>
  <c r="G166" i="122"/>
  <c r="G174" i="122" s="1"/>
  <c r="H166" i="122"/>
  <c r="H174" i="122" s="1"/>
  <c r="I166" i="122"/>
  <c r="I174" i="122" s="1"/>
  <c r="J166" i="122"/>
  <c r="J174" i="122" s="1"/>
  <c r="L166" i="122"/>
  <c r="M166" i="122"/>
  <c r="N166" i="122"/>
  <c r="O166" i="122"/>
  <c r="P166" i="122"/>
  <c r="Q166" i="122"/>
  <c r="D167" i="122"/>
  <c r="D175" i="122" s="1"/>
  <c r="G167" i="122"/>
  <c r="G175" i="122" s="1"/>
  <c r="H167" i="122"/>
  <c r="H175" i="122" s="1"/>
  <c r="I167" i="122"/>
  <c r="I175" i="122" s="1"/>
  <c r="J167" i="122"/>
  <c r="J175" i="122" s="1"/>
  <c r="K167" i="122"/>
  <c r="K175" i="122" s="1"/>
  <c r="L167" i="122"/>
  <c r="M167" i="122"/>
  <c r="N167" i="122"/>
  <c r="O167" i="122"/>
  <c r="P167" i="122"/>
  <c r="Q167" i="122"/>
  <c r="D168" i="122"/>
  <c r="D176" i="122" s="1"/>
  <c r="D169" i="122"/>
  <c r="D177" i="122" s="1"/>
  <c r="D170" i="122"/>
  <c r="D178" i="122" s="1"/>
  <c r="E168" i="122"/>
  <c r="E176" i="122" s="1"/>
  <c r="F168" i="122"/>
  <c r="F176" i="122" s="1"/>
  <c r="G168" i="122"/>
  <c r="G176" i="122" s="1"/>
  <c r="H168" i="122"/>
  <c r="H176" i="122" s="1"/>
  <c r="I168" i="122"/>
  <c r="I176" i="122" s="1"/>
  <c r="J168" i="122"/>
  <c r="J176" i="122" s="1"/>
  <c r="L168" i="122"/>
  <c r="L176" i="122" s="1"/>
  <c r="M168" i="122"/>
  <c r="M176" i="122" s="1"/>
  <c r="N168" i="122"/>
  <c r="N176" i="122" s="1"/>
  <c r="O168" i="122"/>
  <c r="O176" i="122" s="1"/>
  <c r="P168" i="122"/>
  <c r="P176" i="122" s="1"/>
  <c r="Q168" i="122"/>
  <c r="Q176" i="122" s="1"/>
  <c r="E169" i="122"/>
  <c r="E177" i="122" s="1"/>
  <c r="F169" i="122"/>
  <c r="F177" i="122" s="1"/>
  <c r="G169" i="122"/>
  <c r="H169" i="122"/>
  <c r="H177" i="122" s="1"/>
  <c r="I169" i="122"/>
  <c r="I177" i="122" s="1"/>
  <c r="J169" i="122"/>
  <c r="J177" i="122" s="1"/>
  <c r="K169" i="122"/>
  <c r="K177" i="122" s="1"/>
  <c r="L169" i="122"/>
  <c r="L177" i="122" s="1"/>
  <c r="M169" i="122"/>
  <c r="N169" i="122"/>
  <c r="O169" i="122"/>
  <c r="O177" i="122" s="1"/>
  <c r="P169" i="122"/>
  <c r="P177" i="122" s="1"/>
  <c r="Q169" i="122"/>
  <c r="Q177" i="122" s="1"/>
  <c r="E170" i="122"/>
  <c r="E178" i="122" s="1"/>
  <c r="D62" i="122"/>
  <c r="D61" i="122" s="1"/>
  <c r="E62" i="122"/>
  <c r="F62" i="122"/>
  <c r="F61" i="122" s="1"/>
  <c r="G62" i="122"/>
  <c r="G61" i="122" s="1"/>
  <c r="H62" i="122"/>
  <c r="H61" i="122" s="1"/>
  <c r="I62" i="122"/>
  <c r="I61" i="122" s="1"/>
  <c r="J62" i="122"/>
  <c r="K62" i="122"/>
  <c r="L62" i="122"/>
  <c r="M62" i="122"/>
  <c r="N62" i="122"/>
  <c r="O62" i="122"/>
  <c r="P62" i="122"/>
  <c r="Q62" i="122"/>
  <c r="L63" i="122"/>
  <c r="Q63" i="122"/>
  <c r="L64" i="122"/>
  <c r="M64" i="122"/>
  <c r="N64" i="122"/>
  <c r="O64" i="122"/>
  <c r="P64" i="122"/>
  <c r="Q64" i="122"/>
  <c r="L65" i="122"/>
  <c r="M65" i="122"/>
  <c r="N65" i="122"/>
  <c r="O65" i="122"/>
  <c r="P65" i="122"/>
  <c r="P175" i="122" s="1"/>
  <c r="Q65" i="122"/>
  <c r="M177" i="122"/>
  <c r="C166" i="122"/>
  <c r="C167" i="122"/>
  <c r="C175" i="122" s="1"/>
  <c r="C168" i="122"/>
  <c r="C176" i="122" s="1"/>
  <c r="C169" i="122"/>
  <c r="C177" i="122" s="1"/>
  <c r="C170" i="122"/>
  <c r="C178" i="122" s="1"/>
  <c r="C62" i="122"/>
  <c r="C61" i="122" s="1"/>
  <c r="C164" i="122"/>
  <c r="Q6" i="122"/>
  <c r="Q8" i="122"/>
  <c r="Q9" i="122"/>
  <c r="Q10" i="122"/>
  <c r="Q14" i="122"/>
  <c r="R6" i="122"/>
  <c r="R7" i="122"/>
  <c r="R8" i="122"/>
  <c r="R9" i="122"/>
  <c r="R10" i="122"/>
  <c r="R11" i="122"/>
  <c r="R12" i="122"/>
  <c r="R13" i="122"/>
  <c r="R14" i="122"/>
  <c r="R15" i="122"/>
  <c r="S6" i="122"/>
  <c r="S7" i="122"/>
  <c r="S8" i="122"/>
  <c r="S9" i="122"/>
  <c r="S10" i="122"/>
  <c r="S11" i="122"/>
  <c r="S12" i="122"/>
  <c r="S13" i="122"/>
  <c r="S14" i="122"/>
  <c r="S15" i="122"/>
  <c r="T6" i="122"/>
  <c r="T7" i="122"/>
  <c r="T8" i="122"/>
  <c r="T9" i="122"/>
  <c r="T10" i="122"/>
  <c r="T11" i="122"/>
  <c r="T12" i="122"/>
  <c r="T13" i="122"/>
  <c r="T14" i="122"/>
  <c r="T15" i="122"/>
  <c r="D69" i="122"/>
  <c r="C69" i="122"/>
  <c r="C6" i="91"/>
  <c r="C7" i="91"/>
  <c r="C8" i="91"/>
  <c r="C5" i="91"/>
  <c r="B14" i="91"/>
  <c r="D14" i="91"/>
  <c r="E14" i="91"/>
  <c r="N18" i="86"/>
  <c r="N22" i="86"/>
  <c r="N28" i="86"/>
  <c r="N34" i="86"/>
  <c r="N41" i="86"/>
  <c r="N46" i="86"/>
  <c r="N54" i="86"/>
  <c r="N60" i="86"/>
  <c r="N63" i="86"/>
  <c r="S18" i="86"/>
  <c r="S22" i="86"/>
  <c r="S28" i="86"/>
  <c r="Z31" i="98"/>
  <c r="Z32" i="98"/>
  <c r="Z33" i="98"/>
  <c r="Z34" i="98"/>
  <c r="Z35" i="98"/>
  <c r="Z36" i="98"/>
  <c r="S41" i="86"/>
  <c r="S46" i="86"/>
  <c r="S54" i="86"/>
  <c r="S60" i="86"/>
  <c r="S63" i="86"/>
  <c r="W18" i="86"/>
  <c r="W22" i="86"/>
  <c r="W28" i="86"/>
  <c r="W34" i="86"/>
  <c r="W46" i="86"/>
  <c r="W60" i="86"/>
  <c r="X18" i="86"/>
  <c r="R122" i="206" s="1"/>
  <c r="X22" i="86"/>
  <c r="X28" i="86"/>
  <c r="X34" i="86"/>
  <c r="X41" i="86"/>
  <c r="X46" i="86"/>
  <c r="X54" i="86"/>
  <c r="X60" i="86"/>
  <c r="X63" i="86"/>
  <c r="Y18" i="86"/>
  <c r="Y22" i="86"/>
  <c r="Y28" i="86"/>
  <c r="Y34" i="86"/>
  <c r="Y41" i="86"/>
  <c r="Y46" i="86"/>
  <c r="Y54" i="86"/>
  <c r="Y60" i="86"/>
  <c r="Y63" i="86"/>
  <c r="AE7" i="107"/>
  <c r="AF7" i="107"/>
  <c r="AE11" i="107"/>
  <c r="AF11" i="107"/>
  <c r="AE17" i="107"/>
  <c r="AF17" i="107"/>
  <c r="AE23" i="107"/>
  <c r="AF23" i="107"/>
  <c r="AE36" i="107"/>
  <c r="AF36" i="107"/>
  <c r="AE45" i="107"/>
  <c r="AF45" i="107"/>
  <c r="AE63" i="107"/>
  <c r="AF63" i="107"/>
  <c r="AE83" i="107"/>
  <c r="AF83" i="107"/>
  <c r="AE91" i="107"/>
  <c r="AF91" i="107"/>
  <c r="Z34" i="107"/>
  <c r="Z91" i="107"/>
  <c r="AA91" i="107"/>
  <c r="Z80" i="107"/>
  <c r="AB80" i="107" s="1"/>
  <c r="AA80" i="107"/>
  <c r="Z60" i="107"/>
  <c r="AA60" i="107"/>
  <c r="AB60" i="107" s="1"/>
  <c r="AA34" i="107"/>
  <c r="Z16" i="107"/>
  <c r="AA16" i="107"/>
  <c r="Z7" i="107"/>
  <c r="AA7" i="107"/>
  <c r="W91" i="107"/>
  <c r="X91" i="107"/>
  <c r="W80" i="107"/>
  <c r="X80" i="107"/>
  <c r="W60" i="107"/>
  <c r="X60" i="107"/>
  <c r="W34" i="107"/>
  <c r="Y34" i="107" s="1"/>
  <c r="X34" i="107"/>
  <c r="W16" i="107"/>
  <c r="X16" i="107"/>
  <c r="W7" i="107"/>
  <c r="X7" i="107"/>
  <c r="Y7" i="107" s="1"/>
  <c r="T91" i="107"/>
  <c r="U91" i="107"/>
  <c r="T80" i="107"/>
  <c r="U80" i="107"/>
  <c r="T60" i="107"/>
  <c r="U60" i="107"/>
  <c r="T34" i="107"/>
  <c r="U34" i="107"/>
  <c r="T16" i="107"/>
  <c r="U16" i="107"/>
  <c r="T7" i="107"/>
  <c r="U7" i="107"/>
  <c r="Q91" i="107"/>
  <c r="R91" i="107"/>
  <c r="Q80" i="107"/>
  <c r="R80" i="107"/>
  <c r="Q60" i="107"/>
  <c r="R60" i="107"/>
  <c r="Q34" i="107"/>
  <c r="R34" i="107"/>
  <c r="Q16" i="107"/>
  <c r="R16" i="107"/>
  <c r="Q7" i="107"/>
  <c r="R7" i="107"/>
  <c r="N7" i="107"/>
  <c r="O7" i="107"/>
  <c r="O16" i="107"/>
  <c r="N16" i="107"/>
  <c r="N34" i="107"/>
  <c r="O34" i="107"/>
  <c r="N60" i="107"/>
  <c r="N5" i="107" s="1"/>
  <c r="O60" i="107"/>
  <c r="N80" i="107"/>
  <c r="O80" i="107"/>
  <c r="N91" i="107"/>
  <c r="O91" i="107"/>
  <c r="K91" i="107"/>
  <c r="L91" i="107"/>
  <c r="H91" i="107"/>
  <c r="I91" i="107"/>
  <c r="E91" i="107"/>
  <c r="F91" i="107"/>
  <c r="B91" i="107"/>
  <c r="C91" i="107"/>
  <c r="K80" i="107"/>
  <c r="L80" i="107"/>
  <c r="H80" i="107"/>
  <c r="I80" i="107"/>
  <c r="E80" i="107"/>
  <c r="F80" i="107"/>
  <c r="B80" i="107"/>
  <c r="C80" i="107"/>
  <c r="K60" i="107"/>
  <c r="L60" i="107"/>
  <c r="H60" i="107"/>
  <c r="I60" i="107"/>
  <c r="E60" i="107"/>
  <c r="B60" i="107"/>
  <c r="C60" i="107"/>
  <c r="K34" i="107"/>
  <c r="L34" i="107"/>
  <c r="H34" i="107"/>
  <c r="I34" i="107"/>
  <c r="E34" i="107"/>
  <c r="F34" i="107"/>
  <c r="B34" i="107"/>
  <c r="K16" i="107"/>
  <c r="L16" i="107"/>
  <c r="H16" i="107"/>
  <c r="I16" i="107"/>
  <c r="E16" i="107"/>
  <c r="F16" i="107"/>
  <c r="B16" i="107"/>
  <c r="C16" i="107"/>
  <c r="K7" i="107"/>
  <c r="M7" i="107" s="1"/>
  <c r="L7" i="107"/>
  <c r="H7" i="107"/>
  <c r="I7" i="107"/>
  <c r="E7" i="107"/>
  <c r="F7" i="107"/>
  <c r="B7" i="107"/>
  <c r="C7" i="107"/>
  <c r="K14" i="101"/>
  <c r="B5" i="101"/>
  <c r="C5" i="101"/>
  <c r="B14" i="101"/>
  <c r="C14" i="101"/>
  <c r="B32" i="101"/>
  <c r="C32" i="101"/>
  <c r="B58" i="101"/>
  <c r="C58" i="101"/>
  <c r="B78" i="101"/>
  <c r="C78" i="101"/>
  <c r="B89" i="101"/>
  <c r="C89" i="101"/>
  <c r="N5" i="101"/>
  <c r="O5" i="101"/>
  <c r="N14" i="101"/>
  <c r="O14" i="101"/>
  <c r="N32" i="101"/>
  <c r="O32" i="101"/>
  <c r="N58" i="101"/>
  <c r="O58" i="101"/>
  <c r="N78" i="101"/>
  <c r="O78" i="101"/>
  <c r="P78" i="101" s="1"/>
  <c r="N89" i="101"/>
  <c r="O89" i="101"/>
  <c r="K5" i="101"/>
  <c r="M5" i="101" s="1"/>
  <c r="L5" i="101"/>
  <c r="L14" i="101"/>
  <c r="K32" i="101"/>
  <c r="L32" i="101"/>
  <c r="K58" i="101"/>
  <c r="L58" i="101"/>
  <c r="K78" i="101"/>
  <c r="L78" i="101"/>
  <c r="M78" i="101" s="1"/>
  <c r="K89" i="101"/>
  <c r="L89" i="101"/>
  <c r="H5" i="101"/>
  <c r="I5" i="101"/>
  <c r="H14" i="101"/>
  <c r="I14" i="101"/>
  <c r="H32" i="101"/>
  <c r="I32" i="101"/>
  <c r="H58" i="101"/>
  <c r="I58" i="101"/>
  <c r="H78" i="101"/>
  <c r="I78" i="101"/>
  <c r="H89" i="101"/>
  <c r="I89" i="101"/>
  <c r="E5" i="101"/>
  <c r="F5" i="101"/>
  <c r="E14" i="101"/>
  <c r="F14" i="101"/>
  <c r="E32" i="101"/>
  <c r="F32" i="101"/>
  <c r="E58" i="101"/>
  <c r="F58" i="101"/>
  <c r="E78" i="101"/>
  <c r="F78" i="101"/>
  <c r="E89" i="101"/>
  <c r="F89" i="101"/>
  <c r="Z5" i="98"/>
  <c r="Z6" i="98"/>
  <c r="Z7" i="98"/>
  <c r="Z8" i="98"/>
  <c r="Z9" i="98"/>
  <c r="Z10" i="98"/>
  <c r="Z11" i="98"/>
  <c r="Z12" i="98"/>
  <c r="Z13" i="98"/>
  <c r="Z15" i="98"/>
  <c r="Z16" i="98"/>
  <c r="Z17" i="98"/>
  <c r="Z19" i="98"/>
  <c r="Z20" i="98"/>
  <c r="Z21" i="98"/>
  <c r="Z22" i="98"/>
  <c r="Z23" i="98"/>
  <c r="Z25" i="98"/>
  <c r="Z26" i="98"/>
  <c r="Z27" i="98"/>
  <c r="Z28" i="98"/>
  <c r="Z29" i="98"/>
  <c r="K46" i="98"/>
  <c r="K47" i="98"/>
  <c r="K51" i="98"/>
  <c r="K63" i="98"/>
  <c r="K49" i="98"/>
  <c r="Z39" i="98" s="1"/>
  <c r="K50" i="98"/>
  <c r="Z40" i="98" s="1"/>
  <c r="K48" i="98"/>
  <c r="K52" i="98"/>
  <c r="Z43" i="98"/>
  <c r="Z44" i="98"/>
  <c r="K62" i="98"/>
  <c r="K64" i="98"/>
  <c r="K65" i="98"/>
  <c r="K66" i="98"/>
  <c r="K53" i="98"/>
  <c r="K54" i="98"/>
  <c r="K55" i="98"/>
  <c r="K56" i="98"/>
  <c r="Z47" i="98" s="1"/>
  <c r="K57" i="98"/>
  <c r="Z48" i="98" s="1"/>
  <c r="K58" i="98"/>
  <c r="K59" i="98"/>
  <c r="K60" i="98"/>
  <c r="K61" i="98"/>
  <c r="K69" i="98"/>
  <c r="K70" i="98"/>
  <c r="K72" i="98"/>
  <c r="K73" i="98"/>
  <c r="K74" i="98"/>
  <c r="K79" i="98"/>
  <c r="K80" i="98"/>
  <c r="K81" i="98"/>
  <c r="K82" i="98"/>
  <c r="K83" i="98"/>
  <c r="K84" i="98"/>
  <c r="K85" i="98"/>
  <c r="K86" i="98"/>
  <c r="K71" i="98"/>
  <c r="K75" i="98"/>
  <c r="K77" i="98"/>
  <c r="K76" i="98"/>
  <c r="K78" i="98"/>
  <c r="Z57" i="98"/>
  <c r="K88" i="98"/>
  <c r="K89" i="98"/>
  <c r="K90" i="98"/>
  <c r="K91" i="98"/>
  <c r="K92" i="98"/>
  <c r="K93" i="98"/>
  <c r="K104" i="98"/>
  <c r="Z60" i="98" s="1"/>
  <c r="K106" i="98"/>
  <c r="K107" i="98"/>
  <c r="K108" i="98"/>
  <c r="K109" i="98"/>
  <c r="K100" i="98"/>
  <c r="K101" i="98"/>
  <c r="K102" i="98"/>
  <c r="K103" i="98"/>
  <c r="K105" i="98"/>
  <c r="K4" i="98"/>
  <c r="K14" i="98"/>
  <c r="K23" i="98"/>
  <c r="L4" i="98"/>
  <c r="L14" i="98"/>
  <c r="L23" i="98"/>
  <c r="L41" i="98"/>
  <c r="L67" i="98"/>
  <c r="L87" i="98"/>
  <c r="L98" i="98"/>
  <c r="M4" i="98"/>
  <c r="M14" i="98"/>
  <c r="M23" i="98"/>
  <c r="M41" i="98"/>
  <c r="M67" i="98"/>
  <c r="M87" i="98"/>
  <c r="M98" i="98"/>
  <c r="N4" i="98"/>
  <c r="N3" i="98" s="1"/>
  <c r="N14" i="98"/>
  <c r="N23" i="98"/>
  <c r="N41" i="98"/>
  <c r="N67" i="98"/>
  <c r="N87" i="98"/>
  <c r="N98" i="98"/>
  <c r="H4" i="98"/>
  <c r="H14" i="98"/>
  <c r="H23" i="98"/>
  <c r="H41" i="98"/>
  <c r="H67" i="98"/>
  <c r="H87" i="98"/>
  <c r="H98" i="98"/>
  <c r="I4" i="98"/>
  <c r="I14" i="98"/>
  <c r="I23" i="98"/>
  <c r="I41" i="98"/>
  <c r="I67" i="98"/>
  <c r="I87" i="98"/>
  <c r="I98" i="98"/>
  <c r="J4" i="98"/>
  <c r="J14" i="98"/>
  <c r="J23" i="98"/>
  <c r="J41" i="98"/>
  <c r="J67" i="98"/>
  <c r="J87" i="98"/>
  <c r="J98" i="98"/>
  <c r="G4" i="98"/>
  <c r="G14" i="98"/>
  <c r="G23" i="98"/>
  <c r="G41" i="98"/>
  <c r="G67" i="98"/>
  <c r="G87" i="98"/>
  <c r="G98" i="98"/>
  <c r="D4" i="98"/>
  <c r="D14" i="98"/>
  <c r="D23" i="98"/>
  <c r="D41" i="98"/>
  <c r="D67" i="98"/>
  <c r="D87" i="98"/>
  <c r="D98" i="98"/>
  <c r="E4" i="98"/>
  <c r="E14" i="98"/>
  <c r="E23" i="98"/>
  <c r="E41" i="98"/>
  <c r="E67" i="98"/>
  <c r="E87" i="98"/>
  <c r="E98" i="98"/>
  <c r="F4" i="98"/>
  <c r="F14" i="98"/>
  <c r="F23" i="98"/>
  <c r="F41" i="98"/>
  <c r="F67" i="98"/>
  <c r="F87" i="98"/>
  <c r="F98" i="98"/>
  <c r="C4" i="98"/>
  <c r="C14" i="98"/>
  <c r="C41" i="98"/>
  <c r="C23" i="98"/>
  <c r="C98" i="98"/>
  <c r="C67" i="98"/>
  <c r="C87" i="98"/>
  <c r="N20" i="123"/>
  <c r="N22" i="123"/>
  <c r="N25" i="123"/>
  <c r="N27" i="123"/>
  <c r="N30" i="123"/>
  <c r="N32" i="123"/>
  <c r="N34" i="123"/>
  <c r="N37" i="123"/>
  <c r="N39" i="123"/>
  <c r="N41" i="123"/>
  <c r="N44" i="123"/>
  <c r="N46" i="123"/>
  <c r="N49" i="123"/>
  <c r="N51" i="123"/>
  <c r="N53" i="123"/>
  <c r="N56" i="123"/>
  <c r="N58" i="123"/>
  <c r="N60" i="123"/>
  <c r="N63" i="123"/>
  <c r="N66" i="123"/>
  <c r="M20" i="123"/>
  <c r="M22" i="123"/>
  <c r="M25" i="123"/>
  <c r="M27" i="123"/>
  <c r="M30" i="123"/>
  <c r="M32" i="123"/>
  <c r="M34" i="123"/>
  <c r="M37" i="123"/>
  <c r="M39" i="123"/>
  <c r="M41" i="123"/>
  <c r="M44" i="123"/>
  <c r="M46" i="123"/>
  <c r="M49" i="123"/>
  <c r="M51" i="123"/>
  <c r="M53" i="123"/>
  <c r="M56" i="123"/>
  <c r="M58" i="123"/>
  <c r="M60" i="123"/>
  <c r="M63" i="123"/>
  <c r="M66" i="123"/>
  <c r="L20" i="123"/>
  <c r="L22" i="123"/>
  <c r="L25" i="123"/>
  <c r="L27" i="123"/>
  <c r="L30" i="123"/>
  <c r="L32" i="123"/>
  <c r="L34" i="123"/>
  <c r="L37" i="123"/>
  <c r="L39" i="123"/>
  <c r="L41" i="123"/>
  <c r="L44" i="123"/>
  <c r="L46" i="123"/>
  <c r="L49" i="123"/>
  <c r="L51" i="123"/>
  <c r="L53" i="123"/>
  <c r="L56" i="123"/>
  <c r="L58" i="123"/>
  <c r="L60" i="123"/>
  <c r="L63" i="123"/>
  <c r="L66" i="123"/>
  <c r="M24" i="123"/>
  <c r="M21" i="123"/>
  <c r="E66" i="123"/>
  <c r="E64" i="123" s="1"/>
  <c r="E16" i="123" s="1"/>
  <c r="E63" i="123"/>
  <c r="E60" i="123"/>
  <c r="E58" i="123"/>
  <c r="E56" i="123"/>
  <c r="E53" i="123"/>
  <c r="E51" i="123"/>
  <c r="E49" i="123"/>
  <c r="E46" i="123"/>
  <c r="E44" i="123"/>
  <c r="E41" i="123"/>
  <c r="E39" i="123"/>
  <c r="E37" i="123"/>
  <c r="E34" i="123"/>
  <c r="E32" i="123"/>
  <c r="E30" i="123"/>
  <c r="E27" i="123"/>
  <c r="E25" i="123"/>
  <c r="E22" i="123"/>
  <c r="K66" i="123"/>
  <c r="K63" i="123"/>
  <c r="K61" i="123" s="1"/>
  <c r="K15" i="123" s="1"/>
  <c r="K60" i="123"/>
  <c r="K58" i="123"/>
  <c r="K56" i="123"/>
  <c r="K53" i="123"/>
  <c r="K51" i="123"/>
  <c r="K49" i="123"/>
  <c r="K46" i="123"/>
  <c r="K44" i="123"/>
  <c r="K41" i="123"/>
  <c r="K39" i="123"/>
  <c r="K37" i="123"/>
  <c r="K34" i="123"/>
  <c r="K32" i="123"/>
  <c r="K30" i="123"/>
  <c r="K27" i="123"/>
  <c r="K25" i="123"/>
  <c r="K22" i="123"/>
  <c r="K19" i="123" s="1"/>
  <c r="K8" i="123" s="1"/>
  <c r="J66" i="123"/>
  <c r="J63" i="123"/>
  <c r="J60" i="123"/>
  <c r="J58" i="123"/>
  <c r="J56" i="123"/>
  <c r="J53" i="123"/>
  <c r="J51" i="123"/>
  <c r="J49" i="123"/>
  <c r="J46" i="123"/>
  <c r="J44" i="123"/>
  <c r="J41" i="123"/>
  <c r="J39" i="123"/>
  <c r="J37" i="123"/>
  <c r="J34" i="123"/>
  <c r="J32" i="123"/>
  <c r="J30" i="123"/>
  <c r="J27" i="123"/>
  <c r="J25" i="123"/>
  <c r="J22" i="123"/>
  <c r="G66" i="123"/>
  <c r="G63" i="123"/>
  <c r="G60" i="123"/>
  <c r="G58" i="123"/>
  <c r="G56" i="123"/>
  <c r="G53" i="123"/>
  <c r="G51" i="123"/>
  <c r="G49" i="123"/>
  <c r="G46" i="123"/>
  <c r="G44" i="123"/>
  <c r="G41" i="123"/>
  <c r="G39" i="123"/>
  <c r="G37" i="123"/>
  <c r="G34" i="123"/>
  <c r="G32" i="123"/>
  <c r="G30" i="123"/>
  <c r="G27" i="123"/>
  <c r="G25" i="123"/>
  <c r="G22" i="123"/>
  <c r="Z14" i="116"/>
  <c r="Z13" i="116"/>
  <c r="Z11" i="116"/>
  <c r="X122" i="114"/>
  <c r="Y15" i="116"/>
  <c r="AB151" i="114"/>
  <c r="AM8" i="155"/>
  <c r="AN12" i="155"/>
  <c r="AL12" i="155"/>
  <c r="AM18" i="155"/>
  <c r="AN24" i="155"/>
  <c r="AL24" i="155"/>
  <c r="AN36" i="155"/>
  <c r="AL36" i="155"/>
  <c r="AM44" i="155"/>
  <c r="AN50" i="155"/>
  <c r="AL50" i="155"/>
  <c r="AS11" i="155"/>
  <c r="AB9" i="108" s="1"/>
  <c r="AS16" i="155"/>
  <c r="AB14" i="108" s="1"/>
  <c r="AS21" i="155"/>
  <c r="AB19" i="108" s="1"/>
  <c r="AS26" i="155"/>
  <c r="AS30" i="155"/>
  <c r="AB28" i="108" s="1"/>
  <c r="AS35" i="155"/>
  <c r="AB33" i="108" s="1"/>
  <c r="AS40" i="155"/>
  <c r="AB38" i="108" s="1"/>
  <c r="AS49" i="155"/>
  <c r="AB47" i="108" s="1"/>
  <c r="AS55" i="155"/>
  <c r="AB53" i="108" s="1"/>
  <c r="AN8" i="155"/>
  <c r="AL8" i="155"/>
  <c r="AM12" i="155"/>
  <c r="AN18" i="155"/>
  <c r="AL18" i="155"/>
  <c r="AM24" i="155"/>
  <c r="AN31" i="155"/>
  <c r="AL31" i="155"/>
  <c r="AM36" i="155"/>
  <c r="AN44" i="155"/>
  <c r="AL44" i="155"/>
  <c r="AM50" i="155"/>
  <c r="AN53" i="155"/>
  <c r="AL53" i="155"/>
  <c r="AS45" i="155"/>
  <c r="AB43" i="108" s="1"/>
  <c r="AS54" i="155"/>
  <c r="AS48" i="155"/>
  <c r="AB46" i="108" s="1"/>
  <c r="AS43" i="155"/>
  <c r="AB41" i="108" s="1"/>
  <c r="AS39" i="155"/>
  <c r="AS34" i="155"/>
  <c r="AB32" i="108" s="1"/>
  <c r="AS29" i="155"/>
  <c r="AB27" i="108" s="1"/>
  <c r="AS25" i="155"/>
  <c r="AB23" i="108" s="1"/>
  <c r="AS20" i="155"/>
  <c r="AB18" i="108" s="1"/>
  <c r="AS15" i="155"/>
  <c r="AB13" i="108" s="1"/>
  <c r="AS10" i="155"/>
  <c r="AB8" i="108" s="1"/>
  <c r="AS52" i="155"/>
  <c r="AS47" i="155"/>
  <c r="AB45" i="108" s="1"/>
  <c r="AS42" i="155"/>
  <c r="AB40" i="108" s="1"/>
  <c r="AS38" i="155"/>
  <c r="AB36" i="108" s="1"/>
  <c r="AS33" i="155"/>
  <c r="AB31" i="108" s="1"/>
  <c r="AS28" i="155"/>
  <c r="AB26" i="108" s="1"/>
  <c r="AS23" i="155"/>
  <c r="AB21" i="108" s="1"/>
  <c r="AS19" i="155"/>
  <c r="AB17" i="108" s="1"/>
  <c r="AS14" i="155"/>
  <c r="AS9" i="155"/>
  <c r="AS56" i="155"/>
  <c r="AB54" i="108" s="1"/>
  <c r="AS51" i="155"/>
  <c r="AB49" i="108" s="1"/>
  <c r="AS46" i="155"/>
  <c r="AB44" i="108" s="1"/>
  <c r="AS41" i="155"/>
  <c r="AB39" i="108" s="1"/>
  <c r="AS37" i="155"/>
  <c r="AB35" i="108" s="1"/>
  <c r="AS32" i="155"/>
  <c r="AB30" i="108" s="1"/>
  <c r="AS27" i="155"/>
  <c r="AB25" i="108" s="1"/>
  <c r="AS22" i="155"/>
  <c r="AB20" i="108" s="1"/>
  <c r="AS17" i="155"/>
  <c r="AS13" i="155"/>
  <c r="AB11" i="108" s="1"/>
  <c r="AS7" i="155"/>
  <c r="AB5" i="108" s="1"/>
  <c r="AA156" i="114"/>
  <c r="AA140" i="114"/>
  <c r="AA120" i="114"/>
  <c r="AA122" i="114"/>
  <c r="AB121" i="114"/>
  <c r="AB123" i="114"/>
  <c r="AB122" i="114"/>
  <c r="AB129" i="114"/>
  <c r="AB126" i="114"/>
  <c r="AB133" i="114"/>
  <c r="AB132" i="114"/>
  <c r="AB146" i="114"/>
  <c r="AB145" i="114"/>
  <c r="AB153" i="114"/>
  <c r="AB150" i="114"/>
  <c r="AB168" i="114"/>
  <c r="AB167" i="114"/>
  <c r="AB140" i="114"/>
  <c r="AB138" i="114"/>
  <c r="AB159" i="114"/>
  <c r="AB158" i="114"/>
  <c r="AB166" i="114"/>
  <c r="AB164" i="114"/>
  <c r="AV73" i="114"/>
  <c r="K5" i="124"/>
  <c r="P49" i="92"/>
  <c r="K5" i="112" s="1"/>
  <c r="K5" i="119"/>
  <c r="K5" i="93"/>
  <c r="AD15" i="116"/>
  <c r="AC63" i="116"/>
  <c r="AC15" i="116" s="1"/>
  <c r="AC60" i="116"/>
  <c r="AC14" i="116" s="1"/>
  <c r="AF61" i="116"/>
  <c r="AF60" i="116" s="1"/>
  <c r="AF14" i="116" s="1"/>
  <c r="AC54" i="116"/>
  <c r="AC13" i="116" s="1"/>
  <c r="AC46" i="116"/>
  <c r="AC12" i="116" s="1"/>
  <c r="AE46" i="116"/>
  <c r="AE12" i="116" s="1"/>
  <c r="AD12" i="116"/>
  <c r="AC41" i="116"/>
  <c r="AC11" i="116" s="1"/>
  <c r="AC34" i="116"/>
  <c r="AC10" i="116" s="1"/>
  <c r="AC28" i="116"/>
  <c r="AC9" i="116" s="1"/>
  <c r="AC22" i="116"/>
  <c r="AC8" i="116" s="1"/>
  <c r="AD22" i="116"/>
  <c r="AD8" i="116" s="1"/>
  <c r="AC18" i="116"/>
  <c r="AC7" i="116" s="1"/>
  <c r="AJ5" i="156"/>
  <c r="AJ9" i="156"/>
  <c r="AC121" i="114"/>
  <c r="AB125" i="114"/>
  <c r="AB124" i="114"/>
  <c r="AB127" i="114"/>
  <c r="AB131" i="114"/>
  <c r="AB130" i="114"/>
  <c r="AC126" i="114"/>
  <c r="AB139" i="114"/>
  <c r="AB144" i="114"/>
  <c r="AB143" i="114"/>
  <c r="AB142" i="114"/>
  <c r="AB141" i="114"/>
  <c r="AC138" i="114"/>
  <c r="AB149" i="114"/>
  <c r="AB148" i="114"/>
  <c r="AB147" i="114"/>
  <c r="AB152" i="114"/>
  <c r="AC164" i="114"/>
  <c r="AC122" i="114"/>
  <c r="AC145" i="114"/>
  <c r="AC167" i="114"/>
  <c r="AB165" i="114"/>
  <c r="AB170" i="114"/>
  <c r="AB169" i="114"/>
  <c r="AJ8" i="156"/>
  <c r="P48" i="92"/>
  <c r="Q52" i="86"/>
  <c r="O10" i="86"/>
  <c r="F19" i="123"/>
  <c r="F8" i="123" s="1"/>
  <c r="Y126" i="114"/>
  <c r="Y120" i="114"/>
  <c r="AG16" i="155"/>
  <c r="Y14" i="108" s="1"/>
  <c r="AF12" i="155"/>
  <c r="AC7" i="156"/>
  <c r="H23" i="123"/>
  <c r="H9" i="123" s="1"/>
  <c r="D118" i="120"/>
  <c r="AU81" i="114"/>
  <c r="O19" i="123"/>
  <c r="O8" i="123" s="1"/>
  <c r="Z120" i="114"/>
  <c r="AC15" i="155"/>
  <c r="X13" i="108" s="1"/>
  <c r="AC13" i="155"/>
  <c r="AC9" i="155"/>
  <c r="AC11" i="155"/>
  <c r="X9" i="108" s="1"/>
  <c r="AK54" i="155"/>
  <c r="AK48" i="155"/>
  <c r="Z46" i="108" s="1"/>
  <c r="AK43" i="155"/>
  <c r="Z41" i="108" s="1"/>
  <c r="AK39" i="155"/>
  <c r="Z37" i="108" s="1"/>
  <c r="AK34" i="155"/>
  <c r="AK29" i="155"/>
  <c r="Z27" i="108" s="1"/>
  <c r="AK25" i="155"/>
  <c r="Z23" i="108" s="1"/>
  <c r="AK20" i="155"/>
  <c r="AK15" i="155"/>
  <c r="Z13" i="108" s="1"/>
  <c r="AK10" i="155"/>
  <c r="Z8" i="108" s="1"/>
  <c r="AG43" i="155"/>
  <c r="Y41" i="108" s="1"/>
  <c r="J5" i="124"/>
  <c r="AH24" i="155"/>
  <c r="AH31" i="155"/>
  <c r="AV80" i="114"/>
  <c r="AC46" i="155"/>
  <c r="AC43" i="155"/>
  <c r="X41" i="108" s="1"/>
  <c r="AC41" i="155"/>
  <c r="AC39" i="155"/>
  <c r="X37" i="108" s="1"/>
  <c r="AC37" i="155"/>
  <c r="X35" i="108" s="1"/>
  <c r="AC34" i="155"/>
  <c r="AG9" i="155"/>
  <c r="Y7" i="108" s="1"/>
  <c r="AO10" i="155"/>
  <c r="AA8" i="108" s="1"/>
  <c r="AO11" i="155"/>
  <c r="AA9" i="108" s="1"/>
  <c r="AO15" i="155"/>
  <c r="AA13" i="108" s="1"/>
  <c r="AO16" i="155"/>
  <c r="AA14" i="108" s="1"/>
  <c r="AO20" i="155"/>
  <c r="AA18" i="108" s="1"/>
  <c r="AO21" i="155"/>
  <c r="AA19" i="108" s="1"/>
  <c r="AO26" i="155"/>
  <c r="AA24" i="108" s="1"/>
  <c r="AO29" i="155"/>
  <c r="AA27" i="108" s="1"/>
  <c r="AO34" i="155"/>
  <c r="AA32" i="108" s="1"/>
  <c r="AO35" i="155"/>
  <c r="AA33" i="108" s="1"/>
  <c r="AO39" i="155"/>
  <c r="AO40" i="155"/>
  <c r="AA38" i="108" s="1"/>
  <c r="AO43" i="155"/>
  <c r="AA41" i="108" s="1"/>
  <c r="AO48" i="155"/>
  <c r="AA46" i="108" s="1"/>
  <c r="M96" i="120"/>
  <c r="L96" i="120"/>
  <c r="M87" i="120"/>
  <c r="L87" i="120"/>
  <c r="AB9" i="122"/>
  <c r="AB161" i="114"/>
  <c r="L110" i="120"/>
  <c r="M110" i="120"/>
  <c r="L91" i="120"/>
  <c r="M85" i="120"/>
  <c r="L85" i="120"/>
  <c r="L114" i="120"/>
  <c r="M114" i="120"/>
  <c r="L82" i="120"/>
  <c r="M82" i="120"/>
  <c r="AB134" i="114"/>
  <c r="AB135" i="114"/>
  <c r="AC135" i="114"/>
  <c r="AG51" i="155"/>
  <c r="Y49" i="108" s="1"/>
  <c r="AG32" i="155"/>
  <c r="Y30" i="108" s="1"/>
  <c r="AG13" i="155"/>
  <c r="Y11" i="108" s="1"/>
  <c r="L89" i="120"/>
  <c r="AB8" i="122"/>
  <c r="M101" i="120"/>
  <c r="M84" i="120"/>
  <c r="AC137" i="114"/>
  <c r="AB137" i="114"/>
  <c r="AO45" i="155"/>
  <c r="AA43" i="108" s="1"/>
  <c r="M95" i="120"/>
  <c r="AC162" i="114"/>
  <c r="AB162" i="114"/>
  <c r="AB157" i="114"/>
  <c r="AM31" i="155"/>
  <c r="AO41" i="155"/>
  <c r="AA39" i="108" s="1"/>
  <c r="AO46" i="155"/>
  <c r="AA44" i="108" s="1"/>
  <c r="AO51" i="155"/>
  <c r="AA49" i="108" s="1"/>
  <c r="M102" i="120"/>
  <c r="M98" i="120"/>
  <c r="M119" i="120"/>
  <c r="M83" i="120"/>
  <c r="M93" i="120"/>
  <c r="K93" i="120"/>
  <c r="K77" i="120"/>
  <c r="M113" i="120"/>
  <c r="M122" i="120"/>
  <c r="AC134" i="114"/>
  <c r="AC132" i="114"/>
  <c r="AC161" i="114"/>
  <c r="AC158" i="114"/>
  <c r="AC157" i="114"/>
  <c r="AC150" i="114"/>
  <c r="L90" i="120"/>
  <c r="L106" i="120"/>
  <c r="L116" i="120"/>
  <c r="AB11" i="122"/>
  <c r="L97" i="120"/>
  <c r="L100" i="120"/>
  <c r="L5" i="119"/>
  <c r="L5" i="93"/>
  <c r="Q49" i="92"/>
  <c r="L5" i="112" s="1"/>
  <c r="L5" i="124"/>
  <c r="V49" i="108"/>
  <c r="V48" i="108" s="1"/>
  <c r="W11" i="156"/>
  <c r="X145" i="114"/>
  <c r="AX73" i="114"/>
  <c r="AX74" i="114" s="1"/>
  <c r="AC60" i="114" s="1"/>
  <c r="AY90" i="114" s="1"/>
  <c r="AO53" i="156"/>
  <c r="AD46" i="99" s="1"/>
  <c r="AO52" i="156"/>
  <c r="AD41" i="99" s="1"/>
  <c r="AO50" i="156"/>
  <c r="AD39" i="99" s="1"/>
  <c r="AO48" i="156"/>
  <c r="AD32" i="99" s="1"/>
  <c r="AO49" i="156"/>
  <c r="AD33" i="99" s="1"/>
  <c r="AO47" i="156"/>
  <c r="AD31" i="99" s="1"/>
  <c r="AO45" i="156"/>
  <c r="AD20" i="99" s="1"/>
  <c r="AO43" i="156"/>
  <c r="AD15" i="99" s="1"/>
  <c r="AO42" i="156"/>
  <c r="AD38" i="99" s="1"/>
  <c r="AO41" i="156"/>
  <c r="AD27" i="99" s="1"/>
  <c r="AJ10" i="156"/>
  <c r="AO39" i="156"/>
  <c r="AD54" i="99" s="1"/>
  <c r="AO37" i="156"/>
  <c r="AD53" i="99" s="1"/>
  <c r="AO33" i="156"/>
  <c r="AD26" i="99" s="1"/>
  <c r="AO31" i="156"/>
  <c r="AD25" i="99" s="1"/>
  <c r="AJ6" i="156"/>
  <c r="AO25" i="156"/>
  <c r="AD36" i="99" s="1"/>
  <c r="AO22" i="156"/>
  <c r="AD35" i="99" s="1"/>
  <c r="AJ4" i="156"/>
  <c r="AO19" i="156"/>
  <c r="AD52" i="99" s="1"/>
  <c r="AM4" i="156"/>
  <c r="AL15" i="156"/>
  <c r="AC30" i="99" s="1"/>
  <c r="AL37" i="156"/>
  <c r="AC53" i="99" s="1"/>
  <c r="AL43" i="156"/>
  <c r="AC15" i="99" s="1"/>
  <c r="AL40" i="156"/>
  <c r="AC37" i="99" s="1"/>
  <c r="F42" i="165"/>
  <c r="F12" i="165" s="1"/>
  <c r="L117" i="120"/>
  <c r="M117" i="120"/>
  <c r="AB13" i="122"/>
  <c r="L108" i="120"/>
  <c r="D174" i="122"/>
  <c r="U59" i="86"/>
  <c r="T25" i="86"/>
  <c r="M105" i="120"/>
  <c r="L105" i="120"/>
  <c r="P32" i="86"/>
  <c r="Q12" i="86"/>
  <c r="P6" i="122"/>
  <c r="K10" i="86"/>
  <c r="V29" i="86"/>
  <c r="X120" i="114"/>
  <c r="X167" i="114"/>
  <c r="AW39" i="155"/>
  <c r="AC37" i="108" s="1"/>
  <c r="BA32" i="155"/>
  <c r="AD30" i="108" s="1"/>
  <c r="R29" i="86"/>
  <c r="O24" i="108"/>
  <c r="L124" i="120"/>
  <c r="L120" i="120"/>
  <c r="L118" i="120" s="1"/>
  <c r="L83" i="120"/>
  <c r="N113" i="120"/>
  <c r="L113" i="120"/>
  <c r="L60" i="116"/>
  <c r="L14" i="116" s="1"/>
  <c r="AE28" i="116"/>
  <c r="AE9" i="116" s="1"/>
  <c r="AT8" i="155"/>
  <c r="AW9" i="155"/>
  <c r="AW37" i="155"/>
  <c r="AC35" i="108" s="1"/>
  <c r="AT53" i="155"/>
  <c r="AW54" i="155"/>
  <c r="AC52" i="108" s="1"/>
  <c r="BA37" i="155"/>
  <c r="AD35" i="108" s="1"/>
  <c r="Q28" i="116"/>
  <c r="Q9" i="116" s="1"/>
  <c r="L98" i="120"/>
  <c r="AE18" i="116"/>
  <c r="AE7" i="116" s="1"/>
  <c r="N90" i="120"/>
  <c r="AC13" i="122"/>
  <c r="N115" i="120"/>
  <c r="N114" i="120"/>
  <c r="M100" i="120"/>
  <c r="AJ12" i="156"/>
  <c r="AW45" i="155"/>
  <c r="AC43" i="108" s="1"/>
  <c r="AT44" i="155"/>
  <c r="AU53" i="155"/>
  <c r="AE41" i="116"/>
  <c r="AE11" i="116" s="1"/>
  <c r="L102" i="120"/>
  <c r="N85" i="120"/>
  <c r="AU8" i="155"/>
  <c r="AT12" i="155"/>
  <c r="AW13" i="155"/>
  <c r="AC11" i="108" s="1"/>
  <c r="AV12" i="155"/>
  <c r="AW32" i="155"/>
  <c r="AT31" i="155"/>
  <c r="AU36" i="155"/>
  <c r="BA54" i="155"/>
  <c r="AD52" i="108" s="1"/>
  <c r="W7" i="108"/>
  <c r="N110" i="120"/>
  <c r="N106" i="120"/>
  <c r="N81" i="120"/>
  <c r="AV8" i="155"/>
  <c r="AW11" i="155"/>
  <c r="AC9" i="108" s="1"/>
  <c r="AU12" i="155"/>
  <c r="AW16" i="155"/>
  <c r="AC14" i="108" s="1"/>
  <c r="AW19" i="155"/>
  <c r="AW20" i="155"/>
  <c r="AC18" i="108" s="1"/>
  <c r="AT24" i="155"/>
  <c r="AV24" i="155"/>
  <c r="AW56" i="155"/>
  <c r="AC54" i="108" s="1"/>
  <c r="AW15" i="155"/>
  <c r="AW23" i="155"/>
  <c r="AC21" i="108" s="1"/>
  <c r="AU24" i="155"/>
  <c r="AW28" i="155"/>
  <c r="AC26" i="108" s="1"/>
  <c r="AW40" i="155"/>
  <c r="AC38" i="108" s="1"/>
  <c r="AU44" i="155"/>
  <c r="AW55" i="155"/>
  <c r="AC53" i="108" s="1"/>
  <c r="BA55" i="155"/>
  <c r="AD53" i="108" s="1"/>
  <c r="AD146" i="114"/>
  <c r="AC11" i="122"/>
  <c r="AO34" i="156"/>
  <c r="AD49" i="99" s="1"/>
  <c r="AD145" i="114"/>
  <c r="M115" i="120"/>
  <c r="M5" i="93"/>
  <c r="Q48" i="92"/>
  <c r="AE54" i="116"/>
  <c r="AE13" i="116" s="1"/>
  <c r="Q12" i="122"/>
  <c r="AO36" i="156"/>
  <c r="AD50" i="99" s="1"/>
  <c r="AM12" i="156"/>
  <c r="AO20" i="156"/>
  <c r="AD9" i="99" s="1"/>
  <c r="AO23" i="156"/>
  <c r="AD43" i="99" s="1"/>
  <c r="M107" i="120"/>
  <c r="L109" i="120"/>
  <c r="AB12" i="122"/>
  <c r="K35" i="86"/>
  <c r="E6" i="122"/>
  <c r="K29" i="99"/>
  <c r="R64" i="86"/>
  <c r="AO46" i="156"/>
  <c r="AD21" i="99" s="1"/>
  <c r="AM13" i="156"/>
  <c r="M89" i="120"/>
  <c r="P51" i="86"/>
  <c r="M94" i="120"/>
  <c r="O30" i="86"/>
  <c r="I134" i="206" s="1"/>
  <c r="I18" i="206" s="1"/>
  <c r="V24" i="98"/>
  <c r="R10" i="86"/>
  <c r="O48" i="99"/>
  <c r="K41" i="122"/>
  <c r="K168" i="122"/>
  <c r="K176" i="122" s="1"/>
  <c r="J32" i="86"/>
  <c r="Q27" i="86"/>
  <c r="X18" i="98"/>
  <c r="R44" i="86"/>
  <c r="U20" i="86"/>
  <c r="E78" i="120"/>
  <c r="U7" i="122"/>
  <c r="H23" i="165"/>
  <c r="F28" i="116"/>
  <c r="F9" i="116" s="1"/>
  <c r="U36" i="86"/>
  <c r="D45" i="108"/>
  <c r="T43" i="86"/>
  <c r="I33" i="108"/>
  <c r="M28" i="108"/>
  <c r="N38" i="108"/>
  <c r="L29" i="99"/>
  <c r="L38" i="108"/>
  <c r="AW17" i="155"/>
  <c r="AC15" i="108" s="1"/>
  <c r="AW26" i="155"/>
  <c r="AC24" i="108" s="1"/>
  <c r="AW52" i="155"/>
  <c r="AU50" i="155"/>
  <c r="BA34" i="155"/>
  <c r="AD32" i="108" s="1"/>
  <c r="AV44" i="155"/>
  <c r="AE123" i="114"/>
  <c r="BA35" i="155"/>
  <c r="AD33" i="108" s="1"/>
  <c r="AE133" i="114"/>
  <c r="N103" i="120"/>
  <c r="L103" i="120"/>
  <c r="AW27" i="155"/>
  <c r="AC25" i="108" s="1"/>
  <c r="AU31" i="155"/>
  <c r="AW48" i="155"/>
  <c r="AC46" i="108" s="1"/>
  <c r="BA7" i="155"/>
  <c r="AD5" i="108" s="1"/>
  <c r="BA9" i="155"/>
  <c r="AD7" i="108" s="1"/>
  <c r="BA10" i="155"/>
  <c r="AD8" i="108" s="1"/>
  <c r="BA22" i="155"/>
  <c r="AD20" i="108" s="1"/>
  <c r="BA25" i="155"/>
  <c r="AD23" i="108" s="1"/>
  <c r="BA46" i="155"/>
  <c r="AD44" i="108" s="1"/>
  <c r="AE146" i="114"/>
  <c r="AE145" i="114"/>
  <c r="AW21" i="155"/>
  <c r="AC19" i="108" s="1"/>
  <c r="BA11" i="155"/>
  <c r="AD9" i="108" s="1"/>
  <c r="AE127" i="114"/>
  <c r="AE126" i="114"/>
  <c r="AT18" i="155"/>
  <c r="AW47" i="155"/>
  <c r="AC45" i="108" s="1"/>
  <c r="BA19" i="155"/>
  <c r="AD17" i="108" s="1"/>
  <c r="BA20" i="155"/>
  <c r="AD18" i="108" s="1"/>
  <c r="AE151" i="114"/>
  <c r="AE150" i="114"/>
  <c r="BA43" i="155"/>
  <c r="AD41" i="108" s="1"/>
  <c r="AE168" i="114"/>
  <c r="AE167" i="114"/>
  <c r="AE158" i="114"/>
  <c r="N87" i="120"/>
  <c r="N116" i="120"/>
  <c r="AD13" i="122"/>
  <c r="AC12" i="122"/>
  <c r="J51" i="99"/>
  <c r="BE32" i="155"/>
  <c r="AB12" i="108"/>
  <c r="T10" i="86"/>
  <c r="N69" i="122"/>
  <c r="N42" i="122"/>
  <c r="N170" i="122"/>
  <c r="AS81" i="114"/>
  <c r="BA38" i="155"/>
  <c r="AD36" i="108" s="1"/>
  <c r="M109" i="120"/>
  <c r="AC10" i="122"/>
  <c r="AO15" i="156"/>
  <c r="AD30" i="99" s="1"/>
  <c r="AM9" i="156"/>
  <c r="M77" i="120"/>
  <c r="M108" i="120"/>
  <c r="Q175" i="122"/>
  <c r="L59" i="86"/>
  <c r="AF34" i="116"/>
  <c r="AF10" i="116" s="1"/>
  <c r="AE34" i="116"/>
  <c r="AE10" i="116" s="1"/>
  <c r="AO21" i="156"/>
  <c r="AD11" i="99" s="1"/>
  <c r="T65" i="86"/>
  <c r="V56" i="86"/>
  <c r="AB15" i="122"/>
  <c r="M88" i="120"/>
  <c r="AC9" i="122"/>
  <c r="P43" i="86"/>
  <c r="J147" i="206" s="1"/>
  <c r="J31" i="206" s="1"/>
  <c r="Y56" i="98"/>
  <c r="R62" i="86"/>
  <c r="D19" i="123"/>
  <c r="D8" i="123" s="1"/>
  <c r="V5" i="116"/>
  <c r="V25" i="108"/>
  <c r="Q19" i="86"/>
  <c r="C9" i="91"/>
  <c r="L107" i="120"/>
  <c r="AB14" i="122"/>
  <c r="L78" i="120"/>
  <c r="AJ7" i="156"/>
  <c r="AJ11" i="156"/>
  <c r="AR39" i="156"/>
  <c r="AE54" i="99" s="1"/>
  <c r="AJ13" i="156"/>
  <c r="AA7" i="122"/>
  <c r="AA5" i="122" s="1"/>
  <c r="K79" i="120"/>
  <c r="M81" i="120"/>
  <c r="AC8" i="122"/>
  <c r="AE22" i="116"/>
  <c r="AE8" i="116" s="1"/>
  <c r="L75" i="120"/>
  <c r="AB6" i="122"/>
  <c r="E55" i="122"/>
  <c r="E69" i="122"/>
  <c r="O23" i="122"/>
  <c r="O165" i="122"/>
  <c r="L94" i="120"/>
  <c r="AB10" i="122"/>
  <c r="M91" i="120"/>
  <c r="E46" i="108"/>
  <c r="I7" i="122"/>
  <c r="AA56" i="98"/>
  <c r="T61" i="86"/>
  <c r="J64" i="123"/>
  <c r="AF46" i="116"/>
  <c r="AF12" i="116" s="1"/>
  <c r="AE60" i="116"/>
  <c r="AE14" i="116" s="1"/>
  <c r="M46" i="116"/>
  <c r="M12" i="116" s="1"/>
  <c r="K9" i="122"/>
  <c r="L46" i="116"/>
  <c r="L12" i="116" s="1"/>
  <c r="BA26" i="155"/>
  <c r="AD24" i="108" s="1"/>
  <c r="M18" i="116"/>
  <c r="M7" i="116" s="1"/>
  <c r="AR20" i="156"/>
  <c r="AE9" i="99" s="1"/>
  <c r="AR32" i="156"/>
  <c r="AE14" i="99" s="1"/>
  <c r="AR48" i="156"/>
  <c r="AE32" i="99" s="1"/>
  <c r="AR51" i="156"/>
  <c r="AE40" i="99" s="1"/>
  <c r="O96" i="120"/>
  <c r="AF18" i="116"/>
  <c r="AF7" i="116" s="1"/>
  <c r="L111" i="120"/>
  <c r="M103" i="120"/>
  <c r="L95" i="120"/>
  <c r="O81" i="120"/>
  <c r="AR41" i="156"/>
  <c r="AE27" i="99" s="1"/>
  <c r="AR45" i="156"/>
  <c r="AE20" i="99" s="1"/>
  <c r="BA40" i="155"/>
  <c r="AD38" i="108" s="1"/>
  <c r="AF28" i="116"/>
  <c r="AF9" i="116" s="1"/>
  <c r="BE38" i="155"/>
  <c r="AE36" i="108" s="1"/>
  <c r="O101" i="120"/>
  <c r="L123" i="120"/>
  <c r="AO28" i="156"/>
  <c r="AD24" i="99" s="1"/>
  <c r="AR31" i="156"/>
  <c r="AE25" i="99" s="1"/>
  <c r="AR34" i="156"/>
  <c r="AE49" i="99" s="1"/>
  <c r="AR46" i="156"/>
  <c r="AE21" i="99" s="1"/>
  <c r="AW25" i="155"/>
  <c r="AC23" i="108" s="1"/>
  <c r="AW29" i="155"/>
  <c r="AC27" i="108" s="1"/>
  <c r="AW43" i="155"/>
  <c r="AC41" i="108" s="1"/>
  <c r="BA39" i="155"/>
  <c r="AD37" i="108" s="1"/>
  <c r="BE19" i="155"/>
  <c r="AE17" i="108" s="1"/>
  <c r="AE63" i="116"/>
  <c r="AE15" i="116" s="1"/>
  <c r="AF54" i="116"/>
  <c r="AF13" i="116" s="1"/>
  <c r="O110" i="120"/>
  <c r="AR36" i="156"/>
  <c r="AE50" i="99" s="1"/>
  <c r="AU42" i="156"/>
  <c r="AF38" i="99" s="1"/>
  <c r="AR50" i="156"/>
  <c r="AE39" i="99" s="1"/>
  <c r="BA23" i="155"/>
  <c r="AD21" i="108" s="1"/>
  <c r="BA42" i="155"/>
  <c r="AD40" i="108" s="1"/>
  <c r="AE6" i="116"/>
  <c r="AE122" i="114"/>
  <c r="AE121" i="114"/>
  <c r="BE9" i="155"/>
  <c r="AE7" i="108" s="1"/>
  <c r="BE22" i="155"/>
  <c r="AE20" i="108" s="1"/>
  <c r="BE52" i="155"/>
  <c r="AR22" i="156"/>
  <c r="AE35" i="99" s="1"/>
  <c r="AR33" i="156"/>
  <c r="AE26" i="99" s="1"/>
  <c r="AR37" i="156"/>
  <c r="AE53" i="99" s="1"/>
  <c r="AR53" i="156"/>
  <c r="AE46" i="99" s="1"/>
  <c r="AW30" i="155"/>
  <c r="AC28" i="108" s="1"/>
  <c r="BA49" i="155"/>
  <c r="AD47" i="108" s="1"/>
  <c r="BA51" i="155"/>
  <c r="AD49" i="108" s="1"/>
  <c r="BE21" i="155"/>
  <c r="AE19" i="108" s="1"/>
  <c r="BE51" i="155"/>
  <c r="AE49" i="108" s="1"/>
  <c r="BE13" i="155"/>
  <c r="AE11" i="108" s="1"/>
  <c r="BE14" i="155"/>
  <c r="AE12" i="108" s="1"/>
  <c r="O115" i="120"/>
  <c r="AR43" i="156"/>
  <c r="AE15" i="99" s="1"/>
  <c r="AR47" i="156"/>
  <c r="AE31" i="99" s="1"/>
  <c r="AR52" i="156"/>
  <c r="AE41" i="99" s="1"/>
  <c r="BE17" i="155"/>
  <c r="AE15" i="108" s="1"/>
  <c r="AO26" i="156"/>
  <c r="AD23" i="99" s="1"/>
  <c r="O119" i="120"/>
  <c r="AO29" i="156"/>
  <c r="AD19" i="99" s="1"/>
  <c r="AC14" i="122"/>
  <c r="M120" i="120"/>
  <c r="M118" i="120" s="1"/>
  <c r="O113" i="120"/>
  <c r="AO54" i="156"/>
  <c r="AD47" i="99" s="1"/>
  <c r="AD9" i="122"/>
  <c r="AR25" i="156"/>
  <c r="AE36" i="99" s="1"/>
  <c r="AR23" i="156"/>
  <c r="AE43" i="99" s="1"/>
  <c r="M78" i="120"/>
  <c r="N108" i="120"/>
  <c r="AD12" i="122"/>
  <c r="M123" i="120"/>
  <c r="AC15" i="122"/>
  <c r="AR15" i="156"/>
  <c r="AE30" i="99" s="1"/>
  <c r="O105" i="120"/>
  <c r="AR29" i="156"/>
  <c r="AE19" i="99" s="1"/>
  <c r="AR21" i="156"/>
  <c r="AE11" i="99" s="1"/>
  <c r="N100" i="120"/>
  <c r="AC6" i="122"/>
  <c r="M75" i="120"/>
  <c r="M79" i="120"/>
  <c r="L79" i="120"/>
  <c r="L76" i="120" s="1"/>
  <c r="AB7" i="122"/>
  <c r="M124" i="120"/>
  <c r="N77" i="120"/>
  <c r="N124" i="120"/>
  <c r="O124" i="120"/>
  <c r="AR26" i="156"/>
  <c r="AE23" i="99" s="1"/>
  <c r="N75" i="120"/>
  <c r="AD6" i="122"/>
  <c r="AE6" i="122"/>
  <c r="N123" i="120"/>
  <c r="AC7" i="122"/>
  <c r="N78" i="120"/>
  <c r="O78" i="120"/>
  <c r="N122" i="120"/>
  <c r="AD15" i="122"/>
  <c r="M111" i="120"/>
  <c r="N5" i="119"/>
  <c r="N5" i="124"/>
  <c r="M5" i="124"/>
  <c r="AF122" i="114"/>
  <c r="L48" i="99"/>
  <c r="N51" i="99"/>
  <c r="P29" i="99"/>
  <c r="Q51" i="99"/>
  <c r="K51" i="99"/>
  <c r="AG63" i="116"/>
  <c r="AG15" i="116" s="1"/>
  <c r="AF63" i="116"/>
  <c r="AF15" i="116" s="1"/>
  <c r="AG54" i="116"/>
  <c r="AG13" i="116" s="1"/>
  <c r="AG46" i="116"/>
  <c r="AG12" i="116" s="1"/>
  <c r="AG41" i="116"/>
  <c r="AG11" i="116" s="1"/>
  <c r="AF41" i="116"/>
  <c r="AF11" i="116" s="1"/>
  <c r="AG34" i="116"/>
  <c r="AG10" i="116" s="1"/>
  <c r="AG28" i="116"/>
  <c r="AG9" i="116" s="1"/>
  <c r="AG22" i="116"/>
  <c r="AG8" i="116" s="1"/>
  <c r="AF22" i="116"/>
  <c r="AF8" i="116" s="1"/>
  <c r="AG18" i="116"/>
  <c r="AG7" i="116" s="1"/>
  <c r="AF6" i="116"/>
  <c r="R48" i="92"/>
  <c r="M5" i="119"/>
  <c r="AF164" i="114"/>
  <c r="O116" i="120"/>
  <c r="AE13" i="122"/>
  <c r="N91" i="120"/>
  <c r="N109" i="120"/>
  <c r="N97" i="120"/>
  <c r="N89" i="120"/>
  <c r="N101" i="120"/>
  <c r="N102" i="120"/>
  <c r="N117" i="120"/>
  <c r="N82" i="120"/>
  <c r="P90" i="120"/>
  <c r="O100" i="120"/>
  <c r="N107" i="120"/>
  <c r="N105" i="120"/>
  <c r="N96" i="120"/>
  <c r="N95" i="120"/>
  <c r="N111" i="120"/>
  <c r="N98" i="120"/>
  <c r="H61" i="123"/>
  <c r="H15" i="123" s="1"/>
  <c r="AZ73" i="114"/>
  <c r="L23" i="86"/>
  <c r="L69" i="122"/>
  <c r="L42" i="122"/>
  <c r="L15" i="122" s="1"/>
  <c r="L170" i="122"/>
  <c r="L178" i="122" s="1"/>
  <c r="AO27" i="156"/>
  <c r="AD12" i="99" s="1"/>
  <c r="O111" i="120"/>
  <c r="AD14" i="122"/>
  <c r="N120" i="120"/>
  <c r="AE9" i="122"/>
  <c r="O87" i="120"/>
  <c r="AR49" i="156"/>
  <c r="AE33" i="99" s="1"/>
  <c r="AP9" i="156"/>
  <c r="N84" i="120"/>
  <c r="L11" i="86"/>
  <c r="U56" i="86"/>
  <c r="AB50" i="98"/>
  <c r="U39" i="86"/>
  <c r="AB30" i="98"/>
  <c r="U34" i="86" s="1"/>
  <c r="U29" i="86"/>
  <c r="AZ6" i="155"/>
  <c r="AL20" i="156"/>
  <c r="AC9" i="99" s="1"/>
  <c r="AL18" i="156"/>
  <c r="AC8" i="99" s="1"/>
  <c r="AE14" i="122"/>
  <c r="O120" i="120"/>
  <c r="AE15" i="122"/>
  <c r="O122" i="120"/>
  <c r="O79" i="120"/>
  <c r="N79" i="120"/>
  <c r="AD7" i="122"/>
  <c r="AD10" i="122"/>
  <c r="AO17" i="156"/>
  <c r="AD17" i="99" s="1"/>
  <c r="AM7" i="156"/>
  <c r="AR19" i="156"/>
  <c r="AE52" i="99" s="1"/>
  <c r="AP13" i="156"/>
  <c r="AO44" i="156"/>
  <c r="AD28" i="99" s="1"/>
  <c r="AR44" i="156"/>
  <c r="AE28" i="99" s="1"/>
  <c r="AR18" i="156"/>
  <c r="AE8" i="99" s="1"/>
  <c r="AO18" i="156"/>
  <c r="AD8" i="99" s="1"/>
  <c r="O89" i="120"/>
  <c r="O94" i="120"/>
  <c r="O102" i="120"/>
  <c r="AD11" i="122"/>
  <c r="N83" i="120"/>
  <c r="AD8" i="122"/>
  <c r="AG60" i="116"/>
  <c r="AG14" i="116" s="1"/>
  <c r="AP10" i="156"/>
  <c r="AM10" i="156"/>
  <c r="AO40" i="156"/>
  <c r="AD37" i="99" s="1"/>
  <c r="AX6" i="155"/>
  <c r="AC13" i="108"/>
  <c r="Z18" i="108"/>
  <c r="M14" i="101"/>
  <c r="S34" i="107"/>
  <c r="AR24" i="156"/>
  <c r="AE18" i="99" s="1"/>
  <c r="AM8" i="156"/>
  <c r="N94" i="120"/>
  <c r="AO35" i="156"/>
  <c r="AD44" i="99" s="1"/>
  <c r="AM11" i="156"/>
  <c r="V7" i="107"/>
  <c r="N177" i="122"/>
  <c r="AP12" i="156"/>
  <c r="N88" i="120"/>
  <c r="P93" i="120"/>
  <c r="N93" i="120"/>
  <c r="AR38" i="156"/>
  <c r="AE45" i="99" s="1"/>
  <c r="AO38" i="156"/>
  <c r="AD45" i="99" s="1"/>
  <c r="H50" i="108"/>
  <c r="P96" i="120"/>
  <c r="AO14" i="156"/>
  <c r="D41" i="99"/>
  <c r="J29" i="86"/>
  <c r="N119" i="120"/>
  <c r="Z41" i="98"/>
  <c r="L42" i="165"/>
  <c r="L12" i="165" s="1"/>
  <c r="AU47" i="156"/>
  <c r="AF31" i="99" s="1"/>
  <c r="AX52" i="156"/>
  <c r="AG41" i="99" s="1"/>
  <c r="M175" i="122"/>
  <c r="G24" i="108"/>
  <c r="G47" i="108"/>
  <c r="AX21" i="156"/>
  <c r="AG11" i="99" s="1"/>
  <c r="AX37" i="156"/>
  <c r="AG53" i="99" s="1"/>
  <c r="AU37" i="156"/>
  <c r="AF53" i="99" s="1"/>
  <c r="AX41" i="156"/>
  <c r="AG27" i="99" s="1"/>
  <c r="AU45" i="156"/>
  <c r="AF20" i="99" s="1"/>
  <c r="BE39" i="155"/>
  <c r="AE37" i="108" s="1"/>
  <c r="M60" i="116"/>
  <c r="M14" i="116" s="1"/>
  <c r="J34" i="116"/>
  <c r="J10" i="116" s="1"/>
  <c r="N13" i="156"/>
  <c r="AO30" i="156"/>
  <c r="AD13" i="99" s="1"/>
  <c r="AX50" i="156"/>
  <c r="AG39" i="99" s="1"/>
  <c r="BE25" i="155"/>
  <c r="AE23" i="108" s="1"/>
  <c r="BB6" i="155"/>
  <c r="AX31" i="156"/>
  <c r="AG25" i="99" s="1"/>
  <c r="AO51" i="156"/>
  <c r="AD40" i="99" s="1"/>
  <c r="BA13" i="155"/>
  <c r="BA48" i="155"/>
  <c r="AD46" i="108" s="1"/>
  <c r="BE41" i="155"/>
  <c r="AE39" i="108" s="1"/>
  <c r="AU32" i="156"/>
  <c r="AF14" i="99" s="1"/>
  <c r="CP109" i="114"/>
  <c r="N6" i="99"/>
  <c r="J99" i="120"/>
  <c r="AU36" i="156"/>
  <c r="AF50" i="99" s="1"/>
  <c r="BA14" i="155"/>
  <c r="AD12" i="108" s="1"/>
  <c r="BA47" i="155"/>
  <c r="AD45" i="108" s="1"/>
  <c r="BD6" i="155"/>
  <c r="BE29" i="155"/>
  <c r="BE40" i="155"/>
  <c r="AE38" i="108" s="1"/>
  <c r="AU39" i="156"/>
  <c r="AF54" i="99" s="1"/>
  <c r="BC6" i="155"/>
  <c r="AC5" i="156"/>
  <c r="AY6" i="155"/>
  <c r="BA52" i="155"/>
  <c r="AD50" i="108" s="1"/>
  <c r="BE37" i="155"/>
  <c r="AE35" i="108" s="1"/>
  <c r="AS12" i="156"/>
  <c r="P108" i="120"/>
  <c r="AU23" i="156"/>
  <c r="AF43" i="99" s="1"/>
  <c r="AR28" i="156"/>
  <c r="AE24" i="99" s="1"/>
  <c r="AP8" i="156"/>
  <c r="AX28" i="156"/>
  <c r="AG24" i="99" s="1"/>
  <c r="AO16" i="156"/>
  <c r="AD7" i="99" s="1"/>
  <c r="AM5" i="156"/>
  <c r="AR30" i="156"/>
  <c r="AE13" i="99" s="1"/>
  <c r="AS7" i="156"/>
  <c r="AU7" i="156" s="1"/>
  <c r="AU17" i="156"/>
  <c r="AF17" i="99" s="1"/>
  <c r="AR14" i="156"/>
  <c r="AP4" i="156"/>
  <c r="AX38" i="156"/>
  <c r="AG45" i="99" s="1"/>
  <c r="AS13" i="156"/>
  <c r="AU19" i="156"/>
  <c r="AF52" i="99" s="1"/>
  <c r="AR35" i="156"/>
  <c r="AE44" i="99" s="1"/>
  <c r="AP11" i="156"/>
  <c r="AE10" i="122"/>
  <c r="AE7" i="122"/>
  <c r="AM6" i="156"/>
  <c r="AU25" i="156"/>
  <c r="AF36" i="99" s="1"/>
  <c r="AS4" i="156"/>
  <c r="AU26" i="156"/>
  <c r="AF23" i="99" s="1"/>
  <c r="P117" i="120"/>
  <c r="AE8" i="122"/>
  <c r="O83" i="120"/>
  <c r="AF11" i="122"/>
  <c r="AE11" i="122"/>
  <c r="AU21" i="156"/>
  <c r="AF11" i="99" s="1"/>
  <c r="AR17" i="156"/>
  <c r="AE17" i="99" s="1"/>
  <c r="AP7" i="156"/>
  <c r="P100" i="120"/>
  <c r="AP6" i="156"/>
  <c r="AR27" i="156"/>
  <c r="AE12" i="99" s="1"/>
  <c r="AP5" i="156"/>
  <c r="AR16" i="156"/>
  <c r="AE7" i="99" s="1"/>
  <c r="AV5" i="156"/>
  <c r="AS6" i="156"/>
  <c r="AU16" i="156"/>
  <c r="AF7" i="99" s="1"/>
  <c r="AS5" i="156"/>
  <c r="AU5" i="156" s="1"/>
  <c r="AR54" i="156"/>
  <c r="AE47" i="99" s="1"/>
  <c r="AU35" i="156"/>
  <c r="AF44" i="99" s="1"/>
  <c r="AS11" i="156"/>
  <c r="AU11" i="156" s="1"/>
  <c r="AR40" i="156"/>
  <c r="AE37" i="99" s="1"/>
  <c r="AR42" i="156"/>
  <c r="AE38" i="99" s="1"/>
  <c r="O5" i="93"/>
  <c r="O5" i="119"/>
  <c r="T49" i="92"/>
  <c r="O5" i="112" s="1"/>
  <c r="S48" i="92"/>
  <c r="S47" i="92"/>
  <c r="AX25" i="156"/>
  <c r="AG36" i="99" s="1"/>
  <c r="AG35" i="122"/>
  <c r="O84" i="120"/>
  <c r="AG22" i="122"/>
  <c r="AG21" i="122"/>
  <c r="O91" i="120"/>
  <c r="O88" i="120"/>
  <c r="O93" i="120"/>
  <c r="O95" i="120"/>
  <c r="O90" i="120"/>
  <c r="O97" i="120"/>
  <c r="O117" i="120"/>
  <c r="P91" i="120"/>
  <c r="O85" i="120"/>
  <c r="O114" i="120"/>
  <c r="O107" i="120"/>
  <c r="AG50" i="122"/>
  <c r="AG42" i="122"/>
  <c r="AG18" i="122"/>
  <c r="O98" i="120"/>
  <c r="O108" i="120"/>
  <c r="P113" i="120"/>
  <c r="O103" i="120"/>
  <c r="O109" i="120"/>
  <c r="AG41" i="122"/>
  <c r="AG38" i="122"/>
  <c r="AU30" i="156"/>
  <c r="AF13" i="99" s="1"/>
  <c r="AU44" i="156"/>
  <c r="AF28" i="99" s="1"/>
  <c r="AX53" i="156"/>
  <c r="AG46" i="99" s="1"/>
  <c r="AX18" i="156"/>
  <c r="AG8" i="99" s="1"/>
  <c r="AX34" i="156"/>
  <c r="AG49" i="99" s="1"/>
  <c r="AX20" i="156"/>
  <c r="AG9" i="99" s="1"/>
  <c r="AX33" i="156"/>
  <c r="AG26" i="99" s="1"/>
  <c r="AX48" i="156"/>
  <c r="AG32" i="99" s="1"/>
  <c r="AX35" i="156"/>
  <c r="AG44" i="99" s="1"/>
  <c r="AU24" i="156"/>
  <c r="AF18" i="99" s="1"/>
  <c r="AX54" i="156"/>
  <c r="AG47" i="99" s="1"/>
  <c r="AX16" i="156"/>
  <c r="AG7" i="99" s="1"/>
  <c r="AX44" i="156"/>
  <c r="AG28" i="99" s="1"/>
  <c r="AU38" i="156"/>
  <c r="AF45" i="99" s="1"/>
  <c r="AU28" i="156"/>
  <c r="AF24" i="99" s="1"/>
  <c r="AU53" i="156"/>
  <c r="AF46" i="99" s="1"/>
  <c r="AU18" i="156"/>
  <c r="AF8" i="99" s="1"/>
  <c r="AU29" i="156"/>
  <c r="AF19" i="99" s="1"/>
  <c r="AU51" i="156"/>
  <c r="AF40" i="99" s="1"/>
  <c r="AU43" i="156"/>
  <c r="AF15" i="99" s="1"/>
  <c r="AU20" i="156"/>
  <c r="AF9" i="99" s="1"/>
  <c r="AU49" i="156"/>
  <c r="AF33" i="99" s="1"/>
  <c r="AX45" i="156"/>
  <c r="AG20" i="99" s="1"/>
  <c r="AU41" i="156"/>
  <c r="AF27" i="99" s="1"/>
  <c r="AU33" i="156"/>
  <c r="AF26" i="99" s="1"/>
  <c r="AU52" i="156"/>
  <c r="AF41" i="99" s="1"/>
  <c r="AX47" i="156"/>
  <c r="AG31" i="99" s="1"/>
  <c r="AU46" i="156"/>
  <c r="AF21" i="99" s="1"/>
  <c r="AU48" i="156"/>
  <c r="AF32" i="99" s="1"/>
  <c r="AX24" i="156"/>
  <c r="AG18" i="99" s="1"/>
  <c r="AU54" i="156"/>
  <c r="AF47" i="99" s="1"/>
  <c r="AU27" i="156"/>
  <c r="AF12" i="99" s="1"/>
  <c r="AF170" i="114"/>
  <c r="AF166" i="114"/>
  <c r="AF162" i="114"/>
  <c r="AF160" i="114"/>
  <c r="AF159" i="114"/>
  <c r="AF156" i="114"/>
  <c r="AF152" i="114"/>
  <c r="AF144" i="114"/>
  <c r="AF141" i="114"/>
  <c r="AF136" i="114"/>
  <c r="AF135" i="114"/>
  <c r="AF134" i="114"/>
  <c r="AF133" i="114"/>
  <c r="AF131" i="114"/>
  <c r="AF125" i="114"/>
  <c r="AG165" i="114"/>
  <c r="AF147" i="114"/>
  <c r="AF146" i="114"/>
  <c r="AF128" i="114"/>
  <c r="T23" i="176"/>
  <c r="AC10" i="176"/>
  <c r="AC9" i="176"/>
  <c r="AC7" i="176"/>
  <c r="AC6" i="176"/>
  <c r="AC15" i="176"/>
  <c r="U23" i="176"/>
  <c r="AC8" i="176"/>
  <c r="AC20" i="176"/>
  <c r="AC12" i="176"/>
  <c r="AC21" i="176"/>
  <c r="AF142" i="114"/>
  <c r="AG123" i="114"/>
  <c r="AF165" i="114"/>
  <c r="AF161" i="114"/>
  <c r="AF155" i="114"/>
  <c r="AF153" i="114"/>
  <c r="AF143" i="114"/>
  <c r="AF124" i="114"/>
  <c r="AF123" i="114"/>
  <c r="AF127" i="114"/>
  <c r="I19" i="165" l="1"/>
  <c r="I8" i="165" s="1"/>
  <c r="AP20" i="108"/>
  <c r="U6" i="108"/>
  <c r="BS128" i="114"/>
  <c r="AZ74" i="114"/>
  <c r="AE60" i="114" s="1"/>
  <c r="AW80" i="114"/>
  <c r="AV79" i="114"/>
  <c r="BF74" i="114"/>
  <c r="Y63" i="114" s="1"/>
  <c r="AU88" i="114" s="1"/>
  <c r="CR109" i="114"/>
  <c r="CC109" i="114"/>
  <c r="CJ109" i="114"/>
  <c r="AS84" i="114"/>
  <c r="U121" i="114"/>
  <c r="V28" i="86"/>
  <c r="V126" i="114"/>
  <c r="R65" i="123"/>
  <c r="AP31" i="108"/>
  <c r="Y51" i="108"/>
  <c r="S48" i="108"/>
  <c r="X48" i="108"/>
  <c r="AO53" i="155"/>
  <c r="U42" i="108"/>
  <c r="AK53" i="155"/>
  <c r="AC31" i="155"/>
  <c r="P14" i="101"/>
  <c r="AC36" i="155"/>
  <c r="J89" i="101"/>
  <c r="J46" i="116"/>
  <c r="J12" i="116" s="1"/>
  <c r="J28" i="116"/>
  <c r="J9" i="116" s="1"/>
  <c r="I61" i="123"/>
  <c r="I23" i="123"/>
  <c r="I9" i="123" s="1"/>
  <c r="H28" i="116"/>
  <c r="H9" i="116" s="1"/>
  <c r="H64" i="123"/>
  <c r="H16" i="123" s="1"/>
  <c r="H42" i="123"/>
  <c r="F61" i="123"/>
  <c r="F15" i="123" s="1"/>
  <c r="D46" i="116"/>
  <c r="D12" i="116" s="1"/>
  <c r="O64" i="123"/>
  <c r="O16" i="123" s="1"/>
  <c r="O42" i="123"/>
  <c r="O12" i="123" s="1"/>
  <c r="O23" i="123"/>
  <c r="O9" i="123" s="1"/>
  <c r="P63" i="116"/>
  <c r="P15" i="116" s="1"/>
  <c r="D14" i="122"/>
  <c r="D8" i="122"/>
  <c r="E41" i="99"/>
  <c r="M51" i="99"/>
  <c r="N9" i="122"/>
  <c r="D55" i="123"/>
  <c r="D14" i="123" s="1"/>
  <c r="K60" i="86"/>
  <c r="E164" i="114" s="1"/>
  <c r="H14" i="122"/>
  <c r="J54" i="108"/>
  <c r="D23" i="165"/>
  <c r="D9" i="165" s="1"/>
  <c r="D61" i="165"/>
  <c r="D15" i="165" s="1"/>
  <c r="M61" i="165"/>
  <c r="M15" i="165" s="1"/>
  <c r="K61" i="165"/>
  <c r="K15" i="165" s="1"/>
  <c r="J19" i="123"/>
  <c r="J8" i="123" s="1"/>
  <c r="I19" i="123"/>
  <c r="I8" i="123" s="1"/>
  <c r="H44" i="108"/>
  <c r="H13" i="122"/>
  <c r="T10" i="156"/>
  <c r="N8" i="156"/>
  <c r="F14" i="122"/>
  <c r="G50" i="99"/>
  <c r="G8" i="122"/>
  <c r="I27" i="108"/>
  <c r="J47" i="108"/>
  <c r="G19" i="165"/>
  <c r="G8" i="165" s="1"/>
  <c r="K98" i="98"/>
  <c r="F3" i="101"/>
  <c r="P89" i="101"/>
  <c r="D58" i="101"/>
  <c r="D60" i="107"/>
  <c r="O5" i="107"/>
  <c r="AB91" i="107"/>
  <c r="C60" i="122"/>
  <c r="E7" i="122"/>
  <c r="AG53" i="155"/>
  <c r="N41" i="116"/>
  <c r="N11" i="116" s="1"/>
  <c r="I63" i="116"/>
  <c r="I15" i="116" s="1"/>
  <c r="I55" i="123"/>
  <c r="I14" i="123" s="1"/>
  <c r="D35" i="123"/>
  <c r="D11" i="123" s="1"/>
  <c r="O46" i="116"/>
  <c r="O12" i="116" s="1"/>
  <c r="U50" i="155"/>
  <c r="H76" i="120"/>
  <c r="T5" i="107"/>
  <c r="AB34" i="107"/>
  <c r="C43" i="99"/>
  <c r="C12" i="122"/>
  <c r="F60" i="116"/>
  <c r="F14" i="116" s="1"/>
  <c r="F41" i="116"/>
  <c r="F11" i="116" s="1"/>
  <c r="U6" i="99"/>
  <c r="W51" i="99"/>
  <c r="AS6" i="108"/>
  <c r="Z53" i="98"/>
  <c r="R5" i="107"/>
  <c r="L174" i="122"/>
  <c r="E37" i="99"/>
  <c r="F27" i="108"/>
  <c r="I51" i="99"/>
  <c r="J33" i="108"/>
  <c r="P28" i="86"/>
  <c r="J132" i="114" s="1"/>
  <c r="K48" i="99"/>
  <c r="K24" i="108"/>
  <c r="Q5" i="107"/>
  <c r="S5" i="107" s="1"/>
  <c r="K10" i="99"/>
  <c r="G14" i="101"/>
  <c r="Y91" i="107"/>
  <c r="L173" i="122"/>
  <c r="H53" i="108"/>
  <c r="I52" i="108"/>
  <c r="I24" i="108"/>
  <c r="N14" i="122"/>
  <c r="P33" i="108"/>
  <c r="AG24" i="155"/>
  <c r="M61" i="123"/>
  <c r="M15" i="123" s="1"/>
  <c r="BJ74" i="114"/>
  <c r="AC63" i="114" s="1"/>
  <c r="AY88" i="114" s="1"/>
  <c r="AY89" i="114" s="1"/>
  <c r="Q61" i="122"/>
  <c r="N47" i="108"/>
  <c r="D9" i="122"/>
  <c r="K18" i="116"/>
  <c r="K7" i="116" s="1"/>
  <c r="D64" i="123"/>
  <c r="D16" i="123" s="1"/>
  <c r="K64" i="165"/>
  <c r="K16" i="165" s="1"/>
  <c r="I64" i="165"/>
  <c r="I16" i="165" s="1"/>
  <c r="G64" i="165"/>
  <c r="G16" i="165" s="1"/>
  <c r="G61" i="165"/>
  <c r="G15" i="165" s="1"/>
  <c r="H29" i="165"/>
  <c r="H10" i="165" s="1"/>
  <c r="K35" i="165"/>
  <c r="K11" i="165" s="1"/>
  <c r="O42" i="165"/>
  <c r="O12" i="165" s="1"/>
  <c r="M64" i="165"/>
  <c r="M16" i="165" s="1"/>
  <c r="E64" i="165"/>
  <c r="E16" i="165" s="1"/>
  <c r="L29" i="165"/>
  <c r="L10" i="165" s="1"/>
  <c r="D19" i="165"/>
  <c r="D8" i="165" s="1"/>
  <c r="K23" i="165"/>
  <c r="K9" i="165" s="1"/>
  <c r="E19" i="165"/>
  <c r="E8" i="165" s="1"/>
  <c r="K19" i="165"/>
  <c r="K8" i="165" s="1"/>
  <c r="O29" i="165"/>
  <c r="O10" i="165" s="1"/>
  <c r="O64" i="165"/>
  <c r="O16" i="165" s="1"/>
  <c r="K55" i="165"/>
  <c r="K14" i="165" s="1"/>
  <c r="E61" i="165"/>
  <c r="E15" i="165" s="1"/>
  <c r="R34" i="123"/>
  <c r="R53" i="123"/>
  <c r="R31" i="123"/>
  <c r="R32" i="123"/>
  <c r="R33" i="123"/>
  <c r="R40" i="123"/>
  <c r="R49" i="123"/>
  <c r="F50" i="92"/>
  <c r="R67" i="123"/>
  <c r="R66" i="123"/>
  <c r="R22" i="123"/>
  <c r="R45" i="123"/>
  <c r="R46" i="123"/>
  <c r="R44" i="123"/>
  <c r="R62" i="123"/>
  <c r="R61" i="123" s="1"/>
  <c r="R24" i="123"/>
  <c r="L23" i="123"/>
  <c r="L9" i="123" s="1"/>
  <c r="K67" i="98"/>
  <c r="J14" i="101"/>
  <c r="AG11" i="107"/>
  <c r="P174" i="122"/>
  <c r="Q42" i="122"/>
  <c r="Q170" i="122"/>
  <c r="Q178" i="122" s="1"/>
  <c r="I3" i="101"/>
  <c r="X7" i="86"/>
  <c r="R120" i="114" s="1"/>
  <c r="F42" i="123"/>
  <c r="F12" i="123" s="1"/>
  <c r="G19" i="123"/>
  <c r="G8" i="123" s="1"/>
  <c r="AB52" i="108"/>
  <c r="AS53" i="155"/>
  <c r="F13" i="122"/>
  <c r="S36" i="123"/>
  <c r="S41" i="123"/>
  <c r="S40" i="123"/>
  <c r="S33" i="123"/>
  <c r="S25" i="123"/>
  <c r="R60" i="86"/>
  <c r="M55" i="165"/>
  <c r="M14" i="165" s="1"/>
  <c r="I55" i="165"/>
  <c r="I14" i="165" s="1"/>
  <c r="I35" i="123"/>
  <c r="I11" i="123" s="1"/>
  <c r="D22" i="116"/>
  <c r="D8" i="116" s="1"/>
  <c r="P54" i="116"/>
  <c r="P13" i="116" s="1"/>
  <c r="Q46" i="116"/>
  <c r="Q12" i="116" s="1"/>
  <c r="N34" i="99"/>
  <c r="R38" i="123"/>
  <c r="R54" i="123"/>
  <c r="R58" i="123"/>
  <c r="R56" i="123"/>
  <c r="R59" i="123"/>
  <c r="R60" i="123"/>
  <c r="R30" i="123"/>
  <c r="R20" i="123"/>
  <c r="R21" i="123"/>
  <c r="R51" i="123"/>
  <c r="R41" i="123"/>
  <c r="R28" i="123"/>
  <c r="R26" i="123"/>
  <c r="R50" i="123"/>
  <c r="R36" i="123"/>
  <c r="P66" i="123"/>
  <c r="P27" i="123"/>
  <c r="P38" i="123"/>
  <c r="P40" i="123"/>
  <c r="P49" i="123"/>
  <c r="P57" i="123"/>
  <c r="P44" i="123"/>
  <c r="AX80" i="114"/>
  <c r="AY85" i="114" s="1"/>
  <c r="BY109" i="114"/>
  <c r="Z8" i="156"/>
  <c r="T4" i="156"/>
  <c r="AL51" i="156"/>
  <c r="AC40" i="99" s="1"/>
  <c r="AL25" i="156"/>
  <c r="AC36" i="99" s="1"/>
  <c r="R52" i="123"/>
  <c r="R57" i="123"/>
  <c r="AL42" i="156"/>
  <c r="AC38" i="99" s="1"/>
  <c r="K64" i="123"/>
  <c r="K16" i="123" s="1"/>
  <c r="J52" i="108"/>
  <c r="K41" i="108"/>
  <c r="M22" i="99"/>
  <c r="N50" i="108"/>
  <c r="N48" i="108" s="1"/>
  <c r="O43" i="108"/>
  <c r="Y7" i="86"/>
  <c r="X5" i="122"/>
  <c r="D47" i="165"/>
  <c r="D13" i="165" s="1"/>
  <c r="N64" i="165"/>
  <c r="N16" i="165" s="1"/>
  <c r="M35" i="165"/>
  <c r="M11" i="165" s="1"/>
  <c r="L64" i="165"/>
  <c r="L16" i="165" s="1"/>
  <c r="J64" i="165"/>
  <c r="J16" i="165" s="1"/>
  <c r="I35" i="165"/>
  <c r="I11" i="165" s="1"/>
  <c r="H64" i="165"/>
  <c r="H16" i="165" s="1"/>
  <c r="G35" i="165"/>
  <c r="G11" i="165" s="1"/>
  <c r="F64" i="165"/>
  <c r="F16" i="165" s="1"/>
  <c r="E35" i="165"/>
  <c r="E11" i="165" s="1"/>
  <c r="CK91" i="114"/>
  <c r="P34" i="116"/>
  <c r="P10" i="116" s="1"/>
  <c r="Y8" i="155"/>
  <c r="W7" i="156"/>
  <c r="AL49" i="156"/>
  <c r="AC33" i="99" s="1"/>
  <c r="AL47" i="156"/>
  <c r="AC31" i="99" s="1"/>
  <c r="AL48" i="156"/>
  <c r="AC32" i="99" s="1"/>
  <c r="AF5" i="107"/>
  <c r="W11" i="108"/>
  <c r="W10" i="108" s="1"/>
  <c r="Y12" i="155"/>
  <c r="AK18" i="155"/>
  <c r="AA25" i="108"/>
  <c r="AA22" i="108" s="1"/>
  <c r="AO24" i="155"/>
  <c r="X39" i="108"/>
  <c r="X34" i="108" s="1"/>
  <c r="J10" i="99"/>
  <c r="L11" i="122"/>
  <c r="N28" i="108"/>
  <c r="N8" i="122"/>
  <c r="H46" i="108"/>
  <c r="I29" i="99"/>
  <c r="I10" i="99"/>
  <c r="I41" i="108"/>
  <c r="K45" i="108"/>
  <c r="L42" i="99"/>
  <c r="AC24" i="98"/>
  <c r="L23" i="165"/>
  <c r="L9" i="165" s="1"/>
  <c r="H42" i="165"/>
  <c r="H12" i="165" s="1"/>
  <c r="AT81" i="114"/>
  <c r="AT86" i="114" s="1"/>
  <c r="CF91" i="114"/>
  <c r="K42" i="123"/>
  <c r="K12" i="123" s="1"/>
  <c r="G41" i="116"/>
  <c r="G11" i="116" s="1"/>
  <c r="AC5" i="116"/>
  <c r="AC4" i="116" s="1"/>
  <c r="J47" i="123"/>
  <c r="J13" i="123" s="1"/>
  <c r="G46" i="116"/>
  <c r="G12" i="116" s="1"/>
  <c r="M42" i="99"/>
  <c r="L8" i="122"/>
  <c r="AC30" i="98"/>
  <c r="V34" i="86" s="1"/>
  <c r="P138" i="206" s="1"/>
  <c r="F49" i="99"/>
  <c r="H24" i="108"/>
  <c r="N54" i="116"/>
  <c r="N13" i="116" s="1"/>
  <c r="L47" i="123"/>
  <c r="L13" i="123" s="1"/>
  <c r="K41" i="116"/>
  <c r="K11" i="116" s="1"/>
  <c r="K22" i="116"/>
  <c r="K8" i="116" s="1"/>
  <c r="H18" i="116"/>
  <c r="H7" i="116" s="1"/>
  <c r="E18" i="116"/>
  <c r="E7" i="116" s="1"/>
  <c r="D18" i="116"/>
  <c r="D7" i="116" s="1"/>
  <c r="D29" i="123"/>
  <c r="D10" i="123" s="1"/>
  <c r="O19" i="165"/>
  <c r="O8" i="165" s="1"/>
  <c r="Q60" i="116"/>
  <c r="Q14" i="116" s="1"/>
  <c r="Q22" i="116"/>
  <c r="Q8" i="116" s="1"/>
  <c r="E38" i="108"/>
  <c r="F46" i="99"/>
  <c r="E42" i="165"/>
  <c r="E12" i="165" s="1"/>
  <c r="H46" i="116"/>
  <c r="H12" i="116" s="1"/>
  <c r="AL14" i="156"/>
  <c r="AO31" i="155"/>
  <c r="H47" i="165"/>
  <c r="H13" i="165" s="1"/>
  <c r="S56" i="123"/>
  <c r="W24" i="98"/>
  <c r="M10" i="122"/>
  <c r="N11" i="122"/>
  <c r="AT18" i="91"/>
  <c r="AT17" i="91" s="1"/>
  <c r="BG74" i="114"/>
  <c r="Z63" i="114" s="1"/>
  <c r="AV88" i="114" s="1"/>
  <c r="K13" i="122"/>
  <c r="AC7" i="108"/>
  <c r="AC6" i="108" s="1"/>
  <c r="AW8" i="155"/>
  <c r="AC50" i="155"/>
  <c r="AL22" i="156"/>
  <c r="AC35" i="99" s="1"/>
  <c r="E45" i="108"/>
  <c r="G54" i="99"/>
  <c r="G49" i="99"/>
  <c r="G48" i="99" s="1"/>
  <c r="N54" i="108"/>
  <c r="O41" i="108"/>
  <c r="O9" i="122"/>
  <c r="AB6" i="155"/>
  <c r="D55" i="165"/>
  <c r="D14" i="165" s="1"/>
  <c r="W5" i="122"/>
  <c r="Y5" i="122"/>
  <c r="AV89" i="114"/>
  <c r="AV85" i="114" s="1"/>
  <c r="AC7" i="86"/>
  <c r="V120" i="206" s="1"/>
  <c r="C13" i="122"/>
  <c r="S51" i="99"/>
  <c r="B3" i="101"/>
  <c r="N28" i="116"/>
  <c r="N9" i="116" s="1"/>
  <c r="F23" i="123"/>
  <c r="F9" i="123" s="1"/>
  <c r="G64" i="123"/>
  <c r="G16" i="123" s="1"/>
  <c r="P11" i="122"/>
  <c r="M42" i="165"/>
  <c r="M12" i="165" s="1"/>
  <c r="I42" i="165"/>
  <c r="I12" i="165" s="1"/>
  <c r="I28" i="116"/>
  <c r="I9" i="116" s="1"/>
  <c r="T5" i="122"/>
  <c r="T30" i="98"/>
  <c r="L34" i="86" s="1"/>
  <c r="F138" i="114" s="1"/>
  <c r="L38" i="86"/>
  <c r="F142" i="114" s="1"/>
  <c r="F26" i="114" s="1"/>
  <c r="AC50" i="98"/>
  <c r="D34" i="107"/>
  <c r="M50" i="108"/>
  <c r="M48" i="108" s="1"/>
  <c r="O50" i="108"/>
  <c r="O48" i="108" s="1"/>
  <c r="P13" i="122"/>
  <c r="Z24" i="98"/>
  <c r="L44" i="108"/>
  <c r="M37" i="108"/>
  <c r="R48" i="123"/>
  <c r="T122" i="114"/>
  <c r="S50" i="123"/>
  <c r="S62" i="123"/>
  <c r="U8" i="155"/>
  <c r="T50" i="98"/>
  <c r="AL52" i="156"/>
  <c r="AC41" i="99" s="1"/>
  <c r="F167" i="122"/>
  <c r="F175" i="122" s="1"/>
  <c r="C14" i="122"/>
  <c r="C11" i="122"/>
  <c r="E9" i="122"/>
  <c r="F27" i="99"/>
  <c r="L28" i="86"/>
  <c r="F132" i="114" s="1"/>
  <c r="G6" i="108"/>
  <c r="H12" i="122"/>
  <c r="K50" i="108"/>
  <c r="K30" i="108"/>
  <c r="K14" i="122"/>
  <c r="K11" i="122"/>
  <c r="K8" i="122"/>
  <c r="F55" i="165"/>
  <c r="F14" i="165" s="1"/>
  <c r="N42" i="123"/>
  <c r="N12" i="123" s="1"/>
  <c r="E44" i="108"/>
  <c r="C172" i="122"/>
  <c r="M23" i="165"/>
  <c r="M9" i="165" s="1"/>
  <c r="J55" i="123"/>
  <c r="J14" i="123" s="1"/>
  <c r="G23" i="165"/>
  <c r="G9" i="165" s="1"/>
  <c r="L34" i="116"/>
  <c r="L10" i="116" s="1"/>
  <c r="F46" i="116"/>
  <c r="F12" i="116" s="1"/>
  <c r="T42" i="86"/>
  <c r="T41" i="86" s="1"/>
  <c r="AA37" i="98"/>
  <c r="CD109" i="114"/>
  <c r="AX79" i="114"/>
  <c r="AP40" i="108"/>
  <c r="K42" i="122"/>
  <c r="K170" i="122"/>
  <c r="K171" i="122" s="1"/>
  <c r="R43" i="123"/>
  <c r="C15" i="122"/>
  <c r="R39" i="123"/>
  <c r="R37" i="123"/>
  <c r="U28" i="86"/>
  <c r="O132" i="206" s="1"/>
  <c r="S30" i="123"/>
  <c r="R27" i="123"/>
  <c r="AB24" i="98"/>
  <c r="AL50" i="156"/>
  <c r="AC39" i="99" s="1"/>
  <c r="C50" i="108"/>
  <c r="D35" i="107"/>
  <c r="C30" i="108" s="1"/>
  <c r="C34" i="107"/>
  <c r="M18" i="86"/>
  <c r="G122" i="114" s="1"/>
  <c r="H45" i="108"/>
  <c r="L27" i="108"/>
  <c r="AT19" i="91"/>
  <c r="CO91" i="114"/>
  <c r="AV78" i="114"/>
  <c r="AU18" i="91"/>
  <c r="BH74" i="114"/>
  <c r="AA63" i="114" s="1"/>
  <c r="AW88" i="114" s="1"/>
  <c r="K34" i="116"/>
  <c r="K10" i="116" s="1"/>
  <c r="I34" i="116"/>
  <c r="I10" i="116" s="1"/>
  <c r="G34" i="116"/>
  <c r="G10" i="116" s="1"/>
  <c r="F29" i="123"/>
  <c r="F10" i="123" s="1"/>
  <c r="E34" i="116"/>
  <c r="E10" i="116" s="1"/>
  <c r="O55" i="165"/>
  <c r="O14" i="165" s="1"/>
  <c r="N29" i="99"/>
  <c r="AR4" i="156"/>
  <c r="AE5" i="99" s="1"/>
  <c r="O174" i="122"/>
  <c r="N7" i="122"/>
  <c r="O53" i="108"/>
  <c r="O8" i="122"/>
  <c r="AA6" i="155"/>
  <c r="N35" i="165"/>
  <c r="N11" i="165" s="1"/>
  <c r="K47" i="165"/>
  <c r="K13" i="165" s="1"/>
  <c r="I29" i="165"/>
  <c r="I10" i="165" s="1"/>
  <c r="S6" i="155"/>
  <c r="AC4" i="156"/>
  <c r="Z5" i="99" s="1"/>
  <c r="AC12" i="156"/>
  <c r="Z10" i="156"/>
  <c r="T6" i="156"/>
  <c r="Q4" i="156"/>
  <c r="Q12" i="156"/>
  <c r="N4" i="156"/>
  <c r="AG12" i="155"/>
  <c r="N174" i="122"/>
  <c r="E8" i="122"/>
  <c r="F50" i="108"/>
  <c r="F30" i="108"/>
  <c r="H8" i="122"/>
  <c r="J11" i="122"/>
  <c r="J8" i="122"/>
  <c r="L54" i="108"/>
  <c r="M6" i="108"/>
  <c r="N53" i="108"/>
  <c r="N13" i="122"/>
  <c r="P8" i="122"/>
  <c r="Q42" i="99"/>
  <c r="I42" i="123"/>
  <c r="I12" i="123" s="1"/>
  <c r="K54" i="116"/>
  <c r="K13" i="116" s="1"/>
  <c r="F47" i="123"/>
  <c r="F13" i="123" s="1"/>
  <c r="D23" i="123"/>
  <c r="G99" i="120"/>
  <c r="J61" i="123"/>
  <c r="J15" i="123" s="1"/>
  <c r="L172" i="122"/>
  <c r="I11" i="122"/>
  <c r="P9" i="122"/>
  <c r="N55" i="165"/>
  <c r="N14" i="165" s="1"/>
  <c r="I47" i="165"/>
  <c r="I13" i="165" s="1"/>
  <c r="G29" i="165"/>
  <c r="G10" i="165" s="1"/>
  <c r="AL45" i="156"/>
  <c r="AC20" i="99" s="1"/>
  <c r="M16" i="107"/>
  <c r="P91" i="107"/>
  <c r="AG63" i="107"/>
  <c r="E54" i="108"/>
  <c r="E49" i="108"/>
  <c r="H54" i="108"/>
  <c r="H11" i="122"/>
  <c r="I44" i="108"/>
  <c r="I14" i="122"/>
  <c r="K69" i="122"/>
  <c r="O29" i="99"/>
  <c r="O38" i="108"/>
  <c r="O30" i="108"/>
  <c r="P51" i="108"/>
  <c r="U18" i="155"/>
  <c r="N42" i="99"/>
  <c r="N6" i="156"/>
  <c r="AL29" i="156"/>
  <c r="AC19" i="99" s="1"/>
  <c r="E19" i="123"/>
  <c r="E8" i="123" s="1"/>
  <c r="H43" i="108"/>
  <c r="AO5" i="156"/>
  <c r="AK50" i="155"/>
  <c r="T121" i="114"/>
  <c r="CQ91" i="114"/>
  <c r="G42" i="123"/>
  <c r="G12" i="123" s="1"/>
  <c r="K29" i="123"/>
  <c r="K10" i="123" s="1"/>
  <c r="E23" i="123"/>
  <c r="E9" i="123" s="1"/>
  <c r="E61" i="123"/>
  <c r="E15" i="123" s="1"/>
  <c r="L35" i="123"/>
  <c r="L11" i="123" s="1"/>
  <c r="M47" i="123"/>
  <c r="N55" i="123"/>
  <c r="N14" i="123" s="1"/>
  <c r="N19" i="123"/>
  <c r="N8" i="123" s="1"/>
  <c r="I3" i="98"/>
  <c r="O61" i="122"/>
  <c r="H27" i="108"/>
  <c r="I53" i="108"/>
  <c r="M6" i="99"/>
  <c r="BT109" i="114"/>
  <c r="J76" i="120"/>
  <c r="O14" i="122"/>
  <c r="Z4" i="156"/>
  <c r="G172" i="122"/>
  <c r="Q28" i="86"/>
  <c r="K132" i="114" s="1"/>
  <c r="E76" i="120"/>
  <c r="K29" i="122"/>
  <c r="K10" i="122" s="1"/>
  <c r="AL23" i="156"/>
  <c r="AC43" i="99" s="1"/>
  <c r="N61" i="122"/>
  <c r="N60" i="122" s="1"/>
  <c r="G27" i="108"/>
  <c r="H47" i="108"/>
  <c r="Z12" i="156"/>
  <c r="E10" i="99"/>
  <c r="F38" i="99"/>
  <c r="H7" i="122"/>
  <c r="K53" i="108"/>
  <c r="L29" i="123"/>
  <c r="L10" i="123" s="1"/>
  <c r="R122" i="114"/>
  <c r="AC5" i="122"/>
  <c r="AW31" i="155"/>
  <c r="AL17" i="156"/>
  <c r="AC17" i="99" s="1"/>
  <c r="Y6" i="108"/>
  <c r="O7" i="122"/>
  <c r="P16" i="99"/>
  <c r="AF8" i="156"/>
  <c r="AJ6" i="155"/>
  <c r="X6" i="155"/>
  <c r="T6" i="155"/>
  <c r="AC8" i="156"/>
  <c r="Q8" i="156"/>
  <c r="U59" i="114"/>
  <c r="U59" i="206"/>
  <c r="AS78" i="114"/>
  <c r="AS83" i="114" s="1"/>
  <c r="BW91" i="114"/>
  <c r="W37" i="98"/>
  <c r="E45" i="99"/>
  <c r="K44" i="108"/>
  <c r="O12" i="122"/>
  <c r="S59" i="114"/>
  <c r="S60" i="114" s="1"/>
  <c r="S59" i="206"/>
  <c r="S60" i="206" s="1"/>
  <c r="M47" i="165"/>
  <c r="M13" i="165" s="1"/>
  <c r="L35" i="165"/>
  <c r="L11" i="165" s="1"/>
  <c r="J19" i="165"/>
  <c r="J8" i="165" s="1"/>
  <c r="H19" i="165"/>
  <c r="H8" i="165" s="1"/>
  <c r="T145" i="114"/>
  <c r="T145" i="206"/>
  <c r="AA7" i="86"/>
  <c r="T120" i="114" s="1"/>
  <c r="I54" i="116"/>
  <c r="I13" i="116" s="1"/>
  <c r="G35" i="123"/>
  <c r="G11" i="123" s="1"/>
  <c r="J14" i="122"/>
  <c r="K7" i="122"/>
  <c r="U64" i="86"/>
  <c r="U63" i="86" s="1"/>
  <c r="AB59" i="98"/>
  <c r="Q22" i="99"/>
  <c r="G52" i="99"/>
  <c r="M41" i="108"/>
  <c r="M69" i="122"/>
  <c r="M170" i="122"/>
  <c r="M178" i="122" s="1"/>
  <c r="M42" i="122"/>
  <c r="M15" i="122" s="1"/>
  <c r="O51" i="99"/>
  <c r="U62" i="86"/>
  <c r="U60" i="86" s="1"/>
  <c r="O164" i="114" s="1"/>
  <c r="AB56" i="98"/>
  <c r="K35" i="123"/>
  <c r="K11" i="123" s="1"/>
  <c r="K54" i="108"/>
  <c r="T30" i="86"/>
  <c r="N134" i="114" s="1"/>
  <c r="N18" i="114" s="1"/>
  <c r="AA24" i="98"/>
  <c r="AS44" i="155"/>
  <c r="R145" i="114"/>
  <c r="R145" i="206"/>
  <c r="G16" i="107"/>
  <c r="V121" i="114"/>
  <c r="V121" i="206"/>
  <c r="AC40" i="108"/>
  <c r="AC34" i="108" s="1"/>
  <c r="AW36" i="155"/>
  <c r="Z52" i="108"/>
  <c r="D32" i="101"/>
  <c r="X14" i="98"/>
  <c r="AB50" i="108"/>
  <c r="AB48" i="108" s="1"/>
  <c r="AS50" i="155"/>
  <c r="N3" i="101"/>
  <c r="W6" i="155"/>
  <c r="W13" i="156"/>
  <c r="N9" i="156"/>
  <c r="AL39" i="156"/>
  <c r="AC54" i="99" s="1"/>
  <c r="AL19" i="156"/>
  <c r="AC52" i="99" s="1"/>
  <c r="H42" i="122"/>
  <c r="H15" i="122" s="1"/>
  <c r="H69" i="122"/>
  <c r="H60" i="122" s="1"/>
  <c r="P61" i="86"/>
  <c r="J165" i="114" s="1"/>
  <c r="J49" i="114" s="1"/>
  <c r="W56" i="98"/>
  <c r="V89" i="114"/>
  <c r="V92" i="114" s="1"/>
  <c r="V32" i="114" s="1"/>
  <c r="V76" i="206"/>
  <c r="V89" i="206"/>
  <c r="V76" i="114"/>
  <c r="V77" i="114" s="1"/>
  <c r="W77" i="114" s="1"/>
  <c r="W17" i="114" s="1"/>
  <c r="O61" i="86"/>
  <c r="O60" i="86" s="1"/>
  <c r="V56" i="98"/>
  <c r="P23" i="86"/>
  <c r="J127" i="114" s="1"/>
  <c r="J11" i="114" s="1"/>
  <c r="W18" i="98"/>
  <c r="U14" i="98"/>
  <c r="P5" i="107"/>
  <c r="Q18" i="86"/>
  <c r="K122" i="114" s="1"/>
  <c r="AC18" i="98"/>
  <c r="U122" i="114"/>
  <c r="U122" i="206"/>
  <c r="AB7" i="86"/>
  <c r="U120" i="114" s="1"/>
  <c r="U22" i="108"/>
  <c r="AC53" i="155"/>
  <c r="X52" i="108"/>
  <c r="X51" i="108" s="1"/>
  <c r="CL109" i="114"/>
  <c r="AY81" i="114"/>
  <c r="AZ86" i="114" s="1"/>
  <c r="S37" i="98"/>
  <c r="K42" i="86"/>
  <c r="K41" i="86" s="1"/>
  <c r="AB42" i="98"/>
  <c r="U47" i="86"/>
  <c r="O151" i="206" s="1"/>
  <c r="O35" i="206" s="1"/>
  <c r="V138" i="206"/>
  <c r="V138" i="114"/>
  <c r="L10" i="108"/>
  <c r="O46" i="108"/>
  <c r="O42" i="122"/>
  <c r="O15" i="122" s="1"/>
  <c r="O69" i="122"/>
  <c r="O170" i="122"/>
  <c r="O178" i="122" s="1"/>
  <c r="V19" i="86"/>
  <c r="V18" i="86" s="1"/>
  <c r="P122" i="114" s="1"/>
  <c r="AC14" i="98"/>
  <c r="L55" i="165"/>
  <c r="L14" i="165" s="1"/>
  <c r="J55" i="165"/>
  <c r="J14" i="165" s="1"/>
  <c r="H35" i="165"/>
  <c r="H11" i="165" s="1"/>
  <c r="F19" i="165"/>
  <c r="F8" i="165" s="1"/>
  <c r="J54" i="116"/>
  <c r="J13" i="116" s="1"/>
  <c r="H29" i="123"/>
  <c r="H10" i="123" s="1"/>
  <c r="O47" i="123"/>
  <c r="O13" i="123" s="1"/>
  <c r="O29" i="123"/>
  <c r="O10" i="123" s="1"/>
  <c r="P46" i="116"/>
  <c r="P12" i="116" s="1"/>
  <c r="G33" i="99"/>
  <c r="P12" i="122"/>
  <c r="J55" i="86"/>
  <c r="D159" i="206" s="1"/>
  <c r="D43" i="206" s="1"/>
  <c r="R50" i="98"/>
  <c r="M53" i="108"/>
  <c r="U43" i="86"/>
  <c r="O147" i="114" s="1"/>
  <c r="O31" i="114" s="1"/>
  <c r="AB37" i="98"/>
  <c r="O11" i="122"/>
  <c r="S56" i="98"/>
  <c r="E29" i="123"/>
  <c r="E10" i="123" s="1"/>
  <c r="R5" i="122"/>
  <c r="P172" i="122"/>
  <c r="P61" i="122"/>
  <c r="E37" i="108"/>
  <c r="J28" i="108"/>
  <c r="N24" i="108"/>
  <c r="AA4" i="98"/>
  <c r="H171" i="122"/>
  <c r="E38" i="99"/>
  <c r="E34" i="99" s="1"/>
  <c r="G11" i="122"/>
  <c r="M45" i="108"/>
  <c r="M11" i="122"/>
  <c r="T8" i="86"/>
  <c r="N121" i="114" s="1"/>
  <c r="N5" i="114" s="1"/>
  <c r="J8" i="86"/>
  <c r="D121" i="206" s="1"/>
  <c r="D5" i="206" s="1"/>
  <c r="F54" i="108"/>
  <c r="R46" i="86"/>
  <c r="L150" i="114" s="1"/>
  <c r="Y4" i="98"/>
  <c r="M150" i="114"/>
  <c r="M150" i="206"/>
  <c r="R41" i="86"/>
  <c r="L145" i="114" s="1"/>
  <c r="G91" i="107"/>
  <c r="M145" i="114"/>
  <c r="M145" i="206"/>
  <c r="L61" i="122"/>
  <c r="Z54" i="98"/>
  <c r="Z14" i="98"/>
  <c r="R138" i="114"/>
  <c r="R138" i="206"/>
  <c r="P19" i="86"/>
  <c r="P18" i="86" s="1"/>
  <c r="J122" i="114" s="1"/>
  <c r="W14" i="98"/>
  <c r="T59" i="114"/>
  <c r="T60" i="114" s="1"/>
  <c r="T59" i="206"/>
  <c r="T60" i="206" s="1"/>
  <c r="V5" i="122"/>
  <c r="AG44" i="155"/>
  <c r="V158" i="114"/>
  <c r="V158" i="206"/>
  <c r="T167" i="114"/>
  <c r="T167" i="206"/>
  <c r="M54" i="116"/>
  <c r="M13" i="116" s="1"/>
  <c r="K47" i="123"/>
  <c r="K13" i="123" s="1"/>
  <c r="J42" i="123"/>
  <c r="J12" i="123" s="1"/>
  <c r="I60" i="116"/>
  <c r="I14" i="116" s="1"/>
  <c r="I41" i="116"/>
  <c r="I11" i="116" s="1"/>
  <c r="E42" i="123"/>
  <c r="E12" i="123" s="1"/>
  <c r="O61" i="165"/>
  <c r="O15" i="165" s="1"/>
  <c r="O35" i="123"/>
  <c r="O11" i="123" s="1"/>
  <c r="U48" i="99"/>
  <c r="E104" i="120"/>
  <c r="W34" i="99"/>
  <c r="W46" i="108"/>
  <c r="Y44" i="155"/>
  <c r="I86" i="120"/>
  <c r="AI4" i="156"/>
  <c r="AB5" i="99" s="1"/>
  <c r="U19" i="86"/>
  <c r="O123" i="206" s="1"/>
  <c r="O7" i="206" s="1"/>
  <c r="AB14" i="98"/>
  <c r="V9" i="86"/>
  <c r="V8" i="86" s="1"/>
  <c r="AC4" i="98"/>
  <c r="Q168" i="114"/>
  <c r="Q52" i="114" s="1"/>
  <c r="Q51" i="114" s="1"/>
  <c r="Q168" i="206"/>
  <c r="Q52" i="206" s="1"/>
  <c r="Q51" i="206" s="1"/>
  <c r="W63" i="86"/>
  <c r="L47" i="108"/>
  <c r="N46" i="108"/>
  <c r="AR80" i="114"/>
  <c r="BY91" i="114"/>
  <c r="M29" i="165"/>
  <c r="M10" i="165" s="1"/>
  <c r="L19" i="165"/>
  <c r="L8" i="165" s="1"/>
  <c r="H55" i="165"/>
  <c r="H14" i="165" s="1"/>
  <c r="G47" i="165"/>
  <c r="G13" i="165" s="1"/>
  <c r="F35" i="165"/>
  <c r="E29" i="165"/>
  <c r="E10" i="165" s="1"/>
  <c r="V132" i="114"/>
  <c r="V132" i="206"/>
  <c r="L41" i="116"/>
  <c r="L11" i="116" s="1"/>
  <c r="I29" i="123"/>
  <c r="I10" i="123" s="1"/>
  <c r="G18" i="116"/>
  <c r="G7" i="116" s="1"/>
  <c r="O18" i="116"/>
  <c r="O7" i="116" s="1"/>
  <c r="D54" i="108"/>
  <c r="R35" i="86"/>
  <c r="L139" i="114" s="1"/>
  <c r="L23" i="114" s="1"/>
  <c r="Y30" i="98"/>
  <c r="R34" i="86" s="1"/>
  <c r="L138" i="206" s="1"/>
  <c r="G24" i="99"/>
  <c r="K28" i="108"/>
  <c r="O10" i="99"/>
  <c r="O45" i="108"/>
  <c r="C27" i="108"/>
  <c r="E44" i="99"/>
  <c r="E30" i="99"/>
  <c r="F30" i="99"/>
  <c r="J7" i="122"/>
  <c r="L33" i="108"/>
  <c r="H145" i="114"/>
  <c r="H145" i="206"/>
  <c r="I10" i="122"/>
  <c r="L41" i="108"/>
  <c r="AC8" i="155"/>
  <c r="X7" i="108"/>
  <c r="X6" i="108" s="1"/>
  <c r="R150" i="114"/>
  <c r="R150" i="206"/>
  <c r="P7" i="107"/>
  <c r="H132" i="114"/>
  <c r="H132" i="206"/>
  <c r="AC30" i="108"/>
  <c r="AC29" i="108" s="1"/>
  <c r="W4" i="98"/>
  <c r="J42" i="86"/>
  <c r="D146" i="114" s="1"/>
  <c r="R37" i="98"/>
  <c r="K63" i="86"/>
  <c r="E167" i="114" s="1"/>
  <c r="F43" i="99"/>
  <c r="F23" i="108"/>
  <c r="T24" i="98"/>
  <c r="H48" i="99"/>
  <c r="H29" i="99"/>
  <c r="V59" i="98"/>
  <c r="O65" i="86"/>
  <c r="I169" i="114" s="1"/>
  <c r="I53" i="114" s="1"/>
  <c r="I12" i="122"/>
  <c r="I9" i="122"/>
  <c r="J42" i="99"/>
  <c r="J50" i="108"/>
  <c r="J45" i="108"/>
  <c r="J30" i="108"/>
  <c r="J29" i="108" s="1"/>
  <c r="J69" i="122"/>
  <c r="J42" i="122"/>
  <c r="J15" i="122" s="1"/>
  <c r="J170" i="122"/>
  <c r="J178" i="122" s="1"/>
  <c r="J12" i="122"/>
  <c r="K15" i="122"/>
  <c r="L50" i="108"/>
  <c r="L48" i="108" s="1"/>
  <c r="Y14" i="98"/>
  <c r="R20" i="86"/>
  <c r="R18" i="86" s="1"/>
  <c r="L13" i="122"/>
  <c r="L10" i="122"/>
  <c r="L7" i="122"/>
  <c r="M27" i="108"/>
  <c r="M12" i="122"/>
  <c r="M9" i="122"/>
  <c r="T20" i="86"/>
  <c r="T18" i="86" s="1"/>
  <c r="AA14" i="98"/>
  <c r="O47" i="108"/>
  <c r="P48" i="99"/>
  <c r="P24" i="108"/>
  <c r="V111" i="114"/>
  <c r="V114" i="114" s="1"/>
  <c r="W114" i="114" s="1"/>
  <c r="W54" i="114" s="1"/>
  <c r="V111" i="206"/>
  <c r="N61" i="165"/>
  <c r="N15" i="165" s="1"/>
  <c r="N42" i="165"/>
  <c r="N12" i="165" s="1"/>
  <c r="N23" i="165"/>
  <c r="N9" i="165" s="1"/>
  <c r="L61" i="165"/>
  <c r="K29" i="165"/>
  <c r="J61" i="165"/>
  <c r="J15" i="165" s="1"/>
  <c r="J42" i="165"/>
  <c r="J12" i="165" s="1"/>
  <c r="J23" i="165"/>
  <c r="J9" i="165" s="1"/>
  <c r="H61" i="165"/>
  <c r="H15" i="165" s="1"/>
  <c r="F61" i="165"/>
  <c r="F15" i="165" s="1"/>
  <c r="F23" i="165"/>
  <c r="F9" i="165" s="1"/>
  <c r="E47" i="165"/>
  <c r="E13" i="165" s="1"/>
  <c r="V150" i="114"/>
  <c r="V150" i="206"/>
  <c r="T164" i="114"/>
  <c r="T164" i="206"/>
  <c r="M34" i="116"/>
  <c r="M10" i="116" s="1"/>
  <c r="H60" i="116"/>
  <c r="H14" i="116" s="1"/>
  <c r="H22" i="116"/>
  <c r="H8" i="116" s="1"/>
  <c r="AE6" i="155"/>
  <c r="T150" i="206"/>
  <c r="T150" i="114"/>
  <c r="G42" i="122"/>
  <c r="G15" i="122" s="1"/>
  <c r="G69" i="122"/>
  <c r="G60" i="122" s="1"/>
  <c r="K38" i="108"/>
  <c r="V64" i="86"/>
  <c r="V63" i="86" s="1"/>
  <c r="AC59" i="98"/>
  <c r="Q6" i="99"/>
  <c r="N19" i="165"/>
  <c r="N8" i="165" s="1"/>
  <c r="J35" i="165"/>
  <c r="J11" i="165" s="1"/>
  <c r="AD6" i="155"/>
  <c r="N34" i="116"/>
  <c r="N10" i="116" s="1"/>
  <c r="M55" i="123"/>
  <c r="M14" i="123" s="1"/>
  <c r="I47" i="123"/>
  <c r="I13" i="123" s="1"/>
  <c r="H47" i="123"/>
  <c r="H13" i="123" s="1"/>
  <c r="F34" i="116"/>
  <c r="F10" i="116" s="1"/>
  <c r="E11" i="122"/>
  <c r="M24" i="108"/>
  <c r="M22" i="108" s="1"/>
  <c r="C174" i="122"/>
  <c r="C171" i="122"/>
  <c r="D7" i="122"/>
  <c r="I8" i="122"/>
  <c r="N10" i="122"/>
  <c r="P22" i="99"/>
  <c r="V61" i="86"/>
  <c r="V60" i="86" s="1"/>
  <c r="P164" i="206" s="1"/>
  <c r="AC56" i="98"/>
  <c r="F11" i="122"/>
  <c r="P42" i="122"/>
  <c r="P15" i="122" s="1"/>
  <c r="U56" i="98"/>
  <c r="M158" i="114"/>
  <c r="M158" i="206"/>
  <c r="J10" i="122"/>
  <c r="O99" i="120"/>
  <c r="BX91" i="114"/>
  <c r="H138" i="114"/>
  <c r="H138" i="206"/>
  <c r="AE30" i="108"/>
  <c r="AE29" i="108" s="1"/>
  <c r="BE31" i="155"/>
  <c r="AS86" i="114"/>
  <c r="AW85" i="114"/>
  <c r="S122" i="114"/>
  <c r="R56" i="98"/>
  <c r="J61" i="86"/>
  <c r="D165" i="206" s="1"/>
  <c r="D49" i="206" s="1"/>
  <c r="P8" i="86"/>
  <c r="J121" i="114" s="1"/>
  <c r="J5" i="114" s="1"/>
  <c r="E172" i="122"/>
  <c r="E61" i="122"/>
  <c r="E60" i="122" s="1"/>
  <c r="C7" i="122"/>
  <c r="D30" i="99"/>
  <c r="D44" i="108"/>
  <c r="F53" i="99"/>
  <c r="L64" i="86"/>
  <c r="F168" i="206" s="1"/>
  <c r="F52" i="206" s="1"/>
  <c r="T59" i="98"/>
  <c r="G47" i="99"/>
  <c r="H9" i="122"/>
  <c r="I50" i="108"/>
  <c r="I42" i="122"/>
  <c r="I15" i="122" s="1"/>
  <c r="I170" i="122"/>
  <c r="I178" i="122" s="1"/>
  <c r="I69" i="122"/>
  <c r="I60" i="122" s="1"/>
  <c r="K6" i="99"/>
  <c r="Q61" i="86"/>
  <c r="K165" i="114" s="1"/>
  <c r="K49" i="114" s="1"/>
  <c r="X56" i="98"/>
  <c r="L22" i="99"/>
  <c r="R55" i="86"/>
  <c r="R54" i="86" s="1"/>
  <c r="Y50" i="98"/>
  <c r="M43" i="108"/>
  <c r="O54" i="108"/>
  <c r="U9" i="86"/>
  <c r="U8" i="86" s="1"/>
  <c r="O121" i="114" s="1"/>
  <c r="O5" i="114" s="1"/>
  <c r="AB4" i="98"/>
  <c r="V47" i="86"/>
  <c r="V46" i="86" s="1"/>
  <c r="P150" i="114" s="1"/>
  <c r="AC42" i="98"/>
  <c r="R59" i="114"/>
  <c r="R60" i="114" s="1"/>
  <c r="R59" i="206"/>
  <c r="R60" i="206" s="1"/>
  <c r="V102" i="114"/>
  <c r="V105" i="114" s="1"/>
  <c r="V102" i="206"/>
  <c r="D35" i="165"/>
  <c r="D11" i="165" s="1"/>
  <c r="AG36" i="155"/>
  <c r="V164" i="114"/>
  <c r="V145" i="114"/>
  <c r="V145" i="206"/>
  <c r="T158" i="114"/>
  <c r="T158" i="206"/>
  <c r="N18" i="116"/>
  <c r="N7" i="116" s="1"/>
  <c r="G60" i="116"/>
  <c r="G14" i="116" s="1"/>
  <c r="O60" i="116"/>
  <c r="O14" i="116" s="1"/>
  <c r="O41" i="116"/>
  <c r="O11" i="116" s="1"/>
  <c r="S51" i="108"/>
  <c r="G32" i="101"/>
  <c r="O175" i="122"/>
  <c r="E13" i="122"/>
  <c r="H122" i="114"/>
  <c r="H122" i="206"/>
  <c r="I13" i="122"/>
  <c r="K43" i="108"/>
  <c r="AF11" i="156"/>
  <c r="J16" i="107"/>
  <c r="B96" i="114"/>
  <c r="B98" i="114"/>
  <c r="B101" i="114"/>
  <c r="B91" i="114"/>
  <c r="B99" i="114"/>
  <c r="L175" i="122"/>
  <c r="L179" i="122" s="1"/>
  <c r="S138" i="114"/>
  <c r="S138" i="206"/>
  <c r="U150" i="114"/>
  <c r="U150" i="206"/>
  <c r="N46" i="116"/>
  <c r="N12" i="116" s="1"/>
  <c r="K23" i="123"/>
  <c r="K9" i="123" s="1"/>
  <c r="AI8" i="156"/>
  <c r="AV18" i="91"/>
  <c r="BI74" i="114"/>
  <c r="AB63" i="114" s="1"/>
  <c r="AX88" i="114" s="1"/>
  <c r="CI109" i="114"/>
  <c r="M29" i="123"/>
  <c r="M10" i="123" s="1"/>
  <c r="V34" i="107"/>
  <c r="AG7" i="107"/>
  <c r="F43" i="108"/>
  <c r="N7" i="86"/>
  <c r="H120" i="114" s="1"/>
  <c r="B92" i="114"/>
  <c r="E12" i="122"/>
  <c r="X24" i="98"/>
  <c r="M19" i="123"/>
  <c r="M8" i="123" s="1"/>
  <c r="N29" i="123"/>
  <c r="N10" i="123" s="1"/>
  <c r="Z5" i="107"/>
  <c r="Q164" i="114"/>
  <c r="Q164" i="206"/>
  <c r="N12" i="122"/>
  <c r="P47" i="108"/>
  <c r="S132" i="114"/>
  <c r="S132" i="206"/>
  <c r="U145" i="114"/>
  <c r="U145" i="206"/>
  <c r="N47" i="123"/>
  <c r="N13" i="123" s="1"/>
  <c r="M41" i="116"/>
  <c r="M11" i="116" s="1"/>
  <c r="M22" i="116"/>
  <c r="M8" i="116" s="1"/>
  <c r="L54" i="116"/>
  <c r="L13" i="116" s="1"/>
  <c r="Y18" i="155"/>
  <c r="AA7" i="108"/>
  <c r="AA6" i="108" s="1"/>
  <c r="AO8" i="155"/>
  <c r="L55" i="123"/>
  <c r="L14" i="123" s="1"/>
  <c r="J3" i="98"/>
  <c r="J5" i="101"/>
  <c r="H3" i="101"/>
  <c r="S7" i="107"/>
  <c r="Y80" i="107"/>
  <c r="H126" i="114"/>
  <c r="H126" i="206"/>
  <c r="M172" i="122"/>
  <c r="M61" i="122"/>
  <c r="S50" i="98"/>
  <c r="K55" i="86"/>
  <c r="E159" i="206" s="1"/>
  <c r="E43" i="206" s="1"/>
  <c r="V6" i="155"/>
  <c r="AL32" i="156"/>
  <c r="AC14" i="99" s="1"/>
  <c r="AL21" i="156"/>
  <c r="AC11" i="99" s="1"/>
  <c r="AL27" i="156"/>
  <c r="AC12" i="99" s="1"/>
  <c r="L60" i="122"/>
  <c r="AA59" i="98"/>
  <c r="U5" i="122"/>
  <c r="C53" i="108"/>
  <c r="E43" i="108"/>
  <c r="S30" i="98"/>
  <c r="K34" i="86" s="1"/>
  <c r="E138" i="114" s="1"/>
  <c r="I54" i="108"/>
  <c r="J43" i="108"/>
  <c r="Q13" i="86"/>
  <c r="Q8" i="86" s="1"/>
  <c r="X4" i="98"/>
  <c r="R66" i="86"/>
  <c r="L170" i="206" s="1"/>
  <c r="Y59" i="98"/>
  <c r="Y24" i="98"/>
  <c r="M23" i="123"/>
  <c r="M9" i="123" s="1"/>
  <c r="M60" i="107"/>
  <c r="S16" i="107"/>
  <c r="K61" i="122"/>
  <c r="K60" i="122" s="1"/>
  <c r="K172" i="122"/>
  <c r="E5" i="107"/>
  <c r="X5" i="107"/>
  <c r="AL30" i="156"/>
  <c r="AC13" i="99" s="1"/>
  <c r="AO4" i="156"/>
  <c r="AD5" i="99" s="1"/>
  <c r="J29" i="123"/>
  <c r="J10" i="123" s="1"/>
  <c r="E55" i="123"/>
  <c r="E14" i="123" s="1"/>
  <c r="L42" i="123"/>
  <c r="L12" i="123" s="1"/>
  <c r="N64" i="123"/>
  <c r="N16" i="123" s="1"/>
  <c r="C5" i="107"/>
  <c r="Q158" i="114"/>
  <c r="Q158" i="206"/>
  <c r="S5" i="122"/>
  <c r="N29" i="165"/>
  <c r="N10" i="165" s="1"/>
  <c r="J29" i="165"/>
  <c r="J10" i="165" s="1"/>
  <c r="CI91" i="114"/>
  <c r="AU78" i="114"/>
  <c r="AU83" i="114" s="1"/>
  <c r="AS19" i="91"/>
  <c r="S126" i="114"/>
  <c r="S126" i="206"/>
  <c r="U138" i="114"/>
  <c r="U138" i="206"/>
  <c r="N63" i="116"/>
  <c r="N15" i="116" s="1"/>
  <c r="I46" i="116"/>
  <c r="I12" i="116" s="1"/>
  <c r="E28" i="116"/>
  <c r="E9" i="116" s="1"/>
  <c r="I76" i="120"/>
  <c r="T9" i="156"/>
  <c r="AS48" i="108"/>
  <c r="CK109" i="114"/>
  <c r="L19" i="123"/>
  <c r="L8" i="123" s="1"/>
  <c r="R132" i="114"/>
  <c r="R132" i="206"/>
  <c r="M64" i="123"/>
  <c r="M16" i="123" s="1"/>
  <c r="R126" i="114"/>
  <c r="R126" i="206"/>
  <c r="F16" i="99"/>
  <c r="G30" i="99"/>
  <c r="L51" i="99"/>
  <c r="AW12" i="155"/>
  <c r="M89" i="101"/>
  <c r="W6" i="99"/>
  <c r="N171" i="122"/>
  <c r="Y42" i="98"/>
  <c r="M58" i="101"/>
  <c r="D7" i="107"/>
  <c r="Q150" i="114"/>
  <c r="Q150" i="206"/>
  <c r="M132" i="114"/>
  <c r="M132" i="206"/>
  <c r="N15" i="122"/>
  <c r="O27" i="108"/>
  <c r="P6" i="108"/>
  <c r="L47" i="165"/>
  <c r="L13" i="165" s="1"/>
  <c r="J47" i="165"/>
  <c r="J13" i="165" s="1"/>
  <c r="F47" i="165"/>
  <c r="F13" i="165" s="1"/>
  <c r="AT79" i="114"/>
  <c r="AT84" i="114" s="1"/>
  <c r="CD91" i="114"/>
  <c r="U132" i="114"/>
  <c r="U132" i="206"/>
  <c r="M35" i="123"/>
  <c r="M11" i="123" s="1"/>
  <c r="L61" i="123"/>
  <c r="L15" i="123" s="1"/>
  <c r="H19" i="123"/>
  <c r="H8" i="123" s="1"/>
  <c r="D63" i="116"/>
  <c r="D15" i="116" s="1"/>
  <c r="O28" i="116"/>
  <c r="O9" i="116" s="1"/>
  <c r="P18" i="116"/>
  <c r="P7" i="116" s="1"/>
  <c r="AS42" i="108"/>
  <c r="S4" i="98"/>
  <c r="N175" i="122"/>
  <c r="D46" i="108"/>
  <c r="M57" i="86"/>
  <c r="M54" i="86" s="1"/>
  <c r="U50" i="98"/>
  <c r="AC50" i="108"/>
  <c r="AC48" i="108" s="1"/>
  <c r="AW50" i="155"/>
  <c r="K5" i="107"/>
  <c r="W50" i="98"/>
  <c r="Z58" i="98"/>
  <c r="Z56" i="98" s="1"/>
  <c r="K87" i="98"/>
  <c r="Q138" i="114"/>
  <c r="Q138" i="206"/>
  <c r="M126" i="114"/>
  <c r="M126" i="206"/>
  <c r="C8" i="122"/>
  <c r="D15" i="122"/>
  <c r="D11" i="122"/>
  <c r="E50" i="108"/>
  <c r="K46" i="86"/>
  <c r="E150" i="114" s="1"/>
  <c r="L14" i="122"/>
  <c r="Q23" i="122"/>
  <c r="Q7" i="122" s="1"/>
  <c r="Q69" i="122"/>
  <c r="Q60" i="122" s="1"/>
  <c r="Q165" i="122"/>
  <c r="Q171" i="122" s="1"/>
  <c r="G55" i="165"/>
  <c r="G14" i="165" s="1"/>
  <c r="E55" i="165"/>
  <c r="E14" i="165" s="1"/>
  <c r="V167" i="114"/>
  <c r="V167" i="206"/>
  <c r="U126" i="114"/>
  <c r="U126" i="206"/>
  <c r="J41" i="116"/>
  <c r="J11" i="116" s="1"/>
  <c r="H41" i="116"/>
  <c r="H11" i="116" s="1"/>
  <c r="G63" i="116"/>
  <c r="G15" i="116" s="1"/>
  <c r="F55" i="123"/>
  <c r="F14" i="123" s="1"/>
  <c r="E47" i="123"/>
  <c r="E13" i="123" s="1"/>
  <c r="D47" i="123"/>
  <c r="D13" i="123" s="1"/>
  <c r="O63" i="116"/>
  <c r="O15" i="116" s="1"/>
  <c r="Q6" i="108"/>
  <c r="R16" i="99"/>
  <c r="G104" i="120"/>
  <c r="Z24" i="108"/>
  <c r="Z22" i="108" s="1"/>
  <c r="AK24" i="155"/>
  <c r="Y42" i="108"/>
  <c r="N16" i="99"/>
  <c r="W4" i="156"/>
  <c r="CO109" i="114"/>
  <c r="J78" i="101"/>
  <c r="M32" i="101"/>
  <c r="G7" i="107"/>
  <c r="S80" i="107"/>
  <c r="AG36" i="107"/>
  <c r="Q132" i="114"/>
  <c r="Q132" i="206"/>
  <c r="M122" i="114"/>
  <c r="M122" i="206"/>
  <c r="G7" i="122"/>
  <c r="H49" i="108"/>
  <c r="H48" i="108" s="1"/>
  <c r="H10" i="122"/>
  <c r="L12" i="122"/>
  <c r="L9" i="122"/>
  <c r="M30" i="108"/>
  <c r="M8" i="122"/>
  <c r="N30" i="108"/>
  <c r="V66" i="114"/>
  <c r="S66" i="114" s="1"/>
  <c r="V66" i="206"/>
  <c r="S167" i="114"/>
  <c r="S167" i="206"/>
  <c r="T138" i="114"/>
  <c r="T138" i="206"/>
  <c r="F54" i="116"/>
  <c r="F13" i="116" s="1"/>
  <c r="D34" i="116"/>
  <c r="D10" i="116" s="1"/>
  <c r="P28" i="116"/>
  <c r="P9" i="116" s="1"/>
  <c r="Q159" i="114"/>
  <c r="Q43" i="114" s="1"/>
  <c r="Q42" i="114" s="1"/>
  <c r="Q159" i="206"/>
  <c r="Q43" i="206" s="1"/>
  <c r="Q42" i="206" s="1"/>
  <c r="P18" i="176"/>
  <c r="AO8" i="156"/>
  <c r="AT6" i="155"/>
  <c r="AK8" i="155"/>
  <c r="AL8" i="156"/>
  <c r="Q126" i="114"/>
  <c r="Q126" i="206"/>
  <c r="H167" i="114"/>
  <c r="H167" i="206"/>
  <c r="F7" i="122"/>
  <c r="V65" i="114"/>
  <c r="R65" i="114" s="1"/>
  <c r="V65" i="206"/>
  <c r="S164" i="114"/>
  <c r="S164" i="206"/>
  <c r="V122" i="114"/>
  <c r="V122" i="206"/>
  <c r="T132" i="114"/>
  <c r="T132" i="206"/>
  <c r="D28" i="116"/>
  <c r="D9" i="116" s="1"/>
  <c r="O47" i="165"/>
  <c r="O13" i="165" s="1"/>
  <c r="P22" i="116"/>
  <c r="P8" i="116" s="1"/>
  <c r="AF7" i="156"/>
  <c r="AR10" i="156"/>
  <c r="L99" i="120"/>
  <c r="AL10" i="156"/>
  <c r="E35" i="123"/>
  <c r="E11" i="123" s="1"/>
  <c r="G89" i="101"/>
  <c r="J58" i="101"/>
  <c r="L3" i="101"/>
  <c r="D78" i="101"/>
  <c r="L5" i="107"/>
  <c r="R167" i="114"/>
  <c r="R167" i="206"/>
  <c r="Q122" i="114"/>
  <c r="Q122" i="206"/>
  <c r="H164" i="114"/>
  <c r="H164" i="206"/>
  <c r="M174" i="122"/>
  <c r="L112" i="114"/>
  <c r="N112" i="114" s="1"/>
  <c r="L112" i="206"/>
  <c r="U167" i="114"/>
  <c r="U167" i="206"/>
  <c r="T126" i="114"/>
  <c r="T126" i="206"/>
  <c r="D121" i="120"/>
  <c r="CF109" i="114"/>
  <c r="T13" i="156"/>
  <c r="Q11" i="176"/>
  <c r="R11" i="176" s="1"/>
  <c r="R13" i="176" s="1"/>
  <c r="AU13" i="156"/>
  <c r="AL12" i="156"/>
  <c r="AO50" i="155"/>
  <c r="R164" i="114"/>
  <c r="R164" i="206"/>
  <c r="M167" i="114"/>
  <c r="M167" i="206"/>
  <c r="H158" i="114"/>
  <c r="H158" i="206"/>
  <c r="K6" i="108"/>
  <c r="L16" i="108"/>
  <c r="P14" i="122"/>
  <c r="Q15" i="122"/>
  <c r="AG18" i="155"/>
  <c r="Z5" i="122"/>
  <c r="S150" i="114"/>
  <c r="S150" i="206"/>
  <c r="U164" i="114"/>
  <c r="U164" i="206"/>
  <c r="U24" i="155"/>
  <c r="I99" i="120"/>
  <c r="N118" i="120"/>
  <c r="AR12" i="156"/>
  <c r="AO12" i="156"/>
  <c r="L64" i="123"/>
  <c r="L16" i="123" s="1"/>
  <c r="R158" i="114"/>
  <c r="R158" i="206"/>
  <c r="M164" i="114"/>
  <c r="M164" i="206"/>
  <c r="H150" i="114"/>
  <c r="H150" i="206"/>
  <c r="D24" i="99"/>
  <c r="K12" i="122"/>
  <c r="L30" i="108"/>
  <c r="O13" i="122"/>
  <c r="P10" i="122"/>
  <c r="N47" i="165"/>
  <c r="N13" i="165" s="1"/>
  <c r="K42" i="165"/>
  <c r="K12" i="165" s="1"/>
  <c r="I23" i="165"/>
  <c r="I9" i="165" s="1"/>
  <c r="G42" i="165"/>
  <c r="G12" i="165" s="1"/>
  <c r="F29" i="165"/>
  <c r="F10" i="165" s="1"/>
  <c r="E23" i="165"/>
  <c r="E9" i="165" s="1"/>
  <c r="S145" i="114"/>
  <c r="S145" i="206"/>
  <c r="U158" i="114"/>
  <c r="U158" i="206"/>
  <c r="AI6" i="155"/>
  <c r="I118" i="120"/>
  <c r="AT80" i="114"/>
  <c r="AV81" i="114"/>
  <c r="CR91" i="114"/>
  <c r="AZ80" i="114"/>
  <c r="AZ85" i="114" s="1"/>
  <c r="AY74" i="114"/>
  <c r="AD60" i="114" s="1"/>
  <c r="AZ90" i="114" s="1"/>
  <c r="AZ91" i="114" s="1"/>
  <c r="CE109" i="114"/>
  <c r="CC91" i="114"/>
  <c r="BZ109" i="114"/>
  <c r="BZ91" i="114"/>
  <c r="CE91" i="114"/>
  <c r="AX81" i="114"/>
  <c r="AX86" i="114" s="1"/>
  <c r="C6" i="108"/>
  <c r="H10" i="108"/>
  <c r="AO10" i="156"/>
  <c r="AR9" i="156"/>
  <c r="AA3" i="156"/>
  <c r="AR5" i="156"/>
  <c r="AO6" i="156"/>
  <c r="AR13" i="156"/>
  <c r="N12" i="156"/>
  <c r="Z11" i="156"/>
  <c r="S3" i="156"/>
  <c r="C3" i="156"/>
  <c r="AG6" i="99"/>
  <c r="AG3" i="156"/>
  <c r="Q14" i="176"/>
  <c r="Q16" i="176" s="1"/>
  <c r="AS10" i="108"/>
  <c r="AP13" i="108"/>
  <c r="AP45" i="108"/>
  <c r="Q48" i="108"/>
  <c r="H121" i="114"/>
  <c r="H5" i="114" s="1"/>
  <c r="H4" i="114" s="1"/>
  <c r="H121" i="206"/>
  <c r="H5" i="206" s="1"/>
  <c r="H4" i="206" s="1"/>
  <c r="Q121" i="114"/>
  <c r="Q5" i="114" s="1"/>
  <c r="Q121" i="206"/>
  <c r="Q5" i="206" s="1"/>
  <c r="M121" i="114"/>
  <c r="M5" i="114" s="1"/>
  <c r="M121" i="206"/>
  <c r="M5" i="206" s="1"/>
  <c r="R121" i="114"/>
  <c r="R121" i="206"/>
  <c r="S121" i="114"/>
  <c r="S121" i="206"/>
  <c r="Y10" i="108"/>
  <c r="C16" i="108"/>
  <c r="M10" i="108"/>
  <c r="AC51" i="108"/>
  <c r="F6" i="99"/>
  <c r="G16" i="99"/>
  <c r="H42" i="99"/>
  <c r="H22" i="99"/>
  <c r="M48" i="99"/>
  <c r="M34" i="99"/>
  <c r="M29" i="99"/>
  <c r="M16" i="99"/>
  <c r="M10" i="99"/>
  <c r="P42" i="99"/>
  <c r="P34" i="99"/>
  <c r="E16" i="99"/>
  <c r="K42" i="99"/>
  <c r="K34" i="99"/>
  <c r="K22" i="99"/>
  <c r="O42" i="99"/>
  <c r="O34" i="99"/>
  <c r="O22" i="99"/>
  <c r="O16" i="99"/>
  <c r="R29" i="99"/>
  <c r="I48" i="99"/>
  <c r="O6" i="99"/>
  <c r="AC29" i="99"/>
  <c r="U10" i="99"/>
  <c r="D133" i="114"/>
  <c r="D133" i="206"/>
  <c r="D17" i="206" s="1"/>
  <c r="O138" i="114"/>
  <c r="O138" i="206"/>
  <c r="D170" i="114"/>
  <c r="D170" i="206"/>
  <c r="D54" i="206" s="1"/>
  <c r="L136" i="114"/>
  <c r="L20" i="114" s="1"/>
  <c r="L136" i="206"/>
  <c r="L20" i="206" s="1"/>
  <c r="K123" i="114"/>
  <c r="K7" i="114" s="1"/>
  <c r="K123" i="206"/>
  <c r="K7" i="206" s="1"/>
  <c r="I142" i="114"/>
  <c r="I26" i="114" s="1"/>
  <c r="I142" i="206"/>
  <c r="I26" i="206" s="1"/>
  <c r="L166" i="114"/>
  <c r="L50" i="114" s="1"/>
  <c r="L166" i="206"/>
  <c r="L50" i="206" s="1"/>
  <c r="O140" i="114"/>
  <c r="O24" i="114" s="1"/>
  <c r="O140" i="206"/>
  <c r="O24" i="206" s="1"/>
  <c r="N135" i="114"/>
  <c r="N19" i="114" s="1"/>
  <c r="N135" i="206"/>
  <c r="N19" i="206" s="1"/>
  <c r="D136" i="114"/>
  <c r="D136" i="206"/>
  <c r="D20" i="206" s="1"/>
  <c r="J155" i="114"/>
  <c r="J39" i="114" s="1"/>
  <c r="J155" i="206"/>
  <c r="J39" i="206" s="1"/>
  <c r="L133" i="114"/>
  <c r="L17" i="114" s="1"/>
  <c r="L133" i="206"/>
  <c r="L17" i="206" s="1"/>
  <c r="G147" i="114"/>
  <c r="G31" i="114" s="1"/>
  <c r="G147" i="206"/>
  <c r="G31" i="206" s="1"/>
  <c r="N139" i="114"/>
  <c r="N23" i="114" s="1"/>
  <c r="N139" i="206"/>
  <c r="N23" i="206" s="1"/>
  <c r="J139" i="114"/>
  <c r="J23" i="114" s="1"/>
  <c r="J139" i="206"/>
  <c r="J23" i="206" s="1"/>
  <c r="F133" i="114"/>
  <c r="F17" i="114" s="1"/>
  <c r="F133" i="206"/>
  <c r="F17" i="206" s="1"/>
  <c r="F166" i="114"/>
  <c r="F50" i="114" s="1"/>
  <c r="F166" i="206"/>
  <c r="F50" i="206" s="1"/>
  <c r="D160" i="114"/>
  <c r="D160" i="206"/>
  <c r="D44" i="206" s="1"/>
  <c r="D155" i="114"/>
  <c r="D155" i="206"/>
  <c r="D39" i="206" s="1"/>
  <c r="D141" i="114"/>
  <c r="D141" i="206"/>
  <c r="D25" i="206" s="1"/>
  <c r="D131" i="114"/>
  <c r="D131" i="206"/>
  <c r="D15" i="206" s="1"/>
  <c r="D127" i="114"/>
  <c r="D127" i="206"/>
  <c r="D11" i="206" s="1"/>
  <c r="D123" i="114"/>
  <c r="D123" i="206"/>
  <c r="D7" i="206" s="1"/>
  <c r="E168" i="114"/>
  <c r="E52" i="114" s="1"/>
  <c r="E168" i="206"/>
  <c r="E52" i="206" s="1"/>
  <c r="E162" i="114"/>
  <c r="E46" i="114" s="1"/>
  <c r="E162" i="206"/>
  <c r="E46" i="206" s="1"/>
  <c r="E157" i="114"/>
  <c r="E41" i="114" s="1"/>
  <c r="E157" i="206"/>
  <c r="E41" i="206" s="1"/>
  <c r="E153" i="114"/>
  <c r="E37" i="114" s="1"/>
  <c r="E153" i="206"/>
  <c r="E37" i="206" s="1"/>
  <c r="E148" i="114"/>
  <c r="E32" i="114" s="1"/>
  <c r="E148" i="206"/>
  <c r="E32" i="206" s="1"/>
  <c r="E143" i="114"/>
  <c r="E27" i="114" s="1"/>
  <c r="E143" i="206"/>
  <c r="E27" i="206" s="1"/>
  <c r="E125" i="114"/>
  <c r="E9" i="114" s="1"/>
  <c r="E125" i="206"/>
  <c r="E9" i="206" s="1"/>
  <c r="F159" i="114"/>
  <c r="F43" i="114" s="1"/>
  <c r="F159" i="206"/>
  <c r="F43" i="206" s="1"/>
  <c r="F149" i="114"/>
  <c r="F33" i="114" s="1"/>
  <c r="F149" i="206"/>
  <c r="F33" i="206" s="1"/>
  <c r="F141" i="114"/>
  <c r="F25" i="114" s="1"/>
  <c r="F141" i="206"/>
  <c r="F25" i="206" s="1"/>
  <c r="F128" i="114"/>
  <c r="F12" i="114" s="1"/>
  <c r="F128" i="206"/>
  <c r="F12" i="206" s="1"/>
  <c r="G156" i="114"/>
  <c r="G40" i="114" s="1"/>
  <c r="G156" i="206"/>
  <c r="G40" i="206" s="1"/>
  <c r="G142" i="114"/>
  <c r="G26" i="114" s="1"/>
  <c r="G142" i="206"/>
  <c r="G26" i="206" s="1"/>
  <c r="G137" i="114"/>
  <c r="G21" i="114" s="1"/>
  <c r="G137" i="206"/>
  <c r="G21" i="206" s="1"/>
  <c r="G128" i="114"/>
  <c r="G12" i="114" s="1"/>
  <c r="G128" i="206"/>
  <c r="G12" i="206" s="1"/>
  <c r="I163" i="114"/>
  <c r="I47" i="114" s="1"/>
  <c r="I163" i="206"/>
  <c r="I47" i="206" s="1"/>
  <c r="I159" i="114"/>
  <c r="I43" i="114" s="1"/>
  <c r="I159" i="206"/>
  <c r="I43" i="206" s="1"/>
  <c r="I154" i="114"/>
  <c r="I38" i="114" s="1"/>
  <c r="I154" i="206"/>
  <c r="I38" i="206" s="1"/>
  <c r="I144" i="114"/>
  <c r="I28" i="114" s="1"/>
  <c r="I144" i="206"/>
  <c r="I28" i="206" s="1"/>
  <c r="I140" i="114"/>
  <c r="I24" i="114" s="1"/>
  <c r="I140" i="206"/>
  <c r="I24" i="206" s="1"/>
  <c r="I135" i="114"/>
  <c r="I19" i="114" s="1"/>
  <c r="I135" i="206"/>
  <c r="I19" i="206" s="1"/>
  <c r="J162" i="114"/>
  <c r="J46" i="114" s="1"/>
  <c r="J162" i="206"/>
  <c r="J46" i="206" s="1"/>
  <c r="J157" i="114"/>
  <c r="J41" i="114" s="1"/>
  <c r="J157" i="206"/>
  <c r="J41" i="206" s="1"/>
  <c r="J148" i="114"/>
  <c r="J32" i="114" s="1"/>
  <c r="J148" i="206"/>
  <c r="J32" i="206" s="1"/>
  <c r="J143" i="114"/>
  <c r="J27" i="114" s="1"/>
  <c r="J143" i="206"/>
  <c r="J27" i="206" s="1"/>
  <c r="J125" i="114"/>
  <c r="J9" i="114" s="1"/>
  <c r="J125" i="206"/>
  <c r="J9" i="206" s="1"/>
  <c r="K166" i="114"/>
  <c r="K50" i="114" s="1"/>
  <c r="K166" i="206"/>
  <c r="K50" i="206" s="1"/>
  <c r="K161" i="114"/>
  <c r="K45" i="114" s="1"/>
  <c r="K161" i="206"/>
  <c r="K45" i="206" s="1"/>
  <c r="K152" i="114"/>
  <c r="K36" i="114" s="1"/>
  <c r="K152" i="206"/>
  <c r="K36" i="206" s="1"/>
  <c r="K142" i="114"/>
  <c r="K26" i="114" s="1"/>
  <c r="K142" i="206"/>
  <c r="K26" i="206" s="1"/>
  <c r="K137" i="114"/>
  <c r="K21" i="114" s="1"/>
  <c r="K137" i="206"/>
  <c r="K21" i="206" s="1"/>
  <c r="K133" i="114"/>
  <c r="K17" i="114" s="1"/>
  <c r="K133" i="206"/>
  <c r="K17" i="206" s="1"/>
  <c r="K128" i="114"/>
  <c r="K12" i="114" s="1"/>
  <c r="K128" i="206"/>
  <c r="K12" i="206" s="1"/>
  <c r="L165" i="114"/>
  <c r="L49" i="114" s="1"/>
  <c r="L165" i="206"/>
  <c r="L49" i="206" s="1"/>
  <c r="L160" i="114"/>
  <c r="L44" i="114" s="1"/>
  <c r="L160" i="206"/>
  <c r="L44" i="206" s="1"/>
  <c r="L155" i="114"/>
  <c r="L39" i="114" s="1"/>
  <c r="L155" i="206"/>
  <c r="L39" i="206" s="1"/>
  <c r="L151" i="114"/>
  <c r="L35" i="114" s="1"/>
  <c r="L151" i="206"/>
  <c r="L35" i="206" s="1"/>
  <c r="L142" i="114"/>
  <c r="L26" i="114" s="1"/>
  <c r="L142" i="206"/>
  <c r="L26" i="206" s="1"/>
  <c r="L134" i="114"/>
  <c r="L18" i="114" s="1"/>
  <c r="L134" i="206"/>
  <c r="L18" i="206" s="1"/>
  <c r="N170" i="114"/>
  <c r="N170" i="206"/>
  <c r="N161" i="114"/>
  <c r="N45" i="114" s="1"/>
  <c r="N161" i="206"/>
  <c r="N45" i="206" s="1"/>
  <c r="N156" i="114"/>
  <c r="N40" i="114" s="1"/>
  <c r="N156" i="206"/>
  <c r="N40" i="206" s="1"/>
  <c r="N152" i="114"/>
  <c r="N36" i="114" s="1"/>
  <c r="N152" i="206"/>
  <c r="N36" i="206" s="1"/>
  <c r="N143" i="114"/>
  <c r="N27" i="114" s="1"/>
  <c r="N143" i="206"/>
  <c r="N27" i="206" s="1"/>
  <c r="N130" i="114"/>
  <c r="N14" i="114" s="1"/>
  <c r="N130" i="206"/>
  <c r="N14" i="206" s="1"/>
  <c r="N123" i="114"/>
  <c r="N7" i="114" s="1"/>
  <c r="N123" i="206"/>
  <c r="N7" i="206" s="1"/>
  <c r="O161" i="114"/>
  <c r="O45" i="114" s="1"/>
  <c r="O161" i="206"/>
  <c r="O45" i="206" s="1"/>
  <c r="O156" i="114"/>
  <c r="O40" i="114" s="1"/>
  <c r="O156" i="206"/>
  <c r="O40" i="206" s="1"/>
  <c r="O152" i="114"/>
  <c r="O36" i="114" s="1"/>
  <c r="O152" i="206"/>
  <c r="O36" i="206" s="1"/>
  <c r="O142" i="114"/>
  <c r="O26" i="114" s="1"/>
  <c r="O142" i="206"/>
  <c r="O26" i="206" s="1"/>
  <c r="O137" i="114"/>
  <c r="O21" i="114" s="1"/>
  <c r="O137" i="206"/>
  <c r="O21" i="206" s="1"/>
  <c r="O128" i="114"/>
  <c r="O12" i="114" s="1"/>
  <c r="O128" i="206"/>
  <c r="O12" i="206" s="1"/>
  <c r="P170" i="114"/>
  <c r="P54" i="114" s="1"/>
  <c r="P170" i="206"/>
  <c r="P54" i="206" s="1"/>
  <c r="P155" i="114"/>
  <c r="P39" i="114" s="1"/>
  <c r="P155" i="206"/>
  <c r="P39" i="206" s="1"/>
  <c r="P141" i="114"/>
  <c r="P25" i="114" s="1"/>
  <c r="P141" i="206"/>
  <c r="P25" i="206" s="1"/>
  <c r="P136" i="114"/>
  <c r="P20" i="114" s="1"/>
  <c r="P136" i="206"/>
  <c r="P20" i="206" s="1"/>
  <c r="P131" i="114"/>
  <c r="P15" i="114" s="1"/>
  <c r="P131" i="206"/>
  <c r="P15" i="206" s="1"/>
  <c r="P128" i="114"/>
  <c r="P12" i="114" s="1"/>
  <c r="P128" i="206"/>
  <c r="P12" i="206" s="1"/>
  <c r="P124" i="114"/>
  <c r="P8" i="114" s="1"/>
  <c r="P124" i="206"/>
  <c r="P8" i="206" s="1"/>
  <c r="P132" i="114"/>
  <c r="P132" i="206"/>
  <c r="O143" i="114"/>
  <c r="O27" i="114" s="1"/>
  <c r="O143" i="206"/>
  <c r="O27" i="206" s="1"/>
  <c r="F127" i="114"/>
  <c r="F11" i="114" s="1"/>
  <c r="F127" i="206"/>
  <c r="F11" i="206" s="1"/>
  <c r="L164" i="114"/>
  <c r="L164" i="206"/>
  <c r="N169" i="114"/>
  <c r="N169" i="206"/>
  <c r="F163" i="114"/>
  <c r="F47" i="114" s="1"/>
  <c r="F163" i="206"/>
  <c r="F47" i="206" s="1"/>
  <c r="K131" i="114"/>
  <c r="K15" i="114" s="1"/>
  <c r="K131" i="206"/>
  <c r="K15" i="206" s="1"/>
  <c r="G152" i="114"/>
  <c r="G36" i="114" s="1"/>
  <c r="G152" i="206"/>
  <c r="G36" i="206" s="1"/>
  <c r="O165" i="114"/>
  <c r="O49" i="114" s="1"/>
  <c r="O165" i="206"/>
  <c r="O49" i="206" s="1"/>
  <c r="G130" i="114"/>
  <c r="G14" i="114" s="1"/>
  <c r="G130" i="206"/>
  <c r="G14" i="206" s="1"/>
  <c r="G168" i="114"/>
  <c r="G52" i="114" s="1"/>
  <c r="G168" i="206"/>
  <c r="G52" i="206" s="1"/>
  <c r="K147" i="114"/>
  <c r="K31" i="114" s="1"/>
  <c r="K147" i="206"/>
  <c r="K31" i="206" s="1"/>
  <c r="E135" i="114"/>
  <c r="E19" i="114" s="1"/>
  <c r="E135" i="206"/>
  <c r="E19" i="206" s="1"/>
  <c r="J152" i="114"/>
  <c r="J36" i="114" s="1"/>
  <c r="J152" i="206"/>
  <c r="J36" i="206" s="1"/>
  <c r="P133" i="114"/>
  <c r="P17" i="114" s="1"/>
  <c r="P133" i="206"/>
  <c r="P17" i="206" s="1"/>
  <c r="J129" i="114"/>
  <c r="J13" i="114" s="1"/>
  <c r="J129" i="206"/>
  <c r="J13" i="206" s="1"/>
  <c r="F160" i="114"/>
  <c r="F44" i="114" s="1"/>
  <c r="F160" i="206"/>
  <c r="F44" i="206" s="1"/>
  <c r="L146" i="114"/>
  <c r="L30" i="114" s="1"/>
  <c r="L146" i="206"/>
  <c r="L30" i="206" s="1"/>
  <c r="D169" i="114"/>
  <c r="D169" i="206"/>
  <c r="D53" i="206" s="1"/>
  <c r="D163" i="114"/>
  <c r="D163" i="206"/>
  <c r="D47" i="206" s="1"/>
  <c r="D154" i="114"/>
  <c r="D154" i="206"/>
  <c r="D38" i="206" s="1"/>
  <c r="D149" i="114"/>
  <c r="D149" i="206"/>
  <c r="D33" i="206" s="1"/>
  <c r="D144" i="114"/>
  <c r="D144" i="206"/>
  <c r="D28" i="206" s="1"/>
  <c r="D140" i="114"/>
  <c r="D140" i="206"/>
  <c r="D24" i="206" s="1"/>
  <c r="D130" i="114"/>
  <c r="D130" i="206"/>
  <c r="D14" i="206" s="1"/>
  <c r="E166" i="114"/>
  <c r="E50" i="114" s="1"/>
  <c r="E166" i="206"/>
  <c r="E50" i="206" s="1"/>
  <c r="E161" i="114"/>
  <c r="E45" i="114" s="1"/>
  <c r="E161" i="206"/>
  <c r="E45" i="206" s="1"/>
  <c r="E156" i="114"/>
  <c r="E40" i="114" s="1"/>
  <c r="E156" i="206"/>
  <c r="E40" i="206" s="1"/>
  <c r="E152" i="114"/>
  <c r="E36" i="114" s="1"/>
  <c r="E152" i="206"/>
  <c r="E36" i="206" s="1"/>
  <c r="E142" i="114"/>
  <c r="E26" i="114" s="1"/>
  <c r="E142" i="206"/>
  <c r="E26" i="206" s="1"/>
  <c r="E134" i="114"/>
  <c r="E18" i="114" s="1"/>
  <c r="E134" i="206"/>
  <c r="E18" i="206" s="1"/>
  <c r="E129" i="114"/>
  <c r="E13" i="114" s="1"/>
  <c r="E129" i="206"/>
  <c r="E13" i="206" s="1"/>
  <c r="F162" i="114"/>
  <c r="F46" i="114" s="1"/>
  <c r="F162" i="206"/>
  <c r="F46" i="206" s="1"/>
  <c r="F157" i="114"/>
  <c r="F41" i="114" s="1"/>
  <c r="F157" i="206"/>
  <c r="F41" i="206" s="1"/>
  <c r="F153" i="114"/>
  <c r="F37" i="114" s="1"/>
  <c r="F153" i="206"/>
  <c r="F37" i="206" s="1"/>
  <c r="F144" i="114"/>
  <c r="F28" i="114" s="1"/>
  <c r="F144" i="206"/>
  <c r="F28" i="206" s="1"/>
  <c r="F140" i="114"/>
  <c r="F24" i="114" s="1"/>
  <c r="F140" i="206"/>
  <c r="F24" i="206" s="1"/>
  <c r="F136" i="114"/>
  <c r="F20" i="114" s="1"/>
  <c r="F136" i="206"/>
  <c r="F20" i="206" s="1"/>
  <c r="F131" i="114"/>
  <c r="F15" i="114" s="1"/>
  <c r="F131" i="206"/>
  <c r="F15" i="206" s="1"/>
  <c r="F123" i="114"/>
  <c r="F7" i="114" s="1"/>
  <c r="F123" i="206"/>
  <c r="F7" i="206" s="1"/>
  <c r="G170" i="114"/>
  <c r="G54" i="114" s="1"/>
  <c r="G170" i="206"/>
  <c r="G54" i="206" s="1"/>
  <c r="G165" i="114"/>
  <c r="G49" i="114" s="1"/>
  <c r="G165" i="206"/>
  <c r="G49" i="206" s="1"/>
  <c r="G48" i="206" s="1"/>
  <c r="G160" i="114"/>
  <c r="G44" i="114" s="1"/>
  <c r="G160" i="206"/>
  <c r="G44" i="206" s="1"/>
  <c r="G155" i="114"/>
  <c r="G39" i="114" s="1"/>
  <c r="G155" i="206"/>
  <c r="G39" i="206" s="1"/>
  <c r="G146" i="114"/>
  <c r="G30" i="114" s="1"/>
  <c r="G146" i="206"/>
  <c r="G30" i="206" s="1"/>
  <c r="G141" i="114"/>
  <c r="G25" i="114" s="1"/>
  <c r="G141" i="206"/>
  <c r="G25" i="206" s="1"/>
  <c r="G136" i="114"/>
  <c r="G20" i="114" s="1"/>
  <c r="G136" i="206"/>
  <c r="G20" i="206" s="1"/>
  <c r="I168" i="114"/>
  <c r="I52" i="114" s="1"/>
  <c r="I168" i="206"/>
  <c r="I52" i="206" s="1"/>
  <c r="I162" i="114"/>
  <c r="I46" i="114" s="1"/>
  <c r="I162" i="206"/>
  <c r="I46" i="206" s="1"/>
  <c r="I157" i="114"/>
  <c r="I41" i="114" s="1"/>
  <c r="I157" i="206"/>
  <c r="I41" i="206" s="1"/>
  <c r="I153" i="114"/>
  <c r="I37" i="114" s="1"/>
  <c r="I153" i="206"/>
  <c r="I37" i="206" s="1"/>
  <c r="I148" i="114"/>
  <c r="I32" i="114" s="1"/>
  <c r="I148" i="206"/>
  <c r="I32" i="206" s="1"/>
  <c r="I143" i="114"/>
  <c r="I27" i="114" s="1"/>
  <c r="I143" i="206"/>
  <c r="I27" i="206" s="1"/>
  <c r="I139" i="114"/>
  <c r="I23" i="114" s="1"/>
  <c r="I139" i="206"/>
  <c r="I23" i="206" s="1"/>
  <c r="I129" i="114"/>
  <c r="I13" i="114" s="1"/>
  <c r="I129" i="206"/>
  <c r="I13" i="206" s="1"/>
  <c r="J161" i="114"/>
  <c r="J45" i="114" s="1"/>
  <c r="J161" i="206"/>
  <c r="J45" i="206" s="1"/>
  <c r="J156" i="114"/>
  <c r="J40" i="114" s="1"/>
  <c r="J156" i="206"/>
  <c r="J40" i="206" s="1"/>
  <c r="J142" i="114"/>
  <c r="J26" i="114" s="1"/>
  <c r="J142" i="206"/>
  <c r="J26" i="206" s="1"/>
  <c r="J137" i="114"/>
  <c r="J21" i="114" s="1"/>
  <c r="J137" i="206"/>
  <c r="J21" i="206" s="1"/>
  <c r="J133" i="114"/>
  <c r="J17" i="114" s="1"/>
  <c r="J133" i="206"/>
  <c r="J17" i="206" s="1"/>
  <c r="J124" i="114"/>
  <c r="J8" i="114" s="1"/>
  <c r="J124" i="206"/>
  <c r="J8" i="206" s="1"/>
  <c r="K170" i="114"/>
  <c r="K54" i="114" s="1"/>
  <c r="K170" i="206"/>
  <c r="K54" i="206" s="1"/>
  <c r="K160" i="114"/>
  <c r="K44" i="114" s="1"/>
  <c r="K160" i="206"/>
  <c r="K44" i="206" s="1"/>
  <c r="K155" i="114"/>
  <c r="K39" i="114" s="1"/>
  <c r="K155" i="206"/>
  <c r="K39" i="206" s="1"/>
  <c r="K146" i="114"/>
  <c r="K30" i="114" s="1"/>
  <c r="K146" i="206"/>
  <c r="K30" i="206" s="1"/>
  <c r="K141" i="114"/>
  <c r="K25" i="114" s="1"/>
  <c r="K141" i="206"/>
  <c r="K25" i="206" s="1"/>
  <c r="K136" i="114"/>
  <c r="K20" i="114" s="1"/>
  <c r="K136" i="206"/>
  <c r="K20" i="206" s="1"/>
  <c r="K127" i="114"/>
  <c r="K11" i="114" s="1"/>
  <c r="K127" i="206"/>
  <c r="K11" i="206" s="1"/>
  <c r="L163" i="114"/>
  <c r="L47" i="114" s="1"/>
  <c r="L163" i="206"/>
  <c r="L47" i="206" s="1"/>
  <c r="L154" i="114"/>
  <c r="L38" i="114" s="1"/>
  <c r="L154" i="206"/>
  <c r="L38" i="206" s="1"/>
  <c r="L149" i="114"/>
  <c r="L33" i="114" s="1"/>
  <c r="L149" i="206"/>
  <c r="L33" i="206" s="1"/>
  <c r="N146" i="114"/>
  <c r="N30" i="114" s="1"/>
  <c r="N137" i="114"/>
  <c r="N21" i="114" s="1"/>
  <c r="N137" i="206"/>
  <c r="N21" i="206" s="1"/>
  <c r="N133" i="114"/>
  <c r="N17" i="114" s="1"/>
  <c r="N133" i="206"/>
  <c r="N17" i="206" s="1"/>
  <c r="O155" i="114"/>
  <c r="O39" i="114" s="1"/>
  <c r="O155" i="206"/>
  <c r="O39" i="206" s="1"/>
  <c r="O141" i="114"/>
  <c r="O25" i="114" s="1"/>
  <c r="O141" i="206"/>
  <c r="O25" i="206" s="1"/>
  <c r="O136" i="114"/>
  <c r="O20" i="114" s="1"/>
  <c r="O136" i="206"/>
  <c r="O20" i="206" s="1"/>
  <c r="O131" i="114"/>
  <c r="O15" i="114" s="1"/>
  <c r="O131" i="206"/>
  <c r="O15" i="206" s="1"/>
  <c r="O127" i="114"/>
  <c r="O11" i="114" s="1"/>
  <c r="O127" i="206"/>
  <c r="O11" i="206" s="1"/>
  <c r="P163" i="114"/>
  <c r="P47" i="114" s="1"/>
  <c r="P163" i="206"/>
  <c r="P47" i="206" s="1"/>
  <c r="P159" i="114"/>
  <c r="P43" i="114" s="1"/>
  <c r="P159" i="206"/>
  <c r="P43" i="206" s="1"/>
  <c r="P154" i="114"/>
  <c r="P38" i="114" s="1"/>
  <c r="P154" i="206"/>
  <c r="P38" i="206" s="1"/>
  <c r="P149" i="114"/>
  <c r="P33" i="114" s="1"/>
  <c r="P149" i="206"/>
  <c r="P33" i="206" s="1"/>
  <c r="P140" i="114"/>
  <c r="P24" i="114" s="1"/>
  <c r="P140" i="206"/>
  <c r="P24" i="206" s="1"/>
  <c r="P135" i="114"/>
  <c r="P19" i="114" s="1"/>
  <c r="P135" i="206"/>
  <c r="P19" i="206" s="1"/>
  <c r="P130" i="114"/>
  <c r="P14" i="114" s="1"/>
  <c r="P130" i="206"/>
  <c r="P14" i="206" s="1"/>
  <c r="F169" i="114"/>
  <c r="F53" i="114" s="1"/>
  <c r="F169" i="206"/>
  <c r="F53" i="206" s="1"/>
  <c r="G125" i="114"/>
  <c r="G9" i="114" s="1"/>
  <c r="G125" i="206"/>
  <c r="G9" i="206" s="1"/>
  <c r="E165" i="114"/>
  <c r="E49" i="114" s="1"/>
  <c r="E165" i="206"/>
  <c r="E49" i="206" s="1"/>
  <c r="O133" i="114"/>
  <c r="O17" i="114" s="1"/>
  <c r="O133" i="206"/>
  <c r="O17" i="206" s="1"/>
  <c r="N165" i="114"/>
  <c r="N49" i="114" s="1"/>
  <c r="N165" i="206"/>
  <c r="N49" i="206" s="1"/>
  <c r="N48" i="206" s="1"/>
  <c r="P160" i="114"/>
  <c r="P44" i="114" s="1"/>
  <c r="P160" i="206"/>
  <c r="P44" i="206" s="1"/>
  <c r="O124" i="114"/>
  <c r="O8" i="114" s="1"/>
  <c r="O124" i="206"/>
  <c r="O8" i="206" s="1"/>
  <c r="P156" i="114"/>
  <c r="P40" i="114" s="1"/>
  <c r="P156" i="206"/>
  <c r="P40" i="206" s="1"/>
  <c r="L168" i="114"/>
  <c r="L168" i="206"/>
  <c r="E139" i="114"/>
  <c r="E23" i="114" s="1"/>
  <c r="E139" i="206"/>
  <c r="E23" i="206" s="1"/>
  <c r="F146" i="114"/>
  <c r="F30" i="114" s="1"/>
  <c r="F146" i="206"/>
  <c r="F30" i="206" s="1"/>
  <c r="P146" i="114"/>
  <c r="P30" i="114" s="1"/>
  <c r="P146" i="206"/>
  <c r="P30" i="206" s="1"/>
  <c r="E123" i="114"/>
  <c r="E7" i="114" s="1"/>
  <c r="E123" i="206"/>
  <c r="E7" i="206" s="1"/>
  <c r="N129" i="114"/>
  <c r="N13" i="114" s="1"/>
  <c r="N129" i="206"/>
  <c r="N13" i="206" s="1"/>
  <c r="D143" i="114"/>
  <c r="D143" i="206"/>
  <c r="D27" i="206" s="1"/>
  <c r="I124" i="114"/>
  <c r="I8" i="114" s="1"/>
  <c r="I124" i="206"/>
  <c r="I8" i="206" s="1"/>
  <c r="K156" i="114"/>
  <c r="K40" i="114" s="1"/>
  <c r="K156" i="206"/>
  <c r="K40" i="206" s="1"/>
  <c r="N163" i="114"/>
  <c r="N47" i="114" s="1"/>
  <c r="N163" i="206"/>
  <c r="N47" i="206" s="1"/>
  <c r="D168" i="114"/>
  <c r="D168" i="206"/>
  <c r="D52" i="206" s="1"/>
  <c r="D162" i="114"/>
  <c r="D162" i="206"/>
  <c r="D46" i="206" s="1"/>
  <c r="D157" i="114"/>
  <c r="D157" i="206"/>
  <c r="D41" i="206" s="1"/>
  <c r="D153" i="114"/>
  <c r="D153" i="206"/>
  <c r="D37" i="206" s="1"/>
  <c r="D139" i="114"/>
  <c r="D139" i="206"/>
  <c r="D23" i="206" s="1"/>
  <c r="D134" i="114"/>
  <c r="D134" i="206"/>
  <c r="D18" i="206" s="1"/>
  <c r="D124" i="114"/>
  <c r="D124" i="206"/>
  <c r="D8" i="206" s="1"/>
  <c r="E170" i="114"/>
  <c r="E54" i="114" s="1"/>
  <c r="E170" i="206"/>
  <c r="E54" i="206" s="1"/>
  <c r="E160" i="114"/>
  <c r="E44" i="114" s="1"/>
  <c r="E160" i="206"/>
  <c r="E44" i="206" s="1"/>
  <c r="E155" i="114"/>
  <c r="E39" i="114" s="1"/>
  <c r="E155" i="206"/>
  <c r="E39" i="206" s="1"/>
  <c r="E151" i="114"/>
  <c r="E35" i="114" s="1"/>
  <c r="E151" i="206"/>
  <c r="E35" i="206" s="1"/>
  <c r="E137" i="114"/>
  <c r="E21" i="114" s="1"/>
  <c r="E137" i="206"/>
  <c r="E21" i="206" s="1"/>
  <c r="E133" i="114"/>
  <c r="E17" i="114" s="1"/>
  <c r="E133" i="206"/>
  <c r="E17" i="206" s="1"/>
  <c r="F161" i="114"/>
  <c r="F45" i="114" s="1"/>
  <c r="F161" i="206"/>
  <c r="F45" i="206" s="1"/>
  <c r="F152" i="114"/>
  <c r="F36" i="114" s="1"/>
  <c r="F152" i="206"/>
  <c r="F36" i="206" s="1"/>
  <c r="F143" i="114"/>
  <c r="F27" i="114" s="1"/>
  <c r="F143" i="206"/>
  <c r="F27" i="206" s="1"/>
  <c r="F139" i="114"/>
  <c r="F23" i="114" s="1"/>
  <c r="F139" i="206"/>
  <c r="F23" i="206" s="1"/>
  <c r="F135" i="114"/>
  <c r="F19" i="114" s="1"/>
  <c r="F135" i="206"/>
  <c r="F19" i="206" s="1"/>
  <c r="G159" i="114"/>
  <c r="G43" i="114" s="1"/>
  <c r="G159" i="206"/>
  <c r="G43" i="206" s="1"/>
  <c r="G154" i="114"/>
  <c r="G38" i="114" s="1"/>
  <c r="G154" i="206"/>
  <c r="G38" i="206" s="1"/>
  <c r="G149" i="114"/>
  <c r="G33" i="114" s="1"/>
  <c r="G149" i="206"/>
  <c r="G33" i="206" s="1"/>
  <c r="G144" i="114"/>
  <c r="G28" i="114" s="1"/>
  <c r="G144" i="206"/>
  <c r="G28" i="206" s="1"/>
  <c r="G140" i="114"/>
  <c r="G24" i="114" s="1"/>
  <c r="G140" i="206"/>
  <c r="G24" i="206" s="1"/>
  <c r="G123" i="114"/>
  <c r="G7" i="114" s="1"/>
  <c r="G123" i="206"/>
  <c r="G7" i="206" s="1"/>
  <c r="I161" i="114"/>
  <c r="I45" i="114" s="1"/>
  <c r="I161" i="206"/>
  <c r="I45" i="206" s="1"/>
  <c r="I156" i="114"/>
  <c r="I40" i="114" s="1"/>
  <c r="I156" i="206"/>
  <c r="I40" i="206" s="1"/>
  <c r="I152" i="114"/>
  <c r="I36" i="114" s="1"/>
  <c r="I152" i="206"/>
  <c r="I36" i="206" s="1"/>
  <c r="I137" i="114"/>
  <c r="I21" i="114" s="1"/>
  <c r="I137" i="206"/>
  <c r="I21" i="206" s="1"/>
  <c r="I133" i="114"/>
  <c r="I17" i="114" s="1"/>
  <c r="I133" i="206"/>
  <c r="I17" i="206" s="1"/>
  <c r="J170" i="114"/>
  <c r="J54" i="114" s="1"/>
  <c r="J170" i="206"/>
  <c r="J54" i="206" s="1"/>
  <c r="J160" i="114"/>
  <c r="J44" i="114" s="1"/>
  <c r="J160" i="206"/>
  <c r="J44" i="206" s="1"/>
  <c r="J151" i="114"/>
  <c r="J35" i="114" s="1"/>
  <c r="J151" i="206"/>
  <c r="J35" i="206" s="1"/>
  <c r="J146" i="114"/>
  <c r="J30" i="114" s="1"/>
  <c r="J146" i="206"/>
  <c r="J30" i="206" s="1"/>
  <c r="J141" i="114"/>
  <c r="J25" i="114" s="1"/>
  <c r="J141" i="206"/>
  <c r="J25" i="206" s="1"/>
  <c r="J131" i="114"/>
  <c r="J15" i="114" s="1"/>
  <c r="J131" i="206"/>
  <c r="J15" i="206" s="1"/>
  <c r="K163" i="114"/>
  <c r="K47" i="114" s="1"/>
  <c r="K163" i="206"/>
  <c r="K47" i="206" s="1"/>
  <c r="K159" i="114"/>
  <c r="K43" i="114" s="1"/>
  <c r="K159" i="206"/>
  <c r="K43" i="206" s="1"/>
  <c r="K154" i="114"/>
  <c r="K38" i="114" s="1"/>
  <c r="K154" i="206"/>
  <c r="K38" i="206" s="1"/>
  <c r="K144" i="114"/>
  <c r="K28" i="114" s="1"/>
  <c r="K144" i="206"/>
  <c r="K28" i="206" s="1"/>
  <c r="K135" i="114"/>
  <c r="K19" i="114" s="1"/>
  <c r="K135" i="206"/>
  <c r="K19" i="206" s="1"/>
  <c r="K125" i="114"/>
  <c r="K9" i="114" s="1"/>
  <c r="K125" i="206"/>
  <c r="K9" i="206" s="1"/>
  <c r="L162" i="114"/>
  <c r="L46" i="114" s="1"/>
  <c r="L162" i="206"/>
  <c r="L46" i="206" s="1"/>
  <c r="L157" i="114"/>
  <c r="L41" i="114" s="1"/>
  <c r="L157" i="206"/>
  <c r="L41" i="206" s="1"/>
  <c r="L153" i="114"/>
  <c r="L37" i="114" s="1"/>
  <c r="L153" i="206"/>
  <c r="L37" i="206" s="1"/>
  <c r="L144" i="114"/>
  <c r="L28" i="114" s="1"/>
  <c r="L144" i="206"/>
  <c r="L28" i="206" s="1"/>
  <c r="L141" i="114"/>
  <c r="L25" i="114" s="1"/>
  <c r="L141" i="206"/>
  <c r="L25" i="206" s="1"/>
  <c r="L131" i="114"/>
  <c r="L15" i="114" s="1"/>
  <c r="L131" i="206"/>
  <c r="L15" i="206" s="1"/>
  <c r="L127" i="114"/>
  <c r="L11" i="114" s="1"/>
  <c r="L127" i="206"/>
  <c r="L11" i="206" s="1"/>
  <c r="N168" i="114"/>
  <c r="N168" i="206"/>
  <c r="N159" i="114"/>
  <c r="N43" i="114" s="1"/>
  <c r="N159" i="206"/>
  <c r="N43" i="206" s="1"/>
  <c r="N154" i="114"/>
  <c r="N38" i="114" s="1"/>
  <c r="N154" i="206"/>
  <c r="N38" i="206" s="1"/>
  <c r="N149" i="114"/>
  <c r="N33" i="114" s="1"/>
  <c r="N149" i="206"/>
  <c r="N33" i="206" s="1"/>
  <c r="N141" i="114"/>
  <c r="N25" i="114" s="1"/>
  <c r="N141" i="206"/>
  <c r="N25" i="206" s="1"/>
  <c r="N136" i="114"/>
  <c r="N20" i="114" s="1"/>
  <c r="N136" i="206"/>
  <c r="N20" i="206" s="1"/>
  <c r="N131" i="114"/>
  <c r="N15" i="114" s="1"/>
  <c r="N131" i="206"/>
  <c r="N15" i="206" s="1"/>
  <c r="N128" i="114"/>
  <c r="N12" i="114" s="1"/>
  <c r="N128" i="206"/>
  <c r="N12" i="206" s="1"/>
  <c r="O159" i="114"/>
  <c r="O43" i="114" s="1"/>
  <c r="O159" i="206"/>
  <c r="O43" i="206" s="1"/>
  <c r="O154" i="114"/>
  <c r="O38" i="114" s="1"/>
  <c r="O154" i="206"/>
  <c r="O38" i="206" s="1"/>
  <c r="O149" i="114"/>
  <c r="O33" i="114" s="1"/>
  <c r="O149" i="206"/>
  <c r="O33" i="206" s="1"/>
  <c r="O144" i="114"/>
  <c r="O28" i="114" s="1"/>
  <c r="O144" i="206"/>
  <c r="O28" i="206" s="1"/>
  <c r="O125" i="114"/>
  <c r="O9" i="114" s="1"/>
  <c r="O125" i="206"/>
  <c r="O9" i="206" s="1"/>
  <c r="P162" i="114"/>
  <c r="P46" i="114" s="1"/>
  <c r="P162" i="206"/>
  <c r="P46" i="206" s="1"/>
  <c r="P157" i="114"/>
  <c r="P41" i="114" s="1"/>
  <c r="P157" i="206"/>
  <c r="P41" i="206" s="1"/>
  <c r="P153" i="114"/>
  <c r="P37" i="114" s="1"/>
  <c r="P153" i="206"/>
  <c r="P37" i="206" s="1"/>
  <c r="P143" i="114"/>
  <c r="P27" i="114" s="1"/>
  <c r="P143" i="206"/>
  <c r="P27" i="206" s="1"/>
  <c r="P139" i="114"/>
  <c r="P23" i="114" s="1"/>
  <c r="P139" i="206"/>
  <c r="P23" i="206" s="1"/>
  <c r="P134" i="114"/>
  <c r="P18" i="114" s="1"/>
  <c r="P134" i="206"/>
  <c r="P18" i="206" s="1"/>
  <c r="P125" i="114"/>
  <c r="P9" i="114" s="1"/>
  <c r="P125" i="206"/>
  <c r="P9" i="206" s="1"/>
  <c r="L140" i="114"/>
  <c r="L24" i="114" s="1"/>
  <c r="L140" i="206"/>
  <c r="L24" i="206" s="1"/>
  <c r="O160" i="114"/>
  <c r="O44" i="114" s="1"/>
  <c r="O160" i="206"/>
  <c r="O44" i="206" s="1"/>
  <c r="E141" i="114"/>
  <c r="E25" i="114" s="1"/>
  <c r="E141" i="206"/>
  <c r="E25" i="206" s="1"/>
  <c r="D151" i="114"/>
  <c r="D151" i="206"/>
  <c r="D35" i="206" s="1"/>
  <c r="F154" i="114"/>
  <c r="F38" i="114" s="1"/>
  <c r="F154" i="206"/>
  <c r="F38" i="206" s="1"/>
  <c r="N155" i="114"/>
  <c r="N39" i="114" s="1"/>
  <c r="N155" i="206"/>
  <c r="N39" i="206" s="1"/>
  <c r="N147" i="114"/>
  <c r="N31" i="114" s="1"/>
  <c r="N147" i="206"/>
  <c r="N31" i="206" s="1"/>
  <c r="P144" i="114"/>
  <c r="P28" i="114" s="1"/>
  <c r="P144" i="206"/>
  <c r="P28" i="206" s="1"/>
  <c r="I166" i="114"/>
  <c r="I50" i="114" s="1"/>
  <c r="I166" i="206"/>
  <c r="I50" i="206" s="1"/>
  <c r="L148" i="114"/>
  <c r="L32" i="114" s="1"/>
  <c r="L148" i="206"/>
  <c r="L32" i="206" s="1"/>
  <c r="G162" i="114"/>
  <c r="G46" i="114" s="1"/>
  <c r="G162" i="206"/>
  <c r="G46" i="206" s="1"/>
  <c r="O170" i="114"/>
  <c r="O54" i="114" s="1"/>
  <c r="O170" i="206"/>
  <c r="O54" i="206" s="1"/>
  <c r="E128" i="114"/>
  <c r="E12" i="114" s="1"/>
  <c r="E128" i="206"/>
  <c r="E12" i="206" s="1"/>
  <c r="O135" i="114"/>
  <c r="O19" i="114" s="1"/>
  <c r="O135" i="206"/>
  <c r="O19" i="206" s="1"/>
  <c r="J136" i="114"/>
  <c r="J20" i="114" s="1"/>
  <c r="J136" i="206"/>
  <c r="J20" i="206" s="1"/>
  <c r="E147" i="114"/>
  <c r="E31" i="114" s="1"/>
  <c r="E147" i="206"/>
  <c r="E31" i="206" s="1"/>
  <c r="O163" i="114"/>
  <c r="O47" i="114" s="1"/>
  <c r="O163" i="206"/>
  <c r="O47" i="206" s="1"/>
  <c r="J134" i="114"/>
  <c r="J18" i="114" s="1"/>
  <c r="J134" i="206"/>
  <c r="J18" i="206" s="1"/>
  <c r="D166" i="114"/>
  <c r="D166" i="206"/>
  <c r="D50" i="206" s="1"/>
  <c r="D161" i="114"/>
  <c r="D161" i="206"/>
  <c r="D45" i="206" s="1"/>
  <c r="D156" i="114"/>
  <c r="D156" i="206"/>
  <c r="D40" i="206" s="1"/>
  <c r="D152" i="114"/>
  <c r="D152" i="206"/>
  <c r="D36" i="206" s="1"/>
  <c r="D147" i="114"/>
  <c r="D147" i="206"/>
  <c r="D31" i="206" s="1"/>
  <c r="D142" i="114"/>
  <c r="D142" i="206"/>
  <c r="D26" i="206" s="1"/>
  <c r="D137" i="114"/>
  <c r="D137" i="206"/>
  <c r="D21" i="206" s="1"/>
  <c r="D128" i="114"/>
  <c r="D128" i="206"/>
  <c r="D12" i="206" s="1"/>
  <c r="E169" i="114"/>
  <c r="E53" i="114" s="1"/>
  <c r="E169" i="206"/>
  <c r="E53" i="206" s="1"/>
  <c r="E163" i="114"/>
  <c r="E47" i="114" s="1"/>
  <c r="E163" i="206"/>
  <c r="E47" i="206" s="1"/>
  <c r="E154" i="114"/>
  <c r="E38" i="114" s="1"/>
  <c r="E154" i="206"/>
  <c r="E38" i="206" s="1"/>
  <c r="E149" i="114"/>
  <c r="E33" i="114" s="1"/>
  <c r="E149" i="206"/>
  <c r="E33" i="206" s="1"/>
  <c r="E144" i="114"/>
  <c r="E28" i="114" s="1"/>
  <c r="E144" i="206"/>
  <c r="E28" i="206" s="1"/>
  <c r="E140" i="114"/>
  <c r="E24" i="114" s="1"/>
  <c r="E140" i="206"/>
  <c r="E24" i="206" s="1"/>
  <c r="E136" i="114"/>
  <c r="E20" i="114" s="1"/>
  <c r="E136" i="206"/>
  <c r="E20" i="206" s="1"/>
  <c r="E127" i="114"/>
  <c r="E11" i="114" s="1"/>
  <c r="E127" i="206"/>
  <c r="E11" i="206" s="1"/>
  <c r="F170" i="114"/>
  <c r="F54" i="114" s="1"/>
  <c r="F170" i="206"/>
  <c r="F54" i="206" s="1"/>
  <c r="F155" i="114"/>
  <c r="F39" i="114" s="1"/>
  <c r="F155" i="206"/>
  <c r="F39" i="206" s="1"/>
  <c r="F151" i="114"/>
  <c r="F35" i="114" s="1"/>
  <c r="F151" i="206"/>
  <c r="F35" i="206" s="1"/>
  <c r="F137" i="114"/>
  <c r="F21" i="114" s="1"/>
  <c r="F137" i="206"/>
  <c r="F21" i="206" s="1"/>
  <c r="F134" i="114"/>
  <c r="F18" i="114" s="1"/>
  <c r="F134" i="206"/>
  <c r="F18" i="206" s="1"/>
  <c r="F129" i="114"/>
  <c r="F13" i="114" s="1"/>
  <c r="F129" i="206"/>
  <c r="F13" i="206" s="1"/>
  <c r="F124" i="114"/>
  <c r="F8" i="114" s="1"/>
  <c r="F124" i="206"/>
  <c r="F8" i="206" s="1"/>
  <c r="G157" i="114"/>
  <c r="G41" i="114" s="1"/>
  <c r="G157" i="206"/>
  <c r="G41" i="206" s="1"/>
  <c r="G153" i="114"/>
  <c r="G37" i="114" s="1"/>
  <c r="G153" i="206"/>
  <c r="G37" i="206" s="1"/>
  <c r="G148" i="114"/>
  <c r="G32" i="114" s="1"/>
  <c r="G148" i="206"/>
  <c r="G32" i="206" s="1"/>
  <c r="G143" i="114"/>
  <c r="G27" i="114" s="1"/>
  <c r="G143" i="206"/>
  <c r="G27" i="206" s="1"/>
  <c r="G139" i="114"/>
  <c r="G23" i="114" s="1"/>
  <c r="G139" i="206"/>
  <c r="G23" i="206" s="1"/>
  <c r="G134" i="114"/>
  <c r="G18" i="114" s="1"/>
  <c r="G134" i="206"/>
  <c r="G18" i="206" s="1"/>
  <c r="G129" i="114"/>
  <c r="G13" i="114" s="1"/>
  <c r="G129" i="206"/>
  <c r="G13" i="206" s="1"/>
  <c r="G124" i="114"/>
  <c r="G8" i="114" s="1"/>
  <c r="G124" i="206"/>
  <c r="G8" i="206" s="1"/>
  <c r="I170" i="114"/>
  <c r="I54" i="114" s="1"/>
  <c r="I170" i="206"/>
  <c r="I54" i="206" s="1"/>
  <c r="I160" i="114"/>
  <c r="I44" i="114" s="1"/>
  <c r="I160" i="206"/>
  <c r="I44" i="206" s="1"/>
  <c r="I155" i="114"/>
  <c r="I39" i="114" s="1"/>
  <c r="I155" i="206"/>
  <c r="I39" i="206" s="1"/>
  <c r="I146" i="114"/>
  <c r="I30" i="114" s="1"/>
  <c r="I146" i="206"/>
  <c r="I30" i="206" s="1"/>
  <c r="I141" i="114"/>
  <c r="I25" i="114" s="1"/>
  <c r="I141" i="206"/>
  <c r="I25" i="206" s="1"/>
  <c r="I136" i="114"/>
  <c r="I20" i="114" s="1"/>
  <c r="I136" i="206"/>
  <c r="I20" i="206" s="1"/>
  <c r="I131" i="114"/>
  <c r="I15" i="114" s="1"/>
  <c r="I131" i="206"/>
  <c r="I15" i="206" s="1"/>
  <c r="I127" i="114"/>
  <c r="I11" i="114" s="1"/>
  <c r="I127" i="206"/>
  <c r="I11" i="206" s="1"/>
  <c r="J169" i="114"/>
  <c r="J53" i="114" s="1"/>
  <c r="J169" i="206"/>
  <c r="J53" i="206" s="1"/>
  <c r="J159" i="114"/>
  <c r="J43" i="114" s="1"/>
  <c r="J159" i="206"/>
  <c r="J43" i="206" s="1"/>
  <c r="J154" i="114"/>
  <c r="J38" i="114" s="1"/>
  <c r="J154" i="206"/>
  <c r="J38" i="206" s="1"/>
  <c r="J149" i="114"/>
  <c r="J33" i="114" s="1"/>
  <c r="J149" i="206"/>
  <c r="J33" i="206" s="1"/>
  <c r="J144" i="114"/>
  <c r="J28" i="114" s="1"/>
  <c r="J144" i="206"/>
  <c r="J28" i="206" s="1"/>
  <c r="J135" i="114"/>
  <c r="J19" i="114" s="1"/>
  <c r="J135" i="206"/>
  <c r="J19" i="206" s="1"/>
  <c r="J130" i="114"/>
  <c r="J14" i="114" s="1"/>
  <c r="J130" i="206"/>
  <c r="J14" i="206" s="1"/>
  <c r="K157" i="114"/>
  <c r="K41" i="114" s="1"/>
  <c r="K157" i="206"/>
  <c r="K41" i="206" s="1"/>
  <c r="K153" i="114"/>
  <c r="K37" i="114" s="1"/>
  <c r="K153" i="206"/>
  <c r="K37" i="206" s="1"/>
  <c r="K148" i="114"/>
  <c r="K32" i="114" s="1"/>
  <c r="K148" i="206"/>
  <c r="K32" i="206" s="1"/>
  <c r="K143" i="114"/>
  <c r="K27" i="114" s="1"/>
  <c r="K143" i="206"/>
  <c r="K27" i="206" s="1"/>
  <c r="K139" i="114"/>
  <c r="K23" i="114" s="1"/>
  <c r="K139" i="206"/>
  <c r="K23" i="206" s="1"/>
  <c r="K134" i="114"/>
  <c r="K18" i="114" s="1"/>
  <c r="K134" i="206"/>
  <c r="K18" i="206" s="1"/>
  <c r="K129" i="114"/>
  <c r="K13" i="114" s="1"/>
  <c r="K129" i="206"/>
  <c r="K13" i="206" s="1"/>
  <c r="K124" i="114"/>
  <c r="K8" i="114" s="1"/>
  <c r="K124" i="206"/>
  <c r="K8" i="206" s="1"/>
  <c r="L161" i="114"/>
  <c r="L45" i="114" s="1"/>
  <c r="L161" i="206"/>
  <c r="L45" i="206" s="1"/>
  <c r="L156" i="114"/>
  <c r="L40" i="114" s="1"/>
  <c r="L156" i="206"/>
  <c r="L40" i="206" s="1"/>
  <c r="L152" i="114"/>
  <c r="L36" i="114" s="1"/>
  <c r="L152" i="206"/>
  <c r="L36" i="206" s="1"/>
  <c r="L147" i="114"/>
  <c r="L31" i="114" s="1"/>
  <c r="L147" i="206"/>
  <c r="L31" i="206" s="1"/>
  <c r="L143" i="114"/>
  <c r="L27" i="114" s="1"/>
  <c r="L143" i="206"/>
  <c r="L27" i="206" s="1"/>
  <c r="L135" i="114"/>
  <c r="L19" i="114" s="1"/>
  <c r="L135" i="206"/>
  <c r="L19" i="206" s="1"/>
  <c r="L130" i="114"/>
  <c r="L14" i="114" s="1"/>
  <c r="L130" i="206"/>
  <c r="L14" i="206" s="1"/>
  <c r="L125" i="114"/>
  <c r="L9" i="114" s="1"/>
  <c r="L125" i="206"/>
  <c r="L9" i="206" s="1"/>
  <c r="N162" i="114"/>
  <c r="N46" i="114" s="1"/>
  <c r="N162" i="206"/>
  <c r="N46" i="206" s="1"/>
  <c r="N157" i="114"/>
  <c r="N41" i="114" s="1"/>
  <c r="N157" i="206"/>
  <c r="N41" i="206" s="1"/>
  <c r="N153" i="114"/>
  <c r="N37" i="114" s="1"/>
  <c r="N153" i="206"/>
  <c r="N37" i="206" s="1"/>
  <c r="N148" i="114"/>
  <c r="N32" i="114" s="1"/>
  <c r="N148" i="206"/>
  <c r="N32" i="206" s="1"/>
  <c r="N144" i="114"/>
  <c r="N28" i="114" s="1"/>
  <c r="N144" i="206"/>
  <c r="N28" i="206" s="1"/>
  <c r="N140" i="114"/>
  <c r="N24" i="114" s="1"/>
  <c r="N140" i="206"/>
  <c r="N24" i="206" s="1"/>
  <c r="O162" i="114"/>
  <c r="O46" i="114" s="1"/>
  <c r="O162" i="206"/>
  <c r="O46" i="206" s="1"/>
  <c r="O157" i="114"/>
  <c r="O41" i="114" s="1"/>
  <c r="O157" i="206"/>
  <c r="O41" i="206" s="1"/>
  <c r="O153" i="114"/>
  <c r="O37" i="114" s="1"/>
  <c r="O153" i="206"/>
  <c r="O37" i="206" s="1"/>
  <c r="O148" i="114"/>
  <c r="O32" i="114" s="1"/>
  <c r="O148" i="206"/>
  <c r="O32" i="206" s="1"/>
  <c r="O139" i="114"/>
  <c r="O23" i="114" s="1"/>
  <c r="O139" i="206"/>
  <c r="O23" i="206" s="1"/>
  <c r="O134" i="114"/>
  <c r="O18" i="114" s="1"/>
  <c r="O134" i="206"/>
  <c r="O18" i="206" s="1"/>
  <c r="P166" i="114"/>
  <c r="P50" i="114" s="1"/>
  <c r="P166" i="206"/>
  <c r="P50" i="206" s="1"/>
  <c r="P161" i="114"/>
  <c r="P45" i="114" s="1"/>
  <c r="P161" i="206"/>
  <c r="P45" i="206" s="1"/>
  <c r="P152" i="114"/>
  <c r="P36" i="114" s="1"/>
  <c r="P152" i="206"/>
  <c r="P36" i="206" s="1"/>
  <c r="P147" i="114"/>
  <c r="P31" i="114" s="1"/>
  <c r="P147" i="206"/>
  <c r="P31" i="206" s="1"/>
  <c r="P142" i="114"/>
  <c r="P26" i="114" s="1"/>
  <c r="P142" i="206"/>
  <c r="P26" i="206" s="1"/>
  <c r="P137" i="114"/>
  <c r="P21" i="114" s="1"/>
  <c r="P137" i="206"/>
  <c r="P21" i="206" s="1"/>
  <c r="P129" i="114"/>
  <c r="P13" i="114" s="1"/>
  <c r="P129" i="206"/>
  <c r="P13" i="206" s="1"/>
  <c r="Q114" i="120"/>
  <c r="Q101" i="120"/>
  <c r="P83" i="120"/>
  <c r="AG51" i="122"/>
  <c r="AH51" i="122" s="1"/>
  <c r="Q78" i="120"/>
  <c r="J63" i="86"/>
  <c r="BA90" i="114"/>
  <c r="AF60" i="114"/>
  <c r="AG60" i="114" s="1"/>
  <c r="G166" i="114"/>
  <c r="G50" i="114" s="1"/>
  <c r="M60" i="86"/>
  <c r="AB7" i="108"/>
  <c r="AB6" i="108" s="1"/>
  <c r="AS8" i="155"/>
  <c r="AB37" i="108"/>
  <c r="AB34" i="108" s="1"/>
  <c r="AS36" i="155"/>
  <c r="AM6" i="155"/>
  <c r="AB24" i="108"/>
  <c r="AB22" i="108" s="1"/>
  <c r="AS24" i="155"/>
  <c r="AN6" i="155"/>
  <c r="K41" i="98"/>
  <c r="M173" i="122"/>
  <c r="M171" i="122"/>
  <c r="E173" i="122"/>
  <c r="E179" i="122" s="1"/>
  <c r="E171" i="122"/>
  <c r="Q83" i="120"/>
  <c r="I128" i="114"/>
  <c r="I12" i="114" s="1"/>
  <c r="I134" i="114"/>
  <c r="I18" i="114" s="1"/>
  <c r="O28" i="86"/>
  <c r="AC17" i="108"/>
  <c r="AC16" i="108" s="1"/>
  <c r="AW18" i="155"/>
  <c r="X11" i="108"/>
  <c r="X10" i="108" s="1"/>
  <c r="AC12" i="155"/>
  <c r="AW78" i="114"/>
  <c r="BQ109" i="114"/>
  <c r="Z6" i="156"/>
  <c r="Y3" i="156"/>
  <c r="B80" i="114"/>
  <c r="B78" i="114"/>
  <c r="B83" i="114"/>
  <c r="B87" i="114"/>
  <c r="B86" i="114"/>
  <c r="B85" i="114"/>
  <c r="B88" i="114"/>
  <c r="B84" i="114"/>
  <c r="B79" i="114"/>
  <c r="AS16" i="108"/>
  <c r="G127" i="114"/>
  <c r="G11" i="114" s="1"/>
  <c r="O45" i="86"/>
  <c r="O41" i="86" s="1"/>
  <c r="V37" i="98"/>
  <c r="O26" i="86"/>
  <c r="V18" i="98"/>
  <c r="O19" i="86"/>
  <c r="O18" i="86" s="1"/>
  <c r="V14" i="98"/>
  <c r="P64" i="86"/>
  <c r="J168" i="206" s="1"/>
  <c r="J52" i="206" s="1"/>
  <c r="W59" i="98"/>
  <c r="T23" i="86"/>
  <c r="N127" i="206" s="1"/>
  <c r="N11" i="206" s="1"/>
  <c r="AA18" i="98"/>
  <c r="U5" i="116"/>
  <c r="D37" i="119" s="1"/>
  <c r="G35" i="152" s="1"/>
  <c r="U36" i="155"/>
  <c r="V35" i="108"/>
  <c r="V34" i="108" s="1"/>
  <c r="Y53" i="155"/>
  <c r="W52" i="108"/>
  <c r="W51" i="108" s="1"/>
  <c r="W23" i="108"/>
  <c r="W22" i="108" s="1"/>
  <c r="Y24" i="155"/>
  <c r="X28" i="108"/>
  <c r="AC24" i="155"/>
  <c r="X19" i="108"/>
  <c r="X16" i="108" s="1"/>
  <c r="AC18" i="155"/>
  <c r="Z35" i="108"/>
  <c r="AP35" i="108" s="1"/>
  <c r="AK36" i="155"/>
  <c r="Z12" i="108"/>
  <c r="AP12" i="108" s="1"/>
  <c r="AK12" i="155"/>
  <c r="AA5" i="116"/>
  <c r="AA4" i="116" s="1"/>
  <c r="AK18" i="116"/>
  <c r="AK7" i="116" s="1"/>
  <c r="AW79" i="114"/>
  <c r="AX84" i="114" s="1"/>
  <c r="BX109" i="114"/>
  <c r="BR109" i="114"/>
  <c r="BD74" i="114"/>
  <c r="W63" i="114" s="1"/>
  <c r="AS88" i="114" s="1"/>
  <c r="BE74" i="114"/>
  <c r="X63" i="114" s="1"/>
  <c r="AT88" i="114" s="1"/>
  <c r="Z60" i="114"/>
  <c r="AV90" i="114" s="1"/>
  <c r="AT74" i="114"/>
  <c r="Y60" i="114" s="1"/>
  <c r="AU90" i="114" s="1"/>
  <c r="AX78" i="114"/>
  <c r="BW109" i="114"/>
  <c r="AC44" i="108"/>
  <c r="AC42" i="108" s="1"/>
  <c r="AW44" i="155"/>
  <c r="N5" i="156"/>
  <c r="L3" i="156"/>
  <c r="AL53" i="156"/>
  <c r="AC46" i="99" s="1"/>
  <c r="AL35" i="156"/>
  <c r="AC44" i="99" s="1"/>
  <c r="AL54" i="156"/>
  <c r="AC47" i="99" s="1"/>
  <c r="M47" i="86"/>
  <c r="M46" i="86" s="1"/>
  <c r="U42" i="98"/>
  <c r="M27" i="86"/>
  <c r="U18" i="98"/>
  <c r="M9" i="86"/>
  <c r="M8" i="86" s="1"/>
  <c r="U4" i="98"/>
  <c r="T56" i="86"/>
  <c r="N160" i="206" s="1"/>
  <c r="N44" i="206" s="1"/>
  <c r="AA50" i="98"/>
  <c r="T47" i="86"/>
  <c r="N151" i="206" s="1"/>
  <c r="N35" i="206" s="1"/>
  <c r="AA42" i="98"/>
  <c r="T38" i="86"/>
  <c r="AA30" i="98"/>
  <c r="T34" i="86" s="1"/>
  <c r="N125" i="114"/>
  <c r="N9" i="114" s="1"/>
  <c r="C49" i="108"/>
  <c r="C45" i="108"/>
  <c r="C43" i="108"/>
  <c r="C24" i="108"/>
  <c r="C10" i="122"/>
  <c r="C9" i="122"/>
  <c r="D47" i="99"/>
  <c r="L52" i="86"/>
  <c r="F156" i="206" s="1"/>
  <c r="F40" i="206" s="1"/>
  <c r="T42" i="98"/>
  <c r="L44" i="86"/>
  <c r="T37" i="98"/>
  <c r="L26" i="86"/>
  <c r="F130" i="206" s="1"/>
  <c r="F14" i="206" s="1"/>
  <c r="T18" i="98"/>
  <c r="L15" i="86"/>
  <c r="L8" i="86" s="1"/>
  <c r="T4" i="98"/>
  <c r="F170" i="122"/>
  <c r="F178" i="122" s="1"/>
  <c r="F69" i="122"/>
  <c r="F60" i="122" s="1"/>
  <c r="F42" i="122"/>
  <c r="F15" i="122" s="1"/>
  <c r="F10" i="122"/>
  <c r="G54" i="108"/>
  <c r="G50" i="108"/>
  <c r="G49" i="108"/>
  <c r="G37" i="108"/>
  <c r="M65" i="86"/>
  <c r="G169" i="206" s="1"/>
  <c r="G53" i="206" s="1"/>
  <c r="U59" i="98"/>
  <c r="J3" i="101"/>
  <c r="J166" i="114"/>
  <c r="J50" i="114" s="1"/>
  <c r="V30" i="98"/>
  <c r="O34" i="86" s="1"/>
  <c r="K162" i="114"/>
  <c r="K46" i="114" s="1"/>
  <c r="Q54" i="86"/>
  <c r="W42" i="98"/>
  <c r="AB15" i="108"/>
  <c r="AB10" i="108" s="1"/>
  <c r="AS12" i="155"/>
  <c r="E3" i="101"/>
  <c r="G3" i="101" s="1"/>
  <c r="D5" i="101"/>
  <c r="C3" i="101"/>
  <c r="D3" i="101" s="1"/>
  <c r="Q115" i="120"/>
  <c r="AG6" i="122"/>
  <c r="Q124" i="120"/>
  <c r="J46" i="86"/>
  <c r="R59" i="98"/>
  <c r="X50" i="98"/>
  <c r="G55" i="123"/>
  <c r="G14" i="123" s="1"/>
  <c r="M29" i="86"/>
  <c r="M28" i="86" s="1"/>
  <c r="U24" i="98"/>
  <c r="I42" i="99"/>
  <c r="I34" i="99"/>
  <c r="I22" i="99"/>
  <c r="I16" i="99"/>
  <c r="I45" i="108"/>
  <c r="I43" i="108"/>
  <c r="O47" i="86"/>
  <c r="O46" i="86" s="1"/>
  <c r="V42" i="98"/>
  <c r="J34" i="99"/>
  <c r="J22" i="99"/>
  <c r="J16" i="99"/>
  <c r="J6" i="99"/>
  <c r="P36" i="86"/>
  <c r="W30" i="98"/>
  <c r="P34" i="86" s="1"/>
  <c r="J13" i="122"/>
  <c r="J9" i="122"/>
  <c r="K37" i="108"/>
  <c r="U25" i="86"/>
  <c r="U22" i="86" s="1"/>
  <c r="AB18" i="98"/>
  <c r="O60" i="122"/>
  <c r="R4" i="98"/>
  <c r="L3" i="98"/>
  <c r="L61" i="86"/>
  <c r="F165" i="206" s="1"/>
  <c r="F49" i="206" s="1"/>
  <c r="T56" i="98"/>
  <c r="M44" i="108"/>
  <c r="M38" i="108"/>
  <c r="M14" i="122"/>
  <c r="N23" i="123"/>
  <c r="N9" i="123" s="1"/>
  <c r="U44" i="155"/>
  <c r="V43" i="108"/>
  <c r="V42" i="108" s="1"/>
  <c r="V33" i="108"/>
  <c r="V29" i="108" s="1"/>
  <c r="U31" i="155"/>
  <c r="V14" i="108"/>
  <c r="V10" i="108" s="1"/>
  <c r="U12" i="155"/>
  <c r="W50" i="108"/>
  <c r="W48" i="108" s="1"/>
  <c r="Y50" i="155"/>
  <c r="W40" i="108"/>
  <c r="W34" i="108" s="1"/>
  <c r="Y36" i="155"/>
  <c r="W31" i="108"/>
  <c r="W29" i="108" s="1"/>
  <c r="Y31" i="155"/>
  <c r="J86" i="120"/>
  <c r="Q122" i="120"/>
  <c r="AU6" i="156"/>
  <c r="AR7" i="156"/>
  <c r="AP8" i="108"/>
  <c r="AD5" i="122"/>
  <c r="AD1" i="122" s="1"/>
  <c r="L171" i="122"/>
  <c r="AL13" i="156"/>
  <c r="B5" i="107"/>
  <c r="D5" i="107" s="1"/>
  <c r="G80" i="107"/>
  <c r="S60" i="107"/>
  <c r="AU79" i="114"/>
  <c r="CP91" i="114"/>
  <c r="CJ91" i="114"/>
  <c r="N60" i="116"/>
  <c r="N14" i="116" s="1"/>
  <c r="N22" i="116"/>
  <c r="N8" i="116" s="1"/>
  <c r="M28" i="116"/>
  <c r="M9" i="116" s="1"/>
  <c r="L28" i="116"/>
  <c r="L9" i="116" s="1"/>
  <c r="L22" i="116"/>
  <c r="L8" i="116" s="1"/>
  <c r="J63" i="116"/>
  <c r="J15" i="116" s="1"/>
  <c r="H63" i="116"/>
  <c r="H15" i="116" s="1"/>
  <c r="H54" i="116"/>
  <c r="H13" i="116" s="1"/>
  <c r="H34" i="116"/>
  <c r="H10" i="116" s="1"/>
  <c r="H55" i="123"/>
  <c r="H14" i="123" s="1"/>
  <c r="H35" i="123"/>
  <c r="H11" i="123" s="1"/>
  <c r="G54" i="116"/>
  <c r="G13" i="116" s="1"/>
  <c r="F22" i="116"/>
  <c r="F8" i="116" s="1"/>
  <c r="F64" i="123"/>
  <c r="F16" i="123" s="1"/>
  <c r="F35" i="123"/>
  <c r="F11" i="123" s="1"/>
  <c r="E54" i="116"/>
  <c r="E13" i="116" s="1"/>
  <c r="D42" i="123"/>
  <c r="D12" i="123" s="1"/>
  <c r="O35" i="165"/>
  <c r="O11" i="165" s="1"/>
  <c r="O23" i="165"/>
  <c r="O9" i="165" s="1"/>
  <c r="O55" i="123"/>
  <c r="O14" i="123" s="1"/>
  <c r="O54" i="116"/>
  <c r="O13" i="116" s="1"/>
  <c r="O34" i="116"/>
  <c r="O10" i="116" s="1"/>
  <c r="Q34" i="116"/>
  <c r="Q10" i="116" s="1"/>
  <c r="Q146" i="114"/>
  <c r="Q30" i="114" s="1"/>
  <c r="Q29" i="114" s="1"/>
  <c r="W41" i="86"/>
  <c r="Q145" i="206" s="1"/>
  <c r="R5" i="116"/>
  <c r="R48" i="108"/>
  <c r="S5" i="116"/>
  <c r="T5" i="116"/>
  <c r="C48" i="119" s="1"/>
  <c r="G46" i="153" s="1"/>
  <c r="T48" i="99"/>
  <c r="T48" i="108"/>
  <c r="V52" i="108"/>
  <c r="V51" i="108" s="1"/>
  <c r="U53" i="155"/>
  <c r="Q84" i="120"/>
  <c r="AP18" i="108"/>
  <c r="AS18" i="155"/>
  <c r="AW53" i="155"/>
  <c r="K20" i="86"/>
  <c r="E124" i="206" s="1"/>
  <c r="E8" i="206" s="1"/>
  <c r="S14" i="98"/>
  <c r="L34" i="99"/>
  <c r="L16" i="99"/>
  <c r="L6" i="99"/>
  <c r="R25" i="86"/>
  <c r="R22" i="86" s="1"/>
  <c r="Y18" i="98"/>
  <c r="Q34" i="99"/>
  <c r="Q29" i="99"/>
  <c r="Q16" i="99"/>
  <c r="Q10" i="99"/>
  <c r="D29" i="165"/>
  <c r="D10" i="165" s="1"/>
  <c r="D42" i="165"/>
  <c r="D12" i="165" s="1"/>
  <c r="S158" i="114"/>
  <c r="Z7" i="86"/>
  <c r="AB16" i="108"/>
  <c r="F174" i="122"/>
  <c r="Q47" i="86"/>
  <c r="K151" i="206" s="1"/>
  <c r="K35" i="206" s="1"/>
  <c r="X42" i="98"/>
  <c r="P23" i="122"/>
  <c r="P7" i="122" s="1"/>
  <c r="P69" i="122"/>
  <c r="P60" i="122" s="1"/>
  <c r="P165" i="122"/>
  <c r="AG36" i="122"/>
  <c r="AR6" i="156"/>
  <c r="R8" i="86"/>
  <c r="L54" i="86"/>
  <c r="M92" i="120"/>
  <c r="X5" i="116"/>
  <c r="G32" i="119" s="1"/>
  <c r="G30" i="157" s="1"/>
  <c r="N35" i="123"/>
  <c r="N11" i="123" s="1"/>
  <c r="D3" i="98"/>
  <c r="G3" i="98"/>
  <c r="O172" i="122"/>
  <c r="G61" i="107"/>
  <c r="D43" i="108" s="1"/>
  <c r="F60" i="107"/>
  <c r="E30" i="108"/>
  <c r="K27" i="86"/>
  <c r="K22" i="86" s="1"/>
  <c r="S18" i="98"/>
  <c r="Q65" i="86"/>
  <c r="Q63" i="86" s="1"/>
  <c r="X59" i="98"/>
  <c r="Q45" i="86"/>
  <c r="K149" i="206" s="1"/>
  <c r="K33" i="206" s="1"/>
  <c r="X37" i="98"/>
  <c r="Q36" i="86"/>
  <c r="X30" i="98"/>
  <c r="Q34" i="86" s="1"/>
  <c r="O10" i="122"/>
  <c r="V44" i="86"/>
  <c r="V41" i="86" s="1"/>
  <c r="AC37" i="98"/>
  <c r="W48" i="99"/>
  <c r="W16" i="99"/>
  <c r="AP23" i="108"/>
  <c r="AL5" i="156"/>
  <c r="U5" i="107"/>
  <c r="V5" i="107" s="1"/>
  <c r="AG17" i="107"/>
  <c r="F50" i="99"/>
  <c r="F48" i="99" s="1"/>
  <c r="M47" i="108"/>
  <c r="P28" i="108"/>
  <c r="AA48" i="99"/>
  <c r="BR128" i="114"/>
  <c r="AP19" i="108"/>
  <c r="M42" i="123"/>
  <c r="M12" i="123" s="1"/>
  <c r="V91" i="107"/>
  <c r="AB16" i="107"/>
  <c r="AG45" i="107"/>
  <c r="Z30" i="98"/>
  <c r="S34" i="86" s="1"/>
  <c r="M138" i="206" s="1"/>
  <c r="D27" i="99"/>
  <c r="F52" i="108"/>
  <c r="F16" i="108"/>
  <c r="G10" i="108"/>
  <c r="G10" i="122"/>
  <c r="G9" i="122"/>
  <c r="H6" i="99"/>
  <c r="J10" i="108"/>
  <c r="N10" i="108"/>
  <c r="O10" i="108"/>
  <c r="P10" i="108"/>
  <c r="U48" i="108"/>
  <c r="U16" i="108"/>
  <c r="U10" i="108"/>
  <c r="V48" i="99"/>
  <c r="AF12" i="156"/>
  <c r="AK54" i="116"/>
  <c r="AK13" i="116" s="1"/>
  <c r="AB5" i="116"/>
  <c r="AB4" i="116" s="1"/>
  <c r="AS51" i="108"/>
  <c r="AL6" i="156"/>
  <c r="G23" i="123"/>
  <c r="G9" i="123" s="1"/>
  <c r="J35" i="123"/>
  <c r="J11" i="123" s="1"/>
  <c r="O3" i="101"/>
  <c r="P3" i="101" s="1"/>
  <c r="D14" i="101"/>
  <c r="I5" i="107"/>
  <c r="H5" i="107"/>
  <c r="J5" i="107" s="1"/>
  <c r="D60" i="122"/>
  <c r="C47" i="108"/>
  <c r="E23" i="99"/>
  <c r="E6" i="108"/>
  <c r="F41" i="108"/>
  <c r="F6" i="108"/>
  <c r="I16" i="108"/>
  <c r="J16" i="108"/>
  <c r="K16" i="108"/>
  <c r="K10" i="108"/>
  <c r="L6" i="108"/>
  <c r="M16" i="108"/>
  <c r="O52" i="108"/>
  <c r="O16" i="108"/>
  <c r="P42" i="108"/>
  <c r="P16" i="108"/>
  <c r="AG8" i="155"/>
  <c r="AF5" i="156"/>
  <c r="AF13" i="156"/>
  <c r="AK44" i="155"/>
  <c r="AP21" i="108"/>
  <c r="C3" i="98"/>
  <c r="F3" i="98"/>
  <c r="E3" i="98"/>
  <c r="H3" i="98"/>
  <c r="Z62" i="98"/>
  <c r="Z51" i="98"/>
  <c r="Z46" i="98"/>
  <c r="Z18" i="98"/>
  <c r="D50" i="108"/>
  <c r="D49" i="108"/>
  <c r="D48" i="108" s="1"/>
  <c r="D41" i="108"/>
  <c r="F9" i="122"/>
  <c r="G45" i="99"/>
  <c r="G37" i="99"/>
  <c r="G28" i="99"/>
  <c r="G6" i="99"/>
  <c r="G53" i="108"/>
  <c r="G38" i="108"/>
  <c r="AS85" i="114"/>
  <c r="C121" i="120"/>
  <c r="AP39" i="108"/>
  <c r="AA51" i="108"/>
  <c r="AQ4" i="108"/>
  <c r="AK28" i="116"/>
  <c r="AK9" i="116" s="1"/>
  <c r="CQ109" i="114"/>
  <c r="T14" i="98"/>
  <c r="X22" i="108"/>
  <c r="AP49" i="108"/>
  <c r="AP17" i="108"/>
  <c r="Y22" i="108"/>
  <c r="Y16" i="108"/>
  <c r="AA42" i="108"/>
  <c r="AP41" i="108"/>
  <c r="Y29" i="108"/>
  <c r="AC44" i="155"/>
  <c r="AP44" i="108"/>
  <c r="G29" i="123"/>
  <c r="G10" i="123" s="1"/>
  <c r="G47" i="123"/>
  <c r="G13" i="123" s="1"/>
  <c r="J23" i="123"/>
  <c r="J9" i="123" s="1"/>
  <c r="K55" i="123"/>
  <c r="K14" i="123" s="1"/>
  <c r="N61" i="123"/>
  <c r="N15" i="123" s="1"/>
  <c r="V60" i="107"/>
  <c r="AG83" i="107"/>
  <c r="AG23" i="107"/>
  <c r="N172" i="122"/>
  <c r="F172" i="122"/>
  <c r="C27" i="99"/>
  <c r="C54" i="108"/>
  <c r="C44" i="108"/>
  <c r="C41" i="108"/>
  <c r="D13" i="122"/>
  <c r="D12" i="122"/>
  <c r="D10" i="122"/>
  <c r="E53" i="99"/>
  <c r="E50" i="99"/>
  <c r="E47" i="99"/>
  <c r="E43" i="99"/>
  <c r="E24" i="108"/>
  <c r="F47" i="108"/>
  <c r="H33" i="108"/>
  <c r="K52" i="108"/>
  <c r="L52" i="108"/>
  <c r="L51" i="108" s="1"/>
  <c r="M23" i="108"/>
  <c r="J18" i="116"/>
  <c r="J7" i="116" s="1"/>
  <c r="Q41" i="116"/>
  <c r="Q11" i="116" s="1"/>
  <c r="AI13" i="156"/>
  <c r="K118" i="120"/>
  <c r="K8" i="86"/>
  <c r="Y6" i="99"/>
  <c r="Z10" i="99"/>
  <c r="R3" i="156"/>
  <c r="T51" i="99"/>
  <c r="Q13" i="156"/>
  <c r="Q48" i="99"/>
  <c r="U16" i="99"/>
  <c r="S42" i="99"/>
  <c r="W42" i="99"/>
  <c r="T29" i="99"/>
  <c r="T10" i="99"/>
  <c r="N86" i="120"/>
  <c r="Y48" i="108"/>
  <c r="W16" i="108"/>
  <c r="AE6" i="108"/>
  <c r="V6" i="108"/>
  <c r="F10" i="108"/>
  <c r="O6" i="108"/>
  <c r="AP26" i="108"/>
  <c r="Y34" i="108"/>
  <c r="AR4" i="108"/>
  <c r="AP43" i="108"/>
  <c r="AP14" i="108"/>
  <c r="AA48" i="108"/>
  <c r="AF5" i="116"/>
  <c r="AF4" i="116" s="1"/>
  <c r="L92" i="120"/>
  <c r="M41" i="86"/>
  <c r="Z4" i="98"/>
  <c r="F147" i="114"/>
  <c r="F31" i="114" s="1"/>
  <c r="K130" i="114"/>
  <c r="K14" i="114" s="1"/>
  <c r="Q22" i="86"/>
  <c r="AE10" i="99"/>
  <c r="K3" i="101"/>
  <c r="AV6" i="155"/>
  <c r="L112" i="120"/>
  <c r="D129" i="114"/>
  <c r="J22" i="86"/>
  <c r="Y60" i="107"/>
  <c r="W5" i="107"/>
  <c r="Y5" i="107" s="1"/>
  <c r="AE5" i="107"/>
  <c r="AG5" i="107" s="1"/>
  <c r="D6" i="108"/>
  <c r="AL44" i="156"/>
  <c r="AC28" i="99" s="1"/>
  <c r="AL28" i="156"/>
  <c r="AC24" i="99" s="1"/>
  <c r="AL31" i="156"/>
  <c r="AC25" i="99" s="1"/>
  <c r="AL33" i="156"/>
  <c r="AC26" i="99" s="1"/>
  <c r="AL41" i="156"/>
  <c r="AC27" i="99" s="1"/>
  <c r="AL26" i="156"/>
  <c r="AC23" i="99" s="1"/>
  <c r="N178" i="122"/>
  <c r="AB5" i="122"/>
  <c r="AC1" i="122" s="1"/>
  <c r="Z16" i="108"/>
  <c r="AE34" i="108"/>
  <c r="M3" i="101"/>
  <c r="BE18" i="155"/>
  <c r="AH41" i="99"/>
  <c r="AW74" i="114"/>
  <c r="AB60" i="114" s="1"/>
  <c r="AX90" i="114" s="1"/>
  <c r="AY91" i="114" s="1"/>
  <c r="AV74" i="114"/>
  <c r="AA60" i="114" s="1"/>
  <c r="AW90" i="114" s="1"/>
  <c r="G177" i="122"/>
  <c r="G171" i="122"/>
  <c r="Z5" i="116"/>
  <c r="Z4" i="116" s="1"/>
  <c r="N80" i="120"/>
  <c r="L21" i="86"/>
  <c r="F125" i="206" s="1"/>
  <c r="F9" i="206" s="1"/>
  <c r="U37" i="98"/>
  <c r="D10" i="108"/>
  <c r="G45" i="108"/>
  <c r="G43" i="108"/>
  <c r="H51" i="99"/>
  <c r="H52" i="108"/>
  <c r="H51" i="108" s="1"/>
  <c r="L28" i="108"/>
  <c r="L24" i="108"/>
  <c r="R51" i="99"/>
  <c r="U51" i="99"/>
  <c r="U29" i="99"/>
  <c r="W29" i="99"/>
  <c r="W10" i="99"/>
  <c r="X6" i="99"/>
  <c r="I121" i="120"/>
  <c r="AA51" i="99"/>
  <c r="AA29" i="99"/>
  <c r="J118" i="120"/>
  <c r="D3" i="156"/>
  <c r="AF19" i="108"/>
  <c r="AF39" i="108"/>
  <c r="I47" i="202"/>
  <c r="V22" i="108"/>
  <c r="AF20" i="108"/>
  <c r="AF40" i="108"/>
  <c r="S42" i="98"/>
  <c r="X32" i="108"/>
  <c r="X29" i="108" s="1"/>
  <c r="AP11" i="108"/>
  <c r="D16" i="107"/>
  <c r="V80" i="107"/>
  <c r="C37" i="99"/>
  <c r="D33" i="108"/>
  <c r="E15" i="122"/>
  <c r="F33" i="99"/>
  <c r="F29" i="99" s="1"/>
  <c r="T16" i="99"/>
  <c r="T6" i="99"/>
  <c r="Y29" i="99"/>
  <c r="Z42" i="99"/>
  <c r="AA6" i="99"/>
  <c r="AS29" i="108"/>
  <c r="AF21" i="108"/>
  <c r="AF41" i="108"/>
  <c r="G49" i="202"/>
  <c r="R14" i="98"/>
  <c r="R42" i="98"/>
  <c r="R18" i="98"/>
  <c r="V50" i="98"/>
  <c r="P5" i="101"/>
  <c r="J60" i="107"/>
  <c r="J91" i="107"/>
  <c r="P60" i="107"/>
  <c r="D46" i="99"/>
  <c r="K49" i="108"/>
  <c r="K48" i="108" s="1"/>
  <c r="L23" i="108"/>
  <c r="M33" i="108"/>
  <c r="L18" i="116"/>
  <c r="L7" i="116" s="1"/>
  <c r="G76" i="120"/>
  <c r="J112" i="120"/>
  <c r="AF26" i="108"/>
  <c r="AF47" i="108"/>
  <c r="C45" i="202"/>
  <c r="J50" i="202"/>
  <c r="L37" i="108"/>
  <c r="R6" i="99"/>
  <c r="U34" i="99"/>
  <c r="X51" i="99"/>
  <c r="AP50" i="108"/>
  <c r="K112" i="120"/>
  <c r="K99" i="120"/>
  <c r="C50" i="92"/>
  <c r="AF32" i="108"/>
  <c r="AF50" i="108"/>
  <c r="M51" i="202"/>
  <c r="E51" i="202"/>
  <c r="C52" i="202"/>
  <c r="AO12" i="155"/>
  <c r="R30" i="98"/>
  <c r="J34" i="86" s="1"/>
  <c r="AS31" i="155"/>
  <c r="S24" i="98"/>
  <c r="Z55" i="98"/>
  <c r="P58" i="101"/>
  <c r="D89" i="101"/>
  <c r="J7" i="107"/>
  <c r="M80" i="107"/>
  <c r="Q174" i="122"/>
  <c r="Q172" i="122"/>
  <c r="J172" i="122"/>
  <c r="D172" i="122"/>
  <c r="D179" i="122" s="1"/>
  <c r="C33" i="108"/>
  <c r="D45" i="99"/>
  <c r="D6" i="99"/>
  <c r="D23" i="108"/>
  <c r="E16" i="108"/>
  <c r="H23" i="108"/>
  <c r="K23" i="108"/>
  <c r="Z6" i="155"/>
  <c r="Q51" i="108"/>
  <c r="V22" i="99"/>
  <c r="Z51" i="99"/>
  <c r="AA42" i="99"/>
  <c r="T7" i="156"/>
  <c r="T11" i="156"/>
  <c r="AF8" i="108"/>
  <c r="AF36" i="108"/>
  <c r="H44" i="202"/>
  <c r="AO44" i="155"/>
  <c r="I172" i="122"/>
  <c r="F45" i="99"/>
  <c r="S34" i="99"/>
  <c r="AF9" i="156"/>
  <c r="AF9" i="108"/>
  <c r="AF37" i="108"/>
  <c r="AF53" i="108"/>
  <c r="K45" i="202"/>
  <c r="U30" i="98"/>
  <c r="M34" i="86" s="1"/>
  <c r="V4" i="98"/>
  <c r="J32" i="101"/>
  <c r="H172" i="122"/>
  <c r="H179" i="122" s="1"/>
  <c r="C52" i="99"/>
  <c r="C49" i="99"/>
  <c r="C10" i="99"/>
  <c r="J49" i="108"/>
  <c r="K33" i="108"/>
  <c r="K27" i="108"/>
  <c r="L63" i="116"/>
  <c r="L15" i="116" s="1"/>
  <c r="W5" i="116"/>
  <c r="F58" i="119" s="1"/>
  <c r="G56" i="134" s="1"/>
  <c r="X10" i="99"/>
  <c r="J80" i="120"/>
  <c r="AF18" i="108"/>
  <c r="AF38" i="108"/>
  <c r="AF54" i="108"/>
  <c r="N46" i="202"/>
  <c r="F46" i="202"/>
  <c r="R5" i="119"/>
  <c r="W49" i="92"/>
  <c r="R5" i="112" s="1"/>
  <c r="FB5" i="129"/>
  <c r="W57" i="92"/>
  <c r="R5" i="120" s="1"/>
  <c r="W59" i="92"/>
  <c r="R5" i="125"/>
  <c r="AP28" i="108"/>
  <c r="R10" i="108"/>
  <c r="AP30" i="108"/>
  <c r="AP46" i="108"/>
  <c r="AP33" i="108"/>
  <c r="Q34" i="108"/>
  <c r="Q29" i="108"/>
  <c r="R22" i="108"/>
  <c r="R6" i="108"/>
  <c r="T6" i="108"/>
  <c r="Z42" i="108"/>
  <c r="AC10" i="108"/>
  <c r="AP54" i="108"/>
  <c r="AB29" i="108"/>
  <c r="Q42" i="108"/>
  <c r="Q10" i="108"/>
  <c r="R34" i="108"/>
  <c r="R29" i="108"/>
  <c r="R16" i="108"/>
  <c r="S34" i="108"/>
  <c r="T42" i="108"/>
  <c r="T29" i="108"/>
  <c r="T10" i="108"/>
  <c r="V16" i="108"/>
  <c r="Q16" i="108"/>
  <c r="AP5" i="108"/>
  <c r="AA10" i="108"/>
  <c r="Q22" i="108"/>
  <c r="T16" i="108"/>
  <c r="W6" i="108"/>
  <c r="L51" i="202"/>
  <c r="H51" i="202"/>
  <c r="D51" i="202"/>
  <c r="L47" i="202"/>
  <c r="H47" i="202"/>
  <c r="D47" i="202"/>
  <c r="C44" i="202"/>
  <c r="C48" i="202"/>
  <c r="K48" i="202"/>
  <c r="G48" i="202"/>
  <c r="K44" i="202"/>
  <c r="G44" i="202"/>
  <c r="N49" i="202"/>
  <c r="J49" i="202"/>
  <c r="F49" i="202"/>
  <c r="N45" i="202"/>
  <c r="J45" i="202"/>
  <c r="F45" i="202"/>
  <c r="M52" i="202"/>
  <c r="H52" i="202"/>
  <c r="Q5" i="124"/>
  <c r="G52" i="202"/>
  <c r="AF13" i="122"/>
  <c r="P75" i="120"/>
  <c r="AG23" i="122"/>
  <c r="L123" i="114"/>
  <c r="L7" i="114" s="1"/>
  <c r="S16" i="108"/>
  <c r="Q75" i="120"/>
  <c r="C6" i="99"/>
  <c r="L169" i="114"/>
  <c r="S22" i="108"/>
  <c r="AP36" i="108"/>
  <c r="O169" i="114"/>
  <c r="O53" i="114" s="1"/>
  <c r="S29" i="108"/>
  <c r="AG43" i="122"/>
  <c r="AH43" i="122" s="1"/>
  <c r="C16" i="99"/>
  <c r="D16" i="108"/>
  <c r="AG26" i="122"/>
  <c r="AF15" i="122"/>
  <c r="P114" i="120"/>
  <c r="G163" i="114"/>
  <c r="G47" i="114" s="1"/>
  <c r="O130" i="114"/>
  <c r="O14" i="114" s="1"/>
  <c r="T22" i="108"/>
  <c r="Z6" i="108"/>
  <c r="AL36" i="156"/>
  <c r="AC50" i="99" s="1"/>
  <c r="AL34" i="156"/>
  <c r="AC49" i="99" s="1"/>
  <c r="P122" i="120"/>
  <c r="P81" i="120"/>
  <c r="E130" i="114"/>
  <c r="E14" i="114" s="1"/>
  <c r="G135" i="114"/>
  <c r="G19" i="114" s="1"/>
  <c r="R42" i="108"/>
  <c r="P107" i="120"/>
  <c r="J153" i="114"/>
  <c r="J37" i="114" s="1"/>
  <c r="P46" i="86"/>
  <c r="L137" i="114"/>
  <c r="L21" i="114" s="1"/>
  <c r="R28" i="86"/>
  <c r="N166" i="114"/>
  <c r="N50" i="114" s="1"/>
  <c r="T60" i="86"/>
  <c r="O146" i="114"/>
  <c r="O30" i="114" s="1"/>
  <c r="T34" i="108"/>
  <c r="AE29" i="99"/>
  <c r="M34" i="107"/>
  <c r="P34" i="107"/>
  <c r="C47" i="99"/>
  <c r="C24" i="99"/>
  <c r="C37" i="108"/>
  <c r="E46" i="99"/>
  <c r="F47" i="99"/>
  <c r="F38" i="108"/>
  <c r="G23" i="108"/>
  <c r="I6" i="99"/>
  <c r="I28" i="108"/>
  <c r="J27" i="108"/>
  <c r="S10" i="99"/>
  <c r="Y48" i="99"/>
  <c r="Z22" i="99"/>
  <c r="AA22" i="99"/>
  <c r="J60" i="119"/>
  <c r="AX85" i="114"/>
  <c r="AC11" i="156"/>
  <c r="Z5" i="156"/>
  <c r="Z9" i="156"/>
  <c r="Z13" i="156"/>
  <c r="AZ84" i="114"/>
  <c r="AE34" i="99"/>
  <c r="AE48" i="99"/>
  <c r="AO18" i="155"/>
  <c r="D80" i="107"/>
  <c r="P16" i="107"/>
  <c r="AG91" i="107"/>
  <c r="C38" i="99"/>
  <c r="C23" i="99"/>
  <c r="C23" i="108"/>
  <c r="E52" i="99"/>
  <c r="E49" i="99"/>
  <c r="E33" i="108"/>
  <c r="E28" i="108"/>
  <c r="F44" i="108"/>
  <c r="F33" i="108"/>
  <c r="G44" i="99"/>
  <c r="G38" i="99"/>
  <c r="J38" i="108"/>
  <c r="P10" i="99"/>
  <c r="Q54" i="116"/>
  <c r="Q13" i="116" s="1"/>
  <c r="Y16" i="99"/>
  <c r="W8" i="156"/>
  <c r="W12" i="156"/>
  <c r="AJ28" i="116"/>
  <c r="AJ9" i="116" s="1"/>
  <c r="AP47" i="108"/>
  <c r="S91" i="107"/>
  <c r="Y16" i="107"/>
  <c r="C38" i="108"/>
  <c r="D52" i="99"/>
  <c r="D44" i="99"/>
  <c r="D38" i="108"/>
  <c r="E54" i="99"/>
  <c r="E24" i="99"/>
  <c r="N44" i="108"/>
  <c r="O23" i="108"/>
  <c r="R42" i="99"/>
  <c r="R10" i="99"/>
  <c r="Z29" i="99"/>
  <c r="Z16" i="99"/>
  <c r="AA16" i="99"/>
  <c r="AE5" i="116"/>
  <c r="AE4" i="116" s="1"/>
  <c r="Y5" i="116"/>
  <c r="H59" i="119" s="1"/>
  <c r="G34" i="107"/>
  <c r="C46" i="108"/>
  <c r="F52" i="99"/>
  <c r="G16" i="108"/>
  <c r="H41" i="108"/>
  <c r="H30" i="108"/>
  <c r="I38" i="108"/>
  <c r="K46" i="108"/>
  <c r="P41" i="108"/>
  <c r="AG50" i="155"/>
  <c r="Z48" i="99"/>
  <c r="AE3" i="156"/>
  <c r="Q9" i="156"/>
  <c r="D43" i="99"/>
  <c r="E47" i="108"/>
  <c r="H16" i="99"/>
  <c r="J37" i="108"/>
  <c r="J24" i="108"/>
  <c r="G28" i="116"/>
  <c r="G9" i="116" s="1"/>
  <c r="S16" i="99"/>
  <c r="S6" i="99"/>
  <c r="Z6" i="99"/>
  <c r="AI12" i="156"/>
  <c r="AB3" i="156"/>
  <c r="AC3" i="156" s="1"/>
  <c r="AC13" i="156"/>
  <c r="Z7" i="156"/>
  <c r="W5" i="156"/>
  <c r="AF7" i="108"/>
  <c r="BI8" i="155"/>
  <c r="P88" i="120"/>
  <c r="X44" i="108"/>
  <c r="X42" i="108" s="1"/>
  <c r="AB7" i="107"/>
  <c r="E53" i="108"/>
  <c r="F24" i="108"/>
  <c r="G46" i="108"/>
  <c r="G44" i="108"/>
  <c r="O33" i="108"/>
  <c r="P6" i="99"/>
  <c r="P27" i="108"/>
  <c r="F18" i="116"/>
  <c r="F7" i="116" s="1"/>
  <c r="AA10" i="99"/>
  <c r="X48" i="99"/>
  <c r="X42" i="99"/>
  <c r="AH3" i="156"/>
  <c r="I3" i="156"/>
  <c r="BI53" i="155"/>
  <c r="AF52" i="108"/>
  <c r="BQ128" i="114"/>
  <c r="AF9" i="122"/>
  <c r="AA16" i="108"/>
  <c r="W42" i="108"/>
  <c r="Z38" i="98"/>
  <c r="Z37" i="98" s="1"/>
  <c r="P32" i="101"/>
  <c r="J34" i="107"/>
  <c r="AA5" i="107"/>
  <c r="C33" i="99"/>
  <c r="D23" i="99"/>
  <c r="D47" i="108"/>
  <c r="D24" i="108"/>
  <c r="E23" i="108"/>
  <c r="F10" i="99"/>
  <c r="G53" i="99"/>
  <c r="G52" i="108"/>
  <c r="I37" i="108"/>
  <c r="J23" i="108"/>
  <c r="R34" i="99"/>
  <c r="Z34" i="99"/>
  <c r="G118" i="120"/>
  <c r="K86" i="120"/>
  <c r="AA34" i="99"/>
  <c r="N10" i="156"/>
  <c r="D10" i="99"/>
  <c r="K16" i="99"/>
  <c r="K47" i="108"/>
  <c r="O28" i="108"/>
  <c r="D60" i="116"/>
  <c r="D14" i="116" s="1"/>
  <c r="T34" i="99"/>
  <c r="X16" i="99"/>
  <c r="AW86" i="114"/>
  <c r="AY84" i="114"/>
  <c r="K50" i="92"/>
  <c r="J24" i="119"/>
  <c r="EU5" i="129"/>
  <c r="Q5" i="111"/>
  <c r="Q48" i="111" s="1"/>
  <c r="K80" i="120"/>
  <c r="J104" i="120"/>
  <c r="J92" i="120"/>
  <c r="K104" i="120"/>
  <c r="O86" i="120"/>
  <c r="M104" i="120"/>
  <c r="M99" i="120"/>
  <c r="M112" i="120"/>
  <c r="M80" i="120"/>
  <c r="L80" i="120"/>
  <c r="E121" i="120"/>
  <c r="G112" i="120"/>
  <c r="G92" i="120"/>
  <c r="G86" i="120"/>
  <c r="G80" i="120"/>
  <c r="I104" i="120"/>
  <c r="I92" i="120"/>
  <c r="I80" i="120"/>
  <c r="H104" i="120"/>
  <c r="H99" i="120"/>
  <c r="H92" i="120"/>
  <c r="H86" i="120"/>
  <c r="H80" i="120"/>
  <c r="K121" i="120"/>
  <c r="L104" i="120"/>
  <c r="K76" i="120"/>
  <c r="D112" i="120"/>
  <c r="D104" i="120"/>
  <c r="D99" i="120"/>
  <c r="D92" i="120"/>
  <c r="D86" i="120"/>
  <c r="D80" i="120"/>
  <c r="E112" i="120"/>
  <c r="E99" i="120"/>
  <c r="E92" i="120"/>
  <c r="E86" i="120"/>
  <c r="E80" i="120"/>
  <c r="F112" i="120"/>
  <c r="F104" i="120"/>
  <c r="F92" i="120"/>
  <c r="F86" i="120"/>
  <c r="F80" i="120"/>
  <c r="G121" i="120"/>
  <c r="C112" i="120"/>
  <c r="C104" i="120"/>
  <c r="C99" i="120"/>
  <c r="C92" i="120"/>
  <c r="C86" i="120"/>
  <c r="C80" i="120"/>
  <c r="C76" i="120"/>
  <c r="N121" i="120"/>
  <c r="C118" i="120"/>
  <c r="E118" i="120"/>
  <c r="H118" i="120"/>
  <c r="O92" i="120"/>
  <c r="N112" i="120"/>
  <c r="L121" i="120"/>
  <c r="K92" i="120"/>
  <c r="H121" i="120"/>
  <c r="N76" i="120"/>
  <c r="M121" i="120"/>
  <c r="J31" i="119"/>
  <c r="J54" i="119"/>
  <c r="J46" i="119"/>
  <c r="J40" i="119"/>
  <c r="C71" i="188"/>
  <c r="J30" i="119"/>
  <c r="J28" i="119"/>
  <c r="J27" i="119"/>
  <c r="J41" i="119"/>
  <c r="E34" i="119"/>
  <c r="G32" i="151" s="1"/>
  <c r="E57" i="119"/>
  <c r="G55" i="151" s="1"/>
  <c r="J21" i="119"/>
  <c r="B75" i="114"/>
  <c r="B113" i="114"/>
  <c r="B69" i="114"/>
  <c r="B68" i="114"/>
  <c r="B72" i="114"/>
  <c r="B73" i="114"/>
  <c r="B74" i="114"/>
  <c r="B67" i="114"/>
  <c r="D5" i="129"/>
  <c r="B110" i="114"/>
  <c r="V17" i="114"/>
  <c r="B105" i="114"/>
  <c r="U76" i="114"/>
  <c r="U78" i="114" s="1"/>
  <c r="U18" i="114" s="1"/>
  <c r="B107" i="114"/>
  <c r="B109" i="114"/>
  <c r="V88" i="114"/>
  <c r="B106" i="114"/>
  <c r="L113" i="114"/>
  <c r="L114" i="114"/>
  <c r="M112" i="114"/>
  <c r="Q36" i="123"/>
  <c r="Q6" i="123"/>
  <c r="S21" i="123"/>
  <c r="S6" i="123"/>
  <c r="R25" i="123"/>
  <c r="R6" i="123"/>
  <c r="Q5" i="112"/>
  <c r="V48" i="92"/>
  <c r="V50" i="92" s="1"/>
  <c r="AF16" i="99"/>
  <c r="AT3" i="156"/>
  <c r="AV11" i="156"/>
  <c r="AX11" i="156" s="1"/>
  <c r="AE42" i="99"/>
  <c r="AE51" i="99"/>
  <c r="AQ3" i="156"/>
  <c r="AR11" i="156"/>
  <c r="AE6" i="99"/>
  <c r="AE22" i="99"/>
  <c r="AE16" i="99"/>
  <c r="AX40" i="156"/>
  <c r="AG37" i="99" s="1"/>
  <c r="AD29" i="99"/>
  <c r="AX49" i="156"/>
  <c r="AG33" i="99" s="1"/>
  <c r="AX29" i="156"/>
  <c r="AG19" i="99" s="1"/>
  <c r="AD6" i="99"/>
  <c r="AD16" i="99"/>
  <c r="AO9" i="156"/>
  <c r="AO13" i="156"/>
  <c r="AD34" i="99"/>
  <c r="AN3" i="156"/>
  <c r="AO11" i="156"/>
  <c r="AX17" i="156"/>
  <c r="AG17" i="99" s="1"/>
  <c r="AX39" i="156"/>
  <c r="AG54" i="99" s="1"/>
  <c r="AV6" i="156"/>
  <c r="AX6" i="156" s="1"/>
  <c r="AM3" i="156"/>
  <c r="AD42" i="99"/>
  <c r="AD10" i="99"/>
  <c r="AD22" i="99"/>
  <c r="AD48" i="99"/>
  <c r="AD51" i="99"/>
  <c r="AL11" i="156"/>
  <c r="AK3" i="156"/>
  <c r="AL7" i="156"/>
  <c r="AC5" i="99"/>
  <c r="AB22" i="99"/>
  <c r="AB34" i="99"/>
  <c r="AB16" i="99"/>
  <c r="AB48" i="99"/>
  <c r="AB6" i="99"/>
  <c r="AI11" i="156"/>
  <c r="AB10" i="99"/>
  <c r="AB42" i="99"/>
  <c r="AB51" i="99"/>
  <c r="AB29" i="99"/>
  <c r="Q50" i="92"/>
  <c r="N50" i="92"/>
  <c r="P65" i="123"/>
  <c r="P54" i="123"/>
  <c r="P45" i="123"/>
  <c r="P37" i="123"/>
  <c r="P25" i="123"/>
  <c r="P39" i="123"/>
  <c r="P62" i="123"/>
  <c r="P28" i="123"/>
  <c r="P63" i="123"/>
  <c r="P52" i="123"/>
  <c r="P43" i="123"/>
  <c r="P34" i="123"/>
  <c r="P21" i="123"/>
  <c r="P26" i="123"/>
  <c r="P58" i="123"/>
  <c r="P24" i="123"/>
  <c r="P59" i="123"/>
  <c r="P50" i="123"/>
  <c r="P41" i="123"/>
  <c r="P32" i="123"/>
  <c r="P60" i="123"/>
  <c r="P22" i="123"/>
  <c r="P46" i="123"/>
  <c r="R50" i="92"/>
  <c r="H50" i="92"/>
  <c r="B100" i="114"/>
  <c r="B93" i="114"/>
  <c r="I125" i="114"/>
  <c r="I9" i="114" s="1"/>
  <c r="P41" i="86"/>
  <c r="J147" i="114"/>
  <c r="J31" i="114" s="1"/>
  <c r="J18" i="86"/>
  <c r="D125" i="114"/>
  <c r="L128" i="114"/>
  <c r="L12" i="114" s="1"/>
  <c r="I147" i="114"/>
  <c r="I31" i="114" s="1"/>
  <c r="K168" i="114"/>
  <c r="K52" i="114" s="1"/>
  <c r="P54" i="86"/>
  <c r="J163" i="114"/>
  <c r="J47" i="114" s="1"/>
  <c r="J128" i="114"/>
  <c r="J12" i="114" s="1"/>
  <c r="D148" i="114"/>
  <c r="P169" i="114"/>
  <c r="P53" i="114" s="1"/>
  <c r="V22" i="86"/>
  <c r="P127" i="114"/>
  <c r="P11" i="114" s="1"/>
  <c r="L142" i="179"/>
  <c r="K142" i="179" s="1"/>
  <c r="K52" i="202" s="1"/>
  <c r="AB120" i="114"/>
  <c r="B97" i="114"/>
  <c r="C60" i="114"/>
  <c r="C90" i="114" s="1"/>
  <c r="D60" i="114"/>
  <c r="D103" i="114" s="1"/>
  <c r="BW128" i="114"/>
  <c r="BX128" i="114"/>
  <c r="BB79" i="114"/>
  <c r="BY128" i="114"/>
  <c r="BB80" i="114"/>
  <c r="BZ128" i="114"/>
  <c r="BB81" i="114"/>
  <c r="V20" i="165"/>
  <c r="V25" i="165"/>
  <c r="V30" i="165"/>
  <c r="V34" i="165"/>
  <c r="V38" i="165"/>
  <c r="V21" i="165"/>
  <c r="V26" i="165"/>
  <c r="V31" i="165"/>
  <c r="V39" i="165"/>
  <c r="V27" i="165"/>
  <c r="V36" i="165"/>
  <c r="V41" i="165"/>
  <c r="V45" i="165"/>
  <c r="V49" i="165"/>
  <c r="V53" i="165"/>
  <c r="V28" i="165"/>
  <c r="V37" i="165"/>
  <c r="V43" i="165"/>
  <c r="V46" i="165"/>
  <c r="V50" i="165"/>
  <c r="V22" i="165"/>
  <c r="V51" i="165"/>
  <c r="V57" i="165"/>
  <c r="V65" i="165"/>
  <c r="V54" i="165"/>
  <c r="V63" i="165"/>
  <c r="V67" i="165"/>
  <c r="V33" i="165"/>
  <c r="V48" i="165"/>
  <c r="V24" i="165"/>
  <c r="V40" i="165"/>
  <c r="V44" i="165"/>
  <c r="V52" i="165"/>
  <c r="V58" i="165"/>
  <c r="V62" i="165"/>
  <c r="V66" i="165"/>
  <c r="V32" i="165"/>
  <c r="V59" i="165"/>
  <c r="V56" i="165"/>
  <c r="V60" i="165"/>
  <c r="R20" i="165"/>
  <c r="R25" i="165"/>
  <c r="R30" i="165"/>
  <c r="R34" i="165"/>
  <c r="R38" i="165"/>
  <c r="R21" i="165"/>
  <c r="R26" i="165"/>
  <c r="R31" i="165"/>
  <c r="R39" i="165"/>
  <c r="R22" i="165"/>
  <c r="R32" i="165"/>
  <c r="R40" i="165"/>
  <c r="R45" i="165"/>
  <c r="R49" i="165"/>
  <c r="R53" i="165"/>
  <c r="R24" i="165"/>
  <c r="R33" i="165"/>
  <c r="R41" i="165"/>
  <c r="R46" i="165"/>
  <c r="R50" i="165"/>
  <c r="R27" i="165"/>
  <c r="R43" i="165"/>
  <c r="R57" i="165"/>
  <c r="R65" i="165"/>
  <c r="R36" i="165"/>
  <c r="R51" i="165"/>
  <c r="R59" i="165"/>
  <c r="R52" i="165"/>
  <c r="R56" i="165"/>
  <c r="R28" i="165"/>
  <c r="R48" i="165"/>
  <c r="R58" i="165"/>
  <c r="R62" i="165"/>
  <c r="R66" i="165"/>
  <c r="R54" i="165"/>
  <c r="R63" i="165"/>
  <c r="R67" i="165"/>
  <c r="R37" i="165"/>
  <c r="R44" i="165"/>
  <c r="R60" i="165"/>
  <c r="Y21" i="165"/>
  <c r="Y26" i="165"/>
  <c r="Y31" i="165"/>
  <c r="Y39" i="165"/>
  <c r="Y22" i="165"/>
  <c r="Y27" i="165"/>
  <c r="Y32" i="165"/>
  <c r="Y36" i="165"/>
  <c r="Y40" i="165"/>
  <c r="Y24" i="165"/>
  <c r="Y33" i="165"/>
  <c r="Y46" i="165"/>
  <c r="Y50" i="165"/>
  <c r="Y25" i="165"/>
  <c r="Y34" i="165"/>
  <c r="Y51" i="165"/>
  <c r="Y37" i="165"/>
  <c r="Y41" i="165"/>
  <c r="Y48" i="165"/>
  <c r="Y58" i="165"/>
  <c r="Y62" i="165"/>
  <c r="Y66" i="165"/>
  <c r="Y28" i="165"/>
  <c r="Y44" i="165"/>
  <c r="Y60" i="165"/>
  <c r="Y30" i="165"/>
  <c r="Y43" i="165"/>
  <c r="Y45" i="165"/>
  <c r="Y57" i="165"/>
  <c r="Y20" i="165"/>
  <c r="Y38" i="165"/>
  <c r="Y49" i="165"/>
  <c r="Y54" i="165"/>
  <c r="Y59" i="165"/>
  <c r="Y63" i="165"/>
  <c r="Y67" i="165"/>
  <c r="Y52" i="165"/>
  <c r="Y56" i="165"/>
  <c r="Y53" i="165"/>
  <c r="Y65" i="165"/>
  <c r="U21" i="165"/>
  <c r="U26" i="165"/>
  <c r="U31" i="165"/>
  <c r="U39" i="165"/>
  <c r="U22" i="165"/>
  <c r="U27" i="165"/>
  <c r="U32" i="165"/>
  <c r="U36" i="165"/>
  <c r="U40" i="165"/>
  <c r="U28" i="165"/>
  <c r="U37" i="165"/>
  <c r="U43" i="165"/>
  <c r="U46" i="165"/>
  <c r="U50" i="165"/>
  <c r="U20" i="165"/>
  <c r="U30" i="165"/>
  <c r="U38" i="165"/>
  <c r="U51" i="165"/>
  <c r="U24" i="165"/>
  <c r="U44" i="165"/>
  <c r="U52" i="165"/>
  <c r="U58" i="165"/>
  <c r="U62" i="165"/>
  <c r="U66" i="165"/>
  <c r="U33" i="165"/>
  <c r="U48" i="165"/>
  <c r="U56" i="165"/>
  <c r="U41" i="165"/>
  <c r="U49" i="165"/>
  <c r="U25" i="165"/>
  <c r="U45" i="165"/>
  <c r="U53" i="165"/>
  <c r="U54" i="165"/>
  <c r="U59" i="165"/>
  <c r="U63" i="165"/>
  <c r="U67" i="165"/>
  <c r="U60" i="165"/>
  <c r="U34" i="165"/>
  <c r="U57" i="165"/>
  <c r="U65" i="165"/>
  <c r="Q21" i="165"/>
  <c r="Q26" i="165"/>
  <c r="Q31" i="165"/>
  <c r="Q39" i="165"/>
  <c r="Q22" i="165"/>
  <c r="Q27" i="165"/>
  <c r="Q32" i="165"/>
  <c r="Q36" i="165"/>
  <c r="Q40" i="165"/>
  <c r="Q24" i="165"/>
  <c r="Q33" i="165"/>
  <c r="Q41" i="165"/>
  <c r="Q46" i="165"/>
  <c r="Q50" i="165"/>
  <c r="Q54" i="165"/>
  <c r="Q25" i="165"/>
  <c r="Q34" i="165"/>
  <c r="Q43" i="165"/>
  <c r="Q51" i="165"/>
  <c r="Q28" i="165"/>
  <c r="Q48" i="165"/>
  <c r="Q58" i="165"/>
  <c r="Q62" i="165"/>
  <c r="Q66" i="165"/>
  <c r="Q52" i="165"/>
  <c r="Q60" i="165"/>
  <c r="Q20" i="165"/>
  <c r="Q38" i="165"/>
  <c r="Q53" i="165"/>
  <c r="Q57" i="165"/>
  <c r="Q30" i="165"/>
  <c r="Q49" i="165"/>
  <c r="Q59" i="165"/>
  <c r="Q63" i="165"/>
  <c r="Q67" i="165"/>
  <c r="Q37" i="165"/>
  <c r="Q44" i="165"/>
  <c r="Q56" i="165"/>
  <c r="Q45" i="165"/>
  <c r="Q65" i="165"/>
  <c r="X22" i="165"/>
  <c r="X27" i="165"/>
  <c r="X32" i="165"/>
  <c r="X36" i="165"/>
  <c r="X24" i="165"/>
  <c r="X28" i="165"/>
  <c r="X33" i="165"/>
  <c r="X37" i="165"/>
  <c r="X41" i="165"/>
  <c r="X25" i="165"/>
  <c r="X34" i="165"/>
  <c r="X51" i="165"/>
  <c r="X26" i="165"/>
  <c r="X40" i="165"/>
  <c r="X44" i="165"/>
  <c r="X48" i="165"/>
  <c r="X52" i="165"/>
  <c r="X20" i="165"/>
  <c r="X38" i="165"/>
  <c r="X49" i="165"/>
  <c r="X54" i="165"/>
  <c r="X59" i="165"/>
  <c r="X63" i="165"/>
  <c r="X67" i="165"/>
  <c r="X43" i="165"/>
  <c r="X45" i="165"/>
  <c r="X65" i="165"/>
  <c r="X46" i="165"/>
  <c r="X21" i="165"/>
  <c r="X39" i="165"/>
  <c r="X50" i="165"/>
  <c r="X56" i="165"/>
  <c r="X60" i="165"/>
  <c r="X30" i="165"/>
  <c r="X53" i="165"/>
  <c r="X57" i="165"/>
  <c r="X31" i="165"/>
  <c r="X66" i="165"/>
  <c r="X58" i="165"/>
  <c r="X62" i="165"/>
  <c r="T22" i="165"/>
  <c r="T27" i="165"/>
  <c r="T32" i="165"/>
  <c r="T36" i="165"/>
  <c r="T24" i="165"/>
  <c r="T28" i="165"/>
  <c r="T33" i="165"/>
  <c r="T37" i="165"/>
  <c r="T41" i="165"/>
  <c r="T20" i="165"/>
  <c r="T30" i="165"/>
  <c r="T38" i="165"/>
  <c r="T51" i="165"/>
  <c r="T21" i="165"/>
  <c r="T31" i="165"/>
  <c r="T39" i="165"/>
  <c r="T44" i="165"/>
  <c r="T48" i="165"/>
  <c r="T52" i="165"/>
  <c r="T25" i="165"/>
  <c r="T40" i="165"/>
  <c r="T45" i="165"/>
  <c r="T53" i="165"/>
  <c r="T54" i="165"/>
  <c r="T59" i="165"/>
  <c r="T63" i="165"/>
  <c r="T67" i="165"/>
  <c r="T49" i="165"/>
  <c r="T57" i="165"/>
  <c r="T65" i="165"/>
  <c r="T50" i="165"/>
  <c r="T26" i="165"/>
  <c r="T43" i="165"/>
  <c r="T46" i="165"/>
  <c r="T56" i="165"/>
  <c r="T60" i="165"/>
  <c r="T34" i="165"/>
  <c r="T58" i="165"/>
  <c r="T62" i="165"/>
  <c r="T66" i="165"/>
  <c r="W24" i="165"/>
  <c r="W28" i="165"/>
  <c r="W33" i="165"/>
  <c r="W37" i="165"/>
  <c r="W20" i="165"/>
  <c r="W25" i="165"/>
  <c r="W30" i="165"/>
  <c r="W34" i="165"/>
  <c r="W38" i="165"/>
  <c r="W43" i="165"/>
  <c r="W26" i="165"/>
  <c r="W40" i="165"/>
  <c r="W44" i="165"/>
  <c r="W48" i="165"/>
  <c r="W52" i="165"/>
  <c r="W27" i="165"/>
  <c r="W36" i="165"/>
  <c r="W41" i="165"/>
  <c r="W45" i="165"/>
  <c r="W49" i="165"/>
  <c r="W53" i="165"/>
  <c r="W21" i="165"/>
  <c r="W39" i="165"/>
  <c r="W50" i="165"/>
  <c r="W56" i="165"/>
  <c r="W60" i="165"/>
  <c r="W31" i="165"/>
  <c r="W46" i="165"/>
  <c r="W62" i="165"/>
  <c r="W66" i="165"/>
  <c r="W32" i="165"/>
  <c r="W22" i="165"/>
  <c r="W51" i="165"/>
  <c r="W57" i="165"/>
  <c r="W65" i="165"/>
  <c r="W58" i="165"/>
  <c r="W54" i="165"/>
  <c r="W67" i="165"/>
  <c r="W59" i="165"/>
  <c r="W63" i="165"/>
  <c r="S24" i="165"/>
  <c r="S28" i="165"/>
  <c r="S33" i="165"/>
  <c r="S37" i="165"/>
  <c r="S20" i="165"/>
  <c r="S25" i="165"/>
  <c r="S30" i="165"/>
  <c r="S34" i="165"/>
  <c r="S38" i="165"/>
  <c r="S43" i="165"/>
  <c r="S21" i="165"/>
  <c r="S31" i="165"/>
  <c r="S39" i="165"/>
  <c r="S44" i="165"/>
  <c r="S48" i="165"/>
  <c r="S52" i="165"/>
  <c r="S22" i="165"/>
  <c r="S32" i="165"/>
  <c r="S40" i="165"/>
  <c r="S45" i="165"/>
  <c r="S49" i="165"/>
  <c r="S53" i="165"/>
  <c r="S26" i="165"/>
  <c r="S46" i="165"/>
  <c r="S56" i="165"/>
  <c r="S60" i="165"/>
  <c r="S41" i="165"/>
  <c r="S50" i="165"/>
  <c r="S58" i="165"/>
  <c r="S36" i="165"/>
  <c r="S51" i="165"/>
  <c r="S54" i="165"/>
  <c r="S27" i="165"/>
  <c r="S57" i="165"/>
  <c r="S65" i="165"/>
  <c r="S62" i="165"/>
  <c r="S66" i="165"/>
  <c r="S59" i="165"/>
  <c r="S63" i="165"/>
  <c r="S67" i="165"/>
  <c r="I50" i="92"/>
  <c r="P53" i="123"/>
  <c r="P33" i="123"/>
  <c r="P56" i="123"/>
  <c r="P36" i="123"/>
  <c r="P20" i="123"/>
  <c r="S50" i="92"/>
  <c r="P48" i="123"/>
  <c r="P30" i="123"/>
  <c r="P67" i="123"/>
  <c r="P51" i="123"/>
  <c r="P31" i="123"/>
  <c r="P125" i="179"/>
  <c r="AJ54" i="116"/>
  <c r="AJ13" i="116" s="1"/>
  <c r="AJ41" i="116"/>
  <c r="AJ11" i="116" s="1"/>
  <c r="AJ18" i="116"/>
  <c r="AJ7" i="116" s="1"/>
  <c r="P143" i="179"/>
  <c r="Q20" i="123"/>
  <c r="Q53" i="123"/>
  <c r="Q63" i="123"/>
  <c r="Q31" i="123"/>
  <c r="Q43" i="123"/>
  <c r="Q50" i="123"/>
  <c r="Q49" i="123"/>
  <c r="G66" i="119"/>
  <c r="G64" i="157" s="1"/>
  <c r="N50" i="119"/>
  <c r="K40" i="119"/>
  <c r="K65" i="119"/>
  <c r="K33" i="119"/>
  <c r="K21" i="119"/>
  <c r="K30" i="119"/>
  <c r="G41" i="119"/>
  <c r="G39" i="157" s="1"/>
  <c r="G53" i="119"/>
  <c r="G51" i="157" s="1"/>
  <c r="G52" i="119"/>
  <c r="G50" i="157" s="1"/>
  <c r="G58" i="119"/>
  <c r="G56" i="157" s="1"/>
  <c r="G27" i="119"/>
  <c r="G25" i="157" s="1"/>
  <c r="G57" i="119"/>
  <c r="G55" i="157" s="1"/>
  <c r="G30" i="119"/>
  <c r="G28" i="157" s="1"/>
  <c r="G62" i="119"/>
  <c r="G60" i="157" s="1"/>
  <c r="I25" i="119"/>
  <c r="I40" i="119"/>
  <c r="Q39" i="123"/>
  <c r="Q62" i="123"/>
  <c r="Q26" i="123"/>
  <c r="Q22" i="123"/>
  <c r="Q32" i="123"/>
  <c r="Q38" i="123"/>
  <c r="Q45" i="123"/>
  <c r="Q51" i="123"/>
  <c r="Q65" i="123"/>
  <c r="Q67" i="123"/>
  <c r="Q52" i="123"/>
  <c r="Q60" i="123"/>
  <c r="Q28" i="123"/>
  <c r="Q24" i="123"/>
  <c r="Q33" i="123"/>
  <c r="Q40" i="123"/>
  <c r="Q46" i="123"/>
  <c r="Q57" i="123"/>
  <c r="Q66" i="123"/>
  <c r="Q56" i="123"/>
  <c r="Q59" i="123"/>
  <c r="Q54" i="123"/>
  <c r="Q21" i="123"/>
  <c r="Q30" i="123"/>
  <c r="Q27" i="123"/>
  <c r="Q34" i="123"/>
  <c r="Q41" i="123"/>
  <c r="Q48" i="123"/>
  <c r="Q58" i="123"/>
  <c r="Q37" i="123"/>
  <c r="Q44" i="123"/>
  <c r="Q25" i="123"/>
  <c r="I39" i="119"/>
  <c r="I49" i="119"/>
  <c r="K36" i="119"/>
  <c r="AH31" i="123"/>
  <c r="AH37" i="123"/>
  <c r="AH43" i="123"/>
  <c r="AH50" i="123"/>
  <c r="AH54" i="123"/>
  <c r="AH59" i="123"/>
  <c r="AH65" i="123"/>
  <c r="AH32" i="123"/>
  <c r="AH38" i="123"/>
  <c r="AH45" i="123"/>
  <c r="AH51" i="123"/>
  <c r="AH56" i="123"/>
  <c r="AH60" i="123"/>
  <c r="AH66" i="123"/>
  <c r="AH33" i="123"/>
  <c r="AH40" i="123"/>
  <c r="AH46" i="123"/>
  <c r="AH52" i="123"/>
  <c r="AH57" i="123"/>
  <c r="AH62" i="123"/>
  <c r="AH67" i="123"/>
  <c r="AH24" i="123"/>
  <c r="AH36" i="123"/>
  <c r="AH41" i="123"/>
  <c r="AH48" i="123"/>
  <c r="AH53" i="123"/>
  <c r="AH58" i="123"/>
  <c r="AH63" i="123"/>
  <c r="AH27" i="123"/>
  <c r="AH44" i="123"/>
  <c r="AH25" i="123"/>
  <c r="AH21" i="123"/>
  <c r="AH19" i="123" s="1"/>
  <c r="AH39" i="123"/>
  <c r="AH28" i="123"/>
  <c r="AH26" i="123"/>
  <c r="AH34" i="123"/>
  <c r="AH49" i="123"/>
  <c r="AH30" i="123"/>
  <c r="S34" i="123"/>
  <c r="S58" i="123"/>
  <c r="S22" i="123"/>
  <c r="C54" i="119"/>
  <c r="G52" i="153" s="1"/>
  <c r="S28" i="123"/>
  <c r="S44" i="123"/>
  <c r="S53" i="123"/>
  <c r="S65" i="123"/>
  <c r="S26" i="123"/>
  <c r="H66" i="119"/>
  <c r="H25" i="119"/>
  <c r="H22" i="119"/>
  <c r="S31" i="123"/>
  <c r="S38" i="123"/>
  <c r="S45" i="123"/>
  <c r="S54" i="123"/>
  <c r="S24" i="123"/>
  <c r="H31" i="119"/>
  <c r="F37" i="119"/>
  <c r="G35" i="134" s="1"/>
  <c r="S27" i="123"/>
  <c r="S43" i="123"/>
  <c r="S48" i="123"/>
  <c r="S59" i="123"/>
  <c r="S52" i="123"/>
  <c r="S63" i="123"/>
  <c r="D59" i="119"/>
  <c r="G57" i="152" s="1"/>
  <c r="S20" i="123"/>
  <c r="S32" i="123"/>
  <c r="S39" i="123"/>
  <c r="S46" i="123"/>
  <c r="S57" i="123"/>
  <c r="H57" i="119"/>
  <c r="H41" i="119"/>
  <c r="H28" i="119"/>
  <c r="F60" i="119"/>
  <c r="G58" i="134" s="1"/>
  <c r="S49" i="123"/>
  <c r="S60" i="123"/>
  <c r="S67" i="123"/>
  <c r="S37" i="123"/>
  <c r="S66" i="123"/>
  <c r="R22" i="99"/>
  <c r="S48" i="99"/>
  <c r="S29" i="99"/>
  <c r="S22" i="99"/>
  <c r="T22" i="99"/>
  <c r="U22" i="99"/>
  <c r="V10" i="99"/>
  <c r="X34" i="99"/>
  <c r="P3" i="156"/>
  <c r="Q10" i="156"/>
  <c r="AV13" i="156"/>
  <c r="AX13" i="156" s="1"/>
  <c r="AX36" i="156"/>
  <c r="AG50" i="99" s="1"/>
  <c r="AG48" i="99" s="1"/>
  <c r="AX5" i="156"/>
  <c r="AX46" i="156"/>
  <c r="AG21" i="99" s="1"/>
  <c r="AV12" i="156"/>
  <c r="AX12" i="156" s="1"/>
  <c r="AU4" i="156"/>
  <c r="AF5" i="99" s="1"/>
  <c r="AR8" i="156"/>
  <c r="AP3" i="156"/>
  <c r="AL4" i="156"/>
  <c r="AJ3" i="156"/>
  <c r="AL3" i="156" s="1"/>
  <c r="V34" i="99"/>
  <c r="V29" i="99"/>
  <c r="Y42" i="99"/>
  <c r="Y22" i="99"/>
  <c r="Y10" i="99"/>
  <c r="U3" i="156"/>
  <c r="W9" i="156"/>
  <c r="Q5" i="156"/>
  <c r="O3" i="156"/>
  <c r="AX19" i="156"/>
  <c r="AG52" i="99" s="1"/>
  <c r="AV7" i="156"/>
  <c r="AX7" i="156" s="1"/>
  <c r="W22" i="99"/>
  <c r="Y34" i="99"/>
  <c r="U42" i="99"/>
  <c r="V51" i="99"/>
  <c r="X29" i="99"/>
  <c r="X22" i="99"/>
  <c r="AX51" i="156"/>
  <c r="AG40" i="99" s="1"/>
  <c r="AX23" i="156"/>
  <c r="AG43" i="99" s="1"/>
  <c r="AG42" i="99" s="1"/>
  <c r="M3" i="156"/>
  <c r="T42" i="99"/>
  <c r="V42" i="99"/>
  <c r="V16" i="99"/>
  <c r="V6" i="99"/>
  <c r="Y51" i="99"/>
  <c r="AF6" i="156"/>
  <c r="AD3" i="156"/>
  <c r="AF10" i="156"/>
  <c r="AF51" i="99"/>
  <c r="AO7" i="156"/>
  <c r="AI5" i="156"/>
  <c r="AI9" i="156"/>
  <c r="AC6" i="156"/>
  <c r="W6" i="156"/>
  <c r="AU12" i="156"/>
  <c r="T8" i="156"/>
  <c r="AW3" i="156"/>
  <c r="AL9" i="156"/>
  <c r="AC9" i="156"/>
  <c r="AL24" i="156"/>
  <c r="AC18" i="99" s="1"/>
  <c r="AF42" i="99"/>
  <c r="AA29" i="108"/>
  <c r="E10" i="108"/>
  <c r="C10" i="108"/>
  <c r="I6" i="108"/>
  <c r="AF63" i="114"/>
  <c r="BA88" i="114"/>
  <c r="BT128" i="114"/>
  <c r="E51" i="119"/>
  <c r="G49" i="151" s="1"/>
  <c r="AA20" i="123"/>
  <c r="AA25" i="123"/>
  <c r="AA30" i="123"/>
  <c r="AA34" i="123"/>
  <c r="AA39" i="123"/>
  <c r="AA44" i="123"/>
  <c r="AA49" i="123"/>
  <c r="AA21" i="123"/>
  <c r="AA26" i="123"/>
  <c r="AA31" i="123"/>
  <c r="AA36" i="123"/>
  <c r="AA40" i="123"/>
  <c r="AA45" i="123"/>
  <c r="AA22" i="123"/>
  <c r="AA27" i="123"/>
  <c r="AA32" i="123"/>
  <c r="AA37" i="123"/>
  <c r="AA41" i="123"/>
  <c r="AA46" i="123"/>
  <c r="AA28" i="123"/>
  <c r="AA48" i="123"/>
  <c r="AA51" i="123"/>
  <c r="AA56" i="123"/>
  <c r="AA60" i="123"/>
  <c r="AA66" i="123"/>
  <c r="AA33" i="123"/>
  <c r="AA52" i="123"/>
  <c r="AA57" i="123"/>
  <c r="AA62" i="123"/>
  <c r="AA67" i="123"/>
  <c r="AA24" i="123"/>
  <c r="AA38" i="123"/>
  <c r="AA53" i="123"/>
  <c r="AA58" i="123"/>
  <c r="AA63" i="123"/>
  <c r="AA43" i="123"/>
  <c r="AA50" i="123"/>
  <c r="AA54" i="123"/>
  <c r="AA59" i="123"/>
  <c r="AA65" i="123"/>
  <c r="W20" i="123"/>
  <c r="W25" i="123"/>
  <c r="W30" i="123"/>
  <c r="W34" i="123"/>
  <c r="W39" i="123"/>
  <c r="W44" i="123"/>
  <c r="W49" i="123"/>
  <c r="W21" i="123"/>
  <c r="W26" i="123"/>
  <c r="W31" i="123"/>
  <c r="W36" i="123"/>
  <c r="W40" i="123"/>
  <c r="W45" i="123"/>
  <c r="W22" i="123"/>
  <c r="W27" i="123"/>
  <c r="W32" i="123"/>
  <c r="W37" i="123"/>
  <c r="W41" i="123"/>
  <c r="W46" i="123"/>
  <c r="W33" i="123"/>
  <c r="W51" i="123"/>
  <c r="W56" i="123"/>
  <c r="W60" i="123"/>
  <c r="W66" i="123"/>
  <c r="W48" i="123"/>
  <c r="W50" i="123"/>
  <c r="W38" i="123"/>
  <c r="W52" i="123"/>
  <c r="W57" i="123"/>
  <c r="W62" i="123"/>
  <c r="W67" i="123"/>
  <c r="W24" i="123"/>
  <c r="W43" i="123"/>
  <c r="W53" i="123"/>
  <c r="W58" i="123"/>
  <c r="W63" i="123"/>
  <c r="W28" i="123"/>
  <c r="W59" i="123"/>
  <c r="W65" i="123"/>
  <c r="W54" i="123"/>
  <c r="Z21" i="123"/>
  <c r="Z26" i="123"/>
  <c r="Z31" i="123"/>
  <c r="Z36" i="123"/>
  <c r="Z40" i="123"/>
  <c r="Z45" i="123"/>
  <c r="Z22" i="123"/>
  <c r="Z27" i="123"/>
  <c r="Z32" i="123"/>
  <c r="Z37" i="123"/>
  <c r="Z41" i="123"/>
  <c r="Z46" i="123"/>
  <c r="Z24" i="123"/>
  <c r="Z28" i="123"/>
  <c r="Z33" i="123"/>
  <c r="Z38" i="123"/>
  <c r="Z43" i="123"/>
  <c r="Z48" i="123"/>
  <c r="Z34" i="123"/>
  <c r="Z52" i="123"/>
  <c r="Z57" i="123"/>
  <c r="Z62" i="123"/>
  <c r="Z67" i="123"/>
  <c r="Z30" i="123"/>
  <c r="Z51" i="123"/>
  <c r="Z20" i="123"/>
  <c r="Z39" i="123"/>
  <c r="Z53" i="123"/>
  <c r="Z58" i="123"/>
  <c r="Z63" i="123"/>
  <c r="Z25" i="123"/>
  <c r="Z44" i="123"/>
  <c r="Z50" i="123"/>
  <c r="Z54" i="123"/>
  <c r="Z59" i="123"/>
  <c r="Z65" i="123"/>
  <c r="Z49" i="123"/>
  <c r="Z60" i="123"/>
  <c r="Z66" i="123"/>
  <c r="Z56" i="123"/>
  <c r="V21" i="123"/>
  <c r="V26" i="123"/>
  <c r="V31" i="123"/>
  <c r="V36" i="123"/>
  <c r="V40" i="123"/>
  <c r="V45" i="123"/>
  <c r="V22" i="123"/>
  <c r="V27" i="123"/>
  <c r="V32" i="123"/>
  <c r="V37" i="123"/>
  <c r="V41" i="123"/>
  <c r="V46" i="123"/>
  <c r="V24" i="123"/>
  <c r="V28" i="123"/>
  <c r="V33" i="123"/>
  <c r="V38" i="123"/>
  <c r="V43" i="123"/>
  <c r="V48" i="123"/>
  <c r="V20" i="123"/>
  <c r="V39" i="123"/>
  <c r="V52" i="123"/>
  <c r="V57" i="123"/>
  <c r="V62" i="123"/>
  <c r="V67" i="123"/>
  <c r="V34" i="123"/>
  <c r="V25" i="123"/>
  <c r="V44" i="123"/>
  <c r="V53" i="123"/>
  <c r="V58" i="123"/>
  <c r="V63" i="123"/>
  <c r="V30" i="123"/>
  <c r="V49" i="123"/>
  <c r="V50" i="123"/>
  <c r="V54" i="123"/>
  <c r="V59" i="123"/>
  <c r="V65" i="123"/>
  <c r="V51" i="123"/>
  <c r="V66" i="123"/>
  <c r="V60" i="123"/>
  <c r="V56" i="123"/>
  <c r="AE20" i="123"/>
  <c r="AE25" i="123"/>
  <c r="AE30" i="123"/>
  <c r="AE34" i="123"/>
  <c r="AE39" i="123"/>
  <c r="AE44" i="123"/>
  <c r="AE21" i="123"/>
  <c r="AE26" i="123"/>
  <c r="AE31" i="123"/>
  <c r="AE36" i="123"/>
  <c r="AE40" i="123"/>
  <c r="AE45" i="123"/>
  <c r="AE22" i="123"/>
  <c r="AE27" i="123"/>
  <c r="AE32" i="123"/>
  <c r="AE37" i="123"/>
  <c r="AE41" i="123"/>
  <c r="AE46" i="123"/>
  <c r="AE24" i="123"/>
  <c r="AE43" i="123"/>
  <c r="AE51" i="123"/>
  <c r="AE56" i="123"/>
  <c r="AE60" i="123"/>
  <c r="AE66" i="123"/>
  <c r="AE50" i="123"/>
  <c r="AE28" i="123"/>
  <c r="AE48" i="123"/>
  <c r="AE52" i="123"/>
  <c r="AE57" i="123"/>
  <c r="AE62" i="123"/>
  <c r="AE67" i="123"/>
  <c r="AE33" i="123"/>
  <c r="AE49" i="123"/>
  <c r="AE53" i="123"/>
  <c r="AE58" i="123"/>
  <c r="AE63" i="123"/>
  <c r="AE38" i="123"/>
  <c r="AE54" i="123"/>
  <c r="AE65" i="123"/>
  <c r="AE59" i="123"/>
  <c r="Y22" i="123"/>
  <c r="Y27" i="123"/>
  <c r="Y32" i="123"/>
  <c r="Y37" i="123"/>
  <c r="Y41" i="123"/>
  <c r="Y46" i="123"/>
  <c r="Y24" i="123"/>
  <c r="Y28" i="123"/>
  <c r="Y33" i="123"/>
  <c r="Y38" i="123"/>
  <c r="Y43" i="123"/>
  <c r="Y48" i="123"/>
  <c r="Y20" i="123"/>
  <c r="Y25" i="123"/>
  <c r="Y30" i="123"/>
  <c r="Y34" i="123"/>
  <c r="Y39" i="123"/>
  <c r="Y44" i="123"/>
  <c r="Y49" i="123"/>
  <c r="Y21" i="123"/>
  <c r="Y40" i="123"/>
  <c r="Y53" i="123"/>
  <c r="Y58" i="123"/>
  <c r="Y63" i="123"/>
  <c r="Y52" i="123"/>
  <c r="Y26" i="123"/>
  <c r="Y45" i="123"/>
  <c r="Y50" i="123"/>
  <c r="Y54" i="123"/>
  <c r="Y59" i="123"/>
  <c r="Y65" i="123"/>
  <c r="Y31" i="123"/>
  <c r="Y51" i="123"/>
  <c r="Y56" i="123"/>
  <c r="Y60" i="123"/>
  <c r="Y66" i="123"/>
  <c r="Y36" i="123"/>
  <c r="Y67" i="123"/>
  <c r="Y57" i="123"/>
  <c r="Y62" i="123"/>
  <c r="U22" i="123"/>
  <c r="U27" i="123"/>
  <c r="U32" i="123"/>
  <c r="U37" i="123"/>
  <c r="U41" i="123"/>
  <c r="U46" i="123"/>
  <c r="U24" i="123"/>
  <c r="U28" i="123"/>
  <c r="U33" i="123"/>
  <c r="U38" i="123"/>
  <c r="U43" i="123"/>
  <c r="U48" i="123"/>
  <c r="U20" i="123"/>
  <c r="U25" i="123"/>
  <c r="U30" i="123"/>
  <c r="U34" i="123"/>
  <c r="U39" i="123"/>
  <c r="U44" i="123"/>
  <c r="U49" i="123"/>
  <c r="U26" i="123"/>
  <c r="U45" i="123"/>
  <c r="U53" i="123"/>
  <c r="U58" i="123"/>
  <c r="U63" i="123"/>
  <c r="U40" i="123"/>
  <c r="U31" i="123"/>
  <c r="U50" i="123"/>
  <c r="U54" i="123"/>
  <c r="U59" i="123"/>
  <c r="U65" i="123"/>
  <c r="U52" i="123"/>
  <c r="U36" i="123"/>
  <c r="U51" i="123"/>
  <c r="U56" i="123"/>
  <c r="U60" i="123"/>
  <c r="U66" i="123"/>
  <c r="U21" i="123"/>
  <c r="U57" i="123"/>
  <c r="U62" i="123"/>
  <c r="U67" i="123"/>
  <c r="AB24" i="123"/>
  <c r="AB28" i="123"/>
  <c r="AB33" i="123"/>
  <c r="AB38" i="123"/>
  <c r="AB43" i="123"/>
  <c r="AB48" i="123"/>
  <c r="AB20" i="123"/>
  <c r="AB25" i="123"/>
  <c r="AB30" i="123"/>
  <c r="AB34" i="123"/>
  <c r="AB39" i="123"/>
  <c r="AB44" i="123"/>
  <c r="AB21" i="123"/>
  <c r="AB26" i="123"/>
  <c r="AB31" i="123"/>
  <c r="AB36" i="123"/>
  <c r="AB40" i="123"/>
  <c r="AB45" i="123"/>
  <c r="AB22" i="123"/>
  <c r="AB41" i="123"/>
  <c r="AB49" i="123"/>
  <c r="AB50" i="123"/>
  <c r="AB54" i="123"/>
  <c r="AB59" i="123"/>
  <c r="AB65" i="123"/>
  <c r="AB37" i="123"/>
  <c r="AB27" i="123"/>
  <c r="AB46" i="123"/>
  <c r="AB51" i="123"/>
  <c r="AB56" i="123"/>
  <c r="AB60" i="123"/>
  <c r="AB66" i="123"/>
  <c r="AB32" i="123"/>
  <c r="AB52" i="123"/>
  <c r="AB57" i="123"/>
  <c r="AB62" i="123"/>
  <c r="AB67" i="123"/>
  <c r="AB63" i="123"/>
  <c r="AB53" i="123"/>
  <c r="AB58" i="123"/>
  <c r="AC22" i="123"/>
  <c r="AC27" i="123"/>
  <c r="AC32" i="123"/>
  <c r="AC37" i="123"/>
  <c r="AC41" i="123"/>
  <c r="AC46" i="123"/>
  <c r="AC24" i="123"/>
  <c r="AC28" i="123"/>
  <c r="AC33" i="123"/>
  <c r="AC38" i="123"/>
  <c r="AC43" i="123"/>
  <c r="AC48" i="123"/>
  <c r="AC20" i="123"/>
  <c r="AC25" i="123"/>
  <c r="AC30" i="123"/>
  <c r="AC34" i="123"/>
  <c r="AC39" i="123"/>
  <c r="AC44" i="123"/>
  <c r="AC49" i="123"/>
  <c r="AC36" i="123"/>
  <c r="AC53" i="123"/>
  <c r="AC58" i="123"/>
  <c r="AC63" i="123"/>
  <c r="AC21" i="123"/>
  <c r="AC40" i="123"/>
  <c r="AC50" i="123"/>
  <c r="AC54" i="123"/>
  <c r="AC59" i="123"/>
  <c r="AC65" i="123"/>
  <c r="AC26" i="123"/>
  <c r="AC45" i="123"/>
  <c r="AC51" i="123"/>
  <c r="AC56" i="123"/>
  <c r="AC60" i="123"/>
  <c r="AC66" i="123"/>
  <c r="AC31" i="123"/>
  <c r="AC52" i="123"/>
  <c r="AC62" i="123"/>
  <c r="AC57" i="123"/>
  <c r="AC67" i="123"/>
  <c r="AF24" i="123"/>
  <c r="AF28" i="123"/>
  <c r="AF33" i="123"/>
  <c r="AF38" i="123"/>
  <c r="AF43" i="123"/>
  <c r="AF48" i="123"/>
  <c r="AF20" i="123"/>
  <c r="AF25" i="123"/>
  <c r="AF30" i="123"/>
  <c r="AF34" i="123"/>
  <c r="AF39" i="123"/>
  <c r="AF44" i="123"/>
  <c r="AF21" i="123"/>
  <c r="AF26" i="123"/>
  <c r="AF31" i="123"/>
  <c r="AF36" i="123"/>
  <c r="AF40" i="123"/>
  <c r="AF45" i="123"/>
  <c r="AF37" i="123"/>
  <c r="AF50" i="123"/>
  <c r="AF54" i="123"/>
  <c r="AF59" i="123"/>
  <c r="AF65" i="123"/>
  <c r="AF22" i="123"/>
  <c r="AF41" i="123"/>
  <c r="AF51" i="123"/>
  <c r="AF56" i="123"/>
  <c r="AF60" i="123"/>
  <c r="AF66" i="123"/>
  <c r="AF32" i="123"/>
  <c r="AF49" i="123"/>
  <c r="AF27" i="123"/>
  <c r="AF46" i="123"/>
  <c r="AF52" i="123"/>
  <c r="AF57" i="123"/>
  <c r="AF62" i="123"/>
  <c r="AF67" i="123"/>
  <c r="AF63" i="123"/>
  <c r="AF53" i="123"/>
  <c r="AF58" i="123"/>
  <c r="AD21" i="123"/>
  <c r="AD26" i="123"/>
  <c r="AD31" i="123"/>
  <c r="AD36" i="123"/>
  <c r="AD40" i="123"/>
  <c r="AD45" i="123"/>
  <c r="AD22" i="123"/>
  <c r="AD27" i="123"/>
  <c r="AD32" i="123"/>
  <c r="AD37" i="123"/>
  <c r="AD41" i="123"/>
  <c r="AD46" i="123"/>
  <c r="AD24" i="123"/>
  <c r="AD28" i="123"/>
  <c r="AD33" i="123"/>
  <c r="AD38" i="123"/>
  <c r="AD43" i="123"/>
  <c r="AD48" i="123"/>
  <c r="AD30" i="123"/>
  <c r="AD52" i="123"/>
  <c r="AD57" i="123"/>
  <c r="AD62" i="123"/>
  <c r="AD67" i="123"/>
  <c r="AD44" i="123"/>
  <c r="AD34" i="123"/>
  <c r="AD49" i="123"/>
  <c r="AD53" i="123"/>
  <c r="AD58" i="123"/>
  <c r="AD63" i="123"/>
  <c r="AD20" i="123"/>
  <c r="AD39" i="123"/>
  <c r="AD50" i="123"/>
  <c r="AD54" i="123"/>
  <c r="AD59" i="123"/>
  <c r="AD65" i="123"/>
  <c r="AD25" i="123"/>
  <c r="AD51" i="123"/>
  <c r="AD56" i="123"/>
  <c r="AD60" i="123"/>
  <c r="AD66" i="123"/>
  <c r="X24" i="123"/>
  <c r="X28" i="123"/>
  <c r="X33" i="123"/>
  <c r="X38" i="123"/>
  <c r="X43" i="123"/>
  <c r="X48" i="123"/>
  <c r="X20" i="123"/>
  <c r="X25" i="123"/>
  <c r="X30" i="123"/>
  <c r="X34" i="123"/>
  <c r="X39" i="123"/>
  <c r="X44" i="123"/>
  <c r="X49" i="123"/>
  <c r="X21" i="123"/>
  <c r="X26" i="123"/>
  <c r="X31" i="123"/>
  <c r="X36" i="123"/>
  <c r="X40" i="123"/>
  <c r="X45" i="123"/>
  <c r="X27" i="123"/>
  <c r="X46" i="123"/>
  <c r="X50" i="123"/>
  <c r="X54" i="123"/>
  <c r="X59" i="123"/>
  <c r="X65" i="123"/>
  <c r="X22" i="123"/>
  <c r="X32" i="123"/>
  <c r="X51" i="123"/>
  <c r="X56" i="123"/>
  <c r="X60" i="123"/>
  <c r="X66" i="123"/>
  <c r="X41" i="123"/>
  <c r="X37" i="123"/>
  <c r="X52" i="123"/>
  <c r="X57" i="123"/>
  <c r="X62" i="123"/>
  <c r="X67" i="123"/>
  <c r="X53" i="123"/>
  <c r="X58" i="123"/>
  <c r="X63" i="123"/>
  <c r="T24" i="123"/>
  <c r="T28" i="123"/>
  <c r="T33" i="123"/>
  <c r="T38" i="123"/>
  <c r="T43" i="123"/>
  <c r="T48" i="123"/>
  <c r="T20" i="123"/>
  <c r="T25" i="123"/>
  <c r="T30" i="123"/>
  <c r="T34" i="123"/>
  <c r="T39" i="123"/>
  <c r="T44" i="123"/>
  <c r="T49" i="123"/>
  <c r="T21" i="123"/>
  <c r="T26" i="123"/>
  <c r="T31" i="123"/>
  <c r="T36" i="123"/>
  <c r="T40" i="123"/>
  <c r="T45" i="123"/>
  <c r="T32" i="123"/>
  <c r="T50" i="123"/>
  <c r="T54" i="123"/>
  <c r="T59" i="123"/>
  <c r="T65" i="123"/>
  <c r="T27" i="123"/>
  <c r="T37" i="123"/>
  <c r="T51" i="123"/>
  <c r="T56" i="123"/>
  <c r="T60" i="123"/>
  <c r="T66" i="123"/>
  <c r="T22" i="123"/>
  <c r="T41" i="123"/>
  <c r="T52" i="123"/>
  <c r="T57" i="123"/>
  <c r="T62" i="123"/>
  <c r="T67" i="123"/>
  <c r="T46" i="123"/>
  <c r="T58" i="123"/>
  <c r="T53" i="123"/>
  <c r="T63" i="123"/>
  <c r="G50" i="92"/>
  <c r="AG21" i="123"/>
  <c r="AG24" i="123"/>
  <c r="AG26" i="123"/>
  <c r="AG28" i="123"/>
  <c r="AG31" i="123"/>
  <c r="AG33" i="123"/>
  <c r="AG36" i="123"/>
  <c r="AG38" i="123"/>
  <c r="AG40" i="123"/>
  <c r="AG43" i="123"/>
  <c r="AG45" i="123"/>
  <c r="AG48" i="123"/>
  <c r="AG50" i="123"/>
  <c r="AG52" i="123"/>
  <c r="AG54" i="123"/>
  <c r="AG57" i="123"/>
  <c r="AG59" i="123"/>
  <c r="AG62" i="123"/>
  <c r="AG65" i="123"/>
  <c r="AG67" i="123"/>
  <c r="AG34" i="123"/>
  <c r="AG44" i="123"/>
  <c r="AG49" i="123"/>
  <c r="AG53" i="123"/>
  <c r="AG58" i="123"/>
  <c r="AG63" i="123"/>
  <c r="AG66" i="123"/>
  <c r="AG20" i="123"/>
  <c r="AG22" i="123"/>
  <c r="AG25" i="123"/>
  <c r="AG27" i="123"/>
  <c r="AG30" i="123"/>
  <c r="AG32" i="123"/>
  <c r="AG37" i="123"/>
  <c r="AG39" i="123"/>
  <c r="AG41" i="123"/>
  <c r="AG46" i="123"/>
  <c r="AG51" i="123"/>
  <c r="AG56" i="123"/>
  <c r="AG60" i="123"/>
  <c r="U54" i="86"/>
  <c r="T63" i="86"/>
  <c r="AF6" i="99"/>
  <c r="AX30" i="156"/>
  <c r="AG13" i="99" s="1"/>
  <c r="AY12" i="156"/>
  <c r="BA12" i="156" s="1"/>
  <c r="BA34" i="156"/>
  <c r="AH49" i="99" s="1"/>
  <c r="AY13" i="156"/>
  <c r="BA13" i="156" s="1"/>
  <c r="BA19" i="156"/>
  <c r="AH52" i="99" s="1"/>
  <c r="AX27" i="156"/>
  <c r="AG12" i="99" s="1"/>
  <c r="AX32" i="156"/>
  <c r="AG14" i="99" s="1"/>
  <c r="AX43" i="156"/>
  <c r="AG15" i="99" s="1"/>
  <c r="BA17" i="156"/>
  <c r="AH17" i="99" s="1"/>
  <c r="AX42" i="156"/>
  <c r="AG38" i="99" s="1"/>
  <c r="BA23" i="156"/>
  <c r="AH43" i="99" s="1"/>
  <c r="Q23" i="176"/>
  <c r="P135" i="179"/>
  <c r="P128" i="179"/>
  <c r="P132" i="179"/>
  <c r="AH63" i="116"/>
  <c r="AH15" i="116" s="1"/>
  <c r="AI54" i="116"/>
  <c r="AI13" i="116" s="1"/>
  <c r="AH46" i="116"/>
  <c r="AH12" i="116" s="1"/>
  <c r="AI41" i="116"/>
  <c r="AI11" i="116" s="1"/>
  <c r="AH34" i="116"/>
  <c r="AH10" i="116" s="1"/>
  <c r="AI28" i="116"/>
  <c r="AI9" i="116" s="1"/>
  <c r="AH22" i="116"/>
  <c r="AH8" i="116" s="1"/>
  <c r="AI18" i="116"/>
  <c r="AI7" i="116" s="1"/>
  <c r="AH6" i="116"/>
  <c r="V74" i="114"/>
  <c r="AF169" i="114"/>
  <c r="AF163" i="114"/>
  <c r="AF158" i="114"/>
  <c r="AF154" i="114"/>
  <c r="AF149" i="114"/>
  <c r="AF140" i="114"/>
  <c r="AF130" i="114"/>
  <c r="AH152" i="114"/>
  <c r="AH141" i="114"/>
  <c r="AH137" i="114"/>
  <c r="AH128" i="114"/>
  <c r="AH148" i="114"/>
  <c r="AH131" i="114"/>
  <c r="AG122" i="114"/>
  <c r="AH166" i="114"/>
  <c r="AH156" i="114"/>
  <c r="AH136" i="114"/>
  <c r="K52" i="119"/>
  <c r="K48" i="119"/>
  <c r="K58" i="119"/>
  <c r="P136" i="179"/>
  <c r="P140" i="179"/>
  <c r="P127" i="179"/>
  <c r="P130" i="179"/>
  <c r="P138" i="179"/>
  <c r="AH21" i="122"/>
  <c r="AH26" i="122"/>
  <c r="AG49" i="122"/>
  <c r="P115" i="120"/>
  <c r="AH41" i="122"/>
  <c r="AH22" i="122"/>
  <c r="AG54" i="122"/>
  <c r="AH54" i="122" s="1"/>
  <c r="AH36" i="122"/>
  <c r="AG29" i="122"/>
  <c r="AG31" i="122"/>
  <c r="P124" i="120"/>
  <c r="AH42" i="122"/>
  <c r="AH18" i="122"/>
  <c r="P111" i="120"/>
  <c r="AG48" i="122"/>
  <c r="P123" i="120"/>
  <c r="P84" i="120"/>
  <c r="AH35" i="122"/>
  <c r="P106" i="120"/>
  <c r="AH38" i="122"/>
  <c r="P102" i="120"/>
  <c r="P97" i="120"/>
  <c r="P103" i="120"/>
  <c r="P101" i="120"/>
  <c r="AH50" i="122"/>
  <c r="AG53" i="122"/>
  <c r="AH23" i="122"/>
  <c r="P78" i="120"/>
  <c r="O112" i="120"/>
  <c r="AG24" i="122"/>
  <c r="P79" i="120"/>
  <c r="P87" i="120"/>
  <c r="AH33" i="122"/>
  <c r="P95" i="120"/>
  <c r="AG32" i="122"/>
  <c r="O118" i="120"/>
  <c r="P85" i="120"/>
  <c r="P116" i="120"/>
  <c r="AH17" i="122"/>
  <c r="AF6" i="122"/>
  <c r="L50" i="92"/>
  <c r="E54" i="119"/>
  <c r="G52" i="151" s="1"/>
  <c r="E63" i="119"/>
  <c r="G61" i="151" s="1"/>
  <c r="E45" i="119"/>
  <c r="G43" i="151" s="1"/>
  <c r="L59" i="119"/>
  <c r="L44" i="119"/>
  <c r="N28" i="119"/>
  <c r="N44" i="119"/>
  <c r="N45" i="119"/>
  <c r="O50" i="92"/>
  <c r="F5" i="121"/>
  <c r="N66" i="119"/>
  <c r="N39" i="119"/>
  <c r="N54" i="119"/>
  <c r="N58" i="119"/>
  <c r="N32" i="119"/>
  <c r="N31" i="119"/>
  <c r="N52" i="119"/>
  <c r="N30" i="119"/>
  <c r="N34" i="119"/>
  <c r="N37" i="119"/>
  <c r="N22" i="119"/>
  <c r="E52" i="119"/>
  <c r="G50" i="151" s="1"/>
  <c r="E50" i="119"/>
  <c r="G48" i="151" s="1"/>
  <c r="E43" i="119"/>
  <c r="G41" i="151" s="1"/>
  <c r="E41" i="119"/>
  <c r="G39" i="151" s="1"/>
  <c r="E20" i="119"/>
  <c r="G18" i="151" s="1"/>
  <c r="E30" i="119"/>
  <c r="G28" i="151" s="1"/>
  <c r="E28" i="119"/>
  <c r="G26" i="151" s="1"/>
  <c r="L53" i="119"/>
  <c r="L46" i="119"/>
  <c r="L27" i="119"/>
  <c r="E48" i="119"/>
  <c r="G46" i="151" s="1"/>
  <c r="E44" i="119"/>
  <c r="G42" i="151" s="1"/>
  <c r="E49" i="119"/>
  <c r="G47" i="151" s="1"/>
  <c r="E32" i="119"/>
  <c r="G30" i="151" s="1"/>
  <c r="E53" i="119"/>
  <c r="G51" i="151" s="1"/>
  <c r="E21" i="119"/>
  <c r="G19" i="151" s="1"/>
  <c r="E22" i="119"/>
  <c r="G20" i="151" s="1"/>
  <c r="E33" i="119"/>
  <c r="G31" i="151" s="1"/>
  <c r="E67" i="119"/>
  <c r="G65" i="151" s="1"/>
  <c r="E56" i="119"/>
  <c r="G54" i="151" s="1"/>
  <c r="E40" i="119"/>
  <c r="G38" i="151" s="1"/>
  <c r="E62" i="119"/>
  <c r="G60" i="151" s="1"/>
  <c r="E24" i="119"/>
  <c r="G22" i="151" s="1"/>
  <c r="E39" i="119"/>
  <c r="G37" i="151" s="1"/>
  <c r="O31" i="119"/>
  <c r="E36" i="119"/>
  <c r="G34" i="151" s="1"/>
  <c r="E60" i="119"/>
  <c r="G58" i="151" s="1"/>
  <c r="E38" i="119"/>
  <c r="G36" i="151" s="1"/>
  <c r="E25" i="119"/>
  <c r="G23" i="151" s="1"/>
  <c r="E31" i="119"/>
  <c r="G29" i="151" s="1"/>
  <c r="L52" i="119"/>
  <c r="L33" i="119"/>
  <c r="L65" i="119"/>
  <c r="E26" i="119"/>
  <c r="G24" i="151" s="1"/>
  <c r="E27" i="119"/>
  <c r="G25" i="151" s="1"/>
  <c r="E46" i="119"/>
  <c r="G44" i="151" s="1"/>
  <c r="E58" i="119"/>
  <c r="G56" i="151" s="1"/>
  <c r="E66" i="119"/>
  <c r="G64" i="151" s="1"/>
  <c r="E59" i="119"/>
  <c r="G57" i="151" s="1"/>
  <c r="E37" i="119"/>
  <c r="G35" i="151" s="1"/>
  <c r="E65" i="119"/>
  <c r="G63" i="151" s="1"/>
  <c r="M50" i="92"/>
  <c r="F39" i="119"/>
  <c r="G37" i="134" s="1"/>
  <c r="F34" i="119"/>
  <c r="G32" i="134" s="1"/>
  <c r="F41" i="119"/>
  <c r="G39" i="134" s="1"/>
  <c r="F40" i="119"/>
  <c r="G38" i="134" s="1"/>
  <c r="F44" i="119"/>
  <c r="G42" i="134" s="1"/>
  <c r="F46" i="119"/>
  <c r="G44" i="134" s="1"/>
  <c r="F30" i="119"/>
  <c r="F22" i="119"/>
  <c r="G20" i="134" s="1"/>
  <c r="F31" i="119"/>
  <c r="G29" i="134" s="1"/>
  <c r="E50" i="92"/>
  <c r="J50" i="92"/>
  <c r="AF126" i="114"/>
  <c r="AF157" i="114"/>
  <c r="AF139" i="114"/>
  <c r="AF151" i="114"/>
  <c r="AF167" i="114"/>
  <c r="AF132" i="114"/>
  <c r="AF138" i="114"/>
  <c r="AG136" i="114"/>
  <c r="AF145" i="114"/>
  <c r="AF137" i="114"/>
  <c r="AG121" i="114"/>
  <c r="AF148" i="114"/>
  <c r="AG137" i="114"/>
  <c r="AG168" i="114"/>
  <c r="AG148" i="114"/>
  <c r="AF150" i="114"/>
  <c r="AG151" i="114"/>
  <c r="AG152" i="114"/>
  <c r="AG139" i="114"/>
  <c r="AF168" i="114"/>
  <c r="O8" i="86"/>
  <c r="AG166" i="114"/>
  <c r="AG141" i="114"/>
  <c r="AG157" i="114"/>
  <c r="AH157" i="114"/>
  <c r="AH139" i="114"/>
  <c r="AG160" i="114"/>
  <c r="AH160" i="114"/>
  <c r="AG154" i="114"/>
  <c r="AH154" i="114"/>
  <c r="AG147" i="114"/>
  <c r="AH147" i="114"/>
  <c r="AG128" i="114"/>
  <c r="AG146" i="114"/>
  <c r="AG135" i="114"/>
  <c r="AH135" i="114"/>
  <c r="AH165" i="114"/>
  <c r="AG140" i="114"/>
  <c r="AH140" i="114"/>
  <c r="AG133" i="114"/>
  <c r="AG144" i="114"/>
  <c r="AH144" i="114"/>
  <c r="AG131" i="114"/>
  <c r="AG162" i="114"/>
  <c r="AG143" i="114"/>
  <c r="AH143" i="114"/>
  <c r="AG134" i="114"/>
  <c r="AH134" i="114"/>
  <c r="AG124" i="114"/>
  <c r="AH124" i="114"/>
  <c r="AG170" i="114"/>
  <c r="AG163" i="114"/>
  <c r="AH163" i="114"/>
  <c r="AG156" i="114"/>
  <c r="AH151" i="114"/>
  <c r="AG125" i="114"/>
  <c r="AH125" i="114"/>
  <c r="AG169" i="114"/>
  <c r="AH169" i="114"/>
  <c r="AG130" i="114"/>
  <c r="AG161" i="114"/>
  <c r="AH161" i="114"/>
  <c r="AG149" i="114"/>
  <c r="AH149" i="114"/>
  <c r="AH123" i="114"/>
  <c r="L18" i="176"/>
  <c r="Q100" i="120"/>
  <c r="I15" i="123"/>
  <c r="AG37" i="122"/>
  <c r="P119" i="120"/>
  <c r="AF14" i="122"/>
  <c r="AU15" i="156"/>
  <c r="AF30" i="99" s="1"/>
  <c r="AS9" i="156"/>
  <c r="AU9" i="156" s="1"/>
  <c r="AU22" i="156"/>
  <c r="AU14" i="156"/>
  <c r="AE27" i="108"/>
  <c r="AE22" i="108" s="1"/>
  <c r="BE24" i="155"/>
  <c r="AD11" i="108"/>
  <c r="AD10" i="108" s="1"/>
  <c r="BA12" i="155"/>
  <c r="AS8" i="156"/>
  <c r="AU8" i="156" s="1"/>
  <c r="AP27" i="108"/>
  <c r="K178" i="122"/>
  <c r="K179" i="122" s="1"/>
  <c r="O77" i="120"/>
  <c r="O76" i="120" s="1"/>
  <c r="K28" i="86"/>
  <c r="D9" i="123"/>
  <c r="N99" i="120"/>
  <c r="AE50" i="108"/>
  <c r="AE48" i="108" s="1"/>
  <c r="BE50" i="155"/>
  <c r="F11" i="165"/>
  <c r="O173" i="122"/>
  <c r="AU34" i="156"/>
  <c r="AF49" i="99" s="1"/>
  <c r="AU50" i="156"/>
  <c r="AF39" i="99" s="1"/>
  <c r="P110" i="120"/>
  <c r="AB51" i="108"/>
  <c r="AP53" i="108"/>
  <c r="AE12" i="122"/>
  <c r="AE5" i="122" s="1"/>
  <c r="V54" i="86"/>
  <c r="N104" i="120"/>
  <c r="M86" i="120"/>
  <c r="E6" i="99"/>
  <c r="AG28" i="122"/>
  <c r="AG40" i="122"/>
  <c r="O106" i="120"/>
  <c r="O104" i="120" s="1"/>
  <c r="O75" i="120"/>
  <c r="BA24" i="155"/>
  <c r="AG46" i="122"/>
  <c r="M13" i="123"/>
  <c r="N92" i="120"/>
  <c r="L15" i="165"/>
  <c r="M76" i="120"/>
  <c r="AG52" i="122"/>
  <c r="H9" i="165"/>
  <c r="D16" i="99"/>
  <c r="O54" i="86"/>
  <c r="J16" i="123"/>
  <c r="AG6" i="116"/>
  <c r="AG5" i="116" s="1"/>
  <c r="P38" i="119" s="1"/>
  <c r="AG56" i="122"/>
  <c r="AU6" i="155"/>
  <c r="L86" i="120"/>
  <c r="D91" i="107"/>
  <c r="V16" i="107"/>
  <c r="C44" i="99"/>
  <c r="E41" i="108"/>
  <c r="F49" i="108"/>
  <c r="F37" i="108"/>
  <c r="G33" i="108"/>
  <c r="H37" i="108"/>
  <c r="AP38" i="108"/>
  <c r="AH6" i="155"/>
  <c r="AF6" i="155"/>
  <c r="P50" i="92"/>
  <c r="AL6" i="155"/>
  <c r="Z45" i="98"/>
  <c r="G78" i="101"/>
  <c r="G5" i="101"/>
  <c r="C28" i="99"/>
  <c r="D54" i="99"/>
  <c r="D53" i="99"/>
  <c r="D50" i="99"/>
  <c r="D38" i="99"/>
  <c r="D52" i="108"/>
  <c r="D27" i="108"/>
  <c r="E14" i="122"/>
  <c r="F54" i="99"/>
  <c r="F28" i="99"/>
  <c r="E33" i="99"/>
  <c r="E27" i="99"/>
  <c r="F37" i="99"/>
  <c r="F53" i="108"/>
  <c r="G23" i="99"/>
  <c r="H10" i="99"/>
  <c r="J46" i="108"/>
  <c r="G61" i="123"/>
  <c r="M3" i="98"/>
  <c r="Z49" i="98"/>
  <c r="P80" i="107"/>
  <c r="C46" i="99"/>
  <c r="C30" i="99"/>
  <c r="C52" i="108"/>
  <c r="C28" i="108"/>
  <c r="D30" i="108"/>
  <c r="G41" i="108"/>
  <c r="G14" i="122"/>
  <c r="H28" i="108"/>
  <c r="J29" i="99"/>
  <c r="G58" i="101"/>
  <c r="J80" i="107"/>
  <c r="J61" i="122"/>
  <c r="J60" i="122" s="1"/>
  <c r="D171" i="122"/>
  <c r="C54" i="99"/>
  <c r="C41" i="99"/>
  <c r="D49" i="99"/>
  <c r="R24" i="98"/>
  <c r="F23" i="99"/>
  <c r="F28" i="108"/>
  <c r="J48" i="99"/>
  <c r="Z61" i="98"/>
  <c r="Z59" i="98" s="1"/>
  <c r="C50" i="99"/>
  <c r="C45" i="99"/>
  <c r="D53" i="108"/>
  <c r="G46" i="99"/>
  <c r="G27" i="99"/>
  <c r="H38" i="108"/>
  <c r="I30" i="108"/>
  <c r="I29" i="108" s="1"/>
  <c r="K10" i="165"/>
  <c r="M91" i="107"/>
  <c r="C53" i="99"/>
  <c r="D33" i="99"/>
  <c r="D28" i="99"/>
  <c r="D37" i="108"/>
  <c r="D28" i="108"/>
  <c r="F44" i="99"/>
  <c r="F41" i="99"/>
  <c r="H34" i="99"/>
  <c r="I49" i="108"/>
  <c r="I23" i="108"/>
  <c r="Z52" i="98"/>
  <c r="D37" i="99"/>
  <c r="E28" i="99"/>
  <c r="E52" i="108"/>
  <c r="E27" i="108"/>
  <c r="F45" i="108"/>
  <c r="G41" i="99"/>
  <c r="J44" i="108"/>
  <c r="L46" i="108"/>
  <c r="Y37" i="98"/>
  <c r="N37" i="108"/>
  <c r="N33" i="108"/>
  <c r="N29" i="108" s="1"/>
  <c r="N6" i="108"/>
  <c r="K63" i="116"/>
  <c r="K15" i="116" s="1"/>
  <c r="M46" i="108"/>
  <c r="I64" i="123"/>
  <c r="D54" i="116"/>
  <c r="D41" i="116"/>
  <c r="N23" i="108"/>
  <c r="AG31" i="155"/>
  <c r="K60" i="116"/>
  <c r="K14" i="116" s="1"/>
  <c r="I22" i="116"/>
  <c r="O22" i="116"/>
  <c r="O8" i="116" s="1"/>
  <c r="Q18" i="116"/>
  <c r="Q7" i="116" s="1"/>
  <c r="J41" i="108"/>
  <c r="L10" i="99"/>
  <c r="E46" i="116"/>
  <c r="AS74" i="114"/>
  <c r="X60" i="114" s="1"/>
  <c r="AT90" i="114" s="1"/>
  <c r="M54" i="108"/>
  <c r="I61" i="165"/>
  <c r="I15" i="165" s="1"/>
  <c r="K28" i="116"/>
  <c r="K9" i="116" s="1"/>
  <c r="I18" i="116"/>
  <c r="I7" i="116" s="1"/>
  <c r="L45" i="108"/>
  <c r="N45" i="108"/>
  <c r="N43" i="108"/>
  <c r="N41" i="108"/>
  <c r="N27" i="108"/>
  <c r="P51" i="99"/>
  <c r="P30" i="108"/>
  <c r="K46" i="116"/>
  <c r="K12" i="116" s="1"/>
  <c r="J60" i="116"/>
  <c r="P60" i="116"/>
  <c r="P14" i="116" s="1"/>
  <c r="Q63" i="116"/>
  <c r="Q15" i="116" s="1"/>
  <c r="J53" i="108"/>
  <c r="L43" i="108"/>
  <c r="M52" i="108"/>
  <c r="N52" i="108"/>
  <c r="P38" i="108"/>
  <c r="P23" i="108"/>
  <c r="J22" i="116"/>
  <c r="F63" i="116"/>
  <c r="E22" i="116"/>
  <c r="P41" i="116"/>
  <c r="P11" i="116" s="1"/>
  <c r="R51" i="108"/>
  <c r="F76" i="120"/>
  <c r="AI6" i="156"/>
  <c r="G3" i="156"/>
  <c r="BH6" i="155"/>
  <c r="BI26" i="155"/>
  <c r="BI32" i="155"/>
  <c r="BI37" i="155"/>
  <c r="BI51" i="155"/>
  <c r="F121" i="120"/>
  <c r="AI10" i="156"/>
  <c r="D50" i="92"/>
  <c r="T12" i="156"/>
  <c r="B95" i="114"/>
  <c r="BK74" i="114"/>
  <c r="AD63" i="114" s="1"/>
  <c r="AZ88" i="114" s="1"/>
  <c r="BI14" i="155"/>
  <c r="BI19" i="155"/>
  <c r="F99" i="120"/>
  <c r="AI7" i="156"/>
  <c r="J121" i="120"/>
  <c r="V3" i="156"/>
  <c r="Q7" i="156"/>
  <c r="AE51" i="108"/>
  <c r="P129" i="179"/>
  <c r="P137" i="179"/>
  <c r="F118" i="120"/>
  <c r="J3" i="156"/>
  <c r="BI30" i="155"/>
  <c r="P134" i="179"/>
  <c r="D76" i="120"/>
  <c r="I112" i="120"/>
  <c r="BA78" i="114"/>
  <c r="BI48" i="155"/>
  <c r="P131" i="179"/>
  <c r="P139" i="179"/>
  <c r="R6" i="155"/>
  <c r="X3" i="156"/>
  <c r="H112" i="120"/>
  <c r="W10" i="156"/>
  <c r="F3" i="156"/>
  <c r="AS22" i="108"/>
  <c r="BI16" i="155"/>
  <c r="BI46" i="155"/>
  <c r="P133" i="179"/>
  <c r="P141" i="179"/>
  <c r="T51" i="108"/>
  <c r="U51" i="108"/>
  <c r="U29" i="108"/>
  <c r="Z48" i="108"/>
  <c r="AE42" i="108"/>
  <c r="H16" i="108"/>
  <c r="N16" i="108"/>
  <c r="AL16" i="156"/>
  <c r="AC7" i="99" s="1"/>
  <c r="AC6" i="99" s="1"/>
  <c r="AL38" i="156"/>
  <c r="AC45" i="99" s="1"/>
  <c r="AS10" i="156"/>
  <c r="AU40" i="156"/>
  <c r="AF37" i="99" s="1"/>
  <c r="BE36" i="155"/>
  <c r="BA50" i="155"/>
  <c r="AU31" i="156"/>
  <c r="AF25" i="99" s="1"/>
  <c r="P94" i="120"/>
  <c r="P89" i="120"/>
  <c r="P86" i="120" s="1"/>
  <c r="AG39" i="122"/>
  <c r="P120" i="120"/>
  <c r="AC22" i="108"/>
  <c r="AG34" i="122"/>
  <c r="AG57" i="122"/>
  <c r="AG55" i="122"/>
  <c r="AG45" i="122"/>
  <c r="AG27" i="122"/>
  <c r="AG20" i="122"/>
  <c r="AG44" i="122"/>
  <c r="O123" i="120"/>
  <c r="AW24" i="155"/>
  <c r="BE12" i="155"/>
  <c r="AE10" i="108"/>
  <c r="O82" i="120"/>
  <c r="BE8" i="155"/>
  <c r="AE16" i="108"/>
  <c r="P109" i="120"/>
  <c r="BA18" i="155"/>
  <c r="BA8" i="155"/>
  <c r="AD6" i="108"/>
  <c r="AD51" i="108"/>
  <c r="BA36" i="155"/>
  <c r="AD29" i="108"/>
  <c r="AA37" i="108"/>
  <c r="AO36" i="155"/>
  <c r="AD5" i="116"/>
  <c r="G10" i="99"/>
  <c r="H6" i="108"/>
  <c r="I10" i="108"/>
  <c r="J6" i="108"/>
  <c r="AD48" i="108"/>
  <c r="AD16" i="108"/>
  <c r="AD22" i="108"/>
  <c r="BA53" i="155"/>
  <c r="AD34" i="108"/>
  <c r="BA31" i="155"/>
  <c r="AK31" i="155"/>
  <c r="Z32" i="108"/>
  <c r="H12" i="123"/>
  <c r="AB42" i="108"/>
  <c r="AP9" i="108"/>
  <c r="V98" i="114"/>
  <c r="J31" i="86"/>
  <c r="S59" i="98"/>
  <c r="E10" i="122"/>
  <c r="G12" i="122"/>
  <c r="S42" i="108"/>
  <c r="S10" i="108"/>
  <c r="AD42" i="108"/>
  <c r="S6" i="108"/>
  <c r="U34" i="108"/>
  <c r="J45" i="119"/>
  <c r="AH54" i="116"/>
  <c r="AH13" i="116" s="1"/>
  <c r="AH18" i="116"/>
  <c r="AH7" i="116" s="1"/>
  <c r="BA44" i="155"/>
  <c r="AF129" i="114"/>
  <c r="BE44" i="155"/>
  <c r="BE53" i="155"/>
  <c r="BA80" i="114"/>
  <c r="BA81" i="114"/>
  <c r="BA86" i="114" s="1"/>
  <c r="BI7" i="155"/>
  <c r="BI13" i="155"/>
  <c r="BI15" i="155"/>
  <c r="BI17" i="155"/>
  <c r="BI25" i="155"/>
  <c r="BI27" i="155"/>
  <c r="BI29" i="155"/>
  <c r="BG6" i="155"/>
  <c r="BI33" i="155"/>
  <c r="BI35" i="155"/>
  <c r="BI45" i="155"/>
  <c r="BI47" i="155"/>
  <c r="AH41" i="116"/>
  <c r="AH11" i="116" s="1"/>
  <c r="P66" i="165"/>
  <c r="P63" i="165"/>
  <c r="P60" i="165"/>
  <c r="P58" i="165"/>
  <c r="P56" i="165"/>
  <c r="P53" i="165"/>
  <c r="P51" i="165"/>
  <c r="P49" i="165"/>
  <c r="P46" i="165"/>
  <c r="P44" i="165"/>
  <c r="P41" i="165"/>
  <c r="P39" i="165"/>
  <c r="P37" i="165"/>
  <c r="P33" i="165"/>
  <c r="P31" i="165"/>
  <c r="P27" i="165"/>
  <c r="P25" i="165"/>
  <c r="P21" i="165"/>
  <c r="P67" i="165"/>
  <c r="P65" i="165"/>
  <c r="P62" i="165"/>
  <c r="P59" i="165"/>
  <c r="P57" i="165"/>
  <c r="P54" i="165"/>
  <c r="P52" i="165"/>
  <c r="P50" i="165"/>
  <c r="P48" i="165"/>
  <c r="P45" i="165"/>
  <c r="P43" i="165"/>
  <c r="P40" i="165"/>
  <c r="P38" i="165"/>
  <c r="P36" i="165"/>
  <c r="P34" i="165"/>
  <c r="P32" i="165"/>
  <c r="P30" i="165"/>
  <c r="P28" i="165"/>
  <c r="P26" i="165"/>
  <c r="P24" i="165"/>
  <c r="P22" i="165"/>
  <c r="P20" i="165"/>
  <c r="AH28" i="116"/>
  <c r="AH9" i="116" s="1"/>
  <c r="P126" i="179"/>
  <c r="P142" i="179"/>
  <c r="T28" i="86" l="1"/>
  <c r="E164" i="206"/>
  <c r="N134" i="206"/>
  <c r="N18" i="206" s="1"/>
  <c r="R64" i="123"/>
  <c r="M29" i="108"/>
  <c r="H29" i="108"/>
  <c r="C48" i="108"/>
  <c r="E48" i="206"/>
  <c r="R120" i="206"/>
  <c r="L138" i="114"/>
  <c r="V69" i="114"/>
  <c r="V72" i="114"/>
  <c r="AX91" i="114"/>
  <c r="V67" i="114"/>
  <c r="V7" i="114" s="1"/>
  <c r="R66" i="114"/>
  <c r="E48" i="114"/>
  <c r="V68" i="114"/>
  <c r="V8" i="114" s="1"/>
  <c r="V73" i="114"/>
  <c r="W73" i="114" s="1"/>
  <c r="AT13" i="91"/>
  <c r="U66" i="114"/>
  <c r="V75" i="114"/>
  <c r="AU13" i="91"/>
  <c r="S76" i="114"/>
  <c r="V85" i="114"/>
  <c r="V87" i="114"/>
  <c r="V27" i="114" s="1"/>
  <c r="V81" i="114"/>
  <c r="V21" i="114" s="1"/>
  <c r="V79" i="114"/>
  <c r="V19" i="114" s="1"/>
  <c r="W65" i="114"/>
  <c r="W5" i="114" s="1"/>
  <c r="V84" i="114"/>
  <c r="V24" i="114" s="1"/>
  <c r="V86" i="114"/>
  <c r="V26" i="114" s="1"/>
  <c r="T65" i="114"/>
  <c r="T5" i="114" s="1"/>
  <c r="V78" i="114"/>
  <c r="V18" i="114" s="1"/>
  <c r="T76" i="114"/>
  <c r="T85" i="114" s="1"/>
  <c r="T25" i="114" s="1"/>
  <c r="R5" i="114"/>
  <c r="V83" i="114"/>
  <c r="R76" i="114"/>
  <c r="V80" i="114"/>
  <c r="W80" i="114" s="1"/>
  <c r="L124" i="206"/>
  <c r="L8" i="206" s="1"/>
  <c r="J121" i="206"/>
  <c r="J5" i="206" s="1"/>
  <c r="P138" i="114"/>
  <c r="L124" i="114"/>
  <c r="L8" i="114" s="1"/>
  <c r="L6" i="114" s="1"/>
  <c r="Q60" i="86"/>
  <c r="D121" i="114"/>
  <c r="E146" i="206"/>
  <c r="E30" i="206" s="1"/>
  <c r="E146" i="114"/>
  <c r="E30" i="114" s="1"/>
  <c r="E29" i="114" s="1"/>
  <c r="O63" i="86"/>
  <c r="I167" i="114" s="1"/>
  <c r="J132" i="206"/>
  <c r="D146" i="206"/>
  <c r="D30" i="206" s="1"/>
  <c r="D29" i="206" s="1"/>
  <c r="N146" i="206"/>
  <c r="N30" i="206" s="1"/>
  <c r="G122" i="206"/>
  <c r="I169" i="206"/>
  <c r="I53" i="206" s="1"/>
  <c r="I51" i="206" s="1"/>
  <c r="G161" i="206"/>
  <c r="G45" i="206" s="1"/>
  <c r="G42" i="206" s="1"/>
  <c r="E138" i="206"/>
  <c r="T120" i="206"/>
  <c r="F132" i="206"/>
  <c r="I165" i="206"/>
  <c r="I49" i="206" s="1"/>
  <c r="I48" i="206" s="1"/>
  <c r="L159" i="206"/>
  <c r="L43" i="206" s="1"/>
  <c r="F168" i="114"/>
  <c r="F52" i="114" s="1"/>
  <c r="F51" i="114" s="1"/>
  <c r="L150" i="206"/>
  <c r="J122" i="206"/>
  <c r="N160" i="114"/>
  <c r="N44" i="114" s="1"/>
  <c r="N42" i="114" s="1"/>
  <c r="J123" i="206"/>
  <c r="J7" i="206" s="1"/>
  <c r="J6" i="206" s="1"/>
  <c r="I165" i="114"/>
  <c r="I49" i="114" s="1"/>
  <c r="I48" i="114" s="1"/>
  <c r="L159" i="114"/>
  <c r="L43" i="114" s="1"/>
  <c r="L42" i="114" s="1"/>
  <c r="T54" i="86"/>
  <c r="N158" i="114" s="1"/>
  <c r="J127" i="206"/>
  <c r="J11" i="206" s="1"/>
  <c r="J10" i="206" s="1"/>
  <c r="L139" i="206"/>
  <c r="L23" i="206" s="1"/>
  <c r="L22" i="206" s="1"/>
  <c r="O166" i="206"/>
  <c r="O50" i="206" s="1"/>
  <c r="O48" i="206" s="1"/>
  <c r="O164" i="206"/>
  <c r="P22" i="86"/>
  <c r="J126" i="206" s="1"/>
  <c r="L63" i="86"/>
  <c r="F167" i="114" s="1"/>
  <c r="O166" i="114"/>
  <c r="O50" i="114" s="1"/>
  <c r="O48" i="114" s="1"/>
  <c r="R29" i="123"/>
  <c r="R10" i="123" s="1"/>
  <c r="O51" i="108"/>
  <c r="P29" i="108"/>
  <c r="I51" i="108"/>
  <c r="E48" i="108"/>
  <c r="K29" i="108"/>
  <c r="C29" i="108"/>
  <c r="K51" i="108"/>
  <c r="L29" i="108"/>
  <c r="O34" i="108"/>
  <c r="AP48" i="108"/>
  <c r="AG6" i="155"/>
  <c r="Z34" i="108"/>
  <c r="I21" i="119"/>
  <c r="G48" i="114"/>
  <c r="C5" i="122"/>
  <c r="R42" i="123"/>
  <c r="R12" i="123" s="1"/>
  <c r="AW89" i="114"/>
  <c r="H44" i="119"/>
  <c r="I38" i="119"/>
  <c r="I44" i="119"/>
  <c r="AX89" i="114"/>
  <c r="C179" i="122"/>
  <c r="N4" i="99"/>
  <c r="AC34" i="99"/>
  <c r="F18" i="123"/>
  <c r="F7" i="123" s="1"/>
  <c r="F6" i="123" s="1"/>
  <c r="H24" i="119"/>
  <c r="H37" i="119"/>
  <c r="I37" i="119"/>
  <c r="H5" i="116"/>
  <c r="M179" i="122"/>
  <c r="O42" i="108"/>
  <c r="I60" i="119"/>
  <c r="G29" i="99"/>
  <c r="AC51" i="99"/>
  <c r="H51" i="119"/>
  <c r="I43" i="119"/>
  <c r="K165" i="206"/>
  <c r="K49" i="206" s="1"/>
  <c r="K48" i="206" s="1"/>
  <c r="AT12" i="91"/>
  <c r="Z59" i="206" s="1"/>
  <c r="P118" i="120"/>
  <c r="I30" i="119"/>
  <c r="N36" i="119"/>
  <c r="I28" i="119"/>
  <c r="K24" i="119"/>
  <c r="I54" i="119"/>
  <c r="K54" i="119"/>
  <c r="F179" i="122"/>
  <c r="I27" i="119"/>
  <c r="N38" i="119"/>
  <c r="H63" i="119"/>
  <c r="I52" i="119"/>
  <c r="K56" i="119"/>
  <c r="E150" i="206"/>
  <c r="N124" i="206"/>
  <c r="N8" i="206" s="1"/>
  <c r="N6" i="206" s="1"/>
  <c r="I33" i="119"/>
  <c r="I56" i="119"/>
  <c r="I53" i="119"/>
  <c r="G161" i="114"/>
  <c r="G45" i="114" s="1"/>
  <c r="G42" i="114" s="1"/>
  <c r="H42" i="108"/>
  <c r="P35" i="123"/>
  <c r="P11" i="123" s="1"/>
  <c r="R19" i="123"/>
  <c r="R8" i="123" s="1"/>
  <c r="R55" i="123"/>
  <c r="R14" i="123" s="1"/>
  <c r="R23" i="123"/>
  <c r="R9" i="123" s="1"/>
  <c r="R35" i="123"/>
  <c r="R11" i="123" s="1"/>
  <c r="R47" i="123"/>
  <c r="R13" i="123" s="1"/>
  <c r="K5" i="122"/>
  <c r="K34" i="206"/>
  <c r="I171" i="122"/>
  <c r="P5" i="122"/>
  <c r="F63" i="119"/>
  <c r="G61" i="134" s="1"/>
  <c r="L62" i="119"/>
  <c r="C45" i="119"/>
  <c r="G43" i="153" s="1"/>
  <c r="C24" i="119"/>
  <c r="G22" i="153" s="1"/>
  <c r="D27" i="119"/>
  <c r="G25" i="152" s="1"/>
  <c r="J32" i="119"/>
  <c r="K34" i="108"/>
  <c r="L30" i="119"/>
  <c r="K46" i="119"/>
  <c r="N5" i="122"/>
  <c r="F66" i="119"/>
  <c r="G64" i="134" s="1"/>
  <c r="K20" i="119"/>
  <c r="C50" i="119"/>
  <c r="G48" i="153" s="1"/>
  <c r="J48" i="119"/>
  <c r="K6" i="114"/>
  <c r="L22" i="119"/>
  <c r="C27" i="119"/>
  <c r="G25" i="153" s="1"/>
  <c r="J50" i="119"/>
  <c r="J65" i="119"/>
  <c r="U18" i="86"/>
  <c r="O122" i="114" s="1"/>
  <c r="O168" i="206"/>
  <c r="O52" i="206" s="1"/>
  <c r="O51" i="206" s="1"/>
  <c r="N124" i="114"/>
  <c r="N8" i="114" s="1"/>
  <c r="N6" i="114" s="1"/>
  <c r="E18" i="123"/>
  <c r="E7" i="123" s="1"/>
  <c r="E6" i="123" s="1"/>
  <c r="L5" i="122"/>
  <c r="AV86" i="114"/>
  <c r="F28" i="119"/>
  <c r="G26" i="134" s="1"/>
  <c r="F38" i="119"/>
  <c r="G36" i="134" s="1"/>
  <c r="L25" i="119"/>
  <c r="L51" i="119"/>
  <c r="L45" i="119"/>
  <c r="L32" i="119"/>
  <c r="C59" i="119"/>
  <c r="G57" i="153" s="1"/>
  <c r="C38" i="119"/>
  <c r="G36" i="153" s="1"/>
  <c r="C51" i="119"/>
  <c r="G49" i="153" s="1"/>
  <c r="K45" i="119"/>
  <c r="C28" i="119"/>
  <c r="G26" i="153" s="1"/>
  <c r="J58" i="119"/>
  <c r="J20" i="119"/>
  <c r="J22" i="119"/>
  <c r="G22" i="108"/>
  <c r="AP25" i="108"/>
  <c r="I179" i="122"/>
  <c r="O5" i="122"/>
  <c r="O168" i="114"/>
  <c r="O52" i="114" s="1"/>
  <c r="O51" i="114" s="1"/>
  <c r="O121" i="206"/>
  <c r="O5" i="206" s="1"/>
  <c r="O67" i="119"/>
  <c r="C30" i="119"/>
  <c r="G28" i="153" s="1"/>
  <c r="U6" i="155"/>
  <c r="D36" i="119"/>
  <c r="G34" i="152" s="1"/>
  <c r="AG51" i="99"/>
  <c r="C25" i="119"/>
  <c r="G23" i="153" s="1"/>
  <c r="K67" i="119"/>
  <c r="L24" i="119"/>
  <c r="J38" i="119"/>
  <c r="F171" i="122"/>
  <c r="D56" i="119"/>
  <c r="G54" i="152" s="1"/>
  <c r="F51" i="108"/>
  <c r="K44" i="119"/>
  <c r="K27" i="119"/>
  <c r="C44" i="119"/>
  <c r="G42" i="153" s="1"/>
  <c r="D51" i="206"/>
  <c r="C32" i="119"/>
  <c r="G30" i="153" s="1"/>
  <c r="C49" i="119"/>
  <c r="G47" i="153" s="1"/>
  <c r="C66" i="119"/>
  <c r="G64" i="153" s="1"/>
  <c r="K38" i="119"/>
  <c r="J59" i="119"/>
  <c r="J39" i="119"/>
  <c r="J33" i="119"/>
  <c r="G51" i="99"/>
  <c r="F29" i="108"/>
  <c r="D46" i="119"/>
  <c r="G44" i="152" s="1"/>
  <c r="O18" i="123"/>
  <c r="O7" i="123" s="1"/>
  <c r="O6" i="123" s="1"/>
  <c r="G6" i="114"/>
  <c r="L145" i="206"/>
  <c r="H120" i="206"/>
  <c r="O38" i="119"/>
  <c r="C34" i="119"/>
  <c r="G32" i="153" s="1"/>
  <c r="F33" i="119"/>
  <c r="G31" i="134" s="1"/>
  <c r="L26" i="119"/>
  <c r="C56" i="119"/>
  <c r="G54" i="153" s="1"/>
  <c r="K66" i="119"/>
  <c r="J51" i="108"/>
  <c r="L34" i="119"/>
  <c r="F53" i="119"/>
  <c r="G51" i="134" s="1"/>
  <c r="L21" i="119"/>
  <c r="L16" i="114"/>
  <c r="F138" i="206"/>
  <c r="C51" i="108"/>
  <c r="F65" i="119"/>
  <c r="G63" i="134" s="1"/>
  <c r="F62" i="119"/>
  <c r="L60" i="119"/>
  <c r="L63" i="119"/>
  <c r="L20" i="119"/>
  <c r="L48" i="119"/>
  <c r="F21" i="119"/>
  <c r="G19" i="134" s="1"/>
  <c r="D20" i="119"/>
  <c r="G18" i="152" s="1"/>
  <c r="C37" i="119"/>
  <c r="G35" i="153" s="1"/>
  <c r="K28" i="119"/>
  <c r="K43" i="119"/>
  <c r="J49" i="119"/>
  <c r="J62" i="119"/>
  <c r="G51" i="206"/>
  <c r="O132" i="114"/>
  <c r="O123" i="114"/>
  <c r="O7" i="114" s="1"/>
  <c r="O6" i="114" s="1"/>
  <c r="V120" i="114"/>
  <c r="P22" i="108"/>
  <c r="P61" i="123"/>
  <c r="P15" i="123" s="1"/>
  <c r="P34" i="108"/>
  <c r="O179" i="122"/>
  <c r="O65" i="119"/>
  <c r="J25" i="119"/>
  <c r="F50" i="119"/>
  <c r="G48" i="134" s="1"/>
  <c r="L67" i="119"/>
  <c r="J44" i="119"/>
  <c r="C42" i="108"/>
  <c r="F27" i="119"/>
  <c r="G25" i="134" s="1"/>
  <c r="F26" i="119"/>
  <c r="G24" i="134" s="1"/>
  <c r="L49" i="119"/>
  <c r="L38" i="119"/>
  <c r="L66" i="119"/>
  <c r="V109" i="114"/>
  <c r="F25" i="119"/>
  <c r="G23" i="134" s="1"/>
  <c r="F43" i="119"/>
  <c r="G41" i="134" s="1"/>
  <c r="C60" i="119"/>
  <c r="G58" i="153" s="1"/>
  <c r="K22" i="119"/>
  <c r="K60" i="119"/>
  <c r="K57" i="119"/>
  <c r="C62" i="119"/>
  <c r="G60" i="153" s="1"/>
  <c r="J41" i="86"/>
  <c r="D145" i="114" s="1"/>
  <c r="E159" i="114"/>
  <c r="E43" i="114" s="1"/>
  <c r="E42" i="114" s="1"/>
  <c r="J53" i="119"/>
  <c r="J56" i="119"/>
  <c r="D39" i="119"/>
  <c r="G37" i="152" s="1"/>
  <c r="AW84" i="114"/>
  <c r="E42" i="108"/>
  <c r="G179" i="122"/>
  <c r="AW91" i="114"/>
  <c r="AT83" i="114"/>
  <c r="X65" i="114" s="1"/>
  <c r="Y65" i="114" s="1"/>
  <c r="Y5" i="114" s="1"/>
  <c r="C26" i="119"/>
  <c r="G24" i="153" s="1"/>
  <c r="C41" i="119"/>
  <c r="G39" i="153" s="1"/>
  <c r="L36" i="119"/>
  <c r="F57" i="119"/>
  <c r="G55" i="134" s="1"/>
  <c r="J67" i="119"/>
  <c r="F48" i="119"/>
  <c r="L41" i="119"/>
  <c r="F51" i="119"/>
  <c r="G49" i="134" s="1"/>
  <c r="L28" i="119"/>
  <c r="K49" i="119"/>
  <c r="J63" i="119"/>
  <c r="F49" i="119"/>
  <c r="G47" i="134" s="1"/>
  <c r="F45" i="119"/>
  <c r="G43" i="134" s="1"/>
  <c r="L43" i="119"/>
  <c r="O63" i="119"/>
  <c r="D31" i="119"/>
  <c r="G29" i="152" s="1"/>
  <c r="D58" i="119"/>
  <c r="G56" i="152" s="1"/>
  <c r="S61" i="123"/>
  <c r="S15" i="123" s="1"/>
  <c r="D43" i="119"/>
  <c r="G41" i="152" s="1"/>
  <c r="C21" i="119"/>
  <c r="G19" i="153" s="1"/>
  <c r="K53" i="119"/>
  <c r="K25" i="119"/>
  <c r="K32" i="119"/>
  <c r="K62" i="119"/>
  <c r="C63" i="119"/>
  <c r="G61" i="153" s="1"/>
  <c r="K54" i="86"/>
  <c r="E158" i="114" s="1"/>
  <c r="J36" i="119"/>
  <c r="J26" i="119"/>
  <c r="C20" i="119"/>
  <c r="G18" i="153" s="1"/>
  <c r="D42" i="108"/>
  <c r="AI3" i="156"/>
  <c r="F48" i="206"/>
  <c r="K42" i="114"/>
  <c r="L48" i="114"/>
  <c r="AP52" i="108"/>
  <c r="AP51" i="108" s="1"/>
  <c r="AU86" i="114"/>
  <c r="C46" i="119"/>
  <c r="G44" i="153" s="1"/>
  <c r="O43" i="119"/>
  <c r="H5" i="122"/>
  <c r="O60" i="119"/>
  <c r="O29" i="108"/>
  <c r="D48" i="206"/>
  <c r="C22" i="119"/>
  <c r="G20" i="153" s="1"/>
  <c r="D45" i="119"/>
  <c r="G43" i="152" s="1"/>
  <c r="J34" i="119"/>
  <c r="N51" i="108"/>
  <c r="D65" i="119"/>
  <c r="G63" i="152" s="1"/>
  <c r="K63" i="119"/>
  <c r="J37" i="119"/>
  <c r="AP15" i="108"/>
  <c r="AP10" i="108" s="1"/>
  <c r="F52" i="119"/>
  <c r="G50" i="134" s="1"/>
  <c r="O37" i="119"/>
  <c r="G102" i="189" s="1"/>
  <c r="F67" i="119"/>
  <c r="G65" i="134" s="1"/>
  <c r="L40" i="119"/>
  <c r="L31" i="119"/>
  <c r="C31" i="119"/>
  <c r="G29" i="153" s="1"/>
  <c r="C33" i="119"/>
  <c r="G31" i="153" s="1"/>
  <c r="J57" i="119"/>
  <c r="K16" i="114"/>
  <c r="F48" i="108"/>
  <c r="F54" i="119"/>
  <c r="G52" i="134" s="1"/>
  <c r="F32" i="119"/>
  <c r="G30" i="134" s="1"/>
  <c r="L54" i="119"/>
  <c r="O32" i="119"/>
  <c r="G97" i="189" s="1"/>
  <c r="L50" i="119"/>
  <c r="D41" i="119"/>
  <c r="G39" i="152" s="1"/>
  <c r="D22" i="119"/>
  <c r="G20" i="152" s="1"/>
  <c r="C57" i="119"/>
  <c r="G55" i="153" s="1"/>
  <c r="K37" i="119"/>
  <c r="Q19" i="123"/>
  <c r="Q8" i="123" s="1"/>
  <c r="K31" i="119"/>
  <c r="K39" i="119"/>
  <c r="BB90" i="114"/>
  <c r="BB91" i="114" s="1"/>
  <c r="J66" i="119"/>
  <c r="K41" i="119"/>
  <c r="J51" i="119"/>
  <c r="D5" i="122"/>
  <c r="U46" i="86"/>
  <c r="O150" i="114" s="1"/>
  <c r="F142" i="206"/>
  <c r="F26" i="206" s="1"/>
  <c r="F22" i="206" s="1"/>
  <c r="K132" i="206"/>
  <c r="AB3" i="98"/>
  <c r="O30" i="119"/>
  <c r="O39" i="119"/>
  <c r="G104" i="189" s="1"/>
  <c r="D25" i="119"/>
  <c r="G23" i="152" s="1"/>
  <c r="K48" i="114"/>
  <c r="AC10" i="99"/>
  <c r="Z50" i="98"/>
  <c r="F24" i="119"/>
  <c r="F20" i="119"/>
  <c r="G18" i="134" s="1"/>
  <c r="L56" i="119"/>
  <c r="D63" i="119"/>
  <c r="G61" i="152" s="1"/>
  <c r="AC16" i="99"/>
  <c r="D26" i="119"/>
  <c r="G24" i="152" s="1"/>
  <c r="C53" i="119"/>
  <c r="G51" i="153" s="1"/>
  <c r="C52" i="119"/>
  <c r="G50" i="153" s="1"/>
  <c r="Q5" i="122"/>
  <c r="M5" i="116"/>
  <c r="L58" i="119"/>
  <c r="C58" i="119"/>
  <c r="G56" i="153" s="1"/>
  <c r="E18" i="165"/>
  <c r="E7" i="165" s="1"/>
  <c r="E6" i="165" s="1"/>
  <c r="F36" i="119"/>
  <c r="G34" i="134" s="1"/>
  <c r="L37" i="119"/>
  <c r="C65" i="119"/>
  <c r="G63" i="153" s="1"/>
  <c r="C67" i="119"/>
  <c r="G65" i="153" s="1"/>
  <c r="D34" i="119"/>
  <c r="G32" i="152" s="1"/>
  <c r="K51" i="119"/>
  <c r="C43" i="119"/>
  <c r="G41" i="153" s="1"/>
  <c r="C40" i="119"/>
  <c r="G38" i="153" s="1"/>
  <c r="D18" i="165"/>
  <c r="M34" i="108"/>
  <c r="F56" i="119"/>
  <c r="G54" i="134" s="1"/>
  <c r="F59" i="119"/>
  <c r="G57" i="134" s="1"/>
  <c r="L57" i="119"/>
  <c r="L39" i="119"/>
  <c r="K59" i="119"/>
  <c r="AR3" i="156"/>
  <c r="D28" i="119"/>
  <c r="G26" i="152" s="1"/>
  <c r="C39" i="119"/>
  <c r="G37" i="153" s="1"/>
  <c r="K50" i="119"/>
  <c r="K26" i="119"/>
  <c r="K34" i="119"/>
  <c r="J43" i="119"/>
  <c r="C36" i="119"/>
  <c r="G34" i="153" s="1"/>
  <c r="J52" i="119"/>
  <c r="J54" i="86"/>
  <c r="D158" i="114" s="1"/>
  <c r="O151" i="114"/>
  <c r="O35" i="114" s="1"/>
  <c r="O34" i="114" s="1"/>
  <c r="I16" i="114"/>
  <c r="I5" i="122"/>
  <c r="M5" i="122"/>
  <c r="M60" i="122"/>
  <c r="M18" i="165"/>
  <c r="M7" i="165" s="1"/>
  <c r="M6" i="165" s="1"/>
  <c r="Q13" i="176"/>
  <c r="Q18" i="176"/>
  <c r="R14" i="176"/>
  <c r="S14" i="176" s="1"/>
  <c r="R107" i="120"/>
  <c r="R102" i="120"/>
  <c r="Q167" i="114"/>
  <c r="Q167" i="206"/>
  <c r="D74" i="120"/>
  <c r="D56" i="120" s="1"/>
  <c r="U54" i="152" s="1"/>
  <c r="S111" i="206"/>
  <c r="V112" i="206"/>
  <c r="U111" i="206"/>
  <c r="R111" i="206"/>
  <c r="V114" i="206"/>
  <c r="V113" i="206"/>
  <c r="T111" i="206"/>
  <c r="R101" i="120"/>
  <c r="V110" i="114"/>
  <c r="V50" i="114" s="1"/>
  <c r="M5" i="107"/>
  <c r="AI17" i="122"/>
  <c r="S75" i="120" s="1"/>
  <c r="V99" i="114"/>
  <c r="W99" i="114" s="1"/>
  <c r="AP24" i="108"/>
  <c r="E16" i="114"/>
  <c r="G46" i="119"/>
  <c r="G44" i="157" s="1"/>
  <c r="AI22" i="122"/>
  <c r="U89" i="114"/>
  <c r="U92" i="114" s="1"/>
  <c r="U32" i="114" s="1"/>
  <c r="S111" i="114"/>
  <c r="S114" i="114" s="1"/>
  <c r="S54" i="114" s="1"/>
  <c r="P123" i="114"/>
  <c r="P7" i="114" s="1"/>
  <c r="AE1" i="122"/>
  <c r="N43" i="119"/>
  <c r="N59" i="119"/>
  <c r="R115" i="120"/>
  <c r="I48" i="119"/>
  <c r="G22" i="119"/>
  <c r="G20" i="157" s="1"/>
  <c r="G20" i="119"/>
  <c r="G18" i="157" s="1"/>
  <c r="P10" i="206"/>
  <c r="J171" i="122"/>
  <c r="N20" i="119"/>
  <c r="U102" i="114"/>
  <c r="H58" i="119"/>
  <c r="G31" i="119"/>
  <c r="N65" i="119"/>
  <c r="N5" i="116"/>
  <c r="L29" i="114"/>
  <c r="I22" i="114"/>
  <c r="F16" i="114"/>
  <c r="D159" i="114"/>
  <c r="D43" i="114" s="1"/>
  <c r="P164" i="114"/>
  <c r="L170" i="114"/>
  <c r="L54" i="114" s="1"/>
  <c r="U60" i="114"/>
  <c r="G5" i="122"/>
  <c r="H74" i="120"/>
  <c r="H52" i="120" s="1"/>
  <c r="E29" i="99"/>
  <c r="O28" i="119"/>
  <c r="G93" i="189" s="1"/>
  <c r="N24" i="119"/>
  <c r="N27" i="119"/>
  <c r="R83" i="120"/>
  <c r="V106" i="114"/>
  <c r="V46" i="114" s="1"/>
  <c r="Q3" i="156"/>
  <c r="H43" i="119"/>
  <c r="D57" i="119"/>
  <c r="G55" i="152" s="1"/>
  <c r="D50" i="119"/>
  <c r="G48" i="152" s="1"/>
  <c r="H27" i="119"/>
  <c r="I59" i="119"/>
  <c r="I32" i="119"/>
  <c r="I26" i="119"/>
  <c r="G24" i="119"/>
  <c r="G22" i="157" s="1"/>
  <c r="G43" i="119"/>
  <c r="G41" i="157" s="1"/>
  <c r="S7" i="86"/>
  <c r="M120" i="114" s="1"/>
  <c r="S65" i="114"/>
  <c r="S5" i="114" s="1"/>
  <c r="I31" i="119"/>
  <c r="O56" i="119"/>
  <c r="R63" i="86"/>
  <c r="R7" i="86" s="1"/>
  <c r="V112" i="114"/>
  <c r="V52" i="114" s="1"/>
  <c r="P60" i="86"/>
  <c r="J164" i="206" s="1"/>
  <c r="J29" i="206"/>
  <c r="G22" i="206"/>
  <c r="P168" i="206"/>
  <c r="P52" i="206" s="1"/>
  <c r="P51" i="206" s="1"/>
  <c r="N121" i="206"/>
  <c r="N5" i="206" s="1"/>
  <c r="P150" i="206"/>
  <c r="P151" i="206"/>
  <c r="P35" i="206" s="1"/>
  <c r="P34" i="206" s="1"/>
  <c r="AC3" i="98"/>
  <c r="U41" i="86"/>
  <c r="O145" i="114" s="1"/>
  <c r="G60" i="119"/>
  <c r="G58" i="157" s="1"/>
  <c r="J5" i="122"/>
  <c r="G40" i="119"/>
  <c r="G38" i="157" s="1"/>
  <c r="V97" i="114"/>
  <c r="V37" i="114" s="1"/>
  <c r="H32" i="119"/>
  <c r="AC6" i="155"/>
  <c r="O46" i="119"/>
  <c r="R114" i="120"/>
  <c r="I50" i="119"/>
  <c r="O33" i="119"/>
  <c r="O58" i="119"/>
  <c r="G123" i="189" s="1"/>
  <c r="N57" i="119"/>
  <c r="N25" i="119"/>
  <c r="R84" i="120"/>
  <c r="S102" i="114"/>
  <c r="D66" i="119"/>
  <c r="G64" i="152" s="1"/>
  <c r="D40" i="119"/>
  <c r="G38" i="152" s="1"/>
  <c r="H30" i="119"/>
  <c r="D49" i="119"/>
  <c r="G47" i="152" s="1"/>
  <c r="D51" i="119"/>
  <c r="G49" i="152" s="1"/>
  <c r="D52" i="119"/>
  <c r="G50" i="152" s="1"/>
  <c r="G37" i="119"/>
  <c r="G35" i="157" s="1"/>
  <c r="I51" i="119"/>
  <c r="I62" i="119"/>
  <c r="G44" i="119"/>
  <c r="G42" i="157" s="1"/>
  <c r="G21" i="119"/>
  <c r="G19" i="157" s="1"/>
  <c r="I34" i="119"/>
  <c r="N46" i="119"/>
  <c r="V100" i="114"/>
  <c r="W100" i="114" s="1"/>
  <c r="T111" i="114"/>
  <c r="T112" i="114" s="1"/>
  <c r="T52" i="114" s="1"/>
  <c r="P168" i="114"/>
  <c r="P52" i="114" s="1"/>
  <c r="P51" i="114" s="1"/>
  <c r="P151" i="114"/>
  <c r="P35" i="114" s="1"/>
  <c r="P34" i="114" s="1"/>
  <c r="M4" i="99"/>
  <c r="AI18" i="122"/>
  <c r="AJ18" i="122" s="1"/>
  <c r="T76" i="206"/>
  <c r="V83" i="206"/>
  <c r="V87" i="206"/>
  <c r="V84" i="206"/>
  <c r="V77" i="206"/>
  <c r="V86" i="206"/>
  <c r="S76" i="206"/>
  <c r="V81" i="206"/>
  <c r="V78" i="206"/>
  <c r="V80" i="206"/>
  <c r="V79" i="206"/>
  <c r="V85" i="206"/>
  <c r="R76" i="206"/>
  <c r="U76" i="206"/>
  <c r="V88" i="206"/>
  <c r="R79" i="120"/>
  <c r="AW6" i="155"/>
  <c r="I22" i="108"/>
  <c r="V3" i="98"/>
  <c r="R110" i="120"/>
  <c r="E5" i="122"/>
  <c r="O25" i="119"/>
  <c r="D32" i="119"/>
  <c r="D38" i="119"/>
  <c r="G36" i="152" s="1"/>
  <c r="H60" i="119"/>
  <c r="D24" i="119"/>
  <c r="G22" i="152" s="1"/>
  <c r="H50" i="119"/>
  <c r="G50" i="119"/>
  <c r="G48" i="157" s="1"/>
  <c r="I41" i="119"/>
  <c r="I67" i="119"/>
  <c r="G45" i="119"/>
  <c r="G43" i="157" s="1"/>
  <c r="G67" i="119"/>
  <c r="G65" i="157" s="1"/>
  <c r="D60" i="119"/>
  <c r="G58" i="152" s="1"/>
  <c r="N60" i="119"/>
  <c r="AO3" i="156"/>
  <c r="V91" i="114"/>
  <c r="W92" i="114"/>
  <c r="Q173" i="122"/>
  <c r="Z51" i="108"/>
  <c r="J60" i="86"/>
  <c r="D164" i="114" s="1"/>
  <c r="W3" i="98"/>
  <c r="J165" i="206"/>
  <c r="J49" i="206" s="1"/>
  <c r="J48" i="206" s="1"/>
  <c r="L52" i="206"/>
  <c r="P165" i="206"/>
  <c r="P49" i="206" s="1"/>
  <c r="P48" i="206" s="1"/>
  <c r="U60" i="206"/>
  <c r="R124" i="120"/>
  <c r="T3" i="156"/>
  <c r="K3" i="98"/>
  <c r="V5" i="206"/>
  <c r="W65" i="206"/>
  <c r="T65" i="206"/>
  <c r="T5" i="206" s="1"/>
  <c r="S65" i="206"/>
  <c r="S5" i="206" s="1"/>
  <c r="U65" i="206"/>
  <c r="U5" i="206" s="1"/>
  <c r="R65" i="206"/>
  <c r="R5" i="206" s="1"/>
  <c r="O59" i="119"/>
  <c r="I48" i="108"/>
  <c r="G28" i="119"/>
  <c r="G26" i="157" s="1"/>
  <c r="L48" i="206"/>
  <c r="N63" i="119"/>
  <c r="G49" i="119"/>
  <c r="G47" i="157" s="1"/>
  <c r="G39" i="119"/>
  <c r="G37" i="157" s="1"/>
  <c r="T102" i="114"/>
  <c r="T103" i="114" s="1"/>
  <c r="T43" i="114" s="1"/>
  <c r="V96" i="114"/>
  <c r="V36" i="114" s="1"/>
  <c r="G34" i="108"/>
  <c r="O53" i="119"/>
  <c r="M138" i="114"/>
  <c r="AP42" i="108"/>
  <c r="O21" i="119"/>
  <c r="O40" i="119"/>
  <c r="O20" i="119"/>
  <c r="D44" i="119"/>
  <c r="G42" i="152" s="1"/>
  <c r="H53" i="119"/>
  <c r="D30" i="119"/>
  <c r="G28" i="152" s="1"/>
  <c r="H21" i="119"/>
  <c r="D67" i="119"/>
  <c r="G65" i="152" s="1"/>
  <c r="D48" i="119"/>
  <c r="G46" i="152" s="1"/>
  <c r="G38" i="119"/>
  <c r="G36" i="157" s="1"/>
  <c r="I65" i="119"/>
  <c r="I24" i="119"/>
  <c r="G65" i="119"/>
  <c r="G34" i="119"/>
  <c r="G32" i="157" s="1"/>
  <c r="N41" i="119"/>
  <c r="D33" i="119"/>
  <c r="G31" i="152" s="1"/>
  <c r="R89" i="114"/>
  <c r="R93" i="114" s="1"/>
  <c r="R33" i="114" s="1"/>
  <c r="J22" i="108"/>
  <c r="K10" i="114"/>
  <c r="N179" i="122"/>
  <c r="AU84" i="114"/>
  <c r="Y6" i="155"/>
  <c r="D165" i="114"/>
  <c r="P22" i="114"/>
  <c r="E34" i="114"/>
  <c r="L52" i="114"/>
  <c r="E51" i="114"/>
  <c r="P165" i="114"/>
  <c r="P49" i="114" s="1"/>
  <c r="P48" i="114" s="1"/>
  <c r="U120" i="206"/>
  <c r="J123" i="114"/>
  <c r="J7" i="114" s="1"/>
  <c r="J6" i="114" s="1"/>
  <c r="T89" i="114"/>
  <c r="T91" i="114" s="1"/>
  <c r="T31" i="114" s="1"/>
  <c r="Q4" i="114"/>
  <c r="V113" i="114"/>
  <c r="U111" i="114"/>
  <c r="R111" i="114"/>
  <c r="G42" i="99"/>
  <c r="G25" i="119"/>
  <c r="G23" i="157" s="1"/>
  <c r="AP7" i="108"/>
  <c r="AP6" i="108" s="1"/>
  <c r="Q4" i="206"/>
  <c r="V104" i="114"/>
  <c r="W104" i="114" s="1"/>
  <c r="G54" i="119"/>
  <c r="G52" i="157" s="1"/>
  <c r="W88" i="114"/>
  <c r="W28" i="114" s="1"/>
  <c r="P122" i="206"/>
  <c r="O45" i="119"/>
  <c r="G110" i="189" s="1"/>
  <c r="R102" i="114"/>
  <c r="R110" i="114" s="1"/>
  <c r="R50" i="114" s="1"/>
  <c r="G26" i="119"/>
  <c r="G24" i="157" s="1"/>
  <c r="E42" i="99"/>
  <c r="L113" i="206"/>
  <c r="L53" i="206" s="1"/>
  <c r="L114" i="206"/>
  <c r="L54" i="206" s="1"/>
  <c r="N112" i="206"/>
  <c r="M112" i="206"/>
  <c r="G59" i="119"/>
  <c r="G57" i="157" s="1"/>
  <c r="O22" i="206"/>
  <c r="N48" i="119"/>
  <c r="P64" i="123"/>
  <c r="P16" i="123" s="1"/>
  <c r="V5" i="114"/>
  <c r="O22" i="114"/>
  <c r="S3" i="98"/>
  <c r="O27" i="119"/>
  <c r="J74" i="120"/>
  <c r="J34" i="108"/>
  <c r="F51" i="99"/>
  <c r="N53" i="119"/>
  <c r="V107" i="114"/>
  <c r="V47" i="114" s="1"/>
  <c r="O24" i="119"/>
  <c r="O41" i="119"/>
  <c r="O57" i="119"/>
  <c r="O50" i="119"/>
  <c r="G115" i="189" s="1"/>
  <c r="N33" i="119"/>
  <c r="O22" i="119"/>
  <c r="O5" i="116"/>
  <c r="G34" i="99"/>
  <c r="O49" i="119"/>
  <c r="O66" i="119"/>
  <c r="O36" i="119"/>
  <c r="N67" i="119"/>
  <c r="N49" i="119"/>
  <c r="N40" i="119"/>
  <c r="T66" i="114"/>
  <c r="T71" i="114" s="1"/>
  <c r="T11" i="114" s="1"/>
  <c r="H40" i="119"/>
  <c r="D62" i="119"/>
  <c r="G60" i="152" s="1"/>
  <c r="H48" i="119"/>
  <c r="H38" i="119"/>
  <c r="D53" i="119"/>
  <c r="G51" i="152" s="1"/>
  <c r="H52" i="119"/>
  <c r="I20" i="119"/>
  <c r="I63" i="119"/>
  <c r="I66" i="119"/>
  <c r="G51" i="119"/>
  <c r="G49" i="157" s="1"/>
  <c r="G56" i="119"/>
  <c r="N62" i="119"/>
  <c r="H33" i="119"/>
  <c r="S89" i="114"/>
  <c r="S101" i="114" s="1"/>
  <c r="S41" i="114" s="1"/>
  <c r="U65" i="114"/>
  <c r="U5" i="114" s="1"/>
  <c r="AS6" i="155"/>
  <c r="AP16" i="108"/>
  <c r="O147" i="206"/>
  <c r="O31" i="206" s="1"/>
  <c r="O29" i="206" s="1"/>
  <c r="K122" i="206"/>
  <c r="E167" i="206"/>
  <c r="V110" i="206"/>
  <c r="U102" i="206"/>
  <c r="T102" i="206"/>
  <c r="V105" i="206"/>
  <c r="V109" i="206"/>
  <c r="V106" i="206"/>
  <c r="S102" i="206"/>
  <c r="V103" i="206"/>
  <c r="V107" i="206"/>
  <c r="R102" i="206"/>
  <c r="V104" i="206"/>
  <c r="AO6" i="155"/>
  <c r="V93" i="114"/>
  <c r="V33" i="114" s="1"/>
  <c r="K18" i="123"/>
  <c r="K7" i="123" s="1"/>
  <c r="K6" i="123" s="1"/>
  <c r="O54" i="119"/>
  <c r="G119" i="189" s="1"/>
  <c r="V103" i="114"/>
  <c r="V43" i="114" s="1"/>
  <c r="V95" i="114"/>
  <c r="V35" i="114" s="1"/>
  <c r="G63" i="119"/>
  <c r="G61" i="157" s="1"/>
  <c r="AK6" i="155"/>
  <c r="O52" i="119"/>
  <c r="G117" i="189" s="1"/>
  <c r="R96" i="120"/>
  <c r="J179" i="122"/>
  <c r="M42" i="108"/>
  <c r="O48" i="119"/>
  <c r="P123" i="206"/>
  <c r="P7" i="206" s="1"/>
  <c r="P6" i="206" s="1"/>
  <c r="AB5" i="107"/>
  <c r="AS4" i="108"/>
  <c r="C48" i="99"/>
  <c r="O26" i="119"/>
  <c r="I45" i="119"/>
  <c r="V73" i="206"/>
  <c r="V72" i="206"/>
  <c r="V74" i="206"/>
  <c r="R66" i="206"/>
  <c r="V69" i="206"/>
  <c r="V71" i="206"/>
  <c r="V67" i="206"/>
  <c r="U66" i="206"/>
  <c r="S66" i="206"/>
  <c r="V68" i="206"/>
  <c r="V75" i="206"/>
  <c r="T66" i="206"/>
  <c r="I58" i="119"/>
  <c r="I22" i="119"/>
  <c r="G48" i="119"/>
  <c r="G46" i="157" s="1"/>
  <c r="V90" i="114"/>
  <c r="V30" i="114" s="1"/>
  <c r="H67" i="119"/>
  <c r="O18" i="165"/>
  <c r="O7" i="165" s="1"/>
  <c r="O6" i="165" s="1"/>
  <c r="BA85" i="114"/>
  <c r="Y3" i="98"/>
  <c r="C22" i="108"/>
  <c r="O34" i="119"/>
  <c r="R78" i="120"/>
  <c r="R3" i="98"/>
  <c r="V71" i="114"/>
  <c r="I36" i="119"/>
  <c r="V101" i="114"/>
  <c r="W101" i="114" s="1"/>
  <c r="O62" i="119"/>
  <c r="F42" i="108"/>
  <c r="C34" i="99"/>
  <c r="O171" i="122"/>
  <c r="O51" i="119"/>
  <c r="O44" i="119"/>
  <c r="G109" i="189" s="1"/>
  <c r="N26" i="119"/>
  <c r="N56" i="119"/>
  <c r="N51" i="119"/>
  <c r="H65" i="119"/>
  <c r="D54" i="119"/>
  <c r="G52" i="152" s="1"/>
  <c r="H34" i="119"/>
  <c r="H20" i="119"/>
  <c r="H49" i="119"/>
  <c r="D21" i="119"/>
  <c r="G19" i="152" s="1"/>
  <c r="I57" i="119"/>
  <c r="I46" i="119"/>
  <c r="G36" i="119"/>
  <c r="G34" i="157" s="1"/>
  <c r="G33" i="119"/>
  <c r="G31" i="157" s="1"/>
  <c r="J48" i="108"/>
  <c r="L34" i="108"/>
  <c r="BA91" i="114"/>
  <c r="S89" i="206"/>
  <c r="V101" i="206"/>
  <c r="V99" i="206"/>
  <c r="R89" i="206"/>
  <c r="V90" i="206"/>
  <c r="V93" i="206"/>
  <c r="V95" i="206"/>
  <c r="V98" i="206"/>
  <c r="V97" i="206"/>
  <c r="T89" i="206"/>
  <c r="V92" i="206"/>
  <c r="V100" i="206"/>
  <c r="V91" i="206"/>
  <c r="V96" i="206"/>
  <c r="U89" i="206"/>
  <c r="J48" i="114"/>
  <c r="P6" i="114"/>
  <c r="P16" i="114"/>
  <c r="P42" i="114"/>
  <c r="O16" i="114"/>
  <c r="I42" i="114"/>
  <c r="I51" i="114"/>
  <c r="G29" i="114"/>
  <c r="F22" i="114"/>
  <c r="N16" i="114"/>
  <c r="F42" i="114"/>
  <c r="AY86" i="114"/>
  <c r="AT85" i="114"/>
  <c r="AU85" i="114"/>
  <c r="N29" i="114"/>
  <c r="E22" i="114"/>
  <c r="G22" i="114"/>
  <c r="O34" i="206"/>
  <c r="J34" i="114"/>
  <c r="O42" i="114"/>
  <c r="L34" i="114"/>
  <c r="J16" i="114"/>
  <c r="L22" i="114"/>
  <c r="J10" i="114"/>
  <c r="O29" i="114"/>
  <c r="J42" i="114"/>
  <c r="N48" i="114"/>
  <c r="AF3" i="156"/>
  <c r="AG10" i="99"/>
  <c r="AG16" i="99"/>
  <c r="I4" i="99"/>
  <c r="R4" i="99"/>
  <c r="O4" i="99"/>
  <c r="N10" i="206"/>
  <c r="J51" i="206"/>
  <c r="X4" i="108"/>
  <c r="H49" i="111" s="1"/>
  <c r="BI49" i="129" s="1"/>
  <c r="Z62" i="114"/>
  <c r="Z62" i="206"/>
  <c r="W79" i="114"/>
  <c r="P10" i="114"/>
  <c r="T114" i="114"/>
  <c r="T54" i="114" s="1"/>
  <c r="J29" i="114"/>
  <c r="S120" i="114"/>
  <c r="S120" i="206"/>
  <c r="F51" i="206"/>
  <c r="N34" i="206"/>
  <c r="E42" i="206"/>
  <c r="E29" i="108"/>
  <c r="Y4" i="108"/>
  <c r="I31" i="111" s="1"/>
  <c r="V4" i="108"/>
  <c r="F46" i="111" s="1"/>
  <c r="E44" i="134" s="1"/>
  <c r="AO46" i="129" s="1"/>
  <c r="W4" i="108"/>
  <c r="G26" i="111" s="1"/>
  <c r="E24" i="157" s="1"/>
  <c r="E74" i="120"/>
  <c r="K74" i="120"/>
  <c r="AC42" i="99"/>
  <c r="C22" i="99"/>
  <c r="AB4" i="99"/>
  <c r="P4" i="99"/>
  <c r="L4" i="99"/>
  <c r="C29" i="99"/>
  <c r="K4" i="99"/>
  <c r="E48" i="99"/>
  <c r="Q4" i="99"/>
  <c r="AA4" i="99"/>
  <c r="K51" i="112" s="1"/>
  <c r="AC22" i="99"/>
  <c r="U4" i="99"/>
  <c r="E38" i="112" s="1"/>
  <c r="J36" i="151" s="1"/>
  <c r="D135" i="114"/>
  <c r="D135" i="206"/>
  <c r="D19" i="206" s="1"/>
  <c r="D16" i="206" s="1"/>
  <c r="I150" i="114"/>
  <c r="I150" i="206"/>
  <c r="G150" i="114"/>
  <c r="G150" i="206"/>
  <c r="E145" i="114"/>
  <c r="E145" i="206"/>
  <c r="O158" i="114"/>
  <c r="O158" i="206"/>
  <c r="J158" i="114"/>
  <c r="J158" i="206"/>
  <c r="L126" i="114"/>
  <c r="L126" i="206"/>
  <c r="D122" i="114"/>
  <c r="D122" i="206"/>
  <c r="O126" i="114"/>
  <c r="O126" i="206"/>
  <c r="D138" i="114"/>
  <c r="D138" i="206"/>
  <c r="N132" i="114"/>
  <c r="N132" i="206"/>
  <c r="E131" i="114"/>
  <c r="E15" i="114" s="1"/>
  <c r="E10" i="114" s="1"/>
  <c r="E131" i="206"/>
  <c r="E15" i="206" s="1"/>
  <c r="E10" i="206" s="1"/>
  <c r="L121" i="114"/>
  <c r="L5" i="114" s="1"/>
  <c r="L121" i="206"/>
  <c r="L5" i="206" s="1"/>
  <c r="I138" i="114"/>
  <c r="I138" i="206"/>
  <c r="N142" i="114"/>
  <c r="N26" i="114" s="1"/>
  <c r="N22" i="114" s="1"/>
  <c r="N142" i="206"/>
  <c r="N26" i="206" s="1"/>
  <c r="N22" i="206" s="1"/>
  <c r="I130" i="114"/>
  <c r="I14" i="114" s="1"/>
  <c r="I10" i="114" s="1"/>
  <c r="I130" i="206"/>
  <c r="I14" i="206" s="1"/>
  <c r="I10" i="206" s="1"/>
  <c r="O22" i="86"/>
  <c r="J16" i="206"/>
  <c r="D42" i="206"/>
  <c r="P22" i="206"/>
  <c r="O42" i="206"/>
  <c r="N42" i="206"/>
  <c r="J34" i="206"/>
  <c r="I16" i="206"/>
  <c r="E16" i="206"/>
  <c r="E34" i="206"/>
  <c r="D22" i="206"/>
  <c r="E6" i="206"/>
  <c r="K29" i="206"/>
  <c r="G29" i="206"/>
  <c r="L29" i="206"/>
  <c r="F10" i="206"/>
  <c r="L16" i="206"/>
  <c r="L34" i="206"/>
  <c r="L42" i="206"/>
  <c r="K16" i="206"/>
  <c r="J42" i="206"/>
  <c r="E51" i="206"/>
  <c r="D10" i="206"/>
  <c r="P158" i="114"/>
  <c r="P158" i="206"/>
  <c r="E132" i="114"/>
  <c r="E132" i="206"/>
  <c r="N167" i="114"/>
  <c r="N167" i="206"/>
  <c r="P167" i="114"/>
  <c r="P167" i="206"/>
  <c r="I145" i="114"/>
  <c r="I145" i="206"/>
  <c r="J145" i="114"/>
  <c r="J145" i="206"/>
  <c r="I122" i="114"/>
  <c r="I122" i="206"/>
  <c r="N164" i="114"/>
  <c r="N164" i="206"/>
  <c r="J150" i="114"/>
  <c r="J150" i="206"/>
  <c r="G132" i="114"/>
  <c r="G132" i="206"/>
  <c r="K126" i="114"/>
  <c r="K126" i="206"/>
  <c r="G145" i="114"/>
  <c r="G145" i="206"/>
  <c r="K138" i="114"/>
  <c r="K138" i="206"/>
  <c r="N145" i="114"/>
  <c r="N145" i="206"/>
  <c r="I151" i="114"/>
  <c r="I35" i="114" s="1"/>
  <c r="I34" i="114" s="1"/>
  <c r="I151" i="206"/>
  <c r="I35" i="206" s="1"/>
  <c r="I34" i="206" s="1"/>
  <c r="G133" i="114"/>
  <c r="G17" i="114" s="1"/>
  <c r="G16" i="114" s="1"/>
  <c r="G133" i="206"/>
  <c r="G17" i="206" s="1"/>
  <c r="G16" i="206" s="1"/>
  <c r="D150" i="114"/>
  <c r="D150" i="206"/>
  <c r="F148" i="114"/>
  <c r="F32" i="114" s="1"/>
  <c r="F29" i="114" s="1"/>
  <c r="F148" i="206"/>
  <c r="F32" i="206" s="1"/>
  <c r="F29" i="206" s="1"/>
  <c r="N122" i="114"/>
  <c r="N122" i="206"/>
  <c r="G131" i="114"/>
  <c r="G15" i="114" s="1"/>
  <c r="G10" i="114" s="1"/>
  <c r="G131" i="206"/>
  <c r="G15" i="206" s="1"/>
  <c r="G10" i="206" s="1"/>
  <c r="L6" i="206"/>
  <c r="O16" i="206"/>
  <c r="P42" i="206"/>
  <c r="O6" i="206"/>
  <c r="K6" i="206"/>
  <c r="G121" i="114"/>
  <c r="G5" i="114" s="1"/>
  <c r="G121" i="206"/>
  <c r="G5" i="206" s="1"/>
  <c r="I164" i="114"/>
  <c r="I164" i="206"/>
  <c r="K164" i="114"/>
  <c r="K164" i="206"/>
  <c r="P126" i="114"/>
  <c r="P126" i="206"/>
  <c r="G158" i="114"/>
  <c r="G158" i="206"/>
  <c r="G138" i="114"/>
  <c r="G138" i="206"/>
  <c r="K140" i="114"/>
  <c r="K24" i="114" s="1"/>
  <c r="K22" i="114" s="1"/>
  <c r="K140" i="206"/>
  <c r="K24" i="206" s="1"/>
  <c r="K22" i="206" s="1"/>
  <c r="K169" i="114"/>
  <c r="K53" i="114" s="1"/>
  <c r="K51" i="114" s="1"/>
  <c r="K169" i="206"/>
  <c r="K53" i="206" s="1"/>
  <c r="K51" i="206" s="1"/>
  <c r="P121" i="114"/>
  <c r="P5" i="114" s="1"/>
  <c r="P121" i="206"/>
  <c r="P5" i="206" s="1"/>
  <c r="L129" i="114"/>
  <c r="L13" i="114" s="1"/>
  <c r="L10" i="114" s="1"/>
  <c r="L129" i="206"/>
  <c r="L13" i="206" s="1"/>
  <c r="L10" i="206" s="1"/>
  <c r="O129" i="114"/>
  <c r="O13" i="114" s="1"/>
  <c r="O10" i="114" s="1"/>
  <c r="O129" i="206"/>
  <c r="O13" i="206" s="1"/>
  <c r="O10" i="206" s="1"/>
  <c r="J138" i="114"/>
  <c r="J138" i="206"/>
  <c r="K158" i="114"/>
  <c r="K158" i="206"/>
  <c r="I123" i="114"/>
  <c r="I7" i="114" s="1"/>
  <c r="I6" i="114" s="1"/>
  <c r="I123" i="206"/>
  <c r="I7" i="206" s="1"/>
  <c r="I6" i="206" s="1"/>
  <c r="I149" i="114"/>
  <c r="I33" i="114" s="1"/>
  <c r="I29" i="114" s="1"/>
  <c r="I149" i="206"/>
  <c r="I33" i="206" s="1"/>
  <c r="I29" i="206" s="1"/>
  <c r="I132" i="114"/>
  <c r="I132" i="206"/>
  <c r="G164" i="114"/>
  <c r="G164" i="206"/>
  <c r="D167" i="114"/>
  <c r="D167" i="206"/>
  <c r="F34" i="206"/>
  <c r="D34" i="206"/>
  <c r="K42" i="206"/>
  <c r="G6" i="206"/>
  <c r="N16" i="206"/>
  <c r="N29" i="206"/>
  <c r="K10" i="206"/>
  <c r="I22" i="206"/>
  <c r="F6" i="206"/>
  <c r="P16" i="206"/>
  <c r="I42" i="206"/>
  <c r="F42" i="206"/>
  <c r="D6" i="206"/>
  <c r="F16" i="206"/>
  <c r="E29" i="206"/>
  <c r="I158" i="114"/>
  <c r="I158" i="206"/>
  <c r="F121" i="114"/>
  <c r="F5" i="114" s="1"/>
  <c r="F121" i="206"/>
  <c r="F5" i="206" s="1"/>
  <c r="L158" i="114"/>
  <c r="L158" i="206"/>
  <c r="I121" i="114"/>
  <c r="I5" i="114" s="1"/>
  <c r="I121" i="206"/>
  <c r="I5" i="206" s="1"/>
  <c r="P145" i="114"/>
  <c r="P145" i="206"/>
  <c r="K167" i="114"/>
  <c r="K167" i="206"/>
  <c r="L132" i="114"/>
  <c r="L132" i="206"/>
  <c r="E126" i="114"/>
  <c r="E126" i="206"/>
  <c r="O167" i="114"/>
  <c r="O167" i="206"/>
  <c r="L122" i="114"/>
  <c r="L122" i="206"/>
  <c r="D126" i="114"/>
  <c r="D126" i="206"/>
  <c r="E121" i="114"/>
  <c r="E5" i="114" s="1"/>
  <c r="E121" i="206"/>
  <c r="E5" i="206" s="1"/>
  <c r="P148" i="114"/>
  <c r="P32" i="114" s="1"/>
  <c r="P29" i="114" s="1"/>
  <c r="P148" i="206"/>
  <c r="P32" i="206" s="1"/>
  <c r="P29" i="206" s="1"/>
  <c r="F158" i="114"/>
  <c r="F158" i="206"/>
  <c r="J140" i="114"/>
  <c r="J24" i="114" s="1"/>
  <c r="J22" i="114" s="1"/>
  <c r="J140" i="206"/>
  <c r="J24" i="206" s="1"/>
  <c r="J22" i="206" s="1"/>
  <c r="N138" i="114"/>
  <c r="N138" i="206"/>
  <c r="G151" i="114"/>
  <c r="G35" i="114" s="1"/>
  <c r="G34" i="114" s="1"/>
  <c r="G151" i="206"/>
  <c r="G35" i="206" s="1"/>
  <c r="G34" i="206" s="1"/>
  <c r="M22" i="86"/>
  <c r="K121" i="114"/>
  <c r="K5" i="114" s="1"/>
  <c r="K121" i="206"/>
  <c r="K5" i="206" s="1"/>
  <c r="E22" i="206"/>
  <c r="AV91" i="114"/>
  <c r="P112" i="120"/>
  <c r="AG19" i="123"/>
  <c r="Q111" i="120"/>
  <c r="S113" i="114"/>
  <c r="S53" i="114" s="1"/>
  <c r="E124" i="114"/>
  <c r="E8" i="114" s="1"/>
  <c r="E6" i="114" s="1"/>
  <c r="K18" i="86"/>
  <c r="N151" i="114"/>
  <c r="N35" i="114" s="1"/>
  <c r="N34" i="114" s="1"/>
  <c r="T46" i="86"/>
  <c r="AH39" i="122"/>
  <c r="Q94" i="120"/>
  <c r="Q91" i="120"/>
  <c r="BA35" i="156"/>
  <c r="AH44" i="99" s="1"/>
  <c r="BA52" i="156"/>
  <c r="AH40" i="99" s="1"/>
  <c r="G5" i="116"/>
  <c r="Q179" i="122"/>
  <c r="G60" i="107"/>
  <c r="F5" i="107"/>
  <c r="G5" i="107" s="1"/>
  <c r="G169" i="114"/>
  <c r="G53" i="114" s="1"/>
  <c r="G51" i="114" s="1"/>
  <c r="M63" i="86"/>
  <c r="F156" i="114"/>
  <c r="F40" i="114" s="1"/>
  <c r="F34" i="114" s="1"/>
  <c r="L46" i="86"/>
  <c r="J168" i="114"/>
  <c r="J52" i="114" s="1"/>
  <c r="J51" i="114" s="1"/>
  <c r="P63" i="86"/>
  <c r="BA48" i="156"/>
  <c r="AH32" i="99" s="1"/>
  <c r="BA36" i="156"/>
  <c r="AH50" i="99" s="1"/>
  <c r="BA37" i="156"/>
  <c r="AH53" i="99" s="1"/>
  <c r="BA49" i="156"/>
  <c r="AH33" i="99" s="1"/>
  <c r="Q113" i="120"/>
  <c r="Z10" i="108"/>
  <c r="P173" i="122"/>
  <c r="P179" i="122" s="1"/>
  <c r="P171" i="122"/>
  <c r="I42" i="108"/>
  <c r="AA3" i="98"/>
  <c r="BA24" i="156"/>
  <c r="AH18" i="99" s="1"/>
  <c r="V7" i="86"/>
  <c r="I74" i="120"/>
  <c r="I39" i="120" s="1"/>
  <c r="R4" i="108"/>
  <c r="L74" i="120"/>
  <c r="Q81" i="120"/>
  <c r="P121" i="120"/>
  <c r="BA51" i="156"/>
  <c r="AY7" i="156"/>
  <c r="BA7" i="156" s="1"/>
  <c r="BA21" i="156"/>
  <c r="AH11" i="99" s="1"/>
  <c r="BA47" i="156"/>
  <c r="AH31" i="99" s="1"/>
  <c r="BA53" i="156"/>
  <c r="AH46" i="99" s="1"/>
  <c r="BA50" i="156"/>
  <c r="AH39" i="99" s="1"/>
  <c r="BA29" i="156"/>
  <c r="AH19" i="99" s="1"/>
  <c r="K149" i="114"/>
  <c r="K33" i="114" s="1"/>
  <c r="K29" i="114" s="1"/>
  <c r="Q41" i="86"/>
  <c r="Q145" i="114"/>
  <c r="W7" i="86"/>
  <c r="BA54" i="156"/>
  <c r="AH47" i="99" s="1"/>
  <c r="AH20" i="122"/>
  <c r="AB4" i="108"/>
  <c r="L44" i="111" s="1"/>
  <c r="Q88" i="120"/>
  <c r="T4" i="108"/>
  <c r="D59" i="111" s="1"/>
  <c r="E57" i="152" s="1"/>
  <c r="Q90" i="120"/>
  <c r="AY11" i="156"/>
  <c r="BA11" i="156" s="1"/>
  <c r="BA43" i="156"/>
  <c r="AH15" i="99" s="1"/>
  <c r="BA41" i="156"/>
  <c r="AH27" i="99" s="1"/>
  <c r="BA33" i="156"/>
  <c r="AH26" i="99" s="1"/>
  <c r="BA25" i="156"/>
  <c r="AH36" i="99" s="1"/>
  <c r="BA39" i="156"/>
  <c r="AH54" i="99" s="1"/>
  <c r="G51" i="108"/>
  <c r="L41" i="86"/>
  <c r="G48" i="108"/>
  <c r="T3" i="98"/>
  <c r="Q85" i="120"/>
  <c r="Q93" i="120"/>
  <c r="W4" i="99"/>
  <c r="AH45" i="122"/>
  <c r="AI45" i="122" s="1"/>
  <c r="AH57" i="122"/>
  <c r="Z3" i="156"/>
  <c r="W3" i="156"/>
  <c r="E51" i="108"/>
  <c r="H22" i="108"/>
  <c r="AH40" i="122"/>
  <c r="Q119" i="120"/>
  <c r="Q110" i="120"/>
  <c r="S35" i="123"/>
  <c r="S11" i="123" s="1"/>
  <c r="Q55" i="123"/>
  <c r="Q14" i="123" s="1"/>
  <c r="BA28" i="156"/>
  <c r="AH24" i="99" s="1"/>
  <c r="BA45" i="156"/>
  <c r="AH20" i="99" s="1"/>
  <c r="BA44" i="156"/>
  <c r="AH28" i="99" s="1"/>
  <c r="BA18" i="156"/>
  <c r="AH8" i="99" s="1"/>
  <c r="BA40" i="156"/>
  <c r="AH37" i="99" s="1"/>
  <c r="Q107" i="120"/>
  <c r="Q79" i="120"/>
  <c r="L5" i="116"/>
  <c r="F130" i="114"/>
  <c r="F14" i="114" s="1"/>
  <c r="F10" i="114" s="1"/>
  <c r="L22" i="86"/>
  <c r="Y61" i="123"/>
  <c r="BA46" i="156"/>
  <c r="AH21" i="99" s="1"/>
  <c r="Q97" i="120"/>
  <c r="AH34" i="122"/>
  <c r="AC48" i="99"/>
  <c r="Q116" i="120"/>
  <c r="Q106" i="120"/>
  <c r="Q89" i="120"/>
  <c r="BA42" i="156"/>
  <c r="AH38" i="99" s="1"/>
  <c r="BA32" i="156"/>
  <c r="AH14" i="99" s="1"/>
  <c r="BA30" i="156"/>
  <c r="AH13" i="99" s="1"/>
  <c r="T4" i="99"/>
  <c r="D45" i="112" s="1"/>
  <c r="J43" i="152" s="1"/>
  <c r="BA20" i="156"/>
  <c r="AH9" i="99" s="1"/>
  <c r="BA38" i="156"/>
  <c r="AH45" i="99" s="1"/>
  <c r="AE4" i="99"/>
  <c r="O32" i="112" s="1"/>
  <c r="K151" i="114"/>
  <c r="K35" i="114" s="1"/>
  <c r="K34" i="114" s="1"/>
  <c r="Q46" i="86"/>
  <c r="Q7" i="86" s="1"/>
  <c r="F5" i="122"/>
  <c r="Q109" i="120"/>
  <c r="AC4" i="108"/>
  <c r="M37" i="111" s="1"/>
  <c r="Q103" i="120"/>
  <c r="N3" i="156"/>
  <c r="Q96" i="120"/>
  <c r="X3" i="98"/>
  <c r="F165" i="114"/>
  <c r="F49" i="114" s="1"/>
  <c r="F48" i="114" s="1"/>
  <c r="L60" i="86"/>
  <c r="N127" i="114"/>
  <c r="N11" i="114" s="1"/>
  <c r="N10" i="114" s="1"/>
  <c r="T22" i="86"/>
  <c r="Q102" i="120"/>
  <c r="L53" i="114"/>
  <c r="X4" i="99"/>
  <c r="H30" i="112" s="1"/>
  <c r="S47" i="123"/>
  <c r="S13" i="123" s="1"/>
  <c r="S42" i="123"/>
  <c r="S12" i="123" s="1"/>
  <c r="S23" i="123"/>
  <c r="S9" i="123" s="1"/>
  <c r="P47" i="123"/>
  <c r="P13" i="123" s="1"/>
  <c r="Q29" i="123"/>
  <c r="Q10" i="123" s="1"/>
  <c r="Q47" i="123"/>
  <c r="Q13" i="123" s="1"/>
  <c r="P55" i="123"/>
  <c r="P14" i="123" s="1"/>
  <c r="G74" i="120"/>
  <c r="G54" i="120" s="1"/>
  <c r="U52" i="157" s="1"/>
  <c r="S4" i="108"/>
  <c r="C37" i="111" s="1"/>
  <c r="E35" i="153" s="1"/>
  <c r="I34" i="108"/>
  <c r="K22" i="108"/>
  <c r="L22" i="108"/>
  <c r="N34" i="108"/>
  <c r="H65" i="111"/>
  <c r="BI65" i="129" s="1"/>
  <c r="H32" i="111"/>
  <c r="BI32" i="129" s="1"/>
  <c r="H34" i="112"/>
  <c r="H49" i="112"/>
  <c r="AF25" i="108"/>
  <c r="AF46" i="108"/>
  <c r="AF24" i="108"/>
  <c r="V4" i="99"/>
  <c r="F40" i="112" s="1"/>
  <c r="J38" i="134" s="1"/>
  <c r="G42" i="108"/>
  <c r="U3" i="98"/>
  <c r="S4" i="99"/>
  <c r="C25" i="112" s="1"/>
  <c r="J23" i="153" s="1"/>
  <c r="D42" i="99"/>
  <c r="AF13" i="108"/>
  <c r="K41" i="112"/>
  <c r="J42" i="108"/>
  <c r="M74" i="120"/>
  <c r="AF15" i="108"/>
  <c r="AF33" i="108"/>
  <c r="AF45" i="108"/>
  <c r="AF31" i="108"/>
  <c r="AF5" i="108"/>
  <c r="AF28" i="108"/>
  <c r="F125" i="114"/>
  <c r="F9" i="114" s="1"/>
  <c r="F6" i="114" s="1"/>
  <c r="L18" i="86"/>
  <c r="F122" i="206" s="1"/>
  <c r="AF44" i="108"/>
  <c r="AF12" i="108"/>
  <c r="P5" i="116"/>
  <c r="L42" i="108"/>
  <c r="G22" i="99"/>
  <c r="AF27" i="108"/>
  <c r="U4" i="108"/>
  <c r="E44" i="111" s="1"/>
  <c r="E42" i="151" s="1"/>
  <c r="AF14" i="108"/>
  <c r="P99" i="120"/>
  <c r="E51" i="99"/>
  <c r="W58" i="92"/>
  <c r="R5" i="121" s="1"/>
  <c r="FT1" i="129"/>
  <c r="T5" i="112"/>
  <c r="X49" i="92"/>
  <c r="S5" i="112" s="1"/>
  <c r="R5" i="93"/>
  <c r="W48" i="92"/>
  <c r="W50" i="92" s="1"/>
  <c r="W47" i="92"/>
  <c r="W61" i="92"/>
  <c r="X57" i="92"/>
  <c r="S5" i="120" s="1"/>
  <c r="X59" i="92"/>
  <c r="T5" i="125"/>
  <c r="S5" i="125"/>
  <c r="S5" i="119"/>
  <c r="T5" i="119"/>
  <c r="Q4" i="108"/>
  <c r="L52" i="202"/>
  <c r="S100" i="120"/>
  <c r="O38" i="112"/>
  <c r="O33" i="112"/>
  <c r="G56" i="120"/>
  <c r="U54" i="157" s="1"/>
  <c r="G32" i="120"/>
  <c r="U30" i="157" s="1"/>
  <c r="G43" i="120"/>
  <c r="U41" i="157" s="1"/>
  <c r="G49" i="120"/>
  <c r="U47" i="157" s="1"/>
  <c r="G33" i="120"/>
  <c r="U31" i="157" s="1"/>
  <c r="G45" i="120"/>
  <c r="U43" i="157" s="1"/>
  <c r="G62" i="120"/>
  <c r="U60" i="157" s="1"/>
  <c r="G58" i="120"/>
  <c r="U56" i="157" s="1"/>
  <c r="G37" i="120"/>
  <c r="U35" i="157" s="1"/>
  <c r="G65" i="120"/>
  <c r="G57" i="120"/>
  <c r="U55" i="157" s="1"/>
  <c r="G44" i="120"/>
  <c r="U42" i="157" s="1"/>
  <c r="G25" i="120"/>
  <c r="U23" i="157" s="1"/>
  <c r="G31" i="120"/>
  <c r="U29" i="157" s="1"/>
  <c r="G40" i="120"/>
  <c r="U38" i="157" s="1"/>
  <c r="G53" i="120"/>
  <c r="U51" i="157" s="1"/>
  <c r="BI36" i="155"/>
  <c r="AF35" i="108"/>
  <c r="BB84" i="114"/>
  <c r="BC84" i="114"/>
  <c r="AI39" i="122"/>
  <c r="AI42" i="122"/>
  <c r="C34" i="108"/>
  <c r="AI51" i="122"/>
  <c r="BI44" i="155"/>
  <c r="AF43" i="108"/>
  <c r="AF30" i="108"/>
  <c r="BI31" i="155"/>
  <c r="Z42" i="98"/>
  <c r="O22" i="108"/>
  <c r="AI41" i="122"/>
  <c r="AI23" i="122"/>
  <c r="BI12" i="155"/>
  <c r="AF11" i="108"/>
  <c r="BB86" i="114"/>
  <c r="BC86" i="114"/>
  <c r="AF6" i="108"/>
  <c r="AI36" i="122"/>
  <c r="E22" i="99"/>
  <c r="AI54" i="122"/>
  <c r="AI33" i="122"/>
  <c r="Y4" i="99"/>
  <c r="I60" i="112" s="1"/>
  <c r="BB85" i="114"/>
  <c r="BC85" i="114"/>
  <c r="AI43" i="122"/>
  <c r="AI21" i="122"/>
  <c r="AD4" i="99"/>
  <c r="N56" i="112" s="1"/>
  <c r="C74" i="120"/>
  <c r="AI50" i="122"/>
  <c r="AI34" i="122"/>
  <c r="N21" i="119"/>
  <c r="AI35" i="122"/>
  <c r="AI26" i="122"/>
  <c r="K5" i="116"/>
  <c r="C51" i="99"/>
  <c r="AI57" i="122"/>
  <c r="AI38" i="122"/>
  <c r="BI24" i="155"/>
  <c r="AF23" i="108"/>
  <c r="AF17" i="108"/>
  <c r="BI18" i="155"/>
  <c r="BI50" i="155"/>
  <c r="AF49" i="108"/>
  <c r="M51" i="108"/>
  <c r="AF51" i="108"/>
  <c r="K42" i="108"/>
  <c r="H46" i="119"/>
  <c r="H36" i="119"/>
  <c r="H62" i="119"/>
  <c r="H39" i="119"/>
  <c r="H26" i="119"/>
  <c r="H54" i="119"/>
  <c r="H56" i="119"/>
  <c r="H45" i="119"/>
  <c r="U61" i="123"/>
  <c r="U15" i="123" s="1"/>
  <c r="C13" i="153" s="1"/>
  <c r="AE64" i="123"/>
  <c r="AE16" i="123" s="1"/>
  <c r="W64" i="123"/>
  <c r="W16" i="123" s="1"/>
  <c r="C14" i="151" s="1"/>
  <c r="G66" i="120"/>
  <c r="U64" i="157" s="1"/>
  <c r="W96" i="114"/>
  <c r="W36" i="114" s="1"/>
  <c r="U80" i="114"/>
  <c r="U20" i="114" s="1"/>
  <c r="U77" i="114"/>
  <c r="U17" i="114" s="1"/>
  <c r="U85" i="114"/>
  <c r="U25" i="114" s="1"/>
  <c r="X114" i="114"/>
  <c r="Y114" i="114" s="1"/>
  <c r="V54" i="114"/>
  <c r="U84" i="114"/>
  <c r="U24" i="114" s="1"/>
  <c r="U83" i="114"/>
  <c r="U23" i="114" s="1"/>
  <c r="U79" i="114"/>
  <c r="U19" i="114" s="1"/>
  <c r="U81" i="114"/>
  <c r="U21" i="114" s="1"/>
  <c r="U87" i="114"/>
  <c r="U27" i="114" s="1"/>
  <c r="U86" i="114"/>
  <c r="U26" i="114" s="1"/>
  <c r="U88" i="114"/>
  <c r="U28" i="114" s="1"/>
  <c r="V28" i="114"/>
  <c r="T96" i="114"/>
  <c r="T36" i="114" s="1"/>
  <c r="D65" i="114"/>
  <c r="S85" i="114"/>
  <c r="S25" i="114" s="1"/>
  <c r="S84" i="114"/>
  <c r="S24" i="114" s="1"/>
  <c r="S79" i="114"/>
  <c r="S19" i="114" s="1"/>
  <c r="S81" i="114"/>
  <c r="S21" i="114" s="1"/>
  <c r="S78" i="114"/>
  <c r="S18" i="114" s="1"/>
  <c r="S77" i="114"/>
  <c r="S17" i="114" s="1"/>
  <c r="S83" i="114"/>
  <c r="S23" i="114" s="1"/>
  <c r="S80" i="114"/>
  <c r="S20" i="114" s="1"/>
  <c r="S86" i="114"/>
  <c r="S26" i="114" s="1"/>
  <c r="S88" i="114"/>
  <c r="S28" i="114" s="1"/>
  <c r="S87" i="114"/>
  <c r="S27" i="114" s="1"/>
  <c r="W83" i="114"/>
  <c r="V23" i="114"/>
  <c r="Z59" i="114"/>
  <c r="AU12" i="91"/>
  <c r="R79" i="114"/>
  <c r="R19" i="114" s="1"/>
  <c r="R83" i="114"/>
  <c r="R23" i="114" s="1"/>
  <c r="R87" i="114"/>
  <c r="R27" i="114" s="1"/>
  <c r="R85" i="114"/>
  <c r="R25" i="114" s="1"/>
  <c r="R86" i="114"/>
  <c r="R26" i="114" s="1"/>
  <c r="R77" i="114"/>
  <c r="R17" i="114" s="1"/>
  <c r="R84" i="114"/>
  <c r="R24" i="114" s="1"/>
  <c r="R80" i="114"/>
  <c r="R20" i="114" s="1"/>
  <c r="R81" i="114"/>
  <c r="R21" i="114" s="1"/>
  <c r="R88" i="114"/>
  <c r="R28" i="114" s="1"/>
  <c r="R78" i="114"/>
  <c r="R18" i="114" s="1"/>
  <c r="R97" i="114"/>
  <c r="R37" i="114" s="1"/>
  <c r="R95" i="114"/>
  <c r="R35" i="114" s="1"/>
  <c r="R98" i="114"/>
  <c r="R38" i="114" s="1"/>
  <c r="R101" i="114"/>
  <c r="R41" i="114" s="1"/>
  <c r="R91" i="114"/>
  <c r="R31" i="114" s="1"/>
  <c r="S96" i="114"/>
  <c r="S36" i="114" s="1"/>
  <c r="S92" i="114"/>
  <c r="S32" i="114" s="1"/>
  <c r="V25" i="114"/>
  <c r="W85" i="114"/>
  <c r="N114" i="114"/>
  <c r="N54" i="114" s="1"/>
  <c r="N113" i="114"/>
  <c r="N53" i="114" s="1"/>
  <c r="N52" i="114"/>
  <c r="AU17" i="91"/>
  <c r="AA62" i="206" s="1"/>
  <c r="AB62" i="206" s="1"/>
  <c r="AC62" i="206" s="1"/>
  <c r="AD62" i="206" s="1"/>
  <c r="AE62" i="206" s="1"/>
  <c r="AF62" i="206" s="1"/>
  <c r="AG62" i="206" s="1"/>
  <c r="AH62" i="206" s="1"/>
  <c r="AI62" i="206" s="1"/>
  <c r="AJ62" i="206" s="1"/>
  <c r="AK62" i="206" s="1"/>
  <c r="M52" i="114"/>
  <c r="M113" i="114"/>
  <c r="M53" i="114" s="1"/>
  <c r="M114" i="114"/>
  <c r="M54" i="114" s="1"/>
  <c r="AF29" i="99"/>
  <c r="AF48" i="99"/>
  <c r="BD16" i="156"/>
  <c r="BD17" i="156"/>
  <c r="BD19" i="156"/>
  <c r="BD34" i="156"/>
  <c r="BB12" i="156"/>
  <c r="BD12" i="156" s="1"/>
  <c r="AL1" i="156"/>
  <c r="AH42" i="123"/>
  <c r="AH29" i="123"/>
  <c r="AH47" i="123"/>
  <c r="AH35" i="123"/>
  <c r="AH11" i="123" s="1"/>
  <c r="P42" i="123"/>
  <c r="P12" i="123" s="1"/>
  <c r="S64" i="123"/>
  <c r="S16" i="123" s="1"/>
  <c r="Q61" i="123"/>
  <c r="P23" i="123"/>
  <c r="P9" i="123" s="1"/>
  <c r="S29" i="123"/>
  <c r="S10" i="123" s="1"/>
  <c r="P29" i="123"/>
  <c r="P10" i="123" s="1"/>
  <c r="Q23" i="123"/>
  <c r="Q9" i="123" s="1"/>
  <c r="Q42" i="123"/>
  <c r="Q12" i="123" s="1"/>
  <c r="S55" i="123"/>
  <c r="S14" i="123" s="1"/>
  <c r="Q35" i="123"/>
  <c r="Q11" i="123" s="1"/>
  <c r="P19" i="123"/>
  <c r="P8" i="123" s="1"/>
  <c r="Q64" i="123"/>
  <c r="Q16" i="123" s="1"/>
  <c r="S19" i="123"/>
  <c r="D112" i="114"/>
  <c r="D114" i="114" s="1"/>
  <c r="D54" i="114" s="1"/>
  <c r="D90" i="114"/>
  <c r="D91" i="114" s="1"/>
  <c r="D31" i="114" s="1"/>
  <c r="D77" i="114"/>
  <c r="D17" i="114" s="1"/>
  <c r="AE120" i="114"/>
  <c r="AD120" i="114"/>
  <c r="C30" i="114"/>
  <c r="C95" i="114"/>
  <c r="C35" i="114" s="1"/>
  <c r="C99" i="114"/>
  <c r="C39" i="114" s="1"/>
  <c r="C93" i="114"/>
  <c r="C33" i="114" s="1"/>
  <c r="C98" i="114"/>
  <c r="C38" i="114" s="1"/>
  <c r="C92" i="114"/>
  <c r="C32" i="114" s="1"/>
  <c r="C97" i="114"/>
  <c r="C37" i="114" s="1"/>
  <c r="C101" i="114"/>
  <c r="C41" i="114" s="1"/>
  <c r="C91" i="114"/>
  <c r="C31" i="114" s="1"/>
  <c r="C96" i="114"/>
  <c r="C36" i="114" s="1"/>
  <c r="C100" i="114"/>
  <c r="C40" i="114" s="1"/>
  <c r="C112" i="114"/>
  <c r="D105" i="114"/>
  <c r="D45" i="114" s="1"/>
  <c r="D110" i="114"/>
  <c r="D50" i="114" s="1"/>
  <c r="D104" i="114"/>
  <c r="D44" i="114" s="1"/>
  <c r="D109" i="114"/>
  <c r="D107" i="114"/>
  <c r="D47" i="114" s="1"/>
  <c r="D106" i="114"/>
  <c r="D46" i="114" s="1"/>
  <c r="C65" i="114"/>
  <c r="C103" i="114"/>
  <c r="C77" i="114"/>
  <c r="AH60" i="114"/>
  <c r="BC90" i="114"/>
  <c r="AG63" i="114"/>
  <c r="BB88" i="114"/>
  <c r="Q19" i="165"/>
  <c r="Q8" i="165" s="1"/>
  <c r="R42" i="165"/>
  <c r="R12" i="165" s="1"/>
  <c r="S61" i="165"/>
  <c r="S15" i="165" s="1"/>
  <c r="Q64" i="165"/>
  <c r="Q16" i="165" s="1"/>
  <c r="T42" i="165"/>
  <c r="T12" i="165" s="1"/>
  <c r="Q55" i="165"/>
  <c r="Q14" i="165" s="1"/>
  <c r="P29" i="165"/>
  <c r="P10" i="165" s="1"/>
  <c r="P47" i="165"/>
  <c r="P13" i="165" s="1"/>
  <c r="S35" i="165"/>
  <c r="T64" i="165"/>
  <c r="T16" i="165" s="1"/>
  <c r="T47" i="165"/>
  <c r="T13" i="165" s="1"/>
  <c r="S23" i="165"/>
  <c r="S9" i="165" s="1"/>
  <c r="R61" i="165"/>
  <c r="R15" i="165" s="1"/>
  <c r="S42" i="165"/>
  <c r="W47" i="165"/>
  <c r="W42" i="165"/>
  <c r="T19" i="165"/>
  <c r="T8" i="165" s="1"/>
  <c r="X29" i="165"/>
  <c r="X19" i="165"/>
  <c r="Q42" i="165"/>
  <c r="Q12" i="165" s="1"/>
  <c r="Q23" i="165"/>
  <c r="Q9" i="165" s="1"/>
  <c r="U47" i="165"/>
  <c r="Y42" i="165"/>
  <c r="Y47" i="165"/>
  <c r="R64" i="165"/>
  <c r="R16" i="165" s="1"/>
  <c r="R23" i="165"/>
  <c r="R9" i="165" s="1"/>
  <c r="V64" i="165"/>
  <c r="S55" i="165"/>
  <c r="S14" i="165" s="1"/>
  <c r="S19" i="165"/>
  <c r="S8" i="165" s="1"/>
  <c r="W61" i="165"/>
  <c r="W55" i="165"/>
  <c r="W35" i="165"/>
  <c r="W19" i="165"/>
  <c r="W23" i="165"/>
  <c r="T23" i="165"/>
  <c r="T9" i="165" s="1"/>
  <c r="X42" i="165"/>
  <c r="X23" i="165"/>
  <c r="Q47" i="165"/>
  <c r="Q13" i="165" s="1"/>
  <c r="Y55" i="165"/>
  <c r="Y19" i="165"/>
  <c r="Y29" i="165"/>
  <c r="Y23" i="165"/>
  <c r="R47" i="165"/>
  <c r="R13" i="165" s="1"/>
  <c r="R29" i="165"/>
  <c r="R10" i="165" s="1"/>
  <c r="V55" i="165"/>
  <c r="V61" i="165"/>
  <c r="V35" i="165"/>
  <c r="V29" i="165"/>
  <c r="T35" i="165"/>
  <c r="T11" i="165" s="1"/>
  <c r="X61" i="165"/>
  <c r="X55" i="165"/>
  <c r="X47" i="165"/>
  <c r="X35" i="165"/>
  <c r="Q35" i="165"/>
  <c r="Q11" i="165" s="1"/>
  <c r="U64" i="165"/>
  <c r="U29" i="165"/>
  <c r="U42" i="165"/>
  <c r="U35" i="165"/>
  <c r="Y61" i="165"/>
  <c r="V23" i="165"/>
  <c r="V42" i="165"/>
  <c r="S64" i="165"/>
  <c r="S47" i="165"/>
  <c r="S13" i="165" s="1"/>
  <c r="S29" i="165"/>
  <c r="S10" i="165" s="1"/>
  <c r="W64" i="165"/>
  <c r="W29" i="165"/>
  <c r="T61" i="165"/>
  <c r="T15" i="165" s="1"/>
  <c r="T55" i="165"/>
  <c r="T14" i="165" s="1"/>
  <c r="T29" i="165"/>
  <c r="T10" i="165" s="1"/>
  <c r="X64" i="165"/>
  <c r="Q61" i="165"/>
  <c r="Q15" i="165" s="1"/>
  <c r="Q29" i="165"/>
  <c r="Q10" i="165" s="1"/>
  <c r="U55" i="165"/>
  <c r="U61" i="165"/>
  <c r="U23" i="165"/>
  <c r="U19" i="165"/>
  <c r="Y64" i="165"/>
  <c r="Y35" i="165"/>
  <c r="R55" i="165"/>
  <c r="R14" i="165" s="1"/>
  <c r="R35" i="165"/>
  <c r="R19" i="165"/>
  <c r="R8" i="165" s="1"/>
  <c r="V47" i="165"/>
  <c r="V19" i="165"/>
  <c r="AI63" i="116"/>
  <c r="AI15" i="116" s="1"/>
  <c r="AI46" i="116"/>
  <c r="AI12" i="116" s="1"/>
  <c r="AI34" i="116"/>
  <c r="AI10" i="116" s="1"/>
  <c r="AI22" i="116"/>
  <c r="AI8" i="116" s="1"/>
  <c r="AI6" i="116"/>
  <c r="AH61" i="123"/>
  <c r="AH23" i="123"/>
  <c r="AH64" i="123"/>
  <c r="AH55" i="123"/>
  <c r="W42" i="123"/>
  <c r="C40" i="151" s="1"/>
  <c r="AE61" i="123"/>
  <c r="AE15" i="123" s="1"/>
  <c r="W61" i="123"/>
  <c r="W15" i="123" s="1"/>
  <c r="C13" i="151" s="1"/>
  <c r="D66" i="112"/>
  <c r="D63" i="112"/>
  <c r="J61" i="152" s="1"/>
  <c r="D22" i="112"/>
  <c r="J20" i="152" s="1"/>
  <c r="D57" i="112"/>
  <c r="J55" i="152" s="1"/>
  <c r="D67" i="112"/>
  <c r="J65" i="152" s="1"/>
  <c r="F33" i="112"/>
  <c r="J31" i="134" s="1"/>
  <c r="F31" i="112"/>
  <c r="J29" i="134" s="1"/>
  <c r="F32" i="112"/>
  <c r="J30" i="134" s="1"/>
  <c r="F49" i="112"/>
  <c r="J47" i="134" s="1"/>
  <c r="F43" i="112"/>
  <c r="F57" i="112"/>
  <c r="J55" i="134" s="1"/>
  <c r="F53" i="112"/>
  <c r="J51" i="134" s="1"/>
  <c r="F25" i="112"/>
  <c r="J23" i="134" s="1"/>
  <c r="G40" i="112"/>
  <c r="J38" i="157" s="1"/>
  <c r="G30" i="112"/>
  <c r="J28" i="157" s="1"/>
  <c r="G49" i="112"/>
  <c r="J47" i="157" s="1"/>
  <c r="G36" i="112"/>
  <c r="J34" i="157" s="1"/>
  <c r="G63" i="112"/>
  <c r="J61" i="157" s="1"/>
  <c r="G21" i="112"/>
  <c r="J19" i="157" s="1"/>
  <c r="G50" i="112"/>
  <c r="J48" i="157" s="1"/>
  <c r="G53" i="112"/>
  <c r="J51" i="157" s="1"/>
  <c r="G24" i="112"/>
  <c r="J22" i="157" s="1"/>
  <c r="G22" i="112"/>
  <c r="J20" i="157" s="1"/>
  <c r="G56" i="112"/>
  <c r="J54" i="157" s="1"/>
  <c r="G65" i="112"/>
  <c r="J63" i="157" s="1"/>
  <c r="G54" i="112"/>
  <c r="J52" i="157" s="1"/>
  <c r="G38" i="112"/>
  <c r="J36" i="157" s="1"/>
  <c r="G39" i="112"/>
  <c r="J37" i="157" s="1"/>
  <c r="G51" i="112"/>
  <c r="J49" i="157" s="1"/>
  <c r="G44" i="112"/>
  <c r="J42" i="157" s="1"/>
  <c r="G60" i="112"/>
  <c r="J58" i="157" s="1"/>
  <c r="G28" i="112"/>
  <c r="J26" i="157" s="1"/>
  <c r="G31" i="112"/>
  <c r="J29" i="157" s="1"/>
  <c r="G66" i="112"/>
  <c r="J64" i="157" s="1"/>
  <c r="G67" i="112"/>
  <c r="J65" i="157" s="1"/>
  <c r="G58" i="112"/>
  <c r="J56" i="157" s="1"/>
  <c r="G59" i="112"/>
  <c r="J57" i="157" s="1"/>
  <c r="G33" i="112"/>
  <c r="J31" i="157" s="1"/>
  <c r="G62" i="112"/>
  <c r="G52" i="112"/>
  <c r="J50" i="157" s="1"/>
  <c r="G45" i="112"/>
  <c r="J43" i="157" s="1"/>
  <c r="G27" i="112"/>
  <c r="J25" i="157" s="1"/>
  <c r="G43" i="112"/>
  <c r="J41" i="157" s="1"/>
  <c r="G57" i="112"/>
  <c r="J55" i="157" s="1"/>
  <c r="G37" i="112"/>
  <c r="J35" i="157" s="1"/>
  <c r="G32" i="112"/>
  <c r="J30" i="157" s="1"/>
  <c r="G20" i="112"/>
  <c r="J18" i="157" s="1"/>
  <c r="G34" i="112"/>
  <c r="J32" i="157" s="1"/>
  <c r="G48" i="112"/>
  <c r="J46" i="157" s="1"/>
  <c r="G25" i="112"/>
  <c r="J23" i="157" s="1"/>
  <c r="G46" i="112"/>
  <c r="J44" i="157" s="1"/>
  <c r="G41" i="112"/>
  <c r="J39" i="157" s="1"/>
  <c r="G26" i="112"/>
  <c r="J24" i="157" s="1"/>
  <c r="I36" i="112"/>
  <c r="I63" i="112"/>
  <c r="I49" i="112"/>
  <c r="I39" i="112"/>
  <c r="I46" i="112"/>
  <c r="I21" i="112"/>
  <c r="I28" i="112"/>
  <c r="I41" i="112"/>
  <c r="I24" i="112"/>
  <c r="I27" i="112"/>
  <c r="I20" i="112"/>
  <c r="I30" i="112"/>
  <c r="I52" i="112"/>
  <c r="I56" i="112"/>
  <c r="I54" i="112"/>
  <c r="I25" i="112"/>
  <c r="I45" i="112"/>
  <c r="I58" i="112"/>
  <c r="I26" i="112"/>
  <c r="I67" i="112"/>
  <c r="I57" i="112"/>
  <c r="I37" i="112"/>
  <c r="I50" i="112"/>
  <c r="I51" i="112"/>
  <c r="I62" i="112"/>
  <c r="I65" i="112"/>
  <c r="Z4" i="99"/>
  <c r="N22" i="108"/>
  <c r="X77" i="114"/>
  <c r="AA42" i="123"/>
  <c r="AA12" i="123" s="1"/>
  <c r="V61" i="123"/>
  <c r="V15" i="123" s="1"/>
  <c r="C13" i="152" s="1"/>
  <c r="AD42" i="123"/>
  <c r="U23" i="123"/>
  <c r="C21" i="153" s="1"/>
  <c r="Y64" i="123"/>
  <c r="C62" i="157" s="1"/>
  <c r="Z42" i="123"/>
  <c r="Z12" i="123" s="1"/>
  <c r="W23" i="123"/>
  <c r="W9" i="123" s="1"/>
  <c r="C7" i="151" s="1"/>
  <c r="AA64" i="123"/>
  <c r="AA16" i="123" s="1"/>
  <c r="X19" i="123"/>
  <c r="X8" i="123" s="1"/>
  <c r="C6" i="134" s="1"/>
  <c r="U29" i="123"/>
  <c r="U10" i="123" s="1"/>
  <c r="Y29" i="123"/>
  <c r="C27" i="157" s="1"/>
  <c r="Y23" i="123"/>
  <c r="Y9" i="123" s="1"/>
  <c r="C7" i="157" s="1"/>
  <c r="V29" i="123"/>
  <c r="V10" i="123" s="1"/>
  <c r="C8" i="152" s="1"/>
  <c r="AC61" i="123"/>
  <c r="AD23" i="123"/>
  <c r="Y35" i="123"/>
  <c r="C33" i="157" s="1"/>
  <c r="Y19" i="123"/>
  <c r="C17" i="157" s="1"/>
  <c r="V23" i="123"/>
  <c r="C21" i="152" s="1"/>
  <c r="AC35" i="123"/>
  <c r="AE42" i="123"/>
  <c r="AD64" i="123"/>
  <c r="AE23" i="123"/>
  <c r="AE9" i="123" s="1"/>
  <c r="V19" i="123"/>
  <c r="V8" i="123" s="1"/>
  <c r="C6" i="152" s="1"/>
  <c r="AA61" i="123"/>
  <c r="Z19" i="123"/>
  <c r="T55" i="123"/>
  <c r="T64" i="123"/>
  <c r="T16" i="123" s="1"/>
  <c r="T42" i="123"/>
  <c r="T12" i="123" s="1"/>
  <c r="X61" i="123"/>
  <c r="AD35" i="123"/>
  <c r="AF61" i="123"/>
  <c r="AF35" i="123"/>
  <c r="AC55" i="123"/>
  <c r="AC64" i="123"/>
  <c r="AC19" i="123"/>
  <c r="AB64" i="123"/>
  <c r="AB29" i="123"/>
  <c r="AB42" i="123"/>
  <c r="AB23" i="123"/>
  <c r="U55" i="123"/>
  <c r="U64" i="123"/>
  <c r="Y55" i="123"/>
  <c r="AE55" i="123"/>
  <c r="AE35" i="123"/>
  <c r="V47" i="123"/>
  <c r="Z61" i="123"/>
  <c r="Z47" i="123"/>
  <c r="W35" i="123"/>
  <c r="W29" i="123"/>
  <c r="AA23" i="123"/>
  <c r="AA55" i="123"/>
  <c r="AA35" i="123"/>
  <c r="AA29" i="123"/>
  <c r="T61" i="123"/>
  <c r="T15" i="123" s="1"/>
  <c r="T19" i="123"/>
  <c r="T8" i="123" s="1"/>
  <c r="AD29" i="123"/>
  <c r="AF55" i="123"/>
  <c r="AF64" i="123"/>
  <c r="AF19" i="123"/>
  <c r="AC47" i="123"/>
  <c r="AB61" i="123"/>
  <c r="AB35" i="123"/>
  <c r="U19" i="123"/>
  <c r="AE19" i="123"/>
  <c r="V42" i="123"/>
  <c r="Z23" i="123"/>
  <c r="W55" i="123"/>
  <c r="T47" i="123"/>
  <c r="T13" i="123" s="1"/>
  <c r="X47" i="123"/>
  <c r="AD55" i="123"/>
  <c r="AD19" i="123"/>
  <c r="AD61" i="123"/>
  <c r="AD47" i="123"/>
  <c r="AF47" i="123"/>
  <c r="AC29" i="123"/>
  <c r="AC42" i="123"/>
  <c r="AC23" i="123"/>
  <c r="AB19" i="123"/>
  <c r="U35" i="123"/>
  <c r="U47" i="123"/>
  <c r="Y47" i="123"/>
  <c r="V55" i="123"/>
  <c r="V64" i="123"/>
  <c r="V35" i="123"/>
  <c r="Z55" i="123"/>
  <c r="Z64" i="123"/>
  <c r="Z29" i="123"/>
  <c r="Z35" i="123"/>
  <c r="W47" i="123"/>
  <c r="W19" i="123"/>
  <c r="AA47" i="123"/>
  <c r="AA19" i="123"/>
  <c r="T35" i="123"/>
  <c r="T11" i="123" s="1"/>
  <c r="T29" i="123"/>
  <c r="T10" i="123" s="1"/>
  <c r="T23" i="123"/>
  <c r="T9" i="123" s="1"/>
  <c r="X55" i="123"/>
  <c r="X64" i="123"/>
  <c r="X35" i="123"/>
  <c r="X29" i="123"/>
  <c r="X42" i="123"/>
  <c r="X23" i="123"/>
  <c r="AF29" i="123"/>
  <c r="AF42" i="123"/>
  <c r="AF23" i="123"/>
  <c r="AB55" i="123"/>
  <c r="AB47" i="123"/>
  <c r="U42" i="123"/>
  <c r="Y42" i="123"/>
  <c r="AE47" i="123"/>
  <c r="AE29" i="123"/>
  <c r="AG29" i="123"/>
  <c r="AG47" i="123"/>
  <c r="AG55" i="123"/>
  <c r="AG64" i="123"/>
  <c r="AG35" i="123"/>
  <c r="AG61" i="123"/>
  <c r="AG42" i="123"/>
  <c r="AG23" i="123"/>
  <c r="AC120" i="114"/>
  <c r="AY8" i="156"/>
  <c r="BA8" i="156" s="1"/>
  <c r="BA31" i="156"/>
  <c r="AH25" i="99" s="1"/>
  <c r="BA15" i="156"/>
  <c r="AH30" i="99" s="1"/>
  <c r="AY9" i="156"/>
  <c r="BA9" i="156" s="1"/>
  <c r="BA16" i="156"/>
  <c r="AH7" i="99" s="1"/>
  <c r="AY5" i="156"/>
  <c r="BA5" i="156" s="1"/>
  <c r="AY6" i="156"/>
  <c r="BA6" i="156" s="1"/>
  <c r="BA27" i="156"/>
  <c r="AH12" i="99" s="1"/>
  <c r="AY4" i="156"/>
  <c r="BA14" i="156"/>
  <c r="AH5" i="99" s="1"/>
  <c r="AY10" i="156"/>
  <c r="BA10" i="156" s="1"/>
  <c r="C60" i="157"/>
  <c r="C61" i="157"/>
  <c r="C54" i="157"/>
  <c r="C55" i="157"/>
  <c r="C56" i="157"/>
  <c r="C57" i="157"/>
  <c r="C58" i="157"/>
  <c r="C46" i="157"/>
  <c r="C47" i="157"/>
  <c r="C48" i="157"/>
  <c r="C49" i="157"/>
  <c r="C50" i="157"/>
  <c r="C51" i="157"/>
  <c r="C52" i="157"/>
  <c r="C41" i="157"/>
  <c r="C42" i="157"/>
  <c r="C43" i="157"/>
  <c r="C44" i="157"/>
  <c r="C34" i="157"/>
  <c r="C35" i="157"/>
  <c r="C36" i="157"/>
  <c r="C37" i="157"/>
  <c r="C38" i="157"/>
  <c r="C39" i="157"/>
  <c r="C28" i="157"/>
  <c r="C29" i="157"/>
  <c r="C30" i="157"/>
  <c r="C31" i="157"/>
  <c r="C60" i="134"/>
  <c r="C56" i="134"/>
  <c r="C47" i="134"/>
  <c r="C51" i="134"/>
  <c r="C43" i="134"/>
  <c r="C36" i="134"/>
  <c r="C28" i="134"/>
  <c r="C48" i="134"/>
  <c r="C32" i="157"/>
  <c r="C24" i="157"/>
  <c r="C25" i="157"/>
  <c r="C18" i="157"/>
  <c r="C19" i="157"/>
  <c r="C20" i="157"/>
  <c r="C55" i="134"/>
  <c r="C46" i="134"/>
  <c r="C50" i="134"/>
  <c r="C42" i="134"/>
  <c r="C35" i="134"/>
  <c r="C39" i="134"/>
  <c r="C31" i="134"/>
  <c r="C57" i="134"/>
  <c r="C52" i="134"/>
  <c r="C44" i="134"/>
  <c r="C37" i="134"/>
  <c r="C22" i="157"/>
  <c r="C23" i="157"/>
  <c r="C63" i="157"/>
  <c r="C64" i="157"/>
  <c r="C65" i="157"/>
  <c r="C54" i="134"/>
  <c r="C58" i="134"/>
  <c r="C49" i="134"/>
  <c r="C41" i="134"/>
  <c r="C34" i="134"/>
  <c r="C38" i="134"/>
  <c r="C30" i="134"/>
  <c r="C32" i="134"/>
  <c r="C22" i="134"/>
  <c r="C23" i="134"/>
  <c r="C24" i="134"/>
  <c r="C25" i="134"/>
  <c r="C26" i="134"/>
  <c r="C18" i="134"/>
  <c r="C19" i="134"/>
  <c r="C20" i="134"/>
  <c r="C63" i="134"/>
  <c r="C64" i="134"/>
  <c r="C65" i="134"/>
  <c r="C61" i="134"/>
  <c r="C29" i="134"/>
  <c r="C26" i="157"/>
  <c r="AH60" i="116"/>
  <c r="AH14" i="116" s="1"/>
  <c r="AH5" i="116" s="1"/>
  <c r="AH4" i="116" s="1"/>
  <c r="P53" i="119"/>
  <c r="P56" i="119"/>
  <c r="V45" i="114"/>
  <c r="W105" i="114"/>
  <c r="W71" i="114"/>
  <c r="V11" i="114"/>
  <c r="V14" i="114"/>
  <c r="W74" i="114"/>
  <c r="V49" i="114"/>
  <c r="W109" i="114"/>
  <c r="V44" i="114"/>
  <c r="T69" i="114"/>
  <c r="T9" i="114" s="1"/>
  <c r="V9" i="114"/>
  <c r="W69" i="114"/>
  <c r="S73" i="114"/>
  <c r="S13" i="114" s="1"/>
  <c r="S74" i="114"/>
  <c r="S14" i="114" s="1"/>
  <c r="S72" i="114"/>
  <c r="S12" i="114" s="1"/>
  <c r="S75" i="114"/>
  <c r="S15" i="114" s="1"/>
  <c r="S71" i="114"/>
  <c r="S11" i="114" s="1"/>
  <c r="S68" i="114"/>
  <c r="S8" i="114" s="1"/>
  <c r="S67" i="114"/>
  <c r="S7" i="114" s="1"/>
  <c r="S69" i="114"/>
  <c r="S9" i="114" s="1"/>
  <c r="U73" i="114"/>
  <c r="U13" i="114" s="1"/>
  <c r="U75" i="114"/>
  <c r="U15" i="114" s="1"/>
  <c r="U74" i="114"/>
  <c r="U14" i="114" s="1"/>
  <c r="U71" i="114"/>
  <c r="U11" i="114" s="1"/>
  <c r="U68" i="114"/>
  <c r="U8" i="114" s="1"/>
  <c r="U69" i="114"/>
  <c r="U9" i="114" s="1"/>
  <c r="U67" i="114"/>
  <c r="U7" i="114" s="1"/>
  <c r="U72" i="114"/>
  <c r="U12" i="114" s="1"/>
  <c r="V12" i="114"/>
  <c r="W72" i="114"/>
  <c r="W103" i="114"/>
  <c r="T109" i="114"/>
  <c r="T49" i="114" s="1"/>
  <c r="V15" i="114"/>
  <c r="W75" i="114"/>
  <c r="R71" i="114"/>
  <c r="R11" i="114" s="1"/>
  <c r="R73" i="114"/>
  <c r="R13" i="114" s="1"/>
  <c r="R75" i="114"/>
  <c r="R15" i="114" s="1"/>
  <c r="R72" i="114"/>
  <c r="R12" i="114" s="1"/>
  <c r="R69" i="114"/>
  <c r="R9" i="114" s="1"/>
  <c r="R67" i="114"/>
  <c r="R7" i="114" s="1"/>
  <c r="R68" i="114"/>
  <c r="R8" i="114" s="1"/>
  <c r="R74" i="114"/>
  <c r="R14" i="114" s="1"/>
  <c r="AG145" i="114"/>
  <c r="AG132" i="114"/>
  <c r="AG150" i="114"/>
  <c r="AG164" i="114"/>
  <c r="AG127" i="114"/>
  <c r="AH142" i="114"/>
  <c r="AG142" i="114"/>
  <c r="AH153" i="114"/>
  <c r="AG153" i="114"/>
  <c r="AH155" i="114"/>
  <c r="AG155" i="114"/>
  <c r="AG158" i="114"/>
  <c r="AG159" i="114"/>
  <c r="AG138" i="114"/>
  <c r="AG167" i="114"/>
  <c r="AH150" i="114"/>
  <c r="AH164" i="114"/>
  <c r="R108" i="120"/>
  <c r="AH56" i="122"/>
  <c r="AH13" i="122" s="1"/>
  <c r="AH53" i="122"/>
  <c r="AH52" i="122"/>
  <c r="AH11" i="122" s="1"/>
  <c r="AH55" i="122"/>
  <c r="AH29" i="122"/>
  <c r="AH49" i="122"/>
  <c r="AH32" i="122"/>
  <c r="AH37" i="122"/>
  <c r="R122" i="120"/>
  <c r="AG19" i="122"/>
  <c r="Q77" i="120" s="1"/>
  <c r="Q76" i="120" s="1"/>
  <c r="AH46" i="122"/>
  <c r="AH27" i="122"/>
  <c r="AH28" i="122"/>
  <c r="AH48" i="122"/>
  <c r="AH31" i="122"/>
  <c r="R113" i="120"/>
  <c r="AH24" i="122"/>
  <c r="AH44" i="122"/>
  <c r="R100" i="120"/>
  <c r="AH6" i="122"/>
  <c r="R75" i="120"/>
  <c r="E29" i="119"/>
  <c r="E10" i="119" s="1"/>
  <c r="G8" i="151" s="1"/>
  <c r="E23" i="119"/>
  <c r="E9" i="119" s="1"/>
  <c r="G7" i="151" s="1"/>
  <c r="R15" i="123"/>
  <c r="G96" i="189"/>
  <c r="E61" i="119"/>
  <c r="G59" i="151" s="1"/>
  <c r="E64" i="119"/>
  <c r="E55" i="119"/>
  <c r="E42" i="119"/>
  <c r="G40" i="151" s="1"/>
  <c r="E35" i="119"/>
  <c r="E11" i="119" s="1"/>
  <c r="E19" i="119"/>
  <c r="E8" i="119" s="1"/>
  <c r="G6" i="151" s="1"/>
  <c r="E47" i="119"/>
  <c r="G28" i="134"/>
  <c r="AF120" i="114"/>
  <c r="AF121" i="114"/>
  <c r="AH129" i="114"/>
  <c r="AG129" i="114"/>
  <c r="AH132" i="114"/>
  <c r="AH133" i="114"/>
  <c r="AH162" i="114"/>
  <c r="AH138" i="114"/>
  <c r="AH145" i="114"/>
  <c r="AH146" i="114"/>
  <c r="AH121" i="114"/>
  <c r="AH130" i="114"/>
  <c r="AH170" i="114"/>
  <c r="AH122" i="114"/>
  <c r="BF6" i="155"/>
  <c r="D48" i="99"/>
  <c r="L52" i="112"/>
  <c r="L37" i="112"/>
  <c r="L45" i="112"/>
  <c r="L50" i="112"/>
  <c r="L21" i="112"/>
  <c r="L51" i="112"/>
  <c r="L57" i="112"/>
  <c r="L44" i="112"/>
  <c r="L22" i="112"/>
  <c r="L25" i="112"/>
  <c r="L66" i="112"/>
  <c r="L43" i="112"/>
  <c r="L49" i="112"/>
  <c r="L27" i="112"/>
  <c r="L39" i="112"/>
  <c r="L54" i="112"/>
  <c r="L28" i="112"/>
  <c r="L56" i="112"/>
  <c r="L67" i="112"/>
  <c r="L65" i="112"/>
  <c r="L60" i="112"/>
  <c r="L59" i="112"/>
  <c r="L63" i="112"/>
  <c r="L26" i="112"/>
  <c r="L30" i="112"/>
  <c r="L40" i="112"/>
  <c r="L46" i="112"/>
  <c r="L38" i="112"/>
  <c r="L33" i="112"/>
  <c r="L41" i="112"/>
  <c r="L36" i="112"/>
  <c r="L34" i="112"/>
  <c r="L32" i="112"/>
  <c r="L62" i="112"/>
  <c r="L24" i="112"/>
  <c r="L53" i="112"/>
  <c r="L20" i="112"/>
  <c r="L48" i="112"/>
  <c r="L58" i="112"/>
  <c r="H22" i="120"/>
  <c r="H59" i="120"/>
  <c r="H62" i="120"/>
  <c r="BA89" i="114"/>
  <c r="AZ89" i="114"/>
  <c r="E8" i="116"/>
  <c r="D11" i="116"/>
  <c r="F42" i="99"/>
  <c r="H18" i="165"/>
  <c r="L18" i="123"/>
  <c r="D51" i="108"/>
  <c r="E34" i="108"/>
  <c r="P42" i="165"/>
  <c r="P12" i="165" s="1"/>
  <c r="P61" i="165"/>
  <c r="P15" i="165" s="1"/>
  <c r="R11" i="165"/>
  <c r="D29" i="108"/>
  <c r="G15" i="123"/>
  <c r="F15" i="116"/>
  <c r="F5" i="116" s="1"/>
  <c r="I8" i="116"/>
  <c r="I5" i="116" s="1"/>
  <c r="D13" i="116"/>
  <c r="C42" i="99"/>
  <c r="E41" i="120"/>
  <c r="U39" i="151" s="1"/>
  <c r="E53" i="120"/>
  <c r="U51" i="151" s="1"/>
  <c r="E30" i="120"/>
  <c r="U28" i="151" s="1"/>
  <c r="E65" i="120"/>
  <c r="U63" i="151" s="1"/>
  <c r="E50" i="120"/>
  <c r="U48" i="151" s="1"/>
  <c r="E67" i="120"/>
  <c r="U65" i="151" s="1"/>
  <c r="E20" i="120"/>
  <c r="U18" i="151" s="1"/>
  <c r="E60" i="120"/>
  <c r="U58" i="151" s="1"/>
  <c r="E48" i="120"/>
  <c r="U46" i="151" s="1"/>
  <c r="E51" i="120"/>
  <c r="U49" i="151" s="1"/>
  <c r="E59" i="120"/>
  <c r="U57" i="151" s="1"/>
  <c r="E46" i="120"/>
  <c r="U44" i="151" s="1"/>
  <c r="E38" i="120"/>
  <c r="U36" i="151" s="1"/>
  <c r="E44" i="120"/>
  <c r="U42" i="151" s="1"/>
  <c r="E58" i="120"/>
  <c r="U56" i="151" s="1"/>
  <c r="E39" i="120"/>
  <c r="U37" i="151" s="1"/>
  <c r="E66" i="120"/>
  <c r="U64" i="151" s="1"/>
  <c r="E40" i="120"/>
  <c r="U38" i="151" s="1"/>
  <c r="E57" i="120"/>
  <c r="U55" i="151" s="1"/>
  <c r="E31" i="120"/>
  <c r="U29" i="151" s="1"/>
  <c r="E34" i="120"/>
  <c r="U32" i="151" s="1"/>
  <c r="E37" i="120"/>
  <c r="U35" i="151" s="1"/>
  <c r="E33" i="120"/>
  <c r="U31" i="151" s="1"/>
  <c r="E28" i="120"/>
  <c r="U26" i="151" s="1"/>
  <c r="E36" i="120"/>
  <c r="U34" i="151" s="1"/>
  <c r="E25" i="120"/>
  <c r="U23" i="151" s="1"/>
  <c r="E49" i="120"/>
  <c r="U47" i="151" s="1"/>
  <c r="E62" i="120"/>
  <c r="U60" i="151" s="1"/>
  <c r="E26" i="120"/>
  <c r="U24" i="151" s="1"/>
  <c r="E54" i="120"/>
  <c r="U52" i="151" s="1"/>
  <c r="E45" i="120"/>
  <c r="U43" i="151" s="1"/>
  <c r="E63" i="120"/>
  <c r="U61" i="151" s="1"/>
  <c r="E21" i="120"/>
  <c r="U19" i="151" s="1"/>
  <c r="E27" i="120"/>
  <c r="U25" i="151" s="1"/>
  <c r="E52" i="120"/>
  <c r="U50" i="151" s="1"/>
  <c r="E22" i="120"/>
  <c r="U20" i="151" s="1"/>
  <c r="E32" i="120"/>
  <c r="U30" i="151" s="1"/>
  <c r="E43" i="120"/>
  <c r="U41" i="151" s="1"/>
  <c r="E24" i="120"/>
  <c r="U22" i="151" s="1"/>
  <c r="E56" i="120"/>
  <c r="U54" i="151" s="1"/>
  <c r="K18" i="165"/>
  <c r="Q15" i="123"/>
  <c r="P65" i="119"/>
  <c r="L31" i="112"/>
  <c r="F74" i="120"/>
  <c r="J8" i="116"/>
  <c r="I16" i="123"/>
  <c r="I18" i="123" s="1"/>
  <c r="D34" i="99"/>
  <c r="D34" i="108"/>
  <c r="AG4" i="116"/>
  <c r="P36" i="119"/>
  <c r="P51" i="119"/>
  <c r="P21" i="119"/>
  <c r="P45" i="119"/>
  <c r="P43" i="119"/>
  <c r="P49" i="119"/>
  <c r="P63" i="119"/>
  <c r="P27" i="119"/>
  <c r="P39" i="119"/>
  <c r="P54" i="119"/>
  <c r="P28" i="119"/>
  <c r="P62" i="119"/>
  <c r="P52" i="119"/>
  <c r="P32" i="119"/>
  <c r="P25" i="119"/>
  <c r="P46" i="119"/>
  <c r="P60" i="119"/>
  <c r="P41" i="119"/>
  <c r="P58" i="119"/>
  <c r="F18" i="165"/>
  <c r="AF10" i="99"/>
  <c r="AF35" i="99"/>
  <c r="P22" i="119"/>
  <c r="P31" i="119"/>
  <c r="P30" i="119"/>
  <c r="P4" i="108"/>
  <c r="N42" i="108"/>
  <c r="E12" i="116"/>
  <c r="D22" i="99"/>
  <c r="J4" i="99"/>
  <c r="H4" i="99"/>
  <c r="D51" i="99"/>
  <c r="H34" i="108"/>
  <c r="D18" i="123"/>
  <c r="AX14" i="156"/>
  <c r="AG5" i="99" s="1"/>
  <c r="AV4" i="156"/>
  <c r="AX22" i="156"/>
  <c r="AG35" i="99" s="1"/>
  <c r="AG34" i="99" s="1"/>
  <c r="AV10" i="156"/>
  <c r="AX10" i="156" s="1"/>
  <c r="P40" i="119"/>
  <c r="P34" i="119"/>
  <c r="P26" i="119"/>
  <c r="J14" i="116"/>
  <c r="D29" i="99"/>
  <c r="N18" i="165"/>
  <c r="P33" i="119"/>
  <c r="P24" i="119"/>
  <c r="P50" i="119"/>
  <c r="G29" i="108"/>
  <c r="L18" i="165"/>
  <c r="N74" i="120"/>
  <c r="M18" i="123"/>
  <c r="P105" i="120"/>
  <c r="P104" i="120" s="1"/>
  <c r="AF12" i="122"/>
  <c r="F22" i="108"/>
  <c r="N18" i="123"/>
  <c r="D7" i="165"/>
  <c r="AG11" i="122"/>
  <c r="P20" i="119"/>
  <c r="P57" i="119"/>
  <c r="Q5" i="116"/>
  <c r="F22" i="99"/>
  <c r="F34" i="99"/>
  <c r="F34" i="108"/>
  <c r="J18" i="123"/>
  <c r="AG25" i="122"/>
  <c r="AX15" i="156"/>
  <c r="AG30" i="99" s="1"/>
  <c r="AG29" i="99" s="1"/>
  <c r="AV9" i="156"/>
  <c r="AX9" i="156" s="1"/>
  <c r="Q99" i="120"/>
  <c r="P48" i="119"/>
  <c r="P37" i="119"/>
  <c r="P67" i="119"/>
  <c r="D50" i="120"/>
  <c r="U48" i="152" s="1"/>
  <c r="D38" i="120"/>
  <c r="U36" i="152" s="1"/>
  <c r="D67" i="120"/>
  <c r="U65" i="152" s="1"/>
  <c r="D41" i="120"/>
  <c r="U39" i="152" s="1"/>
  <c r="D59" i="120"/>
  <c r="U57" i="152" s="1"/>
  <c r="D63" i="120"/>
  <c r="U61" i="152" s="1"/>
  <c r="D40" i="120"/>
  <c r="U38" i="152" s="1"/>
  <c r="D36" i="120"/>
  <c r="U34" i="152" s="1"/>
  <c r="D26" i="120"/>
  <c r="U24" i="152" s="1"/>
  <c r="D22" i="120"/>
  <c r="U20" i="152" s="1"/>
  <c r="D27" i="120"/>
  <c r="U25" i="152" s="1"/>
  <c r="D48" i="120"/>
  <c r="U46" i="152" s="1"/>
  <c r="D28" i="120"/>
  <c r="U26" i="152" s="1"/>
  <c r="D53" i="120"/>
  <c r="U51" i="152" s="1"/>
  <c r="D25" i="120"/>
  <c r="U23" i="152" s="1"/>
  <c r="D44" i="120"/>
  <c r="U42" i="152" s="1"/>
  <c r="D58" i="120"/>
  <c r="U56" i="152" s="1"/>
  <c r="D65" i="120"/>
  <c r="U63" i="152" s="1"/>
  <c r="D30" i="120"/>
  <c r="U28" i="152" s="1"/>
  <c r="D45" i="120"/>
  <c r="U43" i="152" s="1"/>
  <c r="D43" i="120"/>
  <c r="U41" i="152" s="1"/>
  <c r="D31" i="120"/>
  <c r="U29" i="152" s="1"/>
  <c r="E22" i="108"/>
  <c r="D22" i="108"/>
  <c r="Q123" i="120"/>
  <c r="Q121" i="120" s="1"/>
  <c r="AG15" i="122"/>
  <c r="P77" i="120"/>
  <c r="P76" i="120" s="1"/>
  <c r="AF7" i="122"/>
  <c r="AV8" i="156"/>
  <c r="AX8" i="156" s="1"/>
  <c r="AX26" i="156"/>
  <c r="AG23" i="99" s="1"/>
  <c r="R16" i="123"/>
  <c r="P44" i="119"/>
  <c r="P59" i="119"/>
  <c r="P66" i="119"/>
  <c r="G45" i="111"/>
  <c r="E43" i="157" s="1"/>
  <c r="P55" i="165"/>
  <c r="P14" i="165" s="1"/>
  <c r="S16" i="165"/>
  <c r="S12" i="165"/>
  <c r="S11" i="165"/>
  <c r="D49" i="111"/>
  <c r="E47" i="152" s="1"/>
  <c r="D30" i="111"/>
  <c r="D51" i="111"/>
  <c r="E49" i="152" s="1"/>
  <c r="D32" i="111"/>
  <c r="E30" i="152" s="1"/>
  <c r="D45" i="111"/>
  <c r="E43" i="152" s="1"/>
  <c r="V41" i="114"/>
  <c r="H18" i="123"/>
  <c r="AP32" i="108"/>
  <c r="AP29" i="108" s="1"/>
  <c r="Z29" i="108"/>
  <c r="J18" i="165"/>
  <c r="BA6" i="155"/>
  <c r="P82" i="120"/>
  <c r="P80" i="120" s="1"/>
  <c r="AF8" i="122"/>
  <c r="AE4" i="108"/>
  <c r="Q87" i="120"/>
  <c r="AG9" i="122"/>
  <c r="I20" i="111"/>
  <c r="I48" i="111"/>
  <c r="I56" i="111"/>
  <c r="I41" i="111"/>
  <c r="Q117" i="120"/>
  <c r="AG13" i="122"/>
  <c r="M27" i="111"/>
  <c r="M45" i="111"/>
  <c r="M53" i="111"/>
  <c r="M40" i="111"/>
  <c r="M59" i="111"/>
  <c r="M67" i="111"/>
  <c r="M21" i="111"/>
  <c r="M25" i="111"/>
  <c r="M33" i="111"/>
  <c r="M54" i="111"/>
  <c r="M43" i="111"/>
  <c r="M20" i="111"/>
  <c r="M32" i="111"/>
  <c r="O121" i="120"/>
  <c r="P98" i="120"/>
  <c r="P92" i="120" s="1"/>
  <c r="AF10" i="122"/>
  <c r="AF34" i="99"/>
  <c r="P19" i="165"/>
  <c r="P8" i="165" s="1"/>
  <c r="P23" i="165"/>
  <c r="P9" i="165" s="1"/>
  <c r="P35" i="165"/>
  <c r="P11" i="165" s="1"/>
  <c r="P64" i="165"/>
  <c r="P16" i="165" s="1"/>
  <c r="J28" i="86"/>
  <c r="I18" i="165"/>
  <c r="V38" i="114"/>
  <c r="W98" i="114"/>
  <c r="L43" i="111"/>
  <c r="L36" i="111"/>
  <c r="AD4" i="116"/>
  <c r="M31" i="119"/>
  <c r="M50" i="119"/>
  <c r="M51" i="119"/>
  <c r="M54" i="119"/>
  <c r="M21" i="119"/>
  <c r="M40" i="119"/>
  <c r="M43" i="119"/>
  <c r="M53" i="119"/>
  <c r="M60" i="119"/>
  <c r="M20" i="119"/>
  <c r="M24" i="119"/>
  <c r="M52" i="119"/>
  <c r="M37" i="119"/>
  <c r="M46" i="119"/>
  <c r="M66" i="119"/>
  <c r="M67" i="119"/>
  <c r="M38" i="119"/>
  <c r="M56" i="119"/>
  <c r="M36" i="119"/>
  <c r="M59" i="119"/>
  <c r="M39" i="119"/>
  <c r="M30" i="119"/>
  <c r="M26" i="119"/>
  <c r="M27" i="119"/>
  <c r="M62" i="119"/>
  <c r="M58" i="119"/>
  <c r="M28" i="119"/>
  <c r="M25" i="119"/>
  <c r="M48" i="119"/>
  <c r="M41" i="119"/>
  <c r="M44" i="119"/>
  <c r="M45" i="119"/>
  <c r="M63" i="119"/>
  <c r="M22" i="119"/>
  <c r="M34" i="119"/>
  <c r="M32" i="119"/>
  <c r="M65" i="119"/>
  <c r="M57" i="119"/>
  <c r="M33" i="119"/>
  <c r="M49" i="119"/>
  <c r="AA34" i="108"/>
  <c r="AA4" i="108" s="1"/>
  <c r="K50" i="111" s="1"/>
  <c r="AP37" i="108"/>
  <c r="AP34" i="108" s="1"/>
  <c r="G18" i="165"/>
  <c r="AD4" i="108"/>
  <c r="BE6" i="155"/>
  <c r="O80" i="120"/>
  <c r="Q108" i="120"/>
  <c r="Q95" i="120"/>
  <c r="AG30" i="122"/>
  <c r="Q120" i="120"/>
  <c r="AG14" i="122"/>
  <c r="AF22" i="99"/>
  <c r="AG47" i="122"/>
  <c r="AU10" i="156"/>
  <c r="AS3" i="156"/>
  <c r="AU3" i="156" s="1"/>
  <c r="D5" i="114" l="1"/>
  <c r="O7" i="86"/>
  <c r="H34" i="111"/>
  <c r="BI34" i="129" s="1"/>
  <c r="AM38" i="108"/>
  <c r="I4" i="108"/>
  <c r="AM36" i="108"/>
  <c r="J126" i="114"/>
  <c r="T74" i="114"/>
  <c r="T14" i="114" s="1"/>
  <c r="T72" i="114"/>
  <c r="T12" i="114" s="1"/>
  <c r="T90" i="114"/>
  <c r="T30" i="114" s="1"/>
  <c r="T68" i="114"/>
  <c r="T8" i="114" s="1"/>
  <c r="S100" i="114"/>
  <c r="S40" i="114" s="1"/>
  <c r="T73" i="114"/>
  <c r="T13" i="114" s="1"/>
  <c r="T67" i="114"/>
  <c r="T7" i="114" s="1"/>
  <c r="T6" i="114" s="1"/>
  <c r="W68" i="114"/>
  <c r="X68" i="114" s="1"/>
  <c r="S93" i="114"/>
  <c r="S33" i="114" s="1"/>
  <c r="W97" i="114"/>
  <c r="T92" i="114"/>
  <c r="T32" i="114" s="1"/>
  <c r="T98" i="114"/>
  <c r="T38" i="114" s="1"/>
  <c r="W67" i="114"/>
  <c r="V13" i="114"/>
  <c r="V10" i="114" s="1"/>
  <c r="T75" i="114"/>
  <c r="T15" i="114" s="1"/>
  <c r="W81" i="114"/>
  <c r="X81" i="114" s="1"/>
  <c r="W78" i="114"/>
  <c r="W18" i="114" s="1"/>
  <c r="T101" i="114"/>
  <c r="T41" i="114" s="1"/>
  <c r="W86" i="114"/>
  <c r="X86" i="114" s="1"/>
  <c r="T97" i="114"/>
  <c r="T37" i="114" s="1"/>
  <c r="T86" i="114"/>
  <c r="T26" i="114" s="1"/>
  <c r="T83" i="114"/>
  <c r="T23" i="114" s="1"/>
  <c r="T88" i="114"/>
  <c r="T28" i="114" s="1"/>
  <c r="T77" i="114"/>
  <c r="T17" i="114" s="1"/>
  <c r="V20" i="114"/>
  <c r="U101" i="114"/>
  <c r="U41" i="114" s="1"/>
  <c r="T84" i="114"/>
  <c r="T24" i="114" s="1"/>
  <c r="T87" i="114"/>
  <c r="T27" i="114" s="1"/>
  <c r="W87" i="114"/>
  <c r="X87" i="114" s="1"/>
  <c r="Y87" i="114" s="1"/>
  <c r="Y27" i="114" s="1"/>
  <c r="W112" i="114"/>
  <c r="W52" i="114" s="1"/>
  <c r="W106" i="114"/>
  <c r="U95" i="114"/>
  <c r="U35" i="114" s="1"/>
  <c r="T79" i="114"/>
  <c r="T19" i="114" s="1"/>
  <c r="W84" i="114"/>
  <c r="W24" i="114" s="1"/>
  <c r="T81" i="114"/>
  <c r="T21" i="114" s="1"/>
  <c r="T80" i="114"/>
  <c r="T20" i="114" s="1"/>
  <c r="T78" i="114"/>
  <c r="T18" i="114" s="1"/>
  <c r="I167" i="206"/>
  <c r="D158" i="206"/>
  <c r="L51" i="114"/>
  <c r="F167" i="206"/>
  <c r="M7" i="86"/>
  <c r="G120" i="114" s="1"/>
  <c r="D145" i="206"/>
  <c r="T7" i="86"/>
  <c r="N120" i="114" s="1"/>
  <c r="E158" i="206"/>
  <c r="N158" i="206"/>
  <c r="O150" i="206"/>
  <c r="L167" i="206"/>
  <c r="J164" i="114"/>
  <c r="L167" i="114"/>
  <c r="G113" i="189"/>
  <c r="M48" i="111"/>
  <c r="E39" i="111"/>
  <c r="E37" i="151" s="1"/>
  <c r="AE39" i="129" s="1"/>
  <c r="M65" i="111"/>
  <c r="M58" i="111"/>
  <c r="DG58" i="129" s="1"/>
  <c r="M39" i="111"/>
  <c r="DG39" i="129" s="1"/>
  <c r="D27" i="111"/>
  <c r="E25" i="152" s="1"/>
  <c r="M60" i="111"/>
  <c r="DG60" i="129" s="1"/>
  <c r="D38" i="111"/>
  <c r="E36" i="152" s="1"/>
  <c r="U38" i="129" s="1"/>
  <c r="M38" i="111"/>
  <c r="DG38" i="129" s="1"/>
  <c r="M41" i="111"/>
  <c r="DG41" i="129" s="1"/>
  <c r="M51" i="111"/>
  <c r="DG51" i="129" s="1"/>
  <c r="D62" i="111"/>
  <c r="E60" i="152" s="1"/>
  <c r="M30" i="111"/>
  <c r="M44" i="111"/>
  <c r="DG44" i="129" s="1"/>
  <c r="M49" i="111"/>
  <c r="DG49" i="129" s="1"/>
  <c r="D34" i="111"/>
  <c r="E32" i="152" s="1"/>
  <c r="U34" i="129" s="1"/>
  <c r="C53" i="111"/>
  <c r="E51" i="153" s="1"/>
  <c r="K53" i="129" s="1"/>
  <c r="M56" i="111"/>
  <c r="M28" i="111"/>
  <c r="DG28" i="129" s="1"/>
  <c r="M26" i="111"/>
  <c r="DG26" i="129" s="1"/>
  <c r="D66" i="111"/>
  <c r="E64" i="152" s="1"/>
  <c r="U66" i="129" s="1"/>
  <c r="M34" i="111"/>
  <c r="DG34" i="129" s="1"/>
  <c r="M50" i="111"/>
  <c r="DG50" i="129" s="1"/>
  <c r="M63" i="111"/>
  <c r="DG63" i="129" s="1"/>
  <c r="M46" i="111"/>
  <c r="DG46" i="129" s="1"/>
  <c r="D36" i="111"/>
  <c r="E34" i="152" s="1"/>
  <c r="D41" i="111"/>
  <c r="E39" i="152" s="1"/>
  <c r="U41" i="129" s="1"/>
  <c r="D25" i="111"/>
  <c r="E23" i="152" s="1"/>
  <c r="U25" i="129" s="1"/>
  <c r="L53" i="111"/>
  <c r="M36" i="111"/>
  <c r="M57" i="111"/>
  <c r="DG57" i="129" s="1"/>
  <c r="D54" i="111"/>
  <c r="E52" i="152" s="1"/>
  <c r="U54" i="129" s="1"/>
  <c r="L39" i="111"/>
  <c r="CW39" i="129" s="1"/>
  <c r="M62" i="111"/>
  <c r="M24" i="111"/>
  <c r="D40" i="111"/>
  <c r="E38" i="152" s="1"/>
  <c r="U40" i="129" s="1"/>
  <c r="M22" i="111"/>
  <c r="DG22" i="129" s="1"/>
  <c r="H4" i="108"/>
  <c r="M66" i="111"/>
  <c r="DG66" i="129" s="1"/>
  <c r="M31" i="111"/>
  <c r="DG31" i="129" s="1"/>
  <c r="D46" i="111"/>
  <c r="E44" i="152" s="1"/>
  <c r="U46" i="129" s="1"/>
  <c r="M52" i="111"/>
  <c r="DG52" i="129" s="1"/>
  <c r="I63" i="111"/>
  <c r="BS63" i="129" s="1"/>
  <c r="D65" i="111"/>
  <c r="E63" i="152" s="1"/>
  <c r="H56" i="111"/>
  <c r="E50" i="111"/>
  <c r="E48" i="151" s="1"/>
  <c r="AE50" i="129" s="1"/>
  <c r="E58" i="111"/>
  <c r="E56" i="151" s="1"/>
  <c r="AE58" i="129" s="1"/>
  <c r="E31" i="111"/>
  <c r="E29" i="151" s="1"/>
  <c r="AE31" i="129" s="1"/>
  <c r="I30" i="111"/>
  <c r="E36" i="111"/>
  <c r="E34" i="151" s="1"/>
  <c r="F67" i="111"/>
  <c r="E65" i="134" s="1"/>
  <c r="AO67" i="129" s="1"/>
  <c r="C48" i="111"/>
  <c r="E46" i="153" s="1"/>
  <c r="I32" i="111"/>
  <c r="BS32" i="129" s="1"/>
  <c r="I44" i="111"/>
  <c r="BS44" i="129" s="1"/>
  <c r="D50" i="111"/>
  <c r="E48" i="152" s="1"/>
  <c r="U50" i="129" s="1"/>
  <c r="E24" i="111"/>
  <c r="E22" i="151" s="1"/>
  <c r="E57" i="111"/>
  <c r="E55" i="151" s="1"/>
  <c r="AE57" i="129" s="1"/>
  <c r="H41" i="111"/>
  <c r="BI41" i="129" s="1"/>
  <c r="C32" i="111"/>
  <c r="E30" i="153" s="1"/>
  <c r="K32" i="129" s="1"/>
  <c r="E60" i="111"/>
  <c r="E58" i="151" s="1"/>
  <c r="AE60" i="129" s="1"/>
  <c r="G39" i="111"/>
  <c r="E37" i="157" s="1"/>
  <c r="AY39" i="129" s="1"/>
  <c r="C33" i="111"/>
  <c r="E31" i="153" s="1"/>
  <c r="K33" i="129" s="1"/>
  <c r="G25" i="111"/>
  <c r="E23" i="157" s="1"/>
  <c r="AY25" i="129" s="1"/>
  <c r="C26" i="111"/>
  <c r="E24" i="153" s="1"/>
  <c r="K26" i="129" s="1"/>
  <c r="I22" i="111"/>
  <c r="BS22" i="129" s="1"/>
  <c r="G40" i="111"/>
  <c r="E38" i="157" s="1"/>
  <c r="AY40" i="129" s="1"/>
  <c r="C43" i="111"/>
  <c r="E41" i="153" s="1"/>
  <c r="I46" i="111"/>
  <c r="E28" i="111"/>
  <c r="E26" i="151" s="1"/>
  <c r="AE28" i="129" s="1"/>
  <c r="C41" i="111"/>
  <c r="E39" i="153" s="1"/>
  <c r="K41" i="129" s="1"/>
  <c r="I51" i="111"/>
  <c r="BS51" i="129" s="1"/>
  <c r="G67" i="111"/>
  <c r="E65" i="157" s="1"/>
  <c r="AY67" i="129" s="1"/>
  <c r="F66" i="111"/>
  <c r="E64" i="134" s="1"/>
  <c r="AO66" i="129" s="1"/>
  <c r="H22" i="111"/>
  <c r="BI22" i="129" s="1"/>
  <c r="I40" i="111"/>
  <c r="BS40" i="129" s="1"/>
  <c r="E21" i="111"/>
  <c r="E19" i="151" s="1"/>
  <c r="AE21" i="129" s="1"/>
  <c r="G41" i="111"/>
  <c r="E39" i="157" s="1"/>
  <c r="AY41" i="129" s="1"/>
  <c r="E59" i="111"/>
  <c r="E57" i="151" s="1"/>
  <c r="AE59" i="129" s="1"/>
  <c r="G58" i="111"/>
  <c r="E56" i="157" s="1"/>
  <c r="AY58" i="129" s="1"/>
  <c r="I39" i="111"/>
  <c r="BS39" i="129" s="1"/>
  <c r="I28" i="111"/>
  <c r="BS28" i="129" s="1"/>
  <c r="E41" i="111"/>
  <c r="E39" i="151" s="1"/>
  <c r="AE41" i="129" s="1"/>
  <c r="I59" i="111"/>
  <c r="I36" i="111"/>
  <c r="E52" i="111"/>
  <c r="E50" i="151" s="1"/>
  <c r="AE52" i="129" s="1"/>
  <c r="E32" i="111"/>
  <c r="E30" i="151" s="1"/>
  <c r="I45" i="111"/>
  <c r="BS45" i="129" s="1"/>
  <c r="E38" i="111"/>
  <c r="E36" i="151" s="1"/>
  <c r="AE38" i="129" s="1"/>
  <c r="AP22" i="108"/>
  <c r="AP4" i="108" s="1"/>
  <c r="I38" i="111"/>
  <c r="BS38" i="129" s="1"/>
  <c r="I25" i="111"/>
  <c r="BS25" i="129" s="1"/>
  <c r="E53" i="111"/>
  <c r="E51" i="151" s="1"/>
  <c r="AE53" i="129" s="1"/>
  <c r="F57" i="111"/>
  <c r="E55" i="134" s="1"/>
  <c r="AO57" i="129" s="1"/>
  <c r="E43" i="111"/>
  <c r="E41" i="151" s="1"/>
  <c r="H46" i="111"/>
  <c r="BI46" i="129" s="1"/>
  <c r="C46" i="111"/>
  <c r="E44" i="153" s="1"/>
  <c r="K46" i="129" s="1"/>
  <c r="I24" i="111"/>
  <c r="I67" i="111"/>
  <c r="BS67" i="129" s="1"/>
  <c r="D37" i="111"/>
  <c r="E35" i="152" s="1"/>
  <c r="U37" i="129" s="1"/>
  <c r="D63" i="111"/>
  <c r="E61" i="152" s="1"/>
  <c r="U63" i="129" s="1"/>
  <c r="E63" i="111"/>
  <c r="E61" i="151" s="1"/>
  <c r="AE63" i="129" s="1"/>
  <c r="E49" i="111"/>
  <c r="E47" i="151" s="1"/>
  <c r="AE49" i="129" s="1"/>
  <c r="H60" i="111"/>
  <c r="BI60" i="129" s="1"/>
  <c r="E37" i="111"/>
  <c r="E35" i="151" s="1"/>
  <c r="E56" i="111"/>
  <c r="E54" i="151" s="1"/>
  <c r="G28" i="111"/>
  <c r="E26" i="157" s="1"/>
  <c r="AY28" i="129" s="1"/>
  <c r="I21" i="111"/>
  <c r="BS21" i="129" s="1"/>
  <c r="I60" i="111"/>
  <c r="I54" i="111"/>
  <c r="BS54" i="129" s="1"/>
  <c r="C58" i="111"/>
  <c r="E56" i="153" s="1"/>
  <c r="K58" i="129" s="1"/>
  <c r="I49" i="111"/>
  <c r="I66" i="111"/>
  <c r="BS66" i="129" s="1"/>
  <c r="D31" i="111"/>
  <c r="E29" i="152" s="1"/>
  <c r="U31" i="129" s="1"/>
  <c r="D22" i="111"/>
  <c r="E20" i="152" s="1"/>
  <c r="U22" i="129" s="1"/>
  <c r="E25" i="111"/>
  <c r="E23" i="151" s="1"/>
  <c r="AE25" i="129" s="1"/>
  <c r="E66" i="111"/>
  <c r="E64" i="151" s="1"/>
  <c r="AE66" i="129" s="1"/>
  <c r="H63" i="111"/>
  <c r="X79" i="114"/>
  <c r="X19" i="114" s="1"/>
  <c r="H21" i="111"/>
  <c r="BI21" i="129" s="1"/>
  <c r="H48" i="111"/>
  <c r="BI48" i="129" s="1"/>
  <c r="G130" i="189"/>
  <c r="AC4" i="99"/>
  <c r="M50" i="112" s="1"/>
  <c r="H51" i="111"/>
  <c r="BI51" i="129" s="1"/>
  <c r="H62" i="111"/>
  <c r="BI62" i="129" s="1"/>
  <c r="H24" i="111"/>
  <c r="BI24" i="129" s="1"/>
  <c r="H59" i="111"/>
  <c r="BI59" i="129" s="1"/>
  <c r="N34" i="112"/>
  <c r="H52" i="111"/>
  <c r="BI52" i="129" s="1"/>
  <c r="N22" i="112"/>
  <c r="H58" i="111"/>
  <c r="BI58" i="129" s="1"/>
  <c r="K29" i="119"/>
  <c r="K10" i="119" s="1"/>
  <c r="G105" i="189"/>
  <c r="F47" i="119"/>
  <c r="F13" i="119" s="1"/>
  <c r="G11" i="134" s="1"/>
  <c r="G116" i="189"/>
  <c r="F61" i="119"/>
  <c r="F15" i="119" s="1"/>
  <c r="G13" i="134" s="1"/>
  <c r="L42" i="119"/>
  <c r="G91" i="189"/>
  <c r="F19" i="119"/>
  <c r="G17" i="134" s="1"/>
  <c r="G111" i="189"/>
  <c r="O61" i="119"/>
  <c r="N55" i="119"/>
  <c r="N14" i="119" s="1"/>
  <c r="L61" i="119"/>
  <c r="G60" i="134"/>
  <c r="G118" i="189"/>
  <c r="N19" i="119"/>
  <c r="K19" i="119"/>
  <c r="K8" i="119" s="1"/>
  <c r="F29" i="119"/>
  <c r="F10" i="119" s="1"/>
  <c r="G8" i="134" s="1"/>
  <c r="F55" i="119"/>
  <c r="G53" i="134" s="1"/>
  <c r="G128" i="189"/>
  <c r="C42" i="119"/>
  <c r="C12" i="119" s="1"/>
  <c r="G10" i="153" s="1"/>
  <c r="D55" i="119"/>
  <c r="D14" i="119" s="1"/>
  <c r="G12" i="152" s="1"/>
  <c r="G124" i="189"/>
  <c r="K64" i="119"/>
  <c r="D61" i="119"/>
  <c r="G59" i="152" s="1"/>
  <c r="K55" i="119"/>
  <c r="K14" i="119" s="1"/>
  <c r="L55" i="119"/>
  <c r="L14" i="119" s="1"/>
  <c r="C47" i="119"/>
  <c r="G132" i="189"/>
  <c r="G23" i="119"/>
  <c r="G9" i="119" s="1"/>
  <c r="G7" i="157" s="1"/>
  <c r="C23" i="119"/>
  <c r="G21" i="153" s="1"/>
  <c r="D19" i="119"/>
  <c r="G17" i="152" s="1"/>
  <c r="J29" i="119"/>
  <c r="J10" i="119" s="1"/>
  <c r="F23" i="119"/>
  <c r="F9" i="119" s="1"/>
  <c r="G7" i="134" s="1"/>
  <c r="I35" i="119"/>
  <c r="C64" i="119"/>
  <c r="C16" i="119" s="1"/>
  <c r="G14" i="153" s="1"/>
  <c r="V39" i="114"/>
  <c r="K7" i="86"/>
  <c r="E120" i="114" s="1"/>
  <c r="G17" i="151"/>
  <c r="H53" i="120"/>
  <c r="U51" i="170" s="1"/>
  <c r="T110" i="114"/>
  <c r="T50" i="114" s="1"/>
  <c r="T48" i="114" s="1"/>
  <c r="U7" i="86"/>
  <c r="O120" i="206" s="1"/>
  <c r="D50" i="112"/>
  <c r="J48" i="152" s="1"/>
  <c r="C19" i="119"/>
  <c r="G17" i="153" s="1"/>
  <c r="D49" i="114"/>
  <c r="D48" i="114" s="1"/>
  <c r="K35" i="119"/>
  <c r="K11" i="119" s="1"/>
  <c r="I61" i="119"/>
  <c r="K28" i="112"/>
  <c r="AJ17" i="122"/>
  <c r="C61" i="119"/>
  <c r="C15" i="119" s="1"/>
  <c r="G13" i="153" s="1"/>
  <c r="N65" i="112"/>
  <c r="K42" i="119"/>
  <c r="K12" i="119" s="1"/>
  <c r="G47" i="119"/>
  <c r="G13" i="119" s="1"/>
  <c r="G11" i="157" s="1"/>
  <c r="H30" i="120"/>
  <c r="U28" i="170" s="1"/>
  <c r="H19" i="119"/>
  <c r="H8" i="119" s="1"/>
  <c r="D23" i="119"/>
  <c r="G36" i="111"/>
  <c r="E34" i="157" s="1"/>
  <c r="M41" i="112"/>
  <c r="G34" i="120"/>
  <c r="U32" i="157" s="1"/>
  <c r="G63" i="111"/>
  <c r="E61" i="157" s="1"/>
  <c r="AY63" i="129" s="1"/>
  <c r="H24" i="120"/>
  <c r="U22" i="177" s="1"/>
  <c r="H25" i="120"/>
  <c r="U23" i="170" s="1"/>
  <c r="L23" i="119"/>
  <c r="L9" i="119" s="1"/>
  <c r="I32" i="112"/>
  <c r="I40" i="112"/>
  <c r="D56" i="112"/>
  <c r="J54" i="152" s="1"/>
  <c r="C35" i="119"/>
  <c r="C11" i="119" s="1"/>
  <c r="G9" i="153" s="1"/>
  <c r="N54" i="112"/>
  <c r="K37" i="112"/>
  <c r="Z3" i="98"/>
  <c r="G26" i="120"/>
  <c r="U24" i="157" s="1"/>
  <c r="G38" i="120"/>
  <c r="U36" i="157" s="1"/>
  <c r="G24" i="120"/>
  <c r="U22" i="157" s="1"/>
  <c r="F53" i="111"/>
  <c r="E51" i="134" s="1"/>
  <c r="AO53" i="129" s="1"/>
  <c r="G98" i="189"/>
  <c r="Q118" i="120"/>
  <c r="N38" i="112"/>
  <c r="J103" i="189" s="1"/>
  <c r="J19" i="119"/>
  <c r="J8" i="119" s="1"/>
  <c r="G42" i="119"/>
  <c r="G12" i="119" s="1"/>
  <c r="G10" i="157" s="1"/>
  <c r="W110" i="114"/>
  <c r="W50" i="114" s="1"/>
  <c r="C34" i="111"/>
  <c r="E32" i="153" s="1"/>
  <c r="K34" i="129" s="1"/>
  <c r="G34" i="111"/>
  <c r="E32" i="157" s="1"/>
  <c r="AY34" i="129" s="1"/>
  <c r="C44" i="111"/>
  <c r="E42" i="153" s="1"/>
  <c r="K44" i="129" s="1"/>
  <c r="D42" i="119"/>
  <c r="G40" i="152" s="1"/>
  <c r="I47" i="119"/>
  <c r="I13" i="119" s="1"/>
  <c r="G41" i="120"/>
  <c r="U39" i="157" s="1"/>
  <c r="C51" i="111"/>
  <c r="E49" i="153" s="1"/>
  <c r="K51" i="129" s="1"/>
  <c r="C27" i="111"/>
  <c r="E25" i="153" s="1"/>
  <c r="K27" i="129" s="1"/>
  <c r="G66" i="111"/>
  <c r="E64" i="157" s="1"/>
  <c r="AY66" i="129" s="1"/>
  <c r="C39" i="111"/>
  <c r="E37" i="153" s="1"/>
  <c r="K39" i="129" s="1"/>
  <c r="C22" i="111"/>
  <c r="E20" i="153" s="1"/>
  <c r="K22" i="129" s="1"/>
  <c r="G65" i="111"/>
  <c r="G57" i="111"/>
  <c r="E55" i="157" s="1"/>
  <c r="AY57" i="129" s="1"/>
  <c r="F37" i="111"/>
  <c r="E35" i="134" s="1"/>
  <c r="AO37" i="129" s="1"/>
  <c r="H33" i="120"/>
  <c r="U31" i="170" s="1"/>
  <c r="H67" i="120"/>
  <c r="U65" i="177" s="1"/>
  <c r="U63" i="157"/>
  <c r="F35" i="119"/>
  <c r="G33" i="134" s="1"/>
  <c r="I43" i="112"/>
  <c r="I31" i="112"/>
  <c r="D40" i="112"/>
  <c r="J38" i="152" s="1"/>
  <c r="N42" i="119"/>
  <c r="N12" i="119" s="1"/>
  <c r="I23" i="119"/>
  <c r="N39" i="112"/>
  <c r="V40" i="114"/>
  <c r="V34" i="114" s="1"/>
  <c r="J55" i="119"/>
  <c r="J14" i="119" s="1"/>
  <c r="K31" i="112"/>
  <c r="G46" i="120"/>
  <c r="U44" i="157" s="1"/>
  <c r="G63" i="120"/>
  <c r="U61" i="157" s="1"/>
  <c r="G21" i="120"/>
  <c r="U19" i="157" s="1"/>
  <c r="G106" i="189"/>
  <c r="H20" i="120"/>
  <c r="U18" i="170" s="1"/>
  <c r="K61" i="119"/>
  <c r="K15" i="119" s="1"/>
  <c r="H34" i="120"/>
  <c r="U32" i="177" s="1"/>
  <c r="G22" i="134"/>
  <c r="O4" i="108"/>
  <c r="C52" i="111"/>
  <c r="E50" i="153" s="1"/>
  <c r="K52" i="129" s="1"/>
  <c r="O55" i="119"/>
  <c r="G46" i="134"/>
  <c r="C45" i="111"/>
  <c r="E43" i="153" s="1"/>
  <c r="K45" i="129" s="1"/>
  <c r="G33" i="111"/>
  <c r="E31" i="157" s="1"/>
  <c r="G38" i="111"/>
  <c r="E36" i="157" s="1"/>
  <c r="AY38" i="129" s="1"/>
  <c r="E65" i="112"/>
  <c r="J63" i="151" s="1"/>
  <c r="F40" i="111"/>
  <c r="E38" i="134" s="1"/>
  <c r="AO40" i="129" s="1"/>
  <c r="H27" i="120"/>
  <c r="U25" i="177" s="1"/>
  <c r="H38" i="120"/>
  <c r="U36" i="177" s="1"/>
  <c r="L64" i="119"/>
  <c r="L16" i="119" s="1"/>
  <c r="I33" i="112"/>
  <c r="I44" i="112"/>
  <c r="D51" i="112"/>
  <c r="J49" i="152" s="1"/>
  <c r="D46" i="112"/>
  <c r="J44" i="152" s="1"/>
  <c r="G35" i="119"/>
  <c r="G33" i="157" s="1"/>
  <c r="K47" i="119"/>
  <c r="K13" i="119" s="1"/>
  <c r="N53" i="112"/>
  <c r="G39" i="120"/>
  <c r="U37" i="157" s="1"/>
  <c r="G50" i="120"/>
  <c r="U48" i="157" s="1"/>
  <c r="G59" i="120"/>
  <c r="U57" i="157" s="1"/>
  <c r="M4" i="108"/>
  <c r="G37" i="111"/>
  <c r="E35" i="157" s="1"/>
  <c r="AY37" i="129" s="1"/>
  <c r="G52" i="111"/>
  <c r="E50" i="157" s="1"/>
  <c r="G50" i="111"/>
  <c r="E48" i="157" s="1"/>
  <c r="AY50" i="129" s="1"/>
  <c r="E30" i="112"/>
  <c r="J28" i="151" s="1"/>
  <c r="F63" i="111"/>
  <c r="E61" i="134" s="1"/>
  <c r="AO63" i="129" s="1"/>
  <c r="H51" i="120"/>
  <c r="U49" i="170" s="1"/>
  <c r="H31" i="120"/>
  <c r="U29" i="177" s="1"/>
  <c r="L47" i="119"/>
  <c r="L13" i="119" s="1"/>
  <c r="I38" i="112"/>
  <c r="I53" i="112"/>
  <c r="D25" i="112"/>
  <c r="J23" i="152" s="1"/>
  <c r="D44" i="112"/>
  <c r="J42" i="152" s="1"/>
  <c r="K23" i="119"/>
  <c r="K9" i="119" s="1"/>
  <c r="L29" i="119"/>
  <c r="N33" i="112"/>
  <c r="J98" i="189" s="1"/>
  <c r="J61" i="119"/>
  <c r="J15" i="119" s="1"/>
  <c r="I64" i="119"/>
  <c r="G22" i="120"/>
  <c r="U20" i="157" s="1"/>
  <c r="G28" i="120"/>
  <c r="U26" i="157" s="1"/>
  <c r="O54" i="112"/>
  <c r="G4" i="99"/>
  <c r="H26" i="112"/>
  <c r="D33" i="112"/>
  <c r="J31" i="152" s="1"/>
  <c r="H66" i="120"/>
  <c r="U64" i="170" s="1"/>
  <c r="J23" i="119"/>
  <c r="J9" i="119" s="1"/>
  <c r="M120" i="206"/>
  <c r="H43" i="120"/>
  <c r="U41" i="170" s="1"/>
  <c r="C21" i="111"/>
  <c r="E19" i="153" s="1"/>
  <c r="K21" i="129" s="1"/>
  <c r="C67" i="111"/>
  <c r="E65" i="153" s="1"/>
  <c r="K67" i="129" s="1"/>
  <c r="G20" i="111"/>
  <c r="E18" i="157" s="1"/>
  <c r="G43" i="111"/>
  <c r="E41" i="157" s="1"/>
  <c r="E44" i="112"/>
  <c r="J42" i="151" s="1"/>
  <c r="AG7" i="122"/>
  <c r="H48" i="120"/>
  <c r="U46" i="177" s="1"/>
  <c r="H21" i="120"/>
  <c r="U19" i="177" s="1"/>
  <c r="F64" i="119"/>
  <c r="G62" i="134" s="1"/>
  <c r="L19" i="119"/>
  <c r="N29" i="119"/>
  <c r="N10" i="119" s="1"/>
  <c r="I59" i="112"/>
  <c r="I22" i="112"/>
  <c r="D37" i="112"/>
  <c r="J35" i="152" s="1"/>
  <c r="D60" i="112"/>
  <c r="J58" i="152" s="1"/>
  <c r="N66" i="112"/>
  <c r="C55" i="119"/>
  <c r="C14" i="119" s="1"/>
  <c r="G12" i="153" s="1"/>
  <c r="J47" i="119"/>
  <c r="J13" i="119" s="1"/>
  <c r="G67" i="120"/>
  <c r="U65" i="157" s="1"/>
  <c r="G30" i="120"/>
  <c r="U28" i="157" s="1"/>
  <c r="O36" i="112"/>
  <c r="H21" i="112"/>
  <c r="H53" i="111"/>
  <c r="BI53" i="129" s="1"/>
  <c r="K66" i="112"/>
  <c r="O122" i="206"/>
  <c r="AK17" i="122"/>
  <c r="H49" i="120"/>
  <c r="U47" i="170" s="1"/>
  <c r="N26" i="112"/>
  <c r="L35" i="119"/>
  <c r="N24" i="112"/>
  <c r="AI6" i="122"/>
  <c r="C63" i="111"/>
  <c r="E61" i="153" s="1"/>
  <c r="K63" i="129" s="1"/>
  <c r="G49" i="111"/>
  <c r="E47" i="157" s="1"/>
  <c r="D30" i="112"/>
  <c r="J28" i="152" s="1"/>
  <c r="G122" i="189"/>
  <c r="H63" i="120"/>
  <c r="H61" i="120" s="1"/>
  <c r="D24" i="112"/>
  <c r="J22" i="152" s="1"/>
  <c r="G19" i="119"/>
  <c r="G8" i="119" s="1"/>
  <c r="G6" i="157" s="1"/>
  <c r="G48" i="120"/>
  <c r="U46" i="157" s="1"/>
  <c r="O19" i="119"/>
  <c r="C40" i="111"/>
  <c r="E38" i="153" s="1"/>
  <c r="K40" i="129" s="1"/>
  <c r="G62" i="111"/>
  <c r="E60" i="157" s="1"/>
  <c r="G53" i="111"/>
  <c r="E51" i="157" s="1"/>
  <c r="E62" i="112"/>
  <c r="J60" i="151" s="1"/>
  <c r="H56" i="120"/>
  <c r="U54" i="177" s="1"/>
  <c r="H26" i="120"/>
  <c r="U24" i="170" s="1"/>
  <c r="W107" i="114"/>
  <c r="W47" i="114" s="1"/>
  <c r="C44" i="112"/>
  <c r="J42" i="153" s="1"/>
  <c r="I66" i="112"/>
  <c r="I34" i="112"/>
  <c r="D54" i="112"/>
  <c r="J52" i="152" s="1"/>
  <c r="D65" i="112"/>
  <c r="J63" i="152" s="1"/>
  <c r="C29" i="119"/>
  <c r="G27" i="153" s="1"/>
  <c r="I55" i="119"/>
  <c r="I14" i="119" s="1"/>
  <c r="G60" i="120"/>
  <c r="U58" i="157" s="1"/>
  <c r="G51" i="120"/>
  <c r="U49" i="157" s="1"/>
  <c r="O58" i="112"/>
  <c r="H32" i="112"/>
  <c r="H31" i="111"/>
  <c r="BI31" i="129" s="1"/>
  <c r="K57" i="112"/>
  <c r="G114" i="189"/>
  <c r="D31" i="112"/>
  <c r="J29" i="152" s="1"/>
  <c r="N51" i="112"/>
  <c r="W93" i="114"/>
  <c r="X93" i="114" s="1"/>
  <c r="N36" i="112"/>
  <c r="F60" i="111"/>
  <c r="E58" i="134" s="1"/>
  <c r="AO60" i="129" s="1"/>
  <c r="C60" i="111"/>
  <c r="E58" i="153" s="1"/>
  <c r="K60" i="129" s="1"/>
  <c r="J42" i="119"/>
  <c r="J12" i="119" s="1"/>
  <c r="G51" i="111"/>
  <c r="E49" i="157" s="1"/>
  <c r="AY51" i="129" s="1"/>
  <c r="G24" i="111"/>
  <c r="E39" i="112"/>
  <c r="J37" i="151" s="1"/>
  <c r="H41" i="120"/>
  <c r="U39" i="170" s="1"/>
  <c r="H28" i="120"/>
  <c r="U26" i="170" s="1"/>
  <c r="F42" i="119"/>
  <c r="G40" i="134" s="1"/>
  <c r="I48" i="112"/>
  <c r="D49" i="112"/>
  <c r="J47" i="152" s="1"/>
  <c r="D38" i="112"/>
  <c r="J36" i="152" s="1"/>
  <c r="J35" i="119"/>
  <c r="J11" i="119" s="1"/>
  <c r="I19" i="119"/>
  <c r="G20" i="120"/>
  <c r="U18" i="157" s="1"/>
  <c r="G36" i="120"/>
  <c r="U34" i="157" s="1"/>
  <c r="O22" i="112"/>
  <c r="F22" i="111"/>
  <c r="E20" i="134" s="1"/>
  <c r="AO22" i="129" s="1"/>
  <c r="H26" i="111"/>
  <c r="BI26" i="129" s="1"/>
  <c r="J64" i="119"/>
  <c r="J16" i="119" s="1"/>
  <c r="F28" i="111"/>
  <c r="E26" i="134" s="1"/>
  <c r="AO28" i="129" s="1"/>
  <c r="T113" i="114"/>
  <c r="T53" i="114" s="1"/>
  <c r="T51" i="114" s="1"/>
  <c r="R16" i="176"/>
  <c r="R18" i="176"/>
  <c r="R91" i="120"/>
  <c r="W78" i="206"/>
  <c r="V18" i="206"/>
  <c r="L50" i="111"/>
  <c r="H61" i="119"/>
  <c r="H15" i="119" s="1"/>
  <c r="G30" i="152"/>
  <c r="D29" i="119"/>
  <c r="W81" i="206"/>
  <c r="V21" i="206"/>
  <c r="R104" i="114"/>
  <c r="R44" i="114" s="1"/>
  <c r="S102" i="120"/>
  <c r="W67" i="206"/>
  <c r="V7" i="206"/>
  <c r="S109" i="206"/>
  <c r="S49" i="206" s="1"/>
  <c r="S103" i="206"/>
  <c r="S43" i="206" s="1"/>
  <c r="S104" i="206"/>
  <c r="S44" i="206" s="1"/>
  <c r="S106" i="206"/>
  <c r="S46" i="206" s="1"/>
  <c r="S110" i="206"/>
  <c r="S50" i="206" s="1"/>
  <c r="S107" i="206"/>
  <c r="S47" i="206" s="1"/>
  <c r="S105" i="206"/>
  <c r="S45" i="206" s="1"/>
  <c r="G127" i="189"/>
  <c r="N61" i="119"/>
  <c r="N15" i="119" s="1"/>
  <c r="G101" i="189"/>
  <c r="O35" i="119"/>
  <c r="G63" i="157"/>
  <c r="G64" i="119"/>
  <c r="G16" i="119" s="1"/>
  <c r="G14" i="157" s="1"/>
  <c r="W114" i="206"/>
  <c r="V54" i="206"/>
  <c r="L45" i="111"/>
  <c r="CW45" i="129" s="1"/>
  <c r="AI29" i="122"/>
  <c r="S93" i="120" s="1"/>
  <c r="R105" i="114"/>
  <c r="R45" i="114" s="1"/>
  <c r="S95" i="120"/>
  <c r="C4" i="108"/>
  <c r="R91" i="206"/>
  <c r="R31" i="206" s="1"/>
  <c r="R95" i="206"/>
  <c r="R35" i="206" s="1"/>
  <c r="R90" i="206"/>
  <c r="R30" i="206" s="1"/>
  <c r="R96" i="206"/>
  <c r="R36" i="206" s="1"/>
  <c r="R100" i="206"/>
  <c r="R40" i="206" s="1"/>
  <c r="R97" i="206"/>
  <c r="R37" i="206" s="1"/>
  <c r="R92" i="206"/>
  <c r="R32" i="206" s="1"/>
  <c r="R99" i="206"/>
  <c r="R39" i="206" s="1"/>
  <c r="R101" i="206"/>
  <c r="R41" i="206" s="1"/>
  <c r="R98" i="206"/>
  <c r="R38" i="206" s="1"/>
  <c r="R93" i="206"/>
  <c r="R33" i="206" s="1"/>
  <c r="H64" i="119"/>
  <c r="H16" i="119" s="1"/>
  <c r="G99" i="189"/>
  <c r="O29" i="119"/>
  <c r="O10" i="119" s="1"/>
  <c r="V11" i="206"/>
  <c r="W71" i="206"/>
  <c r="W106" i="206"/>
  <c r="V46" i="206"/>
  <c r="G54" i="157"/>
  <c r="G55" i="119"/>
  <c r="G14" i="119" s="1"/>
  <c r="G12" i="157" s="1"/>
  <c r="G131" i="189"/>
  <c r="O64" i="119"/>
  <c r="R112" i="206"/>
  <c r="R52" i="206" s="1"/>
  <c r="R114" i="206"/>
  <c r="R54" i="206" s="1"/>
  <c r="R113" i="206"/>
  <c r="R53" i="206" s="1"/>
  <c r="L56" i="111"/>
  <c r="S122" i="120"/>
  <c r="AJ22" i="122"/>
  <c r="R89" i="120"/>
  <c r="H29" i="119"/>
  <c r="H10" i="119" s="1"/>
  <c r="W101" i="206"/>
  <c r="V41" i="206"/>
  <c r="U93" i="114"/>
  <c r="U33" i="114" s="1"/>
  <c r="U96" i="114"/>
  <c r="U36" i="114" s="1"/>
  <c r="U98" i="114"/>
  <c r="U38" i="114" s="1"/>
  <c r="U91" i="114"/>
  <c r="U31" i="114" s="1"/>
  <c r="U100" i="114"/>
  <c r="U40" i="114" s="1"/>
  <c r="U97" i="114"/>
  <c r="U37" i="114" s="1"/>
  <c r="U90" i="114"/>
  <c r="U30" i="114" s="1"/>
  <c r="U99" i="114"/>
  <c r="U39" i="114" s="1"/>
  <c r="L34" i="111"/>
  <c r="CW34" i="129" s="1"/>
  <c r="O48" i="112"/>
  <c r="O39" i="112"/>
  <c r="O26" i="112"/>
  <c r="O63" i="112"/>
  <c r="O40" i="112"/>
  <c r="O66" i="112"/>
  <c r="O44" i="112"/>
  <c r="O65" i="112"/>
  <c r="O59" i="112"/>
  <c r="O30" i="112"/>
  <c r="O31" i="112"/>
  <c r="O45" i="112"/>
  <c r="O27" i="112"/>
  <c r="O60" i="112"/>
  <c r="O34" i="112"/>
  <c r="O56" i="112"/>
  <c r="J121" i="189" s="1"/>
  <c r="O41" i="112"/>
  <c r="O21" i="112"/>
  <c r="O46" i="112"/>
  <c r="O57" i="112"/>
  <c r="O62" i="112"/>
  <c r="O28" i="112"/>
  <c r="O67" i="112"/>
  <c r="O53" i="112"/>
  <c r="O43" i="112"/>
  <c r="O24" i="112"/>
  <c r="O37" i="112"/>
  <c r="O50" i="112"/>
  <c r="O20" i="112"/>
  <c r="O51" i="112"/>
  <c r="O49" i="112"/>
  <c r="O25" i="112"/>
  <c r="O52" i="112"/>
  <c r="Y15" i="123"/>
  <c r="C13" i="157" s="1"/>
  <c r="C59" i="157"/>
  <c r="AZ61" i="129" s="1"/>
  <c r="AZ15" i="129" s="1"/>
  <c r="L63" i="111"/>
  <c r="M59" i="112"/>
  <c r="M26" i="112"/>
  <c r="M38" i="112"/>
  <c r="I29" i="119"/>
  <c r="I10" i="119" s="1"/>
  <c r="G89" i="189"/>
  <c r="N23" i="119"/>
  <c r="U109" i="114"/>
  <c r="U49" i="114" s="1"/>
  <c r="U105" i="114"/>
  <c r="U45" i="114" s="1"/>
  <c r="U106" i="114"/>
  <c r="U46" i="114" s="1"/>
  <c r="U104" i="114"/>
  <c r="U44" i="114" s="1"/>
  <c r="U103" i="114"/>
  <c r="U43" i="114" s="1"/>
  <c r="U110" i="114"/>
  <c r="U50" i="114" s="1"/>
  <c r="U107" i="114"/>
  <c r="U47" i="114" s="1"/>
  <c r="R111" i="120"/>
  <c r="U112" i="206"/>
  <c r="U52" i="206" s="1"/>
  <c r="U114" i="206"/>
  <c r="U54" i="206" s="1"/>
  <c r="U113" i="206"/>
  <c r="U53" i="206" s="1"/>
  <c r="R97" i="120"/>
  <c r="G29" i="157"/>
  <c r="G29" i="119"/>
  <c r="G27" i="157" s="1"/>
  <c r="L58" i="111"/>
  <c r="S79" i="120"/>
  <c r="K22" i="112"/>
  <c r="K60" i="112"/>
  <c r="K53" i="112"/>
  <c r="K26" i="112"/>
  <c r="K20" i="112"/>
  <c r="K43" i="112"/>
  <c r="K48" i="112"/>
  <c r="K21" i="112"/>
  <c r="K25" i="112"/>
  <c r="K39" i="112"/>
  <c r="K34" i="112"/>
  <c r="K67" i="112"/>
  <c r="K49" i="112"/>
  <c r="K27" i="112"/>
  <c r="K58" i="112"/>
  <c r="K62" i="112"/>
  <c r="K33" i="112"/>
  <c r="K54" i="112"/>
  <c r="K44" i="112"/>
  <c r="K59" i="112"/>
  <c r="K32" i="112"/>
  <c r="K45" i="112"/>
  <c r="K50" i="112"/>
  <c r="K46" i="112"/>
  <c r="K30" i="112"/>
  <c r="K38" i="112"/>
  <c r="K24" i="112"/>
  <c r="K65" i="112"/>
  <c r="K63" i="112"/>
  <c r="K52" i="112"/>
  <c r="K36" i="112"/>
  <c r="K40" i="112"/>
  <c r="R109" i="114"/>
  <c r="R49" i="114" s="1"/>
  <c r="R48" i="114" s="1"/>
  <c r="R106" i="114"/>
  <c r="R46" i="114" s="1"/>
  <c r="R103" i="114"/>
  <c r="R43" i="114" s="1"/>
  <c r="V31" i="114"/>
  <c r="V29" i="114" s="1"/>
  <c r="W91" i="114"/>
  <c r="W31" i="114" s="1"/>
  <c r="R107" i="114"/>
  <c r="R47" i="114" s="1"/>
  <c r="S101" i="120"/>
  <c r="W69" i="206"/>
  <c r="V9" i="206"/>
  <c r="S103" i="114"/>
  <c r="S43" i="114" s="1"/>
  <c r="S109" i="114"/>
  <c r="S49" i="114" s="1"/>
  <c r="S110" i="114"/>
  <c r="S50" i="114" s="1"/>
  <c r="S106" i="114"/>
  <c r="S46" i="114" s="1"/>
  <c r="S104" i="114"/>
  <c r="S44" i="114" s="1"/>
  <c r="S107" i="114"/>
  <c r="S47" i="114" s="1"/>
  <c r="S105" i="114"/>
  <c r="S45" i="114" s="1"/>
  <c r="X92" i="114"/>
  <c r="W32" i="114"/>
  <c r="G90" i="189"/>
  <c r="O23" i="119"/>
  <c r="N35" i="119"/>
  <c r="V39" i="206"/>
  <c r="W99" i="206"/>
  <c r="W109" i="206"/>
  <c r="V49" i="206"/>
  <c r="R103" i="120"/>
  <c r="R99" i="120" s="1"/>
  <c r="AI20" i="122"/>
  <c r="R87" i="120"/>
  <c r="AI24" i="122"/>
  <c r="T100" i="120"/>
  <c r="AK18" i="122"/>
  <c r="U100" i="120" s="1"/>
  <c r="L54" i="111"/>
  <c r="L60" i="111"/>
  <c r="CW60" i="129" s="1"/>
  <c r="L40" i="111"/>
  <c r="L49" i="111"/>
  <c r="CW49" i="129" s="1"/>
  <c r="L21" i="111"/>
  <c r="CW21" i="129" s="1"/>
  <c r="L32" i="111"/>
  <c r="CW32" i="129" s="1"/>
  <c r="L57" i="111"/>
  <c r="CW57" i="129" s="1"/>
  <c r="L27" i="111"/>
  <c r="L62" i="111"/>
  <c r="L51" i="111"/>
  <c r="CW51" i="129" s="1"/>
  <c r="L22" i="111"/>
  <c r="CW22" i="129" s="1"/>
  <c r="L28" i="111"/>
  <c r="CW28" i="129" s="1"/>
  <c r="L59" i="111"/>
  <c r="L24" i="111"/>
  <c r="L26" i="111"/>
  <c r="L46" i="111"/>
  <c r="L20" i="111"/>
  <c r="L37" i="111"/>
  <c r="L33" i="111"/>
  <c r="L41" i="111"/>
  <c r="CW41" i="129" s="1"/>
  <c r="L66" i="111"/>
  <c r="CW66" i="129" s="1"/>
  <c r="L30" i="111"/>
  <c r="L52" i="111"/>
  <c r="L38" i="111"/>
  <c r="CW38" i="129" s="1"/>
  <c r="L65" i="111"/>
  <c r="L31" i="111"/>
  <c r="CW31" i="129" s="1"/>
  <c r="L25" i="111"/>
  <c r="CW25" i="129" s="1"/>
  <c r="C51" i="120"/>
  <c r="U49" i="153" s="1"/>
  <c r="C22" i="120"/>
  <c r="U20" i="153" s="1"/>
  <c r="C48" i="120"/>
  <c r="U46" i="153" s="1"/>
  <c r="AL21" i="99"/>
  <c r="L67" i="111"/>
  <c r="CW67" i="129" s="1"/>
  <c r="L48" i="111"/>
  <c r="H23" i="119"/>
  <c r="H9" i="119" s="1"/>
  <c r="K56" i="112"/>
  <c r="H22" i="112"/>
  <c r="H33" i="112"/>
  <c r="H60" i="112"/>
  <c r="H56" i="112"/>
  <c r="H40" i="112"/>
  <c r="H31" i="112"/>
  <c r="H28" i="112"/>
  <c r="H63" i="112"/>
  <c r="H37" i="112"/>
  <c r="H46" i="112"/>
  <c r="H48" i="112"/>
  <c r="H57" i="112"/>
  <c r="H53" i="112"/>
  <c r="H45" i="112"/>
  <c r="H50" i="112"/>
  <c r="V20" i="206"/>
  <c r="W80" i="206"/>
  <c r="AK6" i="122"/>
  <c r="U75" i="120"/>
  <c r="S108" i="120"/>
  <c r="R95" i="120"/>
  <c r="W93" i="206"/>
  <c r="V33" i="206"/>
  <c r="S71" i="206"/>
  <c r="S11" i="206" s="1"/>
  <c r="S69" i="206"/>
  <c r="S9" i="206" s="1"/>
  <c r="S73" i="206"/>
  <c r="S13" i="206" s="1"/>
  <c r="S74" i="206"/>
  <c r="S14" i="206" s="1"/>
  <c r="S67" i="206"/>
  <c r="S7" i="206" s="1"/>
  <c r="S72" i="206"/>
  <c r="S12" i="206" s="1"/>
  <c r="S68" i="206"/>
  <c r="S8" i="206" s="1"/>
  <c r="S75" i="206"/>
  <c r="S15" i="206" s="1"/>
  <c r="V47" i="206"/>
  <c r="W107" i="206"/>
  <c r="V25" i="206"/>
  <c r="W85" i="206"/>
  <c r="T114" i="206"/>
  <c r="T54" i="206" s="1"/>
  <c r="T113" i="206"/>
  <c r="T53" i="206" s="1"/>
  <c r="T112" i="206"/>
  <c r="T52" i="206" s="1"/>
  <c r="AL40" i="108"/>
  <c r="AM40" i="108" s="1"/>
  <c r="V30" i="206"/>
  <c r="W90" i="206"/>
  <c r="U75" i="206"/>
  <c r="U15" i="206" s="1"/>
  <c r="U72" i="206"/>
  <c r="U12" i="206" s="1"/>
  <c r="U68" i="206"/>
  <c r="U8" i="206" s="1"/>
  <c r="U71" i="206"/>
  <c r="U11" i="206" s="1"/>
  <c r="U73" i="206"/>
  <c r="U13" i="206" s="1"/>
  <c r="U74" i="206"/>
  <c r="U14" i="206" s="1"/>
  <c r="U69" i="206"/>
  <c r="U9" i="206" s="1"/>
  <c r="U67" i="206"/>
  <c r="U7" i="206" s="1"/>
  <c r="W103" i="206"/>
  <c r="V43" i="206"/>
  <c r="W79" i="206"/>
  <c r="V19" i="206"/>
  <c r="W113" i="206"/>
  <c r="V53" i="206"/>
  <c r="R109" i="120"/>
  <c r="S114" i="120"/>
  <c r="S83" i="120"/>
  <c r="S115" i="120"/>
  <c r="AL53" i="99"/>
  <c r="S97" i="206"/>
  <c r="S37" i="206" s="1"/>
  <c r="S92" i="206"/>
  <c r="S32" i="206" s="1"/>
  <c r="S96" i="206"/>
  <c r="S36" i="206" s="1"/>
  <c r="S101" i="206"/>
  <c r="S41" i="206" s="1"/>
  <c r="S98" i="206"/>
  <c r="S38" i="206" s="1"/>
  <c r="S99" i="206"/>
  <c r="S39" i="206" s="1"/>
  <c r="S95" i="206"/>
  <c r="S35" i="206" s="1"/>
  <c r="S100" i="206"/>
  <c r="S40" i="206" s="1"/>
  <c r="S91" i="206"/>
  <c r="S31" i="206" s="1"/>
  <c r="S93" i="206"/>
  <c r="S33" i="206" s="1"/>
  <c r="S90" i="206"/>
  <c r="S30" i="206" s="1"/>
  <c r="R72" i="206"/>
  <c r="R12" i="206" s="1"/>
  <c r="R67" i="206"/>
  <c r="R7" i="206" s="1"/>
  <c r="R71" i="206"/>
  <c r="R11" i="206" s="1"/>
  <c r="R68" i="206"/>
  <c r="R8" i="206" s="1"/>
  <c r="R75" i="206"/>
  <c r="R15" i="206" s="1"/>
  <c r="R73" i="206"/>
  <c r="R13" i="206" s="1"/>
  <c r="R69" i="206"/>
  <c r="R9" i="206" s="1"/>
  <c r="R74" i="206"/>
  <c r="R14" i="206" s="1"/>
  <c r="W105" i="206"/>
  <c r="V45" i="206"/>
  <c r="W5" i="206"/>
  <c r="X65" i="206"/>
  <c r="S81" i="206"/>
  <c r="S21" i="206" s="1"/>
  <c r="S83" i="206"/>
  <c r="S23" i="206" s="1"/>
  <c r="S80" i="206"/>
  <c r="S20" i="206" s="1"/>
  <c r="S86" i="206"/>
  <c r="S26" i="206" s="1"/>
  <c r="S84" i="206"/>
  <c r="S24" i="206" s="1"/>
  <c r="S79" i="206"/>
  <c r="S19" i="206" s="1"/>
  <c r="S85" i="206"/>
  <c r="S25" i="206" s="1"/>
  <c r="S88" i="206"/>
  <c r="S28" i="206" s="1"/>
  <c r="S77" i="206"/>
  <c r="S17" i="206" s="1"/>
  <c r="S87" i="206"/>
  <c r="S27" i="206" s="1"/>
  <c r="S78" i="206"/>
  <c r="S18" i="206" s="1"/>
  <c r="W112" i="206"/>
  <c r="V52" i="206"/>
  <c r="R116" i="120"/>
  <c r="N58" i="112"/>
  <c r="N40" i="112"/>
  <c r="N31" i="112"/>
  <c r="S117" i="120"/>
  <c r="S110" i="120"/>
  <c r="S120" i="120"/>
  <c r="AL19" i="108"/>
  <c r="AL32" i="108"/>
  <c r="W74" i="206"/>
  <c r="V14" i="206"/>
  <c r="T104" i="206"/>
  <c r="T44" i="206" s="1"/>
  <c r="T107" i="206"/>
  <c r="T47" i="206" s="1"/>
  <c r="T105" i="206"/>
  <c r="T45" i="206" s="1"/>
  <c r="T109" i="206"/>
  <c r="T49" i="206" s="1"/>
  <c r="T110" i="206"/>
  <c r="T50" i="206" s="1"/>
  <c r="T103" i="206"/>
  <c r="T43" i="206" s="1"/>
  <c r="T106" i="206"/>
  <c r="T46" i="206" s="1"/>
  <c r="W86" i="206"/>
  <c r="V26" i="206"/>
  <c r="S113" i="206"/>
  <c r="S53" i="206" s="1"/>
  <c r="S114" i="206"/>
  <c r="S54" i="206" s="1"/>
  <c r="S112" i="206"/>
  <c r="S52" i="206" s="1"/>
  <c r="N60" i="112"/>
  <c r="N44" i="112"/>
  <c r="N59" i="112"/>
  <c r="AL54" i="108"/>
  <c r="AL39" i="108"/>
  <c r="R123" i="120"/>
  <c r="R121" i="120" s="1"/>
  <c r="O4" i="114"/>
  <c r="U100" i="206"/>
  <c r="U40" i="206" s="1"/>
  <c r="U97" i="206"/>
  <c r="U37" i="206" s="1"/>
  <c r="U93" i="206"/>
  <c r="U33" i="206" s="1"/>
  <c r="U96" i="206"/>
  <c r="U36" i="206" s="1"/>
  <c r="U101" i="206"/>
  <c r="U41" i="206" s="1"/>
  <c r="U98" i="206"/>
  <c r="U38" i="206" s="1"/>
  <c r="U90" i="206"/>
  <c r="U30" i="206" s="1"/>
  <c r="U91" i="206"/>
  <c r="U31" i="206" s="1"/>
  <c r="U95" i="206"/>
  <c r="U35" i="206" s="1"/>
  <c r="U99" i="206"/>
  <c r="U39" i="206" s="1"/>
  <c r="U92" i="206"/>
  <c r="U32" i="206" s="1"/>
  <c r="V12" i="206"/>
  <c r="W72" i="206"/>
  <c r="U110" i="206"/>
  <c r="U50" i="206" s="1"/>
  <c r="U103" i="206"/>
  <c r="U43" i="206" s="1"/>
  <c r="U106" i="206"/>
  <c r="U46" i="206" s="1"/>
  <c r="U104" i="206"/>
  <c r="U44" i="206" s="1"/>
  <c r="U105" i="206"/>
  <c r="U45" i="206" s="1"/>
  <c r="U109" i="206"/>
  <c r="U49" i="206" s="1"/>
  <c r="U48" i="206" s="1"/>
  <c r="U107" i="206"/>
  <c r="U47" i="206" s="1"/>
  <c r="V17" i="206"/>
  <c r="W77" i="206"/>
  <c r="D164" i="206"/>
  <c r="V36" i="206"/>
  <c r="W96" i="206"/>
  <c r="V13" i="206"/>
  <c r="W73" i="206"/>
  <c r="V50" i="206"/>
  <c r="W110" i="206"/>
  <c r="V24" i="206"/>
  <c r="W84" i="206"/>
  <c r="N32" i="112"/>
  <c r="J97" i="189" s="1"/>
  <c r="N46" i="112"/>
  <c r="D57" i="111"/>
  <c r="E55" i="152" s="1"/>
  <c r="U57" i="129" s="1"/>
  <c r="D21" i="111"/>
  <c r="E19" i="152" s="1"/>
  <c r="U21" i="129" s="1"/>
  <c r="C4" i="99"/>
  <c r="D39" i="112"/>
  <c r="J37" i="152" s="1"/>
  <c r="N30" i="112"/>
  <c r="N62" i="112"/>
  <c r="S91" i="114"/>
  <c r="S31" i="114" s="1"/>
  <c r="L4" i="108"/>
  <c r="G61" i="119"/>
  <c r="W91" i="206"/>
  <c r="V31" i="206"/>
  <c r="W87" i="206"/>
  <c r="V27" i="206"/>
  <c r="C57" i="111"/>
  <c r="E55" i="153" s="1"/>
  <c r="K57" i="129" s="1"/>
  <c r="C65" i="111"/>
  <c r="C56" i="111"/>
  <c r="E54" i="153" s="1"/>
  <c r="I27" i="111"/>
  <c r="BS27" i="129" s="1"/>
  <c r="I57" i="111"/>
  <c r="BS57" i="129" s="1"/>
  <c r="D28" i="111"/>
  <c r="E26" i="152" s="1"/>
  <c r="U28" i="129" s="1"/>
  <c r="D60" i="111"/>
  <c r="E58" i="152" s="1"/>
  <c r="U60" i="129" s="1"/>
  <c r="D53" i="111"/>
  <c r="E51" i="152" s="1"/>
  <c r="U53" i="129" s="1"/>
  <c r="E51" i="111"/>
  <c r="E49" i="151" s="1"/>
  <c r="AE51" i="129" s="1"/>
  <c r="E54" i="111"/>
  <c r="E52" i="151" s="1"/>
  <c r="AE54" i="129" s="1"/>
  <c r="E67" i="111"/>
  <c r="E65" i="151" s="1"/>
  <c r="AE67" i="129" s="1"/>
  <c r="G48" i="111"/>
  <c r="E46" i="157" s="1"/>
  <c r="G31" i="111"/>
  <c r="E29" i="157" s="1"/>
  <c r="AY31" i="129" s="1"/>
  <c r="D66" i="120"/>
  <c r="U64" i="152" s="1"/>
  <c r="D21" i="120"/>
  <c r="U19" i="152" s="1"/>
  <c r="D24" i="120"/>
  <c r="U22" i="152" s="1"/>
  <c r="H65" i="120"/>
  <c r="U63" i="177" s="1"/>
  <c r="H50" i="120"/>
  <c r="U48" i="177" s="1"/>
  <c r="R106" i="120"/>
  <c r="F38" i="112"/>
  <c r="J36" i="134" s="1"/>
  <c r="D28" i="112"/>
  <c r="J26" i="152" s="1"/>
  <c r="D43" i="112"/>
  <c r="J41" i="152" s="1"/>
  <c r="D58" i="112"/>
  <c r="J56" i="152" s="1"/>
  <c r="N25" i="112"/>
  <c r="N21" i="112"/>
  <c r="N48" i="112"/>
  <c r="J113" i="188" s="1"/>
  <c r="S95" i="114"/>
  <c r="S35" i="114" s="1"/>
  <c r="R92" i="114"/>
  <c r="R32" i="114" s="1"/>
  <c r="X88" i="114"/>
  <c r="X28" i="114" s="1"/>
  <c r="D47" i="119"/>
  <c r="G45" i="152" s="1"/>
  <c r="F62" i="111"/>
  <c r="E60" i="134" s="1"/>
  <c r="AO62" i="129" s="1"/>
  <c r="J4" i="206"/>
  <c r="W100" i="206"/>
  <c r="V40" i="206"/>
  <c r="W83" i="206"/>
  <c r="V23" i="206"/>
  <c r="I65" i="111"/>
  <c r="I33" i="111"/>
  <c r="BS33" i="129" s="1"/>
  <c r="D20" i="111"/>
  <c r="E18" i="152" s="1"/>
  <c r="D26" i="111"/>
  <c r="E24" i="152" s="1"/>
  <c r="U26" i="129" s="1"/>
  <c r="D56" i="111"/>
  <c r="E54" i="152" s="1"/>
  <c r="E34" i="111"/>
  <c r="E32" i="151" s="1"/>
  <c r="AE34" i="129" s="1"/>
  <c r="E30" i="111"/>
  <c r="E28" i="151" s="1"/>
  <c r="E40" i="111"/>
  <c r="E38" i="151" s="1"/>
  <c r="AE40" i="129" s="1"/>
  <c r="G21" i="111"/>
  <c r="E19" i="157" s="1"/>
  <c r="AY21" i="129" s="1"/>
  <c r="G30" i="111"/>
  <c r="D54" i="120"/>
  <c r="U52" i="152" s="1"/>
  <c r="D34" i="120"/>
  <c r="U32" i="152" s="1"/>
  <c r="D60" i="120"/>
  <c r="U58" i="152" s="1"/>
  <c r="H32" i="120"/>
  <c r="U30" i="170" s="1"/>
  <c r="H44" i="120"/>
  <c r="U42" i="170" s="1"/>
  <c r="R88" i="120"/>
  <c r="AH6" i="99"/>
  <c r="F45" i="112"/>
  <c r="J43" i="134" s="1"/>
  <c r="D34" i="112"/>
  <c r="J32" i="152" s="1"/>
  <c r="D53" i="112"/>
  <c r="J51" i="152" s="1"/>
  <c r="D36" i="112"/>
  <c r="J34" i="152" s="1"/>
  <c r="I42" i="119"/>
  <c r="N45" i="112"/>
  <c r="N50" i="112"/>
  <c r="N41" i="112"/>
  <c r="S99" i="114"/>
  <c r="S39" i="114" s="1"/>
  <c r="R90" i="114"/>
  <c r="R30" i="114" s="1"/>
  <c r="S78" i="120"/>
  <c r="F20" i="111"/>
  <c r="E18" i="134" s="1"/>
  <c r="AO20" i="129" s="1"/>
  <c r="V32" i="206"/>
  <c r="W92" i="206"/>
  <c r="M52" i="206"/>
  <c r="M114" i="206"/>
  <c r="M54" i="206" s="1"/>
  <c r="M113" i="206"/>
  <c r="M53" i="206" s="1"/>
  <c r="T83" i="206"/>
  <c r="T23" i="206" s="1"/>
  <c r="T85" i="206"/>
  <c r="T25" i="206" s="1"/>
  <c r="T77" i="206"/>
  <c r="T17" i="206" s="1"/>
  <c r="T80" i="206"/>
  <c r="T20" i="206" s="1"/>
  <c r="T78" i="206"/>
  <c r="T18" i="206" s="1"/>
  <c r="T86" i="206"/>
  <c r="T26" i="206" s="1"/>
  <c r="T84" i="206"/>
  <c r="T24" i="206" s="1"/>
  <c r="T81" i="206"/>
  <c r="T21" i="206" s="1"/>
  <c r="T87" i="206"/>
  <c r="T27" i="206" s="1"/>
  <c r="T88" i="206"/>
  <c r="T28" i="206" s="1"/>
  <c r="T79" i="206"/>
  <c r="T19" i="206" s="1"/>
  <c r="AL17" i="122"/>
  <c r="R94" i="120"/>
  <c r="N43" i="112"/>
  <c r="D59" i="112"/>
  <c r="J57" i="152" s="1"/>
  <c r="N57" i="112"/>
  <c r="AL36" i="108"/>
  <c r="O74" i="120"/>
  <c r="C54" i="111"/>
  <c r="E52" i="153" s="1"/>
  <c r="K54" i="129" s="1"/>
  <c r="C30" i="111"/>
  <c r="E28" i="153" s="1"/>
  <c r="C24" i="111"/>
  <c r="E22" i="153" s="1"/>
  <c r="C50" i="111"/>
  <c r="E48" i="153" s="1"/>
  <c r="K50" i="129" s="1"/>
  <c r="I50" i="111"/>
  <c r="BS50" i="129" s="1"/>
  <c r="D52" i="111"/>
  <c r="E50" i="152" s="1"/>
  <c r="U52" i="129" s="1"/>
  <c r="D67" i="111"/>
  <c r="E65" i="152" s="1"/>
  <c r="U67" i="129" s="1"/>
  <c r="D48" i="111"/>
  <c r="E46" i="152" s="1"/>
  <c r="E26" i="111"/>
  <c r="E24" i="151" s="1"/>
  <c r="AE26" i="129" s="1"/>
  <c r="E20" i="111"/>
  <c r="G32" i="111"/>
  <c r="E30" i="157" s="1"/>
  <c r="G59" i="111"/>
  <c r="E57" i="157" s="1"/>
  <c r="AY59" i="129" s="1"/>
  <c r="D39" i="120"/>
  <c r="U37" i="152" s="1"/>
  <c r="D52" i="120"/>
  <c r="U50" i="152" s="1"/>
  <c r="H46" i="120"/>
  <c r="U44" i="177" s="1"/>
  <c r="H36" i="120"/>
  <c r="U34" i="177" s="1"/>
  <c r="O47" i="119"/>
  <c r="O13" i="119" s="1"/>
  <c r="R85" i="120"/>
  <c r="T106" i="114"/>
  <c r="T46" i="114" s="1"/>
  <c r="D48" i="112"/>
  <c r="J46" i="152" s="1"/>
  <c r="D26" i="112"/>
  <c r="J24" i="152" s="1"/>
  <c r="D62" i="112"/>
  <c r="J60" i="152" s="1"/>
  <c r="N63" i="112"/>
  <c r="N67" i="112"/>
  <c r="N52" i="112"/>
  <c r="S90" i="114"/>
  <c r="S30" i="114" s="1"/>
  <c r="S29" i="114" s="1"/>
  <c r="R99" i="114"/>
  <c r="R39" i="114" s="1"/>
  <c r="T100" i="114"/>
  <c r="T40" i="114" s="1"/>
  <c r="W90" i="114"/>
  <c r="D35" i="119"/>
  <c r="G33" i="152" s="1"/>
  <c r="S107" i="120"/>
  <c r="S112" i="114"/>
  <c r="S52" i="114" s="1"/>
  <c r="S51" i="114" s="1"/>
  <c r="R120" i="120"/>
  <c r="T99" i="206"/>
  <c r="T39" i="206" s="1"/>
  <c r="T98" i="206"/>
  <c r="T38" i="206" s="1"/>
  <c r="T101" i="206"/>
  <c r="T41" i="206" s="1"/>
  <c r="T93" i="206"/>
  <c r="T33" i="206" s="1"/>
  <c r="T92" i="206"/>
  <c r="T32" i="206" s="1"/>
  <c r="T96" i="206"/>
  <c r="T36" i="206" s="1"/>
  <c r="T100" i="206"/>
  <c r="T40" i="206" s="1"/>
  <c r="T95" i="206"/>
  <c r="T35" i="206" s="1"/>
  <c r="T97" i="206"/>
  <c r="T37" i="206" s="1"/>
  <c r="T91" i="206"/>
  <c r="T31" i="206" s="1"/>
  <c r="T90" i="206"/>
  <c r="T30" i="206" s="1"/>
  <c r="N113" i="206"/>
  <c r="N53" i="206" s="1"/>
  <c r="N114" i="206"/>
  <c r="N54" i="206" s="1"/>
  <c r="R113" i="114"/>
  <c r="R53" i="114" s="1"/>
  <c r="R114" i="114"/>
  <c r="R54" i="114" s="1"/>
  <c r="R112" i="114"/>
  <c r="R52" i="114" s="1"/>
  <c r="C36" i="111"/>
  <c r="E34" i="153" s="1"/>
  <c r="C59" i="111"/>
  <c r="E57" i="153" s="1"/>
  <c r="K59" i="129" s="1"/>
  <c r="I52" i="111"/>
  <c r="E46" i="111"/>
  <c r="E44" i="151" s="1"/>
  <c r="AE46" i="129" s="1"/>
  <c r="D33" i="120"/>
  <c r="U31" i="152" s="1"/>
  <c r="C28" i="111"/>
  <c r="E26" i="153" s="1"/>
  <c r="K28" i="129" s="1"/>
  <c r="C38" i="111"/>
  <c r="E36" i="153" s="1"/>
  <c r="K38" i="129" s="1"/>
  <c r="C62" i="111"/>
  <c r="I26" i="111"/>
  <c r="BS26" i="129" s="1"/>
  <c r="I53" i="111"/>
  <c r="BS53" i="129" s="1"/>
  <c r="D33" i="111"/>
  <c r="E31" i="152" s="1"/>
  <c r="U33" i="129" s="1"/>
  <c r="D24" i="111"/>
  <c r="E22" i="152" s="1"/>
  <c r="E27" i="111"/>
  <c r="E25" i="151" s="1"/>
  <c r="AE27" i="129" s="1"/>
  <c r="E22" i="111"/>
  <c r="E20" i="151" s="1"/>
  <c r="AE22" i="129" s="1"/>
  <c r="E62" i="111"/>
  <c r="G27" i="111"/>
  <c r="E25" i="157" s="1"/>
  <c r="G54" i="111"/>
  <c r="E52" i="157" s="1"/>
  <c r="AY54" i="129" s="1"/>
  <c r="D49" i="120"/>
  <c r="U47" i="152" s="1"/>
  <c r="D20" i="120"/>
  <c r="U18" i="152" s="1"/>
  <c r="D37" i="120"/>
  <c r="U35" i="152" s="1"/>
  <c r="H40" i="120"/>
  <c r="U38" i="177" s="1"/>
  <c r="H57" i="120"/>
  <c r="U55" i="177" s="1"/>
  <c r="H37" i="120"/>
  <c r="N64" i="119"/>
  <c r="N16" i="119" s="1"/>
  <c r="N47" i="119"/>
  <c r="N13" i="119" s="1"/>
  <c r="T105" i="114"/>
  <c r="T45" i="114" s="1"/>
  <c r="D27" i="112"/>
  <c r="J25" i="152" s="1"/>
  <c r="D52" i="112"/>
  <c r="J50" i="152" s="1"/>
  <c r="N49" i="112"/>
  <c r="N20" i="112"/>
  <c r="S97" i="114"/>
  <c r="S37" i="114" s="1"/>
  <c r="R100" i="114"/>
  <c r="R40" i="114" s="1"/>
  <c r="T99" i="114"/>
  <c r="T39" i="114" s="1"/>
  <c r="S96" i="120"/>
  <c r="F27" i="111"/>
  <c r="E25" i="134" s="1"/>
  <c r="AO27" i="129" s="1"/>
  <c r="F33" i="111"/>
  <c r="E31" i="134" s="1"/>
  <c r="AO33" i="129" s="1"/>
  <c r="R117" i="120"/>
  <c r="W97" i="206"/>
  <c r="V37" i="206"/>
  <c r="T71" i="206"/>
  <c r="T11" i="206" s="1"/>
  <c r="T67" i="206"/>
  <c r="T7" i="206" s="1"/>
  <c r="T72" i="206"/>
  <c r="T12" i="206" s="1"/>
  <c r="T69" i="206"/>
  <c r="T9" i="206" s="1"/>
  <c r="T75" i="206"/>
  <c r="T15" i="206" s="1"/>
  <c r="T73" i="206"/>
  <c r="T13" i="206" s="1"/>
  <c r="T74" i="206"/>
  <c r="T14" i="206" s="1"/>
  <c r="T68" i="206"/>
  <c r="T8" i="206" s="1"/>
  <c r="U113" i="114"/>
  <c r="U53" i="114" s="1"/>
  <c r="U112" i="114"/>
  <c r="U52" i="114" s="1"/>
  <c r="U114" i="114"/>
  <c r="U54" i="114" s="1"/>
  <c r="N52" i="206"/>
  <c r="L51" i="206"/>
  <c r="L4" i="206" s="1"/>
  <c r="V28" i="206"/>
  <c r="W88" i="206"/>
  <c r="D44" i="111"/>
  <c r="E42" i="152" s="1"/>
  <c r="U44" i="129" s="1"/>
  <c r="H39" i="120"/>
  <c r="U37" i="177" s="1"/>
  <c r="T104" i="114"/>
  <c r="T44" i="114" s="1"/>
  <c r="D41" i="112"/>
  <c r="J39" i="152" s="1"/>
  <c r="D20" i="112"/>
  <c r="J18" i="152" s="1"/>
  <c r="N28" i="112"/>
  <c r="N37" i="112"/>
  <c r="S98" i="114"/>
  <c r="S38" i="114" s="1"/>
  <c r="R96" i="114"/>
  <c r="R36" i="114" s="1"/>
  <c r="T93" i="114"/>
  <c r="T33" i="114" s="1"/>
  <c r="T29" i="114" s="1"/>
  <c r="AJ26" i="122"/>
  <c r="AK26" i="122" s="1"/>
  <c r="F25" i="111"/>
  <c r="E23" i="134" s="1"/>
  <c r="AO25" i="129" s="1"/>
  <c r="F59" i="111"/>
  <c r="E57" i="134" s="1"/>
  <c r="AO59" i="129" s="1"/>
  <c r="AJ45" i="122"/>
  <c r="T108" i="120" s="1"/>
  <c r="AK45" i="122"/>
  <c r="U108" i="120" s="1"/>
  <c r="O145" i="206"/>
  <c r="W98" i="206"/>
  <c r="V38" i="206"/>
  <c r="W75" i="206"/>
  <c r="V15" i="206"/>
  <c r="W104" i="206"/>
  <c r="V44" i="206"/>
  <c r="W113" i="114"/>
  <c r="V53" i="114"/>
  <c r="V51" i="114" s="1"/>
  <c r="U80" i="206"/>
  <c r="U20" i="206" s="1"/>
  <c r="U83" i="206"/>
  <c r="U23" i="206" s="1"/>
  <c r="U87" i="206"/>
  <c r="U27" i="206" s="1"/>
  <c r="U81" i="206"/>
  <c r="U21" i="206" s="1"/>
  <c r="U88" i="206"/>
  <c r="U28" i="206" s="1"/>
  <c r="U77" i="206"/>
  <c r="U17" i="206" s="1"/>
  <c r="U86" i="206"/>
  <c r="U26" i="206" s="1"/>
  <c r="U79" i="206"/>
  <c r="U19" i="206" s="1"/>
  <c r="U78" i="206"/>
  <c r="U18" i="206" s="1"/>
  <c r="U85" i="206"/>
  <c r="U25" i="206" s="1"/>
  <c r="U84" i="206"/>
  <c r="U24" i="206" s="1"/>
  <c r="G4" i="108"/>
  <c r="D43" i="111"/>
  <c r="E41" i="152" s="1"/>
  <c r="R90" i="120"/>
  <c r="D32" i="112"/>
  <c r="J30" i="152" s="1"/>
  <c r="C31" i="111"/>
  <c r="E29" i="153" s="1"/>
  <c r="K31" i="129" s="1"/>
  <c r="C25" i="111"/>
  <c r="E23" i="153" s="1"/>
  <c r="K25" i="129" s="1"/>
  <c r="C20" i="111"/>
  <c r="I43" i="111"/>
  <c r="I37" i="111"/>
  <c r="BS37" i="129" s="1"/>
  <c r="I34" i="111"/>
  <c r="BS34" i="129" s="1"/>
  <c r="D58" i="111"/>
  <c r="E56" i="152" s="1"/>
  <c r="U58" i="129" s="1"/>
  <c r="E65" i="111"/>
  <c r="E63" i="151" s="1"/>
  <c r="E33" i="111"/>
  <c r="E31" i="151" s="1"/>
  <c r="AE33" i="129" s="1"/>
  <c r="E48" i="111"/>
  <c r="E46" i="151" s="1"/>
  <c r="G22" i="111"/>
  <c r="E20" i="157" s="1"/>
  <c r="AY22" i="129" s="1"/>
  <c r="G56" i="111"/>
  <c r="E54" i="157" s="1"/>
  <c r="G46" i="111"/>
  <c r="E44" i="157" s="1"/>
  <c r="D46" i="120"/>
  <c r="U44" i="152" s="1"/>
  <c r="D62" i="120"/>
  <c r="U60" i="152" s="1"/>
  <c r="D51" i="120"/>
  <c r="U49" i="152" s="1"/>
  <c r="H45" i="120"/>
  <c r="U43" i="177" s="1"/>
  <c r="H58" i="120"/>
  <c r="U56" i="177" s="1"/>
  <c r="C66" i="111"/>
  <c r="E64" i="153" s="1"/>
  <c r="K66" i="129" s="1"/>
  <c r="C49" i="111"/>
  <c r="E47" i="153" s="1"/>
  <c r="K49" i="129" s="1"/>
  <c r="I62" i="111"/>
  <c r="I58" i="111"/>
  <c r="D39" i="111"/>
  <c r="E37" i="152" s="1"/>
  <c r="U39" i="129" s="1"/>
  <c r="E45" i="111"/>
  <c r="E43" i="151" s="1"/>
  <c r="AE45" i="129" s="1"/>
  <c r="G44" i="111"/>
  <c r="E42" i="157" s="1"/>
  <c r="AY44" i="129" s="1"/>
  <c r="G60" i="111"/>
  <c r="E58" i="157" s="1"/>
  <c r="AY60" i="129" s="1"/>
  <c r="D57" i="120"/>
  <c r="U55" i="152" s="1"/>
  <c r="D32" i="120"/>
  <c r="U30" i="152" s="1"/>
  <c r="O42" i="119"/>
  <c r="H60" i="120"/>
  <c r="U58" i="170" s="1"/>
  <c r="H54" i="120"/>
  <c r="U52" i="177" s="1"/>
  <c r="AI37" i="122"/>
  <c r="AI14" i="122" s="1"/>
  <c r="T107" i="114"/>
  <c r="T47" i="114" s="1"/>
  <c r="D21" i="112"/>
  <c r="J19" i="152" s="1"/>
  <c r="N27" i="112"/>
  <c r="W95" i="114"/>
  <c r="X95" i="114" s="1"/>
  <c r="T95" i="114"/>
  <c r="T35" i="114" s="1"/>
  <c r="D64" i="119"/>
  <c r="G62" i="152" s="1"/>
  <c r="S84" i="120"/>
  <c r="G52" i="120"/>
  <c r="U50" i="157" s="1"/>
  <c r="G27" i="120"/>
  <c r="U25" i="157" s="1"/>
  <c r="F21" i="111"/>
  <c r="E19" i="134" s="1"/>
  <c r="AO21" i="129" s="1"/>
  <c r="J4" i="108"/>
  <c r="F39" i="111"/>
  <c r="E37" i="134" s="1"/>
  <c r="AO39" i="129" s="1"/>
  <c r="W95" i="206"/>
  <c r="V35" i="206"/>
  <c r="W68" i="206"/>
  <c r="V8" i="206"/>
  <c r="R105" i="206"/>
  <c r="R45" i="206" s="1"/>
  <c r="R103" i="206"/>
  <c r="R43" i="206" s="1"/>
  <c r="R104" i="206"/>
  <c r="R44" i="206" s="1"/>
  <c r="R107" i="206"/>
  <c r="R47" i="206" s="1"/>
  <c r="R109" i="206"/>
  <c r="R49" i="206" s="1"/>
  <c r="R106" i="206"/>
  <c r="R46" i="206" s="1"/>
  <c r="R110" i="206"/>
  <c r="R50" i="206" s="1"/>
  <c r="R88" i="206"/>
  <c r="R28" i="206" s="1"/>
  <c r="R78" i="206"/>
  <c r="R18" i="206" s="1"/>
  <c r="R80" i="206"/>
  <c r="R20" i="206" s="1"/>
  <c r="R77" i="206"/>
  <c r="R17" i="206" s="1"/>
  <c r="R79" i="206"/>
  <c r="R19" i="206" s="1"/>
  <c r="R86" i="206"/>
  <c r="R26" i="206" s="1"/>
  <c r="R84" i="206"/>
  <c r="R24" i="206" s="1"/>
  <c r="R87" i="206"/>
  <c r="R27" i="206" s="1"/>
  <c r="R83" i="206"/>
  <c r="R23" i="206" s="1"/>
  <c r="R85" i="206"/>
  <c r="R25" i="206" s="1"/>
  <c r="R81" i="206"/>
  <c r="R21" i="206" s="1"/>
  <c r="AI60" i="114"/>
  <c r="BK90" i="114"/>
  <c r="BD90" i="114"/>
  <c r="BD91" i="114" s="1"/>
  <c r="E4" i="114"/>
  <c r="P4" i="114"/>
  <c r="X96" i="114"/>
  <c r="X36" i="114" s="1"/>
  <c r="L4" i="114"/>
  <c r="F4" i="114"/>
  <c r="W19" i="114"/>
  <c r="G4" i="114"/>
  <c r="J4" i="114"/>
  <c r="F45" i="111"/>
  <c r="E43" i="134" s="1"/>
  <c r="AO45" i="129" s="1"/>
  <c r="F48" i="111"/>
  <c r="E46" i="134" s="1"/>
  <c r="AO48" i="129" s="1"/>
  <c r="M27" i="112"/>
  <c r="M66" i="112"/>
  <c r="M63" i="112"/>
  <c r="M51" i="112"/>
  <c r="M33" i="112"/>
  <c r="M30" i="112"/>
  <c r="M34" i="112"/>
  <c r="M44" i="112"/>
  <c r="M56" i="112"/>
  <c r="J121" i="188" s="1"/>
  <c r="AH10" i="99"/>
  <c r="AH42" i="99"/>
  <c r="AL17" i="99"/>
  <c r="AH16" i="99"/>
  <c r="AG22" i="99"/>
  <c r="AG4" i="99" s="1"/>
  <c r="AH51" i="99"/>
  <c r="FI1" i="129"/>
  <c r="X64" i="92"/>
  <c r="FL5" i="129" s="1"/>
  <c r="X61" i="92"/>
  <c r="FO5" i="129" s="1"/>
  <c r="C59" i="151"/>
  <c r="E61" i="158" s="1"/>
  <c r="AL54" i="99"/>
  <c r="AL50" i="99"/>
  <c r="AH48" i="99"/>
  <c r="AL47" i="99"/>
  <c r="AL46" i="99"/>
  <c r="AL45" i="99"/>
  <c r="AL44" i="99"/>
  <c r="AL43" i="99"/>
  <c r="AL41" i="99"/>
  <c r="AL40" i="99"/>
  <c r="AL38" i="99"/>
  <c r="AL37" i="99"/>
  <c r="AL36" i="99"/>
  <c r="AL33" i="99"/>
  <c r="AL32" i="99"/>
  <c r="AL31" i="99"/>
  <c r="AH29" i="99"/>
  <c r="AL28" i="99"/>
  <c r="AL27" i="99"/>
  <c r="AL26" i="99"/>
  <c r="AL24" i="99"/>
  <c r="AL20" i="99"/>
  <c r="AL19" i="99"/>
  <c r="AL18" i="99"/>
  <c r="AL15" i="99"/>
  <c r="AL14" i="99"/>
  <c r="AL13" i="99"/>
  <c r="AL12" i="99"/>
  <c r="AL9" i="99"/>
  <c r="AL8" i="99"/>
  <c r="F52" i="111"/>
  <c r="E50" i="134" s="1"/>
  <c r="AO52" i="129" s="1"/>
  <c r="F51" i="111"/>
  <c r="E49" i="134" s="1"/>
  <c r="AO51" i="129" s="1"/>
  <c r="H38" i="111"/>
  <c r="BI38" i="129" s="1"/>
  <c r="F41" i="111"/>
  <c r="E39" i="134" s="1"/>
  <c r="AO41" i="129" s="1"/>
  <c r="F32" i="111"/>
  <c r="E30" i="134" s="1"/>
  <c r="AO32" i="129" s="1"/>
  <c r="F49" i="111"/>
  <c r="E47" i="134" s="1"/>
  <c r="AO49" i="129" s="1"/>
  <c r="F44" i="111"/>
  <c r="E42" i="134" s="1"/>
  <c r="AO44" i="129" s="1"/>
  <c r="F58" i="111"/>
  <c r="E56" i="134" s="1"/>
  <c r="AO58" i="129" s="1"/>
  <c r="F43" i="111"/>
  <c r="E41" i="134" s="1"/>
  <c r="AO43" i="129" s="1"/>
  <c r="H36" i="111"/>
  <c r="H66" i="111"/>
  <c r="BI66" i="129" s="1"/>
  <c r="H40" i="111"/>
  <c r="BI40" i="129" s="1"/>
  <c r="H39" i="111"/>
  <c r="BI39" i="129" s="1"/>
  <c r="H33" i="111"/>
  <c r="BI33" i="129" s="1"/>
  <c r="H30" i="111"/>
  <c r="BI30" i="129" s="1"/>
  <c r="H50" i="111"/>
  <c r="BI50" i="129" s="1"/>
  <c r="H43" i="111"/>
  <c r="BI43" i="129" s="1"/>
  <c r="H37" i="111"/>
  <c r="BI37" i="129" s="1"/>
  <c r="F34" i="111"/>
  <c r="E32" i="134" s="1"/>
  <c r="AO34" i="129" s="1"/>
  <c r="F26" i="111"/>
  <c r="E24" i="134" s="1"/>
  <c r="AO26" i="129" s="1"/>
  <c r="F65" i="111"/>
  <c r="E63" i="134" s="1"/>
  <c r="AO65" i="129" s="1"/>
  <c r="H25" i="111"/>
  <c r="BI25" i="129" s="1"/>
  <c r="F54" i="111"/>
  <c r="E52" i="134" s="1"/>
  <c r="AO54" i="129" s="1"/>
  <c r="F30" i="111"/>
  <c r="E28" i="134" s="1"/>
  <c r="AO30" i="129" s="1"/>
  <c r="F38" i="111"/>
  <c r="E36" i="134" s="1"/>
  <c r="AO38" i="129" s="1"/>
  <c r="F31" i="111"/>
  <c r="E29" i="134" s="1"/>
  <c r="AO31" i="129" s="1"/>
  <c r="F56" i="111"/>
  <c r="E54" i="134" s="1"/>
  <c r="AO56" i="129" s="1"/>
  <c r="F36" i="111"/>
  <c r="E34" i="134" s="1"/>
  <c r="AO36" i="129" s="1"/>
  <c r="H45" i="111"/>
  <c r="BI45" i="129" s="1"/>
  <c r="H28" i="111"/>
  <c r="BI28" i="129" s="1"/>
  <c r="H20" i="111"/>
  <c r="BI20" i="129" s="1"/>
  <c r="H44" i="111"/>
  <c r="BI44" i="129" s="1"/>
  <c r="H57" i="111"/>
  <c r="BI57" i="129" s="1"/>
  <c r="H27" i="111"/>
  <c r="BI27" i="129" s="1"/>
  <c r="H54" i="111"/>
  <c r="BI54" i="129" s="1"/>
  <c r="H67" i="111"/>
  <c r="F50" i="111"/>
  <c r="E48" i="134" s="1"/>
  <c r="AO50" i="129" s="1"/>
  <c r="F24" i="111"/>
  <c r="E22" i="134" s="1"/>
  <c r="AO24" i="129" s="1"/>
  <c r="AL53" i="108"/>
  <c r="AL37" i="108"/>
  <c r="AL26" i="108"/>
  <c r="AL47" i="108"/>
  <c r="AL8" i="108"/>
  <c r="AM8" i="108" s="1"/>
  <c r="AL18" i="108"/>
  <c r="AL20" i="108"/>
  <c r="AL9" i="108"/>
  <c r="AL21" i="108"/>
  <c r="AL41" i="108"/>
  <c r="AL38" i="108"/>
  <c r="BD38" i="156"/>
  <c r="BG21" i="156"/>
  <c r="BD46" i="156"/>
  <c r="BD41" i="156"/>
  <c r="BD45" i="156"/>
  <c r="BD20" i="156"/>
  <c r="BD40" i="156"/>
  <c r="BD30" i="156"/>
  <c r="BD47" i="156"/>
  <c r="BD48" i="156"/>
  <c r="BG19" i="156"/>
  <c r="BD32" i="156"/>
  <c r="BD39" i="156"/>
  <c r="BD44" i="156"/>
  <c r="BD29" i="156"/>
  <c r="BD18" i="156"/>
  <c r="BD37" i="156"/>
  <c r="BD35" i="156"/>
  <c r="BD52" i="156"/>
  <c r="BD24" i="156"/>
  <c r="BD50" i="156"/>
  <c r="BG20" i="156"/>
  <c r="BD31" i="156"/>
  <c r="BD51" i="156"/>
  <c r="BD43" i="156"/>
  <c r="BD28" i="156"/>
  <c r="BD49" i="156"/>
  <c r="BD42" i="156"/>
  <c r="BD53" i="156"/>
  <c r="BD54" i="156"/>
  <c r="BD36" i="156"/>
  <c r="BD33" i="156"/>
  <c r="BG41" i="156"/>
  <c r="BD23" i="156"/>
  <c r="BD27" i="156"/>
  <c r="BC91" i="114"/>
  <c r="BK91" i="114"/>
  <c r="D79" i="114"/>
  <c r="D19" i="114" s="1"/>
  <c r="AA59" i="114"/>
  <c r="AB59" i="114" s="1"/>
  <c r="AC59" i="114" s="1"/>
  <c r="AD59" i="114" s="1"/>
  <c r="AE59" i="114" s="1"/>
  <c r="AF59" i="114" s="1"/>
  <c r="AG59" i="114" s="1"/>
  <c r="AH59" i="114" s="1"/>
  <c r="AI59" i="114" s="1"/>
  <c r="AJ59" i="114" s="1"/>
  <c r="AK59" i="114" s="1"/>
  <c r="AL59" i="114" s="1"/>
  <c r="AM59" i="114" s="1"/>
  <c r="AA59" i="206"/>
  <c r="AB59" i="206" s="1"/>
  <c r="AC59" i="206" s="1"/>
  <c r="AD59" i="206" s="1"/>
  <c r="AE59" i="206" s="1"/>
  <c r="AF59" i="206" s="1"/>
  <c r="AG59" i="206" s="1"/>
  <c r="AH59" i="206" s="1"/>
  <c r="AI59" i="206" s="1"/>
  <c r="AJ59" i="206" s="1"/>
  <c r="AK59" i="206" s="1"/>
  <c r="O4" i="206"/>
  <c r="E4" i="206"/>
  <c r="Q120" i="114"/>
  <c r="Q120" i="206"/>
  <c r="E20" i="112"/>
  <c r="J18" i="151" s="1"/>
  <c r="E59" i="112"/>
  <c r="J57" i="151" s="1"/>
  <c r="E48" i="112"/>
  <c r="J46" i="151" s="1"/>
  <c r="E60" i="112"/>
  <c r="J58" i="151" s="1"/>
  <c r="E46" i="112"/>
  <c r="J44" i="151" s="1"/>
  <c r="E36" i="112"/>
  <c r="J34" i="151" s="1"/>
  <c r="E41" i="112"/>
  <c r="J39" i="151" s="1"/>
  <c r="E57" i="112"/>
  <c r="J55" i="151" s="1"/>
  <c r="E52" i="112"/>
  <c r="J50" i="151" s="1"/>
  <c r="E53" i="112"/>
  <c r="J51" i="151" s="1"/>
  <c r="F66" i="112"/>
  <c r="J64" i="134" s="1"/>
  <c r="F36" i="112"/>
  <c r="J34" i="134" s="1"/>
  <c r="F20" i="112"/>
  <c r="J18" i="134" s="1"/>
  <c r="F26" i="112"/>
  <c r="J24" i="134" s="1"/>
  <c r="F46" i="112"/>
  <c r="J44" i="134" s="1"/>
  <c r="F28" i="112"/>
  <c r="J26" i="134" s="1"/>
  <c r="F60" i="112"/>
  <c r="J58" i="134" s="1"/>
  <c r="F37" i="112"/>
  <c r="J35" i="134" s="1"/>
  <c r="F67" i="112"/>
  <c r="J65" i="134" s="1"/>
  <c r="F54" i="112"/>
  <c r="J52" i="134" s="1"/>
  <c r="E32" i="112"/>
  <c r="J30" i="151" s="1"/>
  <c r="E37" i="112"/>
  <c r="J35" i="151" s="1"/>
  <c r="E56" i="112"/>
  <c r="J54" i="151" s="1"/>
  <c r="E26" i="112"/>
  <c r="J24" i="151" s="1"/>
  <c r="E45" i="112"/>
  <c r="J43" i="151" s="1"/>
  <c r="E25" i="112"/>
  <c r="J23" i="151" s="1"/>
  <c r="E66" i="112"/>
  <c r="J64" i="151" s="1"/>
  <c r="E27" i="112"/>
  <c r="J25" i="151" s="1"/>
  <c r="E24" i="112"/>
  <c r="J22" i="151" s="1"/>
  <c r="E28" i="112"/>
  <c r="J26" i="151" s="1"/>
  <c r="E51" i="112"/>
  <c r="J49" i="151" s="1"/>
  <c r="F27" i="112"/>
  <c r="J25" i="134" s="1"/>
  <c r="F34" i="112"/>
  <c r="J32" i="134" s="1"/>
  <c r="F44" i="112"/>
  <c r="J42" i="134" s="1"/>
  <c r="F21" i="112"/>
  <c r="J19" i="134" s="1"/>
  <c r="F50" i="112"/>
  <c r="J48" i="134" s="1"/>
  <c r="F59" i="112"/>
  <c r="J57" i="134" s="1"/>
  <c r="F22" i="112"/>
  <c r="J20" i="134" s="1"/>
  <c r="F65" i="112"/>
  <c r="J63" i="134" s="1"/>
  <c r="F52" i="112"/>
  <c r="J50" i="134" s="1"/>
  <c r="F56" i="112"/>
  <c r="J54" i="134" s="1"/>
  <c r="E4" i="99"/>
  <c r="E33" i="112"/>
  <c r="J31" i="151" s="1"/>
  <c r="E67" i="112"/>
  <c r="J65" i="151" s="1"/>
  <c r="E31" i="112"/>
  <c r="J29" i="151" s="1"/>
  <c r="E50" i="112"/>
  <c r="J48" i="151" s="1"/>
  <c r="E43" i="112"/>
  <c r="J41" i="151" s="1"/>
  <c r="E22" i="112"/>
  <c r="J20" i="151" s="1"/>
  <c r="E49" i="112"/>
  <c r="J47" i="151" s="1"/>
  <c r="E63" i="112"/>
  <c r="J61" i="151" s="1"/>
  <c r="E21" i="112"/>
  <c r="J19" i="151" s="1"/>
  <c r="G61" i="112"/>
  <c r="G15" i="112" s="1"/>
  <c r="J13" i="157" s="1"/>
  <c r="F58" i="112"/>
  <c r="J56" i="134" s="1"/>
  <c r="F62" i="112"/>
  <c r="J60" i="134" s="1"/>
  <c r="F41" i="112"/>
  <c r="J39" i="134" s="1"/>
  <c r="F48" i="112"/>
  <c r="J46" i="134" s="1"/>
  <c r="F63" i="112"/>
  <c r="J61" i="134" s="1"/>
  <c r="F30" i="112"/>
  <c r="J28" i="134" s="1"/>
  <c r="F39" i="112"/>
  <c r="J37" i="134" s="1"/>
  <c r="F24" i="112"/>
  <c r="F51" i="112"/>
  <c r="J49" i="134" s="1"/>
  <c r="E40" i="112"/>
  <c r="J38" i="151" s="1"/>
  <c r="E54" i="112"/>
  <c r="J52" i="151" s="1"/>
  <c r="E34" i="112"/>
  <c r="J32" i="151" s="1"/>
  <c r="E58" i="112"/>
  <c r="J56" i="151" s="1"/>
  <c r="I4" i="114"/>
  <c r="G4" i="206"/>
  <c r="I120" i="114"/>
  <c r="I120" i="206"/>
  <c r="N126" i="114"/>
  <c r="N126" i="206"/>
  <c r="K150" i="114"/>
  <c r="K150" i="206"/>
  <c r="K145" i="114"/>
  <c r="K145" i="206"/>
  <c r="P120" i="114"/>
  <c r="P120" i="206"/>
  <c r="F150" i="114"/>
  <c r="F150" i="206"/>
  <c r="D4" i="206"/>
  <c r="D132" i="114"/>
  <c r="D132" i="206"/>
  <c r="L120" i="114"/>
  <c r="L120" i="206"/>
  <c r="F145" i="114"/>
  <c r="F145" i="206"/>
  <c r="K4" i="114"/>
  <c r="E122" i="114"/>
  <c r="E122" i="206"/>
  <c r="P4" i="206"/>
  <c r="K4" i="206"/>
  <c r="I126" i="114"/>
  <c r="I126" i="206"/>
  <c r="K120" i="114"/>
  <c r="K120" i="206"/>
  <c r="F164" i="114"/>
  <c r="F164" i="206"/>
  <c r="J167" i="114"/>
  <c r="J167" i="206"/>
  <c r="G167" i="114"/>
  <c r="G167" i="206"/>
  <c r="G126" i="114"/>
  <c r="G126" i="206"/>
  <c r="F4" i="206"/>
  <c r="G120" i="206"/>
  <c r="F126" i="114"/>
  <c r="F126" i="206"/>
  <c r="N150" i="114"/>
  <c r="N150" i="206"/>
  <c r="I4" i="206"/>
  <c r="Q35" i="190"/>
  <c r="Q50" i="190"/>
  <c r="Q26" i="190"/>
  <c r="Q49" i="190"/>
  <c r="Q56" i="191"/>
  <c r="Q56" i="190"/>
  <c r="Q18" i="190"/>
  <c r="Q38" i="190"/>
  <c r="Q19" i="190"/>
  <c r="Q36" i="190"/>
  <c r="Q46" i="190"/>
  <c r="Q57" i="190"/>
  <c r="Q22" i="190"/>
  <c r="Q47" i="190"/>
  <c r="Q31" i="191"/>
  <c r="Q31" i="190"/>
  <c r="Q23" i="190"/>
  <c r="Q48" i="190"/>
  <c r="Q60" i="190"/>
  <c r="Q32" i="190"/>
  <c r="Q58" i="190"/>
  <c r="Q25" i="190"/>
  <c r="Q43" i="190"/>
  <c r="Q51" i="190"/>
  <c r="Q41" i="190"/>
  <c r="Q55" i="190"/>
  <c r="Q24" i="190"/>
  <c r="Q30" i="190"/>
  <c r="Q39" i="190"/>
  <c r="Q29" i="190"/>
  <c r="Q44" i="190"/>
  <c r="Q37" i="190"/>
  <c r="Q64" i="190"/>
  <c r="Q42" i="190"/>
  <c r="Q63" i="190"/>
  <c r="Q34" i="190"/>
  <c r="Q28" i="190"/>
  <c r="Q54" i="190"/>
  <c r="Q61" i="190"/>
  <c r="Q52" i="190"/>
  <c r="Q65" i="190"/>
  <c r="Q20" i="190"/>
  <c r="AV84" i="114"/>
  <c r="AV83" i="114"/>
  <c r="AW83" i="114" s="1"/>
  <c r="AX83" i="114" s="1"/>
  <c r="AY83" i="114" s="1"/>
  <c r="AZ83" i="114" s="1"/>
  <c r="BA83" i="114" s="1"/>
  <c r="AJ36" i="122"/>
  <c r="AK36" i="122" s="1"/>
  <c r="U96" i="120" s="1"/>
  <c r="AJ23" i="122"/>
  <c r="T79" i="120" s="1"/>
  <c r="AJ51" i="122"/>
  <c r="T102" i="120" s="1"/>
  <c r="Q98" i="120"/>
  <c r="Q92" i="120" s="1"/>
  <c r="I52" i="120"/>
  <c r="AI40" i="122"/>
  <c r="H59" i="112"/>
  <c r="H27" i="112"/>
  <c r="H66" i="112"/>
  <c r="H20" i="112"/>
  <c r="H52" i="112"/>
  <c r="BG42" i="156"/>
  <c r="BG46" i="156"/>
  <c r="BG18" i="156"/>
  <c r="BG53" i="156"/>
  <c r="BG36" i="156"/>
  <c r="BG51" i="156"/>
  <c r="C53" i="112"/>
  <c r="J51" i="153" s="1"/>
  <c r="BG44" i="156"/>
  <c r="P7" i="86"/>
  <c r="BG54" i="156"/>
  <c r="BG47" i="156"/>
  <c r="AJ24" i="122"/>
  <c r="AK24" i="122" s="1"/>
  <c r="U81" i="120" s="1"/>
  <c r="BG48" i="156"/>
  <c r="BG35" i="156"/>
  <c r="BG27" i="156"/>
  <c r="Q31" i="119"/>
  <c r="I34" i="120"/>
  <c r="G42" i="120"/>
  <c r="U40" i="157" s="1"/>
  <c r="C54" i="112"/>
  <c r="J52" i="153" s="1"/>
  <c r="AJ34" i="116"/>
  <c r="AJ10" i="116" s="1"/>
  <c r="AK34" i="116"/>
  <c r="AK10" i="116" s="1"/>
  <c r="BA26" i="156"/>
  <c r="AH23" i="99" s="1"/>
  <c r="AH22" i="99" s="1"/>
  <c r="BA22" i="156"/>
  <c r="AH35" i="99" s="1"/>
  <c r="AJ33" i="122"/>
  <c r="AK33" i="122" s="1"/>
  <c r="AJ34" i="122"/>
  <c r="T95" i="120" s="1"/>
  <c r="AJ21" i="122"/>
  <c r="AJ43" i="122"/>
  <c r="T107" i="120" s="1"/>
  <c r="AJ54" i="122"/>
  <c r="T110" i="120" s="1"/>
  <c r="BG39" i="156"/>
  <c r="Q112" i="120"/>
  <c r="AH30" i="122"/>
  <c r="AH8" i="122" s="1"/>
  <c r="Q34" i="119"/>
  <c r="Q86" i="120"/>
  <c r="I31" i="120"/>
  <c r="C56" i="120"/>
  <c r="U54" i="153" s="1"/>
  <c r="H67" i="112"/>
  <c r="H24" i="112"/>
  <c r="H51" i="112"/>
  <c r="H44" i="112"/>
  <c r="H54" i="112"/>
  <c r="BG30" i="156"/>
  <c r="BG45" i="156"/>
  <c r="BG43" i="156"/>
  <c r="AJ38" i="122"/>
  <c r="T114" i="120" s="1"/>
  <c r="BG29" i="156"/>
  <c r="BG24" i="156"/>
  <c r="BG49" i="156"/>
  <c r="AJ6" i="122"/>
  <c r="T75" i="120"/>
  <c r="Z4" i="108"/>
  <c r="J25" i="111" s="1"/>
  <c r="Q66" i="119"/>
  <c r="I62" i="120"/>
  <c r="AH19" i="122"/>
  <c r="AJ46" i="116"/>
  <c r="AJ12" i="116" s="1"/>
  <c r="AK46" i="116"/>
  <c r="AK12" i="116" s="1"/>
  <c r="C25" i="120"/>
  <c r="U23" i="153" s="1"/>
  <c r="H36" i="112"/>
  <c r="H41" i="112"/>
  <c r="H43" i="112"/>
  <c r="H58" i="112"/>
  <c r="H65" i="112"/>
  <c r="AJ29" i="122"/>
  <c r="T93" i="120" s="1"/>
  <c r="AJ35" i="122"/>
  <c r="Q63" i="119"/>
  <c r="Q105" i="120"/>
  <c r="Q104" i="120" s="1"/>
  <c r="I53" i="120"/>
  <c r="R112" i="120"/>
  <c r="AH6" i="108"/>
  <c r="C39" i="112"/>
  <c r="J37" i="153" s="1"/>
  <c r="C28" i="120"/>
  <c r="U26" i="153" s="1"/>
  <c r="H39" i="112"/>
  <c r="H38" i="112"/>
  <c r="H25" i="112"/>
  <c r="H62" i="112"/>
  <c r="BG40" i="156"/>
  <c r="BG28" i="156"/>
  <c r="AJ41" i="122"/>
  <c r="T115" i="120" s="1"/>
  <c r="BG50" i="156"/>
  <c r="BG31" i="156"/>
  <c r="BG37" i="156"/>
  <c r="AJ50" i="122"/>
  <c r="T101" i="120" s="1"/>
  <c r="BG52" i="156"/>
  <c r="AJ22" i="116"/>
  <c r="AJ8" i="116" s="1"/>
  <c r="AK22" i="116"/>
  <c r="AK8" i="116" s="1"/>
  <c r="Q37" i="119"/>
  <c r="D4" i="108"/>
  <c r="AH15" i="122"/>
  <c r="AH51" i="108"/>
  <c r="AJ6" i="116"/>
  <c r="AK6" i="116"/>
  <c r="AJ63" i="116"/>
  <c r="AJ15" i="116" s="1"/>
  <c r="AK63" i="116"/>
  <c r="AK15" i="116" s="1"/>
  <c r="S124" i="120"/>
  <c r="AJ42" i="122"/>
  <c r="T124" i="120" s="1"/>
  <c r="BG38" i="156"/>
  <c r="AJ57" i="122"/>
  <c r="T117" i="120" s="1"/>
  <c r="BG33" i="156"/>
  <c r="AJ39" i="122"/>
  <c r="T120" i="120" s="1"/>
  <c r="C59" i="153"/>
  <c r="C61" i="158" s="1"/>
  <c r="H55" i="119"/>
  <c r="H14" i="119" s="1"/>
  <c r="H47" i="119"/>
  <c r="H13" i="119" s="1"/>
  <c r="C62" i="151"/>
  <c r="E64" i="158" s="1"/>
  <c r="E16" i="158" s="1"/>
  <c r="K32" i="199" s="1"/>
  <c r="AA15" i="123"/>
  <c r="H35" i="119"/>
  <c r="H11" i="119" s="1"/>
  <c r="G33" i="151"/>
  <c r="G27" i="151"/>
  <c r="C21" i="112"/>
  <c r="J19" i="153" s="1"/>
  <c r="G19" i="112"/>
  <c r="J17" i="157" s="1"/>
  <c r="C32" i="112"/>
  <c r="J30" i="153" s="1"/>
  <c r="C26" i="112"/>
  <c r="J24" i="153" s="1"/>
  <c r="C43" i="112"/>
  <c r="J41" i="153" s="1"/>
  <c r="N4" i="108"/>
  <c r="K4" i="108"/>
  <c r="C54" i="120"/>
  <c r="U52" i="153" s="1"/>
  <c r="C34" i="120"/>
  <c r="U32" i="153" s="1"/>
  <c r="C33" i="120"/>
  <c r="U31" i="153" s="1"/>
  <c r="C62" i="120"/>
  <c r="U60" i="153" s="1"/>
  <c r="C38" i="120"/>
  <c r="U36" i="153" s="1"/>
  <c r="C38" i="112"/>
  <c r="J36" i="153" s="1"/>
  <c r="C51" i="112"/>
  <c r="J49" i="153" s="1"/>
  <c r="C50" i="112"/>
  <c r="J48" i="153" s="1"/>
  <c r="C57" i="112"/>
  <c r="J55" i="153" s="1"/>
  <c r="C37" i="120"/>
  <c r="U35" i="153" s="1"/>
  <c r="C59" i="120"/>
  <c r="U57" i="153" s="1"/>
  <c r="C39" i="120"/>
  <c r="U37" i="153" s="1"/>
  <c r="C46" i="120"/>
  <c r="U44" i="153" s="1"/>
  <c r="C52" i="120"/>
  <c r="U50" i="153" s="1"/>
  <c r="C48" i="112"/>
  <c r="J46" i="153" s="1"/>
  <c r="C22" i="112"/>
  <c r="J20" i="153" s="1"/>
  <c r="C66" i="112"/>
  <c r="J64" i="153" s="1"/>
  <c r="C24" i="112"/>
  <c r="C58" i="120"/>
  <c r="U56" i="153" s="1"/>
  <c r="C53" i="120"/>
  <c r="U51" i="153" s="1"/>
  <c r="C49" i="120"/>
  <c r="U47" i="153" s="1"/>
  <c r="C20" i="120"/>
  <c r="C60" i="120"/>
  <c r="U58" i="153" s="1"/>
  <c r="C36" i="112"/>
  <c r="C46" i="112"/>
  <c r="J44" i="153" s="1"/>
  <c r="C49" i="112"/>
  <c r="J47" i="153" s="1"/>
  <c r="C59" i="112"/>
  <c r="J57" i="153" s="1"/>
  <c r="C27" i="112"/>
  <c r="J25" i="153" s="1"/>
  <c r="C66" i="120"/>
  <c r="U64" i="153" s="1"/>
  <c r="C26" i="120"/>
  <c r="U24" i="153" s="1"/>
  <c r="C50" i="120"/>
  <c r="U48" i="153" s="1"/>
  <c r="C32" i="120"/>
  <c r="U30" i="153" s="1"/>
  <c r="C36" i="120"/>
  <c r="U34" i="153" s="1"/>
  <c r="C67" i="112"/>
  <c r="J65" i="153" s="1"/>
  <c r="C20" i="112"/>
  <c r="C60" i="112"/>
  <c r="J58" i="153" s="1"/>
  <c r="C52" i="112"/>
  <c r="J50" i="153" s="1"/>
  <c r="C65" i="112"/>
  <c r="F122" i="114"/>
  <c r="L7" i="86"/>
  <c r="C65" i="120"/>
  <c r="U63" i="153" s="1"/>
  <c r="C63" i="120"/>
  <c r="U61" i="153" s="1"/>
  <c r="C40" i="120"/>
  <c r="U38" i="153" s="1"/>
  <c r="C57" i="120"/>
  <c r="C24" i="120"/>
  <c r="C62" i="112"/>
  <c r="C45" i="112"/>
  <c r="J43" i="153" s="1"/>
  <c r="C30" i="112"/>
  <c r="C37" i="112"/>
  <c r="J35" i="153" s="1"/>
  <c r="C34" i="112"/>
  <c r="J32" i="153" s="1"/>
  <c r="BB11" i="156"/>
  <c r="BD11" i="156" s="1"/>
  <c r="C21" i="120"/>
  <c r="U19" i="153" s="1"/>
  <c r="C41" i="120"/>
  <c r="U39" i="153" s="1"/>
  <c r="C67" i="120"/>
  <c r="U65" i="153" s="1"/>
  <c r="C43" i="120"/>
  <c r="C31" i="120"/>
  <c r="U29" i="153" s="1"/>
  <c r="C28" i="112"/>
  <c r="J26" i="153" s="1"/>
  <c r="C31" i="112"/>
  <c r="J29" i="153" s="1"/>
  <c r="C41" i="112"/>
  <c r="J39" i="153" s="1"/>
  <c r="C40" i="112"/>
  <c r="J38" i="153" s="1"/>
  <c r="C63" i="112"/>
  <c r="J61" i="153" s="1"/>
  <c r="X5" i="114"/>
  <c r="C30" i="120"/>
  <c r="C44" i="120"/>
  <c r="U42" i="153" s="1"/>
  <c r="C27" i="120"/>
  <c r="U25" i="153" s="1"/>
  <c r="C45" i="120"/>
  <c r="U43" i="153" s="1"/>
  <c r="C56" i="112"/>
  <c r="C58" i="112"/>
  <c r="J56" i="153" s="1"/>
  <c r="C33" i="112"/>
  <c r="J31" i="153" s="1"/>
  <c r="X58" i="92"/>
  <c r="S5" i="121" s="1"/>
  <c r="X47" i="92"/>
  <c r="X48" i="92"/>
  <c r="X50" i="92" s="1"/>
  <c r="Y48" i="92"/>
  <c r="Y50" i="92" s="1"/>
  <c r="Y57" i="92"/>
  <c r="T5" i="120" s="1"/>
  <c r="Y59" i="92"/>
  <c r="R5" i="111"/>
  <c r="FE5" i="129"/>
  <c r="T5" i="93"/>
  <c r="S5" i="93"/>
  <c r="S81" i="120"/>
  <c r="S87" i="120"/>
  <c r="AI32" i="122"/>
  <c r="AI46" i="122"/>
  <c r="AI52" i="122"/>
  <c r="S11" i="176"/>
  <c r="T14" i="176"/>
  <c r="T16" i="176" s="1"/>
  <c r="AI55" i="122"/>
  <c r="AI53" i="122"/>
  <c r="AF42" i="108"/>
  <c r="AI56" i="122"/>
  <c r="H42" i="119"/>
  <c r="H12" i="119" s="1"/>
  <c r="AF48" i="108"/>
  <c r="AF34" i="108"/>
  <c r="AI15" i="122"/>
  <c r="D4" i="99"/>
  <c r="S113" i="120"/>
  <c r="AI28" i="122"/>
  <c r="AF22" i="108"/>
  <c r="AI31" i="122"/>
  <c r="AF29" i="108"/>
  <c r="AI48" i="122"/>
  <c r="AF16" i="108"/>
  <c r="AI49" i="122"/>
  <c r="AI27" i="122"/>
  <c r="AI44" i="122"/>
  <c r="AF10" i="108"/>
  <c r="U9" i="123"/>
  <c r="C7" i="153" s="1"/>
  <c r="C21" i="151"/>
  <c r="E23" i="158" s="1"/>
  <c r="G23" i="112"/>
  <c r="J21" i="157" s="1"/>
  <c r="W12" i="123"/>
  <c r="C10" i="151" s="1"/>
  <c r="G21" i="151"/>
  <c r="Y11" i="123"/>
  <c r="C9" i="157" s="1"/>
  <c r="C21" i="157"/>
  <c r="G23" i="158" s="1"/>
  <c r="AE12" i="123"/>
  <c r="CM50" i="129"/>
  <c r="CW44" i="129"/>
  <c r="DG25" i="129"/>
  <c r="DG67" i="129"/>
  <c r="DG45" i="129"/>
  <c r="EB62" i="129"/>
  <c r="EB49" i="129"/>
  <c r="EB52" i="129"/>
  <c r="EB40" i="129"/>
  <c r="EB22" i="129"/>
  <c r="EB51" i="129"/>
  <c r="EB20" i="129"/>
  <c r="EB41" i="129"/>
  <c r="EB50" i="129"/>
  <c r="EB27" i="129"/>
  <c r="G103" i="189"/>
  <c r="G121" i="189"/>
  <c r="EL59" i="129"/>
  <c r="EL24" i="129"/>
  <c r="EL49" i="129"/>
  <c r="EL33" i="129"/>
  <c r="EL25" i="129"/>
  <c r="EL50" i="129"/>
  <c r="EL62" i="129"/>
  <c r="EL34" i="129"/>
  <c r="EL60" i="129"/>
  <c r="EL27" i="129"/>
  <c r="DG32" i="129"/>
  <c r="DG21" i="129"/>
  <c r="DG59" i="129"/>
  <c r="DG27" i="129"/>
  <c r="EB44" i="129"/>
  <c r="EB24" i="129"/>
  <c r="EB30" i="129"/>
  <c r="EB63" i="129"/>
  <c r="EB57" i="129"/>
  <c r="EB32" i="129"/>
  <c r="EB53" i="129"/>
  <c r="EB66" i="129"/>
  <c r="EB31" i="129"/>
  <c r="EB67" i="129"/>
  <c r="G108" i="189"/>
  <c r="G85" i="189"/>
  <c r="EL45" i="129"/>
  <c r="EL53" i="129"/>
  <c r="EL43" i="129"/>
  <c r="EL57" i="129"/>
  <c r="EL26" i="129"/>
  <c r="EL32" i="129"/>
  <c r="EL41" i="129"/>
  <c r="EL31" i="129"/>
  <c r="EL46" i="129"/>
  <c r="EL39" i="129"/>
  <c r="DG54" i="129"/>
  <c r="DG40" i="129"/>
  <c r="EB54" i="129"/>
  <c r="EB60" i="129"/>
  <c r="EB33" i="129"/>
  <c r="EB38" i="129"/>
  <c r="EB28" i="129"/>
  <c r="EB37" i="129"/>
  <c r="EB59" i="129"/>
  <c r="EB34" i="129"/>
  <c r="EB48" i="129"/>
  <c r="EB65" i="129"/>
  <c r="EL66" i="129"/>
  <c r="EL44" i="129"/>
  <c r="EL65" i="129"/>
  <c r="EL36" i="129"/>
  <c r="EL30" i="129"/>
  <c r="EL56" i="129"/>
  <c r="EL63" i="129"/>
  <c r="EL54" i="129"/>
  <c r="EL67" i="129"/>
  <c r="EL22" i="129"/>
  <c r="DG33" i="129"/>
  <c r="DG37" i="129"/>
  <c r="DG53" i="129"/>
  <c r="EB58" i="129"/>
  <c r="EB46" i="129"/>
  <c r="EB43" i="129"/>
  <c r="EB26" i="129"/>
  <c r="EB36" i="129"/>
  <c r="EB21" i="129"/>
  <c r="EB39" i="129"/>
  <c r="EB56" i="129"/>
  <c r="EB25" i="129"/>
  <c r="EB45" i="129"/>
  <c r="EL37" i="129"/>
  <c r="EL52" i="129"/>
  <c r="EL28" i="129"/>
  <c r="EL51" i="129"/>
  <c r="EL58" i="129"/>
  <c r="EL20" i="129"/>
  <c r="EL40" i="129"/>
  <c r="EL21" i="129"/>
  <c r="EL38" i="129"/>
  <c r="EL48" i="129"/>
  <c r="U45" i="129"/>
  <c r="U59" i="129"/>
  <c r="K37" i="129"/>
  <c r="U32" i="129"/>
  <c r="U51" i="129"/>
  <c r="U49" i="129"/>
  <c r="D23" i="158"/>
  <c r="D9" i="158" s="1"/>
  <c r="J25" i="199" s="1"/>
  <c r="U27" i="129"/>
  <c r="AE37" i="129"/>
  <c r="AE44" i="129"/>
  <c r="AE32" i="129"/>
  <c r="C23" i="158"/>
  <c r="E42" i="158"/>
  <c r="G35" i="112"/>
  <c r="G11" i="112" s="1"/>
  <c r="J9" i="157" s="1"/>
  <c r="G64" i="112"/>
  <c r="G16" i="112" s="1"/>
  <c r="J14" i="157" s="1"/>
  <c r="I42" i="158"/>
  <c r="J60" i="157"/>
  <c r="G42" i="112"/>
  <c r="G12" i="112" s="1"/>
  <c r="J10" i="157" s="1"/>
  <c r="BT64" i="129"/>
  <c r="I61" i="112"/>
  <c r="I15" i="112" s="1"/>
  <c r="C27" i="152"/>
  <c r="Y16" i="123"/>
  <c r="C14" i="157" s="1"/>
  <c r="Z8" i="123"/>
  <c r="D52" i="114"/>
  <c r="D85" i="114"/>
  <c r="D25" i="114" s="1"/>
  <c r="D67" i="114"/>
  <c r="D7" i="114" s="1"/>
  <c r="D86" i="114"/>
  <c r="D26" i="114" s="1"/>
  <c r="D83" i="114"/>
  <c r="D23" i="114" s="1"/>
  <c r="D30" i="114"/>
  <c r="D68" i="114"/>
  <c r="D8" i="114" s="1"/>
  <c r="X54" i="114"/>
  <c r="D99" i="114"/>
  <c r="D39" i="114" s="1"/>
  <c r="D113" i="114"/>
  <c r="D53" i="114" s="1"/>
  <c r="U16" i="114"/>
  <c r="U22" i="114"/>
  <c r="D75" i="114"/>
  <c r="D15" i="114" s="1"/>
  <c r="D69" i="114"/>
  <c r="D9" i="114" s="1"/>
  <c r="D101" i="114"/>
  <c r="D41" i="114" s="1"/>
  <c r="D92" i="114"/>
  <c r="D32" i="114" s="1"/>
  <c r="D73" i="114"/>
  <c r="D13" i="114" s="1"/>
  <c r="D71" i="114"/>
  <c r="D11" i="114" s="1"/>
  <c r="D93" i="114"/>
  <c r="D33" i="114" s="1"/>
  <c r="D100" i="114"/>
  <c r="D40" i="114" s="1"/>
  <c r="W33" i="114"/>
  <c r="X78" i="114"/>
  <c r="Y78" i="114" s="1"/>
  <c r="D74" i="114"/>
  <c r="D14" i="114" s="1"/>
  <c r="D72" i="114"/>
  <c r="D12" i="114" s="1"/>
  <c r="D97" i="114"/>
  <c r="D37" i="114" s="1"/>
  <c r="D96" i="114"/>
  <c r="D36" i="114" s="1"/>
  <c r="D88" i="114"/>
  <c r="D28" i="114" s="1"/>
  <c r="D78" i="114"/>
  <c r="D18" i="114" s="1"/>
  <c r="D87" i="114"/>
  <c r="D27" i="114" s="1"/>
  <c r="D81" i="114"/>
  <c r="D21" i="114" s="1"/>
  <c r="W26" i="114"/>
  <c r="Y88" i="114"/>
  <c r="D98" i="114"/>
  <c r="D38" i="114" s="1"/>
  <c r="D95" i="114"/>
  <c r="D35" i="114" s="1"/>
  <c r="D84" i="114"/>
  <c r="D24" i="114" s="1"/>
  <c r="D80" i="114"/>
  <c r="D20" i="114" s="1"/>
  <c r="V22" i="114"/>
  <c r="R22" i="114"/>
  <c r="AY26" i="129"/>
  <c r="BS41" i="129"/>
  <c r="AY45" i="129"/>
  <c r="BS31" i="129"/>
  <c r="Y54" i="114"/>
  <c r="Z114" i="114"/>
  <c r="V16" i="114"/>
  <c r="N51" i="114"/>
  <c r="N4" i="114" s="1"/>
  <c r="R16" i="114"/>
  <c r="X83" i="114"/>
  <c r="W23" i="114"/>
  <c r="W21" i="114"/>
  <c r="X97" i="114"/>
  <c r="W37" i="114"/>
  <c r="W39" i="114"/>
  <c r="X99" i="114"/>
  <c r="W20" i="114"/>
  <c r="X80" i="114"/>
  <c r="X91" i="114"/>
  <c r="S22" i="114"/>
  <c r="W25" i="114"/>
  <c r="X85" i="114"/>
  <c r="X100" i="114"/>
  <c r="W40" i="114"/>
  <c r="S16" i="114"/>
  <c r="AA62" i="114"/>
  <c r="AB62" i="114" s="1"/>
  <c r="AC62" i="114" s="1"/>
  <c r="AD62" i="114" s="1"/>
  <c r="AE62" i="114" s="1"/>
  <c r="AF62" i="114" s="1"/>
  <c r="AG62" i="114" s="1"/>
  <c r="AH62" i="114" s="1"/>
  <c r="AI62" i="114" s="1"/>
  <c r="AJ62" i="114" s="1"/>
  <c r="AK62" i="114" s="1"/>
  <c r="AL62" i="114" s="1"/>
  <c r="AM62" i="114" s="1"/>
  <c r="AV17" i="91"/>
  <c r="M51" i="114"/>
  <c r="M4" i="114" s="1"/>
  <c r="AD12" i="123"/>
  <c r="C17" i="152"/>
  <c r="Y10" i="123"/>
  <c r="C8" i="157" s="1"/>
  <c r="AC15" i="123"/>
  <c r="V9" i="123"/>
  <c r="C7" i="152" s="1"/>
  <c r="Y8" i="123"/>
  <c r="C6" i="157" s="1"/>
  <c r="C17" i="134"/>
  <c r="AP19" i="129" s="1"/>
  <c r="AP8" i="129" s="1"/>
  <c r="AH9" i="123"/>
  <c r="AH13" i="123"/>
  <c r="AH8" i="123"/>
  <c r="AH14" i="123"/>
  <c r="AH15" i="123"/>
  <c r="AH10" i="123"/>
  <c r="AH16" i="123"/>
  <c r="AH12" i="123"/>
  <c r="BG22" i="156"/>
  <c r="BD14" i="156"/>
  <c r="BB4" i="156"/>
  <c r="BB9" i="156"/>
  <c r="BD9" i="156" s="1"/>
  <c r="BD15" i="156"/>
  <c r="BB13" i="156"/>
  <c r="BD13" i="156" s="1"/>
  <c r="BB7" i="156"/>
  <c r="BD7" i="156" s="1"/>
  <c r="BB10" i="156"/>
  <c r="BD10" i="156" s="1"/>
  <c r="BD25" i="156"/>
  <c r="BB5" i="156"/>
  <c r="BD5" i="156" s="1"/>
  <c r="BB6" i="156"/>
  <c r="BD6" i="156" s="1"/>
  <c r="BD21" i="156"/>
  <c r="AF4" i="99"/>
  <c r="P30" i="112" s="1"/>
  <c r="G55" i="112"/>
  <c r="G14" i="112" s="1"/>
  <c r="J12" i="157" s="1"/>
  <c r="AC11" i="123"/>
  <c r="G29" i="112"/>
  <c r="G10" i="112" s="1"/>
  <c r="J8" i="157" s="1"/>
  <c r="C27" i="153"/>
  <c r="BJ42" i="129"/>
  <c r="BJ12" i="129" s="1"/>
  <c r="J64" i="152"/>
  <c r="G47" i="112"/>
  <c r="J45" i="157" s="1"/>
  <c r="Q18" i="123"/>
  <c r="M23" i="158"/>
  <c r="I23" i="112"/>
  <c r="I9" i="112" s="1"/>
  <c r="C59" i="152"/>
  <c r="S8" i="123"/>
  <c r="S18" i="123" s="1"/>
  <c r="S7" i="123" s="1"/>
  <c r="G87" i="190"/>
  <c r="G86" i="190"/>
  <c r="G125" i="190"/>
  <c r="Y93" i="114"/>
  <c r="X33" i="114"/>
  <c r="X26" i="114"/>
  <c r="Y86" i="114"/>
  <c r="V6" i="114"/>
  <c r="C17" i="114"/>
  <c r="C80" i="114"/>
  <c r="C20" i="114" s="1"/>
  <c r="C85" i="114"/>
  <c r="C25" i="114" s="1"/>
  <c r="C81" i="114"/>
  <c r="C21" i="114" s="1"/>
  <c r="C79" i="114"/>
  <c r="C19" i="114" s="1"/>
  <c r="C84" i="114"/>
  <c r="C24" i="114" s="1"/>
  <c r="C88" i="114"/>
  <c r="C28" i="114" s="1"/>
  <c r="C78" i="114"/>
  <c r="C18" i="114" s="1"/>
  <c r="C83" i="114"/>
  <c r="C23" i="114" s="1"/>
  <c r="C87" i="114"/>
  <c r="C27" i="114" s="1"/>
  <c r="C86" i="114"/>
  <c r="C26" i="114" s="1"/>
  <c r="D42" i="114"/>
  <c r="C52" i="114"/>
  <c r="C114" i="114"/>
  <c r="C54" i="114" s="1"/>
  <c r="C113" i="114"/>
  <c r="C53" i="114" s="1"/>
  <c r="C5" i="114"/>
  <c r="C69" i="114"/>
  <c r="C9" i="114" s="1"/>
  <c r="C68" i="114"/>
  <c r="C8" i="114" s="1"/>
  <c r="C73" i="114"/>
  <c r="C13" i="114" s="1"/>
  <c r="C67" i="114"/>
  <c r="C7" i="114" s="1"/>
  <c r="C72" i="114"/>
  <c r="C12" i="114" s="1"/>
  <c r="C71" i="114"/>
  <c r="C11" i="114" s="1"/>
  <c r="C75" i="114"/>
  <c r="C15" i="114" s="1"/>
  <c r="C74" i="114"/>
  <c r="C14" i="114" s="1"/>
  <c r="C43" i="114"/>
  <c r="C104" i="114"/>
  <c r="C44" i="114" s="1"/>
  <c r="C109" i="114"/>
  <c r="C49" i="114" s="1"/>
  <c r="C107" i="114"/>
  <c r="C47" i="114" s="1"/>
  <c r="C106" i="114"/>
  <c r="C46" i="114" s="1"/>
  <c r="C110" i="114"/>
  <c r="C50" i="114" s="1"/>
  <c r="C105" i="114"/>
  <c r="C45" i="114" s="1"/>
  <c r="C34" i="114"/>
  <c r="C29" i="114"/>
  <c r="BB89" i="114"/>
  <c r="AH63" i="114"/>
  <c r="BC88" i="114"/>
  <c r="T18" i="165"/>
  <c r="T7" i="165" s="1"/>
  <c r="S18" i="165"/>
  <c r="S7" i="165" s="1"/>
  <c r="P18" i="165"/>
  <c r="P7" i="165" s="1"/>
  <c r="AC11" i="165"/>
  <c r="AC15" i="165"/>
  <c r="AC13" i="165"/>
  <c r="Y11" i="165"/>
  <c r="U8" i="165"/>
  <c r="U15" i="165"/>
  <c r="AB10" i="165"/>
  <c r="AD11" i="165"/>
  <c r="AD14" i="165"/>
  <c r="AF15" i="165"/>
  <c r="V12" i="165"/>
  <c r="Y15" i="165"/>
  <c r="U12" i="165"/>
  <c r="U16" i="165"/>
  <c r="AE11" i="165"/>
  <c r="AA13" i="165"/>
  <c r="AB11" i="165"/>
  <c r="X12" i="165"/>
  <c r="Z12" i="165"/>
  <c r="Z11" i="165"/>
  <c r="V16" i="165"/>
  <c r="AC10" i="165"/>
  <c r="Y12" i="165"/>
  <c r="AE12" i="165"/>
  <c r="AE15" i="165"/>
  <c r="AA15" i="165"/>
  <c r="W13" i="165"/>
  <c r="AD15" i="165"/>
  <c r="AF10" i="165"/>
  <c r="V8" i="165"/>
  <c r="AA10" i="165"/>
  <c r="W10" i="165"/>
  <c r="Z13" i="165"/>
  <c r="X13" i="165"/>
  <c r="X15" i="165"/>
  <c r="AD9" i="165"/>
  <c r="AF12" i="165"/>
  <c r="Z14" i="165"/>
  <c r="V11" i="165"/>
  <c r="V14" i="165"/>
  <c r="AC8" i="165"/>
  <c r="Y9" i="165"/>
  <c r="Y8" i="165"/>
  <c r="AE8" i="165"/>
  <c r="AA9" i="165"/>
  <c r="AA11" i="165"/>
  <c r="W8" i="165"/>
  <c r="W14" i="165"/>
  <c r="AD8" i="165"/>
  <c r="AF8" i="165"/>
  <c r="X10" i="165"/>
  <c r="AB12" i="165"/>
  <c r="AB14" i="165"/>
  <c r="R18" i="165"/>
  <c r="R7" i="165" s="1"/>
  <c r="AC12" i="165"/>
  <c r="AC14" i="165"/>
  <c r="AC16" i="165"/>
  <c r="Y16" i="165"/>
  <c r="U9" i="165"/>
  <c r="U14" i="165"/>
  <c r="X16" i="165"/>
  <c r="AD10" i="165"/>
  <c r="AD16" i="165"/>
  <c r="AF14" i="165"/>
  <c r="V9" i="165"/>
  <c r="U11" i="165"/>
  <c r="U10" i="165"/>
  <c r="AE16" i="165"/>
  <c r="AA14" i="165"/>
  <c r="AB13" i="165"/>
  <c r="X9" i="165"/>
  <c r="Z9" i="165"/>
  <c r="Z15" i="165"/>
  <c r="Y13" i="165"/>
  <c r="AE14" i="165"/>
  <c r="AA12" i="165"/>
  <c r="W12" i="165"/>
  <c r="AD12" i="165"/>
  <c r="AD13" i="165"/>
  <c r="AF16" i="165"/>
  <c r="Z8" i="165"/>
  <c r="V13" i="165"/>
  <c r="AE10" i="165"/>
  <c r="AA16" i="165"/>
  <c r="W16" i="165"/>
  <c r="Z16" i="165"/>
  <c r="X11" i="165"/>
  <c r="X14" i="165"/>
  <c r="AF11" i="165"/>
  <c r="AF13" i="165"/>
  <c r="Z10" i="165"/>
  <c r="V10" i="165"/>
  <c r="V15" i="165"/>
  <c r="AC9" i="165"/>
  <c r="Y10" i="165"/>
  <c r="Y14" i="165"/>
  <c r="AE9" i="165"/>
  <c r="AE13" i="165"/>
  <c r="AA8" i="165"/>
  <c r="W9" i="165"/>
  <c r="W11" i="165"/>
  <c r="W15" i="165"/>
  <c r="AB9" i="165"/>
  <c r="AF9" i="165"/>
  <c r="U13" i="165"/>
  <c r="X8" i="165"/>
  <c r="AB8" i="165"/>
  <c r="AB16" i="165"/>
  <c r="AB15" i="165"/>
  <c r="AI60" i="116"/>
  <c r="AI14" i="116" s="1"/>
  <c r="AI5" i="116" s="1"/>
  <c r="AI4" i="116" s="1"/>
  <c r="Q54" i="119"/>
  <c r="Q24" i="119"/>
  <c r="Q57" i="119"/>
  <c r="Q65" i="119"/>
  <c r="Q59" i="119"/>
  <c r="Q44" i="119"/>
  <c r="Q45" i="119"/>
  <c r="Q67" i="119"/>
  <c r="Q56" i="119"/>
  <c r="Q38" i="119"/>
  <c r="Q50" i="119"/>
  <c r="Q21" i="119"/>
  <c r="Q52" i="119"/>
  <c r="Q25" i="119"/>
  <c r="Q32" i="119"/>
  <c r="AH15" i="165"/>
  <c r="AH9" i="165"/>
  <c r="AD9" i="123"/>
  <c r="AD16" i="123"/>
  <c r="J41" i="134"/>
  <c r="J20" i="112"/>
  <c r="J57" i="112"/>
  <c r="J63" i="112"/>
  <c r="J22" i="112"/>
  <c r="J38" i="112"/>
  <c r="J49" i="112"/>
  <c r="J21" i="112"/>
  <c r="J60" i="112"/>
  <c r="J54" i="112"/>
  <c r="J43" i="112"/>
  <c r="J59" i="112"/>
  <c r="J44" i="112"/>
  <c r="J62" i="112"/>
  <c r="J46" i="112"/>
  <c r="J40" i="112"/>
  <c r="J56" i="112"/>
  <c r="J33" i="112"/>
  <c r="J39" i="112"/>
  <c r="J24" i="112"/>
  <c r="J48" i="112"/>
  <c r="J53" i="112"/>
  <c r="J66" i="112"/>
  <c r="J67" i="112"/>
  <c r="J28" i="112"/>
  <c r="J36" i="112"/>
  <c r="J52" i="112"/>
  <c r="J25" i="112"/>
  <c r="J26" i="112"/>
  <c r="J50" i="112"/>
  <c r="J31" i="112"/>
  <c r="J37" i="112"/>
  <c r="J58" i="112"/>
  <c r="J45" i="112"/>
  <c r="J51" i="112"/>
  <c r="J27" i="112"/>
  <c r="J30" i="112"/>
  <c r="J41" i="112"/>
  <c r="J65" i="112"/>
  <c r="J34" i="112"/>
  <c r="J32" i="112"/>
  <c r="F4" i="108"/>
  <c r="X17" i="114"/>
  <c r="Y77" i="114"/>
  <c r="R18" i="123"/>
  <c r="P18" i="123"/>
  <c r="P7" i="123" s="1"/>
  <c r="AZ64" i="129"/>
  <c r="G64" i="158"/>
  <c r="U12" i="123"/>
  <c r="C10" i="153" s="1"/>
  <c r="C40" i="153"/>
  <c r="X10" i="123"/>
  <c r="C8" i="134" s="1"/>
  <c r="C27" i="134"/>
  <c r="W8" i="123"/>
  <c r="C6" i="151" s="1"/>
  <c r="C17" i="151"/>
  <c r="Z11" i="123"/>
  <c r="V11" i="123"/>
  <c r="C9" i="152" s="1"/>
  <c r="C33" i="152"/>
  <c r="U13" i="123"/>
  <c r="C11" i="153" s="1"/>
  <c r="C45" i="153"/>
  <c r="AC12" i="123"/>
  <c r="AD15" i="123"/>
  <c r="Z9" i="123"/>
  <c r="AB11" i="123"/>
  <c r="AD10" i="123"/>
  <c r="AA14" i="123"/>
  <c r="W10" i="123"/>
  <c r="C8" i="151" s="1"/>
  <c r="C27" i="151"/>
  <c r="Z13" i="123"/>
  <c r="V13" i="123"/>
  <c r="C11" i="152" s="1"/>
  <c r="C45" i="152"/>
  <c r="U16" i="123"/>
  <c r="C14" i="153" s="1"/>
  <c r="C62" i="153"/>
  <c r="AB10" i="123"/>
  <c r="AC14" i="123"/>
  <c r="X15" i="123"/>
  <c r="C13" i="134" s="1"/>
  <c r="C59" i="134"/>
  <c r="T14" i="123"/>
  <c r="Y12" i="123"/>
  <c r="C10" i="157" s="1"/>
  <c r="C40" i="157"/>
  <c r="AB13" i="123"/>
  <c r="AF9" i="123"/>
  <c r="CX23" i="129"/>
  <c r="CX9" i="129" s="1"/>
  <c r="L23" i="158"/>
  <c r="X11" i="123"/>
  <c r="C9" i="134" s="1"/>
  <c r="C33" i="134"/>
  <c r="W13" i="123"/>
  <c r="C11" i="151" s="1"/>
  <c r="C45" i="151"/>
  <c r="Z10" i="123"/>
  <c r="V16" i="123"/>
  <c r="C14" i="152" s="1"/>
  <c r="C62" i="152"/>
  <c r="Y13" i="123"/>
  <c r="C11" i="157" s="1"/>
  <c r="C45" i="157"/>
  <c r="U11" i="123"/>
  <c r="C9" i="153" s="1"/>
  <c r="C33" i="153"/>
  <c r="AC10" i="123"/>
  <c r="AD8" i="123"/>
  <c r="V12" i="123"/>
  <c r="C10" i="152" s="1"/>
  <c r="C40" i="152"/>
  <c r="G35" i="158"/>
  <c r="AZ35" i="129"/>
  <c r="AZ11" i="129" s="1"/>
  <c r="AB15" i="123"/>
  <c r="AF8" i="123"/>
  <c r="L64" i="158"/>
  <c r="CX64" i="129"/>
  <c r="AA9" i="123"/>
  <c r="W11" i="123"/>
  <c r="C9" i="151" s="1"/>
  <c r="C33" i="151"/>
  <c r="Z15" i="123"/>
  <c r="AE11" i="123"/>
  <c r="U14" i="123"/>
  <c r="C12" i="153" s="1"/>
  <c r="C53" i="153"/>
  <c r="AB16" i="123"/>
  <c r="AF11" i="123"/>
  <c r="AZ29" i="129"/>
  <c r="AZ10" i="129" s="1"/>
  <c r="G29" i="158"/>
  <c r="C8" i="153"/>
  <c r="AB14" i="123"/>
  <c r="AF12" i="123"/>
  <c r="X9" i="123"/>
  <c r="C7" i="134" s="1"/>
  <c r="C21" i="134"/>
  <c r="X16" i="123"/>
  <c r="C14" i="134" s="1"/>
  <c r="C62" i="134"/>
  <c r="AA8" i="123"/>
  <c r="Z16" i="123"/>
  <c r="V14" i="123"/>
  <c r="C12" i="152" s="1"/>
  <c r="C53" i="152"/>
  <c r="AB8" i="123"/>
  <c r="AF13" i="123"/>
  <c r="AD14" i="123"/>
  <c r="AE8" i="123"/>
  <c r="AC13" i="123"/>
  <c r="AF16" i="123"/>
  <c r="AA10" i="123"/>
  <c r="I61" i="158"/>
  <c r="BT61" i="129"/>
  <c r="BT15" i="129" s="1"/>
  <c r="BJ19" i="129"/>
  <c r="BJ8" i="129" s="1"/>
  <c r="H19" i="158"/>
  <c r="AE14" i="123"/>
  <c r="AB9" i="123"/>
  <c r="AC8" i="123"/>
  <c r="AF15" i="123"/>
  <c r="AE10" i="123"/>
  <c r="AE13" i="123"/>
  <c r="CN61" i="129"/>
  <c r="CN15" i="129" s="1"/>
  <c r="K61" i="158"/>
  <c r="AF10" i="123"/>
  <c r="CX42" i="129"/>
  <c r="CX12" i="129" s="1"/>
  <c r="L42" i="158"/>
  <c r="X12" i="123"/>
  <c r="C10" i="134" s="1"/>
  <c r="C40" i="134"/>
  <c r="X14" i="123"/>
  <c r="C12" i="134" s="1"/>
  <c r="C53" i="134"/>
  <c r="AA13" i="123"/>
  <c r="Z14" i="123"/>
  <c r="M42" i="158"/>
  <c r="DH42" i="129"/>
  <c r="DH12" i="129" s="1"/>
  <c r="AC9" i="123"/>
  <c r="AD13" i="123"/>
  <c r="X13" i="123"/>
  <c r="C11" i="134" s="1"/>
  <c r="C45" i="134"/>
  <c r="W14" i="123"/>
  <c r="C12" i="151" s="1"/>
  <c r="C53" i="151"/>
  <c r="G19" i="158"/>
  <c r="AZ19" i="129"/>
  <c r="AZ8" i="129" s="1"/>
  <c r="U8" i="123"/>
  <c r="C6" i="153" s="1"/>
  <c r="C17" i="153"/>
  <c r="CN35" i="129"/>
  <c r="CN11" i="129" s="1"/>
  <c r="K35" i="158"/>
  <c r="AF14" i="123"/>
  <c r="AA11" i="123"/>
  <c r="Y14" i="123"/>
  <c r="C12" i="157" s="1"/>
  <c r="C53" i="157"/>
  <c r="AB12" i="123"/>
  <c r="AC16" i="123"/>
  <c r="AD11" i="123"/>
  <c r="AG9" i="123"/>
  <c r="AG16" i="123"/>
  <c r="AG13" i="123"/>
  <c r="AG10" i="123"/>
  <c r="AG15" i="123"/>
  <c r="AG12" i="123"/>
  <c r="AG11" i="123"/>
  <c r="AG14" i="123"/>
  <c r="AG8" i="123"/>
  <c r="R6" i="114"/>
  <c r="BA4" i="156"/>
  <c r="AY3" i="156"/>
  <c r="Q18" i="165"/>
  <c r="CN20" i="129"/>
  <c r="K20" i="158"/>
  <c r="F31" i="158"/>
  <c r="AP31" i="129"/>
  <c r="J67" i="158"/>
  <c r="CD67" i="129"/>
  <c r="F66" i="158"/>
  <c r="AP66" i="129"/>
  <c r="C87" i="189"/>
  <c r="J21" i="158"/>
  <c r="CD21" i="129"/>
  <c r="F20" i="158"/>
  <c r="AP20" i="129"/>
  <c r="J26" i="158"/>
  <c r="CD26" i="129"/>
  <c r="AP25" i="129"/>
  <c r="F25" i="158"/>
  <c r="F32" i="158"/>
  <c r="AP32" i="129"/>
  <c r="C103" i="189"/>
  <c r="CD44" i="129"/>
  <c r="J44" i="158"/>
  <c r="AP51" i="129"/>
  <c r="F51" i="158"/>
  <c r="C123" i="189"/>
  <c r="AZ67" i="129"/>
  <c r="G67" i="158"/>
  <c r="K21" i="158"/>
  <c r="CN21" i="129"/>
  <c r="C25" i="153"/>
  <c r="CN34" i="129"/>
  <c r="K34" i="158"/>
  <c r="AP46" i="129"/>
  <c r="F46" i="158"/>
  <c r="AP59" i="129"/>
  <c r="F59" i="158"/>
  <c r="C65" i="151"/>
  <c r="I22" i="158"/>
  <c r="BT22" i="129"/>
  <c r="C19" i="151"/>
  <c r="I27" i="158"/>
  <c r="BT27" i="129"/>
  <c r="C24" i="151"/>
  <c r="I34" i="158"/>
  <c r="BT34" i="129"/>
  <c r="J30" i="158"/>
  <c r="CD30" i="129"/>
  <c r="AP37" i="129"/>
  <c r="F37" i="158"/>
  <c r="C119" i="189"/>
  <c r="J49" i="158"/>
  <c r="CD49" i="129"/>
  <c r="AP57" i="129"/>
  <c r="F57" i="158"/>
  <c r="K66" i="158"/>
  <c r="CN66" i="129"/>
  <c r="G21" i="158"/>
  <c r="AZ21" i="129"/>
  <c r="AZ27" i="129"/>
  <c r="G27" i="158"/>
  <c r="C22" i="153"/>
  <c r="AP50" i="129"/>
  <c r="F50" i="158"/>
  <c r="H67" i="158"/>
  <c r="BJ67" i="129"/>
  <c r="C64" i="152"/>
  <c r="BJ21" i="129"/>
  <c r="H21" i="158"/>
  <c r="C18" i="152"/>
  <c r="BJ26" i="129"/>
  <c r="H26" i="158"/>
  <c r="C23" i="152"/>
  <c r="J31" i="158"/>
  <c r="CD31" i="129"/>
  <c r="F38" i="158"/>
  <c r="AP38" i="129"/>
  <c r="CD50" i="129"/>
  <c r="J50" i="158"/>
  <c r="AP58" i="129"/>
  <c r="F58" i="158"/>
  <c r="I32" i="158"/>
  <c r="BT32" i="129"/>
  <c r="C29" i="151"/>
  <c r="BT40" i="129"/>
  <c r="I40" i="158"/>
  <c r="C37" i="151"/>
  <c r="BT36" i="129"/>
  <c r="I36" i="158"/>
  <c r="C44" i="151"/>
  <c r="I43" i="158"/>
  <c r="BT43" i="129"/>
  <c r="C52" i="151"/>
  <c r="BT51" i="129"/>
  <c r="I51" i="158"/>
  <c r="C48" i="151"/>
  <c r="I60" i="158"/>
  <c r="BT60" i="129"/>
  <c r="C57" i="151"/>
  <c r="I56" i="158"/>
  <c r="BT56" i="129"/>
  <c r="C61" i="151"/>
  <c r="H32" i="158"/>
  <c r="BJ32" i="129"/>
  <c r="C29" i="152"/>
  <c r="BJ40" i="129"/>
  <c r="H40" i="158"/>
  <c r="C37" i="152"/>
  <c r="H36" i="158"/>
  <c r="BJ36" i="129"/>
  <c r="C44" i="152"/>
  <c r="BJ43" i="129"/>
  <c r="H43" i="158"/>
  <c r="C52" i="152"/>
  <c r="BJ51" i="129"/>
  <c r="H51" i="158"/>
  <c r="C48" i="152"/>
  <c r="BJ60" i="129"/>
  <c r="H60" i="158"/>
  <c r="C57" i="152"/>
  <c r="H56" i="158"/>
  <c r="BJ56" i="129"/>
  <c r="C61" i="152"/>
  <c r="C32" i="153"/>
  <c r="K32" i="158"/>
  <c r="CN32" i="129"/>
  <c r="G31" i="158"/>
  <c r="AZ31" i="129"/>
  <c r="C28" i="153"/>
  <c r="CN40" i="129"/>
  <c r="K40" i="158"/>
  <c r="G39" i="158"/>
  <c r="AZ39" i="129"/>
  <c r="C36" i="153"/>
  <c r="CN36" i="129"/>
  <c r="K36" i="158"/>
  <c r="AZ46" i="129"/>
  <c r="G46" i="158"/>
  <c r="C43" i="153"/>
  <c r="K43" i="158"/>
  <c r="CN43" i="129"/>
  <c r="G54" i="158"/>
  <c r="AZ54" i="129"/>
  <c r="C51" i="153"/>
  <c r="K51" i="158"/>
  <c r="CN51" i="129"/>
  <c r="G50" i="158"/>
  <c r="AZ50" i="129"/>
  <c r="C47" i="153"/>
  <c r="K60" i="158"/>
  <c r="CN60" i="129"/>
  <c r="AZ59" i="129"/>
  <c r="G59" i="158"/>
  <c r="C56" i="153"/>
  <c r="CN56" i="129"/>
  <c r="K56" i="158"/>
  <c r="AZ63" i="129"/>
  <c r="G63" i="158"/>
  <c r="C60" i="153"/>
  <c r="C65" i="153"/>
  <c r="G28" i="158"/>
  <c r="AZ28" i="129"/>
  <c r="F67" i="158"/>
  <c r="AP67" i="129"/>
  <c r="C130" i="189"/>
  <c r="CD22" i="129"/>
  <c r="J22" i="158"/>
  <c r="F21" i="158"/>
  <c r="AP21" i="129"/>
  <c r="CD27" i="129"/>
  <c r="J27" i="158"/>
  <c r="AP26" i="129"/>
  <c r="F26" i="158"/>
  <c r="J34" i="158"/>
  <c r="CD34" i="129"/>
  <c r="C95" i="189"/>
  <c r="CD37" i="129"/>
  <c r="J37" i="158"/>
  <c r="F43" i="158"/>
  <c r="AP43" i="129"/>
  <c r="CD57" i="129"/>
  <c r="J57" i="158"/>
  <c r="G66" i="158"/>
  <c r="AZ66" i="129"/>
  <c r="C19" i="153"/>
  <c r="C24" i="153"/>
  <c r="F54" i="158"/>
  <c r="AP54" i="129"/>
  <c r="J56" i="158"/>
  <c r="CD56" i="129"/>
  <c r="BT65" i="129"/>
  <c r="I65" i="158"/>
  <c r="C20" i="151"/>
  <c r="I28" i="158"/>
  <c r="BT28" i="129"/>
  <c r="C25" i="151"/>
  <c r="I24" i="158"/>
  <c r="BT24" i="129"/>
  <c r="C32" i="151"/>
  <c r="F41" i="158"/>
  <c r="AP41" i="129"/>
  <c r="J53" i="158"/>
  <c r="CD53" i="129"/>
  <c r="AP48" i="129"/>
  <c r="F48" i="158"/>
  <c r="C64" i="153"/>
  <c r="G20" i="158"/>
  <c r="AZ20" i="129"/>
  <c r="AZ26" i="129"/>
  <c r="G26" i="158"/>
  <c r="AZ34" i="129"/>
  <c r="G34" i="158"/>
  <c r="J36" i="158"/>
  <c r="CD36" i="129"/>
  <c r="J60" i="158"/>
  <c r="CD60" i="129"/>
  <c r="C65" i="152"/>
  <c r="H22" i="158"/>
  <c r="BJ22" i="129"/>
  <c r="C19" i="152"/>
  <c r="BJ27" i="129"/>
  <c r="H27" i="158"/>
  <c r="C24" i="152"/>
  <c r="BJ34" i="129"/>
  <c r="H34" i="158"/>
  <c r="AP30" i="129"/>
  <c r="F30" i="158"/>
  <c r="C101" i="189"/>
  <c r="J54" i="158"/>
  <c r="CD54" i="129"/>
  <c r="AP49" i="129"/>
  <c r="F49" i="158"/>
  <c r="C121" i="189"/>
  <c r="I33" i="158"/>
  <c r="BT33" i="129"/>
  <c r="C30" i="151"/>
  <c r="I41" i="158"/>
  <c r="BT41" i="129"/>
  <c r="C38" i="151"/>
  <c r="I37" i="158"/>
  <c r="BT37" i="129"/>
  <c r="C34" i="151"/>
  <c r="I44" i="158"/>
  <c r="BT44" i="129"/>
  <c r="C41" i="151"/>
  <c r="BT52" i="129"/>
  <c r="I52" i="158"/>
  <c r="C49" i="151"/>
  <c r="I48" i="158"/>
  <c r="BT48" i="129"/>
  <c r="C58" i="151"/>
  <c r="BT57" i="129"/>
  <c r="I57" i="158"/>
  <c r="C54" i="151"/>
  <c r="H33" i="158"/>
  <c r="BJ33" i="129"/>
  <c r="C30" i="152"/>
  <c r="BJ41" i="129"/>
  <c r="H41" i="158"/>
  <c r="C38" i="152"/>
  <c r="BJ37" i="129"/>
  <c r="H37" i="158"/>
  <c r="C34" i="152"/>
  <c r="BJ44" i="129"/>
  <c r="H44" i="158"/>
  <c r="C41" i="152"/>
  <c r="H52" i="158"/>
  <c r="BJ52" i="129"/>
  <c r="C49" i="152"/>
  <c r="BJ48" i="129"/>
  <c r="H48" i="158"/>
  <c r="C58" i="152"/>
  <c r="BJ57" i="129"/>
  <c r="H57" i="158"/>
  <c r="C54" i="152"/>
  <c r="CN33" i="129"/>
  <c r="K33" i="158"/>
  <c r="G32" i="158"/>
  <c r="AZ32" i="129"/>
  <c r="C29" i="153"/>
  <c r="CN41" i="129"/>
  <c r="K41" i="158"/>
  <c r="AZ40" i="129"/>
  <c r="G40" i="158"/>
  <c r="C37" i="153"/>
  <c r="K37" i="158"/>
  <c r="CN37" i="129"/>
  <c r="AZ36" i="129"/>
  <c r="G36" i="158"/>
  <c r="C44" i="153"/>
  <c r="K44" i="158"/>
  <c r="CN44" i="129"/>
  <c r="AZ43" i="129"/>
  <c r="G43" i="158"/>
  <c r="C52" i="153"/>
  <c r="K52" i="158"/>
  <c r="CN52" i="129"/>
  <c r="AZ51" i="129"/>
  <c r="G51" i="158"/>
  <c r="C48" i="153"/>
  <c r="K48" i="158"/>
  <c r="CN48" i="129"/>
  <c r="G60" i="158"/>
  <c r="AZ60" i="129"/>
  <c r="C57" i="153"/>
  <c r="CN57" i="129"/>
  <c r="K57" i="158"/>
  <c r="G56" i="158"/>
  <c r="AZ56" i="129"/>
  <c r="C61" i="153"/>
  <c r="K65" i="158"/>
  <c r="CN65" i="129"/>
  <c r="CN26" i="129"/>
  <c r="K26" i="158"/>
  <c r="F63" i="158"/>
  <c r="AP63" i="129"/>
  <c r="CD65" i="129"/>
  <c r="J65" i="158"/>
  <c r="AP22" i="129"/>
  <c r="F22" i="158"/>
  <c r="C85" i="189"/>
  <c r="J28" i="158"/>
  <c r="CD28" i="129"/>
  <c r="AP27" i="129"/>
  <c r="F27" i="158"/>
  <c r="CD24" i="129"/>
  <c r="J24" i="158"/>
  <c r="AP34" i="129"/>
  <c r="F34" i="158"/>
  <c r="CD41" i="129"/>
  <c r="J41" i="158"/>
  <c r="AP36" i="129"/>
  <c r="F36" i="158"/>
  <c r="C118" i="189"/>
  <c r="J48" i="158"/>
  <c r="CD48" i="129"/>
  <c r="AP56" i="129"/>
  <c r="F56" i="158"/>
  <c r="AZ65" i="129"/>
  <c r="G65" i="158"/>
  <c r="CN28" i="129"/>
  <c r="K28" i="158"/>
  <c r="AZ25" i="129"/>
  <c r="G25" i="158"/>
  <c r="J51" i="158"/>
  <c r="CD51" i="129"/>
  <c r="I66" i="158"/>
  <c r="BT66" i="129"/>
  <c r="C63" i="151"/>
  <c r="I20" i="158"/>
  <c r="BT20" i="129"/>
  <c r="C26" i="151"/>
  <c r="I25" i="158"/>
  <c r="BT25" i="129"/>
  <c r="C22" i="151"/>
  <c r="AP33" i="129"/>
  <c r="F33" i="158"/>
  <c r="C104" i="189"/>
  <c r="CD45" i="129"/>
  <c r="J45" i="158"/>
  <c r="AP52" i="129"/>
  <c r="F52" i="158"/>
  <c r="C124" i="189"/>
  <c r="CD62" i="129"/>
  <c r="J62" i="158"/>
  <c r="C63" i="153"/>
  <c r="C18" i="153"/>
  <c r="K25" i="158"/>
  <c r="CN25" i="129"/>
  <c r="CD32" i="129"/>
  <c r="J32" i="158"/>
  <c r="J43" i="158"/>
  <c r="CD43" i="129"/>
  <c r="C122" i="189"/>
  <c r="H65" i="158"/>
  <c r="BJ65" i="129"/>
  <c r="C20" i="152"/>
  <c r="H28" i="158"/>
  <c r="BJ28" i="129"/>
  <c r="C25" i="152"/>
  <c r="BJ24" i="129"/>
  <c r="H24" i="158"/>
  <c r="C32" i="152"/>
  <c r="CD46" i="129"/>
  <c r="J46" i="158"/>
  <c r="AP53" i="129"/>
  <c r="F53" i="158"/>
  <c r="C125" i="189"/>
  <c r="J63" i="158"/>
  <c r="CD63" i="129"/>
  <c r="C31" i="151"/>
  <c r="I30" i="158"/>
  <c r="BT30" i="129"/>
  <c r="C39" i="151"/>
  <c r="I38" i="158"/>
  <c r="BT38" i="129"/>
  <c r="C35" i="151"/>
  <c r="BT45" i="129"/>
  <c r="I45" i="158"/>
  <c r="C42" i="151"/>
  <c r="I53" i="158"/>
  <c r="BT53" i="129"/>
  <c r="C50" i="151"/>
  <c r="I49" i="158"/>
  <c r="BT49" i="129"/>
  <c r="C46" i="151"/>
  <c r="BT58" i="129"/>
  <c r="I58" i="158"/>
  <c r="C55" i="151"/>
  <c r="I62" i="158"/>
  <c r="BT62" i="129"/>
  <c r="C31" i="152"/>
  <c r="H30" i="158"/>
  <c r="BJ30" i="129"/>
  <c r="C39" i="152"/>
  <c r="H38" i="158"/>
  <c r="BJ38" i="129"/>
  <c r="C35" i="152"/>
  <c r="BJ45" i="129"/>
  <c r="H45" i="158"/>
  <c r="C42" i="152"/>
  <c r="H53" i="158"/>
  <c r="BJ53" i="129"/>
  <c r="C50" i="152"/>
  <c r="H49" i="158"/>
  <c r="BJ49" i="129"/>
  <c r="C46" i="152"/>
  <c r="H58" i="158"/>
  <c r="BJ58" i="129"/>
  <c r="C55" i="152"/>
  <c r="BJ62" i="129"/>
  <c r="H62" i="158"/>
  <c r="AZ33" i="129"/>
  <c r="G33" i="158"/>
  <c r="C30" i="153"/>
  <c r="CN30" i="129"/>
  <c r="K30" i="158"/>
  <c r="AZ41" i="129"/>
  <c r="G41" i="158"/>
  <c r="C38" i="153"/>
  <c r="CN38" i="129"/>
  <c r="K38" i="158"/>
  <c r="G37" i="158"/>
  <c r="AZ37" i="129"/>
  <c r="C34" i="153"/>
  <c r="K45" i="158"/>
  <c r="CN45" i="129"/>
  <c r="G44" i="158"/>
  <c r="AZ44" i="129"/>
  <c r="C41" i="153"/>
  <c r="CN53" i="129"/>
  <c r="K53" i="158"/>
  <c r="AZ52" i="129"/>
  <c r="G52" i="158"/>
  <c r="C49" i="153"/>
  <c r="K49" i="158"/>
  <c r="CN49" i="129"/>
  <c r="G48" i="158"/>
  <c r="AZ48" i="129"/>
  <c r="C58" i="153"/>
  <c r="K58" i="158"/>
  <c r="CN58" i="129"/>
  <c r="AZ57" i="129"/>
  <c r="G57" i="158"/>
  <c r="C54" i="153"/>
  <c r="K62" i="158"/>
  <c r="CN62" i="129"/>
  <c r="C20" i="153"/>
  <c r="K24" i="158"/>
  <c r="CN24" i="129"/>
  <c r="C132" i="189"/>
  <c r="J66" i="158"/>
  <c r="CD66" i="129"/>
  <c r="AP65" i="129"/>
  <c r="F65" i="158"/>
  <c r="J20" i="158"/>
  <c r="CD20" i="129"/>
  <c r="AP28" i="129"/>
  <c r="F28" i="158"/>
  <c r="J25" i="158"/>
  <c r="CD25" i="129"/>
  <c r="F24" i="158"/>
  <c r="AP24" i="129"/>
  <c r="J33" i="158"/>
  <c r="CD33" i="129"/>
  <c r="AP40" i="129"/>
  <c r="F40" i="158"/>
  <c r="J52" i="158"/>
  <c r="CD52" i="129"/>
  <c r="AP60" i="129"/>
  <c r="F60" i="158"/>
  <c r="C127" i="189"/>
  <c r="K22" i="158"/>
  <c r="CN22" i="129"/>
  <c r="K27" i="158"/>
  <c r="CN27" i="129"/>
  <c r="G24" i="158"/>
  <c r="AZ24" i="129"/>
  <c r="AP39" i="129"/>
  <c r="F39" i="158"/>
  <c r="C113" i="189"/>
  <c r="BT67" i="129"/>
  <c r="I67" i="158"/>
  <c r="C64" i="151"/>
  <c r="I21" i="158"/>
  <c r="BT21" i="129"/>
  <c r="C18" i="151"/>
  <c r="BT26" i="129"/>
  <c r="I26" i="158"/>
  <c r="C23" i="151"/>
  <c r="J38" i="158"/>
  <c r="CD38" i="129"/>
  <c r="AP44" i="129"/>
  <c r="F44" i="158"/>
  <c r="CD58" i="129"/>
  <c r="J58" i="158"/>
  <c r="K67" i="158"/>
  <c r="CN67" i="129"/>
  <c r="AZ22" i="129"/>
  <c r="G22" i="158"/>
  <c r="C26" i="153"/>
  <c r="C23" i="153"/>
  <c r="J40" i="158"/>
  <c r="CD40" i="129"/>
  <c r="C117" i="189"/>
  <c r="H66" i="158"/>
  <c r="BJ66" i="129"/>
  <c r="C63" i="152"/>
  <c r="H20" i="158"/>
  <c r="BJ20" i="129"/>
  <c r="C26" i="152"/>
  <c r="H25" i="158"/>
  <c r="BJ25" i="129"/>
  <c r="C22" i="152"/>
  <c r="C97" i="189"/>
  <c r="CD39" i="129"/>
  <c r="J39" i="158"/>
  <c r="F45" i="158"/>
  <c r="AP45" i="129"/>
  <c r="C116" i="189"/>
  <c r="CD59" i="129"/>
  <c r="J59" i="158"/>
  <c r="AP62" i="129"/>
  <c r="F62" i="158"/>
  <c r="BT31" i="129"/>
  <c r="I31" i="158"/>
  <c r="C28" i="151"/>
  <c r="I39" i="158"/>
  <c r="BT39" i="129"/>
  <c r="C36" i="151"/>
  <c r="I46" i="158"/>
  <c r="BT46" i="129"/>
  <c r="C43" i="151"/>
  <c r="I54" i="158"/>
  <c r="BT54" i="129"/>
  <c r="C51" i="151"/>
  <c r="I50" i="158"/>
  <c r="BT50" i="129"/>
  <c r="C47" i="151"/>
  <c r="BT59" i="129"/>
  <c r="I59" i="158"/>
  <c r="C56" i="151"/>
  <c r="BT63" i="129"/>
  <c r="I63" i="158"/>
  <c r="C60" i="151"/>
  <c r="H31" i="158"/>
  <c r="BJ31" i="129"/>
  <c r="C28" i="152"/>
  <c r="H39" i="158"/>
  <c r="BJ39" i="129"/>
  <c r="C36" i="152"/>
  <c r="H46" i="158"/>
  <c r="BJ46" i="129"/>
  <c r="C43" i="152"/>
  <c r="H54" i="158"/>
  <c r="BJ54" i="129"/>
  <c r="C51" i="152"/>
  <c r="H50" i="158"/>
  <c r="BJ50" i="129"/>
  <c r="C47" i="152"/>
  <c r="H59" i="158"/>
  <c r="BJ59" i="129"/>
  <c r="C56" i="152"/>
  <c r="BJ63" i="129"/>
  <c r="H63" i="158"/>
  <c r="C60" i="152"/>
  <c r="C31" i="153"/>
  <c r="K31" i="158"/>
  <c r="CN31" i="129"/>
  <c r="AZ30" i="129"/>
  <c r="G30" i="158"/>
  <c r="C39" i="153"/>
  <c r="CN39" i="129"/>
  <c r="K39" i="158"/>
  <c r="G38" i="158"/>
  <c r="AZ38" i="129"/>
  <c r="C35" i="153"/>
  <c r="K46" i="158"/>
  <c r="CN46" i="129"/>
  <c r="G45" i="158"/>
  <c r="AZ45" i="129"/>
  <c r="C42" i="153"/>
  <c r="K54" i="158"/>
  <c r="CN54" i="129"/>
  <c r="G53" i="158"/>
  <c r="AZ53" i="129"/>
  <c r="C50" i="153"/>
  <c r="K50" i="158"/>
  <c r="CN50" i="129"/>
  <c r="AZ49" i="129"/>
  <c r="G49" i="158"/>
  <c r="C46" i="153"/>
  <c r="CN59" i="129"/>
  <c r="K59" i="158"/>
  <c r="G58" i="158"/>
  <c r="AZ58" i="129"/>
  <c r="C55" i="153"/>
  <c r="K63" i="158"/>
  <c r="CN63" i="129"/>
  <c r="AZ62" i="129"/>
  <c r="G62" i="158"/>
  <c r="Q48" i="119"/>
  <c r="Q26" i="119"/>
  <c r="Q28" i="119"/>
  <c r="Q40" i="119"/>
  <c r="Q43" i="119"/>
  <c r="Q27" i="119"/>
  <c r="Q36" i="119"/>
  <c r="Q58" i="119"/>
  <c r="Q33" i="119"/>
  <c r="Q22" i="119"/>
  <c r="Q46" i="119"/>
  <c r="Q62" i="119"/>
  <c r="Q39" i="119"/>
  <c r="Q20" i="119"/>
  <c r="Q30" i="119"/>
  <c r="Q53" i="119"/>
  <c r="Q51" i="119"/>
  <c r="Q49" i="119"/>
  <c r="Q60" i="119"/>
  <c r="Q41" i="119"/>
  <c r="R10" i="114"/>
  <c r="U6" i="114"/>
  <c r="S6" i="114"/>
  <c r="X75" i="114"/>
  <c r="W15" i="114"/>
  <c r="W43" i="114"/>
  <c r="X103" i="114"/>
  <c r="X72" i="114"/>
  <c r="W12" i="114"/>
  <c r="W13" i="114"/>
  <c r="X73" i="114"/>
  <c r="X104" i="114"/>
  <c r="W44" i="114"/>
  <c r="V42" i="114"/>
  <c r="S10" i="114"/>
  <c r="W9" i="114"/>
  <c r="X69" i="114"/>
  <c r="X106" i="114"/>
  <c r="W46" i="114"/>
  <c r="W49" i="114"/>
  <c r="X109" i="114"/>
  <c r="X74" i="114"/>
  <c r="W14" i="114"/>
  <c r="X105" i="114"/>
  <c r="W45" i="114"/>
  <c r="X67" i="114"/>
  <c r="W7" i="114"/>
  <c r="U10" i="114"/>
  <c r="V48" i="114"/>
  <c r="W11" i="114"/>
  <c r="X71" i="114"/>
  <c r="AH126" i="114"/>
  <c r="AH127" i="114"/>
  <c r="AH167" i="114"/>
  <c r="AH168" i="114"/>
  <c r="AH158" i="114"/>
  <c r="AH159" i="114"/>
  <c r="G103" i="190"/>
  <c r="AH7" i="122"/>
  <c r="R77" i="120"/>
  <c r="R76" i="120" s="1"/>
  <c r="R81" i="120"/>
  <c r="R93" i="120"/>
  <c r="AG12" i="122"/>
  <c r="AH14" i="122"/>
  <c r="R119" i="120"/>
  <c r="R118" i="120" s="1"/>
  <c r="AH25" i="122"/>
  <c r="AH9" i="122"/>
  <c r="AH47" i="122"/>
  <c r="E15" i="119"/>
  <c r="G13" i="151" s="1"/>
  <c r="E12" i="119"/>
  <c r="G10" i="151" s="1"/>
  <c r="I26" i="120"/>
  <c r="I67" i="120"/>
  <c r="I59" i="120"/>
  <c r="I49" i="120"/>
  <c r="I32" i="120"/>
  <c r="I41" i="120"/>
  <c r="I57" i="120"/>
  <c r="I66" i="120"/>
  <c r="I60" i="120"/>
  <c r="I24" i="120"/>
  <c r="I65" i="120"/>
  <c r="I21" i="120"/>
  <c r="I33" i="120"/>
  <c r="I36" i="120"/>
  <c r="I28" i="120"/>
  <c r="I63" i="120"/>
  <c r="I38" i="120"/>
  <c r="I44" i="120"/>
  <c r="I54" i="120"/>
  <c r="I46" i="120"/>
  <c r="I50" i="120"/>
  <c r="I48" i="120"/>
  <c r="I27" i="120"/>
  <c r="I40" i="120"/>
  <c r="I56" i="120"/>
  <c r="E16" i="119"/>
  <c r="G14" i="151" s="1"/>
  <c r="G62" i="151"/>
  <c r="I43" i="120"/>
  <c r="I58" i="120"/>
  <c r="I25" i="120"/>
  <c r="I51" i="120"/>
  <c r="I30" i="120"/>
  <c r="I37" i="120"/>
  <c r="I45" i="120"/>
  <c r="I22" i="120"/>
  <c r="I20" i="120"/>
  <c r="G95" i="189"/>
  <c r="G53" i="151"/>
  <c r="E14" i="119"/>
  <c r="G12" i="151" s="1"/>
  <c r="G45" i="151"/>
  <c r="E13" i="119"/>
  <c r="G11" i="151" s="1"/>
  <c r="AG126" i="114"/>
  <c r="AG120" i="114"/>
  <c r="AH120" i="114"/>
  <c r="S16" i="176"/>
  <c r="R31" i="119"/>
  <c r="R43" i="119"/>
  <c r="R63" i="119"/>
  <c r="R22" i="119"/>
  <c r="R59" i="119"/>
  <c r="R49" i="119"/>
  <c r="R50" i="119"/>
  <c r="F7" i="165"/>
  <c r="D7" i="123"/>
  <c r="G9" i="151"/>
  <c r="F38" i="120"/>
  <c r="U36" i="134" s="1"/>
  <c r="F49" i="120"/>
  <c r="U47" i="134" s="1"/>
  <c r="F25" i="120"/>
  <c r="U23" i="134" s="1"/>
  <c r="F30" i="120"/>
  <c r="F48" i="120"/>
  <c r="F31" i="120"/>
  <c r="U29" i="134" s="1"/>
  <c r="F20" i="120"/>
  <c r="F52" i="120"/>
  <c r="U50" i="134" s="1"/>
  <c r="F45" i="120"/>
  <c r="U43" i="134" s="1"/>
  <c r="F66" i="120"/>
  <c r="U64" i="134" s="1"/>
  <c r="F57" i="120"/>
  <c r="U55" i="134" s="1"/>
  <c r="F62" i="120"/>
  <c r="F65" i="120"/>
  <c r="F40" i="120"/>
  <c r="U38" i="134" s="1"/>
  <c r="F56" i="120"/>
  <c r="F22" i="120"/>
  <c r="U20" i="134" s="1"/>
  <c r="F39" i="120"/>
  <c r="U37" i="134" s="1"/>
  <c r="F21" i="120"/>
  <c r="U19" i="134" s="1"/>
  <c r="F24" i="120"/>
  <c r="F41" i="120"/>
  <c r="U39" i="134" s="1"/>
  <c r="F58" i="120"/>
  <c r="U56" i="134" s="1"/>
  <c r="F33" i="120"/>
  <c r="U31" i="134" s="1"/>
  <c r="F36" i="120"/>
  <c r="F51" i="120"/>
  <c r="U49" i="134" s="1"/>
  <c r="F60" i="120"/>
  <c r="U58" i="134" s="1"/>
  <c r="F46" i="120"/>
  <c r="U44" i="134" s="1"/>
  <c r="F50" i="120"/>
  <c r="U48" i="134" s="1"/>
  <c r="F59" i="120"/>
  <c r="U57" i="134" s="1"/>
  <c r="F37" i="120"/>
  <c r="U35" i="134" s="1"/>
  <c r="F63" i="120"/>
  <c r="U61" i="134" s="1"/>
  <c r="F26" i="120"/>
  <c r="U24" i="134" s="1"/>
  <c r="F28" i="120"/>
  <c r="U26" i="134" s="1"/>
  <c r="F34" i="120"/>
  <c r="U32" i="134" s="1"/>
  <c r="F67" i="120"/>
  <c r="U65" i="134" s="1"/>
  <c r="F54" i="120"/>
  <c r="U52" i="134" s="1"/>
  <c r="F43" i="120"/>
  <c r="F53" i="120"/>
  <c r="U51" i="134" s="1"/>
  <c r="F44" i="120"/>
  <c r="U42" i="134" s="1"/>
  <c r="F27" i="120"/>
  <c r="U25" i="134" s="1"/>
  <c r="F32" i="120"/>
  <c r="U30" i="134" s="1"/>
  <c r="T48" i="92"/>
  <c r="T50" i="92" s="1"/>
  <c r="O49" i="158"/>
  <c r="O40" i="158"/>
  <c r="O51" i="158"/>
  <c r="O41" i="158"/>
  <c r="O27" i="158"/>
  <c r="D6" i="165"/>
  <c r="P61" i="119"/>
  <c r="E29" i="120"/>
  <c r="U27" i="151" s="1"/>
  <c r="O60" i="158"/>
  <c r="O38" i="158"/>
  <c r="O37" i="158"/>
  <c r="O34" i="158"/>
  <c r="O65" i="158"/>
  <c r="P64" i="119"/>
  <c r="G18" i="123"/>
  <c r="P55" i="119"/>
  <c r="E5" i="116"/>
  <c r="L61" i="112"/>
  <c r="L55" i="112"/>
  <c r="O46" i="158"/>
  <c r="O26" i="158"/>
  <c r="O21" i="158"/>
  <c r="O56" i="158"/>
  <c r="O45" i="158"/>
  <c r="J7" i="123"/>
  <c r="N7" i="123"/>
  <c r="L7" i="165"/>
  <c r="P23" i="119"/>
  <c r="P42" i="119"/>
  <c r="J5" i="116"/>
  <c r="E61" i="120"/>
  <c r="U59" i="151" s="1"/>
  <c r="E64" i="120"/>
  <c r="U62" i="151" s="1"/>
  <c r="U50" i="177"/>
  <c r="U50" i="170"/>
  <c r="L29" i="112"/>
  <c r="BI6" i="155"/>
  <c r="O54" i="158"/>
  <c r="O24" i="158"/>
  <c r="O63" i="158"/>
  <c r="O32" i="158"/>
  <c r="O66" i="158"/>
  <c r="O67" i="158"/>
  <c r="F4" i="99"/>
  <c r="U60" i="170"/>
  <c r="U60" i="177"/>
  <c r="U57" i="170"/>
  <c r="U57" i="177"/>
  <c r="L35" i="112"/>
  <c r="I7" i="123"/>
  <c r="O58" i="158"/>
  <c r="O33" i="158"/>
  <c r="O28" i="158"/>
  <c r="O59" i="158"/>
  <c r="O48" i="158"/>
  <c r="P47" i="119"/>
  <c r="P29" i="119"/>
  <c r="K7" i="165"/>
  <c r="E35" i="120"/>
  <c r="U33" i="151" s="1"/>
  <c r="E47" i="120"/>
  <c r="U45" i="151" s="1"/>
  <c r="L7" i="123"/>
  <c r="U20" i="170"/>
  <c r="U20" i="177"/>
  <c r="L47" i="112"/>
  <c r="O43" i="158"/>
  <c r="O36" i="158"/>
  <c r="O39" i="158"/>
  <c r="O25" i="158"/>
  <c r="P19" i="119"/>
  <c r="N7" i="165"/>
  <c r="P35" i="119"/>
  <c r="E55" i="120"/>
  <c r="U53" i="151" s="1"/>
  <c r="L19" i="112"/>
  <c r="O62" i="158"/>
  <c r="O52" i="158"/>
  <c r="O22" i="158"/>
  <c r="O20" i="158"/>
  <c r="O50" i="158"/>
  <c r="M7" i="123"/>
  <c r="AV3" i="156"/>
  <c r="AX3" i="156" s="1"/>
  <c r="AX4" i="156"/>
  <c r="E23" i="120"/>
  <c r="U21" i="151" s="1"/>
  <c r="E19" i="120"/>
  <c r="U17" i="151" s="1"/>
  <c r="D5" i="116"/>
  <c r="L64" i="112"/>
  <c r="L42" i="112"/>
  <c r="O44" i="158"/>
  <c r="O30" i="158"/>
  <c r="O57" i="158"/>
  <c r="O53" i="158"/>
  <c r="O31" i="158"/>
  <c r="E42" i="120"/>
  <c r="U40" i="151" s="1"/>
  <c r="E4" i="108"/>
  <c r="H7" i="165"/>
  <c r="L23" i="112"/>
  <c r="G86" i="189"/>
  <c r="P65" i="112"/>
  <c r="P41" i="112"/>
  <c r="P31" i="112"/>
  <c r="P26" i="112"/>
  <c r="P62" i="112"/>
  <c r="P20" i="112"/>
  <c r="P33" i="112"/>
  <c r="P59" i="112"/>
  <c r="P45" i="112"/>
  <c r="P44" i="112"/>
  <c r="P66" i="112"/>
  <c r="P32" i="112"/>
  <c r="Q82" i="120"/>
  <c r="Q80" i="120" s="1"/>
  <c r="AG8" i="122"/>
  <c r="G7" i="165"/>
  <c r="K56" i="111"/>
  <c r="K59" i="111"/>
  <c r="K45" i="111"/>
  <c r="K38" i="111"/>
  <c r="K34" i="111"/>
  <c r="K46" i="111"/>
  <c r="K32" i="111"/>
  <c r="K31" i="111"/>
  <c r="K51" i="111"/>
  <c r="K27" i="111"/>
  <c r="K53" i="111"/>
  <c r="K26" i="111"/>
  <c r="K33" i="111"/>
  <c r="K41" i="111"/>
  <c r="K67" i="111"/>
  <c r="K49" i="111"/>
  <c r="K43" i="111"/>
  <c r="K24" i="111"/>
  <c r="K60" i="111"/>
  <c r="K52" i="111"/>
  <c r="K28" i="111"/>
  <c r="K20" i="111"/>
  <c r="K44" i="111"/>
  <c r="K21" i="111"/>
  <c r="K62" i="111"/>
  <c r="K48" i="111"/>
  <c r="K65" i="111"/>
  <c r="K57" i="111"/>
  <c r="K39" i="111"/>
  <c r="K36" i="111"/>
  <c r="K66" i="111"/>
  <c r="K58" i="111"/>
  <c r="K63" i="111"/>
  <c r="K25" i="111"/>
  <c r="K37" i="111"/>
  <c r="K40" i="111"/>
  <c r="K22" i="111"/>
  <c r="K30" i="111"/>
  <c r="K54" i="111"/>
  <c r="M29" i="119"/>
  <c r="M55" i="119"/>
  <c r="M19" i="119"/>
  <c r="O38" i="111"/>
  <c r="O40" i="111"/>
  <c r="O22" i="111"/>
  <c r="O28" i="111"/>
  <c r="O24" i="111"/>
  <c r="O30" i="111"/>
  <c r="O34" i="111"/>
  <c r="O53" i="111"/>
  <c r="O65" i="111"/>
  <c r="O49" i="111"/>
  <c r="O45" i="111"/>
  <c r="O59" i="111"/>
  <c r="O37" i="111"/>
  <c r="O57" i="111"/>
  <c r="O43" i="111"/>
  <c r="O60" i="111"/>
  <c r="O41" i="111"/>
  <c r="O46" i="111"/>
  <c r="O44" i="111"/>
  <c r="O58" i="111"/>
  <c r="O52" i="111"/>
  <c r="O20" i="111"/>
  <c r="O26" i="111"/>
  <c r="O36" i="111"/>
  <c r="O31" i="111"/>
  <c r="O21" i="111"/>
  <c r="O33" i="111"/>
  <c r="O51" i="111"/>
  <c r="O39" i="111"/>
  <c r="O27" i="111"/>
  <c r="O67" i="111"/>
  <c r="O32" i="111"/>
  <c r="O63" i="111"/>
  <c r="O25" i="111"/>
  <c r="O50" i="111"/>
  <c r="O56" i="111"/>
  <c r="O62" i="111"/>
  <c r="O48" i="111"/>
  <c r="O54" i="111"/>
  <c r="O66" i="111"/>
  <c r="P74" i="120"/>
  <c r="J7" i="165"/>
  <c r="H7" i="123"/>
  <c r="W41" i="114"/>
  <c r="X101" i="114"/>
  <c r="E28" i="152"/>
  <c r="G125" i="189"/>
  <c r="AG10" i="122"/>
  <c r="N22" i="111"/>
  <c r="N67" i="111"/>
  <c r="N51" i="111"/>
  <c r="N65" i="111"/>
  <c r="N63" i="111"/>
  <c r="N58" i="111"/>
  <c r="N62" i="111"/>
  <c r="N57" i="111"/>
  <c r="N40" i="111"/>
  <c r="N28" i="111"/>
  <c r="N24" i="111"/>
  <c r="N25" i="111"/>
  <c r="N34" i="111"/>
  <c r="N27" i="111"/>
  <c r="N46" i="111"/>
  <c r="N38" i="111"/>
  <c r="N60" i="111"/>
  <c r="N41" i="111"/>
  <c r="N54" i="111"/>
  <c r="N36" i="111"/>
  <c r="N33" i="111"/>
  <c r="N53" i="111"/>
  <c r="N66" i="111"/>
  <c r="N32" i="111"/>
  <c r="N30" i="111"/>
  <c r="N56" i="111"/>
  <c r="N50" i="111"/>
  <c r="N31" i="111"/>
  <c r="N49" i="111"/>
  <c r="N45" i="111"/>
  <c r="N20" i="111"/>
  <c r="N59" i="111"/>
  <c r="N39" i="111"/>
  <c r="N44" i="111"/>
  <c r="N37" i="111"/>
  <c r="N43" i="111"/>
  <c r="N26" i="111"/>
  <c r="N52" i="111"/>
  <c r="N48" i="111"/>
  <c r="N21" i="111"/>
  <c r="M64" i="119"/>
  <c r="M47" i="119"/>
  <c r="M61" i="119"/>
  <c r="M35" i="119"/>
  <c r="M23" i="119"/>
  <c r="M42" i="119"/>
  <c r="W38" i="114"/>
  <c r="X98" i="114"/>
  <c r="I7" i="165"/>
  <c r="J7" i="86"/>
  <c r="G87" i="189"/>
  <c r="G92" i="189"/>
  <c r="AF5" i="122"/>
  <c r="AF1" i="122" s="1"/>
  <c r="AM46" i="99" l="1"/>
  <c r="AN46" i="99" s="1"/>
  <c r="AN12" i="99"/>
  <c r="AM12" i="99"/>
  <c r="AM13" i="99"/>
  <c r="AN13" i="99" s="1"/>
  <c r="AM38" i="99"/>
  <c r="AN38" i="99" s="1"/>
  <c r="AM28" i="99"/>
  <c r="AN28" i="99" s="1"/>
  <c r="AN15" i="99"/>
  <c r="AM15" i="99"/>
  <c r="AM41" i="99"/>
  <c r="AN41" i="99" s="1"/>
  <c r="AM54" i="99"/>
  <c r="AN54" i="99" s="1"/>
  <c r="AM17" i="99"/>
  <c r="AN9" i="99"/>
  <c r="AM9" i="99"/>
  <c r="AM26" i="99"/>
  <c r="AN26" i="99" s="1"/>
  <c r="AM27" i="99"/>
  <c r="AN27" i="99" s="1"/>
  <c r="AM14" i="99"/>
  <c r="AN14" i="99" s="1"/>
  <c r="AN18" i="99"/>
  <c r="AM18" i="99"/>
  <c r="AM31" i="99"/>
  <c r="AN31" i="99" s="1"/>
  <c r="AM43" i="99"/>
  <c r="AM42" i="99" s="1"/>
  <c r="AM53" i="99"/>
  <c r="AN53" i="99" s="1"/>
  <c r="AN21" i="99"/>
  <c r="AM21" i="99"/>
  <c r="AM36" i="99"/>
  <c r="AN36" i="99" s="1"/>
  <c r="AM37" i="99"/>
  <c r="AN37" i="99" s="1"/>
  <c r="AM40" i="99"/>
  <c r="AN40" i="99" s="1"/>
  <c r="AN19" i="99"/>
  <c r="AM19" i="99"/>
  <c r="AM32" i="99"/>
  <c r="AN32" i="99" s="1"/>
  <c r="AM44" i="99"/>
  <c r="AN44" i="99" s="1"/>
  <c r="AM24" i="99"/>
  <c r="AN24" i="99" s="1"/>
  <c r="AN47" i="99"/>
  <c r="AM47" i="99"/>
  <c r="AM50" i="99"/>
  <c r="AN50" i="99" s="1"/>
  <c r="AM8" i="99"/>
  <c r="AN8" i="99" s="1"/>
  <c r="AM20" i="99"/>
  <c r="AN20" i="99" s="1"/>
  <c r="AN33" i="99"/>
  <c r="AM33" i="99"/>
  <c r="AM45" i="99"/>
  <c r="AN45" i="99" s="1"/>
  <c r="AN38" i="108"/>
  <c r="AN36" i="108"/>
  <c r="AN41" i="108"/>
  <c r="AN37" i="108"/>
  <c r="AN39" i="108"/>
  <c r="AN40" i="108"/>
  <c r="AN18" i="108"/>
  <c r="AN8" i="108"/>
  <c r="AN47" i="108"/>
  <c r="AN9" i="108"/>
  <c r="U49" i="177"/>
  <c r="T10" i="114"/>
  <c r="C10" i="119"/>
  <c r="G8" i="153" s="1"/>
  <c r="U23" i="177"/>
  <c r="U44" i="170"/>
  <c r="G115" i="212"/>
  <c r="G115" i="213"/>
  <c r="G122" i="212"/>
  <c r="G122" i="213"/>
  <c r="G94" i="212"/>
  <c r="G94" i="213"/>
  <c r="G100" i="212"/>
  <c r="G100" i="213"/>
  <c r="G116" i="212"/>
  <c r="G116" i="213"/>
  <c r="G123" i="212"/>
  <c r="G123" i="213"/>
  <c r="G101" i="212"/>
  <c r="G101" i="213"/>
  <c r="G98" i="212"/>
  <c r="G98" i="213"/>
  <c r="G86" i="212"/>
  <c r="G86" i="213"/>
  <c r="G96" i="212"/>
  <c r="G96" i="213"/>
  <c r="G127" i="212"/>
  <c r="G127" i="213"/>
  <c r="G108" i="212"/>
  <c r="G108" i="213"/>
  <c r="G91" i="212"/>
  <c r="G91" i="213"/>
  <c r="G85" i="212"/>
  <c r="G85" i="213"/>
  <c r="G103" i="212"/>
  <c r="G103" i="213"/>
  <c r="G107" i="212"/>
  <c r="G107" i="213"/>
  <c r="G121" i="212"/>
  <c r="G121" i="213"/>
  <c r="G113" i="212"/>
  <c r="G113" i="213"/>
  <c r="G114" i="212"/>
  <c r="G114" i="213"/>
  <c r="G105" i="212"/>
  <c r="G105" i="213"/>
  <c r="G126" i="212"/>
  <c r="G126" i="213"/>
  <c r="G104" i="212"/>
  <c r="G104" i="213"/>
  <c r="G102" i="212"/>
  <c r="G102" i="213"/>
  <c r="G88" i="212"/>
  <c r="G88" i="213"/>
  <c r="G95" i="212"/>
  <c r="G95" i="213"/>
  <c r="G90" i="212"/>
  <c r="G90" i="213"/>
  <c r="G131" i="212"/>
  <c r="G131" i="213"/>
  <c r="G97" i="212"/>
  <c r="G97" i="213"/>
  <c r="G109" i="212"/>
  <c r="G109" i="213"/>
  <c r="G117" i="212"/>
  <c r="G117" i="213"/>
  <c r="G89" i="212"/>
  <c r="G89" i="213"/>
  <c r="G84" i="212"/>
  <c r="G84" i="213"/>
  <c r="G129" i="212"/>
  <c r="G129" i="213"/>
  <c r="G124" i="212"/>
  <c r="G124" i="213"/>
  <c r="G110" i="212"/>
  <c r="G110" i="213"/>
  <c r="G120" i="212"/>
  <c r="G120" i="213"/>
  <c r="G118" i="212"/>
  <c r="G118" i="213"/>
  <c r="G130" i="212"/>
  <c r="G130" i="213"/>
  <c r="AM41" i="108"/>
  <c r="AM39" i="108"/>
  <c r="AM15" i="108"/>
  <c r="AM54" i="108"/>
  <c r="AN54" i="108" s="1"/>
  <c r="AM12" i="108"/>
  <c r="AM53" i="108"/>
  <c r="AN53" i="108" s="1"/>
  <c r="AM18" i="108"/>
  <c r="AM32" i="108"/>
  <c r="AN32" i="108" s="1"/>
  <c r="AM37" i="108"/>
  <c r="AM9" i="108"/>
  <c r="AM20" i="108"/>
  <c r="AN20" i="108" s="1"/>
  <c r="AM19" i="108"/>
  <c r="AN19" i="108" s="1"/>
  <c r="AM44" i="108"/>
  <c r="AM21" i="108"/>
  <c r="AN21" i="108" s="1"/>
  <c r="AM26" i="108"/>
  <c r="AN26" i="108" s="1"/>
  <c r="AM47" i="108"/>
  <c r="W8" i="114"/>
  <c r="T16" i="114"/>
  <c r="T22" i="114"/>
  <c r="X110" i="114"/>
  <c r="X50" i="114" s="1"/>
  <c r="Z87" i="114"/>
  <c r="AA87" i="114" s="1"/>
  <c r="Y79" i="114"/>
  <c r="Y19" i="114" s="1"/>
  <c r="X27" i="114"/>
  <c r="T34" i="114"/>
  <c r="W27" i="114"/>
  <c r="X112" i="114"/>
  <c r="X52" i="114" s="1"/>
  <c r="U22" i="170"/>
  <c r="U29" i="170"/>
  <c r="M46" i="112"/>
  <c r="M28" i="112"/>
  <c r="M21" i="112"/>
  <c r="M65" i="112"/>
  <c r="J130" i="188" s="1"/>
  <c r="M43" i="112"/>
  <c r="M67" i="112"/>
  <c r="M36" i="112"/>
  <c r="M40" i="112"/>
  <c r="M31" i="112"/>
  <c r="M32" i="112"/>
  <c r="M53" i="112"/>
  <c r="M60" i="112"/>
  <c r="M24" i="112"/>
  <c r="M54" i="112"/>
  <c r="M20" i="112"/>
  <c r="M49" i="112"/>
  <c r="M39" i="112"/>
  <c r="M22" i="112"/>
  <c r="M45" i="112"/>
  <c r="M25" i="112"/>
  <c r="M52" i="112"/>
  <c r="M57" i="112"/>
  <c r="M48" i="112"/>
  <c r="X84" i="114"/>
  <c r="Y84" i="114" s="1"/>
  <c r="Z84" i="114" s="1"/>
  <c r="U42" i="114"/>
  <c r="Z27" i="114"/>
  <c r="E120" i="206"/>
  <c r="N120" i="206"/>
  <c r="O120" i="114"/>
  <c r="R34" i="114"/>
  <c r="R29" i="114"/>
  <c r="S42" i="114"/>
  <c r="N51" i="206"/>
  <c r="N4" i="206" s="1"/>
  <c r="S34" i="114"/>
  <c r="CW53" i="129"/>
  <c r="J99" i="188"/>
  <c r="G59" i="134"/>
  <c r="U24" i="177"/>
  <c r="J99" i="189"/>
  <c r="G45" i="134"/>
  <c r="M64" i="111"/>
  <c r="M16" i="111" s="1"/>
  <c r="J87" i="189"/>
  <c r="M23" i="111"/>
  <c r="G53" i="152"/>
  <c r="U34" i="170"/>
  <c r="M47" i="111"/>
  <c r="M13" i="111" s="1"/>
  <c r="G40" i="153"/>
  <c r="D64" i="120"/>
  <c r="U62" i="152" s="1"/>
  <c r="M19" i="111"/>
  <c r="G13" i="112"/>
  <c r="J11" i="157" s="1"/>
  <c r="J59" i="157"/>
  <c r="M42" i="111"/>
  <c r="M12" i="111" s="1"/>
  <c r="M35" i="111"/>
  <c r="M11" i="111" s="1"/>
  <c r="H61" i="111"/>
  <c r="H15" i="111" s="1"/>
  <c r="M55" i="111"/>
  <c r="M29" i="111"/>
  <c r="BS49" i="129"/>
  <c r="E64" i="111"/>
  <c r="E16" i="111" s="1"/>
  <c r="E14" i="151" s="1"/>
  <c r="M61" i="111"/>
  <c r="M15" i="111" s="1"/>
  <c r="G64" i="111"/>
  <c r="G16" i="111" s="1"/>
  <c r="E14" i="157" s="1"/>
  <c r="J41" i="111"/>
  <c r="CC41" i="129" s="1"/>
  <c r="J31" i="111"/>
  <c r="J51" i="111"/>
  <c r="BS60" i="129"/>
  <c r="J66" i="111"/>
  <c r="E55" i="111"/>
  <c r="E14" i="111" s="1"/>
  <c r="E12" i="151" s="1"/>
  <c r="D61" i="111"/>
  <c r="D15" i="111" s="1"/>
  <c r="E13" i="152" s="1"/>
  <c r="BS59" i="129"/>
  <c r="E61" i="111"/>
  <c r="E15" i="111" s="1"/>
  <c r="E13" i="151" s="1"/>
  <c r="J43" i="111"/>
  <c r="J33" i="111"/>
  <c r="BS46" i="129"/>
  <c r="I19" i="111"/>
  <c r="I8" i="111" s="1"/>
  <c r="I42" i="111"/>
  <c r="I12" i="111" s="1"/>
  <c r="J110" i="188"/>
  <c r="R86" i="120"/>
  <c r="AI19" i="122"/>
  <c r="AJ19" i="122" s="1"/>
  <c r="T51" i="206"/>
  <c r="S48" i="206"/>
  <c r="S48" i="114"/>
  <c r="G23" i="111"/>
  <c r="G9" i="111" s="1"/>
  <c r="E7" i="157" s="1"/>
  <c r="M37" i="112"/>
  <c r="M58" i="112"/>
  <c r="M62" i="112"/>
  <c r="AL36" i="122"/>
  <c r="V96" i="120" s="1"/>
  <c r="T42" i="114"/>
  <c r="U48" i="114"/>
  <c r="G107" i="211"/>
  <c r="G85" i="211"/>
  <c r="G101" i="211"/>
  <c r="G114" i="211"/>
  <c r="G110" i="211"/>
  <c r="G98" i="211"/>
  <c r="G97" i="211"/>
  <c r="G120" i="211"/>
  <c r="G117" i="211"/>
  <c r="G131" i="211"/>
  <c r="F16" i="119"/>
  <c r="G14" i="134" s="1"/>
  <c r="G94" i="211"/>
  <c r="G100" i="211"/>
  <c r="G96" i="211"/>
  <c r="I12" i="119"/>
  <c r="G103" i="211"/>
  <c r="G126" i="211"/>
  <c r="G129" i="211"/>
  <c r="G121" i="211"/>
  <c r="G88" i="211"/>
  <c r="G115" i="211"/>
  <c r="G118" i="211"/>
  <c r="G95" i="211"/>
  <c r="G84" i="211"/>
  <c r="G89" i="211"/>
  <c r="G108" i="211"/>
  <c r="G127" i="211"/>
  <c r="L12" i="119"/>
  <c r="G62" i="153"/>
  <c r="J98" i="188"/>
  <c r="F8" i="119"/>
  <c r="G6" i="134" s="1"/>
  <c r="G53" i="157"/>
  <c r="J85" i="189"/>
  <c r="O14" i="119"/>
  <c r="G17" i="157"/>
  <c r="J132" i="189"/>
  <c r="O8" i="119"/>
  <c r="G27" i="134"/>
  <c r="E63" i="157"/>
  <c r="D35" i="111"/>
  <c r="D11" i="111" s="1"/>
  <c r="E9" i="152" s="1"/>
  <c r="E60" i="151"/>
  <c r="AE62" i="129" s="1"/>
  <c r="CW58" i="129"/>
  <c r="CW40" i="129"/>
  <c r="CW33" i="129"/>
  <c r="J115" i="189"/>
  <c r="J110" i="189"/>
  <c r="E22" i="157"/>
  <c r="C9" i="119"/>
  <c r="G7" i="153" s="1"/>
  <c r="J130" i="189"/>
  <c r="U64" i="177"/>
  <c r="CW52" i="129"/>
  <c r="D8" i="119"/>
  <c r="G6" i="152" s="1"/>
  <c r="G62" i="157"/>
  <c r="J104" i="189"/>
  <c r="U28" i="177"/>
  <c r="O11" i="119"/>
  <c r="I55" i="112"/>
  <c r="I14" i="112" s="1"/>
  <c r="J117" i="189"/>
  <c r="J113" i="189"/>
  <c r="U51" i="177"/>
  <c r="BS58" i="129"/>
  <c r="J90" i="189"/>
  <c r="J119" i="189"/>
  <c r="O16" i="119"/>
  <c r="E19" i="111"/>
  <c r="E17" i="151" s="1"/>
  <c r="J117" i="188"/>
  <c r="CW37" i="129"/>
  <c r="O15" i="119"/>
  <c r="J93" i="189"/>
  <c r="J114" i="188"/>
  <c r="J109" i="189"/>
  <c r="J116" i="189"/>
  <c r="BS52" i="129"/>
  <c r="N8" i="119"/>
  <c r="J95" i="188"/>
  <c r="E29" i="111"/>
  <c r="E10" i="111" s="1"/>
  <c r="E8" i="151" s="1"/>
  <c r="L42" i="111"/>
  <c r="L12" i="111" s="1"/>
  <c r="D11" i="119"/>
  <c r="G9" i="152" s="1"/>
  <c r="J109" i="188"/>
  <c r="G120" i="189"/>
  <c r="AY33" i="129"/>
  <c r="D15" i="119"/>
  <c r="G13" i="152" s="1"/>
  <c r="J53" i="157"/>
  <c r="H64" i="111"/>
  <c r="H16" i="111" s="1"/>
  <c r="J114" i="189"/>
  <c r="AY53" i="129"/>
  <c r="I64" i="111"/>
  <c r="I16" i="111" s="1"/>
  <c r="I61" i="111"/>
  <c r="I15" i="111" s="1"/>
  <c r="L15" i="119"/>
  <c r="U47" i="177"/>
  <c r="U41" i="177"/>
  <c r="G21" i="134"/>
  <c r="J103" i="188"/>
  <c r="J127" i="189"/>
  <c r="J86" i="189"/>
  <c r="J90" i="188"/>
  <c r="J105" i="189"/>
  <c r="G42" i="111"/>
  <c r="E40" i="157" s="1"/>
  <c r="O12" i="119"/>
  <c r="C64" i="111"/>
  <c r="E62" i="153" s="1"/>
  <c r="L29" i="111"/>
  <c r="N19" i="112"/>
  <c r="N8" i="112" s="1"/>
  <c r="D16" i="119"/>
  <c r="G14" i="152" s="1"/>
  <c r="O9" i="119"/>
  <c r="G55" i="120"/>
  <c r="G14" i="120" s="1"/>
  <c r="U12" i="157" s="1"/>
  <c r="E35" i="111"/>
  <c r="E11" i="111" s="1"/>
  <c r="E9" i="151" s="1"/>
  <c r="D23" i="120"/>
  <c r="U21" i="152" s="1"/>
  <c r="I35" i="112"/>
  <c r="I11" i="112" s="1"/>
  <c r="G45" i="157"/>
  <c r="F14" i="119"/>
  <c r="G12" i="134" s="1"/>
  <c r="J101" i="188"/>
  <c r="J101" i="189"/>
  <c r="CW50" i="129"/>
  <c r="I29" i="111"/>
  <c r="I10" i="111" s="1"/>
  <c r="U42" i="177"/>
  <c r="U46" i="170"/>
  <c r="CW27" i="129"/>
  <c r="K16" i="119"/>
  <c r="K18" i="119" s="1"/>
  <c r="K17" i="119" s="1"/>
  <c r="J128" i="188"/>
  <c r="I9" i="119"/>
  <c r="E47" i="112"/>
  <c r="J45" i="151" s="1"/>
  <c r="J111" i="189"/>
  <c r="J104" i="188"/>
  <c r="J106" i="188"/>
  <c r="J96" i="189"/>
  <c r="D42" i="111"/>
  <c r="D12" i="111" s="1"/>
  <c r="E10" i="152" s="1"/>
  <c r="U18" i="177"/>
  <c r="U61" i="170"/>
  <c r="G61" i="158"/>
  <c r="G15" i="158" s="1"/>
  <c r="M31" i="199" s="1"/>
  <c r="F61" i="112"/>
  <c r="F15" i="112" s="1"/>
  <c r="J13" i="134" s="1"/>
  <c r="J115" i="188"/>
  <c r="U37" i="170"/>
  <c r="E47" i="111"/>
  <c r="E45" i="151" s="1"/>
  <c r="U26" i="177"/>
  <c r="I64" i="112"/>
  <c r="I16" i="112" s="1"/>
  <c r="H23" i="111"/>
  <c r="H9" i="111" s="1"/>
  <c r="D13" i="119"/>
  <c r="G11" i="152" s="1"/>
  <c r="J108" i="189"/>
  <c r="G59" i="153"/>
  <c r="E23" i="111"/>
  <c r="E9" i="111" s="1"/>
  <c r="E7" i="151" s="1"/>
  <c r="CW63" i="129"/>
  <c r="H64" i="120"/>
  <c r="U62" i="177" s="1"/>
  <c r="D64" i="112"/>
  <c r="J62" i="152" s="1"/>
  <c r="G35" i="120"/>
  <c r="G11" i="120" s="1"/>
  <c r="U9" i="157" s="1"/>
  <c r="U19" i="170"/>
  <c r="J132" i="188"/>
  <c r="C13" i="119"/>
  <c r="G11" i="153" s="1"/>
  <c r="G45" i="153"/>
  <c r="D42" i="112"/>
  <c r="J40" i="152" s="1"/>
  <c r="U61" i="177"/>
  <c r="I11" i="119"/>
  <c r="J92" i="189"/>
  <c r="C19" i="111"/>
  <c r="E17" i="153" s="1"/>
  <c r="E18" i="151"/>
  <c r="AE20" i="129" s="1"/>
  <c r="H23" i="120"/>
  <c r="U21" i="170" s="1"/>
  <c r="D47" i="112"/>
  <c r="D13" i="112" s="1"/>
  <c r="J11" i="152" s="1"/>
  <c r="J116" i="188"/>
  <c r="J85" i="188"/>
  <c r="G47" i="111"/>
  <c r="G13" i="111" s="1"/>
  <c r="E11" i="157" s="1"/>
  <c r="J118" i="189"/>
  <c r="L55" i="111"/>
  <c r="U55" i="170"/>
  <c r="U63" i="170"/>
  <c r="L61" i="111"/>
  <c r="L15" i="111" s="1"/>
  <c r="U32" i="170"/>
  <c r="G11" i="119"/>
  <c r="G9" i="157" s="1"/>
  <c r="G107" i="189"/>
  <c r="G19" i="120"/>
  <c r="U17" i="157" s="1"/>
  <c r="O61" i="112"/>
  <c r="J122" i="189"/>
  <c r="J131" i="189"/>
  <c r="G21" i="157"/>
  <c r="H19" i="120"/>
  <c r="H8" i="120" s="1"/>
  <c r="G61" i="120"/>
  <c r="U59" i="157" s="1"/>
  <c r="C42" i="111"/>
  <c r="C12" i="111" s="1"/>
  <c r="E10" i="153" s="1"/>
  <c r="D29" i="111"/>
  <c r="E27" i="152" s="1"/>
  <c r="E42" i="111"/>
  <c r="E12" i="111" s="1"/>
  <c r="E10" i="151" s="1"/>
  <c r="G35" i="111"/>
  <c r="G11" i="111" s="1"/>
  <c r="E9" i="157" s="1"/>
  <c r="G29" i="120"/>
  <c r="J108" i="188"/>
  <c r="D23" i="111"/>
  <c r="E21" i="152" s="1"/>
  <c r="J125" i="189"/>
  <c r="R42" i="206"/>
  <c r="S51" i="206"/>
  <c r="G21" i="152"/>
  <c r="D9" i="119"/>
  <c r="G7" i="152" s="1"/>
  <c r="N61" i="112"/>
  <c r="L10" i="119"/>
  <c r="P49" i="112"/>
  <c r="H29" i="120"/>
  <c r="U27" i="177" s="1"/>
  <c r="G29" i="111"/>
  <c r="E27" i="157" s="1"/>
  <c r="P28" i="112"/>
  <c r="F23" i="112"/>
  <c r="J21" i="134" s="1"/>
  <c r="S22" i="206"/>
  <c r="U29" i="114"/>
  <c r="P21" i="112"/>
  <c r="G9" i="112"/>
  <c r="J7" i="157" s="1"/>
  <c r="J89" i="189"/>
  <c r="L47" i="111"/>
  <c r="L23" i="111"/>
  <c r="L9" i="111" s="1"/>
  <c r="P46" i="112"/>
  <c r="P22" i="112"/>
  <c r="U31" i="177"/>
  <c r="H55" i="120"/>
  <c r="H14" i="120" s="1"/>
  <c r="R53" i="119"/>
  <c r="G117" i="192" s="1"/>
  <c r="N9" i="119"/>
  <c r="AY27" i="129"/>
  <c r="G53" i="153"/>
  <c r="J106" i="189"/>
  <c r="F23" i="111"/>
  <c r="E21" i="134" s="1"/>
  <c r="AO23" i="129" s="1"/>
  <c r="AO9" i="129" s="1"/>
  <c r="N42" i="112"/>
  <c r="J123" i="189"/>
  <c r="J125" i="188"/>
  <c r="J102" i="189"/>
  <c r="P50" i="112"/>
  <c r="U30" i="177"/>
  <c r="L11" i="119"/>
  <c r="I29" i="112"/>
  <c r="I10" i="112" s="1"/>
  <c r="D29" i="112"/>
  <c r="J27" i="152" s="1"/>
  <c r="K35" i="112"/>
  <c r="K11" i="112" s="1"/>
  <c r="O55" i="112"/>
  <c r="K64" i="112"/>
  <c r="U51" i="206"/>
  <c r="U34" i="114"/>
  <c r="E63" i="153"/>
  <c r="K65" i="129" s="1"/>
  <c r="C35" i="111"/>
  <c r="E33" i="153" s="1"/>
  <c r="L35" i="111"/>
  <c r="L11" i="111" s="1"/>
  <c r="P53" i="112"/>
  <c r="P24" i="112"/>
  <c r="G19" i="111"/>
  <c r="E17" i="157" s="1"/>
  <c r="U25" i="170"/>
  <c r="U54" i="170"/>
  <c r="R26" i="119"/>
  <c r="G90" i="192" s="1"/>
  <c r="J22" i="134"/>
  <c r="J87" i="188"/>
  <c r="CW54" i="129"/>
  <c r="I42" i="112"/>
  <c r="I12" i="112" s="1"/>
  <c r="O19" i="112"/>
  <c r="K42" i="112"/>
  <c r="K12" i="112" s="1"/>
  <c r="J131" i="188"/>
  <c r="G40" i="157"/>
  <c r="AL45" i="122"/>
  <c r="V108" i="120" s="1"/>
  <c r="P56" i="112"/>
  <c r="F11" i="119"/>
  <c r="G9" i="134" s="1"/>
  <c r="K61" i="112"/>
  <c r="K15" i="112" s="1"/>
  <c r="J97" i="188"/>
  <c r="P48" i="112"/>
  <c r="F29" i="112"/>
  <c r="J27" i="134" s="1"/>
  <c r="AY49" i="129"/>
  <c r="D55" i="112"/>
  <c r="D14" i="112" s="1"/>
  <c r="J12" i="152" s="1"/>
  <c r="D12" i="119"/>
  <c r="G10" i="152" s="1"/>
  <c r="O23" i="112"/>
  <c r="O9" i="112" s="1"/>
  <c r="I47" i="111"/>
  <c r="I13" i="111" s="1"/>
  <c r="P58" i="112"/>
  <c r="P37" i="112"/>
  <c r="G61" i="111"/>
  <c r="G15" i="111" s="1"/>
  <c r="E13" i="157" s="1"/>
  <c r="U65" i="170"/>
  <c r="D61" i="120"/>
  <c r="U59" i="152" s="1"/>
  <c r="R24" i="119"/>
  <c r="G88" i="192" s="1"/>
  <c r="R32" i="119"/>
  <c r="G96" i="192" s="1"/>
  <c r="C8" i="119"/>
  <c r="G6" i="153" s="1"/>
  <c r="G23" i="120"/>
  <c r="G9" i="120" s="1"/>
  <c r="U7" i="157" s="1"/>
  <c r="J111" i="188"/>
  <c r="T10" i="206"/>
  <c r="P63" i="112"/>
  <c r="P61" i="112" s="1"/>
  <c r="D35" i="120"/>
  <c r="U33" i="152" s="1"/>
  <c r="X107" i="114"/>
  <c r="X47" i="114" s="1"/>
  <c r="D19" i="111"/>
  <c r="D8" i="111" s="1"/>
  <c r="D55" i="120"/>
  <c r="U53" i="152" s="1"/>
  <c r="U36" i="170"/>
  <c r="P36" i="112"/>
  <c r="CW26" i="129"/>
  <c r="V51" i="206"/>
  <c r="R42" i="114"/>
  <c r="D47" i="111"/>
  <c r="E45" i="152" s="1"/>
  <c r="D55" i="111"/>
  <c r="E53" i="152" s="1"/>
  <c r="P60" i="112"/>
  <c r="P25" i="112"/>
  <c r="U48" i="170"/>
  <c r="E61" i="112"/>
  <c r="J59" i="151" s="1"/>
  <c r="D19" i="120"/>
  <c r="U17" i="152" s="1"/>
  <c r="U39" i="177"/>
  <c r="R39" i="119"/>
  <c r="G103" i="192" s="1"/>
  <c r="T11" i="176"/>
  <c r="L8" i="119"/>
  <c r="I19" i="112"/>
  <c r="I8" i="112" s="1"/>
  <c r="AY52" i="129"/>
  <c r="BI67" i="129"/>
  <c r="J119" i="188"/>
  <c r="S119" i="120"/>
  <c r="S118" i="120" s="1"/>
  <c r="J128" i="189"/>
  <c r="AK43" i="122"/>
  <c r="U107" i="120" s="1"/>
  <c r="I15" i="119"/>
  <c r="J27" i="157"/>
  <c r="P39" i="112"/>
  <c r="D23" i="112"/>
  <c r="L64" i="111"/>
  <c r="F55" i="111"/>
  <c r="F14" i="111" s="1"/>
  <c r="E12" i="134" s="1"/>
  <c r="I47" i="112"/>
  <c r="I13" i="112" s="1"/>
  <c r="P57" i="112"/>
  <c r="R57" i="119"/>
  <c r="G121" i="192" s="1"/>
  <c r="R44" i="119"/>
  <c r="G108" i="192" s="1"/>
  <c r="D64" i="111"/>
  <c r="E62" i="152" s="1"/>
  <c r="P67" i="112"/>
  <c r="P52" i="112"/>
  <c r="R27" i="119"/>
  <c r="CW46" i="129"/>
  <c r="G33" i="153"/>
  <c r="J118" i="188"/>
  <c r="S10" i="206"/>
  <c r="R34" i="206"/>
  <c r="H42" i="120"/>
  <c r="U40" i="170" s="1"/>
  <c r="E35" i="112"/>
  <c r="J33" i="151" s="1"/>
  <c r="P34" i="112"/>
  <c r="P27" i="112"/>
  <c r="U56" i="170"/>
  <c r="H55" i="112"/>
  <c r="H14" i="112" s="1"/>
  <c r="J89" i="188"/>
  <c r="U52" i="170"/>
  <c r="P43" i="112"/>
  <c r="F55" i="112"/>
  <c r="F14" i="112" s="1"/>
  <c r="J12" i="134" s="1"/>
  <c r="G10" i="119"/>
  <c r="G8" i="157" s="1"/>
  <c r="F19" i="111"/>
  <c r="F8" i="111" s="1"/>
  <c r="E6" i="134" s="1"/>
  <c r="C61" i="111"/>
  <c r="C15" i="111" s="1"/>
  <c r="E13" i="153" s="1"/>
  <c r="T34" i="206"/>
  <c r="I8" i="119"/>
  <c r="J40" i="157"/>
  <c r="N64" i="112"/>
  <c r="R38" i="119"/>
  <c r="G102" i="192" s="1"/>
  <c r="C29" i="111"/>
  <c r="C10" i="111" s="1"/>
  <c r="E8" i="153" s="1"/>
  <c r="P54" i="112"/>
  <c r="P40" i="112"/>
  <c r="U43" i="170"/>
  <c r="R36" i="119"/>
  <c r="G100" i="192" s="1"/>
  <c r="P38" i="112"/>
  <c r="P51" i="112"/>
  <c r="J122" i="188"/>
  <c r="R33" i="119"/>
  <c r="G97" i="192" s="1"/>
  <c r="D61" i="112"/>
  <c r="K55" i="112"/>
  <c r="T96" i="120"/>
  <c r="F12" i="119"/>
  <c r="G10" i="134" s="1"/>
  <c r="H35" i="120"/>
  <c r="U33" i="170" s="1"/>
  <c r="V10" i="206"/>
  <c r="I16" i="119"/>
  <c r="G64" i="120"/>
  <c r="U83" i="120"/>
  <c r="AL33" i="122"/>
  <c r="R22" i="206"/>
  <c r="J60" i="111"/>
  <c r="F19" i="112"/>
  <c r="F8" i="112" s="1"/>
  <c r="BI56" i="129"/>
  <c r="D35" i="112"/>
  <c r="J86" i="188"/>
  <c r="H47" i="111"/>
  <c r="H13" i="111" s="1"/>
  <c r="O47" i="112"/>
  <c r="J30" i="111"/>
  <c r="J63" i="111"/>
  <c r="E28" i="157"/>
  <c r="U35" i="170"/>
  <c r="U58" i="177"/>
  <c r="E42" i="112"/>
  <c r="E12" i="112" s="1"/>
  <c r="J10" i="151" s="1"/>
  <c r="R20" i="119"/>
  <c r="G84" i="192" s="1"/>
  <c r="R25" i="119"/>
  <c r="G89" i="192" s="1"/>
  <c r="R56" i="119"/>
  <c r="G120" i="192" s="1"/>
  <c r="G129" i="189"/>
  <c r="F47" i="112"/>
  <c r="F13" i="112" s="1"/>
  <c r="J11" i="134" s="1"/>
  <c r="E55" i="112"/>
  <c r="J105" i="188"/>
  <c r="N35" i="112"/>
  <c r="H29" i="111"/>
  <c r="H10" i="111" s="1"/>
  <c r="G47" i="120"/>
  <c r="U45" i="157" s="1"/>
  <c r="O42" i="112"/>
  <c r="O12" i="112" s="1"/>
  <c r="H29" i="112"/>
  <c r="H10" i="112" s="1"/>
  <c r="S123" i="120"/>
  <c r="V34" i="206"/>
  <c r="U113" i="120"/>
  <c r="W23" i="206"/>
  <c r="X83" i="206"/>
  <c r="X96" i="206"/>
  <c r="W36" i="206"/>
  <c r="U6" i="206"/>
  <c r="X85" i="206"/>
  <c r="W25" i="206"/>
  <c r="X109" i="206"/>
  <c r="W49" i="206"/>
  <c r="AL16" i="99"/>
  <c r="X106" i="206"/>
  <c r="W46" i="206"/>
  <c r="J20" i="111"/>
  <c r="J53" i="111"/>
  <c r="I55" i="111"/>
  <c r="I14" i="111" s="1"/>
  <c r="G55" i="111"/>
  <c r="E53" i="157" s="1"/>
  <c r="U35" i="177"/>
  <c r="R30" i="119"/>
  <c r="R46" i="119"/>
  <c r="G110" i="192" s="1"/>
  <c r="R58" i="119"/>
  <c r="G122" i="192" s="1"/>
  <c r="CW59" i="129"/>
  <c r="C47" i="111"/>
  <c r="C13" i="111" s="1"/>
  <c r="E11" i="153" s="1"/>
  <c r="J57" i="111"/>
  <c r="CC57" i="129" s="1"/>
  <c r="J67" i="111"/>
  <c r="I23" i="111"/>
  <c r="I9" i="111" s="1"/>
  <c r="AG5" i="122"/>
  <c r="AG1" i="122" s="1"/>
  <c r="R28" i="119"/>
  <c r="R41" i="119"/>
  <c r="G105" i="192" s="1"/>
  <c r="R48" i="119"/>
  <c r="F61" i="111"/>
  <c r="F15" i="111" s="1"/>
  <c r="E13" i="134" s="1"/>
  <c r="DH23" i="129"/>
  <c r="DH9" i="129" s="1"/>
  <c r="F35" i="112"/>
  <c r="F11" i="112" s="1"/>
  <c r="J9" i="134" s="1"/>
  <c r="BI63" i="129"/>
  <c r="N29" i="112"/>
  <c r="S106" i="120"/>
  <c r="O35" i="112"/>
  <c r="X95" i="206"/>
  <c r="W35" i="206"/>
  <c r="AL37" i="122"/>
  <c r="U34" i="206"/>
  <c r="T48" i="206"/>
  <c r="S29" i="206"/>
  <c r="W39" i="206"/>
  <c r="X99" i="206"/>
  <c r="X71" i="206"/>
  <c r="W11" i="206"/>
  <c r="X81" i="206"/>
  <c r="W21" i="206"/>
  <c r="S103" i="120"/>
  <c r="S99" i="120" s="1"/>
  <c r="X113" i="114"/>
  <c r="W53" i="114"/>
  <c r="W51" i="114" s="1"/>
  <c r="W47" i="206"/>
  <c r="X107" i="206"/>
  <c r="J36" i="111"/>
  <c r="J56" i="111"/>
  <c r="G27" i="152"/>
  <c r="D10" i="119"/>
  <c r="G8" i="152" s="1"/>
  <c r="F42" i="112"/>
  <c r="F12" i="112" s="1"/>
  <c r="J10" i="134" s="1"/>
  <c r="W35" i="114"/>
  <c r="W34" i="114" s="1"/>
  <c r="U51" i="114"/>
  <c r="F64" i="112"/>
  <c r="F16" i="112" s="1"/>
  <c r="J14" i="134" s="1"/>
  <c r="K29" i="112"/>
  <c r="K10" i="112" s="1"/>
  <c r="K47" i="112"/>
  <c r="K13" i="112" s="1"/>
  <c r="X75" i="206"/>
  <c r="W15" i="206"/>
  <c r="T22" i="206"/>
  <c r="W14" i="206"/>
  <c r="X74" i="206"/>
  <c r="AK54" i="122"/>
  <c r="U110" i="120" s="1"/>
  <c r="T84" i="120"/>
  <c r="AK35" i="122"/>
  <c r="U84" i="120" s="1"/>
  <c r="Y112" i="114"/>
  <c r="Y52" i="114" s="1"/>
  <c r="U10" i="206"/>
  <c r="S121" i="120"/>
  <c r="J45" i="111"/>
  <c r="E18" i="153"/>
  <c r="K20" i="129" s="1"/>
  <c r="J32" i="111"/>
  <c r="J28" i="111"/>
  <c r="E64" i="112"/>
  <c r="R66" i="119"/>
  <c r="G130" i="192" s="1"/>
  <c r="R52" i="119"/>
  <c r="G116" i="192" s="1"/>
  <c r="E19" i="112"/>
  <c r="J17" i="151" s="1"/>
  <c r="F35" i="111"/>
  <c r="E33" i="134" s="1"/>
  <c r="AO35" i="129" s="1"/>
  <c r="AO11" i="129" s="1"/>
  <c r="Y96" i="114"/>
  <c r="Z96" i="114" s="1"/>
  <c r="AY46" i="129"/>
  <c r="AY32" i="129"/>
  <c r="N47" i="112"/>
  <c r="S97" i="120"/>
  <c r="AL25" i="99"/>
  <c r="S6" i="206"/>
  <c r="X80" i="206"/>
  <c r="W20" i="206"/>
  <c r="X69" i="206"/>
  <c r="W9" i="206"/>
  <c r="J124" i="188"/>
  <c r="X101" i="206"/>
  <c r="W41" i="206"/>
  <c r="X90" i="114"/>
  <c r="W30" i="114"/>
  <c r="W29" i="114" s="1"/>
  <c r="X100" i="206"/>
  <c r="W40" i="206"/>
  <c r="H47" i="120"/>
  <c r="U45" i="170" s="1"/>
  <c r="R16" i="206"/>
  <c r="J22" i="111"/>
  <c r="CC22" i="129" s="1"/>
  <c r="S89" i="120"/>
  <c r="R82" i="120"/>
  <c r="R80" i="120" s="1"/>
  <c r="J34" i="111"/>
  <c r="D47" i="120"/>
  <c r="U45" i="152" s="1"/>
  <c r="V16" i="206"/>
  <c r="D42" i="120"/>
  <c r="U40" i="152" s="1"/>
  <c r="R40" i="119"/>
  <c r="G104" i="192" s="1"/>
  <c r="J50" i="111"/>
  <c r="J46" i="111"/>
  <c r="CC46" i="129" s="1"/>
  <c r="R51" i="119"/>
  <c r="G115" i="192" s="1"/>
  <c r="D51" i="114"/>
  <c r="G12" i="120"/>
  <c r="U10" i="157" s="1"/>
  <c r="S88" i="120"/>
  <c r="O64" i="112"/>
  <c r="AJ37" i="122"/>
  <c r="AK37" i="122" s="1"/>
  <c r="H19" i="111"/>
  <c r="H8" i="111" s="1"/>
  <c r="BG16" i="156"/>
  <c r="AL35" i="122"/>
  <c r="V84" i="120" s="1"/>
  <c r="X98" i="206"/>
  <c r="W38" i="206"/>
  <c r="X87" i="206"/>
  <c r="W27" i="206"/>
  <c r="X105" i="206"/>
  <c r="W45" i="206"/>
  <c r="W30" i="206"/>
  <c r="X90" i="206"/>
  <c r="AK23" i="122"/>
  <c r="U79" i="120" s="1"/>
  <c r="J27" i="111"/>
  <c r="J52" i="111"/>
  <c r="AL12" i="108"/>
  <c r="X104" i="206"/>
  <c r="W44" i="206"/>
  <c r="T16" i="206"/>
  <c r="J44" i="111"/>
  <c r="CC44" i="129" s="1"/>
  <c r="D29" i="120"/>
  <c r="U27" i="152" s="1"/>
  <c r="R65" i="119"/>
  <c r="R67" i="119"/>
  <c r="G131" i="192" s="1"/>
  <c r="J124" i="189"/>
  <c r="Y65" i="206"/>
  <c r="X5" i="206"/>
  <c r="AL42" i="99"/>
  <c r="R34" i="119"/>
  <c r="G98" i="192" s="1"/>
  <c r="C55" i="111"/>
  <c r="E53" i="153" s="1"/>
  <c r="J40" i="111"/>
  <c r="J37" i="111"/>
  <c r="E60" i="153"/>
  <c r="K62" i="129" s="1"/>
  <c r="U38" i="170"/>
  <c r="E23" i="112"/>
  <c r="E9" i="112" s="1"/>
  <c r="J7" i="151" s="1"/>
  <c r="R37" i="119"/>
  <c r="G101" i="192" s="1"/>
  <c r="R54" i="119"/>
  <c r="G118" i="192" s="1"/>
  <c r="S13" i="176"/>
  <c r="Z65" i="114"/>
  <c r="Z5" i="114" s="1"/>
  <c r="N55" i="112"/>
  <c r="S91" i="120"/>
  <c r="K19" i="112"/>
  <c r="K8" i="112" s="1"/>
  <c r="T78" i="120"/>
  <c r="AK21" i="122"/>
  <c r="T113" i="120"/>
  <c r="R48" i="206"/>
  <c r="AL6" i="122"/>
  <c r="V75" i="120"/>
  <c r="W52" i="206"/>
  <c r="X112" i="206"/>
  <c r="V29" i="206"/>
  <c r="AL24" i="122"/>
  <c r="V81" i="120" s="1"/>
  <c r="AK50" i="122"/>
  <c r="U101" i="120" s="1"/>
  <c r="AK29" i="122"/>
  <c r="AL29" i="122" s="1"/>
  <c r="S42" i="206"/>
  <c r="U29" i="206"/>
  <c r="J95" i="189"/>
  <c r="O29" i="112"/>
  <c r="J58" i="111"/>
  <c r="N23" i="112"/>
  <c r="N9" i="112" s="1"/>
  <c r="W17" i="206"/>
  <c r="X77" i="206"/>
  <c r="S34" i="206"/>
  <c r="J24" i="111"/>
  <c r="J48" i="111"/>
  <c r="R21" i="119"/>
  <c r="G85" i="192" s="1"/>
  <c r="J62" i="111"/>
  <c r="J65" i="111"/>
  <c r="J49" i="111"/>
  <c r="J59" i="111"/>
  <c r="CC59" i="129" s="1"/>
  <c r="C23" i="111"/>
  <c r="C9" i="111" s="1"/>
  <c r="E7" i="153" s="1"/>
  <c r="L19" i="111"/>
  <c r="R62" i="119"/>
  <c r="G126" i="192" s="1"/>
  <c r="R60" i="119"/>
  <c r="G124" i="192" s="1"/>
  <c r="R45" i="119"/>
  <c r="R98" i="120"/>
  <c r="R92" i="120" s="1"/>
  <c r="D19" i="112"/>
  <c r="J17" i="152" s="1"/>
  <c r="N11" i="119"/>
  <c r="F47" i="111"/>
  <c r="BG34" i="156"/>
  <c r="R51" i="114"/>
  <c r="AK39" i="122"/>
  <c r="U120" i="120" s="1"/>
  <c r="AK41" i="122"/>
  <c r="U115" i="120" s="1"/>
  <c r="M51" i="206"/>
  <c r="M4" i="206" s="1"/>
  <c r="AK42" i="122"/>
  <c r="U124" i="120" s="1"/>
  <c r="W24" i="206"/>
  <c r="X84" i="206"/>
  <c r="Y92" i="114"/>
  <c r="X32" i="114"/>
  <c r="R51" i="206"/>
  <c r="J54" i="111"/>
  <c r="J26" i="111"/>
  <c r="J38" i="111"/>
  <c r="CC38" i="129" s="1"/>
  <c r="AI11" i="122"/>
  <c r="S116" i="120"/>
  <c r="S112" i="120" s="1"/>
  <c r="U16" i="206"/>
  <c r="T6" i="206"/>
  <c r="AK38" i="122"/>
  <c r="U114" i="120" s="1"/>
  <c r="X92" i="206"/>
  <c r="W32" i="206"/>
  <c r="U42" i="206"/>
  <c r="X113" i="206"/>
  <c r="W53" i="206"/>
  <c r="AJ20" i="122"/>
  <c r="T87" i="120" s="1"/>
  <c r="V6" i="206"/>
  <c r="W18" i="206"/>
  <c r="X78" i="206"/>
  <c r="AI25" i="122"/>
  <c r="AJ25" i="122" s="1"/>
  <c r="S90" i="120"/>
  <c r="AL7" i="99"/>
  <c r="X91" i="206"/>
  <c r="W31" i="206"/>
  <c r="W50" i="206"/>
  <c r="X110" i="206"/>
  <c r="W26" i="206"/>
  <c r="X86" i="206"/>
  <c r="S16" i="206"/>
  <c r="AK20" i="122"/>
  <c r="AL20" i="122" s="1"/>
  <c r="X67" i="206"/>
  <c r="W7" i="206"/>
  <c r="S109" i="120"/>
  <c r="AL18" i="122"/>
  <c r="G15" i="119"/>
  <c r="G13" i="157" s="1"/>
  <c r="G59" i="157"/>
  <c r="W12" i="206"/>
  <c r="X72" i="206"/>
  <c r="W19" i="206"/>
  <c r="X79" i="206"/>
  <c r="X93" i="206"/>
  <c r="W33" i="206"/>
  <c r="K23" i="112"/>
  <c r="K9" i="112" s="1"/>
  <c r="T122" i="120"/>
  <c r="AK22" i="122"/>
  <c r="U122" i="120" s="1"/>
  <c r="X114" i="206"/>
  <c r="W54" i="206"/>
  <c r="J39" i="111"/>
  <c r="J21" i="111"/>
  <c r="S94" i="120"/>
  <c r="S111" i="120"/>
  <c r="J92" i="188"/>
  <c r="W28" i="206"/>
  <c r="X88" i="206"/>
  <c r="W37" i="206"/>
  <c r="X97" i="206"/>
  <c r="X73" i="206"/>
  <c r="W13" i="206"/>
  <c r="R10" i="206"/>
  <c r="V42" i="206"/>
  <c r="AK34" i="122"/>
  <c r="U95" i="120" s="1"/>
  <c r="AK51" i="122"/>
  <c r="U102" i="120" s="1"/>
  <c r="I35" i="111"/>
  <c r="I11" i="111" s="1"/>
  <c r="X68" i="206"/>
  <c r="W8" i="206"/>
  <c r="U22" i="206"/>
  <c r="AL26" i="122"/>
  <c r="AK57" i="122"/>
  <c r="U117" i="120" s="1"/>
  <c r="T29" i="206"/>
  <c r="AL21" i="122"/>
  <c r="V78" i="120" s="1"/>
  <c r="V22" i="206"/>
  <c r="T42" i="206"/>
  <c r="R6" i="206"/>
  <c r="X103" i="206"/>
  <c r="W43" i="206"/>
  <c r="V48" i="206"/>
  <c r="R29" i="206"/>
  <c r="AJ60" i="114"/>
  <c r="BE90" i="114"/>
  <c r="BE91" i="114" s="1"/>
  <c r="F64" i="111"/>
  <c r="E62" i="134" s="1"/>
  <c r="AO64" i="129" s="1"/>
  <c r="AO16" i="129" s="1"/>
  <c r="F29" i="111"/>
  <c r="H55" i="111"/>
  <c r="H14" i="111" s="1"/>
  <c r="H42" i="111"/>
  <c r="H12" i="111" s="1"/>
  <c r="F42" i="111"/>
  <c r="C61" i="120"/>
  <c r="U59" i="153" s="1"/>
  <c r="G123" i="191"/>
  <c r="G123" i="211"/>
  <c r="G105" i="191"/>
  <c r="G105" i="211"/>
  <c r="G122" i="191"/>
  <c r="G122" i="211"/>
  <c r="G104" i="191"/>
  <c r="G104" i="211"/>
  <c r="G130" i="191"/>
  <c r="G130" i="211"/>
  <c r="G124" i="191"/>
  <c r="G124" i="211"/>
  <c r="G102" i="191"/>
  <c r="G102" i="211"/>
  <c r="G109" i="191"/>
  <c r="G109" i="211"/>
  <c r="G116" i="191"/>
  <c r="G116" i="211"/>
  <c r="G113" i="191"/>
  <c r="G113" i="211"/>
  <c r="G86" i="191"/>
  <c r="G86" i="211"/>
  <c r="G91" i="191"/>
  <c r="G91" i="211"/>
  <c r="G90" i="191"/>
  <c r="G90" i="211"/>
  <c r="E29" i="112"/>
  <c r="J27" i="151" s="1"/>
  <c r="H47" i="112"/>
  <c r="H13" i="112" s="1"/>
  <c r="Y64" i="92"/>
  <c r="FW5" i="129" s="1"/>
  <c r="Y61" i="92"/>
  <c r="T5" i="111" s="1"/>
  <c r="F19" i="158"/>
  <c r="F8" i="158" s="1"/>
  <c r="L24" i="199" s="1"/>
  <c r="H23" i="112"/>
  <c r="H9" i="112" s="1"/>
  <c r="AL39" i="99"/>
  <c r="AH34" i="99"/>
  <c r="AH4" i="99" s="1"/>
  <c r="H35" i="111"/>
  <c r="H11" i="111" s="1"/>
  <c r="AL46" i="108"/>
  <c r="AL45" i="108"/>
  <c r="AL15" i="108"/>
  <c r="AL25" i="108"/>
  <c r="AL13" i="108"/>
  <c r="AL14" i="108"/>
  <c r="AL24" i="108"/>
  <c r="AL33" i="108"/>
  <c r="AL28" i="108"/>
  <c r="AL31" i="108"/>
  <c r="AL44" i="108"/>
  <c r="BG25" i="156"/>
  <c r="BD22" i="156"/>
  <c r="BG17" i="156"/>
  <c r="AF4" i="108"/>
  <c r="P56" i="111" s="1"/>
  <c r="J120" i="114"/>
  <c r="J120" i="206"/>
  <c r="D120" i="114"/>
  <c r="D120" i="206"/>
  <c r="F120" i="114"/>
  <c r="F120" i="206"/>
  <c r="Q33" i="190"/>
  <c r="Q27" i="190"/>
  <c r="Q53" i="190"/>
  <c r="Q45" i="190"/>
  <c r="Q9" i="190"/>
  <c r="Q8" i="190"/>
  <c r="Q12" i="190"/>
  <c r="Q11" i="190"/>
  <c r="Q40" i="190"/>
  <c r="Q62" i="190"/>
  <c r="Q59" i="190"/>
  <c r="Q17" i="190"/>
  <c r="Q21" i="191"/>
  <c r="Q21" i="190"/>
  <c r="Q10" i="190"/>
  <c r="Q14" i="190"/>
  <c r="Q13" i="190"/>
  <c r="Q7" i="191"/>
  <c r="Q7" i="190"/>
  <c r="DH64" i="129"/>
  <c r="DH16" i="129" s="1"/>
  <c r="M64" i="158"/>
  <c r="M16" i="158" s="1"/>
  <c r="S32" i="199" s="1"/>
  <c r="BC89" i="114"/>
  <c r="AI63" i="114"/>
  <c r="BK88" i="114"/>
  <c r="BK89" i="114" s="1"/>
  <c r="BD88" i="114"/>
  <c r="BD89" i="114" s="1"/>
  <c r="T83" i="120"/>
  <c r="AJ48" i="122"/>
  <c r="T90" i="120" s="1"/>
  <c r="AJ40" i="122"/>
  <c r="AH18" i="123"/>
  <c r="AH17" i="123" s="1"/>
  <c r="S18" i="176"/>
  <c r="X24" i="114"/>
  <c r="AH34" i="108"/>
  <c r="AH42" i="108"/>
  <c r="S85" i="120"/>
  <c r="AJ46" i="122"/>
  <c r="T85" i="120" s="1"/>
  <c r="H64" i="112"/>
  <c r="H16" i="112" s="1"/>
  <c r="H42" i="112"/>
  <c r="H12" i="112" s="1"/>
  <c r="H19" i="112"/>
  <c r="H8" i="112" s="1"/>
  <c r="BG9" i="156"/>
  <c r="BG15" i="156"/>
  <c r="T81" i="120"/>
  <c r="AJ44" i="122"/>
  <c r="T97" i="120" s="1"/>
  <c r="BG14" i="156"/>
  <c r="BG10" i="156"/>
  <c r="AI13" i="122"/>
  <c r="H35" i="112"/>
  <c r="H11" i="112" s="1"/>
  <c r="AJ28" i="122"/>
  <c r="AK28" i="122" s="1"/>
  <c r="U106" i="120" s="1"/>
  <c r="AJ60" i="116"/>
  <c r="AJ14" i="116" s="1"/>
  <c r="AJ5" i="116" s="1"/>
  <c r="AJ4" i="116" s="1"/>
  <c r="I61" i="120"/>
  <c r="I15" i="120" s="1"/>
  <c r="AH48" i="108"/>
  <c r="AI30" i="122"/>
  <c r="AI8" i="122" s="1"/>
  <c r="BG6" i="156"/>
  <c r="BG32" i="156"/>
  <c r="AJ27" i="122"/>
  <c r="BG5" i="156"/>
  <c r="BG12" i="156"/>
  <c r="AJ53" i="122"/>
  <c r="T109" i="120" s="1"/>
  <c r="H61" i="112"/>
  <c r="H15" i="112" s="1"/>
  <c r="AJ56" i="122"/>
  <c r="AJ31" i="122"/>
  <c r="AK31" i="122" s="1"/>
  <c r="AJ32" i="122"/>
  <c r="T89" i="120" s="1"/>
  <c r="AJ49" i="122"/>
  <c r="T91" i="120" s="1"/>
  <c r="BG7" i="156"/>
  <c r="AJ55" i="122"/>
  <c r="AJ52" i="122"/>
  <c r="BG11" i="156"/>
  <c r="BG23" i="156"/>
  <c r="BG13" i="156"/>
  <c r="G8" i="112"/>
  <c r="J6" i="157" s="1"/>
  <c r="AZ23" i="129"/>
  <c r="AZ9" i="129" s="1"/>
  <c r="BT42" i="129"/>
  <c r="BT12" i="129" s="1"/>
  <c r="J33" i="157"/>
  <c r="G115" i="191"/>
  <c r="C47" i="112"/>
  <c r="C64" i="120"/>
  <c r="C35" i="120"/>
  <c r="C47" i="120"/>
  <c r="S5" i="111"/>
  <c r="G89" i="191"/>
  <c r="C42" i="112"/>
  <c r="C55" i="112"/>
  <c r="J54" i="153"/>
  <c r="U55" i="153"/>
  <c r="C55" i="120"/>
  <c r="J18" i="153"/>
  <c r="C19" i="112"/>
  <c r="J22" i="153"/>
  <c r="C23" i="112"/>
  <c r="U28" i="153"/>
  <c r="C29" i="120"/>
  <c r="J28" i="153"/>
  <c r="C29" i="112"/>
  <c r="J34" i="153"/>
  <c r="C35" i="112"/>
  <c r="U41" i="153"/>
  <c r="C42" i="120"/>
  <c r="J60" i="153"/>
  <c r="C61" i="112"/>
  <c r="J63" i="153"/>
  <c r="C64" i="112"/>
  <c r="U18" i="153"/>
  <c r="C19" i="120"/>
  <c r="U22" i="153"/>
  <c r="C23" i="120"/>
  <c r="Y58" i="92"/>
  <c r="T5" i="121" s="1"/>
  <c r="G131" i="191"/>
  <c r="Y47" i="92"/>
  <c r="AI47" i="122"/>
  <c r="BB83" i="114"/>
  <c r="AI7" i="122"/>
  <c r="S77" i="120"/>
  <c r="S76" i="120" s="1"/>
  <c r="AI9" i="122"/>
  <c r="G85" i="191"/>
  <c r="T13" i="176"/>
  <c r="I42" i="120"/>
  <c r="I12" i="120" s="1"/>
  <c r="I23" i="120"/>
  <c r="I9" i="120" s="1"/>
  <c r="AG18" i="123"/>
  <c r="AG17" i="123" s="1"/>
  <c r="I64" i="158"/>
  <c r="I16" i="158" s="1"/>
  <c r="O32" i="199" s="1"/>
  <c r="I19" i="120"/>
  <c r="I8" i="120" s="1"/>
  <c r="U18" i="123"/>
  <c r="U17" i="123" s="1"/>
  <c r="AC18" i="123"/>
  <c r="AC17" i="123" s="1"/>
  <c r="W18" i="123"/>
  <c r="W17" i="123" s="1"/>
  <c r="AE18" i="123"/>
  <c r="AE17" i="123" s="1"/>
  <c r="AF18" i="123"/>
  <c r="AF17" i="123" s="1"/>
  <c r="AD18" i="123"/>
  <c r="AD17" i="123" s="1"/>
  <c r="X18" i="123"/>
  <c r="X17" i="123" s="1"/>
  <c r="AB18" i="123"/>
  <c r="AB17" i="123" s="1"/>
  <c r="AA18" i="123"/>
  <c r="AA17" i="123" s="1"/>
  <c r="Y18" i="123"/>
  <c r="Y17" i="123" s="1"/>
  <c r="Z18" i="123"/>
  <c r="Z17" i="123" s="1"/>
  <c r="V18" i="123"/>
  <c r="V17" i="123" s="1"/>
  <c r="C15" i="158"/>
  <c r="I31" i="199" s="1"/>
  <c r="H63" i="199" s="1"/>
  <c r="E9" i="158"/>
  <c r="K25" i="199" s="1"/>
  <c r="J57" i="199" s="1"/>
  <c r="E15" i="158"/>
  <c r="K31" i="199" s="1"/>
  <c r="E12" i="158"/>
  <c r="K28" i="199" s="1"/>
  <c r="C9" i="158"/>
  <c r="I25" i="199" s="1"/>
  <c r="H57" i="199" s="1"/>
  <c r="G114" i="191"/>
  <c r="G95" i="191"/>
  <c r="G92" i="190"/>
  <c r="G98" i="191"/>
  <c r="G97" i="191"/>
  <c r="G127" i="191"/>
  <c r="G117" i="191"/>
  <c r="G121" i="191"/>
  <c r="CW43" i="129"/>
  <c r="CW65" i="129"/>
  <c r="EA25" i="129"/>
  <c r="EA27" i="129"/>
  <c r="EA21" i="129"/>
  <c r="EA46" i="129"/>
  <c r="EA57" i="129"/>
  <c r="EA49" i="129"/>
  <c r="EA40" i="129"/>
  <c r="DG43" i="129"/>
  <c r="CW20" i="129"/>
  <c r="G101" i="190"/>
  <c r="G95" i="190"/>
  <c r="G108" i="190"/>
  <c r="G89" i="190"/>
  <c r="DR67" i="129"/>
  <c r="DR60" i="129"/>
  <c r="DR41" i="129"/>
  <c r="DR25" i="129"/>
  <c r="DR56" i="129"/>
  <c r="DR65" i="129"/>
  <c r="DR43" i="129"/>
  <c r="DR22" i="129"/>
  <c r="DR55" i="129"/>
  <c r="DR35" i="129"/>
  <c r="G104" i="190"/>
  <c r="G121" i="190"/>
  <c r="G97" i="190"/>
  <c r="G102" i="190"/>
  <c r="G93" i="190"/>
  <c r="G109" i="190"/>
  <c r="G111" i="190"/>
  <c r="G122" i="190"/>
  <c r="EL35" i="129"/>
  <c r="EL29" i="129"/>
  <c r="EL55" i="129"/>
  <c r="EL47" i="129"/>
  <c r="DH61" i="129"/>
  <c r="DH15" i="129" s="1"/>
  <c r="BS36" i="129"/>
  <c r="BS62" i="129"/>
  <c r="DG24" i="129"/>
  <c r="DG30" i="129"/>
  <c r="DG48" i="129"/>
  <c r="EA63" i="129"/>
  <c r="EA39" i="129"/>
  <c r="EA31" i="129"/>
  <c r="EA52" i="129"/>
  <c r="EA41" i="129"/>
  <c r="EA37" i="129"/>
  <c r="EA38" i="129"/>
  <c r="BS48" i="129"/>
  <c r="BS56" i="129"/>
  <c r="DG65" i="129"/>
  <c r="CW62" i="129"/>
  <c r="CW48" i="129"/>
  <c r="G113" i="190"/>
  <c r="DR51" i="129"/>
  <c r="DR48" i="129"/>
  <c r="DR59" i="129"/>
  <c r="DR53" i="129"/>
  <c r="DR33" i="129"/>
  <c r="DR49" i="129"/>
  <c r="DR54" i="129"/>
  <c r="DR38" i="129"/>
  <c r="EB19" i="129"/>
  <c r="EB35" i="129"/>
  <c r="EB61" i="129"/>
  <c r="EB47" i="129"/>
  <c r="EB23" i="129"/>
  <c r="DR29" i="129"/>
  <c r="DR19" i="129"/>
  <c r="DR23" i="129"/>
  <c r="G117" i="190"/>
  <c r="G116" i="190"/>
  <c r="G106" i="190"/>
  <c r="G124" i="190"/>
  <c r="G90" i="190"/>
  <c r="G131" i="190"/>
  <c r="G132" i="190"/>
  <c r="CW30" i="129"/>
  <c r="EA66" i="129"/>
  <c r="EA32" i="129"/>
  <c r="EA51" i="129"/>
  <c r="EA58" i="129"/>
  <c r="EA60" i="129"/>
  <c r="EA59" i="129"/>
  <c r="EA53" i="129"/>
  <c r="EA28" i="129"/>
  <c r="BS30" i="129"/>
  <c r="G85" i="190"/>
  <c r="G127" i="190"/>
  <c r="DR57" i="129"/>
  <c r="DR20" i="129"/>
  <c r="DR36" i="129"/>
  <c r="DR27" i="129"/>
  <c r="DR61" i="129"/>
  <c r="DR64" i="129"/>
  <c r="DR47" i="129"/>
  <c r="G114" i="190"/>
  <c r="G105" i="190"/>
  <c r="G123" i="190"/>
  <c r="G110" i="190"/>
  <c r="G91" i="190"/>
  <c r="EL42" i="129"/>
  <c r="EL64" i="129"/>
  <c r="EL61" i="129"/>
  <c r="EL19" i="129"/>
  <c r="EL23" i="129"/>
  <c r="BS20" i="129"/>
  <c r="BS65" i="129"/>
  <c r="DG56" i="129"/>
  <c r="DG62" i="129"/>
  <c r="EA54" i="129"/>
  <c r="EA50" i="129"/>
  <c r="EA67" i="129"/>
  <c r="EA33" i="129"/>
  <c r="EA26" i="129"/>
  <c r="EA44" i="129"/>
  <c r="EA45" i="129"/>
  <c r="EA34" i="129"/>
  <c r="EA22" i="129"/>
  <c r="BS24" i="129"/>
  <c r="CW36" i="129"/>
  <c r="G130" i="190"/>
  <c r="DR32" i="129"/>
  <c r="DR52" i="129"/>
  <c r="DR62" i="129"/>
  <c r="DR39" i="129"/>
  <c r="DR30" i="129"/>
  <c r="DR24" i="129"/>
  <c r="DR37" i="129"/>
  <c r="DR58" i="129"/>
  <c r="EB55" i="129"/>
  <c r="EB42" i="129"/>
  <c r="EB29" i="129"/>
  <c r="EB64" i="129"/>
  <c r="DR42" i="129"/>
  <c r="G118" i="190"/>
  <c r="G96" i="190"/>
  <c r="G119" i="190"/>
  <c r="G98" i="190"/>
  <c r="G128" i="190"/>
  <c r="G99" i="190"/>
  <c r="G115" i="190"/>
  <c r="AE43" i="129"/>
  <c r="AE65" i="129"/>
  <c r="U36" i="129"/>
  <c r="K43" i="129"/>
  <c r="K36" i="129"/>
  <c r="AE30" i="129"/>
  <c r="AE24" i="129"/>
  <c r="U56" i="129"/>
  <c r="U62" i="129"/>
  <c r="K24" i="129"/>
  <c r="D55" i="158"/>
  <c r="D14" i="158" s="1"/>
  <c r="J30" i="199" s="1"/>
  <c r="E35" i="158"/>
  <c r="E11" i="158" s="1"/>
  <c r="K27" i="199" s="1"/>
  <c r="C35" i="158"/>
  <c r="C11" i="158" s="1"/>
  <c r="I27" i="199" s="1"/>
  <c r="H59" i="199" s="1"/>
  <c r="D61" i="158"/>
  <c r="D15" i="158" s="1"/>
  <c r="J31" i="199" s="1"/>
  <c r="C29" i="158"/>
  <c r="C10" i="158" s="1"/>
  <c r="I26" i="199" s="1"/>
  <c r="H58" i="199" s="1"/>
  <c r="AE36" i="129"/>
  <c r="U48" i="129"/>
  <c r="U24" i="129"/>
  <c r="U20" i="129"/>
  <c r="D42" i="158"/>
  <c r="D12" i="158" s="1"/>
  <c r="J28" i="199" s="1"/>
  <c r="D47" i="158"/>
  <c r="D13" i="158" s="1"/>
  <c r="J29" i="199" s="1"/>
  <c r="E29" i="158"/>
  <c r="E10" i="158" s="1"/>
  <c r="K26" i="199" s="1"/>
  <c r="D35" i="158"/>
  <c r="E19" i="158"/>
  <c r="E8" i="158" s="1"/>
  <c r="K24" i="199" s="1"/>
  <c r="D29" i="158"/>
  <c r="D10" i="158" s="1"/>
  <c r="J26" i="199" s="1"/>
  <c r="K56" i="129"/>
  <c r="K48" i="129"/>
  <c r="AE56" i="129"/>
  <c r="K30" i="129"/>
  <c r="C55" i="158"/>
  <c r="C14" i="158" s="1"/>
  <c r="I30" i="199" s="1"/>
  <c r="H62" i="199" s="1"/>
  <c r="D64" i="158"/>
  <c r="E47" i="158"/>
  <c r="E13" i="158" s="1"/>
  <c r="K29" i="199" s="1"/>
  <c r="AE48" i="129"/>
  <c r="U65" i="129"/>
  <c r="U43" i="129"/>
  <c r="U30" i="129"/>
  <c r="L21" i="129"/>
  <c r="E55" i="158"/>
  <c r="E14" i="158" s="1"/>
  <c r="K30" i="199" s="1"/>
  <c r="C64" i="158"/>
  <c r="C16" i="158" s="1"/>
  <c r="I32" i="199" s="1"/>
  <c r="H64" i="199" s="1"/>
  <c r="C47" i="158"/>
  <c r="C13" i="158" s="1"/>
  <c r="I29" i="199" s="1"/>
  <c r="H61" i="199" s="1"/>
  <c r="C42" i="158"/>
  <c r="C12" i="158" s="1"/>
  <c r="I28" i="199" s="1"/>
  <c r="H60" i="199" s="1"/>
  <c r="D19" i="158"/>
  <c r="D8" i="158" s="1"/>
  <c r="J24" i="199" s="1"/>
  <c r="L12" i="158"/>
  <c r="R28" i="199" s="1"/>
  <c r="K15" i="158"/>
  <c r="Q31" i="199" s="1"/>
  <c r="G10" i="158"/>
  <c r="M26" i="199" s="1"/>
  <c r="G11" i="158"/>
  <c r="M27" i="199" s="1"/>
  <c r="M9" i="158"/>
  <c r="S25" i="199" s="1"/>
  <c r="K11" i="158"/>
  <c r="Q27" i="199" s="1"/>
  <c r="G16" i="158"/>
  <c r="M32" i="199" s="1"/>
  <c r="G8" i="158"/>
  <c r="M24" i="199" s="1"/>
  <c r="M12" i="158"/>
  <c r="S28" i="199" s="1"/>
  <c r="G9" i="158"/>
  <c r="M25" i="199" s="1"/>
  <c r="H8" i="158"/>
  <c r="N24" i="199" s="1"/>
  <c r="I15" i="158"/>
  <c r="O31" i="199" s="1"/>
  <c r="L16" i="158"/>
  <c r="R32" i="199" s="1"/>
  <c r="L9" i="158"/>
  <c r="R25" i="199" s="1"/>
  <c r="I12" i="158"/>
  <c r="O28" i="199" s="1"/>
  <c r="I29" i="120"/>
  <c r="I10" i="120" s="1"/>
  <c r="Q19" i="119"/>
  <c r="Q8" i="119" s="1"/>
  <c r="G96" i="191"/>
  <c r="Q64" i="119"/>
  <c r="Q16" i="119" s="1"/>
  <c r="J62" i="157"/>
  <c r="C102" i="189"/>
  <c r="C92" i="189"/>
  <c r="C106" i="189"/>
  <c r="G110" i="191"/>
  <c r="M61" i="158"/>
  <c r="G101" i="191"/>
  <c r="G108" i="191"/>
  <c r="C98" i="189"/>
  <c r="C89" i="189"/>
  <c r="Q55" i="119"/>
  <c r="Q14" i="119" s="1"/>
  <c r="C90" i="189"/>
  <c r="C108" i="189"/>
  <c r="C114" i="189"/>
  <c r="G103" i="191"/>
  <c r="C131" i="189"/>
  <c r="DR66" i="129"/>
  <c r="C109" i="189"/>
  <c r="DR44" i="129"/>
  <c r="C110" i="189"/>
  <c r="DR45" i="129"/>
  <c r="C86" i="189"/>
  <c r="DR21" i="129"/>
  <c r="C93" i="189"/>
  <c r="DR28" i="129"/>
  <c r="C115" i="189"/>
  <c r="DR50" i="129"/>
  <c r="C96" i="189"/>
  <c r="DR31" i="129"/>
  <c r="C91" i="189"/>
  <c r="DR26" i="129"/>
  <c r="C111" i="189"/>
  <c r="DR46" i="129"/>
  <c r="C99" i="189"/>
  <c r="DR34" i="129"/>
  <c r="C105" i="189"/>
  <c r="DR40" i="129"/>
  <c r="C128" i="189"/>
  <c r="DR63" i="129"/>
  <c r="W48" i="114"/>
  <c r="D22" i="114"/>
  <c r="D6" i="114"/>
  <c r="D16" i="114"/>
  <c r="D29" i="114"/>
  <c r="X18" i="114"/>
  <c r="D10" i="114"/>
  <c r="D34" i="114"/>
  <c r="V4" i="114"/>
  <c r="F54" i="93" s="1"/>
  <c r="D52" i="134" s="1"/>
  <c r="Y28" i="114"/>
  <c r="Z88" i="114"/>
  <c r="X35" i="114"/>
  <c r="Y95" i="114"/>
  <c r="E117" i="188"/>
  <c r="DQ52" i="129"/>
  <c r="E109" i="188"/>
  <c r="DQ44" i="129"/>
  <c r="E110" i="188"/>
  <c r="DQ45" i="129"/>
  <c r="E118" i="188"/>
  <c r="DQ53" i="129"/>
  <c r="E106" i="188"/>
  <c r="DQ41" i="129"/>
  <c r="E92" i="188"/>
  <c r="DQ27" i="129"/>
  <c r="E93" i="188"/>
  <c r="DQ28" i="129"/>
  <c r="E123" i="188"/>
  <c r="DQ58" i="129"/>
  <c r="E132" i="188"/>
  <c r="DQ67" i="129"/>
  <c r="E91" i="188"/>
  <c r="DQ26" i="129"/>
  <c r="E104" i="188"/>
  <c r="DQ39" i="129"/>
  <c r="E114" i="188"/>
  <c r="DQ49" i="129"/>
  <c r="E98" i="188"/>
  <c r="DQ33" i="129"/>
  <c r="E125" i="188"/>
  <c r="DQ60" i="129"/>
  <c r="E99" i="188"/>
  <c r="DQ34" i="129"/>
  <c r="E105" i="188"/>
  <c r="DQ40" i="129"/>
  <c r="E128" i="188"/>
  <c r="DQ63" i="129"/>
  <c r="E87" i="188"/>
  <c r="DQ22" i="129"/>
  <c r="DG36" i="129"/>
  <c r="DG20" i="129"/>
  <c r="E86" i="188"/>
  <c r="DQ21" i="129"/>
  <c r="E124" i="188"/>
  <c r="DQ59" i="129"/>
  <c r="E96" i="188"/>
  <c r="DQ31" i="129"/>
  <c r="E97" i="188"/>
  <c r="DQ32" i="129"/>
  <c r="E103" i="188"/>
  <c r="DQ38" i="129"/>
  <c r="E90" i="188"/>
  <c r="DQ25" i="129"/>
  <c r="E122" i="188"/>
  <c r="DQ57" i="129"/>
  <c r="E102" i="188"/>
  <c r="DQ37" i="129"/>
  <c r="E115" i="188"/>
  <c r="DQ50" i="129"/>
  <c r="E131" i="188"/>
  <c r="DQ66" i="129"/>
  <c r="E119" i="188"/>
  <c r="DQ54" i="129"/>
  <c r="E111" i="188"/>
  <c r="DQ46" i="129"/>
  <c r="E116" i="188"/>
  <c r="DQ51" i="129"/>
  <c r="CM22" i="129"/>
  <c r="CM63" i="129"/>
  <c r="CM39" i="129"/>
  <c r="CM28" i="129"/>
  <c r="CM33" i="129"/>
  <c r="CM51" i="129"/>
  <c r="CM34" i="129"/>
  <c r="AY62" i="129"/>
  <c r="CM40" i="129"/>
  <c r="CM58" i="129"/>
  <c r="CM57" i="129"/>
  <c r="CM21" i="129"/>
  <c r="CM52" i="129"/>
  <c r="CM49" i="129"/>
  <c r="CM26" i="129"/>
  <c r="CM31" i="129"/>
  <c r="CM38" i="129"/>
  <c r="CC25" i="129"/>
  <c r="CM54" i="129"/>
  <c r="CM37" i="129"/>
  <c r="CM66" i="129"/>
  <c r="CM44" i="129"/>
  <c r="CM60" i="129"/>
  <c r="CM67" i="129"/>
  <c r="CM53" i="129"/>
  <c r="CM32" i="129"/>
  <c r="CM45" i="129"/>
  <c r="AY56" i="129"/>
  <c r="AY20" i="129"/>
  <c r="CM25" i="129"/>
  <c r="CM41" i="129"/>
  <c r="CM27" i="129"/>
  <c r="CM46" i="129"/>
  <c r="CM59" i="129"/>
  <c r="AY36" i="129"/>
  <c r="AY43" i="129"/>
  <c r="AY48" i="129"/>
  <c r="W16" i="114"/>
  <c r="AA114" i="114"/>
  <c r="Z54" i="114"/>
  <c r="W22" i="114"/>
  <c r="Y85" i="114"/>
  <c r="X25" i="114"/>
  <c r="Y97" i="114"/>
  <c r="X37" i="114"/>
  <c r="X39" i="114"/>
  <c r="Y99" i="114"/>
  <c r="Y100" i="114"/>
  <c r="X40" i="114"/>
  <c r="Y91" i="114"/>
  <c r="X31" i="114"/>
  <c r="X20" i="114"/>
  <c r="Y80" i="114"/>
  <c r="Y81" i="114"/>
  <c r="X21" i="114"/>
  <c r="X23" i="114"/>
  <c r="Y83" i="114"/>
  <c r="G88" i="191"/>
  <c r="E18" i="119"/>
  <c r="C74" i="188"/>
  <c r="C19" i="158"/>
  <c r="G120" i="191"/>
  <c r="G118" i="191"/>
  <c r="H42" i="158"/>
  <c r="CX16" i="129"/>
  <c r="BT16" i="129"/>
  <c r="AZ16" i="129"/>
  <c r="BD26" i="156"/>
  <c r="BB8" i="156"/>
  <c r="BD8" i="156" s="1"/>
  <c r="BD4" i="156"/>
  <c r="I47" i="120"/>
  <c r="I13" i="120" s="1"/>
  <c r="Q61" i="119"/>
  <c r="G129" i="191"/>
  <c r="Y26" i="114"/>
  <c r="Z86" i="114"/>
  <c r="Y33" i="114"/>
  <c r="Z93" i="114"/>
  <c r="AA27" i="114"/>
  <c r="AB87" i="114"/>
  <c r="C51" i="114"/>
  <c r="C42" i="114"/>
  <c r="C10" i="114"/>
  <c r="C48" i="114"/>
  <c r="C6" i="114"/>
  <c r="C22" i="114"/>
  <c r="C16" i="114"/>
  <c r="AE7" i="165"/>
  <c r="X18" i="165"/>
  <c r="X7" i="165" s="1"/>
  <c r="V18" i="165"/>
  <c r="Y18" i="165"/>
  <c r="W18" i="165"/>
  <c r="U18" i="165"/>
  <c r="AH11" i="165"/>
  <c r="AH12" i="165"/>
  <c r="AH8" i="165"/>
  <c r="AH10" i="165"/>
  <c r="AH16" i="165"/>
  <c r="AH13" i="165"/>
  <c r="AH14" i="165"/>
  <c r="G114" i="192"/>
  <c r="G123" i="192"/>
  <c r="G126" i="191"/>
  <c r="G86" i="192"/>
  <c r="G127" i="192"/>
  <c r="G107" i="192"/>
  <c r="G113" i="192"/>
  <c r="G95" i="192"/>
  <c r="J35" i="112"/>
  <c r="J11" i="112" s="1"/>
  <c r="J61" i="112"/>
  <c r="J15" i="112" s="1"/>
  <c r="J19" i="112"/>
  <c r="J8" i="112" s="1"/>
  <c r="J29" i="112"/>
  <c r="J10" i="112" s="1"/>
  <c r="J47" i="112"/>
  <c r="J13" i="112" s="1"/>
  <c r="J55" i="112"/>
  <c r="J14" i="112" s="1"/>
  <c r="J23" i="112"/>
  <c r="J9" i="112" s="1"/>
  <c r="J64" i="112"/>
  <c r="J16" i="112" s="1"/>
  <c r="J42" i="112"/>
  <c r="J12" i="112" s="1"/>
  <c r="Z79" i="114"/>
  <c r="Y18" i="114"/>
  <c r="Z78" i="114"/>
  <c r="Y17" i="114"/>
  <c r="Z77" i="114"/>
  <c r="T18" i="123"/>
  <c r="CN64" i="129"/>
  <c r="K64" i="158"/>
  <c r="G55" i="158"/>
  <c r="AZ55" i="129"/>
  <c r="AZ14" i="129" s="1"/>
  <c r="F47" i="158"/>
  <c r="AP47" i="129"/>
  <c r="AP13" i="129" s="1"/>
  <c r="N29" i="158"/>
  <c r="C94" i="188"/>
  <c r="DH47" i="129"/>
  <c r="DH13" i="129" s="1"/>
  <c r="M47" i="158"/>
  <c r="DH29" i="129"/>
  <c r="DH10" i="129" s="1"/>
  <c r="M29" i="158"/>
  <c r="N61" i="158"/>
  <c r="C126" i="188"/>
  <c r="DH55" i="129"/>
  <c r="DH14" i="129" s="1"/>
  <c r="M55" i="158"/>
  <c r="DH19" i="129"/>
  <c r="DH8" i="129" s="1"/>
  <c r="M19" i="158"/>
  <c r="H64" i="158"/>
  <c r="BJ64" i="129"/>
  <c r="J55" i="158"/>
  <c r="CD55" i="129"/>
  <c r="CD14" i="129" s="1"/>
  <c r="N35" i="158"/>
  <c r="C100" i="188"/>
  <c r="J61" i="158"/>
  <c r="CD61" i="129"/>
  <c r="CD15" i="129" s="1"/>
  <c r="CN29" i="129"/>
  <c r="CN10" i="129" s="1"/>
  <c r="K29" i="158"/>
  <c r="G47" i="158"/>
  <c r="AZ47" i="129"/>
  <c r="AZ13" i="129" s="1"/>
  <c r="CN23" i="129"/>
  <c r="CN9" i="129" s="1"/>
  <c r="K23" i="158"/>
  <c r="I47" i="158"/>
  <c r="BT47" i="129"/>
  <c r="BT13" i="129" s="1"/>
  <c r="AP42" i="129"/>
  <c r="AP12" i="129" s="1"/>
  <c r="F42" i="158"/>
  <c r="C75" i="188"/>
  <c r="J23" i="158"/>
  <c r="CD23" i="129"/>
  <c r="CD9" i="129" s="1"/>
  <c r="C79" i="188"/>
  <c r="C81" i="188"/>
  <c r="CX55" i="129"/>
  <c r="CX14" i="129" s="1"/>
  <c r="L55" i="158"/>
  <c r="F23" i="158"/>
  <c r="AP23" i="129"/>
  <c r="AP9" i="129" s="1"/>
  <c r="C76" i="188"/>
  <c r="H61" i="158"/>
  <c r="BJ61" i="129"/>
  <c r="BJ15" i="129" s="1"/>
  <c r="I23" i="158"/>
  <c r="BT23" i="129"/>
  <c r="BT9" i="129" s="1"/>
  <c r="CX19" i="129"/>
  <c r="CX8" i="129" s="1"/>
  <c r="L19" i="158"/>
  <c r="CD47" i="129"/>
  <c r="CD13" i="129" s="1"/>
  <c r="J47" i="158"/>
  <c r="F61" i="158"/>
  <c r="AP61" i="129"/>
  <c r="AP15" i="129" s="1"/>
  <c r="CD29" i="129"/>
  <c r="CD10" i="129" s="1"/>
  <c r="J29" i="158"/>
  <c r="L35" i="158"/>
  <c r="CX35" i="129"/>
  <c r="CX11" i="129" s="1"/>
  <c r="J42" i="158"/>
  <c r="CD42" i="129"/>
  <c r="CD12" i="129" s="1"/>
  <c r="BT35" i="129"/>
  <c r="BT11" i="129" s="1"/>
  <c r="I35" i="158"/>
  <c r="N55" i="158"/>
  <c r="C120" i="188"/>
  <c r="CX47" i="129"/>
  <c r="CX13" i="129" s="1"/>
  <c r="L47" i="158"/>
  <c r="C78" i="188"/>
  <c r="C80" i="188"/>
  <c r="K47" i="158"/>
  <c r="CN47" i="129"/>
  <c r="CN13" i="129" s="1"/>
  <c r="CD19" i="129"/>
  <c r="CD8" i="129" s="1"/>
  <c r="J19" i="158"/>
  <c r="N42" i="158"/>
  <c r="C107" i="188"/>
  <c r="CD64" i="129"/>
  <c r="J64" i="158"/>
  <c r="M35" i="158"/>
  <c r="DH35" i="129"/>
  <c r="DH11" i="129" s="1"/>
  <c r="N19" i="158"/>
  <c r="C84" i="188"/>
  <c r="H29" i="158"/>
  <c r="BJ29" i="129"/>
  <c r="BJ10" i="129" s="1"/>
  <c r="AP35" i="129"/>
  <c r="AP11" i="129" s="1"/>
  <c r="F35" i="158"/>
  <c r="N23" i="158"/>
  <c r="C88" i="188"/>
  <c r="CX29" i="129"/>
  <c r="CX10" i="129" s="1"/>
  <c r="L29" i="158"/>
  <c r="K42" i="158"/>
  <c r="CN42" i="129"/>
  <c r="CN12" i="129" s="1"/>
  <c r="H35" i="158"/>
  <c r="BJ35" i="129"/>
  <c r="BJ11" i="129" s="1"/>
  <c r="F29" i="158"/>
  <c r="AP29" i="129"/>
  <c r="AP10" i="129" s="1"/>
  <c r="H55" i="158"/>
  <c r="BJ55" i="129"/>
  <c r="BJ14" i="129" s="1"/>
  <c r="AP55" i="129"/>
  <c r="AP14" i="129" s="1"/>
  <c r="F55" i="158"/>
  <c r="CN19" i="129"/>
  <c r="CN8" i="129" s="1"/>
  <c r="K19" i="158"/>
  <c r="BT29" i="129"/>
  <c r="BT10" i="129" s="1"/>
  <c r="I29" i="158"/>
  <c r="N64" i="158"/>
  <c r="C129" i="188"/>
  <c r="N47" i="158"/>
  <c r="C112" i="188"/>
  <c r="BT19" i="129"/>
  <c r="BT8" i="129" s="1"/>
  <c r="I19" i="158"/>
  <c r="F64" i="158"/>
  <c r="AP64" i="129"/>
  <c r="C77" i="188"/>
  <c r="AZ42" i="129"/>
  <c r="AZ12" i="129" s="1"/>
  <c r="G42" i="158"/>
  <c r="CN55" i="129"/>
  <c r="CN14" i="129" s="1"/>
  <c r="K55" i="158"/>
  <c r="H47" i="158"/>
  <c r="BJ47" i="129"/>
  <c r="BJ13" i="129" s="1"/>
  <c r="BT55" i="129"/>
  <c r="BT14" i="129" s="1"/>
  <c r="I55" i="158"/>
  <c r="CD35" i="129"/>
  <c r="CD11" i="129" s="1"/>
  <c r="J35" i="158"/>
  <c r="H23" i="158"/>
  <c r="BJ23" i="129"/>
  <c r="BJ9" i="129" s="1"/>
  <c r="L61" i="158"/>
  <c r="CX61" i="129"/>
  <c r="CX15" i="129" s="1"/>
  <c r="G107" i="191"/>
  <c r="Q47" i="119"/>
  <c r="Q13" i="119" s="1"/>
  <c r="Q29" i="119"/>
  <c r="Q10" i="119" s="1"/>
  <c r="G100" i="191"/>
  <c r="O55" i="158"/>
  <c r="C120" i="189"/>
  <c r="C77" i="189"/>
  <c r="C94" i="189"/>
  <c r="O29" i="158"/>
  <c r="O19" i="158"/>
  <c r="C84" i="189"/>
  <c r="C79" i="189"/>
  <c r="C76" i="189"/>
  <c r="C126" i="189"/>
  <c r="O61" i="158"/>
  <c r="C78" i="189"/>
  <c r="O23" i="158"/>
  <c r="C88" i="189"/>
  <c r="C107" i="189"/>
  <c r="O42" i="158"/>
  <c r="C80" i="189"/>
  <c r="C75" i="189"/>
  <c r="O64" i="158"/>
  <c r="C129" i="189"/>
  <c r="O35" i="158"/>
  <c r="C100" i="189"/>
  <c r="O47" i="158"/>
  <c r="C112" i="189"/>
  <c r="C81" i="189"/>
  <c r="C74" i="189"/>
  <c r="W42" i="114"/>
  <c r="BA3" i="156"/>
  <c r="Q43" i="112"/>
  <c r="Q21" i="111"/>
  <c r="AG7" i="165"/>
  <c r="Q35" i="119"/>
  <c r="Q23" i="119"/>
  <c r="Q9" i="119" s="1"/>
  <c r="Q42" i="119"/>
  <c r="Q12" i="119" s="1"/>
  <c r="L52" i="129"/>
  <c r="C52" i="158"/>
  <c r="C41" i="158"/>
  <c r="L41" i="129"/>
  <c r="D62" i="158"/>
  <c r="V62" i="129"/>
  <c r="AF62" i="129"/>
  <c r="E62" i="158"/>
  <c r="DH51" i="129"/>
  <c r="M51" i="158"/>
  <c r="CX21" i="129"/>
  <c r="L21" i="158"/>
  <c r="L67" i="158"/>
  <c r="CX67" i="129"/>
  <c r="N50" i="158"/>
  <c r="C115" i="188"/>
  <c r="N31" i="158"/>
  <c r="C96" i="188"/>
  <c r="M22" i="158"/>
  <c r="DH22" i="129"/>
  <c r="N26" i="158"/>
  <c r="C86" i="188"/>
  <c r="N21" i="158"/>
  <c r="L22" i="129"/>
  <c r="C22" i="158"/>
  <c r="L43" i="129"/>
  <c r="C43" i="158"/>
  <c r="L32" i="129"/>
  <c r="C32" i="158"/>
  <c r="L50" i="158"/>
  <c r="CX50" i="129"/>
  <c r="M63" i="158"/>
  <c r="DH63" i="129"/>
  <c r="E48" i="158"/>
  <c r="AF48" i="129"/>
  <c r="AF52" i="129"/>
  <c r="E52" i="158"/>
  <c r="DH31" i="129"/>
  <c r="M31" i="158"/>
  <c r="AF33" i="129"/>
  <c r="E33" i="158"/>
  <c r="N66" i="158"/>
  <c r="C131" i="188"/>
  <c r="L63" i="129"/>
  <c r="C63" i="158"/>
  <c r="L46" i="129"/>
  <c r="C46" i="158"/>
  <c r="D40" i="158"/>
  <c r="V40" i="129"/>
  <c r="D32" i="158"/>
  <c r="V32" i="129"/>
  <c r="DH62" i="129"/>
  <c r="M62" i="158"/>
  <c r="DH49" i="129"/>
  <c r="M49" i="158"/>
  <c r="M53" i="158"/>
  <c r="DH53" i="129"/>
  <c r="E43" i="158"/>
  <c r="AF43" i="129"/>
  <c r="DH30" i="129"/>
  <c r="M30" i="158"/>
  <c r="L24" i="158"/>
  <c r="CX24" i="129"/>
  <c r="CX28" i="129"/>
  <c r="L28" i="158"/>
  <c r="C66" i="158"/>
  <c r="L66" i="129"/>
  <c r="DH25" i="129"/>
  <c r="M25" i="158"/>
  <c r="E27" i="158"/>
  <c r="AF27" i="129"/>
  <c r="N49" i="158"/>
  <c r="C114" i="188"/>
  <c r="C95" i="188"/>
  <c r="N30" i="158"/>
  <c r="C67" i="158"/>
  <c r="L67" i="129"/>
  <c r="L62" i="129"/>
  <c r="C62" i="158"/>
  <c r="C45" i="158"/>
  <c r="L45" i="129"/>
  <c r="C122" i="188"/>
  <c r="M57" i="158"/>
  <c r="DH57" i="129"/>
  <c r="DH48" i="129"/>
  <c r="M48" i="158"/>
  <c r="E50" i="158"/>
  <c r="AF50" i="129"/>
  <c r="DH37" i="129"/>
  <c r="M37" i="158"/>
  <c r="DH41" i="129"/>
  <c r="M41" i="158"/>
  <c r="E31" i="158"/>
  <c r="AF31" i="129"/>
  <c r="L24" i="129"/>
  <c r="C24" i="158"/>
  <c r="AF21" i="129"/>
  <c r="E21" i="158"/>
  <c r="C27" i="158"/>
  <c r="L27" i="129"/>
  <c r="N38" i="158"/>
  <c r="C103" i="188"/>
  <c r="C33" i="158"/>
  <c r="L33" i="129"/>
  <c r="V58" i="129"/>
  <c r="D58" i="158"/>
  <c r="L60" i="158"/>
  <c r="CX60" i="129"/>
  <c r="D49" i="158"/>
  <c r="V49" i="129"/>
  <c r="L51" i="158"/>
  <c r="CX51" i="129"/>
  <c r="V53" i="129"/>
  <c r="D53" i="158"/>
  <c r="CX43" i="129"/>
  <c r="L43" i="158"/>
  <c r="D45" i="158"/>
  <c r="V45" i="129"/>
  <c r="V38" i="129"/>
  <c r="D38" i="158"/>
  <c r="L40" i="158"/>
  <c r="CX40" i="129"/>
  <c r="D30" i="158"/>
  <c r="V30" i="129"/>
  <c r="CX32" i="129"/>
  <c r="L32" i="158"/>
  <c r="DH56" i="129"/>
  <c r="M56" i="158"/>
  <c r="AF58" i="129"/>
  <c r="E58" i="158"/>
  <c r="DH43" i="129"/>
  <c r="M43" i="158"/>
  <c r="M36" i="158"/>
  <c r="DH36" i="129"/>
  <c r="E38" i="158"/>
  <c r="AF38" i="129"/>
  <c r="L28" i="129"/>
  <c r="C28" i="158"/>
  <c r="N48" i="158"/>
  <c r="C113" i="188"/>
  <c r="N62" i="158"/>
  <c r="C127" i="188"/>
  <c r="C56" i="158"/>
  <c r="L56" i="129"/>
  <c r="C36" i="158"/>
  <c r="L36" i="129"/>
  <c r="M59" i="158"/>
  <c r="DH59" i="129"/>
  <c r="DH50" i="129"/>
  <c r="M50" i="158"/>
  <c r="M54" i="158"/>
  <c r="DH54" i="129"/>
  <c r="AF44" i="129"/>
  <c r="E44" i="158"/>
  <c r="N60" i="158"/>
  <c r="C125" i="188"/>
  <c r="N40" i="158"/>
  <c r="C105" i="188"/>
  <c r="D34" i="158"/>
  <c r="V34" i="129"/>
  <c r="L25" i="158"/>
  <c r="CX25" i="129"/>
  <c r="V27" i="129"/>
  <c r="D27" i="158"/>
  <c r="D22" i="158"/>
  <c r="V22" i="129"/>
  <c r="L66" i="158"/>
  <c r="CX66" i="129"/>
  <c r="E24" i="158"/>
  <c r="AF24" i="129"/>
  <c r="M67" i="158"/>
  <c r="DH67" i="129"/>
  <c r="N25" i="158"/>
  <c r="C90" i="188"/>
  <c r="N20" i="158"/>
  <c r="C85" i="188"/>
  <c r="L59" i="129"/>
  <c r="C59" i="158"/>
  <c r="L39" i="129"/>
  <c r="C39" i="158"/>
  <c r="L62" i="158"/>
  <c r="CX62" i="129"/>
  <c r="D56" i="158"/>
  <c r="V56" i="129"/>
  <c r="V60" i="129"/>
  <c r="D60" i="158"/>
  <c r="V51" i="129"/>
  <c r="D51" i="158"/>
  <c r="L53" i="158"/>
  <c r="CX53" i="129"/>
  <c r="V43" i="129"/>
  <c r="D43" i="158"/>
  <c r="D36" i="158"/>
  <c r="V36" i="129"/>
  <c r="L38" i="158"/>
  <c r="CX38" i="129"/>
  <c r="CX30" i="129"/>
  <c r="L30" i="158"/>
  <c r="DH45" i="129"/>
  <c r="M45" i="158"/>
  <c r="E36" i="158"/>
  <c r="AF36" i="129"/>
  <c r="N56" i="158"/>
  <c r="C121" i="188"/>
  <c r="N36" i="158"/>
  <c r="C101" i="188"/>
  <c r="N63" i="158"/>
  <c r="C128" i="188"/>
  <c r="N46" i="158"/>
  <c r="C111" i="188"/>
  <c r="M20" i="158"/>
  <c r="DH20" i="129"/>
  <c r="E22" i="158"/>
  <c r="AF22" i="129"/>
  <c r="C21" i="158"/>
  <c r="N24" i="158"/>
  <c r="C89" i="188"/>
  <c r="N28" i="158"/>
  <c r="C93" i="188"/>
  <c r="L58" i="129"/>
  <c r="C58" i="158"/>
  <c r="C38" i="158"/>
  <c r="L38" i="129"/>
  <c r="E54" i="158"/>
  <c r="AF54" i="129"/>
  <c r="N43" i="158"/>
  <c r="C108" i="188"/>
  <c r="D25" i="158"/>
  <c r="V25" i="129"/>
  <c r="L27" i="158"/>
  <c r="CX27" i="129"/>
  <c r="V20" i="129"/>
  <c r="D20" i="158"/>
  <c r="N37" i="158"/>
  <c r="C102" i="188"/>
  <c r="DH28" i="129"/>
  <c r="M28" i="158"/>
  <c r="E67" i="158"/>
  <c r="AF67" i="129"/>
  <c r="L57" i="129"/>
  <c r="C57" i="158"/>
  <c r="L44" i="129"/>
  <c r="C44" i="158"/>
  <c r="L56" i="158"/>
  <c r="CX56" i="129"/>
  <c r="L36" i="158"/>
  <c r="CX36" i="129"/>
  <c r="E49" i="158"/>
  <c r="AF49" i="129"/>
  <c r="E30" i="158"/>
  <c r="AF30" i="129"/>
  <c r="N52" i="158"/>
  <c r="C117" i="188"/>
  <c r="L25" i="129"/>
  <c r="C25" i="158"/>
  <c r="DH34" i="129"/>
  <c r="M34" i="158"/>
  <c r="E25" i="158"/>
  <c r="AF25" i="129"/>
  <c r="C110" i="188"/>
  <c r="N45" i="158"/>
  <c r="C60" i="158"/>
  <c r="L60" i="129"/>
  <c r="D57" i="158"/>
  <c r="V57" i="129"/>
  <c r="CX59" i="129"/>
  <c r="L59" i="158"/>
  <c r="D48" i="158"/>
  <c r="V48" i="129"/>
  <c r="V44" i="129"/>
  <c r="D44" i="158"/>
  <c r="L46" i="158"/>
  <c r="CX46" i="129"/>
  <c r="V37" i="129"/>
  <c r="D37" i="158"/>
  <c r="V41" i="129"/>
  <c r="D41" i="158"/>
  <c r="D33" i="158"/>
  <c r="V33" i="129"/>
  <c r="E37" i="158"/>
  <c r="AF37" i="129"/>
  <c r="L20" i="158"/>
  <c r="CX20" i="129"/>
  <c r="L65" i="129"/>
  <c r="C65" i="158"/>
  <c r="C91" i="188"/>
  <c r="DH26" i="129"/>
  <c r="M26" i="158"/>
  <c r="E28" i="158"/>
  <c r="AF28" i="129"/>
  <c r="N41" i="158"/>
  <c r="C106" i="188"/>
  <c r="C118" i="188"/>
  <c r="N53" i="158"/>
  <c r="L50" i="129"/>
  <c r="C50" i="158"/>
  <c r="C31" i="158"/>
  <c r="L31" i="129"/>
  <c r="L58" i="158"/>
  <c r="CX58" i="129"/>
  <c r="CX49" i="129"/>
  <c r="L49" i="158"/>
  <c r="CX45" i="129"/>
  <c r="L45" i="158"/>
  <c r="AF60" i="129"/>
  <c r="E60" i="158"/>
  <c r="AF40" i="129"/>
  <c r="E40" i="158"/>
  <c r="L26" i="129"/>
  <c r="C26" i="158"/>
  <c r="N44" i="158"/>
  <c r="C109" i="188"/>
  <c r="C49" i="158"/>
  <c r="L49" i="129"/>
  <c r="L53" i="129"/>
  <c r="C53" i="158"/>
  <c r="C30" i="158"/>
  <c r="L30" i="129"/>
  <c r="V63" i="129"/>
  <c r="D63" i="158"/>
  <c r="CX57" i="129"/>
  <c r="L57" i="158"/>
  <c r="D59" i="158"/>
  <c r="V59" i="129"/>
  <c r="V50" i="129"/>
  <c r="D50" i="158"/>
  <c r="D54" i="158"/>
  <c r="V54" i="129"/>
  <c r="D46" i="158"/>
  <c r="V46" i="129"/>
  <c r="D39" i="158"/>
  <c r="V39" i="129"/>
  <c r="CX41" i="129"/>
  <c r="L41" i="158"/>
  <c r="D31" i="158"/>
  <c r="V31" i="129"/>
  <c r="E63" i="158"/>
  <c r="AF63" i="129"/>
  <c r="DH52" i="129"/>
  <c r="M52" i="158"/>
  <c r="E46" i="158"/>
  <c r="AF46" i="129"/>
  <c r="M33" i="158"/>
  <c r="DH33" i="129"/>
  <c r="CX34" i="129"/>
  <c r="L34" i="158"/>
  <c r="L22" i="158"/>
  <c r="CX22" i="129"/>
  <c r="V66" i="129"/>
  <c r="D66" i="158"/>
  <c r="DH65" i="129"/>
  <c r="M65" i="158"/>
  <c r="C48" i="158"/>
  <c r="L48" i="129"/>
  <c r="L37" i="129"/>
  <c r="C37" i="158"/>
  <c r="M60" i="158"/>
  <c r="DH60" i="129"/>
  <c r="E53" i="158"/>
  <c r="AF53" i="129"/>
  <c r="AF45" i="129"/>
  <c r="E45" i="158"/>
  <c r="DH40" i="129"/>
  <c r="M40" i="158"/>
  <c r="DH32" i="129"/>
  <c r="M32" i="158"/>
  <c r="N51" i="158"/>
  <c r="C116" i="188"/>
  <c r="N32" i="158"/>
  <c r="C97" i="188"/>
  <c r="V24" i="129"/>
  <c r="D24" i="158"/>
  <c r="L26" i="158"/>
  <c r="CX26" i="129"/>
  <c r="D28" i="158"/>
  <c r="V28" i="129"/>
  <c r="D65" i="158"/>
  <c r="V65" i="129"/>
  <c r="DH27" i="129"/>
  <c r="M27" i="158"/>
  <c r="AF20" i="129"/>
  <c r="E20" i="158"/>
  <c r="AF66" i="129"/>
  <c r="E66" i="158"/>
  <c r="N67" i="158"/>
  <c r="C132" i="188"/>
  <c r="C51" i="158"/>
  <c r="L51" i="129"/>
  <c r="C40" i="158"/>
  <c r="L40" i="129"/>
  <c r="CX63" i="129"/>
  <c r="L63" i="158"/>
  <c r="D52" i="158"/>
  <c r="V52" i="129"/>
  <c r="L54" i="158"/>
  <c r="CX54" i="129"/>
  <c r="CX39" i="129"/>
  <c r="L39" i="158"/>
  <c r="CX31" i="129"/>
  <c r="L31" i="158"/>
  <c r="AF57" i="129"/>
  <c r="E57" i="158"/>
  <c r="M46" i="158"/>
  <c r="DH46" i="129"/>
  <c r="DH39" i="129"/>
  <c r="M39" i="158"/>
  <c r="AF41" i="129"/>
  <c r="E41" i="158"/>
  <c r="N57" i="158"/>
  <c r="C20" i="158"/>
  <c r="L20" i="129"/>
  <c r="N59" i="158"/>
  <c r="C124" i="188"/>
  <c r="N39" i="158"/>
  <c r="C104" i="188"/>
  <c r="M21" i="158"/>
  <c r="DH21" i="129"/>
  <c r="AF65" i="129"/>
  <c r="E65" i="158"/>
  <c r="C54" i="158"/>
  <c r="L54" i="129"/>
  <c r="E56" i="158"/>
  <c r="AF56" i="129"/>
  <c r="DH58" i="129"/>
  <c r="M58" i="158"/>
  <c r="AF51" i="129"/>
  <c r="E51" i="158"/>
  <c r="M38" i="158"/>
  <c r="DH38" i="129"/>
  <c r="E32" i="158"/>
  <c r="AF32" i="129"/>
  <c r="V26" i="129"/>
  <c r="D26" i="158"/>
  <c r="D21" i="158"/>
  <c r="V21" i="129"/>
  <c r="CX65" i="129"/>
  <c r="L65" i="158"/>
  <c r="V67" i="129"/>
  <c r="D67" i="158"/>
  <c r="E34" i="158"/>
  <c r="AF34" i="129"/>
  <c r="DH66" i="129"/>
  <c r="M66" i="158"/>
  <c r="N33" i="158"/>
  <c r="C98" i="188"/>
  <c r="N65" i="158"/>
  <c r="C130" i="188"/>
  <c r="C34" i="158"/>
  <c r="L34" i="129"/>
  <c r="CX48" i="129"/>
  <c r="L48" i="158"/>
  <c r="CX52" i="129"/>
  <c r="L52" i="158"/>
  <c r="L44" i="158"/>
  <c r="CX44" i="129"/>
  <c r="L37" i="158"/>
  <c r="CX37" i="129"/>
  <c r="L33" i="158"/>
  <c r="CX33" i="129"/>
  <c r="AF59" i="129"/>
  <c r="E59" i="158"/>
  <c r="DH44" i="129"/>
  <c r="M44" i="158"/>
  <c r="E39" i="158"/>
  <c r="AF39" i="129"/>
  <c r="N54" i="158"/>
  <c r="C119" i="188"/>
  <c r="DH24" i="129"/>
  <c r="M24" i="158"/>
  <c r="E26" i="158"/>
  <c r="AF26" i="129"/>
  <c r="C123" i="188"/>
  <c r="N58" i="158"/>
  <c r="N34" i="158"/>
  <c r="C99" i="188"/>
  <c r="N27" i="158"/>
  <c r="C92" i="188"/>
  <c r="C87" i="188"/>
  <c r="N22" i="158"/>
  <c r="W10" i="114"/>
  <c r="W6" i="114"/>
  <c r="Y104" i="114"/>
  <c r="X44" i="114"/>
  <c r="Y103" i="114"/>
  <c r="X43" i="114"/>
  <c r="X7" i="114"/>
  <c r="Y67" i="114"/>
  <c r="Y110" i="114"/>
  <c r="Y75" i="114"/>
  <c r="X15" i="114"/>
  <c r="X14" i="114"/>
  <c r="Y74" i="114"/>
  <c r="Y106" i="114"/>
  <c r="X46" i="114"/>
  <c r="Y73" i="114"/>
  <c r="X13" i="114"/>
  <c r="X11" i="114"/>
  <c r="Y71" i="114"/>
  <c r="X45" i="114"/>
  <c r="Y105" i="114"/>
  <c r="Y109" i="114"/>
  <c r="X49" i="114"/>
  <c r="X9" i="114"/>
  <c r="Y69" i="114"/>
  <c r="Y72" i="114"/>
  <c r="X12" i="114"/>
  <c r="X8" i="114"/>
  <c r="Y68" i="114"/>
  <c r="G84" i="191"/>
  <c r="G94" i="191"/>
  <c r="R105" i="120"/>
  <c r="R104" i="120" s="1"/>
  <c r="AH12" i="122"/>
  <c r="AH10" i="122"/>
  <c r="I55" i="120"/>
  <c r="I14" i="120" s="1"/>
  <c r="I35" i="120"/>
  <c r="I11" i="120" s="1"/>
  <c r="I64" i="120"/>
  <c r="I16" i="120" s="1"/>
  <c r="J67" i="120"/>
  <c r="U65" i="178" s="1"/>
  <c r="J49" i="120"/>
  <c r="U47" i="178" s="1"/>
  <c r="J65" i="120"/>
  <c r="J32" i="120"/>
  <c r="U30" i="178" s="1"/>
  <c r="J57" i="120"/>
  <c r="U55" i="178" s="1"/>
  <c r="J56" i="120"/>
  <c r="J25" i="120"/>
  <c r="U23" i="178" s="1"/>
  <c r="J28" i="120"/>
  <c r="U26" i="178" s="1"/>
  <c r="J34" i="120"/>
  <c r="U32" i="178" s="1"/>
  <c r="J20" i="120"/>
  <c r="J62" i="120"/>
  <c r="J40" i="120"/>
  <c r="U38" i="178" s="1"/>
  <c r="J52" i="120"/>
  <c r="U50" i="178" s="1"/>
  <c r="J24" i="120"/>
  <c r="J59" i="120"/>
  <c r="U57" i="178" s="1"/>
  <c r="J63" i="120"/>
  <c r="U61" i="178" s="1"/>
  <c r="J46" i="120"/>
  <c r="U44" i="178" s="1"/>
  <c r="J48" i="120"/>
  <c r="J53" i="120"/>
  <c r="U51" i="178" s="1"/>
  <c r="J54" i="120"/>
  <c r="U52" i="178" s="1"/>
  <c r="J26" i="120"/>
  <c r="U24" i="178" s="1"/>
  <c r="J21" i="120"/>
  <c r="U19" i="178" s="1"/>
  <c r="J37" i="120"/>
  <c r="U35" i="178" s="1"/>
  <c r="J36" i="120"/>
  <c r="J27" i="120"/>
  <c r="U25" i="178" s="1"/>
  <c r="J38" i="120"/>
  <c r="U36" i="178" s="1"/>
  <c r="J58" i="120"/>
  <c r="U56" i="178" s="1"/>
  <c r="J43" i="120"/>
  <c r="J45" i="120"/>
  <c r="U43" i="178" s="1"/>
  <c r="J44" i="120"/>
  <c r="U42" i="178" s="1"/>
  <c r="J30" i="120"/>
  <c r="J66" i="120"/>
  <c r="U64" i="178" s="1"/>
  <c r="J50" i="120"/>
  <c r="U48" i="178" s="1"/>
  <c r="J39" i="120"/>
  <c r="U37" i="178" s="1"/>
  <c r="J31" i="120"/>
  <c r="U29" i="178" s="1"/>
  <c r="J22" i="120"/>
  <c r="U20" i="178" s="1"/>
  <c r="J51" i="120"/>
  <c r="U49" i="178" s="1"/>
  <c r="J41" i="120"/>
  <c r="U39" i="178" s="1"/>
  <c r="J60" i="120"/>
  <c r="U58" i="178" s="1"/>
  <c r="J33" i="120"/>
  <c r="U31" i="178" s="1"/>
  <c r="U14" i="176"/>
  <c r="U11" i="176" s="1"/>
  <c r="P14" i="119"/>
  <c r="Q26" i="112"/>
  <c r="E11" i="120"/>
  <c r="U9" i="151" s="1"/>
  <c r="N6" i="123"/>
  <c r="L14" i="112"/>
  <c r="P16" i="119"/>
  <c r="U34" i="134"/>
  <c r="F35" i="120"/>
  <c r="U54" i="134"/>
  <c r="F55" i="120"/>
  <c r="U18" i="134"/>
  <c r="F19" i="120"/>
  <c r="L6" i="123"/>
  <c r="H6" i="165"/>
  <c r="P8" i="119"/>
  <c r="L13" i="112"/>
  <c r="U59" i="170"/>
  <c r="H15" i="120"/>
  <c r="U59" i="177"/>
  <c r="J91" i="188"/>
  <c r="J91" i="189"/>
  <c r="P9" i="119"/>
  <c r="N6" i="165"/>
  <c r="P13" i="119"/>
  <c r="I6" i="123"/>
  <c r="P12" i="119"/>
  <c r="G7" i="123"/>
  <c r="Q7" i="123"/>
  <c r="P15" i="119"/>
  <c r="F64" i="120"/>
  <c r="U63" i="134"/>
  <c r="U46" i="134"/>
  <c r="F47" i="120"/>
  <c r="L11" i="112"/>
  <c r="K6" i="165"/>
  <c r="E16" i="120"/>
  <c r="U14" i="151" s="1"/>
  <c r="L6" i="165"/>
  <c r="L15" i="112"/>
  <c r="U41" i="134"/>
  <c r="F42" i="120"/>
  <c r="F61" i="120"/>
  <c r="U60" i="134"/>
  <c r="U28" i="134"/>
  <c r="F29" i="120"/>
  <c r="F6" i="165"/>
  <c r="R7" i="123"/>
  <c r="E14" i="120"/>
  <c r="U12" i="151" s="1"/>
  <c r="L16" i="112"/>
  <c r="E15" i="120"/>
  <c r="L9" i="112"/>
  <c r="E12" i="120"/>
  <c r="U10" i="151" s="1"/>
  <c r="E8" i="120"/>
  <c r="U6" i="151" s="1"/>
  <c r="L8" i="112"/>
  <c r="E13" i="120"/>
  <c r="U11" i="151" s="1"/>
  <c r="L10" i="112"/>
  <c r="J6" i="123"/>
  <c r="E10" i="120"/>
  <c r="U8" i="151" s="1"/>
  <c r="U22" i="134"/>
  <c r="F23" i="120"/>
  <c r="E9" i="120"/>
  <c r="P11" i="119"/>
  <c r="L12" i="112"/>
  <c r="Q51" i="112"/>
  <c r="Q67" i="112"/>
  <c r="Q59" i="112"/>
  <c r="Q58" i="112"/>
  <c r="Q44" i="112"/>
  <c r="Q22" i="112"/>
  <c r="Q32" i="112"/>
  <c r="Q21" i="112"/>
  <c r="Q56" i="112"/>
  <c r="Q27" i="112"/>
  <c r="Q37" i="112"/>
  <c r="Q24" i="112"/>
  <c r="Q28" i="112"/>
  <c r="Q54" i="112"/>
  <c r="Q39" i="112"/>
  <c r="Q38" i="112"/>
  <c r="Q50" i="112"/>
  <c r="Q62" i="112"/>
  <c r="Q33" i="112"/>
  <c r="Q52" i="112"/>
  <c r="Q34" i="112"/>
  <c r="Q45" i="112"/>
  <c r="Q30" i="112"/>
  <c r="Q41" i="112"/>
  <c r="Q40" i="112"/>
  <c r="Q53" i="112"/>
  <c r="Q65" i="112"/>
  <c r="Q31" i="112"/>
  <c r="Q20" i="112"/>
  <c r="Q46" i="112"/>
  <c r="Q49" i="112"/>
  <c r="Q66" i="112"/>
  <c r="Q57" i="112"/>
  <c r="Q63" i="112"/>
  <c r="Q60" i="112"/>
  <c r="Q25" i="112"/>
  <c r="M6" i="123"/>
  <c r="P10" i="119"/>
  <c r="G100" i="189"/>
  <c r="D6" i="123"/>
  <c r="X38" i="114"/>
  <c r="Y98" i="114"/>
  <c r="G96" i="188"/>
  <c r="G116" i="188"/>
  <c r="G86" i="188"/>
  <c r="M12" i="119"/>
  <c r="G89" i="188"/>
  <c r="G102" i="188"/>
  <c r="G131" i="188"/>
  <c r="G103" i="188"/>
  <c r="G101" i="188"/>
  <c r="M15" i="119"/>
  <c r="G93" i="188"/>
  <c r="M13" i="119"/>
  <c r="G130" i="188"/>
  <c r="G98" i="188"/>
  <c r="N47" i="111"/>
  <c r="N19" i="111"/>
  <c r="N29" i="111"/>
  <c r="N23" i="111"/>
  <c r="N61" i="111"/>
  <c r="Q62" i="111"/>
  <c r="Q60" i="111"/>
  <c r="Q65" i="111"/>
  <c r="J18" i="119"/>
  <c r="J17" i="119" s="1"/>
  <c r="Y101" i="114"/>
  <c r="X41" i="114"/>
  <c r="E119" i="189"/>
  <c r="O61" i="111"/>
  <c r="E115" i="189"/>
  <c r="E128" i="189"/>
  <c r="E132" i="189"/>
  <c r="E104" i="189"/>
  <c r="E98" i="189"/>
  <c r="E96" i="189"/>
  <c r="E91" i="189"/>
  <c r="E117" i="189"/>
  <c r="E109" i="189"/>
  <c r="E106" i="189"/>
  <c r="O42" i="111"/>
  <c r="E102" i="189"/>
  <c r="E110" i="189"/>
  <c r="O64" i="111"/>
  <c r="E99" i="189"/>
  <c r="O23" i="111"/>
  <c r="E87" i="189"/>
  <c r="E103" i="189"/>
  <c r="G115" i="188"/>
  <c r="G119" i="188"/>
  <c r="G105" i="188"/>
  <c r="G118" i="188"/>
  <c r="M8" i="119"/>
  <c r="M14" i="119"/>
  <c r="G124" i="188"/>
  <c r="G95" i="188"/>
  <c r="K64" i="111"/>
  <c r="K61" i="111"/>
  <c r="K42" i="111"/>
  <c r="K12" i="111" s="1"/>
  <c r="K55" i="111"/>
  <c r="Q74" i="120"/>
  <c r="G88" i="189"/>
  <c r="H18" i="119"/>
  <c r="H17" i="119" s="1"/>
  <c r="I6" i="165"/>
  <c r="G108" i="188"/>
  <c r="G125" i="188"/>
  <c r="M9" i="119"/>
  <c r="M11" i="119"/>
  <c r="G104" i="188"/>
  <c r="G91" i="188"/>
  <c r="G127" i="188"/>
  <c r="G113" i="188"/>
  <c r="G109" i="188"/>
  <c r="G128" i="188"/>
  <c r="G99" i="188"/>
  <c r="M16" i="119"/>
  <c r="N42" i="111"/>
  <c r="N55" i="111"/>
  <c r="N35" i="111"/>
  <c r="N64" i="111"/>
  <c r="G84" i="189"/>
  <c r="H6" i="123"/>
  <c r="J6" i="165"/>
  <c r="E131" i="189"/>
  <c r="O47" i="111"/>
  <c r="O55" i="111"/>
  <c r="E90" i="189"/>
  <c r="E97" i="189"/>
  <c r="E92" i="189"/>
  <c r="E116" i="189"/>
  <c r="E86" i="189"/>
  <c r="O35" i="111"/>
  <c r="O19" i="111"/>
  <c r="E123" i="189"/>
  <c r="E111" i="189"/>
  <c r="E125" i="189"/>
  <c r="E122" i="189"/>
  <c r="E124" i="189"/>
  <c r="E114" i="189"/>
  <c r="E118" i="189"/>
  <c r="O29" i="111"/>
  <c r="E93" i="189"/>
  <c r="E105" i="189"/>
  <c r="P58" i="111"/>
  <c r="G85" i="188"/>
  <c r="G117" i="188"/>
  <c r="G111" i="188"/>
  <c r="G132" i="188"/>
  <c r="G121" i="188"/>
  <c r="M10" i="119"/>
  <c r="G92" i="188"/>
  <c r="G123" i="188"/>
  <c r="G90" i="188"/>
  <c r="G106" i="188"/>
  <c r="G110" i="188"/>
  <c r="G87" i="188"/>
  <c r="G97" i="188"/>
  <c r="G122" i="188"/>
  <c r="G114" i="188"/>
  <c r="K29" i="111"/>
  <c r="K10" i="111" s="1"/>
  <c r="K35" i="111"/>
  <c r="K11" i="111" s="1"/>
  <c r="K47" i="111"/>
  <c r="K13" i="111" s="1"/>
  <c r="K19" i="111"/>
  <c r="K8" i="111" s="1"/>
  <c r="K23" i="111"/>
  <c r="K9" i="111" s="1"/>
  <c r="G6" i="165"/>
  <c r="AM39" i="99" l="1"/>
  <c r="AN39" i="99" s="1"/>
  <c r="AN43" i="99"/>
  <c r="AN42" i="99" s="1"/>
  <c r="AM25" i="99"/>
  <c r="AN25" i="99" s="1"/>
  <c r="AM16" i="99"/>
  <c r="AM7" i="99"/>
  <c r="AM6" i="99" s="1"/>
  <c r="AN17" i="99"/>
  <c r="AN16" i="99" s="1"/>
  <c r="AN13" i="108"/>
  <c r="AN12" i="108"/>
  <c r="AN44" i="108"/>
  <c r="AN15" i="108"/>
  <c r="AN24" i="108"/>
  <c r="AL5" i="108"/>
  <c r="AM5" i="108"/>
  <c r="AN5" i="108" s="1"/>
  <c r="S4" i="114"/>
  <c r="M29" i="112"/>
  <c r="U17" i="170"/>
  <c r="U17" i="177"/>
  <c r="M23" i="112"/>
  <c r="M9" i="112" s="1"/>
  <c r="M42" i="112"/>
  <c r="M12" i="112" s="1"/>
  <c r="M64" i="112"/>
  <c r="M16" i="112" s="1"/>
  <c r="G99" i="212"/>
  <c r="G99" i="213"/>
  <c r="G112" i="212"/>
  <c r="G112" i="213"/>
  <c r="G125" i="212"/>
  <c r="G125" i="213"/>
  <c r="G92" i="212"/>
  <c r="G92" i="213"/>
  <c r="AM28" i="108"/>
  <c r="AN28" i="108" s="1"/>
  <c r="P62" i="111"/>
  <c r="AM46" i="108"/>
  <c r="AN46" i="108" s="1"/>
  <c r="P24" i="111"/>
  <c r="AM33" i="108"/>
  <c r="AN33" i="108" s="1"/>
  <c r="AM24" i="108"/>
  <c r="AM25" i="108"/>
  <c r="AN25" i="108" s="1"/>
  <c r="AM14" i="108"/>
  <c r="AN14" i="108" s="1"/>
  <c r="AM31" i="108"/>
  <c r="AN31" i="108" s="1"/>
  <c r="AM13" i="108"/>
  <c r="AM45" i="108"/>
  <c r="AN45" i="108" s="1"/>
  <c r="Z112" i="114"/>
  <c r="F45" i="93"/>
  <c r="F45" i="127" s="1"/>
  <c r="Y107" i="114"/>
  <c r="Y24" i="114"/>
  <c r="T4" i="114"/>
  <c r="D65" i="93" s="1"/>
  <c r="J53" i="134"/>
  <c r="M47" i="112"/>
  <c r="M13" i="112" s="1"/>
  <c r="M19" i="112"/>
  <c r="M8" i="112" s="1"/>
  <c r="Y36" i="114"/>
  <c r="F32" i="93"/>
  <c r="D30" i="134" s="1"/>
  <c r="F65" i="93"/>
  <c r="F65" i="127" s="1"/>
  <c r="F48" i="93"/>
  <c r="F48" i="127" s="1"/>
  <c r="F39" i="93"/>
  <c r="F39" i="127" s="1"/>
  <c r="F58" i="93"/>
  <c r="D56" i="134" s="1"/>
  <c r="F24" i="93"/>
  <c r="D22" i="134" s="1"/>
  <c r="F28" i="93"/>
  <c r="D26" i="134" s="1"/>
  <c r="F27" i="93"/>
  <c r="D25" i="134" s="1"/>
  <c r="R4" i="114"/>
  <c r="F30" i="93"/>
  <c r="F30" i="127" s="1"/>
  <c r="F33" i="93"/>
  <c r="F33" i="127" s="1"/>
  <c r="M14" i="111"/>
  <c r="M9" i="111"/>
  <c r="CW56" i="129"/>
  <c r="J123" i="188"/>
  <c r="M61" i="112"/>
  <c r="M15" i="112" s="1"/>
  <c r="U62" i="170"/>
  <c r="H16" i="120"/>
  <c r="U14" i="170" s="1"/>
  <c r="M55" i="112"/>
  <c r="M14" i="112" s="1"/>
  <c r="D16" i="112"/>
  <c r="J14" i="152" s="1"/>
  <c r="E62" i="157"/>
  <c r="D9" i="120"/>
  <c r="U7" i="152" s="1"/>
  <c r="CC66" i="129"/>
  <c r="J127" i="188"/>
  <c r="H11" i="120"/>
  <c r="U9" i="170" s="1"/>
  <c r="CW24" i="129"/>
  <c r="F10" i="112"/>
  <c r="J8" i="134" s="1"/>
  <c r="G112" i="189"/>
  <c r="M10" i="111"/>
  <c r="U27" i="170"/>
  <c r="CC51" i="129"/>
  <c r="G81" i="189"/>
  <c r="J102" i="188"/>
  <c r="D16" i="120"/>
  <c r="U14" i="152" s="1"/>
  <c r="CC31" i="129"/>
  <c r="M8" i="111"/>
  <c r="BI42" i="129"/>
  <c r="BI12" i="129" s="1"/>
  <c r="H10" i="120"/>
  <c r="U8" i="170" s="1"/>
  <c r="M35" i="112"/>
  <c r="E62" i="151"/>
  <c r="AE64" i="129" s="1"/>
  <c r="AE16" i="129" s="1"/>
  <c r="E53" i="151"/>
  <c r="AE55" i="129" s="1"/>
  <c r="AE14" i="129" s="1"/>
  <c r="P34" i="111"/>
  <c r="P66" i="111"/>
  <c r="CC33" i="129"/>
  <c r="P32" i="111"/>
  <c r="P60" i="111"/>
  <c r="P48" i="111"/>
  <c r="P27" i="111"/>
  <c r="P26" i="111"/>
  <c r="P46" i="111"/>
  <c r="E59" i="152"/>
  <c r="U61" i="129" s="1"/>
  <c r="U15" i="129" s="1"/>
  <c r="E33" i="152"/>
  <c r="U35" i="129" s="1"/>
  <c r="U11" i="129" s="1"/>
  <c r="G12" i="111"/>
  <c r="E10" i="157" s="1"/>
  <c r="AY65" i="129"/>
  <c r="P67" i="111"/>
  <c r="L14" i="111"/>
  <c r="E21" i="157"/>
  <c r="P63" i="111"/>
  <c r="P44" i="111"/>
  <c r="P20" i="111"/>
  <c r="E33" i="157"/>
  <c r="AY35" i="129" s="1"/>
  <c r="AY11" i="129" s="1"/>
  <c r="P41" i="111"/>
  <c r="P21" i="111"/>
  <c r="P40" i="111"/>
  <c r="P54" i="111"/>
  <c r="P51" i="111"/>
  <c r="P38" i="111"/>
  <c r="P49" i="111"/>
  <c r="P65" i="111"/>
  <c r="P39" i="111"/>
  <c r="BI64" i="129"/>
  <c r="BI16" i="129" s="1"/>
  <c r="P37" i="111"/>
  <c r="P53" i="111"/>
  <c r="P28" i="111"/>
  <c r="P22" i="111"/>
  <c r="P43" i="111"/>
  <c r="P25" i="111"/>
  <c r="P33" i="111"/>
  <c r="P52" i="111"/>
  <c r="E59" i="151"/>
  <c r="AE61" i="129" s="1"/>
  <c r="AE15" i="129" s="1"/>
  <c r="BI29" i="129"/>
  <c r="BI10" i="129" s="1"/>
  <c r="P30" i="111"/>
  <c r="P31" i="111"/>
  <c r="P50" i="111"/>
  <c r="P36" i="111"/>
  <c r="P59" i="111"/>
  <c r="P57" i="111"/>
  <c r="P45" i="111"/>
  <c r="E40" i="151"/>
  <c r="AE42" i="129" s="1"/>
  <c r="AE12" i="129" s="1"/>
  <c r="AK19" i="122"/>
  <c r="U77" i="120" s="1"/>
  <c r="AJ7" i="122"/>
  <c r="T77" i="120"/>
  <c r="T76" i="120" s="1"/>
  <c r="AL22" i="122"/>
  <c r="U4" i="114"/>
  <c r="E32" i="93" s="1"/>
  <c r="W51" i="206"/>
  <c r="AK53" i="122"/>
  <c r="U109" i="120" s="1"/>
  <c r="G99" i="211"/>
  <c r="G126" i="189"/>
  <c r="G125" i="211"/>
  <c r="J61" i="199"/>
  <c r="J129" i="188"/>
  <c r="G94" i="189"/>
  <c r="J45" i="134"/>
  <c r="P29" i="112"/>
  <c r="P23" i="112"/>
  <c r="N18" i="119"/>
  <c r="E27" i="153"/>
  <c r="K29" i="129" s="1"/>
  <c r="K10" i="129" s="1"/>
  <c r="D16" i="111"/>
  <c r="E14" i="152" s="1"/>
  <c r="C8" i="111"/>
  <c r="E6" i="153" s="1"/>
  <c r="E33" i="151"/>
  <c r="AE35" i="129" s="1"/>
  <c r="AE11" i="129" s="1"/>
  <c r="AY24" i="129"/>
  <c r="E8" i="111"/>
  <c r="E6" i="151" s="1"/>
  <c r="E13" i="111"/>
  <c r="E11" i="151" s="1"/>
  <c r="D9" i="111"/>
  <c r="E7" i="152" s="1"/>
  <c r="BI23" i="129"/>
  <c r="BI9" i="129" s="1"/>
  <c r="E27" i="151"/>
  <c r="AE29" i="129" s="1"/>
  <c r="AE10" i="129" s="1"/>
  <c r="I18" i="111"/>
  <c r="I17" i="111" s="1"/>
  <c r="D13" i="111"/>
  <c r="E11" i="152" s="1"/>
  <c r="D10" i="120"/>
  <c r="U8" i="152" s="1"/>
  <c r="F11" i="111"/>
  <c r="E9" i="134" s="1"/>
  <c r="F16" i="111"/>
  <c r="E14" i="134" s="1"/>
  <c r="R61" i="119"/>
  <c r="R15" i="119" s="1"/>
  <c r="G77" i="189"/>
  <c r="P42" i="112"/>
  <c r="P12" i="112" s="1"/>
  <c r="L8" i="111"/>
  <c r="CW23" i="129"/>
  <c r="CW9" i="129" s="1"/>
  <c r="N15" i="112"/>
  <c r="O18" i="119"/>
  <c r="O17" i="119" s="1"/>
  <c r="CW61" i="129"/>
  <c r="CW15" i="129" s="1"/>
  <c r="L13" i="111"/>
  <c r="E17" i="134"/>
  <c r="AO19" i="129" s="1"/>
  <c r="AO8" i="129" s="1"/>
  <c r="BI19" i="129"/>
  <c r="BI8" i="129" s="1"/>
  <c r="E59" i="153"/>
  <c r="K61" i="129" s="1"/>
  <c r="K15" i="129" s="1"/>
  <c r="C16" i="111"/>
  <c r="E14" i="153" s="1"/>
  <c r="G78" i="189"/>
  <c r="D15" i="120"/>
  <c r="U13" i="152" s="1"/>
  <c r="CC40" i="129"/>
  <c r="CC67" i="129"/>
  <c r="J80" i="189"/>
  <c r="E15" i="112"/>
  <c r="J13" i="151" s="1"/>
  <c r="L16" i="111"/>
  <c r="D11" i="120"/>
  <c r="U9" i="152" s="1"/>
  <c r="D10" i="111"/>
  <c r="E8" i="152" s="1"/>
  <c r="U53" i="177"/>
  <c r="J126" i="189"/>
  <c r="CC49" i="129"/>
  <c r="D14" i="111"/>
  <c r="E12" i="152" s="1"/>
  <c r="L10" i="111"/>
  <c r="E59" i="157"/>
  <c r="U53" i="170"/>
  <c r="H12" i="120"/>
  <c r="U10" i="170" s="1"/>
  <c r="R19" i="119"/>
  <c r="R8" i="119" s="1"/>
  <c r="C15" i="120"/>
  <c r="U13" i="153" s="1"/>
  <c r="D10" i="112"/>
  <c r="J8" i="152" s="1"/>
  <c r="U53" i="157"/>
  <c r="E21" i="153"/>
  <c r="K23" i="129" s="1"/>
  <c r="K9" i="129" s="1"/>
  <c r="J40" i="134"/>
  <c r="L18" i="119"/>
  <c r="L17" i="119" s="1"/>
  <c r="J35" i="111"/>
  <c r="J11" i="111" s="1"/>
  <c r="G18" i="112"/>
  <c r="G17" i="112" s="1"/>
  <c r="J59" i="134"/>
  <c r="C14" i="111"/>
  <c r="E12" i="153" s="1"/>
  <c r="D8" i="120"/>
  <c r="U6" i="152" s="1"/>
  <c r="G79" i="189"/>
  <c r="I18" i="119"/>
  <c r="I17" i="119" s="1"/>
  <c r="J45" i="152"/>
  <c r="P47" i="112"/>
  <c r="P64" i="112"/>
  <c r="P16" i="112" s="1"/>
  <c r="G10" i="111"/>
  <c r="E8" i="157" s="1"/>
  <c r="U40" i="177"/>
  <c r="CC26" i="129"/>
  <c r="CC39" i="129"/>
  <c r="R29" i="119"/>
  <c r="D14" i="120"/>
  <c r="U12" i="152" s="1"/>
  <c r="R23" i="119"/>
  <c r="O15" i="112"/>
  <c r="P35" i="112"/>
  <c r="E17" i="152"/>
  <c r="U19" i="129" s="1"/>
  <c r="U8" i="129" s="1"/>
  <c r="J40" i="151"/>
  <c r="E13" i="112"/>
  <c r="J11" i="151" s="1"/>
  <c r="I18" i="112"/>
  <c r="I17" i="112" s="1"/>
  <c r="F18" i="119"/>
  <c r="G16" i="134" s="1"/>
  <c r="G67" i="134" s="1"/>
  <c r="G69" i="134" s="1"/>
  <c r="J105" i="190"/>
  <c r="E21" i="151"/>
  <c r="AE23" i="129" s="1"/>
  <c r="AE9" i="129" s="1"/>
  <c r="E40" i="152"/>
  <c r="U42" i="129" s="1"/>
  <c r="U12" i="129" s="1"/>
  <c r="J114" i="190"/>
  <c r="U27" i="157"/>
  <c r="G10" i="120"/>
  <c r="U8" i="157" s="1"/>
  <c r="U45" i="177"/>
  <c r="BI55" i="129"/>
  <c r="BI14" i="129" s="1"/>
  <c r="J53" i="152"/>
  <c r="P55" i="112"/>
  <c r="P14" i="112" s="1"/>
  <c r="C11" i="111"/>
  <c r="E9" i="153" s="1"/>
  <c r="E40" i="153"/>
  <c r="K42" i="129" s="1"/>
  <c r="K12" i="129" s="1"/>
  <c r="C18" i="119"/>
  <c r="C17" i="119" s="1"/>
  <c r="G15" i="120"/>
  <c r="U13" i="157" s="1"/>
  <c r="J89" i="190"/>
  <c r="H9" i="120"/>
  <c r="U7" i="170" s="1"/>
  <c r="P19" i="112"/>
  <c r="P8" i="112" s="1"/>
  <c r="U21" i="177"/>
  <c r="J33" i="134"/>
  <c r="J128" i="190"/>
  <c r="J55" i="111"/>
  <c r="J14" i="111" s="1"/>
  <c r="E45" i="153"/>
  <c r="K47" i="129" s="1"/>
  <c r="K13" i="129" s="1"/>
  <c r="CC37" i="129"/>
  <c r="CC50" i="129"/>
  <c r="Q11" i="119"/>
  <c r="H13" i="120"/>
  <c r="U11" i="170" s="1"/>
  <c r="Z7" i="123"/>
  <c r="N16" i="112"/>
  <c r="U33" i="157"/>
  <c r="J64" i="111"/>
  <c r="J16" i="111" s="1"/>
  <c r="J107" i="191"/>
  <c r="U33" i="177"/>
  <c r="F9" i="112"/>
  <c r="J7" i="134" s="1"/>
  <c r="CC58" i="129"/>
  <c r="CC54" i="129"/>
  <c r="G18" i="119"/>
  <c r="G7" i="119" s="1"/>
  <c r="G5" i="157" s="1"/>
  <c r="J61" i="111"/>
  <c r="J15" i="111" s="1"/>
  <c r="G8" i="120"/>
  <c r="U6" i="157" s="1"/>
  <c r="R64" i="119"/>
  <c r="R16" i="119" s="1"/>
  <c r="E45" i="157"/>
  <c r="G94" i="192"/>
  <c r="CC32" i="129"/>
  <c r="E11" i="112"/>
  <c r="J9" i="151" s="1"/>
  <c r="D12" i="112"/>
  <c r="J10" i="152" s="1"/>
  <c r="G16" i="120"/>
  <c r="U14" i="157" s="1"/>
  <c r="U62" i="157"/>
  <c r="J29" i="111"/>
  <c r="J10" i="111" s="1"/>
  <c r="H18" i="111"/>
  <c r="H17" i="111" s="1"/>
  <c r="G91" i="192"/>
  <c r="CC63" i="129"/>
  <c r="AK44" i="122"/>
  <c r="U97" i="120" s="1"/>
  <c r="BI47" i="129"/>
  <c r="BI13" i="129" s="1"/>
  <c r="E8" i="112"/>
  <c r="J6" i="151" s="1"/>
  <c r="G8" i="111"/>
  <c r="E6" i="157" s="1"/>
  <c r="D13" i="120"/>
  <c r="U11" i="152" s="1"/>
  <c r="S86" i="120"/>
  <c r="R47" i="119"/>
  <c r="AL57" i="122"/>
  <c r="V117" i="120" s="1"/>
  <c r="I63" i="199"/>
  <c r="W16" i="206"/>
  <c r="R42" i="119"/>
  <c r="R12" i="119" s="1"/>
  <c r="AL44" i="122"/>
  <c r="V97" i="120" s="1"/>
  <c r="U21" i="157"/>
  <c r="K14" i="112"/>
  <c r="N12" i="112"/>
  <c r="D15" i="112"/>
  <c r="J13" i="152" s="1"/>
  <c r="J59" i="152"/>
  <c r="AL43" i="122"/>
  <c r="V107" i="120" s="1"/>
  <c r="K16" i="112"/>
  <c r="BI61" i="129"/>
  <c r="BI15" i="129" s="1"/>
  <c r="O8" i="112"/>
  <c r="E53" i="134"/>
  <c r="AO55" i="129" s="1"/>
  <c r="AO14" i="129" s="1"/>
  <c r="F9" i="111"/>
  <c r="E7" i="134" s="1"/>
  <c r="D9" i="112"/>
  <c r="J7" i="152" s="1"/>
  <c r="J21" i="152"/>
  <c r="O14" i="112"/>
  <c r="J79" i="189"/>
  <c r="J81" i="188"/>
  <c r="AK56" i="122"/>
  <c r="U116" i="120" s="1"/>
  <c r="U112" i="120" s="1"/>
  <c r="D18" i="119"/>
  <c r="D17" i="119" s="1"/>
  <c r="AL51" i="122"/>
  <c r="V102" i="120" s="1"/>
  <c r="AL11" i="99"/>
  <c r="T105" i="120"/>
  <c r="AK25" i="122"/>
  <c r="AL25" i="122" s="1"/>
  <c r="V87" i="120"/>
  <c r="AL40" i="122"/>
  <c r="V123" i="120" s="1"/>
  <c r="AL6" i="99"/>
  <c r="J81" i="189"/>
  <c r="J129" i="189"/>
  <c r="U94" i="120"/>
  <c r="AL31" i="122"/>
  <c r="V94" i="120" s="1"/>
  <c r="AI12" i="122"/>
  <c r="F26" i="93"/>
  <c r="F50" i="93"/>
  <c r="D48" i="134" s="1"/>
  <c r="F41" i="93"/>
  <c r="D39" i="134" s="1"/>
  <c r="G14" i="111"/>
  <c r="E12" i="157" s="1"/>
  <c r="R35" i="119"/>
  <c r="R11" i="119" s="1"/>
  <c r="J17" i="134"/>
  <c r="AY30" i="129"/>
  <c r="O16" i="112"/>
  <c r="AJ14" i="122"/>
  <c r="V113" i="120"/>
  <c r="W6" i="206"/>
  <c r="AL38" i="122"/>
  <c r="V114" i="120" s="1"/>
  <c r="AL23" i="122"/>
  <c r="V79" i="120" s="1"/>
  <c r="J62" i="151"/>
  <c r="E16" i="112"/>
  <c r="J14" i="151" s="1"/>
  <c r="AL34" i="122"/>
  <c r="V95" i="120" s="1"/>
  <c r="W48" i="206"/>
  <c r="X52" i="206"/>
  <c r="Y112" i="206"/>
  <c r="CC60" i="129"/>
  <c r="F63" i="93"/>
  <c r="F63" i="127" s="1"/>
  <c r="F59" i="93"/>
  <c r="F59" i="127" s="1"/>
  <c r="F43" i="93"/>
  <c r="D41" i="134" s="1"/>
  <c r="AK52" i="122"/>
  <c r="X7" i="206"/>
  <c r="Y67" i="206"/>
  <c r="T4" i="206"/>
  <c r="Y32" i="114"/>
  <c r="Z92" i="114"/>
  <c r="Y107" i="206"/>
  <c r="X47" i="206"/>
  <c r="X49" i="206"/>
  <c r="Y109" i="206"/>
  <c r="V83" i="120"/>
  <c r="J62" i="134"/>
  <c r="E59" i="134"/>
  <c r="AO61" i="129" s="1"/>
  <c r="AO15" i="129" s="1"/>
  <c r="S105" i="120"/>
  <c r="S104" i="120" s="1"/>
  <c r="AL49" i="99"/>
  <c r="FZ5" i="129"/>
  <c r="X26" i="206"/>
  <c r="Y86" i="206"/>
  <c r="Z65" i="206"/>
  <c r="Y5" i="206"/>
  <c r="Y90" i="114"/>
  <c r="X30" i="114"/>
  <c r="X29" i="114" s="1"/>
  <c r="N13" i="112"/>
  <c r="X53" i="114"/>
  <c r="X51" i="114" s="1"/>
  <c r="Y113" i="114"/>
  <c r="W34" i="206"/>
  <c r="U4" i="206"/>
  <c r="J42" i="111"/>
  <c r="J12" i="111" s="1"/>
  <c r="F21" i="93"/>
  <c r="D19" i="134" s="1"/>
  <c r="F37" i="93"/>
  <c r="D35" i="134" s="1"/>
  <c r="T123" i="120"/>
  <c r="T121" i="120" s="1"/>
  <c r="W42" i="206"/>
  <c r="AL39" i="122"/>
  <c r="V120" i="120" s="1"/>
  <c r="V4" i="206"/>
  <c r="Y95" i="206"/>
  <c r="X35" i="206"/>
  <c r="AL42" i="122"/>
  <c r="V124" i="120" s="1"/>
  <c r="N11" i="112"/>
  <c r="AK48" i="122"/>
  <c r="U90" i="120" s="1"/>
  <c r="V122" i="120"/>
  <c r="Y77" i="206"/>
  <c r="X17" i="206"/>
  <c r="Y100" i="206"/>
  <c r="X40" i="206"/>
  <c r="N14" i="112"/>
  <c r="AL54" i="122"/>
  <c r="V110" i="120" s="1"/>
  <c r="W29" i="206"/>
  <c r="Y101" i="206"/>
  <c r="X41" i="206"/>
  <c r="Y74" i="206"/>
  <c r="X14" i="206"/>
  <c r="Y81" i="206"/>
  <c r="X21" i="206"/>
  <c r="Y83" i="206"/>
  <c r="X23" i="206"/>
  <c r="Y110" i="206"/>
  <c r="X50" i="206"/>
  <c r="R4" i="206"/>
  <c r="F62" i="93"/>
  <c r="G129" i="192"/>
  <c r="J21" i="151"/>
  <c r="CC21" i="129"/>
  <c r="G13" i="120"/>
  <c r="D8" i="112"/>
  <c r="J6" i="152" s="1"/>
  <c r="AK49" i="122"/>
  <c r="U91" i="120" s="1"/>
  <c r="X31" i="206"/>
  <c r="Y91" i="206"/>
  <c r="AK7" i="122"/>
  <c r="U78" i="120"/>
  <c r="W10" i="206"/>
  <c r="AL28" i="122"/>
  <c r="V106" i="120" s="1"/>
  <c r="AL52" i="99"/>
  <c r="W22" i="206"/>
  <c r="E14" i="112"/>
  <c r="J12" i="151" s="1"/>
  <c r="J53" i="151"/>
  <c r="G112" i="192"/>
  <c r="AK32" i="122"/>
  <c r="U89" i="120" s="1"/>
  <c r="O11" i="112"/>
  <c r="F22" i="93"/>
  <c r="F22" i="127" s="1"/>
  <c r="J19" i="111"/>
  <c r="J8" i="111" s="1"/>
  <c r="F38" i="93"/>
  <c r="D36" i="134" s="1"/>
  <c r="F46" i="93"/>
  <c r="F46" i="127" s="1"/>
  <c r="J47" i="111"/>
  <c r="J13" i="111" s="1"/>
  <c r="G109" i="192"/>
  <c r="AK27" i="122"/>
  <c r="U88" i="120" s="1"/>
  <c r="Y113" i="206"/>
  <c r="X53" i="206"/>
  <c r="Y105" i="206"/>
  <c r="X45" i="206"/>
  <c r="Y71" i="206"/>
  <c r="X11" i="206"/>
  <c r="O13" i="112"/>
  <c r="V119" i="120"/>
  <c r="CC52" i="129"/>
  <c r="F40" i="93"/>
  <c r="F40" i="127" s="1"/>
  <c r="F56" i="93"/>
  <c r="D54" i="134" s="1"/>
  <c r="CC28" i="129"/>
  <c r="CC34" i="129"/>
  <c r="Y73" i="206"/>
  <c r="X13" i="206"/>
  <c r="X54" i="206"/>
  <c r="Y114" i="206"/>
  <c r="AK46" i="122"/>
  <c r="U85" i="120" s="1"/>
  <c r="AK40" i="122"/>
  <c r="E45" i="134"/>
  <c r="AO47" i="129" s="1"/>
  <c r="AO13" i="129" s="1"/>
  <c r="F13" i="111"/>
  <c r="E11" i="134" s="1"/>
  <c r="X9" i="206"/>
  <c r="Y69" i="206"/>
  <c r="Y99" i="206"/>
  <c r="X39" i="206"/>
  <c r="AK13" i="122"/>
  <c r="Y103" i="206"/>
  <c r="X43" i="206"/>
  <c r="BS43" i="129"/>
  <c r="F49" i="93"/>
  <c r="X37" i="206"/>
  <c r="Y97" i="206"/>
  <c r="V100" i="120"/>
  <c r="V93" i="120"/>
  <c r="U93" i="120"/>
  <c r="Y87" i="206"/>
  <c r="X27" i="206"/>
  <c r="X15" i="206"/>
  <c r="Y75" i="206"/>
  <c r="Y106" i="206"/>
  <c r="X46" i="206"/>
  <c r="U87" i="120"/>
  <c r="X8" i="206"/>
  <c r="Y68" i="206"/>
  <c r="Y93" i="206"/>
  <c r="X33" i="206"/>
  <c r="D12" i="120"/>
  <c r="U10" i="152" s="1"/>
  <c r="Y79" i="206"/>
  <c r="X19" i="206"/>
  <c r="X18" i="206"/>
  <c r="Y78" i="206"/>
  <c r="AK14" i="122"/>
  <c r="U119" i="120"/>
  <c r="AJ15" i="122"/>
  <c r="Y72" i="206"/>
  <c r="X12" i="206"/>
  <c r="F34" i="93"/>
  <c r="F34" i="127" s="1"/>
  <c r="F31" i="93"/>
  <c r="D29" i="134" s="1"/>
  <c r="F67" i="93"/>
  <c r="D65" i="134" s="1"/>
  <c r="F36" i="93"/>
  <c r="D34" i="134" s="1"/>
  <c r="J23" i="111"/>
  <c r="J9" i="111" s="1"/>
  <c r="F51" i="93"/>
  <c r="F51" i="127" s="1"/>
  <c r="F53" i="93"/>
  <c r="F53" i="127" s="1"/>
  <c r="F52" i="93"/>
  <c r="D50" i="134" s="1"/>
  <c r="F66" i="93"/>
  <c r="F66" i="127" s="1"/>
  <c r="R55" i="119"/>
  <c r="R14" i="119" s="1"/>
  <c r="CC53" i="129"/>
  <c r="CC27" i="129"/>
  <c r="CC45" i="129"/>
  <c r="BC83" i="114"/>
  <c r="BK83" i="114" s="1"/>
  <c r="T111" i="120"/>
  <c r="AK55" i="122"/>
  <c r="AL53" i="122"/>
  <c r="V109" i="120" s="1"/>
  <c r="AL49" i="122"/>
  <c r="V91" i="120" s="1"/>
  <c r="X20" i="206"/>
  <c r="Y80" i="206"/>
  <c r="N10" i="112"/>
  <c r="Y84" i="206"/>
  <c r="X24" i="206"/>
  <c r="Y85" i="206"/>
  <c r="X25" i="206"/>
  <c r="F57" i="93"/>
  <c r="D55" i="134" s="1"/>
  <c r="O10" i="112"/>
  <c r="Y90" i="206"/>
  <c r="X30" i="206"/>
  <c r="Y96" i="206"/>
  <c r="X36" i="206"/>
  <c r="F25" i="93"/>
  <c r="D23" i="134" s="1"/>
  <c r="F20" i="93"/>
  <c r="D18" i="134" s="1"/>
  <c r="F60" i="93"/>
  <c r="F60" i="127" s="1"/>
  <c r="F44" i="93"/>
  <c r="F44" i="127" s="1"/>
  <c r="AA65" i="114"/>
  <c r="AB65" i="114" s="1"/>
  <c r="AB5" i="114" s="1"/>
  <c r="I62" i="199"/>
  <c r="S98" i="120"/>
  <c r="S92" i="120" s="1"/>
  <c r="T119" i="120"/>
  <c r="T118" i="120" s="1"/>
  <c r="X28" i="206"/>
  <c r="Y88" i="206"/>
  <c r="Y92" i="206"/>
  <c r="X32" i="206"/>
  <c r="AL50" i="122"/>
  <c r="V101" i="120" s="1"/>
  <c r="Y104" i="206"/>
  <c r="X44" i="206"/>
  <c r="Y98" i="206"/>
  <c r="X38" i="206"/>
  <c r="S4" i="206"/>
  <c r="AL41" i="122"/>
  <c r="V115" i="120" s="1"/>
  <c r="J33" i="152"/>
  <c r="D11" i="112"/>
  <c r="J9" i="152" s="1"/>
  <c r="AK60" i="114"/>
  <c r="AL60" i="114" s="1"/>
  <c r="AM60" i="114" s="1"/>
  <c r="BF90" i="114"/>
  <c r="E40" i="134"/>
  <c r="AO42" i="129" s="1"/>
  <c r="AO12" i="129" s="1"/>
  <c r="F12" i="111"/>
  <c r="E10" i="134" s="1"/>
  <c r="F10" i="111"/>
  <c r="E8" i="134" s="1"/>
  <c r="E27" i="134"/>
  <c r="AO29" i="129" s="1"/>
  <c r="AO10" i="129" s="1"/>
  <c r="K56" i="199"/>
  <c r="I58" i="199"/>
  <c r="G92" i="191"/>
  <c r="G92" i="211"/>
  <c r="G112" i="191"/>
  <c r="G112" i="211"/>
  <c r="E10" i="112"/>
  <c r="J8" i="151" s="1"/>
  <c r="BG8" i="156"/>
  <c r="Z64" i="92"/>
  <c r="Z61" i="92"/>
  <c r="GJ5" i="129" s="1"/>
  <c r="L56" i="199"/>
  <c r="BI36" i="129"/>
  <c r="AL23" i="108"/>
  <c r="AL50" i="108"/>
  <c r="AL49" i="108"/>
  <c r="BG26" i="156"/>
  <c r="Q6" i="190"/>
  <c r="M56" i="199"/>
  <c r="J62" i="199"/>
  <c r="J56" i="199"/>
  <c r="I61" i="199"/>
  <c r="J63" i="199"/>
  <c r="I57" i="199"/>
  <c r="J58" i="199"/>
  <c r="I60" i="199"/>
  <c r="J60" i="199"/>
  <c r="AJ63" i="114"/>
  <c r="BE88" i="114"/>
  <c r="AH7" i="123"/>
  <c r="T94" i="120"/>
  <c r="BG4" i="156"/>
  <c r="S82" i="120"/>
  <c r="S80" i="120" s="1"/>
  <c r="AJ30" i="122"/>
  <c r="AJ8" i="122" s="1"/>
  <c r="H18" i="112"/>
  <c r="R74" i="120"/>
  <c r="AH22" i="108"/>
  <c r="AJ11" i="122"/>
  <c r="T103" i="120"/>
  <c r="AK60" i="116"/>
  <c r="AK14" i="116" s="1"/>
  <c r="AK5" i="116" s="1"/>
  <c r="T62" i="119" s="1"/>
  <c r="AJ47" i="122"/>
  <c r="T98" i="120" s="1"/>
  <c r="T116" i="120"/>
  <c r="AJ13" i="122"/>
  <c r="AH16" i="108"/>
  <c r="AA112" i="114"/>
  <c r="Z52" i="114"/>
  <c r="AJ12" i="122"/>
  <c r="T106" i="120"/>
  <c r="T88" i="120"/>
  <c r="AJ9" i="122"/>
  <c r="Q15" i="119"/>
  <c r="G67" i="185"/>
  <c r="G69" i="185" s="1"/>
  <c r="K7" i="119"/>
  <c r="K6" i="119" s="1"/>
  <c r="J45" i="153"/>
  <c r="C13" i="112"/>
  <c r="J11" i="153" s="1"/>
  <c r="U62" i="153"/>
  <c r="C16" i="120"/>
  <c r="U14" i="153" s="1"/>
  <c r="G92" i="192"/>
  <c r="U33" i="153"/>
  <c r="C11" i="120"/>
  <c r="U9" i="153" s="1"/>
  <c r="U45" i="153"/>
  <c r="C13" i="120"/>
  <c r="U11" i="153" s="1"/>
  <c r="C12" i="112"/>
  <c r="J10" i="153" s="1"/>
  <c r="J40" i="153"/>
  <c r="AC65" i="114"/>
  <c r="AD65" i="114" s="1"/>
  <c r="U40" i="153"/>
  <c r="C12" i="120"/>
  <c r="U10" i="153" s="1"/>
  <c r="J21" i="153"/>
  <c r="C9" i="112"/>
  <c r="J7" i="153" s="1"/>
  <c r="U17" i="153"/>
  <c r="C8" i="120"/>
  <c r="J33" i="153"/>
  <c r="C11" i="112"/>
  <c r="J9" i="153" s="1"/>
  <c r="J17" i="153"/>
  <c r="C8" i="112"/>
  <c r="J62" i="153"/>
  <c r="C16" i="112"/>
  <c r="J14" i="153" s="1"/>
  <c r="AI10" i="122"/>
  <c r="AI5" i="122" s="1"/>
  <c r="J27" i="153"/>
  <c r="C10" i="112"/>
  <c r="J8" i="153" s="1"/>
  <c r="U53" i="153"/>
  <c r="C14" i="120"/>
  <c r="U12" i="153" s="1"/>
  <c r="J59" i="153"/>
  <c r="C15" i="112"/>
  <c r="J13" i="153" s="1"/>
  <c r="U27" i="153"/>
  <c r="C10" i="120"/>
  <c r="U8" i="153" s="1"/>
  <c r="U21" i="153"/>
  <c r="C9" i="120"/>
  <c r="U7" i="153" s="1"/>
  <c r="J53" i="153"/>
  <c r="C14" i="112"/>
  <c r="J12" i="153" s="1"/>
  <c r="AI4" i="99"/>
  <c r="Q37" i="111"/>
  <c r="EU37" i="129" s="1"/>
  <c r="Q26" i="111"/>
  <c r="EU26" i="129" s="1"/>
  <c r="Q31" i="111"/>
  <c r="EU31" i="129" s="1"/>
  <c r="Q38" i="111"/>
  <c r="EU38" i="129" s="1"/>
  <c r="Q54" i="111"/>
  <c r="EU54" i="129" s="1"/>
  <c r="Q27" i="111"/>
  <c r="EU27" i="129" s="1"/>
  <c r="Q63" i="111"/>
  <c r="Q61" i="111" s="1"/>
  <c r="Q24" i="111"/>
  <c r="EU24" i="129" s="1"/>
  <c r="Q43" i="111"/>
  <c r="EU43" i="129" s="1"/>
  <c r="Q45" i="111"/>
  <c r="EU45" i="129" s="1"/>
  <c r="Q57" i="111"/>
  <c r="EU57" i="129" s="1"/>
  <c r="Q50" i="111"/>
  <c r="EU50" i="129" s="1"/>
  <c r="Q67" i="111"/>
  <c r="EU67" i="129" s="1"/>
  <c r="Q52" i="111"/>
  <c r="EU52" i="129" s="1"/>
  <c r="Q39" i="111"/>
  <c r="EU39" i="129" s="1"/>
  <c r="Q22" i="111"/>
  <c r="EU22" i="129" s="1"/>
  <c r="Q28" i="111"/>
  <c r="EU28" i="129" s="1"/>
  <c r="Q59" i="111"/>
  <c r="EU59" i="129" s="1"/>
  <c r="Q51" i="111"/>
  <c r="EU51" i="129" s="1"/>
  <c r="Q58" i="111"/>
  <c r="EU58" i="129" s="1"/>
  <c r="Q53" i="111"/>
  <c r="EU53" i="129" s="1"/>
  <c r="Q66" i="111"/>
  <c r="Q41" i="111"/>
  <c r="EU41" i="129" s="1"/>
  <c r="Q56" i="111"/>
  <c r="EU56" i="129" s="1"/>
  <c r="Q32" i="111"/>
  <c r="EU32" i="129" s="1"/>
  <c r="Q33" i="111"/>
  <c r="Q20" i="111"/>
  <c r="Q25" i="111"/>
  <c r="EU25" i="129" s="1"/>
  <c r="Q40" i="111"/>
  <c r="EU40" i="129" s="1"/>
  <c r="Q49" i="111"/>
  <c r="EU49" i="129" s="1"/>
  <c r="Q34" i="111"/>
  <c r="EU34" i="129" s="1"/>
  <c r="Q36" i="111"/>
  <c r="EU36" i="129" s="1"/>
  <c r="Q46" i="111"/>
  <c r="EU46" i="129" s="1"/>
  <c r="Q44" i="111"/>
  <c r="Q30" i="111"/>
  <c r="EU30" i="129" s="1"/>
  <c r="AH5" i="122"/>
  <c r="AH1" i="122" s="1"/>
  <c r="X16" i="114"/>
  <c r="AH10" i="108"/>
  <c r="AH29" i="108"/>
  <c r="R62" i="199"/>
  <c r="R59" i="199"/>
  <c r="C16" i="153"/>
  <c r="L18" i="129" s="1"/>
  <c r="U7" i="123"/>
  <c r="C5" i="153" s="1"/>
  <c r="I18" i="120"/>
  <c r="I7" i="120" s="1"/>
  <c r="I6" i="120" s="1"/>
  <c r="G125" i="191"/>
  <c r="D16" i="158"/>
  <c r="J32" i="199" s="1"/>
  <c r="D11" i="158"/>
  <c r="J27" i="199" s="1"/>
  <c r="I59" i="199" s="1"/>
  <c r="J121" i="190"/>
  <c r="J85" i="190"/>
  <c r="CM36" i="129"/>
  <c r="BS42" i="129"/>
  <c r="BS12" i="129" s="1"/>
  <c r="EA36" i="129"/>
  <c r="DG29" i="129"/>
  <c r="DG10" i="129" s="1"/>
  <c r="J130" i="190"/>
  <c r="J127" i="190"/>
  <c r="CM56" i="129"/>
  <c r="CM65" i="129"/>
  <c r="EA65" i="129"/>
  <c r="EA43" i="129"/>
  <c r="EA62" i="129"/>
  <c r="DG19" i="129"/>
  <c r="DG8" i="129" s="1"/>
  <c r="BS61" i="129"/>
  <c r="BS15" i="129" s="1"/>
  <c r="G94" i="190"/>
  <c r="G100" i="190"/>
  <c r="G107" i="190"/>
  <c r="J122" i="190"/>
  <c r="J109" i="190"/>
  <c r="J93" i="190"/>
  <c r="J87" i="190"/>
  <c r="J111" i="190"/>
  <c r="J113" i="190"/>
  <c r="CM48" i="129"/>
  <c r="CM30" i="129"/>
  <c r="CW47" i="129"/>
  <c r="CW13" i="129" s="1"/>
  <c r="BS55" i="129"/>
  <c r="BS14" i="129" s="1"/>
  <c r="EA30" i="129"/>
  <c r="EA48" i="129"/>
  <c r="CC56" i="129"/>
  <c r="CC20" i="129"/>
  <c r="DG61" i="129"/>
  <c r="DG15" i="129" s="1"/>
  <c r="DG55" i="129"/>
  <c r="DG14" i="129" s="1"/>
  <c r="CM43" i="129"/>
  <c r="CW19" i="129"/>
  <c r="CW8" i="129" s="1"/>
  <c r="BS29" i="129"/>
  <c r="BS10" i="129" s="1"/>
  <c r="EA24" i="129"/>
  <c r="CC24" i="129"/>
  <c r="CC65" i="129"/>
  <c r="BS35" i="129"/>
  <c r="BS11" i="129" s="1"/>
  <c r="G129" i="190"/>
  <c r="J102" i="190"/>
  <c r="J110" i="190"/>
  <c r="J86" i="190"/>
  <c r="J98" i="190"/>
  <c r="J131" i="190"/>
  <c r="J104" i="190"/>
  <c r="J99" i="190"/>
  <c r="CM20" i="129"/>
  <c r="BS23" i="129"/>
  <c r="BS9" i="129" s="1"/>
  <c r="CC43" i="129"/>
  <c r="CW64" i="129"/>
  <c r="CW16" i="129" s="1"/>
  <c r="J95" i="190"/>
  <c r="J101" i="190"/>
  <c r="CW55" i="129"/>
  <c r="CW14" i="129" s="1"/>
  <c r="J116" i="190"/>
  <c r="J115" i="190"/>
  <c r="J119" i="190"/>
  <c r="J96" i="190"/>
  <c r="J132" i="190"/>
  <c r="J91" i="190"/>
  <c r="J124" i="190"/>
  <c r="J97" i="190"/>
  <c r="CM24" i="129"/>
  <c r="DG42" i="129"/>
  <c r="DG12" i="129" s="1"/>
  <c r="BS47" i="129"/>
  <c r="BS13" i="129" s="1"/>
  <c r="EA56" i="129"/>
  <c r="CC36" i="129"/>
  <c r="CW29" i="129"/>
  <c r="CW10" i="129" s="1"/>
  <c r="DG47" i="129"/>
  <c r="DG13" i="129" s="1"/>
  <c r="DG23" i="129"/>
  <c r="DG9" i="129" s="1"/>
  <c r="DG64" i="129"/>
  <c r="DG16" i="129" s="1"/>
  <c r="CC48" i="129"/>
  <c r="BS64" i="129"/>
  <c r="BS16" i="129" s="1"/>
  <c r="BS19" i="129"/>
  <c r="BS8" i="129" s="1"/>
  <c r="G112" i="190"/>
  <c r="J123" i="190"/>
  <c r="J106" i="190"/>
  <c r="J92" i="190"/>
  <c r="J117" i="190"/>
  <c r="J118" i="190"/>
  <c r="J90" i="190"/>
  <c r="J125" i="190"/>
  <c r="J103" i="190"/>
  <c r="U29" i="129"/>
  <c r="U10" i="129" s="1"/>
  <c r="K35" i="129"/>
  <c r="K11" i="129" s="1"/>
  <c r="K19" i="129"/>
  <c r="K8" i="129" s="1"/>
  <c r="AE19" i="129"/>
  <c r="AE8" i="129" s="1"/>
  <c r="U55" i="129"/>
  <c r="U14" i="129" s="1"/>
  <c r="U47" i="129"/>
  <c r="U13" i="129" s="1"/>
  <c r="U64" i="129"/>
  <c r="U16" i="129" s="1"/>
  <c r="AE47" i="129"/>
  <c r="AE13" i="129" s="1"/>
  <c r="U23" i="129"/>
  <c r="U9" i="129" s="1"/>
  <c r="K64" i="129"/>
  <c r="K16" i="129" s="1"/>
  <c r="K55" i="129"/>
  <c r="K14" i="129" s="1"/>
  <c r="H9" i="158"/>
  <c r="N25" i="199" s="1"/>
  <c r="M57" i="199" s="1"/>
  <c r="H13" i="158"/>
  <c r="N29" i="199" s="1"/>
  <c r="N16" i="158"/>
  <c r="T32" i="199" s="1"/>
  <c r="H11" i="158"/>
  <c r="N27" i="199" s="1"/>
  <c r="M59" i="199" s="1"/>
  <c r="L10" i="158"/>
  <c r="R26" i="199" s="1"/>
  <c r="N12" i="158"/>
  <c r="T28" i="199" s="1"/>
  <c r="J12" i="158"/>
  <c r="P28" i="199" s="1"/>
  <c r="O60" i="199" s="1"/>
  <c r="L11" i="158"/>
  <c r="R27" i="199" s="1"/>
  <c r="H15" i="158"/>
  <c r="N31" i="199" s="1"/>
  <c r="M63" i="199" s="1"/>
  <c r="L14" i="158"/>
  <c r="R30" i="199" s="1"/>
  <c r="F12" i="158"/>
  <c r="L28" i="199" s="1"/>
  <c r="K60" i="199" s="1"/>
  <c r="K10" i="158"/>
  <c r="Q26" i="199" s="1"/>
  <c r="J14" i="158"/>
  <c r="P30" i="199" s="1"/>
  <c r="H16" i="158"/>
  <c r="N32" i="199" s="1"/>
  <c r="M64" i="199" s="1"/>
  <c r="M14" i="158"/>
  <c r="S30" i="199" s="1"/>
  <c r="N15" i="158"/>
  <c r="T31" i="199" s="1"/>
  <c r="F13" i="158"/>
  <c r="L29" i="199" s="1"/>
  <c r="K61" i="199" s="1"/>
  <c r="G14" i="158"/>
  <c r="M30" i="199" s="1"/>
  <c r="M15" i="158"/>
  <c r="S31" i="199" s="1"/>
  <c r="L15" i="158"/>
  <c r="R31" i="199" s="1"/>
  <c r="J11" i="158"/>
  <c r="P27" i="199" s="1"/>
  <c r="G12" i="158"/>
  <c r="M28" i="199" s="1"/>
  <c r="I8" i="158"/>
  <c r="O24" i="199" s="1"/>
  <c r="N56" i="199" s="1"/>
  <c r="F14" i="158"/>
  <c r="L30" i="199" s="1"/>
  <c r="K62" i="199" s="1"/>
  <c r="H14" i="158"/>
  <c r="N30" i="199" s="1"/>
  <c r="F10" i="158"/>
  <c r="L26" i="199" s="1"/>
  <c r="K58" i="199" s="1"/>
  <c r="K12" i="158"/>
  <c r="Q28" i="199" s="1"/>
  <c r="M11" i="158"/>
  <c r="S27" i="199" s="1"/>
  <c r="J8" i="158"/>
  <c r="P24" i="199" s="1"/>
  <c r="J13" i="158"/>
  <c r="P29" i="199" s="1"/>
  <c r="L8" i="158"/>
  <c r="R24" i="199" s="1"/>
  <c r="I9" i="158"/>
  <c r="O25" i="199" s="1"/>
  <c r="I13" i="158"/>
  <c r="O29" i="199" s="1"/>
  <c r="G13" i="158"/>
  <c r="M29" i="199" s="1"/>
  <c r="J15" i="158"/>
  <c r="P31" i="199" s="1"/>
  <c r="O63" i="199" s="1"/>
  <c r="M10" i="158"/>
  <c r="S26" i="199" s="1"/>
  <c r="H12" i="158"/>
  <c r="N28" i="199" s="1"/>
  <c r="K14" i="158"/>
  <c r="Q30" i="199" s="1"/>
  <c r="N9" i="158"/>
  <c r="T25" i="199" s="1"/>
  <c r="H10" i="158"/>
  <c r="N26" i="199" s="1"/>
  <c r="M58" i="199" s="1"/>
  <c r="N8" i="158"/>
  <c r="T24" i="199" s="1"/>
  <c r="K13" i="158"/>
  <c r="Q29" i="199" s="1"/>
  <c r="L13" i="158"/>
  <c r="R29" i="199" s="1"/>
  <c r="I11" i="158"/>
  <c r="O27" i="199" s="1"/>
  <c r="F9" i="158"/>
  <c r="L25" i="199" s="1"/>
  <c r="K57" i="199" s="1"/>
  <c r="M8" i="158"/>
  <c r="S24" i="199" s="1"/>
  <c r="K16" i="158"/>
  <c r="Q32" i="199" s="1"/>
  <c r="Q64" i="199" s="1"/>
  <c r="I14" i="158"/>
  <c r="O30" i="199" s="1"/>
  <c r="F16" i="158"/>
  <c r="L32" i="199" s="1"/>
  <c r="K64" i="199" s="1"/>
  <c r="N13" i="158"/>
  <c r="T29" i="199" s="1"/>
  <c r="I10" i="158"/>
  <c r="O26" i="199" s="1"/>
  <c r="K8" i="158"/>
  <c r="Q24" i="199" s="1"/>
  <c r="F11" i="158"/>
  <c r="L27" i="199" s="1"/>
  <c r="K59" i="199" s="1"/>
  <c r="J16" i="158"/>
  <c r="P32" i="199" s="1"/>
  <c r="O64" i="199" s="1"/>
  <c r="N14" i="158"/>
  <c r="T30" i="199" s="1"/>
  <c r="J10" i="158"/>
  <c r="P26" i="199" s="1"/>
  <c r="F15" i="158"/>
  <c r="L31" i="199" s="1"/>
  <c r="K63" i="199" s="1"/>
  <c r="J9" i="158"/>
  <c r="P25" i="199" s="1"/>
  <c r="K9" i="158"/>
  <c r="Q25" i="199" s="1"/>
  <c r="Q57" i="199" s="1"/>
  <c r="N11" i="158"/>
  <c r="T27" i="199" s="1"/>
  <c r="M13" i="158"/>
  <c r="S29" i="199" s="1"/>
  <c r="N10" i="158"/>
  <c r="T26" i="199" s="1"/>
  <c r="C8" i="158"/>
  <c r="I24" i="199" s="1"/>
  <c r="H56" i="199" s="1"/>
  <c r="U13" i="151"/>
  <c r="G16" i="151"/>
  <c r="E17" i="119"/>
  <c r="F54" i="127"/>
  <c r="E7" i="119"/>
  <c r="E6" i="119" s="1"/>
  <c r="G4" i="151" s="1"/>
  <c r="U7" i="151"/>
  <c r="AB64" i="114"/>
  <c r="AA5" i="114"/>
  <c r="D4" i="114"/>
  <c r="X22" i="114"/>
  <c r="X48" i="114"/>
  <c r="W4" i="114"/>
  <c r="G51" i="93" s="1"/>
  <c r="G51" i="127" s="1"/>
  <c r="AA88" i="114"/>
  <c r="Z28" i="114"/>
  <c r="Y35" i="114"/>
  <c r="Z95" i="114"/>
  <c r="E101" i="188"/>
  <c r="DQ36" i="129"/>
  <c r="E108" i="188"/>
  <c r="DQ43" i="129"/>
  <c r="E95" i="188"/>
  <c r="DQ30" i="129"/>
  <c r="AY55" i="129"/>
  <c r="AY14" i="129" s="1"/>
  <c r="AY42" i="129"/>
  <c r="AY12" i="129" s="1"/>
  <c r="E85" i="189"/>
  <c r="EA20" i="129"/>
  <c r="E130" i="188"/>
  <c r="DQ65" i="129"/>
  <c r="E127" i="188"/>
  <c r="DQ62" i="129"/>
  <c r="E113" i="188"/>
  <c r="DQ48" i="129"/>
  <c r="AY29" i="129"/>
  <c r="AY10" i="129" s="1"/>
  <c r="E121" i="188"/>
  <c r="DQ56" i="129"/>
  <c r="E85" i="188"/>
  <c r="DQ20" i="129"/>
  <c r="AY19" i="129"/>
  <c r="AY8" i="129" s="1"/>
  <c r="CM62" i="129"/>
  <c r="E89" i="188"/>
  <c r="DQ24" i="129"/>
  <c r="AB114" i="114"/>
  <c r="AA54" i="114"/>
  <c r="Z81" i="114"/>
  <c r="Y21" i="114"/>
  <c r="Z91" i="114"/>
  <c r="Y31" i="114"/>
  <c r="Z99" i="114"/>
  <c r="Y39" i="114"/>
  <c r="Y37" i="114"/>
  <c r="Z97" i="114"/>
  <c r="Z83" i="114"/>
  <c r="Y23" i="114"/>
  <c r="Z80" i="114"/>
  <c r="Y20" i="114"/>
  <c r="Z100" i="114"/>
  <c r="Y40" i="114"/>
  <c r="Z85" i="114"/>
  <c r="Y25" i="114"/>
  <c r="CN16" i="129"/>
  <c r="CD16" i="129"/>
  <c r="BJ16" i="129"/>
  <c r="AP16" i="129"/>
  <c r="BB3" i="156"/>
  <c r="BD3" i="156" s="1"/>
  <c r="T7" i="123"/>
  <c r="AC87" i="114"/>
  <c r="AB27" i="114"/>
  <c r="AA93" i="114"/>
  <c r="Z33" i="114"/>
  <c r="Z26" i="114"/>
  <c r="AA86" i="114"/>
  <c r="C4" i="114"/>
  <c r="W7" i="165"/>
  <c r="AD7" i="165"/>
  <c r="AB7" i="165"/>
  <c r="AC7" i="165"/>
  <c r="Z7" i="165"/>
  <c r="V7" i="165"/>
  <c r="U7" i="165"/>
  <c r="Y7" i="165"/>
  <c r="AF7" i="165"/>
  <c r="AA7" i="165"/>
  <c r="AC11" i="176"/>
  <c r="U13" i="176"/>
  <c r="AC13" i="176" s="1"/>
  <c r="S21" i="119"/>
  <c r="S26" i="119"/>
  <c r="S31" i="119"/>
  <c r="S36" i="119"/>
  <c r="S40" i="119"/>
  <c r="S45" i="119"/>
  <c r="S50" i="119"/>
  <c r="S54" i="119"/>
  <c r="S59" i="119"/>
  <c r="S63" i="119"/>
  <c r="S20" i="119"/>
  <c r="S39" i="119"/>
  <c r="S53" i="119"/>
  <c r="S67" i="119"/>
  <c r="S22" i="119"/>
  <c r="S27" i="119"/>
  <c r="S32" i="119"/>
  <c r="S37" i="119"/>
  <c r="S41" i="119"/>
  <c r="S46" i="119"/>
  <c r="S51" i="119"/>
  <c r="S56" i="119"/>
  <c r="S60" i="119"/>
  <c r="S65" i="119"/>
  <c r="S30" i="119"/>
  <c r="S58" i="119"/>
  <c r="S24" i="119"/>
  <c r="S28" i="119"/>
  <c r="S33" i="119"/>
  <c r="S38" i="119"/>
  <c r="S43" i="119"/>
  <c r="S48" i="119"/>
  <c r="S52" i="119"/>
  <c r="S57" i="119"/>
  <c r="S66" i="119"/>
  <c r="S25" i="119"/>
  <c r="S34" i="119"/>
  <c r="S44" i="119"/>
  <c r="S49" i="119"/>
  <c r="S62" i="119"/>
  <c r="Z36" i="114"/>
  <c r="AA96" i="114"/>
  <c r="J6" i="134"/>
  <c r="J18" i="112"/>
  <c r="J17" i="112" s="1"/>
  <c r="M10" i="112"/>
  <c r="J96" i="188"/>
  <c r="J93" i="188"/>
  <c r="AA79" i="114"/>
  <c r="Z19" i="114"/>
  <c r="AA84" i="114"/>
  <c r="Z24" i="114"/>
  <c r="Z17" i="114"/>
  <c r="AA77" i="114"/>
  <c r="AB76" i="114" s="1"/>
  <c r="Z18" i="114"/>
  <c r="AA78" i="114"/>
  <c r="E113" i="189"/>
  <c r="V7" i="123"/>
  <c r="C5" i="152" s="1"/>
  <c r="C16" i="152"/>
  <c r="AB7" i="123"/>
  <c r="Y7" i="123"/>
  <c r="C5" i="157" s="1"/>
  <c r="C16" i="157"/>
  <c r="AE7" i="123"/>
  <c r="C73" i="188"/>
  <c r="W7" i="123"/>
  <c r="C5" i="151" s="1"/>
  <c r="C16" i="151"/>
  <c r="X7" i="123"/>
  <c r="C5" i="134" s="1"/>
  <c r="C16" i="134"/>
  <c r="AC7" i="123"/>
  <c r="AD7" i="123"/>
  <c r="AF7" i="123"/>
  <c r="AA7" i="123"/>
  <c r="G99" i="191"/>
  <c r="O12" i="158"/>
  <c r="U28" i="199" s="1"/>
  <c r="AG7" i="123"/>
  <c r="O10" i="158"/>
  <c r="U26" i="199" s="1"/>
  <c r="O16" i="158"/>
  <c r="U32" i="199" s="1"/>
  <c r="O11" i="158"/>
  <c r="U27" i="199" s="1"/>
  <c r="O8" i="158"/>
  <c r="U24" i="199" s="1"/>
  <c r="O14" i="158"/>
  <c r="U30" i="199" s="1"/>
  <c r="O13" i="158"/>
  <c r="U29" i="199" s="1"/>
  <c r="C73" i="189"/>
  <c r="O9" i="158"/>
  <c r="U25" i="199" s="1"/>
  <c r="O15" i="158"/>
  <c r="U31" i="199" s="1"/>
  <c r="Q36" i="112"/>
  <c r="Q48" i="112"/>
  <c r="R45" i="112"/>
  <c r="R25" i="112"/>
  <c r="R56" i="112"/>
  <c r="R51" i="112"/>
  <c r="R62" i="112"/>
  <c r="R21" i="112"/>
  <c r="R60" i="112"/>
  <c r="R52" i="112"/>
  <c r="R32" i="112"/>
  <c r="R38" i="112"/>
  <c r="R54" i="112"/>
  <c r="R50" i="112"/>
  <c r="R48" i="112"/>
  <c r="R37" i="112"/>
  <c r="R26" i="112"/>
  <c r="R53" i="112"/>
  <c r="R66" i="112"/>
  <c r="R24" i="112"/>
  <c r="R33" i="112"/>
  <c r="R20" i="112"/>
  <c r="R36" i="112"/>
  <c r="R43" i="112"/>
  <c r="R39" i="112"/>
  <c r="R41" i="112"/>
  <c r="R28" i="112"/>
  <c r="R22" i="112"/>
  <c r="R27" i="112"/>
  <c r="R40" i="112"/>
  <c r="R31" i="112"/>
  <c r="R46" i="112"/>
  <c r="R58" i="112"/>
  <c r="R65" i="112"/>
  <c r="R34" i="112"/>
  <c r="R67" i="112"/>
  <c r="R49" i="112"/>
  <c r="R44" i="112"/>
  <c r="R30" i="112"/>
  <c r="R57" i="112"/>
  <c r="R63" i="112"/>
  <c r="R59" i="112"/>
  <c r="L29" i="129"/>
  <c r="L10" i="129" s="1"/>
  <c r="L47" i="129"/>
  <c r="L13" i="129" s="1"/>
  <c r="V23" i="129"/>
  <c r="V9" i="129" s="1"/>
  <c r="V42" i="129"/>
  <c r="V12" i="129" s="1"/>
  <c r="L23" i="129"/>
  <c r="L9" i="129" s="1"/>
  <c r="L42" i="129"/>
  <c r="L12" i="129" s="1"/>
  <c r="AF35" i="129"/>
  <c r="AF11" i="129" s="1"/>
  <c r="V47" i="129"/>
  <c r="V13" i="129" s="1"/>
  <c r="V35" i="129"/>
  <c r="V11" i="129" s="1"/>
  <c r="V55" i="129"/>
  <c r="V14" i="129" s="1"/>
  <c r="L55" i="129"/>
  <c r="L14" i="129" s="1"/>
  <c r="V61" i="129"/>
  <c r="V15" i="129" s="1"/>
  <c r="AF29" i="129"/>
  <c r="AF10" i="129" s="1"/>
  <c r="AF55" i="129"/>
  <c r="AF14" i="129" s="1"/>
  <c r="AF19" i="129"/>
  <c r="AF8" i="129" s="1"/>
  <c r="AF23" i="129"/>
  <c r="AF9" i="129" s="1"/>
  <c r="L64" i="129"/>
  <c r="AF42" i="129"/>
  <c r="AF12" i="129" s="1"/>
  <c r="AF61" i="129"/>
  <c r="AF15" i="129" s="1"/>
  <c r="L19" i="129"/>
  <c r="L8" i="129" s="1"/>
  <c r="V64" i="129"/>
  <c r="AF64" i="129"/>
  <c r="V19" i="129"/>
  <c r="V8" i="129" s="1"/>
  <c r="AF47" i="129"/>
  <c r="AF13" i="129" s="1"/>
  <c r="L35" i="129"/>
  <c r="L11" i="129" s="1"/>
  <c r="V29" i="129"/>
  <c r="V10" i="129" s="1"/>
  <c r="L61" i="129"/>
  <c r="L15" i="129" s="1"/>
  <c r="Z72" i="114"/>
  <c r="Y12" i="114"/>
  <c r="Z109" i="114"/>
  <c r="Y49" i="114"/>
  <c r="X10" i="114"/>
  <c r="Y14" i="114"/>
  <c r="Z74" i="114"/>
  <c r="Y15" i="114"/>
  <c r="Z75" i="114"/>
  <c r="Y8" i="114"/>
  <c r="Z68" i="114"/>
  <c r="Y9" i="114"/>
  <c r="Z69" i="114"/>
  <c r="Y45" i="114"/>
  <c r="Z105" i="114"/>
  <c r="E21" i="93"/>
  <c r="E54" i="93"/>
  <c r="E28" i="93"/>
  <c r="E67" i="93"/>
  <c r="E53" i="93"/>
  <c r="Y13" i="114"/>
  <c r="Z73" i="114"/>
  <c r="Y50" i="114"/>
  <c r="Z110" i="114"/>
  <c r="C20" i="93"/>
  <c r="C63" i="93"/>
  <c r="C53" i="93"/>
  <c r="C30" i="93"/>
  <c r="C67" i="93"/>
  <c r="C60" i="93"/>
  <c r="C32" i="93"/>
  <c r="C44" i="93"/>
  <c r="C24" i="93"/>
  <c r="C33" i="93"/>
  <c r="C49" i="93"/>
  <c r="C37" i="93"/>
  <c r="C36" i="93"/>
  <c r="C40" i="93"/>
  <c r="C46" i="93"/>
  <c r="C28" i="93"/>
  <c r="C22" i="93"/>
  <c r="C50" i="93"/>
  <c r="C21" i="93"/>
  <c r="C27" i="93"/>
  <c r="C58" i="93"/>
  <c r="C66" i="93"/>
  <c r="C57" i="93"/>
  <c r="C26" i="93"/>
  <c r="C39" i="93"/>
  <c r="C52" i="93"/>
  <c r="C45" i="93"/>
  <c r="C34" i="93"/>
  <c r="C41" i="93"/>
  <c r="C65" i="93"/>
  <c r="C51" i="93"/>
  <c r="C43" i="93"/>
  <c r="C59" i="93"/>
  <c r="C62" i="93"/>
  <c r="C25" i="93"/>
  <c r="C31" i="93"/>
  <c r="C38" i="93"/>
  <c r="C56" i="93"/>
  <c r="C48" i="93"/>
  <c r="C54" i="93"/>
  <c r="Y44" i="114"/>
  <c r="Z104" i="114"/>
  <c r="X6" i="114"/>
  <c r="D45" i="93"/>
  <c r="D44" i="93"/>
  <c r="D36" i="93"/>
  <c r="D20" i="93"/>
  <c r="D31" i="93"/>
  <c r="D30" i="93"/>
  <c r="D56" i="93"/>
  <c r="D24" i="93"/>
  <c r="D41" i="93"/>
  <c r="D58" i="93"/>
  <c r="D40" i="93"/>
  <c r="D46" i="93"/>
  <c r="D67" i="93"/>
  <c r="D39" i="93"/>
  <c r="D48" i="93"/>
  <c r="D60" i="93"/>
  <c r="D57" i="93"/>
  <c r="D34" i="93"/>
  <c r="D33" i="93"/>
  <c r="D25" i="93"/>
  <c r="X42" i="114"/>
  <c r="Y11" i="114"/>
  <c r="Z71" i="114"/>
  <c r="Y47" i="114"/>
  <c r="Z107" i="114"/>
  <c r="Y46" i="114"/>
  <c r="Z106" i="114"/>
  <c r="Y7" i="114"/>
  <c r="Z67" i="114"/>
  <c r="Z103" i="114"/>
  <c r="Y43" i="114"/>
  <c r="G120" i="190"/>
  <c r="G88" i="190"/>
  <c r="G84" i="190"/>
  <c r="G126" i="190"/>
  <c r="E127" i="189"/>
  <c r="G75" i="189"/>
  <c r="E121" i="189"/>
  <c r="E95" i="189"/>
  <c r="E89" i="189"/>
  <c r="U34" i="178"/>
  <c r="J35" i="120"/>
  <c r="K20" i="120"/>
  <c r="K30" i="120"/>
  <c r="K33" i="120"/>
  <c r="K66" i="120"/>
  <c r="K22" i="120"/>
  <c r="K59" i="120"/>
  <c r="K62" i="120"/>
  <c r="K34" i="120"/>
  <c r="K63" i="120"/>
  <c r="K51" i="120"/>
  <c r="K43" i="120"/>
  <c r="K52" i="120"/>
  <c r="K53" i="120"/>
  <c r="K49" i="120"/>
  <c r="K41" i="120"/>
  <c r="K48" i="120"/>
  <c r="K57" i="120"/>
  <c r="K36" i="120"/>
  <c r="K58" i="120"/>
  <c r="K65" i="120"/>
  <c r="K39" i="120"/>
  <c r="K25" i="120"/>
  <c r="K37" i="120"/>
  <c r="K21" i="120"/>
  <c r="K46" i="120"/>
  <c r="K28" i="120"/>
  <c r="K56" i="120"/>
  <c r="K38" i="120"/>
  <c r="K31" i="120"/>
  <c r="K26" i="120"/>
  <c r="K40" i="120"/>
  <c r="K27" i="120"/>
  <c r="K24" i="120"/>
  <c r="K32" i="120"/>
  <c r="K44" i="120"/>
  <c r="K67" i="120"/>
  <c r="K50" i="120"/>
  <c r="K45" i="120"/>
  <c r="K60" i="120"/>
  <c r="K54" i="120"/>
  <c r="U28" i="178"/>
  <c r="J29" i="120"/>
  <c r="U22" i="178"/>
  <c r="J23" i="120"/>
  <c r="U54" i="178"/>
  <c r="J55" i="120"/>
  <c r="J42" i="120"/>
  <c r="U41" i="178"/>
  <c r="U60" i="178"/>
  <c r="J61" i="120"/>
  <c r="J64" i="120"/>
  <c r="U63" i="178"/>
  <c r="U46" i="178"/>
  <c r="J47" i="120"/>
  <c r="U18" i="178"/>
  <c r="J19" i="120"/>
  <c r="U16" i="176"/>
  <c r="AC16" i="176" s="1"/>
  <c r="AC14" i="176"/>
  <c r="V14" i="176"/>
  <c r="Q61" i="112"/>
  <c r="Q42" i="112"/>
  <c r="Q12" i="112" s="1"/>
  <c r="E101" i="189"/>
  <c r="U40" i="134"/>
  <c r="F12" i="120"/>
  <c r="U10" i="134" s="1"/>
  <c r="U45" i="134"/>
  <c r="F13" i="120"/>
  <c r="U11" i="134" s="1"/>
  <c r="Q55" i="112"/>
  <c r="U21" i="134"/>
  <c r="F9" i="120"/>
  <c r="U7" i="134" s="1"/>
  <c r="U12" i="170"/>
  <c r="U12" i="177"/>
  <c r="E18" i="120"/>
  <c r="G6" i="123"/>
  <c r="U17" i="134"/>
  <c r="F8" i="120"/>
  <c r="Q29" i="112"/>
  <c r="F16" i="120"/>
  <c r="U14" i="134" s="1"/>
  <c r="U62" i="134"/>
  <c r="U13" i="177"/>
  <c r="U13" i="170"/>
  <c r="G76" i="189"/>
  <c r="F10" i="120"/>
  <c r="U8" i="134" s="1"/>
  <c r="U27" i="134"/>
  <c r="C71" i="189"/>
  <c r="F14" i="120"/>
  <c r="U12" i="134" s="1"/>
  <c r="U53" i="134"/>
  <c r="Q19" i="112"/>
  <c r="Q23" i="112"/>
  <c r="P18" i="119"/>
  <c r="P17" i="119" s="1"/>
  <c r="U33" i="134"/>
  <c r="F11" i="120"/>
  <c r="U9" i="134" s="1"/>
  <c r="Q64" i="112"/>
  <c r="L18" i="112"/>
  <c r="L17" i="112" s="1"/>
  <c r="F15" i="120"/>
  <c r="U13" i="134" s="1"/>
  <c r="U59" i="134"/>
  <c r="U6" i="177"/>
  <c r="U6" i="170"/>
  <c r="J126" i="188"/>
  <c r="O10" i="111"/>
  <c r="O8" i="111"/>
  <c r="O14" i="111"/>
  <c r="O13" i="111"/>
  <c r="G73" i="189"/>
  <c r="N16" i="111"/>
  <c r="G129" i="188"/>
  <c r="G88" i="188"/>
  <c r="K14" i="111"/>
  <c r="K16" i="111"/>
  <c r="M18" i="119"/>
  <c r="M17" i="119" s="1"/>
  <c r="O9" i="111"/>
  <c r="E130" i="189"/>
  <c r="E108" i="189"/>
  <c r="EU21" i="129"/>
  <c r="EU62" i="129"/>
  <c r="N10" i="111"/>
  <c r="N8" i="111"/>
  <c r="G126" i="188"/>
  <c r="X34" i="114"/>
  <c r="G94" i="188"/>
  <c r="O11" i="111"/>
  <c r="G80" i="189"/>
  <c r="N11" i="111"/>
  <c r="N14" i="111"/>
  <c r="N12" i="111"/>
  <c r="G100" i="188"/>
  <c r="H7" i="119"/>
  <c r="G74" i="189"/>
  <c r="P15" i="112"/>
  <c r="K15" i="111"/>
  <c r="G120" i="188"/>
  <c r="G84" i="188"/>
  <c r="O16" i="111"/>
  <c r="O12" i="111"/>
  <c r="O15" i="111"/>
  <c r="Z101" i="114"/>
  <c r="Y41" i="114"/>
  <c r="E6" i="152"/>
  <c r="J7" i="119"/>
  <c r="EU65" i="129"/>
  <c r="EU60" i="129"/>
  <c r="EU48" i="129"/>
  <c r="N15" i="111"/>
  <c r="N9" i="111"/>
  <c r="N13" i="111"/>
  <c r="G112" i="188"/>
  <c r="G107" i="188"/>
  <c r="Y38" i="114"/>
  <c r="Z98" i="114"/>
  <c r="V52" i="134"/>
  <c r="AN7" i="99" l="1"/>
  <c r="AN6" i="99" s="1"/>
  <c r="AM52" i="99"/>
  <c r="AM51" i="99" s="1"/>
  <c r="AM49" i="99"/>
  <c r="AM48" i="99" s="1"/>
  <c r="AL10" i="99"/>
  <c r="AM11" i="99"/>
  <c r="AM10" i="99" s="1"/>
  <c r="AN50" i="108"/>
  <c r="E30" i="93"/>
  <c r="E48" i="93"/>
  <c r="E39" i="93"/>
  <c r="E39" i="127" s="1"/>
  <c r="E31" i="93"/>
  <c r="U9" i="177"/>
  <c r="P61" i="111"/>
  <c r="P15" i="111" s="1"/>
  <c r="D43" i="134"/>
  <c r="V43" i="134" s="1"/>
  <c r="D46" i="134"/>
  <c r="V46" i="134" s="1"/>
  <c r="G87" i="212"/>
  <c r="G87" i="213"/>
  <c r="G83" i="212"/>
  <c r="G83" i="213"/>
  <c r="G75" i="212"/>
  <c r="G75" i="213"/>
  <c r="G111" i="212"/>
  <c r="G111" i="213"/>
  <c r="G119" i="212"/>
  <c r="G119" i="213"/>
  <c r="G93" i="212"/>
  <c r="G93" i="213"/>
  <c r="G79" i="212"/>
  <c r="G79" i="213"/>
  <c r="G106" i="212"/>
  <c r="G106" i="213"/>
  <c r="G128" i="212"/>
  <c r="G128" i="213"/>
  <c r="AM50" i="108"/>
  <c r="AM23" i="108"/>
  <c r="AN23" i="108" s="1"/>
  <c r="AM49" i="108"/>
  <c r="AM48" i="108" s="1"/>
  <c r="D53" i="93"/>
  <c r="D53" i="127" s="1"/>
  <c r="D26" i="93"/>
  <c r="D63" i="93"/>
  <c r="D61" i="152" s="1"/>
  <c r="D49" i="93"/>
  <c r="D49" i="127" s="1"/>
  <c r="D62" i="93"/>
  <c r="D60" i="152" s="1"/>
  <c r="D37" i="93"/>
  <c r="D35" i="152" s="1"/>
  <c r="D32" i="93"/>
  <c r="D30" i="152" s="1"/>
  <c r="D51" i="93"/>
  <c r="D49" i="152" s="1"/>
  <c r="D66" i="93"/>
  <c r="D64" i="93" s="1"/>
  <c r="D28" i="93"/>
  <c r="D27" i="93"/>
  <c r="D25" i="152" s="1"/>
  <c r="D59" i="93"/>
  <c r="D57" i="152" s="1"/>
  <c r="D54" i="93"/>
  <c r="D52" i="152" s="1"/>
  <c r="D52" i="93"/>
  <c r="D50" i="152" s="1"/>
  <c r="D22" i="93"/>
  <c r="D38" i="93"/>
  <c r="D36" i="152" s="1"/>
  <c r="D21" i="93"/>
  <c r="D21" i="127" s="1"/>
  <c r="D43" i="93"/>
  <c r="D43" i="127" s="1"/>
  <c r="D50" i="93"/>
  <c r="D48" i="152" s="1"/>
  <c r="U14" i="177"/>
  <c r="D63" i="134"/>
  <c r="V63" i="134" s="1"/>
  <c r="F32" i="127"/>
  <c r="U10" i="177"/>
  <c r="J100" i="191"/>
  <c r="N17" i="119"/>
  <c r="P9" i="112"/>
  <c r="F27" i="127"/>
  <c r="U8" i="177"/>
  <c r="N7" i="119"/>
  <c r="N6" i="119" s="1"/>
  <c r="F58" i="127"/>
  <c r="J112" i="191"/>
  <c r="D28" i="134"/>
  <c r="V28" i="134" s="1"/>
  <c r="D37" i="134"/>
  <c r="V37" i="134" s="1"/>
  <c r="D57" i="134"/>
  <c r="V57" i="134" s="1"/>
  <c r="F24" i="127"/>
  <c r="D31" i="134"/>
  <c r="V31" i="134" s="1"/>
  <c r="E45" i="93"/>
  <c r="E45" i="127" s="1"/>
  <c r="E63" i="93"/>
  <c r="E63" i="127" s="1"/>
  <c r="F57" i="127"/>
  <c r="E27" i="93"/>
  <c r="D25" i="151" s="1"/>
  <c r="E66" i="93"/>
  <c r="E66" i="127" s="1"/>
  <c r="E20" i="93"/>
  <c r="D18" i="151" s="1"/>
  <c r="E46" i="93"/>
  <c r="E46" i="127" s="1"/>
  <c r="E41" i="93"/>
  <c r="D39" i="151" s="1"/>
  <c r="E40" i="93"/>
  <c r="D38" i="151" s="1"/>
  <c r="E58" i="93"/>
  <c r="D56" i="151" s="1"/>
  <c r="E36" i="93"/>
  <c r="D34" i="151" s="1"/>
  <c r="F28" i="127"/>
  <c r="E43" i="93"/>
  <c r="D41" i="151" s="1"/>
  <c r="E44" i="93"/>
  <c r="E44" i="127" s="1"/>
  <c r="E52" i="93"/>
  <c r="E52" i="127" s="1"/>
  <c r="E26" i="93"/>
  <c r="E26" i="127" s="1"/>
  <c r="E57" i="93"/>
  <c r="E57" i="127" s="1"/>
  <c r="E24" i="93"/>
  <c r="E24" i="127" s="1"/>
  <c r="E38" i="93"/>
  <c r="D36" i="151" s="1"/>
  <c r="G49" i="93"/>
  <c r="D47" i="157" s="1"/>
  <c r="G32" i="93"/>
  <c r="D30" i="157" s="1"/>
  <c r="E22" i="93"/>
  <c r="E22" i="127" s="1"/>
  <c r="E51" i="93"/>
  <c r="E51" i="127" s="1"/>
  <c r="G30" i="93"/>
  <c r="D28" i="157" s="1"/>
  <c r="E60" i="93"/>
  <c r="D58" i="151" s="1"/>
  <c r="E59" i="93"/>
  <c r="D57" i="151" s="1"/>
  <c r="E62" i="93"/>
  <c r="D60" i="151" s="1"/>
  <c r="E25" i="93"/>
  <c r="D23" i="151" s="1"/>
  <c r="E33" i="93"/>
  <c r="D31" i="151" s="1"/>
  <c r="E65" i="93"/>
  <c r="D63" i="151" s="1"/>
  <c r="E50" i="93"/>
  <c r="D48" i="151" s="1"/>
  <c r="E37" i="93"/>
  <c r="E34" i="93"/>
  <c r="D32" i="151" s="1"/>
  <c r="E56" i="93"/>
  <c r="E56" i="127" s="1"/>
  <c r="E49" i="93"/>
  <c r="D47" i="151" s="1"/>
  <c r="E128" i="190"/>
  <c r="DG35" i="129"/>
  <c r="DG11" i="129" s="1"/>
  <c r="AY64" i="129"/>
  <c r="AY16" i="129" s="1"/>
  <c r="M18" i="111"/>
  <c r="M17" i="111" s="1"/>
  <c r="J129" i="190"/>
  <c r="D20" i="134"/>
  <c r="V20" i="134" s="1"/>
  <c r="E18" i="111"/>
  <c r="E17" i="111" s="1"/>
  <c r="P10" i="112"/>
  <c r="P23" i="111"/>
  <c r="P9" i="111" s="1"/>
  <c r="D32" i="134"/>
  <c r="V32" i="134" s="1"/>
  <c r="P19" i="111"/>
  <c r="P8" i="111" s="1"/>
  <c r="E90" i="190"/>
  <c r="D38" i="134"/>
  <c r="V38" i="134" s="1"/>
  <c r="D44" i="134"/>
  <c r="V44" i="134" s="1"/>
  <c r="D61" i="134"/>
  <c r="V61" i="134" s="1"/>
  <c r="J84" i="190"/>
  <c r="F25" i="127"/>
  <c r="G125" i="192"/>
  <c r="I7" i="112"/>
  <c r="I6" i="112" s="1"/>
  <c r="M11" i="112"/>
  <c r="M18" i="112" s="1"/>
  <c r="M17" i="112" s="1"/>
  <c r="F18" i="112"/>
  <c r="F17" i="112" s="1"/>
  <c r="O7" i="119"/>
  <c r="O6" i="119" s="1"/>
  <c r="P35" i="111"/>
  <c r="P11" i="111" s="1"/>
  <c r="P47" i="111"/>
  <c r="P42" i="111"/>
  <c r="P29" i="111"/>
  <c r="P10" i="111" s="1"/>
  <c r="AL52" i="108"/>
  <c r="AY23" i="129"/>
  <c r="AY9" i="129" s="1"/>
  <c r="P64" i="111"/>
  <c r="P55" i="111"/>
  <c r="E94" i="191"/>
  <c r="CW35" i="129"/>
  <c r="CW11" i="129" s="1"/>
  <c r="E67" i="177"/>
  <c r="E69" i="177" s="1"/>
  <c r="AL19" i="122"/>
  <c r="G65" i="93"/>
  <c r="G65" i="127" s="1"/>
  <c r="AL30" i="99"/>
  <c r="G119" i="211"/>
  <c r="R13" i="119"/>
  <c r="G119" i="191"/>
  <c r="G128" i="211"/>
  <c r="L7" i="119"/>
  <c r="L6" i="119" s="1"/>
  <c r="G16" i="152"/>
  <c r="G67" i="152" s="1"/>
  <c r="G69" i="152" s="1"/>
  <c r="C7" i="119"/>
  <c r="C6" i="119" s="1"/>
  <c r="G4" i="153" s="1"/>
  <c r="I7" i="111"/>
  <c r="I6" i="111" s="1"/>
  <c r="F67" i="127"/>
  <c r="F56" i="127"/>
  <c r="F43" i="127"/>
  <c r="F61" i="93"/>
  <c r="D59" i="134" s="1"/>
  <c r="F23" i="93"/>
  <c r="F9" i="93" s="1"/>
  <c r="G128" i="191"/>
  <c r="J108" i="190"/>
  <c r="L18" i="111"/>
  <c r="L17" i="111" s="1"/>
  <c r="CW42" i="129"/>
  <c r="CW12" i="129" s="1"/>
  <c r="P13" i="112"/>
  <c r="P11" i="112"/>
  <c r="G128" i="192"/>
  <c r="R9" i="119"/>
  <c r="CC30" i="129"/>
  <c r="J84" i="188"/>
  <c r="F64" i="93"/>
  <c r="F64" i="127" s="1"/>
  <c r="F31" i="127"/>
  <c r="AY61" i="129"/>
  <c r="AY15" i="129" s="1"/>
  <c r="J84" i="189"/>
  <c r="F20" i="127"/>
  <c r="F17" i="119"/>
  <c r="U7" i="177"/>
  <c r="I7" i="119"/>
  <c r="I6" i="119" s="1"/>
  <c r="R10" i="119"/>
  <c r="G7" i="112"/>
  <c r="J5" i="157" s="1"/>
  <c r="F7" i="119"/>
  <c r="F6" i="119" s="1"/>
  <c r="G4" i="134" s="1"/>
  <c r="J16" i="157"/>
  <c r="J67" i="157" s="1"/>
  <c r="J69" i="157" s="1"/>
  <c r="D64" i="134"/>
  <c r="V64" i="134" s="1"/>
  <c r="CC29" i="129"/>
  <c r="CC10" i="129" s="1"/>
  <c r="J120" i="190"/>
  <c r="D18" i="111"/>
  <c r="D17" i="111" s="1"/>
  <c r="G16" i="157"/>
  <c r="G67" i="157" s="1"/>
  <c r="G69" i="157" s="1"/>
  <c r="CC62" i="129"/>
  <c r="D49" i="134"/>
  <c r="V49" i="134" s="1"/>
  <c r="Q18" i="119"/>
  <c r="Q17" i="119" s="1"/>
  <c r="F47" i="93"/>
  <c r="F13" i="93" s="1"/>
  <c r="G17" i="119"/>
  <c r="C18" i="111"/>
  <c r="C17" i="111" s="1"/>
  <c r="J18" i="111"/>
  <c r="J17" i="111" s="1"/>
  <c r="G119" i="192"/>
  <c r="J88" i="189"/>
  <c r="D42" i="134"/>
  <c r="V42" i="134" s="1"/>
  <c r="G6" i="119"/>
  <c r="G4" i="157" s="1"/>
  <c r="AY47" i="129"/>
  <c r="AY13" i="129" s="1"/>
  <c r="H18" i="120"/>
  <c r="H17" i="120" s="1"/>
  <c r="U11" i="177"/>
  <c r="G16" i="153"/>
  <c r="G67" i="153" s="1"/>
  <c r="G69" i="153" s="1"/>
  <c r="D7" i="119"/>
  <c r="G5" i="152" s="1"/>
  <c r="F55" i="93"/>
  <c r="F55" i="127" s="1"/>
  <c r="F42" i="93"/>
  <c r="F42" i="127" s="1"/>
  <c r="D51" i="134"/>
  <c r="V51" i="134" s="1"/>
  <c r="AL14" i="122"/>
  <c r="S74" i="120"/>
  <c r="J120" i="188"/>
  <c r="H7" i="111"/>
  <c r="H6" i="111" s="1"/>
  <c r="AL56" i="122"/>
  <c r="V116" i="120" s="1"/>
  <c r="V112" i="120" s="1"/>
  <c r="E67" i="170"/>
  <c r="E69" i="170" s="1"/>
  <c r="AI1" i="122"/>
  <c r="D18" i="112"/>
  <c r="F50" i="127"/>
  <c r="AL7" i="108"/>
  <c r="X42" i="206"/>
  <c r="F26" i="127"/>
  <c r="F41" i="127"/>
  <c r="F52" i="127"/>
  <c r="F36" i="127"/>
  <c r="F38" i="127"/>
  <c r="AK30" i="122"/>
  <c r="U82" i="120" s="1"/>
  <c r="J120" i="189"/>
  <c r="AK47" i="122"/>
  <c r="U98" i="120" s="1"/>
  <c r="U92" i="120" s="1"/>
  <c r="E18" i="112"/>
  <c r="E17" i="112" s="1"/>
  <c r="AL48" i="108"/>
  <c r="D24" i="134"/>
  <c r="V24" i="134" s="1"/>
  <c r="N18" i="112"/>
  <c r="N17" i="112" s="1"/>
  <c r="K18" i="112"/>
  <c r="F35" i="93"/>
  <c r="F35" i="127" s="1"/>
  <c r="G27" i="93"/>
  <c r="G27" i="127" s="1"/>
  <c r="G52" i="93"/>
  <c r="D50" i="157" s="1"/>
  <c r="D18" i="120"/>
  <c r="U16" i="152" s="1"/>
  <c r="AC5" i="114"/>
  <c r="F18" i="111"/>
  <c r="AL7" i="122"/>
  <c r="V77" i="120"/>
  <c r="U11" i="157"/>
  <c r="G18" i="120"/>
  <c r="Y41" i="206"/>
  <c r="Z101" i="206"/>
  <c r="X16" i="206"/>
  <c r="Y47" i="206"/>
  <c r="Z107" i="206"/>
  <c r="Z112" i="206"/>
  <c r="Y52" i="206"/>
  <c r="F29" i="93"/>
  <c r="D27" i="134" s="1"/>
  <c r="G48" i="93"/>
  <c r="G48" i="127" s="1"/>
  <c r="Z85" i="206"/>
  <c r="Y25" i="206"/>
  <c r="Y19" i="206"/>
  <c r="Z79" i="206"/>
  <c r="Z73" i="206"/>
  <c r="Y13" i="206"/>
  <c r="X10" i="206"/>
  <c r="AL32" i="122"/>
  <c r="V89" i="120" s="1"/>
  <c r="Z77" i="206"/>
  <c r="Y17" i="206"/>
  <c r="AA65" i="206"/>
  <c r="Z5" i="206"/>
  <c r="X51" i="206"/>
  <c r="D58" i="134"/>
  <c r="V58" i="134" s="1"/>
  <c r="AL48" i="99"/>
  <c r="F19" i="93"/>
  <c r="F8" i="93" s="1"/>
  <c r="M60" i="199"/>
  <c r="Y12" i="206"/>
  <c r="Z72" i="206"/>
  <c r="Z113" i="206"/>
  <c r="Y53" i="206"/>
  <c r="AL51" i="99"/>
  <c r="X6" i="206"/>
  <c r="U111" i="120"/>
  <c r="AL55" i="122"/>
  <c r="V111" i="120" s="1"/>
  <c r="V121" i="120"/>
  <c r="Z71" i="206"/>
  <c r="Y11" i="206"/>
  <c r="Y38" i="206"/>
  <c r="Z98" i="206"/>
  <c r="AL15" i="122"/>
  <c r="Z103" i="206"/>
  <c r="Y43" i="206"/>
  <c r="Y45" i="206"/>
  <c r="Z105" i="206"/>
  <c r="Z68" i="206"/>
  <c r="Y8" i="206"/>
  <c r="G59" i="93"/>
  <c r="D57" i="157" s="1"/>
  <c r="AK11" i="122"/>
  <c r="U103" i="120"/>
  <c r="F62" i="127"/>
  <c r="Y9" i="206"/>
  <c r="Z69" i="206"/>
  <c r="G38" i="93"/>
  <c r="D36" i="157" s="1"/>
  <c r="BG3" i="156"/>
  <c r="Z88" i="206"/>
  <c r="Y28" i="206"/>
  <c r="X29" i="206"/>
  <c r="Z84" i="206"/>
  <c r="Y24" i="206"/>
  <c r="U118" i="120"/>
  <c r="AK9" i="122"/>
  <c r="Y37" i="206"/>
  <c r="Z97" i="206"/>
  <c r="X22" i="206"/>
  <c r="X34" i="206"/>
  <c r="G57" i="93"/>
  <c r="G57" i="127" s="1"/>
  <c r="G25" i="93"/>
  <c r="G25" i="127" s="1"/>
  <c r="AL27" i="122"/>
  <c r="Z90" i="206"/>
  <c r="Y30" i="206"/>
  <c r="Z83" i="206"/>
  <c r="Y23" i="206"/>
  <c r="Z100" i="206"/>
  <c r="Y40" i="206"/>
  <c r="Y35" i="206"/>
  <c r="Z95" i="206"/>
  <c r="Z113" i="114"/>
  <c r="Y53" i="114"/>
  <c r="Y51" i="114" s="1"/>
  <c r="AL48" i="122"/>
  <c r="V90" i="120" s="1"/>
  <c r="Z86" i="206"/>
  <c r="Y26" i="206"/>
  <c r="Y36" i="206"/>
  <c r="Z96" i="206"/>
  <c r="U86" i="120"/>
  <c r="G37" i="93"/>
  <c r="G37" i="127" s="1"/>
  <c r="F37" i="127"/>
  <c r="G36" i="93"/>
  <c r="D34" i="157" s="1"/>
  <c r="F49" i="127"/>
  <c r="J94" i="189"/>
  <c r="J75" i="189"/>
  <c r="Y46" i="206"/>
  <c r="Z106" i="206"/>
  <c r="V118" i="120"/>
  <c r="Z91" i="206"/>
  <c r="Y31" i="206"/>
  <c r="W4" i="206"/>
  <c r="Z104" i="206"/>
  <c r="Y44" i="206"/>
  <c r="Z110" i="206"/>
  <c r="Y50" i="206"/>
  <c r="G63" i="93"/>
  <c r="D61" i="157" s="1"/>
  <c r="F21" i="127"/>
  <c r="G50" i="93"/>
  <c r="D48" i="157" s="1"/>
  <c r="D47" i="134"/>
  <c r="V47" i="134" s="1"/>
  <c r="O18" i="112"/>
  <c r="Y15" i="206"/>
  <c r="Z75" i="206"/>
  <c r="AK15" i="122"/>
  <c r="U123" i="120"/>
  <c r="Z81" i="206"/>
  <c r="Y21" i="206"/>
  <c r="Z109" i="206"/>
  <c r="Y49" i="206"/>
  <c r="Z67" i="206"/>
  <c r="Y7" i="206"/>
  <c r="G66" i="93"/>
  <c r="G66" i="127" s="1"/>
  <c r="G20" i="93"/>
  <c r="G20" i="127" s="1"/>
  <c r="Y32" i="206"/>
  <c r="Z92" i="206"/>
  <c r="D60" i="134"/>
  <c r="V60" i="134" s="1"/>
  <c r="G43" i="93"/>
  <c r="G43" i="127" s="1"/>
  <c r="G33" i="93"/>
  <c r="D31" i="157" s="1"/>
  <c r="Y20" i="206"/>
  <c r="Z80" i="206"/>
  <c r="J78" i="188"/>
  <c r="J112" i="188"/>
  <c r="X48" i="206"/>
  <c r="AL52" i="122"/>
  <c r="V103" i="120" s="1"/>
  <c r="V99" i="120" s="1"/>
  <c r="AK12" i="122"/>
  <c r="U105" i="120"/>
  <c r="AL12" i="122"/>
  <c r="V105" i="120"/>
  <c r="Z93" i="206"/>
  <c r="Y33" i="206"/>
  <c r="G18" i="111"/>
  <c r="G17" i="111" s="1"/>
  <c r="Z99" i="206"/>
  <c r="Y39" i="206"/>
  <c r="G22" i="93"/>
  <c r="D20" i="157" s="1"/>
  <c r="G99" i="192"/>
  <c r="T104" i="120"/>
  <c r="BD83" i="114"/>
  <c r="Z78" i="206"/>
  <c r="Y18" i="206"/>
  <c r="Y54" i="206"/>
  <c r="Z114" i="206"/>
  <c r="J112" i="189"/>
  <c r="J77" i="189"/>
  <c r="J107" i="189"/>
  <c r="Y14" i="206"/>
  <c r="Z74" i="206"/>
  <c r="AA92" i="114"/>
  <c r="Z32" i="114"/>
  <c r="N59" i="199"/>
  <c r="AL46" i="122"/>
  <c r="V85" i="120" s="1"/>
  <c r="Y27" i="206"/>
  <c r="Z87" i="206"/>
  <c r="J100" i="189"/>
  <c r="U76" i="120"/>
  <c r="Z90" i="114"/>
  <c r="Y30" i="114"/>
  <c r="Y29" i="114" s="1"/>
  <c r="BF91" i="114"/>
  <c r="BG91" i="114"/>
  <c r="AA64" i="92"/>
  <c r="AA61" i="92"/>
  <c r="M62" i="199"/>
  <c r="J107" i="188"/>
  <c r="BF88" i="114"/>
  <c r="BG89" i="114" s="1"/>
  <c r="AK63" i="114"/>
  <c r="AL63" i="114" s="1"/>
  <c r="AM63" i="114" s="1"/>
  <c r="G79" i="211"/>
  <c r="G93" i="191"/>
  <c r="G93" i="211"/>
  <c r="G111" i="191"/>
  <c r="G111" i="211"/>
  <c r="G106" i="211"/>
  <c r="G87" i="191"/>
  <c r="G87" i="211"/>
  <c r="G83" i="191"/>
  <c r="G83" i="211"/>
  <c r="G75" i="211"/>
  <c r="U5" i="111"/>
  <c r="C18" i="158"/>
  <c r="C69" i="158" s="1"/>
  <c r="BI35" i="129"/>
  <c r="BI11" i="129" s="1"/>
  <c r="Q23" i="111"/>
  <c r="Q9" i="111" s="1"/>
  <c r="G126" i="207"/>
  <c r="AH4" i="108"/>
  <c r="R40" i="111" s="1"/>
  <c r="L61" i="199"/>
  <c r="EU20" i="129"/>
  <c r="EU19" i="129" s="1"/>
  <c r="Q5" i="190"/>
  <c r="Q16" i="190"/>
  <c r="L60" i="199"/>
  <c r="L64" i="199"/>
  <c r="I56" i="199"/>
  <c r="L57" i="199"/>
  <c r="I64" i="199"/>
  <c r="J64" i="199"/>
  <c r="J59" i="199"/>
  <c r="L63" i="199"/>
  <c r="L62" i="199"/>
  <c r="M61" i="199"/>
  <c r="L58" i="199"/>
  <c r="L59" i="199"/>
  <c r="BE89" i="114"/>
  <c r="G126" i="205"/>
  <c r="Y16" i="114"/>
  <c r="AB111" i="114"/>
  <c r="AB112" i="114"/>
  <c r="AA52" i="114"/>
  <c r="AK4" i="116"/>
  <c r="T31" i="119"/>
  <c r="T46" i="119"/>
  <c r="T41" i="119"/>
  <c r="T58" i="119"/>
  <c r="T24" i="119"/>
  <c r="T21" i="119"/>
  <c r="T67" i="119"/>
  <c r="T48" i="119"/>
  <c r="T65" i="119"/>
  <c r="T60" i="119"/>
  <c r="T38" i="119"/>
  <c r="T37" i="119"/>
  <c r="T63" i="119"/>
  <c r="T33" i="119"/>
  <c r="T28" i="119"/>
  <c r="T54" i="119"/>
  <c r="T53" i="119"/>
  <c r="T52" i="119"/>
  <c r="T40" i="119"/>
  <c r="T43" i="119"/>
  <c r="G107" i="207" s="1"/>
  <c r="T25" i="119"/>
  <c r="T22" i="119"/>
  <c r="T44" i="119"/>
  <c r="T34" i="119"/>
  <c r="T39" i="119"/>
  <c r="T50" i="119"/>
  <c r="T66" i="119"/>
  <c r="T27" i="119"/>
  <c r="T45" i="119"/>
  <c r="T59" i="119"/>
  <c r="T56" i="119"/>
  <c r="T20" i="119"/>
  <c r="T57" i="119"/>
  <c r="T36" i="119"/>
  <c r="T30" i="119"/>
  <c r="T26" i="119"/>
  <c r="T51" i="119"/>
  <c r="T49" i="119"/>
  <c r="T32" i="119"/>
  <c r="H17" i="112"/>
  <c r="H7" i="112"/>
  <c r="H6" i="112" s="1"/>
  <c r="T86" i="120"/>
  <c r="T99" i="120"/>
  <c r="T82" i="120"/>
  <c r="AJ10" i="122"/>
  <c r="T92" i="120"/>
  <c r="T112" i="120"/>
  <c r="G87" i="192"/>
  <c r="C67" i="153"/>
  <c r="C69" i="153" s="1"/>
  <c r="N62" i="199"/>
  <c r="N57" i="199"/>
  <c r="Q64" i="111"/>
  <c r="Q16" i="111" s="1"/>
  <c r="Q42" i="111"/>
  <c r="Q12" i="111" s="1"/>
  <c r="O56" i="199"/>
  <c r="I17" i="120"/>
  <c r="U6" i="153"/>
  <c r="C18" i="120"/>
  <c r="C18" i="112"/>
  <c r="J6" i="153"/>
  <c r="Q47" i="112"/>
  <c r="G106" i="191"/>
  <c r="G98" i="194"/>
  <c r="G116" i="194"/>
  <c r="G94" i="194"/>
  <c r="G115" i="194"/>
  <c r="G96" i="194"/>
  <c r="G117" i="194"/>
  <c r="G123" i="194"/>
  <c r="G104" i="194"/>
  <c r="G85" i="194"/>
  <c r="G89" i="194"/>
  <c r="G92" i="194"/>
  <c r="G110" i="194"/>
  <c r="G91" i="194"/>
  <c r="G103" i="194"/>
  <c r="G118" i="194"/>
  <c r="G113" i="194"/>
  <c r="G130" i="194"/>
  <c r="G107" i="194"/>
  <c r="G124" i="194"/>
  <c r="G105" i="194"/>
  <c r="G86" i="194"/>
  <c r="G114" i="194"/>
  <c r="G95" i="194"/>
  <c r="G121" i="194"/>
  <c r="G102" i="194"/>
  <c r="G122" i="194"/>
  <c r="G101" i="194"/>
  <c r="G131" i="194"/>
  <c r="G127" i="194"/>
  <c r="G109" i="194"/>
  <c r="G90" i="194"/>
  <c r="G5" i="151"/>
  <c r="N61" i="199"/>
  <c r="N58" i="199"/>
  <c r="O57" i="199"/>
  <c r="Q35" i="111"/>
  <c r="Q47" i="111"/>
  <c r="Q13" i="111" s="1"/>
  <c r="EU47" i="129"/>
  <c r="EU55" i="129"/>
  <c r="EU35" i="129"/>
  <c r="EU23" i="129"/>
  <c r="O58" i="199"/>
  <c r="Q19" i="111"/>
  <c r="Q8" i="111" s="1"/>
  <c r="Q29" i="111"/>
  <c r="EU63" i="129"/>
  <c r="EU61" i="129" s="1"/>
  <c r="EU44" i="129"/>
  <c r="EU42" i="129" s="1"/>
  <c r="Q55" i="111"/>
  <c r="EU33" i="129"/>
  <c r="EU29" i="129" s="1"/>
  <c r="EU66" i="129"/>
  <c r="EU64" i="129" s="1"/>
  <c r="T59" i="199"/>
  <c r="T58" i="199"/>
  <c r="S60" i="199"/>
  <c r="S63" i="199"/>
  <c r="Q56" i="199"/>
  <c r="P60" i="199"/>
  <c r="P58" i="199"/>
  <c r="Q59" i="199"/>
  <c r="Q60" i="199"/>
  <c r="N60" i="199"/>
  <c r="T60" i="199"/>
  <c r="R63" i="199"/>
  <c r="P64" i="199"/>
  <c r="Q61" i="199"/>
  <c r="S59" i="199"/>
  <c r="O61" i="199"/>
  <c r="R64" i="199"/>
  <c r="N64" i="199"/>
  <c r="T64" i="199"/>
  <c r="T61" i="199"/>
  <c r="T62" i="199"/>
  <c r="S61" i="199"/>
  <c r="P56" i="199"/>
  <c r="R58" i="199"/>
  <c r="P61" i="199"/>
  <c r="P62" i="199"/>
  <c r="O59" i="199"/>
  <c r="Q62" i="199"/>
  <c r="S62" i="199"/>
  <c r="P63" i="199"/>
  <c r="T63" i="199"/>
  <c r="P57" i="199"/>
  <c r="S64" i="199"/>
  <c r="S58" i="199"/>
  <c r="R60" i="199"/>
  <c r="R61" i="199"/>
  <c r="Q63" i="199"/>
  <c r="O62" i="199"/>
  <c r="Q58" i="199"/>
  <c r="N63" i="199"/>
  <c r="P59" i="199"/>
  <c r="DQ23" i="129"/>
  <c r="DQ9" i="129" s="1"/>
  <c r="EA64" i="129"/>
  <c r="EA16" i="129" s="1"/>
  <c r="J100" i="190"/>
  <c r="DQ35" i="129"/>
  <c r="DQ11" i="129" s="1"/>
  <c r="EA35" i="129"/>
  <c r="EA11" i="129" s="1"/>
  <c r="DQ29" i="129"/>
  <c r="DQ10" i="129" s="1"/>
  <c r="CC35" i="129"/>
  <c r="CC11" i="129" s="1"/>
  <c r="EA19" i="129"/>
  <c r="EA8" i="129" s="1"/>
  <c r="G67" i="188"/>
  <c r="G69" i="188" s="1"/>
  <c r="DQ47" i="129"/>
  <c r="DQ13" i="129" s="1"/>
  <c r="DQ61" i="129"/>
  <c r="DQ15" i="129" s="1"/>
  <c r="CC23" i="129"/>
  <c r="CC9" i="129" s="1"/>
  <c r="EA61" i="129"/>
  <c r="EA15" i="129" s="1"/>
  <c r="J94" i="190"/>
  <c r="DQ42" i="129"/>
  <c r="DQ12" i="129" s="1"/>
  <c r="CC42" i="129"/>
  <c r="CC12" i="129" s="1"/>
  <c r="DQ19" i="129"/>
  <c r="DQ8" i="129" s="1"/>
  <c r="DQ64" i="129"/>
  <c r="DQ16" i="129" s="1"/>
  <c r="EL18" i="129"/>
  <c r="G67" i="189"/>
  <c r="G69" i="189" s="1"/>
  <c r="G67" i="178"/>
  <c r="G69" i="178" s="1"/>
  <c r="CC64" i="129"/>
  <c r="CC16" i="129" s="1"/>
  <c r="EA42" i="129"/>
  <c r="EA12" i="129" s="1"/>
  <c r="J88" i="190"/>
  <c r="CM42" i="129"/>
  <c r="CM12" i="129" s="1"/>
  <c r="CC19" i="129"/>
  <c r="CC8" i="129" s="1"/>
  <c r="CC55" i="129"/>
  <c r="CC14" i="129" s="1"/>
  <c r="EA55" i="129"/>
  <c r="EA14" i="129" s="1"/>
  <c r="EA29" i="129"/>
  <c r="EA10" i="129" s="1"/>
  <c r="J112" i="190"/>
  <c r="J74" i="189"/>
  <c r="CC47" i="129"/>
  <c r="CC13" i="129" s="1"/>
  <c r="J126" i="190"/>
  <c r="DQ55" i="129"/>
  <c r="DQ14" i="129" s="1"/>
  <c r="EA23" i="129"/>
  <c r="EA9" i="129" s="1"/>
  <c r="EA47" i="129"/>
  <c r="EA13" i="129" s="1"/>
  <c r="CM19" i="129"/>
  <c r="CM8" i="129" s="1"/>
  <c r="AZ18" i="129"/>
  <c r="AZ7" i="129" s="1"/>
  <c r="AZ6" i="129" s="1"/>
  <c r="V18" i="129"/>
  <c r="V7" i="129" s="1"/>
  <c r="G67" i="151"/>
  <c r="G69" i="151" s="1"/>
  <c r="AF18" i="129"/>
  <c r="G67" i="170"/>
  <c r="G69" i="170" s="1"/>
  <c r="U16" i="151"/>
  <c r="E17" i="120"/>
  <c r="C67" i="190"/>
  <c r="C69" i="190" s="1"/>
  <c r="C67" i="189"/>
  <c r="C69" i="189" s="1"/>
  <c r="EB18" i="129"/>
  <c r="C67" i="186"/>
  <c r="C69" i="186" s="1"/>
  <c r="CX18" i="129"/>
  <c r="CX7" i="129" s="1"/>
  <c r="CX6" i="129" s="1"/>
  <c r="DH18" i="129"/>
  <c r="DH7" i="129" s="1"/>
  <c r="DH6" i="129" s="1"/>
  <c r="C67" i="178"/>
  <c r="C69" i="178" s="1"/>
  <c r="CD18" i="129"/>
  <c r="CD7" i="129" s="1"/>
  <c r="CD6" i="129" s="1"/>
  <c r="C67" i="188"/>
  <c r="C69" i="188" s="1"/>
  <c r="DR18" i="129"/>
  <c r="C67" i="185"/>
  <c r="C69" i="185" s="1"/>
  <c r="CN18" i="129"/>
  <c r="CN7" i="129" s="1"/>
  <c r="CN6" i="129" s="1"/>
  <c r="C67" i="134"/>
  <c r="C69" i="134" s="1"/>
  <c r="AP18" i="129"/>
  <c r="AP7" i="129" s="1"/>
  <c r="AP6" i="129" s="1"/>
  <c r="C67" i="177"/>
  <c r="C69" i="177" s="1"/>
  <c r="BT18" i="129"/>
  <c r="BT7" i="129" s="1"/>
  <c r="BT6" i="129" s="1"/>
  <c r="C67" i="170"/>
  <c r="C69" i="170" s="1"/>
  <c r="BJ18" i="129"/>
  <c r="BJ7" i="129" s="1"/>
  <c r="BJ6" i="129" s="1"/>
  <c r="G45" i="93"/>
  <c r="G45" i="127" s="1"/>
  <c r="G56" i="93"/>
  <c r="D54" i="157" s="1"/>
  <c r="G39" i="93"/>
  <c r="D37" i="157" s="1"/>
  <c r="G60" i="93"/>
  <c r="D58" i="157" s="1"/>
  <c r="G26" i="93"/>
  <c r="D24" i="157" s="1"/>
  <c r="G28" i="93"/>
  <c r="G28" i="127" s="1"/>
  <c r="G24" i="93"/>
  <c r="G24" i="127" s="1"/>
  <c r="G41" i="93"/>
  <c r="D39" i="157" s="1"/>
  <c r="G62" i="93"/>
  <c r="D60" i="157" s="1"/>
  <c r="G31" i="93"/>
  <c r="G31" i="127" s="1"/>
  <c r="G46" i="93"/>
  <c r="D44" i="157" s="1"/>
  <c r="G44" i="93"/>
  <c r="G44" i="127" s="1"/>
  <c r="G40" i="93"/>
  <c r="G40" i="127" s="1"/>
  <c r="G53" i="93"/>
  <c r="G53" i="127" s="1"/>
  <c r="G58" i="93"/>
  <c r="D56" i="157" s="1"/>
  <c r="G67" i="93"/>
  <c r="D65" i="157" s="1"/>
  <c r="G34" i="93"/>
  <c r="G34" i="127" s="1"/>
  <c r="G21" i="93"/>
  <c r="G21" i="127" s="1"/>
  <c r="D49" i="157"/>
  <c r="V49" i="157" s="1"/>
  <c r="X4" i="114"/>
  <c r="H51" i="93" s="1"/>
  <c r="H51" i="127" s="1"/>
  <c r="G54" i="93"/>
  <c r="AB88" i="114"/>
  <c r="AA28" i="114"/>
  <c r="AA95" i="114"/>
  <c r="Z35" i="114"/>
  <c r="Y22" i="114"/>
  <c r="E108" i="190"/>
  <c r="EK43" i="129"/>
  <c r="E89" i="190"/>
  <c r="EK24" i="129"/>
  <c r="E131" i="190"/>
  <c r="EK66" i="129"/>
  <c r="E132" i="190"/>
  <c r="EK67" i="129"/>
  <c r="E99" i="190"/>
  <c r="EK34" i="129"/>
  <c r="E92" i="190"/>
  <c r="EK27" i="129"/>
  <c r="E124" i="190"/>
  <c r="EK59" i="129"/>
  <c r="E125" i="190"/>
  <c r="EK60" i="129"/>
  <c r="E109" i="190"/>
  <c r="EK44" i="129"/>
  <c r="E97" i="190"/>
  <c r="EK32" i="129"/>
  <c r="E121" i="190"/>
  <c r="EK56" i="129"/>
  <c r="CM29" i="129"/>
  <c r="CM10" i="129" s="1"/>
  <c r="CM64" i="129"/>
  <c r="CM16" i="129" s="1"/>
  <c r="E113" i="190"/>
  <c r="EK48" i="129"/>
  <c r="E118" i="190"/>
  <c r="EK53" i="129"/>
  <c r="E106" i="190"/>
  <c r="EK41" i="129"/>
  <c r="E119" i="190"/>
  <c r="EK54" i="129"/>
  <c r="E115" i="190"/>
  <c r="EK50" i="129"/>
  <c r="E91" i="190"/>
  <c r="EK26" i="129"/>
  <c r="E114" i="190"/>
  <c r="EK49" i="129"/>
  <c r="E103" i="190"/>
  <c r="EK38" i="129"/>
  <c r="E116" i="190"/>
  <c r="EK51" i="129"/>
  <c r="CM61" i="129"/>
  <c r="CM15" i="129" s="1"/>
  <c r="E130" i="190"/>
  <c r="EK65" i="129"/>
  <c r="CM23" i="129"/>
  <c r="CM9" i="129" s="1"/>
  <c r="CM55" i="129"/>
  <c r="CM14" i="129" s="1"/>
  <c r="CM35" i="129"/>
  <c r="CM11" i="129" s="1"/>
  <c r="E104" i="190"/>
  <c r="EK39" i="129"/>
  <c r="E86" i="190"/>
  <c r="EK21" i="129"/>
  <c r="E102" i="190"/>
  <c r="EK37" i="129"/>
  <c r="E123" i="190"/>
  <c r="EK58" i="129"/>
  <c r="E111" i="190"/>
  <c r="EK46" i="129"/>
  <c r="E110" i="190"/>
  <c r="EK45" i="129"/>
  <c r="E105" i="190"/>
  <c r="EK40" i="129"/>
  <c r="E122" i="190"/>
  <c r="EK57" i="129"/>
  <c r="E117" i="190"/>
  <c r="EK52" i="129"/>
  <c r="E85" i="190"/>
  <c r="EK20" i="129"/>
  <c r="CM47" i="129"/>
  <c r="CM13" i="129" s="1"/>
  <c r="E101" i="190"/>
  <c r="EK36" i="129"/>
  <c r="E127" i="190"/>
  <c r="EK62" i="129"/>
  <c r="E87" i="190"/>
  <c r="EK22" i="129"/>
  <c r="E98" i="190"/>
  <c r="EK33" i="129"/>
  <c r="E93" i="190"/>
  <c r="EK28" i="129"/>
  <c r="E96" i="190"/>
  <c r="EK31" i="129"/>
  <c r="AB54" i="114"/>
  <c r="AC114" i="114"/>
  <c r="AA91" i="114"/>
  <c r="Z31" i="114"/>
  <c r="AA100" i="114"/>
  <c r="Z40" i="114"/>
  <c r="AA83" i="114"/>
  <c r="Z23" i="114"/>
  <c r="AA99" i="114"/>
  <c r="Z39" i="114"/>
  <c r="Z21" i="114"/>
  <c r="AA81" i="114"/>
  <c r="Z25" i="114"/>
  <c r="AA85" i="114"/>
  <c r="AA80" i="114"/>
  <c r="Z20" i="114"/>
  <c r="AA97" i="114"/>
  <c r="Z37" i="114"/>
  <c r="E18" i="158"/>
  <c r="E69" i="158" s="1"/>
  <c r="C67" i="151"/>
  <c r="C69" i="151" s="1"/>
  <c r="C67" i="157"/>
  <c r="C69" i="157" s="1"/>
  <c r="D18" i="158"/>
  <c r="D69" i="158" s="1"/>
  <c r="C67" i="152"/>
  <c r="C69" i="152" s="1"/>
  <c r="H18" i="158"/>
  <c r="G93" i="192"/>
  <c r="AF16" i="129"/>
  <c r="V16" i="129"/>
  <c r="L16" i="129"/>
  <c r="L7" i="129" s="1"/>
  <c r="L6" i="129" s="1"/>
  <c r="S32" i="112"/>
  <c r="S49" i="112"/>
  <c r="S25" i="112"/>
  <c r="S45" i="112"/>
  <c r="S60" i="112"/>
  <c r="S24" i="112"/>
  <c r="S63" i="112"/>
  <c r="S53" i="112"/>
  <c r="S36" i="112"/>
  <c r="S38" i="112"/>
  <c r="S62" i="112"/>
  <c r="S57" i="112"/>
  <c r="S39" i="112"/>
  <c r="S33" i="112"/>
  <c r="S46" i="112"/>
  <c r="S22" i="112"/>
  <c r="S50" i="112"/>
  <c r="S67" i="112"/>
  <c r="S26" i="112"/>
  <c r="S31" i="112"/>
  <c r="S20" i="112"/>
  <c r="S21" i="112"/>
  <c r="S30" i="112"/>
  <c r="S34" i="112"/>
  <c r="S41" i="112"/>
  <c r="S56" i="112"/>
  <c r="S28" i="112"/>
  <c r="S51" i="112"/>
  <c r="S27" i="112"/>
  <c r="S44" i="112"/>
  <c r="S37" i="112"/>
  <c r="S40" i="112"/>
  <c r="S52" i="112"/>
  <c r="S59" i="112"/>
  <c r="S48" i="112"/>
  <c r="S58" i="112"/>
  <c r="S65" i="112"/>
  <c r="S43" i="112"/>
  <c r="S66" i="112"/>
  <c r="S54" i="112"/>
  <c r="C72" i="189"/>
  <c r="AA26" i="114"/>
  <c r="AB86" i="114"/>
  <c r="AA33" i="114"/>
  <c r="AB93" i="114"/>
  <c r="AC27" i="114"/>
  <c r="AD87" i="114"/>
  <c r="AH7" i="165"/>
  <c r="W14" i="176"/>
  <c r="W16" i="176" s="1"/>
  <c r="V11" i="176"/>
  <c r="S42" i="119"/>
  <c r="G108" i="194"/>
  <c r="S55" i="119"/>
  <c r="G120" i="194"/>
  <c r="S23" i="119"/>
  <c r="G88" i="194"/>
  <c r="S19" i="119"/>
  <c r="G84" i="194"/>
  <c r="S29" i="119"/>
  <c r="G97" i="194"/>
  <c r="G126" i="194"/>
  <c r="S61" i="119"/>
  <c r="S47" i="119"/>
  <c r="G112" i="194"/>
  <c r="S64" i="119"/>
  <c r="G129" i="194"/>
  <c r="S35" i="119"/>
  <c r="G100" i="194"/>
  <c r="AA36" i="114"/>
  <c r="AB96" i="114"/>
  <c r="G77" i="190"/>
  <c r="G75" i="191"/>
  <c r="G81" i="190"/>
  <c r="G75" i="190"/>
  <c r="G79" i="191"/>
  <c r="G78" i="190"/>
  <c r="G76" i="190"/>
  <c r="J7" i="112"/>
  <c r="J6" i="112" s="1"/>
  <c r="J94" i="188"/>
  <c r="J88" i="188"/>
  <c r="J98" i="192"/>
  <c r="J95" i="192"/>
  <c r="J92" i="192"/>
  <c r="J130" i="192"/>
  <c r="J96" i="192"/>
  <c r="J109" i="192"/>
  <c r="J123" i="192"/>
  <c r="J108" i="192"/>
  <c r="J104" i="192"/>
  <c r="J105" i="192"/>
  <c r="J117" i="192"/>
  <c r="J114" i="192"/>
  <c r="J116" i="192"/>
  <c r="J115" i="192"/>
  <c r="J127" i="192"/>
  <c r="J113" i="192"/>
  <c r="J122" i="192"/>
  <c r="J91" i="192"/>
  <c r="J103" i="192"/>
  <c r="J97" i="192"/>
  <c r="J90" i="192"/>
  <c r="J118" i="192"/>
  <c r="J124" i="192"/>
  <c r="J121" i="192"/>
  <c r="J131" i="192"/>
  <c r="J110" i="192"/>
  <c r="J86" i="192"/>
  <c r="J101" i="192"/>
  <c r="J102" i="192"/>
  <c r="J85" i="192"/>
  <c r="J89" i="192"/>
  <c r="AA24" i="114"/>
  <c r="AB84" i="114"/>
  <c r="AA19" i="114"/>
  <c r="AB79" i="114"/>
  <c r="AB78" i="114"/>
  <c r="AA18" i="114"/>
  <c r="AB77" i="114"/>
  <c r="AA17" i="114"/>
  <c r="Q35" i="112"/>
  <c r="Q11" i="112" s="1"/>
  <c r="L18" i="158"/>
  <c r="G18" i="158"/>
  <c r="C83" i="188"/>
  <c r="N18" i="158"/>
  <c r="I18" i="158"/>
  <c r="C72" i="188"/>
  <c r="K18" i="158"/>
  <c r="F18" i="158"/>
  <c r="M18" i="158"/>
  <c r="J18" i="158"/>
  <c r="O18" i="158"/>
  <c r="C83" i="189"/>
  <c r="J107" i="192"/>
  <c r="R42" i="112"/>
  <c r="J88" i="192"/>
  <c r="R23" i="112"/>
  <c r="J94" i="192"/>
  <c r="R29" i="112"/>
  <c r="J100" i="192"/>
  <c r="R35" i="112"/>
  <c r="J112" i="192"/>
  <c r="R47" i="112"/>
  <c r="J126" i="192"/>
  <c r="R61" i="112"/>
  <c r="J129" i="192"/>
  <c r="R64" i="112"/>
  <c r="J84" i="192"/>
  <c r="R19" i="112"/>
  <c r="J120" i="192"/>
  <c r="R55" i="112"/>
  <c r="R32" i="111"/>
  <c r="R66" i="111"/>
  <c r="R45" i="111"/>
  <c r="Z7" i="114"/>
  <c r="AA67" i="114"/>
  <c r="AB66" i="114" s="1"/>
  <c r="Z47" i="114"/>
  <c r="AA107" i="114"/>
  <c r="D33" i="127"/>
  <c r="D31" i="152"/>
  <c r="D48" i="127"/>
  <c r="D46" i="152"/>
  <c r="D38" i="152"/>
  <c r="D40" i="127"/>
  <c r="D54" i="152"/>
  <c r="D56" i="127"/>
  <c r="D34" i="152"/>
  <c r="D36" i="127"/>
  <c r="D63" i="152"/>
  <c r="D65" i="127"/>
  <c r="C54" i="127"/>
  <c r="D52" i="153"/>
  <c r="D29" i="153"/>
  <c r="C31" i="127"/>
  <c r="D41" i="153"/>
  <c r="C43" i="127"/>
  <c r="C42" i="93"/>
  <c r="C34" i="127"/>
  <c r="D32" i="153"/>
  <c r="D24" i="153"/>
  <c r="C26" i="127"/>
  <c r="D25" i="153"/>
  <c r="C27" i="127"/>
  <c r="C28" i="127"/>
  <c r="D26" i="153"/>
  <c r="C37" i="127"/>
  <c r="D35" i="153"/>
  <c r="C44" i="127"/>
  <c r="D42" i="153"/>
  <c r="C29" i="93"/>
  <c r="D28" i="153"/>
  <c r="C30" i="127"/>
  <c r="AA110" i="114"/>
  <c r="Z50" i="114"/>
  <c r="E53" i="127"/>
  <c r="D51" i="151"/>
  <c r="E30" i="127"/>
  <c r="D28" i="151"/>
  <c r="D29" i="151"/>
  <c r="E31" i="127"/>
  <c r="AA105" i="114"/>
  <c r="Z45" i="114"/>
  <c r="Z8" i="114"/>
  <c r="AA68" i="114"/>
  <c r="AA75" i="114"/>
  <c r="Z15" i="114"/>
  <c r="AA72" i="114"/>
  <c r="Z12" i="114"/>
  <c r="D32" i="152"/>
  <c r="D34" i="127"/>
  <c r="D37" i="152"/>
  <c r="D39" i="127"/>
  <c r="D58" i="127"/>
  <c r="D56" i="152"/>
  <c r="D24" i="152"/>
  <c r="D28" i="152"/>
  <c r="D30" i="127"/>
  <c r="D42" i="152"/>
  <c r="D44" i="127"/>
  <c r="D46" i="153"/>
  <c r="C48" i="127"/>
  <c r="C47" i="93"/>
  <c r="D23" i="153"/>
  <c r="C25" i="127"/>
  <c r="D49" i="153"/>
  <c r="C51" i="127"/>
  <c r="D43" i="153"/>
  <c r="C45" i="127"/>
  <c r="D55" i="153"/>
  <c r="C57" i="127"/>
  <c r="C21" i="127"/>
  <c r="D19" i="153"/>
  <c r="C46" i="127"/>
  <c r="D44" i="153"/>
  <c r="C49" i="127"/>
  <c r="D47" i="153"/>
  <c r="C32" i="127"/>
  <c r="D30" i="153"/>
  <c r="D51" i="153"/>
  <c r="C53" i="127"/>
  <c r="E67" i="127"/>
  <c r="D65" i="151"/>
  <c r="E28" i="127"/>
  <c r="D26" i="151"/>
  <c r="E48" i="127"/>
  <c r="D46" i="151"/>
  <c r="D19" i="151"/>
  <c r="E21" i="127"/>
  <c r="Y48" i="114"/>
  <c r="Y42" i="114"/>
  <c r="AA106" i="114"/>
  <c r="Z46" i="114"/>
  <c r="AA71" i="114"/>
  <c r="AB70" i="114" s="1"/>
  <c r="Z11" i="114"/>
  <c r="D55" i="152"/>
  <c r="D57" i="127"/>
  <c r="D65" i="152"/>
  <c r="D67" i="127"/>
  <c r="D39" i="152"/>
  <c r="D41" i="127"/>
  <c r="D31" i="127"/>
  <c r="D29" i="152"/>
  <c r="D28" i="127"/>
  <c r="D26" i="152"/>
  <c r="D43" i="152"/>
  <c r="D45" i="127"/>
  <c r="Z44" i="114"/>
  <c r="AA104" i="114"/>
  <c r="D54" i="153"/>
  <c r="C55" i="93"/>
  <c r="C56" i="127"/>
  <c r="C62" i="127"/>
  <c r="C61" i="93"/>
  <c r="D60" i="153"/>
  <c r="C65" i="127"/>
  <c r="D63" i="153"/>
  <c r="C64" i="93"/>
  <c r="D50" i="153"/>
  <c r="C52" i="127"/>
  <c r="D64" i="153"/>
  <c r="C66" i="127"/>
  <c r="D48" i="153"/>
  <c r="C50" i="127"/>
  <c r="C40" i="127"/>
  <c r="D38" i="153"/>
  <c r="D31" i="153"/>
  <c r="C33" i="127"/>
  <c r="C60" i="127"/>
  <c r="D58" i="153"/>
  <c r="C63" i="127"/>
  <c r="D61" i="153"/>
  <c r="AA73" i="114"/>
  <c r="Z13" i="114"/>
  <c r="E54" i="127"/>
  <c r="D52" i="151"/>
  <c r="AA69" i="114"/>
  <c r="Z9" i="114"/>
  <c r="Z14" i="114"/>
  <c r="AA74" i="114"/>
  <c r="Z49" i="114"/>
  <c r="AA109" i="114"/>
  <c r="AB108" i="114" s="1"/>
  <c r="Z43" i="114"/>
  <c r="AA103" i="114"/>
  <c r="AB102" i="114" s="1"/>
  <c r="D23" i="152"/>
  <c r="D25" i="127"/>
  <c r="D60" i="127"/>
  <c r="D58" i="152"/>
  <c r="D44" i="152"/>
  <c r="D46" i="127"/>
  <c r="D24" i="127"/>
  <c r="D22" i="152"/>
  <c r="D20" i="127"/>
  <c r="D18" i="152"/>
  <c r="D36" i="153"/>
  <c r="C38" i="127"/>
  <c r="D57" i="153"/>
  <c r="C59" i="127"/>
  <c r="C41" i="127"/>
  <c r="D39" i="153"/>
  <c r="D37" i="153"/>
  <c r="C39" i="127"/>
  <c r="D56" i="153"/>
  <c r="C58" i="127"/>
  <c r="D20" i="153"/>
  <c r="C22" i="127"/>
  <c r="D34" i="153"/>
  <c r="C36" i="127"/>
  <c r="C35" i="93"/>
  <c r="C24" i="127"/>
  <c r="D22" i="153"/>
  <c r="C23" i="93"/>
  <c r="D65" i="153"/>
  <c r="C67" i="127"/>
  <c r="C19" i="93"/>
  <c r="C20" i="127"/>
  <c r="D18" i="153"/>
  <c r="E32" i="127"/>
  <c r="D30" i="151"/>
  <c r="D37" i="151"/>
  <c r="Y6" i="114"/>
  <c r="Y10" i="114"/>
  <c r="E92" i="191"/>
  <c r="E112" i="191"/>
  <c r="E118" i="191"/>
  <c r="E101" i="191"/>
  <c r="E126" i="191"/>
  <c r="E110" i="191"/>
  <c r="E131" i="191"/>
  <c r="E121" i="191"/>
  <c r="E107" i="191"/>
  <c r="E88" i="191"/>
  <c r="J116" i="191"/>
  <c r="J109" i="191"/>
  <c r="J130" i="191"/>
  <c r="J115" i="191"/>
  <c r="J104" i="191"/>
  <c r="J126" i="191"/>
  <c r="E103" i="191"/>
  <c r="E102" i="191"/>
  <c r="E122" i="191"/>
  <c r="E123" i="191"/>
  <c r="E116" i="191"/>
  <c r="E98" i="191"/>
  <c r="E104" i="191"/>
  <c r="J123" i="191"/>
  <c r="J129" i="191"/>
  <c r="J122" i="191"/>
  <c r="J95" i="191"/>
  <c r="J108" i="191"/>
  <c r="J84" i="191"/>
  <c r="J110" i="191"/>
  <c r="J94" i="191"/>
  <c r="J85" i="191"/>
  <c r="J121" i="191"/>
  <c r="J117" i="191"/>
  <c r="G111" i="192"/>
  <c r="E91" i="191"/>
  <c r="E105" i="191"/>
  <c r="E124" i="191"/>
  <c r="E95" i="191"/>
  <c r="E90" i="191"/>
  <c r="E96" i="191"/>
  <c r="E100" i="191"/>
  <c r="E114" i="191"/>
  <c r="E109" i="191"/>
  <c r="J101" i="191"/>
  <c r="J124" i="191"/>
  <c r="J88" i="191"/>
  <c r="J89" i="191"/>
  <c r="J92" i="191"/>
  <c r="J86" i="191"/>
  <c r="J96" i="191"/>
  <c r="J113" i="191"/>
  <c r="J102" i="191"/>
  <c r="J120" i="191"/>
  <c r="J131" i="191"/>
  <c r="J127" i="191"/>
  <c r="E86" i="191"/>
  <c r="E120" i="191"/>
  <c r="E117" i="191"/>
  <c r="E115" i="191"/>
  <c r="E129" i="191"/>
  <c r="E85" i="191"/>
  <c r="E113" i="191"/>
  <c r="E84" i="191"/>
  <c r="J97" i="191"/>
  <c r="J90" i="191"/>
  <c r="J98" i="191"/>
  <c r="J118" i="191"/>
  <c r="J103" i="191"/>
  <c r="J105" i="191"/>
  <c r="J114" i="191"/>
  <c r="J91" i="191"/>
  <c r="G80" i="190"/>
  <c r="G74" i="190"/>
  <c r="G73" i="190"/>
  <c r="G79" i="190"/>
  <c r="K18" i="111"/>
  <c r="U38" i="186"/>
  <c r="U38" i="185"/>
  <c r="J8" i="120"/>
  <c r="U17" i="178"/>
  <c r="U62" i="178"/>
  <c r="J16" i="120"/>
  <c r="U21" i="178"/>
  <c r="J9" i="120"/>
  <c r="U65" i="186"/>
  <c r="U65" i="185"/>
  <c r="U36" i="185"/>
  <c r="U36" i="186"/>
  <c r="U63" i="186"/>
  <c r="K64" i="120"/>
  <c r="U63" i="185"/>
  <c r="U51" i="186"/>
  <c r="U51" i="185"/>
  <c r="U20" i="186"/>
  <c r="U20" i="185"/>
  <c r="J12" i="120"/>
  <c r="U40" i="178"/>
  <c r="U59" i="178"/>
  <c r="J15" i="120"/>
  <c r="U42" i="185"/>
  <c r="U42" i="186"/>
  <c r="U54" i="186"/>
  <c r="K55" i="120"/>
  <c r="U54" i="185"/>
  <c r="U56" i="185"/>
  <c r="U56" i="186"/>
  <c r="U50" i="185"/>
  <c r="U50" i="186"/>
  <c r="U64" i="185"/>
  <c r="U64" i="186"/>
  <c r="U46" i="185"/>
  <c r="K47" i="120"/>
  <c r="U46" i="186"/>
  <c r="U45" i="178"/>
  <c r="J13" i="120"/>
  <c r="U30" i="185"/>
  <c r="U30" i="186"/>
  <c r="U26" i="185"/>
  <c r="U26" i="186"/>
  <c r="L26" i="120"/>
  <c r="L50" i="120"/>
  <c r="L58" i="120"/>
  <c r="L27" i="120"/>
  <c r="L66" i="120"/>
  <c r="L56" i="120"/>
  <c r="L30" i="120"/>
  <c r="L60" i="120"/>
  <c r="L43" i="120"/>
  <c r="L40" i="120"/>
  <c r="L22" i="120"/>
  <c r="L53" i="120"/>
  <c r="L25" i="120"/>
  <c r="L28" i="120"/>
  <c r="L57" i="120"/>
  <c r="L32" i="120"/>
  <c r="L37" i="120"/>
  <c r="L31" i="120"/>
  <c r="L36" i="120"/>
  <c r="L62" i="120"/>
  <c r="L52" i="120"/>
  <c r="L54" i="120"/>
  <c r="L44" i="120"/>
  <c r="L34" i="120"/>
  <c r="L24" i="120"/>
  <c r="L48" i="120"/>
  <c r="L20" i="120"/>
  <c r="L21" i="120"/>
  <c r="L67" i="120"/>
  <c r="L51" i="120"/>
  <c r="L38" i="120"/>
  <c r="L39" i="120"/>
  <c r="L65" i="120"/>
  <c r="L41" i="120"/>
  <c r="L33" i="120"/>
  <c r="L59" i="120"/>
  <c r="L63" i="120"/>
  <c r="L46" i="120"/>
  <c r="L45" i="120"/>
  <c r="L49" i="120"/>
  <c r="U41" i="185"/>
  <c r="K42" i="120"/>
  <c r="U41" i="186"/>
  <c r="U31" i="186"/>
  <c r="U31" i="185"/>
  <c r="U58" i="185"/>
  <c r="U58" i="186"/>
  <c r="K23" i="120"/>
  <c r="U22" i="186"/>
  <c r="U22" i="185"/>
  <c r="U44" i="185"/>
  <c r="U44" i="186"/>
  <c r="U34" i="186"/>
  <c r="K35" i="120"/>
  <c r="U34" i="185"/>
  <c r="U49" i="186"/>
  <c r="U49" i="185"/>
  <c r="U28" i="186"/>
  <c r="U28" i="185"/>
  <c r="K29" i="120"/>
  <c r="U27" i="178"/>
  <c r="J10" i="120"/>
  <c r="U52" i="185"/>
  <c r="U52" i="186"/>
  <c r="U25" i="185"/>
  <c r="U25" i="186"/>
  <c r="U19" i="185"/>
  <c r="U19" i="186"/>
  <c r="U55" i="186"/>
  <c r="U55" i="185"/>
  <c r="U61" i="186"/>
  <c r="U61" i="185"/>
  <c r="K19" i="120"/>
  <c r="U18" i="185"/>
  <c r="U18" i="186"/>
  <c r="U33" i="178"/>
  <c r="J11" i="120"/>
  <c r="U32" i="186"/>
  <c r="U32" i="185"/>
  <c r="U53" i="178"/>
  <c r="J14" i="120"/>
  <c r="U43" i="185"/>
  <c r="U43" i="186"/>
  <c r="U24" i="185"/>
  <c r="U24" i="186"/>
  <c r="U23" i="185"/>
  <c r="U23" i="186"/>
  <c r="U39" i="186"/>
  <c r="U39" i="185"/>
  <c r="U60" i="186"/>
  <c r="U60" i="185"/>
  <c r="K61" i="120"/>
  <c r="U35" i="185"/>
  <c r="U35" i="186"/>
  <c r="U48" i="186"/>
  <c r="U48" i="185"/>
  <c r="U29" i="185"/>
  <c r="U29" i="186"/>
  <c r="U37" i="185"/>
  <c r="U37" i="186"/>
  <c r="U47" i="186"/>
  <c r="U47" i="185"/>
  <c r="U57" i="186"/>
  <c r="U57" i="185"/>
  <c r="V16" i="176"/>
  <c r="AD16" i="176" s="1"/>
  <c r="AD14" i="176"/>
  <c r="P7" i="119"/>
  <c r="P6" i="119" s="1"/>
  <c r="F18" i="120"/>
  <c r="F17" i="120" s="1"/>
  <c r="U6" i="134"/>
  <c r="Q10" i="112"/>
  <c r="Q9" i="112"/>
  <c r="L7" i="112"/>
  <c r="L6" i="112" s="1"/>
  <c r="Q16" i="112"/>
  <c r="E7" i="120"/>
  <c r="U5" i="151" s="1"/>
  <c r="Q14" i="112"/>
  <c r="Q15" i="112"/>
  <c r="Q8" i="112"/>
  <c r="J80" i="188"/>
  <c r="Z38" i="114"/>
  <c r="AA98" i="114"/>
  <c r="G78" i="188"/>
  <c r="E88" i="188"/>
  <c r="G83" i="189"/>
  <c r="J6" i="119"/>
  <c r="E107" i="189"/>
  <c r="E129" i="189"/>
  <c r="V35" i="134"/>
  <c r="V30" i="134"/>
  <c r="V50" i="134"/>
  <c r="V22" i="134"/>
  <c r="H6" i="119"/>
  <c r="G76" i="188"/>
  <c r="E100" i="188"/>
  <c r="E100" i="189"/>
  <c r="G75" i="188"/>
  <c r="G80" i="188"/>
  <c r="E84" i="188"/>
  <c r="Q15" i="111"/>
  <c r="E88" i="189"/>
  <c r="V18" i="134"/>
  <c r="V29" i="134"/>
  <c r="G81" i="188"/>
  <c r="E129" i="188"/>
  <c r="E112" i="189"/>
  <c r="O18" i="111"/>
  <c r="O17" i="111" s="1"/>
  <c r="F124" i="121"/>
  <c r="F124" i="124" s="1"/>
  <c r="Y34" i="114"/>
  <c r="G77" i="188"/>
  <c r="E112" i="188"/>
  <c r="E126" i="188"/>
  <c r="AA101" i="114"/>
  <c r="Z41" i="114"/>
  <c r="E126" i="189"/>
  <c r="V39" i="134"/>
  <c r="V54" i="134"/>
  <c r="V48" i="134"/>
  <c r="V55" i="134"/>
  <c r="V19" i="134"/>
  <c r="G73" i="188"/>
  <c r="G79" i="188"/>
  <c r="AE65" i="114"/>
  <c r="AF65" i="114" s="1"/>
  <c r="AD5" i="114"/>
  <c r="E107" i="188"/>
  <c r="E120" i="188"/>
  <c r="N18" i="111"/>
  <c r="N17" i="111" s="1"/>
  <c r="E94" i="188"/>
  <c r="V41" i="134"/>
  <c r="V34" i="134"/>
  <c r="V23" i="134"/>
  <c r="V65" i="134"/>
  <c r="V36" i="134"/>
  <c r="V25" i="134"/>
  <c r="V26" i="134"/>
  <c r="V56" i="134"/>
  <c r="M7" i="119"/>
  <c r="G74" i="188"/>
  <c r="E120" i="189"/>
  <c r="E84" i="189"/>
  <c r="E94" i="189"/>
  <c r="AN11" i="99" l="1"/>
  <c r="AN10" i="99" s="1"/>
  <c r="AN49" i="99"/>
  <c r="AN48" i="99" s="1"/>
  <c r="AN52" i="99"/>
  <c r="AN51" i="99" s="1"/>
  <c r="AL29" i="99"/>
  <c r="AM30" i="99"/>
  <c r="AM29" i="99" s="1"/>
  <c r="AL51" i="108"/>
  <c r="AN49" i="108"/>
  <c r="AN48" i="108" s="1"/>
  <c r="D19" i="152"/>
  <c r="D51" i="152"/>
  <c r="AC64" i="92"/>
  <c r="AC61" i="92"/>
  <c r="D64" i="152"/>
  <c r="D27" i="127"/>
  <c r="D54" i="127"/>
  <c r="D63" i="127"/>
  <c r="D23" i="93"/>
  <c r="D21" i="152" s="1"/>
  <c r="D19" i="93"/>
  <c r="D19" i="127" s="1"/>
  <c r="D50" i="127"/>
  <c r="D66" i="127"/>
  <c r="D26" i="127"/>
  <c r="D42" i="93"/>
  <c r="D40" i="152" s="1"/>
  <c r="D41" i="152"/>
  <c r="J73" i="190"/>
  <c r="D22" i="127"/>
  <c r="D29" i="93"/>
  <c r="D27" i="152" s="1"/>
  <c r="D32" i="127"/>
  <c r="D61" i="93"/>
  <c r="D59" i="152" s="1"/>
  <c r="D20" i="152"/>
  <c r="V20" i="152" s="1"/>
  <c r="D92" i="121" s="1"/>
  <c r="D62" i="127"/>
  <c r="G80" i="212"/>
  <c r="G80" i="213"/>
  <c r="G74" i="212"/>
  <c r="G74" i="213"/>
  <c r="G78" i="212"/>
  <c r="G78" i="213"/>
  <c r="G72" i="212"/>
  <c r="G72" i="213"/>
  <c r="G77" i="212"/>
  <c r="G77" i="213"/>
  <c r="G73" i="212"/>
  <c r="G73" i="213"/>
  <c r="G76" i="212"/>
  <c r="G76" i="213"/>
  <c r="AL6" i="108"/>
  <c r="AM7" i="108"/>
  <c r="AM6" i="108" s="1"/>
  <c r="R41" i="111"/>
  <c r="R52" i="111"/>
  <c r="R39" i="111"/>
  <c r="AM52" i="108"/>
  <c r="AM51" i="108" s="1"/>
  <c r="AM11" i="108"/>
  <c r="AM10" i="108" s="1"/>
  <c r="D47" i="93"/>
  <c r="D47" i="127" s="1"/>
  <c r="D35" i="93"/>
  <c r="D35" i="127" s="1"/>
  <c r="D38" i="127"/>
  <c r="D52" i="127"/>
  <c r="D51" i="127"/>
  <c r="D37" i="127"/>
  <c r="D59" i="127"/>
  <c r="D47" i="152"/>
  <c r="V47" i="152" s="1"/>
  <c r="D119" i="121" s="1"/>
  <c r="D55" i="93"/>
  <c r="D53" i="152" s="1"/>
  <c r="F7" i="112"/>
  <c r="F6" i="112" s="1"/>
  <c r="J4" i="134" s="1"/>
  <c r="E41" i="127"/>
  <c r="E27" i="127"/>
  <c r="G80" i="192"/>
  <c r="J79" i="190"/>
  <c r="EK63" i="129"/>
  <c r="G79" i="192"/>
  <c r="E38" i="127"/>
  <c r="J125" i="191"/>
  <c r="P16" i="111"/>
  <c r="J93" i="191"/>
  <c r="J111" i="191"/>
  <c r="J16" i="134"/>
  <c r="J67" i="134" s="1"/>
  <c r="J69" i="134" s="1"/>
  <c r="J128" i="191"/>
  <c r="J107" i="190"/>
  <c r="AB64" i="92"/>
  <c r="AB61" i="92"/>
  <c r="D24" i="151"/>
  <c r="V24" i="151" s="1"/>
  <c r="E96" i="121" s="1"/>
  <c r="E96" i="124" s="1"/>
  <c r="D61" i="151"/>
  <c r="V61" i="151" s="1"/>
  <c r="E133" i="121" s="1"/>
  <c r="E133" i="124" s="1"/>
  <c r="E59" i="127"/>
  <c r="E36" i="127"/>
  <c r="D54" i="151"/>
  <c r="V54" i="151" s="1"/>
  <c r="E126" i="121" s="1"/>
  <c r="E126" i="124" s="1"/>
  <c r="E58" i="127"/>
  <c r="D43" i="151"/>
  <c r="V43" i="151" s="1"/>
  <c r="E115" i="121" s="1"/>
  <c r="E115" i="124" s="1"/>
  <c r="G41" i="127"/>
  <c r="E49" i="127"/>
  <c r="D64" i="151"/>
  <c r="V64" i="151" s="1"/>
  <c r="E136" i="121" s="1"/>
  <c r="E136" i="124" s="1"/>
  <c r="E42" i="93"/>
  <c r="E42" i="127" s="1"/>
  <c r="D50" i="151"/>
  <c r="V50" i="151" s="1"/>
  <c r="E122" i="121" s="1"/>
  <c r="E122" i="124" s="1"/>
  <c r="E40" i="127"/>
  <c r="E20" i="127"/>
  <c r="E65" i="127"/>
  <c r="D44" i="151"/>
  <c r="V44" i="151" s="1"/>
  <c r="E116" i="121" s="1"/>
  <c r="E116" i="124" s="1"/>
  <c r="E61" i="93"/>
  <c r="E15" i="93" s="1"/>
  <c r="D42" i="151"/>
  <c r="V42" i="151" s="1"/>
  <c r="E114" i="121" s="1"/>
  <c r="E114" i="124" s="1"/>
  <c r="E43" i="127"/>
  <c r="D40" i="134"/>
  <c r="V40" i="134" s="1"/>
  <c r="E64" i="93"/>
  <c r="D62" i="151" s="1"/>
  <c r="F12" i="93"/>
  <c r="F12" i="127" s="1"/>
  <c r="G30" i="127"/>
  <c r="E55" i="93"/>
  <c r="E14" i="93" s="1"/>
  <c r="E19" i="93"/>
  <c r="D17" i="151" s="1"/>
  <c r="E35" i="93"/>
  <c r="D33" i="151" s="1"/>
  <c r="E23" i="93"/>
  <c r="D21" i="151" s="1"/>
  <c r="G32" i="127"/>
  <c r="E60" i="127"/>
  <c r="D20" i="151"/>
  <c r="V20" i="151" s="1"/>
  <c r="E92" i="121" s="1"/>
  <c r="E92" i="124" s="1"/>
  <c r="G49" i="127"/>
  <c r="D22" i="151"/>
  <c r="V22" i="151" s="1"/>
  <c r="E94" i="121" s="1"/>
  <c r="E94" i="124" s="1"/>
  <c r="D55" i="151"/>
  <c r="V55" i="151" s="1"/>
  <c r="E127" i="121" s="1"/>
  <c r="E127" i="124" s="1"/>
  <c r="D49" i="151"/>
  <c r="V49" i="151" s="1"/>
  <c r="E121" i="121" s="1"/>
  <c r="E121" i="124" s="1"/>
  <c r="E33" i="127"/>
  <c r="E29" i="93"/>
  <c r="D27" i="151" s="1"/>
  <c r="H57" i="93"/>
  <c r="H57" i="127" s="1"/>
  <c r="H34" i="93"/>
  <c r="H34" i="127" s="1"/>
  <c r="D35" i="151"/>
  <c r="V35" i="151" s="1"/>
  <c r="E107" i="121" s="1"/>
  <c r="E107" i="124" s="1"/>
  <c r="E47" i="93"/>
  <c r="E47" i="127" s="1"/>
  <c r="H41" i="93"/>
  <c r="H36" i="93"/>
  <c r="H36" i="127" s="1"/>
  <c r="E34" i="127"/>
  <c r="E50" i="127"/>
  <c r="E37" i="127"/>
  <c r="H28" i="93"/>
  <c r="E62" i="127"/>
  <c r="E25" i="127"/>
  <c r="G50" i="127"/>
  <c r="EK25" i="129"/>
  <c r="E89" i="191"/>
  <c r="P14" i="111"/>
  <c r="M7" i="111"/>
  <c r="M6" i="111" s="1"/>
  <c r="E88" i="190"/>
  <c r="AL23" i="99"/>
  <c r="F15" i="93"/>
  <c r="D13" i="134" s="1"/>
  <c r="P13" i="111"/>
  <c r="E100" i="190"/>
  <c r="D33" i="134"/>
  <c r="V33" i="134" s="1"/>
  <c r="F11" i="93"/>
  <c r="D9" i="134" s="1"/>
  <c r="J106" i="191"/>
  <c r="P12" i="111"/>
  <c r="F61" i="127"/>
  <c r="D45" i="134"/>
  <c r="V45" i="134" s="1"/>
  <c r="J83" i="191"/>
  <c r="G67" i="186"/>
  <c r="G69" i="186" s="1"/>
  <c r="E16" i="151"/>
  <c r="E67" i="151" s="1"/>
  <c r="E69" i="151" s="1"/>
  <c r="F14" i="93"/>
  <c r="F14" i="127" s="1"/>
  <c r="C7" i="111"/>
  <c r="E5" i="153" s="1"/>
  <c r="E7" i="111"/>
  <c r="E6" i="111" s="1"/>
  <c r="E4" i="151" s="1"/>
  <c r="D63" i="157"/>
  <c r="V63" i="157" s="1"/>
  <c r="E95" i="190"/>
  <c r="G38" i="127"/>
  <c r="J100" i="188"/>
  <c r="G72" i="211"/>
  <c r="P18" i="112"/>
  <c r="P17" i="112" s="1"/>
  <c r="EK30" i="129"/>
  <c r="J119" i="191"/>
  <c r="D32" i="157"/>
  <c r="V32" i="157" s="1"/>
  <c r="G72" i="191"/>
  <c r="G5" i="153"/>
  <c r="BS18" i="129"/>
  <c r="BS7" i="129" s="1"/>
  <c r="BS6" i="129" s="1"/>
  <c r="BP62" i="129" s="1"/>
  <c r="E128" i="191"/>
  <c r="AL11" i="108"/>
  <c r="AL30" i="122"/>
  <c r="V82" i="120" s="1"/>
  <c r="AL27" i="108"/>
  <c r="R18" i="119"/>
  <c r="G76" i="191"/>
  <c r="G80" i="191"/>
  <c r="G6" i="112"/>
  <c r="J4" i="157" s="1"/>
  <c r="G5" i="134"/>
  <c r="J67" i="177"/>
  <c r="J69" i="177" s="1"/>
  <c r="L7" i="111"/>
  <c r="L6" i="111" s="1"/>
  <c r="E16" i="152"/>
  <c r="E67" i="152" s="1"/>
  <c r="E69" i="152" s="1"/>
  <c r="D7" i="111"/>
  <c r="D6" i="111" s="1"/>
  <c r="E4" i="152" s="1"/>
  <c r="F23" i="127"/>
  <c r="D21" i="134"/>
  <c r="V21" i="134" s="1"/>
  <c r="D62" i="134"/>
  <c r="V62" i="134" s="1"/>
  <c r="Q7" i="119"/>
  <c r="Q6" i="119" s="1"/>
  <c r="D35" i="157"/>
  <c r="V35" i="157" s="1"/>
  <c r="D43" i="157"/>
  <c r="V43" i="157" s="1"/>
  <c r="G63" i="127"/>
  <c r="G83" i="192"/>
  <c r="G80" i="211"/>
  <c r="G78" i="191"/>
  <c r="G106" i="192"/>
  <c r="N7" i="112"/>
  <c r="N6" i="112" s="1"/>
  <c r="J67" i="188"/>
  <c r="J69" i="188" s="1"/>
  <c r="G67" i="177"/>
  <c r="G69" i="177" s="1"/>
  <c r="J7" i="111"/>
  <c r="J6" i="111" s="1"/>
  <c r="U16" i="177"/>
  <c r="D64" i="157"/>
  <c r="V64" i="157" s="1"/>
  <c r="H7" i="120"/>
  <c r="U5" i="170" s="1"/>
  <c r="U16" i="170"/>
  <c r="D18" i="157"/>
  <c r="V18" i="157" s="1"/>
  <c r="G78" i="192"/>
  <c r="J73" i="189"/>
  <c r="J73" i="188"/>
  <c r="F16" i="93"/>
  <c r="D14" i="134" s="1"/>
  <c r="E16" i="153"/>
  <c r="E67" i="153" s="1"/>
  <c r="E69" i="153" s="1"/>
  <c r="G36" i="127"/>
  <c r="F47" i="127"/>
  <c r="E67" i="178"/>
  <c r="E69" i="178" s="1"/>
  <c r="CC61" i="129"/>
  <c r="CC15" i="129" s="1"/>
  <c r="D22" i="157"/>
  <c r="V22" i="157" s="1"/>
  <c r="G52" i="127"/>
  <c r="D25" i="157"/>
  <c r="V25" i="157" s="1"/>
  <c r="G75" i="192"/>
  <c r="G33" i="127"/>
  <c r="D53" i="134"/>
  <c r="V53" i="134" s="1"/>
  <c r="F19" i="127"/>
  <c r="J16" i="151"/>
  <c r="J67" i="151" s="1"/>
  <c r="J69" i="151" s="1"/>
  <c r="D17" i="134"/>
  <c r="V17" i="134" s="1"/>
  <c r="G59" i="127"/>
  <c r="G62" i="127"/>
  <c r="G78" i="211"/>
  <c r="F10" i="93"/>
  <c r="F10" i="127" s="1"/>
  <c r="F29" i="127"/>
  <c r="D6" i="119"/>
  <c r="G4" i="152" s="1"/>
  <c r="R43" i="111"/>
  <c r="R56" i="111"/>
  <c r="D17" i="112"/>
  <c r="J16" i="152"/>
  <c r="J67" i="152" s="1"/>
  <c r="J69" i="152" s="1"/>
  <c r="R44" i="111"/>
  <c r="R38" i="111"/>
  <c r="R50" i="111"/>
  <c r="R22" i="111"/>
  <c r="AK8" i="122"/>
  <c r="AK5" i="122" s="1"/>
  <c r="J79" i="188"/>
  <c r="G7" i="111"/>
  <c r="G6" i="111" s="1"/>
  <c r="E4" i="157" s="1"/>
  <c r="D23" i="157"/>
  <c r="V23" i="157" s="1"/>
  <c r="R27" i="111"/>
  <c r="R24" i="111"/>
  <c r="AL17" i="108"/>
  <c r="E16" i="157"/>
  <c r="AY18" i="129" s="1"/>
  <c r="D41" i="157"/>
  <c r="V41" i="157" s="1"/>
  <c r="R25" i="111"/>
  <c r="R53" i="111"/>
  <c r="D7" i="112"/>
  <c r="J5" i="152" s="1"/>
  <c r="D55" i="157"/>
  <c r="V55" i="157" s="1"/>
  <c r="R60" i="111"/>
  <c r="R54" i="111"/>
  <c r="BI18" i="129"/>
  <c r="BI7" i="129" s="1"/>
  <c r="BI6" i="129" s="1"/>
  <c r="EU9" i="129"/>
  <c r="R62" i="111"/>
  <c r="R37" i="111"/>
  <c r="Y6" i="206"/>
  <c r="R49" i="111"/>
  <c r="R26" i="111"/>
  <c r="Y16" i="206"/>
  <c r="R51" i="111"/>
  <c r="R28" i="111"/>
  <c r="R46" i="111"/>
  <c r="C7" i="158"/>
  <c r="I23" i="199" s="1"/>
  <c r="H55" i="199" s="1"/>
  <c r="AL13" i="122"/>
  <c r="R59" i="111"/>
  <c r="R67" i="111"/>
  <c r="AL47" i="122"/>
  <c r="V98" i="120" s="1"/>
  <c r="V92" i="120" s="1"/>
  <c r="R21" i="111"/>
  <c r="R33" i="111"/>
  <c r="K17" i="112"/>
  <c r="K7" i="112"/>
  <c r="K6" i="112" s="1"/>
  <c r="AK10" i="122"/>
  <c r="R48" i="111"/>
  <c r="R30" i="111"/>
  <c r="E7" i="112"/>
  <c r="E6" i="112" s="1"/>
  <c r="J4" i="151" s="1"/>
  <c r="AL30" i="108"/>
  <c r="AL11" i="122"/>
  <c r="R65" i="111"/>
  <c r="R31" i="111"/>
  <c r="AL35" i="99"/>
  <c r="AA93" i="206"/>
  <c r="Z33" i="206"/>
  <c r="AA81" i="206"/>
  <c r="Z21" i="206"/>
  <c r="Y34" i="206"/>
  <c r="Z9" i="206"/>
  <c r="AA69" i="206"/>
  <c r="AL43" i="108"/>
  <c r="V76" i="120"/>
  <c r="D7" i="120"/>
  <c r="U5" i="152" s="1"/>
  <c r="AA87" i="206"/>
  <c r="Z27" i="206"/>
  <c r="V104" i="120"/>
  <c r="U121" i="120"/>
  <c r="Y42" i="206"/>
  <c r="AB64" i="206"/>
  <c r="AB65" i="206"/>
  <c r="AA5" i="206"/>
  <c r="Z17" i="206"/>
  <c r="AA77" i="206"/>
  <c r="U104" i="120"/>
  <c r="O17" i="112"/>
  <c r="O7" i="112"/>
  <c r="O6" i="112" s="1"/>
  <c r="AA98" i="206"/>
  <c r="Z38" i="206"/>
  <c r="AA72" i="206"/>
  <c r="Z12" i="206"/>
  <c r="D46" i="157"/>
  <c r="V46" i="157" s="1"/>
  <c r="Y29" i="206"/>
  <c r="Y51" i="206"/>
  <c r="U99" i="120"/>
  <c r="G58" i="127"/>
  <c r="Y10" i="206"/>
  <c r="AA71" i="206"/>
  <c r="Z11" i="206"/>
  <c r="Z14" i="206"/>
  <c r="AA74" i="206"/>
  <c r="D17" i="120"/>
  <c r="V88" i="120"/>
  <c r="AL9" i="122"/>
  <c r="AA84" i="206"/>
  <c r="Z24" i="206"/>
  <c r="U80" i="120"/>
  <c r="AA113" i="206"/>
  <c r="Z53" i="206"/>
  <c r="G61" i="93"/>
  <c r="G61" i="127" s="1"/>
  <c r="AA79" i="206"/>
  <c r="Z19" i="206"/>
  <c r="AA78" i="206"/>
  <c r="Z18" i="206"/>
  <c r="AA103" i="206"/>
  <c r="Z43" i="206"/>
  <c r="AA92" i="206"/>
  <c r="Z32" i="206"/>
  <c r="AA91" i="206"/>
  <c r="Z31" i="206"/>
  <c r="Z23" i="206"/>
  <c r="AA83" i="206"/>
  <c r="Z37" i="206"/>
  <c r="AA97" i="206"/>
  <c r="AA106" i="206"/>
  <c r="Z46" i="206"/>
  <c r="AL34" i="99"/>
  <c r="AA73" i="206"/>
  <c r="Z13" i="206"/>
  <c r="AA67" i="206"/>
  <c r="Z7" i="206"/>
  <c r="D51" i="157"/>
  <c r="V51" i="157" s="1"/>
  <c r="R58" i="111"/>
  <c r="R57" i="111"/>
  <c r="Z39" i="206"/>
  <c r="AA99" i="206"/>
  <c r="AA110" i="206"/>
  <c r="Z50" i="206"/>
  <c r="AA101" i="206"/>
  <c r="Z41" i="206"/>
  <c r="Z15" i="206"/>
  <c r="AA75" i="206"/>
  <c r="Y22" i="206"/>
  <c r="AB92" i="114"/>
  <c r="AA32" i="114"/>
  <c r="AA90" i="206"/>
  <c r="Z30" i="206"/>
  <c r="AA112" i="206"/>
  <c r="Z52" i="206"/>
  <c r="Z47" i="206"/>
  <c r="AA107" i="206"/>
  <c r="BE83" i="114"/>
  <c r="Z30" i="114"/>
  <c r="Z29" i="114" s="1"/>
  <c r="AA90" i="114"/>
  <c r="Y48" i="206"/>
  <c r="AA88" i="206"/>
  <c r="Z28" i="206"/>
  <c r="AA96" i="206"/>
  <c r="Z36" i="206"/>
  <c r="AA100" i="206"/>
  <c r="Z40" i="206"/>
  <c r="E16" i="134"/>
  <c r="F7" i="111"/>
  <c r="F17" i="111"/>
  <c r="G22" i="127"/>
  <c r="R36" i="111"/>
  <c r="R20" i="111"/>
  <c r="J78" i="189"/>
  <c r="AA80" i="206"/>
  <c r="Z20" i="206"/>
  <c r="AA109" i="206"/>
  <c r="Z49" i="206"/>
  <c r="Z44" i="206"/>
  <c r="AA104" i="206"/>
  <c r="AA113" i="114"/>
  <c r="Z53" i="114"/>
  <c r="Z51" i="114" s="1"/>
  <c r="AA68" i="206"/>
  <c r="Z8" i="206"/>
  <c r="G17" i="120"/>
  <c r="G7" i="120"/>
  <c r="U16" i="157"/>
  <c r="AA86" i="206"/>
  <c r="Z26" i="206"/>
  <c r="AL35" i="108"/>
  <c r="R63" i="111"/>
  <c r="R34" i="111"/>
  <c r="J76" i="189"/>
  <c r="AA114" i="206"/>
  <c r="Z54" i="206"/>
  <c r="Z35" i="206"/>
  <c r="AA95" i="206"/>
  <c r="AA105" i="206"/>
  <c r="Z45" i="206"/>
  <c r="X4" i="206"/>
  <c r="AA85" i="206"/>
  <c r="Z25" i="206"/>
  <c r="Z48" i="114"/>
  <c r="GT5" i="129"/>
  <c r="V5" i="111"/>
  <c r="G67" i="127"/>
  <c r="G64" i="93"/>
  <c r="G16" i="93" s="1"/>
  <c r="E127" i="191"/>
  <c r="J77" i="188"/>
  <c r="BF89" i="114"/>
  <c r="G77" i="211"/>
  <c r="G74" i="211"/>
  <c r="G76" i="211"/>
  <c r="G73" i="211"/>
  <c r="Q11" i="111"/>
  <c r="AK4" i="108"/>
  <c r="U24" i="111" s="1"/>
  <c r="G90" i="205"/>
  <c r="G84" i="207"/>
  <c r="G91" i="205"/>
  <c r="G98" i="205"/>
  <c r="G118" i="205"/>
  <c r="G101" i="205"/>
  <c r="G112" i="207"/>
  <c r="G122" i="205"/>
  <c r="G96" i="205"/>
  <c r="G94" i="207"/>
  <c r="G120" i="207"/>
  <c r="G130" i="205"/>
  <c r="G108" i="205"/>
  <c r="G104" i="205"/>
  <c r="G92" i="205"/>
  <c r="G102" i="205"/>
  <c r="G131" i="205"/>
  <c r="G105" i="205"/>
  <c r="G113" i="205"/>
  <c r="G100" i="207"/>
  <c r="G123" i="205"/>
  <c r="G114" i="205"/>
  <c r="G86" i="205"/>
  <c r="G116" i="205"/>
  <c r="G97" i="205"/>
  <c r="G124" i="205"/>
  <c r="G85" i="205"/>
  <c r="G110" i="205"/>
  <c r="G115" i="205"/>
  <c r="G121" i="205"/>
  <c r="G109" i="205"/>
  <c r="G103" i="205"/>
  <c r="G89" i="205"/>
  <c r="G117" i="205"/>
  <c r="G127" i="205"/>
  <c r="G129" i="207"/>
  <c r="G88" i="207"/>
  <c r="G95" i="205"/>
  <c r="T23" i="119"/>
  <c r="G88" i="205"/>
  <c r="AB52" i="114"/>
  <c r="AC112" i="114"/>
  <c r="D26" i="157"/>
  <c r="V26" i="157" s="1"/>
  <c r="G94" i="205"/>
  <c r="T29" i="119"/>
  <c r="J67" i="170"/>
  <c r="J69" i="170" s="1"/>
  <c r="G100" i="205"/>
  <c r="T35" i="119"/>
  <c r="G107" i="205"/>
  <c r="T42" i="119"/>
  <c r="AJ5" i="122"/>
  <c r="T64" i="119"/>
  <c r="G129" i="205"/>
  <c r="T80" i="120"/>
  <c r="T74" i="120" s="1"/>
  <c r="T25" i="120" s="1"/>
  <c r="G84" i="205"/>
  <c r="T19" i="119"/>
  <c r="T47" i="119"/>
  <c r="G112" i="205"/>
  <c r="AJ4" i="99"/>
  <c r="T67" i="112" s="1"/>
  <c r="G120" i="205"/>
  <c r="T55" i="119"/>
  <c r="T61" i="119"/>
  <c r="E97" i="191"/>
  <c r="AJ4" i="108"/>
  <c r="E111" i="191"/>
  <c r="Q10" i="111"/>
  <c r="E106" i="191"/>
  <c r="EU13" i="129"/>
  <c r="G46" i="127"/>
  <c r="G55" i="93"/>
  <c r="G55" i="127" s="1"/>
  <c r="Q13" i="112"/>
  <c r="Q18" i="112" s="1"/>
  <c r="Q17" i="112" s="1"/>
  <c r="G26" i="127"/>
  <c r="D38" i="157"/>
  <c r="V38" i="157" s="1"/>
  <c r="H21" i="93"/>
  <c r="H21" i="127" s="1"/>
  <c r="H26" i="93"/>
  <c r="H65" i="93"/>
  <c r="H45" i="93"/>
  <c r="G60" i="127"/>
  <c r="G42" i="93"/>
  <c r="D40" i="157" s="1"/>
  <c r="V49" i="170"/>
  <c r="H20" i="93"/>
  <c r="H25" i="93"/>
  <c r="H25" i="127" s="1"/>
  <c r="H49" i="93"/>
  <c r="H58" i="93"/>
  <c r="G73" i="192"/>
  <c r="H27" i="93"/>
  <c r="H27" i="127" s="1"/>
  <c r="H62" i="93"/>
  <c r="H53" i="93"/>
  <c r="H53" i="127" s="1"/>
  <c r="H24" i="93"/>
  <c r="H24" i="127" s="1"/>
  <c r="AE14" i="176"/>
  <c r="H50" i="93"/>
  <c r="H66" i="93"/>
  <c r="H54" i="93"/>
  <c r="H48" i="93"/>
  <c r="H48" i="127" s="1"/>
  <c r="H38" i="93"/>
  <c r="H60" i="93"/>
  <c r="H33" i="93"/>
  <c r="H32" i="93"/>
  <c r="C17" i="112"/>
  <c r="C7" i="112"/>
  <c r="J16" i="153"/>
  <c r="J67" i="153" s="1"/>
  <c r="J69" i="153" s="1"/>
  <c r="H46" i="93"/>
  <c r="H46" i="127" s="1"/>
  <c r="H43" i="93"/>
  <c r="H43" i="127" s="1"/>
  <c r="H63" i="93"/>
  <c r="H63" i="127" s="1"/>
  <c r="H30" i="93"/>
  <c r="H40" i="93"/>
  <c r="H52" i="93"/>
  <c r="H39" i="93"/>
  <c r="Q14" i="111"/>
  <c r="D42" i="157"/>
  <c r="V42" i="157" s="1"/>
  <c r="G73" i="191"/>
  <c r="C7" i="120"/>
  <c r="U16" i="153"/>
  <c r="C17" i="120"/>
  <c r="H56" i="93"/>
  <c r="H56" i="127" s="1"/>
  <c r="H22" i="93"/>
  <c r="EU11" i="129"/>
  <c r="H59" i="93"/>
  <c r="H31" i="93"/>
  <c r="H37" i="93"/>
  <c r="H37" i="127" s="1"/>
  <c r="H44" i="93"/>
  <c r="H67" i="93"/>
  <c r="H67" i="127" s="1"/>
  <c r="J130" i="194"/>
  <c r="J101" i="194"/>
  <c r="J92" i="194"/>
  <c r="J90" i="194"/>
  <c r="J110" i="194"/>
  <c r="J127" i="194"/>
  <c r="J89" i="194"/>
  <c r="J123" i="194"/>
  <c r="J108" i="194"/>
  <c r="J85" i="194"/>
  <c r="J131" i="194"/>
  <c r="J97" i="194"/>
  <c r="J102" i="194"/>
  <c r="J113" i="194"/>
  <c r="J116" i="194"/>
  <c r="J91" i="194"/>
  <c r="J105" i="194"/>
  <c r="J114" i="194"/>
  <c r="J103" i="194"/>
  <c r="J124" i="194"/>
  <c r="J96" i="194"/>
  <c r="J118" i="194"/>
  <c r="J122" i="194"/>
  <c r="J104" i="194"/>
  <c r="J115" i="194"/>
  <c r="J98" i="194"/>
  <c r="J95" i="194"/>
  <c r="J86" i="194"/>
  <c r="J121" i="194"/>
  <c r="J117" i="194"/>
  <c r="J109" i="194"/>
  <c r="EZ5" i="129"/>
  <c r="EV7" i="129"/>
  <c r="EU14" i="129"/>
  <c r="E104" i="192"/>
  <c r="FE40" i="129"/>
  <c r="EU10" i="129"/>
  <c r="EU16" i="129"/>
  <c r="EU8" i="129"/>
  <c r="EU12" i="129"/>
  <c r="EU15" i="129"/>
  <c r="G76" i="192"/>
  <c r="G74" i="191"/>
  <c r="E108" i="191"/>
  <c r="E130" i="191"/>
  <c r="AI4" i="108"/>
  <c r="Z22" i="114"/>
  <c r="G56" i="127"/>
  <c r="AF7" i="129"/>
  <c r="AF6" i="129" s="1"/>
  <c r="Y24" i="129" s="1"/>
  <c r="D29" i="157"/>
  <c r="V29" i="157" s="1"/>
  <c r="CD1" i="129"/>
  <c r="BW51" i="129"/>
  <c r="BW60" i="129"/>
  <c r="BW21" i="129"/>
  <c r="BW62" i="129"/>
  <c r="BW53" i="129"/>
  <c r="BW57" i="129"/>
  <c r="BW26" i="129"/>
  <c r="BW38" i="129"/>
  <c r="BW33" i="129"/>
  <c r="BW52" i="129"/>
  <c r="BW48" i="129"/>
  <c r="BW37" i="129"/>
  <c r="BW59" i="129"/>
  <c r="BW28" i="129"/>
  <c r="BW36" i="129"/>
  <c r="BW50" i="129"/>
  <c r="BW40" i="129"/>
  <c r="BW54" i="129"/>
  <c r="BW34" i="129"/>
  <c r="BW67" i="129"/>
  <c r="BW39" i="129"/>
  <c r="BW25" i="129"/>
  <c r="BW63" i="129"/>
  <c r="BW24" i="129"/>
  <c r="BW65" i="129"/>
  <c r="BW58" i="129"/>
  <c r="BW20" i="129"/>
  <c r="BW43" i="129"/>
  <c r="BW56" i="129"/>
  <c r="BW66" i="129"/>
  <c r="BW46" i="129"/>
  <c r="BW41" i="129"/>
  <c r="BW22" i="129"/>
  <c r="BW30" i="129"/>
  <c r="BW45" i="129"/>
  <c r="BW27" i="129"/>
  <c r="BW49" i="129"/>
  <c r="BW32" i="129"/>
  <c r="BW31" i="129"/>
  <c r="BW44" i="129"/>
  <c r="DH1" i="129"/>
  <c r="DA46" i="129"/>
  <c r="DA50" i="129"/>
  <c r="DA22" i="129"/>
  <c r="DA43" i="129"/>
  <c r="DA62" i="129"/>
  <c r="DA34" i="129"/>
  <c r="DA45" i="129"/>
  <c r="DA49" i="129"/>
  <c r="DA44" i="129"/>
  <c r="DA32" i="129"/>
  <c r="DA25" i="129"/>
  <c r="DA24" i="129"/>
  <c r="DA65" i="129"/>
  <c r="DA20" i="129"/>
  <c r="DA67" i="129"/>
  <c r="DA31" i="129"/>
  <c r="DA56" i="129"/>
  <c r="DA41" i="129"/>
  <c r="DA40" i="129"/>
  <c r="DA59" i="129"/>
  <c r="DA39" i="129"/>
  <c r="DA60" i="129"/>
  <c r="DA51" i="129"/>
  <c r="DA36" i="129"/>
  <c r="DA37" i="129"/>
  <c r="DA66" i="129"/>
  <c r="DA52" i="129"/>
  <c r="DA28" i="129"/>
  <c r="DA33" i="129"/>
  <c r="DA38" i="129"/>
  <c r="DA21" i="129"/>
  <c r="DA48" i="129"/>
  <c r="DA30" i="129"/>
  <c r="DA58" i="129"/>
  <c r="DA57" i="129"/>
  <c r="DA53" i="129"/>
  <c r="DA63" i="129"/>
  <c r="DA27" i="129"/>
  <c r="DA26" i="129"/>
  <c r="DA54" i="129"/>
  <c r="BT1" i="129"/>
  <c r="BM54" i="129"/>
  <c r="BM22" i="129"/>
  <c r="BM26" i="129"/>
  <c r="BM39" i="129"/>
  <c r="BM38" i="129"/>
  <c r="BM24" i="129"/>
  <c r="BM32" i="129"/>
  <c r="BM50" i="129"/>
  <c r="BM67" i="129"/>
  <c r="BM45" i="129"/>
  <c r="BM41" i="129"/>
  <c r="BM43" i="129"/>
  <c r="BM34" i="129"/>
  <c r="BM49" i="129"/>
  <c r="BM31" i="129"/>
  <c r="BM58" i="129"/>
  <c r="BM28" i="129"/>
  <c r="BM30" i="129"/>
  <c r="BM40" i="129"/>
  <c r="BM27" i="129"/>
  <c r="BM21" i="129"/>
  <c r="BM53" i="129"/>
  <c r="BM20" i="129"/>
  <c r="BM25" i="129"/>
  <c r="BM52" i="129"/>
  <c r="BM60" i="129"/>
  <c r="BM48" i="129"/>
  <c r="BM59" i="129"/>
  <c r="BM66" i="129"/>
  <c r="BM57" i="129"/>
  <c r="BM33" i="129"/>
  <c r="BM65" i="129"/>
  <c r="BM56" i="129"/>
  <c r="BM46" i="129"/>
  <c r="BM44" i="129"/>
  <c r="BM36" i="129"/>
  <c r="BM63" i="129"/>
  <c r="BM62" i="129"/>
  <c r="BM37" i="129"/>
  <c r="BM51" i="129"/>
  <c r="AZ1" i="129"/>
  <c r="AS46" i="129"/>
  <c r="AS25" i="129"/>
  <c r="AS56" i="129"/>
  <c r="AS39" i="129"/>
  <c r="AS48" i="129"/>
  <c r="AS51" i="129"/>
  <c r="AS59" i="129"/>
  <c r="AS45" i="129"/>
  <c r="AS50" i="129"/>
  <c r="AS53" i="129"/>
  <c r="AS37" i="129"/>
  <c r="AS40" i="129"/>
  <c r="AS26" i="129"/>
  <c r="AS63" i="129"/>
  <c r="AS38" i="129"/>
  <c r="AS57" i="129"/>
  <c r="AS67" i="129"/>
  <c r="AS44" i="129"/>
  <c r="AS24" i="129"/>
  <c r="AS58" i="129"/>
  <c r="AS20" i="129"/>
  <c r="AS33" i="129"/>
  <c r="AS36" i="129"/>
  <c r="AS34" i="129"/>
  <c r="AS31" i="129"/>
  <c r="AS21" i="129"/>
  <c r="AS62" i="129"/>
  <c r="AS28" i="129"/>
  <c r="AS30" i="129"/>
  <c r="AS41" i="129"/>
  <c r="AS43" i="129"/>
  <c r="AS52" i="129"/>
  <c r="AS32" i="129"/>
  <c r="AS54" i="129"/>
  <c r="AS27" i="129"/>
  <c r="AS22" i="129"/>
  <c r="AS65" i="129"/>
  <c r="AS49" i="129"/>
  <c r="AS60" i="129"/>
  <c r="AS66" i="129"/>
  <c r="CX1" i="129"/>
  <c r="CQ45" i="129"/>
  <c r="CQ51" i="129"/>
  <c r="CQ52" i="129"/>
  <c r="CQ63" i="129"/>
  <c r="CQ34" i="129"/>
  <c r="CQ30" i="129"/>
  <c r="CQ33" i="129"/>
  <c r="CQ31" i="129"/>
  <c r="CQ49" i="129"/>
  <c r="CQ20" i="129"/>
  <c r="CQ67" i="129"/>
  <c r="CQ26" i="129"/>
  <c r="CQ57" i="129"/>
  <c r="CQ58" i="129"/>
  <c r="CQ36" i="129"/>
  <c r="CQ21" i="129"/>
  <c r="CQ62" i="129"/>
  <c r="CQ43" i="129"/>
  <c r="CQ37" i="129"/>
  <c r="CQ39" i="129"/>
  <c r="CQ59" i="129"/>
  <c r="CQ56" i="129"/>
  <c r="CQ38" i="129"/>
  <c r="CQ48" i="129"/>
  <c r="CQ44" i="129"/>
  <c r="CQ54" i="129"/>
  <c r="CQ32" i="129"/>
  <c r="CQ60" i="129"/>
  <c r="CQ28" i="129"/>
  <c r="CQ24" i="129"/>
  <c r="CQ65" i="129"/>
  <c r="CQ41" i="129"/>
  <c r="CQ27" i="129"/>
  <c r="CQ53" i="129"/>
  <c r="CQ25" i="129"/>
  <c r="CQ22" i="129"/>
  <c r="CQ40" i="129"/>
  <c r="CQ50" i="129"/>
  <c r="CQ46" i="129"/>
  <c r="CQ66" i="129"/>
  <c r="L1" i="129"/>
  <c r="E48" i="129"/>
  <c r="E25" i="129"/>
  <c r="E38" i="129"/>
  <c r="E62" i="129"/>
  <c r="E50" i="129"/>
  <c r="E45" i="129"/>
  <c r="E43" i="129"/>
  <c r="E58" i="129"/>
  <c r="E36" i="129"/>
  <c r="E24" i="129"/>
  <c r="E34" i="129"/>
  <c r="E51" i="129"/>
  <c r="E66" i="129"/>
  <c r="E63" i="129"/>
  <c r="E21" i="129"/>
  <c r="E65" i="129"/>
  <c r="E33" i="129"/>
  <c r="E67" i="129"/>
  <c r="E31" i="129"/>
  <c r="E20" i="129"/>
  <c r="E30" i="129"/>
  <c r="E57" i="129"/>
  <c r="E32" i="129"/>
  <c r="E41" i="129"/>
  <c r="E54" i="129"/>
  <c r="E26" i="129"/>
  <c r="E39" i="129"/>
  <c r="E60" i="129"/>
  <c r="E44" i="129"/>
  <c r="E56" i="129"/>
  <c r="E40" i="129"/>
  <c r="E37" i="129"/>
  <c r="E53" i="129"/>
  <c r="E46" i="129"/>
  <c r="E52" i="129"/>
  <c r="E49" i="129"/>
  <c r="E22" i="129"/>
  <c r="E28" i="129"/>
  <c r="E59" i="129"/>
  <c r="E27" i="129"/>
  <c r="CN1" i="129"/>
  <c r="CG63" i="129"/>
  <c r="CG67" i="129"/>
  <c r="CG53" i="129"/>
  <c r="CG25" i="129"/>
  <c r="CG37" i="129"/>
  <c r="CG50" i="129"/>
  <c r="CG62" i="129"/>
  <c r="CG45" i="129"/>
  <c r="CG33" i="129"/>
  <c r="CG66" i="129"/>
  <c r="CG58" i="129"/>
  <c r="CG41" i="129"/>
  <c r="CG28" i="129"/>
  <c r="CG26" i="129"/>
  <c r="CG40" i="129"/>
  <c r="CG57" i="129"/>
  <c r="CG32" i="129"/>
  <c r="CG46" i="129"/>
  <c r="CG27" i="129"/>
  <c r="CG44" i="129"/>
  <c r="CG51" i="129"/>
  <c r="CG30" i="129"/>
  <c r="CG36" i="129"/>
  <c r="CG54" i="129"/>
  <c r="CG38" i="129"/>
  <c r="CG52" i="129"/>
  <c r="CG60" i="129"/>
  <c r="CG39" i="129"/>
  <c r="CG49" i="129"/>
  <c r="CG48" i="129"/>
  <c r="CG20" i="129"/>
  <c r="CG21" i="129"/>
  <c r="CG34" i="129"/>
  <c r="CG59" i="129"/>
  <c r="CG22" i="129"/>
  <c r="CG43" i="129"/>
  <c r="CG31" i="129"/>
  <c r="CG24" i="129"/>
  <c r="CG65" i="129"/>
  <c r="CG56" i="129"/>
  <c r="BJ1" i="129"/>
  <c r="BC63" i="129"/>
  <c r="BC38" i="129"/>
  <c r="BC31" i="129"/>
  <c r="BC30" i="129"/>
  <c r="BC24" i="129"/>
  <c r="BC21" i="129"/>
  <c r="BC41" i="129"/>
  <c r="BC22" i="129"/>
  <c r="BC43" i="129"/>
  <c r="BC59" i="129"/>
  <c r="BC26" i="129"/>
  <c r="BC62" i="129"/>
  <c r="BC28" i="129"/>
  <c r="BC57" i="129"/>
  <c r="BC34" i="129"/>
  <c r="BC67" i="129"/>
  <c r="BC33" i="129"/>
  <c r="BC36" i="129"/>
  <c r="BC46" i="129"/>
  <c r="BC52" i="129"/>
  <c r="BC50" i="129"/>
  <c r="BC44" i="129"/>
  <c r="BC60" i="129"/>
  <c r="BC58" i="129"/>
  <c r="BC65" i="129"/>
  <c r="BC37" i="129"/>
  <c r="BC51" i="129"/>
  <c r="BC54" i="129"/>
  <c r="BC66" i="129"/>
  <c r="BC39" i="129"/>
  <c r="BC53" i="129"/>
  <c r="BC32" i="129"/>
  <c r="BC25" i="129"/>
  <c r="BC40" i="129"/>
  <c r="BC20" i="129"/>
  <c r="BC45" i="129"/>
  <c r="BC49" i="129"/>
  <c r="BC48" i="129"/>
  <c r="BC56" i="129"/>
  <c r="BC27" i="129"/>
  <c r="AI60" i="129"/>
  <c r="AI63" i="129"/>
  <c r="AI67" i="129"/>
  <c r="AI38" i="129"/>
  <c r="AI49" i="129"/>
  <c r="AI43" i="129"/>
  <c r="AI39" i="129"/>
  <c r="AI36" i="129"/>
  <c r="AI37" i="129"/>
  <c r="AI62" i="129"/>
  <c r="AI33" i="129"/>
  <c r="AI46" i="129"/>
  <c r="AI31" i="129"/>
  <c r="AI52" i="129"/>
  <c r="AI59" i="129"/>
  <c r="AI34" i="129"/>
  <c r="AI41" i="129"/>
  <c r="AI56" i="129"/>
  <c r="AI26" i="129"/>
  <c r="AI57" i="129"/>
  <c r="AI51" i="129"/>
  <c r="AI45" i="129"/>
  <c r="AI28" i="129"/>
  <c r="AI21" i="129"/>
  <c r="AI50" i="129"/>
  <c r="AI32" i="129"/>
  <c r="AI40" i="129"/>
  <c r="AI54" i="129"/>
  <c r="AI22" i="129"/>
  <c r="AI30" i="129"/>
  <c r="AI58" i="129"/>
  <c r="AI66" i="129"/>
  <c r="AI53" i="129"/>
  <c r="AI27" i="129"/>
  <c r="AI25" i="129"/>
  <c r="AI24" i="129"/>
  <c r="AI48" i="129"/>
  <c r="AI20" i="129"/>
  <c r="AI44" i="129"/>
  <c r="AI65" i="129"/>
  <c r="E73" i="188"/>
  <c r="E76" i="188"/>
  <c r="J67" i="178"/>
  <c r="J69" i="178" s="1"/>
  <c r="E75" i="188"/>
  <c r="E77" i="188"/>
  <c r="E78" i="188"/>
  <c r="J67" i="186"/>
  <c r="J69" i="186" s="1"/>
  <c r="G67" i="190"/>
  <c r="G69" i="190" s="1"/>
  <c r="E79" i="188"/>
  <c r="E80" i="188"/>
  <c r="E81" i="188"/>
  <c r="E74" i="188"/>
  <c r="V30" i="151"/>
  <c r="E102" i="121" s="1"/>
  <c r="E102" i="124" s="1"/>
  <c r="V52" i="151"/>
  <c r="E124" i="121" s="1"/>
  <c r="E124" i="124" s="1"/>
  <c r="V25" i="151"/>
  <c r="E97" i="121" s="1"/>
  <c r="E97" i="124" s="1"/>
  <c r="V26" i="151"/>
  <c r="E98" i="121" s="1"/>
  <c r="E98" i="124" s="1"/>
  <c r="V65" i="151"/>
  <c r="E137" i="121" s="1"/>
  <c r="E137" i="124" s="1"/>
  <c r="V63" i="151"/>
  <c r="E135" i="121" s="1"/>
  <c r="E135" i="124" s="1"/>
  <c r="V34" i="151"/>
  <c r="E106" i="121" s="1"/>
  <c r="E106" i="124" s="1"/>
  <c r="V29" i="151"/>
  <c r="E101" i="121" s="1"/>
  <c r="E101" i="124" s="1"/>
  <c r="V60" i="151"/>
  <c r="E132" i="121" s="1"/>
  <c r="E132" i="124" s="1"/>
  <c r="V18" i="151"/>
  <c r="E90" i="121" s="1"/>
  <c r="E90" i="124" s="1"/>
  <c r="V47" i="151"/>
  <c r="E119" i="121" s="1"/>
  <c r="E119" i="124" s="1"/>
  <c r="V38" i="151"/>
  <c r="E110" i="121" s="1"/>
  <c r="E110" i="124" s="1"/>
  <c r="V28" i="151"/>
  <c r="E100" i="121" s="1"/>
  <c r="E100" i="124" s="1"/>
  <c r="V31" i="151"/>
  <c r="E103" i="121" s="1"/>
  <c r="E103" i="124" s="1"/>
  <c r="V23" i="151"/>
  <c r="E95" i="121" s="1"/>
  <c r="E95" i="124" s="1"/>
  <c r="V39" i="151"/>
  <c r="E111" i="121" s="1"/>
  <c r="E111" i="124" s="1"/>
  <c r="V19" i="151"/>
  <c r="E91" i="121" s="1"/>
  <c r="E91" i="124" s="1"/>
  <c r="V36" i="151"/>
  <c r="E108" i="121" s="1"/>
  <c r="E108" i="124" s="1"/>
  <c r="V51" i="151"/>
  <c r="E123" i="121" s="1"/>
  <c r="E123" i="124" s="1"/>
  <c r="V37" i="151"/>
  <c r="E109" i="121" s="1"/>
  <c r="E109" i="124" s="1"/>
  <c r="V57" i="151"/>
  <c r="E129" i="121" s="1"/>
  <c r="E129" i="124" s="1"/>
  <c r="V41" i="151"/>
  <c r="E113" i="121" s="1"/>
  <c r="E113" i="124" s="1"/>
  <c r="V58" i="151"/>
  <c r="E130" i="121" s="1"/>
  <c r="E130" i="124" s="1"/>
  <c r="V56" i="151"/>
  <c r="E128" i="121" s="1"/>
  <c r="E128" i="124" s="1"/>
  <c r="V32" i="151"/>
  <c r="E104" i="121" s="1"/>
  <c r="E104" i="124" s="1"/>
  <c r="V46" i="151"/>
  <c r="E118" i="121" s="1"/>
  <c r="E118" i="124" s="1"/>
  <c r="V48" i="151"/>
  <c r="E120" i="121" s="1"/>
  <c r="E120" i="124" s="1"/>
  <c r="D7" i="158"/>
  <c r="J23" i="199" s="1"/>
  <c r="E7" i="158"/>
  <c r="K23" i="199" s="1"/>
  <c r="H7" i="158"/>
  <c r="N23" i="199" s="1"/>
  <c r="G35" i="93"/>
  <c r="D33" i="157" s="1"/>
  <c r="V39" i="153"/>
  <c r="C111" i="121" s="1"/>
  <c r="V18" i="152"/>
  <c r="D90" i="121" s="1"/>
  <c r="V64" i="152"/>
  <c r="D136" i="121" s="1"/>
  <c r="V35" i="152"/>
  <c r="D107" i="121" s="1"/>
  <c r="V49" i="153"/>
  <c r="C121" i="121" s="1"/>
  <c r="V52" i="153"/>
  <c r="C124" i="121" s="1"/>
  <c r="V54" i="152"/>
  <c r="D126" i="121" s="1"/>
  <c r="V36" i="152"/>
  <c r="D108" i="121" s="1"/>
  <c r="G29" i="93"/>
  <c r="D27" i="157" s="1"/>
  <c r="G47" i="93"/>
  <c r="D45" i="157" s="1"/>
  <c r="G39" i="127"/>
  <c r="G19" i="93"/>
  <c r="D17" i="157" s="1"/>
  <c r="V22" i="153"/>
  <c r="C94" i="121" s="1"/>
  <c r="V34" i="153"/>
  <c r="C106" i="121" s="1"/>
  <c r="V56" i="153"/>
  <c r="C128" i="121" s="1"/>
  <c r="V36" i="153"/>
  <c r="C108" i="121" s="1"/>
  <c r="V22" i="152"/>
  <c r="D94" i="121" s="1"/>
  <c r="V52" i="152"/>
  <c r="D124" i="121" s="1"/>
  <c r="V57" i="152"/>
  <c r="D129" i="121" s="1"/>
  <c r="V25" i="152"/>
  <c r="D97" i="121" s="1"/>
  <c r="V31" i="153"/>
  <c r="C103" i="121" s="1"/>
  <c r="V48" i="153"/>
  <c r="C120" i="121" s="1"/>
  <c r="V50" i="153"/>
  <c r="C122" i="121" s="1"/>
  <c r="V60" i="153"/>
  <c r="C132" i="121" s="1"/>
  <c r="V29" i="152"/>
  <c r="D101" i="121" s="1"/>
  <c r="V47" i="153"/>
  <c r="C119" i="121" s="1"/>
  <c r="V19" i="153"/>
  <c r="C91" i="121" s="1"/>
  <c r="V46" i="153"/>
  <c r="C118" i="121" s="1"/>
  <c r="V28" i="152"/>
  <c r="D100" i="121" s="1"/>
  <c r="V37" i="152"/>
  <c r="D109" i="121" s="1"/>
  <c r="V32" i="152"/>
  <c r="D104" i="121" s="1"/>
  <c r="V28" i="153"/>
  <c r="C100" i="121" s="1"/>
  <c r="V35" i="153"/>
  <c r="C107" i="121" s="1"/>
  <c r="V32" i="153"/>
  <c r="C104" i="121" s="1"/>
  <c r="V41" i="153"/>
  <c r="C113" i="121" s="1"/>
  <c r="V48" i="152"/>
  <c r="D120" i="121" s="1"/>
  <c r="V38" i="152"/>
  <c r="D110" i="121" s="1"/>
  <c r="V31" i="152"/>
  <c r="D103" i="121" s="1"/>
  <c r="V50" i="152"/>
  <c r="D122" i="121" s="1"/>
  <c r="V30" i="152"/>
  <c r="D102" i="121" s="1"/>
  <c r="V55" i="153"/>
  <c r="C127" i="121" s="1"/>
  <c r="V24" i="153"/>
  <c r="C96" i="121" s="1"/>
  <c r="V46" i="152"/>
  <c r="D118" i="121" s="1"/>
  <c r="G23" i="93"/>
  <c r="D21" i="157" s="1"/>
  <c r="D19" i="157"/>
  <c r="V19" i="157" s="1"/>
  <c r="E67" i="185"/>
  <c r="E69" i="185" s="1"/>
  <c r="K17" i="111"/>
  <c r="V58" i="152"/>
  <c r="D130" i="121" s="1"/>
  <c r="V58" i="153"/>
  <c r="C130" i="121" s="1"/>
  <c r="V38" i="153"/>
  <c r="C110" i="121" s="1"/>
  <c r="V54" i="153"/>
  <c r="C126" i="121" s="1"/>
  <c r="V43" i="152"/>
  <c r="D115" i="121" s="1"/>
  <c r="V39" i="152"/>
  <c r="D111" i="121" s="1"/>
  <c r="V65" i="152"/>
  <c r="D137" i="121" s="1"/>
  <c r="V55" i="152"/>
  <c r="D127" i="121" s="1"/>
  <c r="V51" i="153"/>
  <c r="C123" i="121" s="1"/>
  <c r="V43" i="153"/>
  <c r="C115" i="121" s="1"/>
  <c r="V23" i="153"/>
  <c r="C95" i="121" s="1"/>
  <c r="V60" i="152"/>
  <c r="D132" i="121" s="1"/>
  <c r="V25" i="153"/>
  <c r="C97" i="121" s="1"/>
  <c r="V34" i="152"/>
  <c r="D106" i="121" s="1"/>
  <c r="V41" i="152"/>
  <c r="D113" i="121" s="1"/>
  <c r="V19" i="152"/>
  <c r="D91" i="121" s="1"/>
  <c r="H69" i="158"/>
  <c r="V61" i="153"/>
  <c r="C133" i="121" s="1"/>
  <c r="V49" i="152"/>
  <c r="D121" i="121" s="1"/>
  <c r="V56" i="152"/>
  <c r="D128" i="121" s="1"/>
  <c r="V63" i="152"/>
  <c r="D135" i="121" s="1"/>
  <c r="V18" i="153"/>
  <c r="C90" i="121" s="1"/>
  <c r="V65" i="153"/>
  <c r="C137" i="121" s="1"/>
  <c r="V20" i="153"/>
  <c r="C92" i="121" s="1"/>
  <c r="V37" i="153"/>
  <c r="C109" i="121" s="1"/>
  <c r="V57" i="153"/>
  <c r="C129" i="121" s="1"/>
  <c r="V44" i="152"/>
  <c r="D116" i="121" s="1"/>
  <c r="V23" i="152"/>
  <c r="D95" i="121" s="1"/>
  <c r="V64" i="153"/>
  <c r="C136" i="121" s="1"/>
  <c r="V63" i="153"/>
  <c r="C135" i="121" s="1"/>
  <c r="V26" i="152"/>
  <c r="D98" i="121" s="1"/>
  <c r="V30" i="153"/>
  <c r="C102" i="121" s="1"/>
  <c r="V44" i="153"/>
  <c r="C116" i="121" s="1"/>
  <c r="V42" i="152"/>
  <c r="D114" i="121" s="1"/>
  <c r="V24" i="152"/>
  <c r="D96" i="121" s="1"/>
  <c r="V61" i="152"/>
  <c r="D133" i="121" s="1"/>
  <c r="V51" i="152"/>
  <c r="D123" i="121" s="1"/>
  <c r="V42" i="153"/>
  <c r="C114" i="121" s="1"/>
  <c r="V26" i="153"/>
  <c r="C98" i="121" s="1"/>
  <c r="V29" i="153"/>
  <c r="C101" i="121" s="1"/>
  <c r="AP1" i="129"/>
  <c r="AK40" i="129"/>
  <c r="AK41" i="129"/>
  <c r="AK45" i="129"/>
  <c r="AK28" i="129"/>
  <c r="AK58" i="129"/>
  <c r="AK32" i="129"/>
  <c r="AK53" i="129"/>
  <c r="AK21" i="129"/>
  <c r="AK22" i="129"/>
  <c r="AK46" i="129"/>
  <c r="AK65" i="129"/>
  <c r="AK54" i="129"/>
  <c r="AK39" i="129"/>
  <c r="AK33" i="129"/>
  <c r="AK50" i="129"/>
  <c r="AK25" i="129"/>
  <c r="AK52" i="129"/>
  <c r="AK66" i="129"/>
  <c r="AK49" i="129"/>
  <c r="AK51" i="129"/>
  <c r="AK56" i="129"/>
  <c r="AK26" i="129"/>
  <c r="AK60" i="129"/>
  <c r="AK34" i="129"/>
  <c r="AK57" i="129"/>
  <c r="AK31" i="129"/>
  <c r="AK30" i="129"/>
  <c r="AK62" i="129"/>
  <c r="AK43" i="129"/>
  <c r="AK27" i="129"/>
  <c r="AK37" i="129"/>
  <c r="AK24" i="129"/>
  <c r="AK63" i="129"/>
  <c r="AK59" i="129"/>
  <c r="AK44" i="129"/>
  <c r="AK48" i="129"/>
  <c r="AK36" i="129"/>
  <c r="AK38" i="129"/>
  <c r="G54" i="127"/>
  <c r="D52" i="157"/>
  <c r="Y4" i="114"/>
  <c r="I38" i="93" s="1"/>
  <c r="AB28" i="114"/>
  <c r="AC88" i="114"/>
  <c r="Z16" i="114"/>
  <c r="Z6" i="114"/>
  <c r="AB94" i="114"/>
  <c r="AB95" i="114"/>
  <c r="AA35" i="114"/>
  <c r="DC24" i="129"/>
  <c r="DE58" i="129"/>
  <c r="DC46" i="129"/>
  <c r="DC32" i="129"/>
  <c r="DE65" i="129"/>
  <c r="DE26" i="129"/>
  <c r="DC67" i="129"/>
  <c r="DE59" i="129"/>
  <c r="DC49" i="129"/>
  <c r="DE38" i="129"/>
  <c r="DE60" i="129"/>
  <c r="DE31" i="129"/>
  <c r="DE27" i="129"/>
  <c r="DC36" i="129"/>
  <c r="DC39" i="129"/>
  <c r="DE33" i="129"/>
  <c r="DC52" i="129"/>
  <c r="DC28" i="129"/>
  <c r="DE41" i="129"/>
  <c r="DC37" i="129"/>
  <c r="DC53" i="129"/>
  <c r="DC66" i="129"/>
  <c r="DE46" i="129"/>
  <c r="DE32" i="129"/>
  <c r="DC40" i="129"/>
  <c r="DE67" i="129"/>
  <c r="DE49" i="129"/>
  <c r="DC60" i="129"/>
  <c r="DC20" i="129"/>
  <c r="DE36" i="129"/>
  <c r="DE52" i="129"/>
  <c r="DE28" i="129"/>
  <c r="DE44" i="129"/>
  <c r="DC58" i="129"/>
  <c r="DC65" i="129"/>
  <c r="DC26" i="129"/>
  <c r="DE54" i="129"/>
  <c r="DC59" i="129"/>
  <c r="DE30" i="129"/>
  <c r="DC38" i="129"/>
  <c r="DE34" i="129"/>
  <c r="DE56" i="129"/>
  <c r="DC31" i="129"/>
  <c r="DC27" i="129"/>
  <c r="DC50" i="129"/>
  <c r="DC57" i="129"/>
  <c r="DE21" i="129"/>
  <c r="DC33" i="129"/>
  <c r="DC41" i="129"/>
  <c r="DE25" i="129"/>
  <c r="DE53" i="129"/>
  <c r="DE51" i="129"/>
  <c r="DE24" i="129"/>
  <c r="DC43" i="129"/>
  <c r="DC48" i="129"/>
  <c r="DC63" i="129"/>
  <c r="DE37" i="129"/>
  <c r="DC44" i="129"/>
  <c r="DE66" i="129"/>
  <c r="DE40" i="129"/>
  <c r="DC54" i="129"/>
  <c r="DC30" i="129"/>
  <c r="DC34" i="129"/>
  <c r="DE20" i="129"/>
  <c r="DE43" i="129"/>
  <c r="DC56" i="129"/>
  <c r="DE48" i="129"/>
  <c r="DE63" i="129"/>
  <c r="DE50" i="129"/>
  <c r="DE57" i="129"/>
  <c r="DC62" i="129"/>
  <c r="DE22" i="129"/>
  <c r="DC21" i="129"/>
  <c r="DE45" i="129"/>
  <c r="DC25" i="129"/>
  <c r="DC51" i="129"/>
  <c r="DE62" i="129"/>
  <c r="DC22" i="129"/>
  <c r="DE39" i="129"/>
  <c r="DC45" i="129"/>
  <c r="CI44" i="129"/>
  <c r="CK63" i="129"/>
  <c r="CK33" i="129"/>
  <c r="CK49" i="129"/>
  <c r="CK57" i="129"/>
  <c r="CI37" i="129"/>
  <c r="CK56" i="129"/>
  <c r="CI36" i="129"/>
  <c r="CI32" i="129"/>
  <c r="CI66" i="129"/>
  <c r="CK62" i="129"/>
  <c r="CK41" i="129"/>
  <c r="CK20" i="129"/>
  <c r="CI54" i="129"/>
  <c r="CK31" i="129"/>
  <c r="CI22" i="129"/>
  <c r="CK58" i="129"/>
  <c r="CK44" i="129"/>
  <c r="CI52" i="129"/>
  <c r="CI50" i="129"/>
  <c r="CK27" i="129"/>
  <c r="CI26" i="129"/>
  <c r="CK37" i="129"/>
  <c r="CK36" i="129"/>
  <c r="CK32" i="129"/>
  <c r="CK66" i="129"/>
  <c r="CI30" i="129"/>
  <c r="CI45" i="129"/>
  <c r="CK51" i="129"/>
  <c r="CI28" i="129"/>
  <c r="CI43" i="129"/>
  <c r="CI46" i="129"/>
  <c r="CI31" i="129"/>
  <c r="CK22" i="129"/>
  <c r="CK24" i="129"/>
  <c r="CI58" i="129"/>
  <c r="CK65" i="129"/>
  <c r="CK52" i="129"/>
  <c r="CK34" i="129"/>
  <c r="CI59" i="129"/>
  <c r="CK50" i="129"/>
  <c r="CI27" i="129"/>
  <c r="CI38" i="129"/>
  <c r="CK26" i="129"/>
  <c r="CI48" i="129"/>
  <c r="CI60" i="129"/>
  <c r="CI40" i="129"/>
  <c r="CI21" i="129"/>
  <c r="CI53" i="129"/>
  <c r="CK30" i="129"/>
  <c r="CI25" i="129"/>
  <c r="CI39" i="129"/>
  <c r="CI67" i="129"/>
  <c r="CK45" i="129"/>
  <c r="CI51" i="129"/>
  <c r="CK28" i="129"/>
  <c r="CK43" i="129"/>
  <c r="CK46" i="129"/>
  <c r="CI24" i="129"/>
  <c r="CI65" i="129"/>
  <c r="CI63" i="129"/>
  <c r="CI33" i="129"/>
  <c r="CI34" i="129"/>
  <c r="CK59" i="129"/>
  <c r="CI49" i="129"/>
  <c r="CK38" i="129"/>
  <c r="CI57" i="129"/>
  <c r="CK48" i="129"/>
  <c r="CI56" i="129"/>
  <c r="CK60" i="129"/>
  <c r="CK40" i="129"/>
  <c r="CK21" i="129"/>
  <c r="CI62" i="129"/>
  <c r="CK53" i="129"/>
  <c r="CK25" i="129"/>
  <c r="CI41" i="129"/>
  <c r="CI20" i="129"/>
  <c r="CK54" i="129"/>
  <c r="CK39" i="129"/>
  <c r="CK67" i="129"/>
  <c r="BO26" i="129"/>
  <c r="BQ49" i="129"/>
  <c r="BQ20" i="129"/>
  <c r="BQ46" i="129"/>
  <c r="BQ67" i="129"/>
  <c r="BO25" i="129"/>
  <c r="BO57" i="129"/>
  <c r="BQ65" i="129"/>
  <c r="BQ60" i="129"/>
  <c r="BO32" i="129"/>
  <c r="BO22" i="129"/>
  <c r="BQ31" i="129"/>
  <c r="BQ53" i="129"/>
  <c r="BO52" i="129"/>
  <c r="BQ56" i="129"/>
  <c r="BO34" i="129"/>
  <c r="BO63" i="129"/>
  <c r="BO21" i="129"/>
  <c r="BQ58" i="129"/>
  <c r="BQ24" i="129"/>
  <c r="BQ40" i="129"/>
  <c r="BO30" i="129"/>
  <c r="BQ44" i="129"/>
  <c r="BQ45" i="129"/>
  <c r="BO38" i="129"/>
  <c r="BO49" i="129"/>
  <c r="BQ25" i="129"/>
  <c r="BQ28" i="129"/>
  <c r="BO65" i="129"/>
  <c r="BO60" i="129"/>
  <c r="BO31" i="129"/>
  <c r="BO53" i="129"/>
  <c r="BO56" i="129"/>
  <c r="BQ54" i="129"/>
  <c r="BO24" i="129"/>
  <c r="BO43" i="129"/>
  <c r="BO40" i="129"/>
  <c r="BO44" i="129"/>
  <c r="BQ59" i="129"/>
  <c r="BQ62" i="129"/>
  <c r="BO45" i="129"/>
  <c r="BQ33" i="129"/>
  <c r="BQ48" i="129"/>
  <c r="BO39" i="129"/>
  <c r="BQ41" i="129"/>
  <c r="BO28" i="129"/>
  <c r="BQ37" i="129"/>
  <c r="BQ50" i="129"/>
  <c r="BO54" i="129"/>
  <c r="BQ51" i="129"/>
  <c r="BQ43" i="129"/>
  <c r="BO36" i="129"/>
  <c r="BO59" i="129"/>
  <c r="BO62" i="129"/>
  <c r="BO66" i="129"/>
  <c r="BO33" i="129"/>
  <c r="BQ27" i="129"/>
  <c r="BQ26" i="129"/>
  <c r="BO20" i="129"/>
  <c r="BO48" i="129"/>
  <c r="BO46" i="129"/>
  <c r="BQ39" i="129"/>
  <c r="BO67" i="129"/>
  <c r="BQ57" i="129"/>
  <c r="BO41" i="129"/>
  <c r="BQ32" i="129"/>
  <c r="BQ22" i="129"/>
  <c r="BQ52" i="129"/>
  <c r="BO37" i="129"/>
  <c r="BQ34" i="129"/>
  <c r="BQ63" i="129"/>
  <c r="BO50" i="129"/>
  <c r="BQ21" i="129"/>
  <c r="BO58" i="129"/>
  <c r="BO51" i="129"/>
  <c r="BQ30" i="129"/>
  <c r="BQ36" i="129"/>
  <c r="BQ38" i="129"/>
  <c r="BQ66" i="129"/>
  <c r="BO27" i="129"/>
  <c r="BE37" i="129"/>
  <c r="BG63" i="129"/>
  <c r="BE59" i="129"/>
  <c r="BG31" i="129"/>
  <c r="BE41" i="129"/>
  <c r="BE25" i="129"/>
  <c r="BG30" i="129"/>
  <c r="BE34" i="129"/>
  <c r="BE32" i="129"/>
  <c r="BG21" i="129"/>
  <c r="BE67" i="129"/>
  <c r="BE45" i="129"/>
  <c r="BE40" i="129"/>
  <c r="BG58" i="129"/>
  <c r="BE49" i="129"/>
  <c r="BG24" i="129"/>
  <c r="BE27" i="129"/>
  <c r="BG56" i="129"/>
  <c r="BE36" i="129"/>
  <c r="BG62" i="129"/>
  <c r="BG51" i="129"/>
  <c r="BE63" i="129"/>
  <c r="BG46" i="129"/>
  <c r="BE31" i="129"/>
  <c r="BE22" i="129"/>
  <c r="BG39" i="129"/>
  <c r="BG44" i="129"/>
  <c r="BG41" i="129"/>
  <c r="BG43" i="129"/>
  <c r="BE66" i="129"/>
  <c r="BE38" i="129"/>
  <c r="BE30" i="129"/>
  <c r="BG28" i="129"/>
  <c r="BG26" i="129"/>
  <c r="BE21" i="129"/>
  <c r="BG45" i="129"/>
  <c r="BE52" i="129"/>
  <c r="BE58" i="129"/>
  <c r="BE24" i="129"/>
  <c r="BE56" i="129"/>
  <c r="BE62" i="129"/>
  <c r="BE51" i="129"/>
  <c r="BG54" i="129"/>
  <c r="BE46" i="129"/>
  <c r="BG65" i="129"/>
  <c r="BG22" i="129"/>
  <c r="BG50" i="129"/>
  <c r="BE39" i="129"/>
  <c r="BG48" i="129"/>
  <c r="BE44" i="129"/>
  <c r="BG60" i="129"/>
  <c r="BE43" i="129"/>
  <c r="BG20" i="129"/>
  <c r="BG66" i="129"/>
  <c r="BG38" i="129"/>
  <c r="BE28" i="129"/>
  <c r="BE26" i="129"/>
  <c r="BE57" i="129"/>
  <c r="BG52" i="129"/>
  <c r="BG53" i="129"/>
  <c r="BG33" i="129"/>
  <c r="BG37" i="129"/>
  <c r="BG59" i="129"/>
  <c r="BE54" i="129"/>
  <c r="BE65" i="129"/>
  <c r="BE50" i="129"/>
  <c r="BE48" i="129"/>
  <c r="BE60" i="129"/>
  <c r="BG25" i="129"/>
  <c r="BE20" i="129"/>
  <c r="BG34" i="129"/>
  <c r="BG32" i="129"/>
  <c r="BG67" i="129"/>
  <c r="BG57" i="129"/>
  <c r="BG40" i="129"/>
  <c r="BG49" i="129"/>
  <c r="BE53" i="129"/>
  <c r="BE33" i="129"/>
  <c r="BG27" i="129"/>
  <c r="BG36" i="129"/>
  <c r="CS44" i="129"/>
  <c r="CS46" i="129"/>
  <c r="CU30" i="129"/>
  <c r="CU43" i="129"/>
  <c r="CU21" i="129"/>
  <c r="CS33" i="129"/>
  <c r="CU37" i="129"/>
  <c r="CS26" i="129"/>
  <c r="CU34" i="129"/>
  <c r="CU60" i="129"/>
  <c r="CS65" i="129"/>
  <c r="CS31" i="129"/>
  <c r="CU56" i="129"/>
  <c r="CS66" i="129"/>
  <c r="CS28" i="129"/>
  <c r="CU63" i="129"/>
  <c r="CU57" i="129"/>
  <c r="CS62" i="129"/>
  <c r="CS32" i="129"/>
  <c r="CU51" i="129"/>
  <c r="CS45" i="129"/>
  <c r="CU46" i="129"/>
  <c r="CS37" i="129"/>
  <c r="CS58" i="129"/>
  <c r="CS59" i="129"/>
  <c r="CU65" i="129"/>
  <c r="CU32" i="129"/>
  <c r="CU44" i="129"/>
  <c r="CU49" i="129"/>
  <c r="CU53" i="129"/>
  <c r="CS43" i="129"/>
  <c r="CS21" i="129"/>
  <c r="CU33" i="129"/>
  <c r="CU26" i="129"/>
  <c r="CS34" i="129"/>
  <c r="CU38" i="129"/>
  <c r="CU25" i="129"/>
  <c r="CS60" i="129"/>
  <c r="CU50" i="129"/>
  <c r="CU20" i="129"/>
  <c r="CS56" i="129"/>
  <c r="CU67" i="129"/>
  <c r="CU52" i="129"/>
  <c r="CU39" i="129"/>
  <c r="CS63" i="129"/>
  <c r="CU22" i="129"/>
  <c r="CS57" i="129"/>
  <c r="CU36" i="129"/>
  <c r="CS51" i="129"/>
  <c r="CU66" i="129"/>
  <c r="CU28" i="129"/>
  <c r="CU62" i="129"/>
  <c r="CU45" i="129"/>
  <c r="CS49" i="129"/>
  <c r="CS53" i="129"/>
  <c r="CU24" i="129"/>
  <c r="CU48" i="129"/>
  <c r="CU54" i="129"/>
  <c r="CU58" i="129"/>
  <c r="CU59" i="129"/>
  <c r="CS38" i="129"/>
  <c r="CS25" i="129"/>
  <c r="CS50" i="129"/>
  <c r="CS20" i="129"/>
  <c r="CS67" i="129"/>
  <c r="CS52" i="129"/>
  <c r="CS39" i="129"/>
  <c r="CS22" i="129"/>
  <c r="CU41" i="129"/>
  <c r="CS36" i="129"/>
  <c r="CU27" i="129"/>
  <c r="CS40" i="129"/>
  <c r="CS30" i="129"/>
  <c r="CS24" i="129"/>
  <c r="CS48" i="129"/>
  <c r="CS54" i="129"/>
  <c r="CU31" i="129"/>
  <c r="CS41" i="129"/>
  <c r="CS27" i="129"/>
  <c r="CU40" i="129"/>
  <c r="AM26" i="129"/>
  <c r="AM51" i="129"/>
  <c r="AM56" i="129"/>
  <c r="AM40" i="129"/>
  <c r="AM59" i="129"/>
  <c r="AM65" i="129"/>
  <c r="AM49" i="129"/>
  <c r="AK67" i="129"/>
  <c r="AM32" i="129"/>
  <c r="AK20" i="129"/>
  <c r="AM24" i="129"/>
  <c r="AM44" i="129"/>
  <c r="AM46" i="129"/>
  <c r="AM39" i="129"/>
  <c r="AM48" i="129"/>
  <c r="AM57" i="129"/>
  <c r="AM37" i="129"/>
  <c r="AM41" i="129"/>
  <c r="AM60" i="129"/>
  <c r="AM27" i="129"/>
  <c r="AM67" i="129"/>
  <c r="AM20" i="129"/>
  <c r="AM21" i="129"/>
  <c r="AM31" i="129"/>
  <c r="AM30" i="129"/>
  <c r="AM66" i="129"/>
  <c r="AM33" i="129"/>
  <c r="AM63" i="129"/>
  <c r="AM25" i="129"/>
  <c r="AM28" i="129"/>
  <c r="AM34" i="129"/>
  <c r="AM62" i="129"/>
  <c r="AM58" i="129"/>
  <c r="AM54" i="129"/>
  <c r="AM52" i="129"/>
  <c r="AM43" i="129"/>
  <c r="AM22" i="129"/>
  <c r="AM38" i="129"/>
  <c r="AM50" i="129"/>
  <c r="AM36" i="129"/>
  <c r="AM45" i="129"/>
  <c r="AM53" i="129"/>
  <c r="AW30" i="129"/>
  <c r="AU32" i="129"/>
  <c r="AW58" i="129"/>
  <c r="AU45" i="129"/>
  <c r="AU37" i="129"/>
  <c r="AU33" i="129"/>
  <c r="AU20" i="129"/>
  <c r="AW40" i="129"/>
  <c r="AU28" i="129"/>
  <c r="AW54" i="129"/>
  <c r="AU38" i="129"/>
  <c r="AU48" i="129"/>
  <c r="AU65" i="129"/>
  <c r="AU66" i="129"/>
  <c r="AU63" i="129"/>
  <c r="AU39" i="129"/>
  <c r="AW49" i="129"/>
  <c r="AU53" i="129"/>
  <c r="AU60" i="129"/>
  <c r="AU36" i="129"/>
  <c r="AU59" i="129"/>
  <c r="AW52" i="129"/>
  <c r="AW32" i="129"/>
  <c r="AU62" i="129"/>
  <c r="AU58" i="129"/>
  <c r="AU22" i="129"/>
  <c r="AW37" i="129"/>
  <c r="AU51" i="129"/>
  <c r="AW67" i="129"/>
  <c r="AU41" i="129"/>
  <c r="AU40" i="129"/>
  <c r="AW28" i="129"/>
  <c r="AW38" i="129"/>
  <c r="AU57" i="129"/>
  <c r="AW48" i="129"/>
  <c r="AU56" i="129"/>
  <c r="AW43" i="129"/>
  <c r="AW63" i="129"/>
  <c r="AW46" i="129"/>
  <c r="AU31" i="129"/>
  <c r="AU21" i="129"/>
  <c r="AW25" i="129"/>
  <c r="AW26" i="129"/>
  <c r="AW53" i="129"/>
  <c r="AW60" i="129"/>
  <c r="AU30" i="129"/>
  <c r="AW62" i="129"/>
  <c r="AW33" i="129"/>
  <c r="AW51" i="129"/>
  <c r="AW20" i="129"/>
  <c r="AU27" i="129"/>
  <c r="AU44" i="129"/>
  <c r="AW41" i="129"/>
  <c r="AU24" i="129"/>
  <c r="AW57" i="129"/>
  <c r="AU43" i="129"/>
  <c r="AU34" i="129"/>
  <c r="AW66" i="129"/>
  <c r="AU46" i="129"/>
  <c r="AW31" i="129"/>
  <c r="AW21" i="129"/>
  <c r="AU25" i="129"/>
  <c r="AU49" i="129"/>
  <c r="AW59" i="129"/>
  <c r="AU50" i="129"/>
  <c r="AU52" i="129"/>
  <c r="AW45" i="129"/>
  <c r="AW22" i="129"/>
  <c r="AW27" i="129"/>
  <c r="AU67" i="129"/>
  <c r="AW44" i="129"/>
  <c r="AU54" i="129"/>
  <c r="AW24" i="129"/>
  <c r="AW65" i="129"/>
  <c r="AW56" i="129"/>
  <c r="AW34" i="129"/>
  <c r="AW39" i="129"/>
  <c r="AU26" i="129"/>
  <c r="AW36" i="129"/>
  <c r="AW50" i="129"/>
  <c r="V6" i="129"/>
  <c r="BY33" i="129"/>
  <c r="BY66" i="129"/>
  <c r="BY62" i="129"/>
  <c r="BY36" i="129"/>
  <c r="BY44" i="129"/>
  <c r="BY21" i="129"/>
  <c r="BY59" i="129"/>
  <c r="CA38" i="129"/>
  <c r="BY51" i="129"/>
  <c r="CA39" i="129"/>
  <c r="CA52" i="129"/>
  <c r="CA32" i="129"/>
  <c r="BY54" i="129"/>
  <c r="CA22" i="129"/>
  <c r="CA49" i="129"/>
  <c r="CA30" i="129"/>
  <c r="BY24" i="129"/>
  <c r="BY40" i="129"/>
  <c r="CA33" i="129"/>
  <c r="BY43" i="129"/>
  <c r="CA62" i="129"/>
  <c r="CA45" i="129"/>
  <c r="CA36" i="129"/>
  <c r="BY34" i="129"/>
  <c r="CA44" i="129"/>
  <c r="BY26" i="129"/>
  <c r="CA21" i="129"/>
  <c r="CA59" i="129"/>
  <c r="BY38" i="129"/>
  <c r="CA51" i="129"/>
  <c r="BY53" i="129"/>
  <c r="BY27" i="129"/>
  <c r="CA56" i="129"/>
  <c r="BY58" i="129"/>
  <c r="BY52" i="129"/>
  <c r="BY46" i="129"/>
  <c r="CA41" i="129"/>
  <c r="CA54" i="129"/>
  <c r="BY22" i="129"/>
  <c r="BY50" i="129"/>
  <c r="BY49" i="129"/>
  <c r="BY67" i="129"/>
  <c r="CA24" i="129"/>
  <c r="CA40" i="129"/>
  <c r="CA43" i="129"/>
  <c r="BY37" i="129"/>
  <c r="CA34" i="129"/>
  <c r="BY28" i="129"/>
  <c r="CA26" i="129"/>
  <c r="BY25" i="129"/>
  <c r="BY63" i="129"/>
  <c r="BY48" i="129"/>
  <c r="BY65" i="129"/>
  <c r="CA53" i="129"/>
  <c r="CA57" i="129"/>
  <c r="CA27" i="129"/>
  <c r="BY31" i="129"/>
  <c r="BY56" i="129"/>
  <c r="CA58" i="129"/>
  <c r="BY20" i="129"/>
  <c r="CA46" i="129"/>
  <c r="BY41" i="129"/>
  <c r="BY60" i="129"/>
  <c r="CA50" i="129"/>
  <c r="CA67" i="129"/>
  <c r="CA66" i="129"/>
  <c r="BY45" i="129"/>
  <c r="CA37" i="129"/>
  <c r="CA28" i="129"/>
  <c r="CA25" i="129"/>
  <c r="CA63" i="129"/>
  <c r="CA48" i="129"/>
  <c r="CA65" i="129"/>
  <c r="BY57" i="129"/>
  <c r="CA31" i="129"/>
  <c r="BY39" i="129"/>
  <c r="CA20" i="129"/>
  <c r="BY32" i="129"/>
  <c r="CA60" i="129"/>
  <c r="BY30" i="129"/>
  <c r="G21" i="129"/>
  <c r="I21" i="129"/>
  <c r="I34" i="129"/>
  <c r="I26" i="129"/>
  <c r="G57" i="129"/>
  <c r="I56" i="129"/>
  <c r="G53" i="129"/>
  <c r="I28" i="129"/>
  <c r="I67" i="129"/>
  <c r="I66" i="129"/>
  <c r="G20" i="129"/>
  <c r="G44" i="129"/>
  <c r="I36" i="129"/>
  <c r="I27" i="129"/>
  <c r="G62" i="129"/>
  <c r="G32" i="129"/>
  <c r="G43" i="129"/>
  <c r="I25" i="129"/>
  <c r="I38" i="129"/>
  <c r="G34" i="129"/>
  <c r="I53" i="129"/>
  <c r="I30" i="129"/>
  <c r="I54" i="129"/>
  <c r="I33" i="129"/>
  <c r="I51" i="129"/>
  <c r="I37" i="129"/>
  <c r="I57" i="129"/>
  <c r="I22" i="129"/>
  <c r="I52" i="129"/>
  <c r="I31" i="129"/>
  <c r="G45" i="129"/>
  <c r="G67" i="129"/>
  <c r="G46" i="129"/>
  <c r="I20" i="129"/>
  <c r="G49" i="129"/>
  <c r="G60" i="129"/>
  <c r="I58" i="129"/>
  <c r="G36" i="129"/>
  <c r="I62" i="129"/>
  <c r="I32" i="129"/>
  <c r="G65" i="129"/>
  <c r="G38" i="129"/>
  <c r="G59" i="129"/>
  <c r="I24" i="129"/>
  <c r="G26" i="129"/>
  <c r="G28" i="129"/>
  <c r="G66" i="129"/>
  <c r="I40" i="129"/>
  <c r="I44" i="129"/>
  <c r="I43" i="129"/>
  <c r="G51" i="129"/>
  <c r="G37" i="129"/>
  <c r="G22" i="129"/>
  <c r="I41" i="129"/>
  <c r="G52" i="129"/>
  <c r="G48" i="129"/>
  <c r="G31" i="129"/>
  <c r="I45" i="129"/>
  <c r="I46" i="129"/>
  <c r="G40" i="129"/>
  <c r="G30" i="129"/>
  <c r="I49" i="129"/>
  <c r="G50" i="129"/>
  <c r="I60" i="129"/>
  <c r="G58" i="129"/>
  <c r="G54" i="129"/>
  <c r="I65" i="129"/>
  <c r="G39" i="129"/>
  <c r="I59" i="129"/>
  <c r="G33" i="129"/>
  <c r="G24" i="129"/>
  <c r="G63" i="129"/>
  <c r="G56" i="129"/>
  <c r="G41" i="129"/>
  <c r="I48" i="129"/>
  <c r="I50" i="129"/>
  <c r="G27" i="129"/>
  <c r="G25" i="129"/>
  <c r="I39" i="129"/>
  <c r="I63" i="129"/>
  <c r="E112" i="190"/>
  <c r="EK47" i="129"/>
  <c r="EK13" i="129" s="1"/>
  <c r="E107" i="190"/>
  <c r="EK42" i="129"/>
  <c r="EK12" i="129" s="1"/>
  <c r="E126" i="190"/>
  <c r="EK61" i="129"/>
  <c r="EK15" i="129" s="1"/>
  <c r="E120" i="190"/>
  <c r="EK55" i="129"/>
  <c r="EK14" i="129" s="1"/>
  <c r="E129" i="190"/>
  <c r="EK64" i="129"/>
  <c r="EK16" i="129" s="1"/>
  <c r="AC54" i="114"/>
  <c r="AD114" i="114"/>
  <c r="AA37" i="114"/>
  <c r="AB97" i="114"/>
  <c r="AA21" i="114"/>
  <c r="AB81" i="114"/>
  <c r="AA40" i="114"/>
  <c r="AB100" i="114"/>
  <c r="AA20" i="114"/>
  <c r="AB80" i="114"/>
  <c r="AB82" i="114"/>
  <c r="AA23" i="114"/>
  <c r="AB83" i="114"/>
  <c r="AB91" i="114"/>
  <c r="AA31" i="114"/>
  <c r="AA25" i="114"/>
  <c r="AB85" i="114"/>
  <c r="AA39" i="114"/>
  <c r="AB99" i="114"/>
  <c r="J112" i="194"/>
  <c r="S47" i="112"/>
  <c r="J94" i="194"/>
  <c r="S29" i="112"/>
  <c r="J126" i="194"/>
  <c r="S61" i="112"/>
  <c r="J107" i="194"/>
  <c r="S42" i="112"/>
  <c r="J120" i="194"/>
  <c r="S55" i="112"/>
  <c r="J88" i="194"/>
  <c r="S23" i="112"/>
  <c r="J129" i="194"/>
  <c r="S64" i="112"/>
  <c r="J84" i="194"/>
  <c r="S19" i="112"/>
  <c r="J100" i="194"/>
  <c r="S35" i="112"/>
  <c r="AD27" i="114"/>
  <c r="AE87" i="114"/>
  <c r="AF87" i="114" s="1"/>
  <c r="AB33" i="114"/>
  <c r="AC93" i="114"/>
  <c r="AB26" i="114"/>
  <c r="AC86" i="114"/>
  <c r="Z42" i="114"/>
  <c r="G77" i="191"/>
  <c r="W11" i="176"/>
  <c r="AE11" i="176" s="1"/>
  <c r="X14" i="176"/>
  <c r="Y14" i="176" s="1"/>
  <c r="Z14" i="176" s="1"/>
  <c r="AD11" i="176"/>
  <c r="V13" i="176"/>
  <c r="AD13" i="176" s="1"/>
  <c r="S11" i="119"/>
  <c r="S13" i="119"/>
  <c r="S10" i="119"/>
  <c r="S15" i="119"/>
  <c r="S9" i="119"/>
  <c r="S12" i="119"/>
  <c r="S16" i="119"/>
  <c r="S8" i="119"/>
  <c r="S14" i="119"/>
  <c r="AC96" i="114"/>
  <c r="AB36" i="114"/>
  <c r="J80" i="190"/>
  <c r="J78" i="190"/>
  <c r="J81" i="190"/>
  <c r="J77" i="190"/>
  <c r="J74" i="190"/>
  <c r="G74" i="192"/>
  <c r="J76" i="190"/>
  <c r="G72" i="192"/>
  <c r="J75" i="190"/>
  <c r="J74" i="188"/>
  <c r="J75" i="188"/>
  <c r="M7" i="112"/>
  <c r="M6" i="112" s="1"/>
  <c r="AB19" i="114"/>
  <c r="AC79" i="114"/>
  <c r="AC84" i="114"/>
  <c r="AB24" i="114"/>
  <c r="AC77" i="114"/>
  <c r="AB17" i="114"/>
  <c r="AB18" i="114"/>
  <c r="AC78" i="114"/>
  <c r="DR8" i="129"/>
  <c r="DR10" i="129"/>
  <c r="DR9" i="129"/>
  <c r="J7" i="158"/>
  <c r="P23" i="199" s="1"/>
  <c r="J69" i="158"/>
  <c r="I7" i="158"/>
  <c r="O23" i="199" s="1"/>
  <c r="I69" i="158"/>
  <c r="L7" i="158"/>
  <c r="R23" i="199" s="1"/>
  <c r="L69" i="158"/>
  <c r="DR15" i="129"/>
  <c r="DR11" i="129"/>
  <c r="N7" i="158"/>
  <c r="T23" i="199" s="1"/>
  <c r="N69" i="158"/>
  <c r="G7" i="158"/>
  <c r="M23" i="199" s="1"/>
  <c r="G69" i="158"/>
  <c r="F7" i="158"/>
  <c r="L23" i="199" s="1"/>
  <c r="F69" i="158"/>
  <c r="K7" i="158"/>
  <c r="Q23" i="199" s="1"/>
  <c r="K69" i="158"/>
  <c r="DR14" i="129"/>
  <c r="DR12" i="129"/>
  <c r="DR13" i="129"/>
  <c r="M7" i="158"/>
  <c r="S23" i="199" s="1"/>
  <c r="M69" i="158"/>
  <c r="O69" i="158"/>
  <c r="O7" i="158"/>
  <c r="U23" i="199" s="1"/>
  <c r="R8" i="112"/>
  <c r="J83" i="192"/>
  <c r="R15" i="112"/>
  <c r="R11" i="112"/>
  <c r="J87" i="192"/>
  <c r="R9" i="112"/>
  <c r="R14" i="112"/>
  <c r="J119" i="192"/>
  <c r="R16" i="112"/>
  <c r="R13" i="112"/>
  <c r="J111" i="192"/>
  <c r="R10" i="112"/>
  <c r="J93" i="192"/>
  <c r="R12" i="112"/>
  <c r="AE16" i="176"/>
  <c r="C11" i="93"/>
  <c r="D33" i="153"/>
  <c r="C35" i="127"/>
  <c r="D53" i="153"/>
  <c r="C55" i="127"/>
  <c r="C14" i="93"/>
  <c r="AB75" i="114"/>
  <c r="AA15" i="114"/>
  <c r="AA45" i="114"/>
  <c r="AB105" i="114"/>
  <c r="AA50" i="114"/>
  <c r="AB110" i="114"/>
  <c r="D40" i="153"/>
  <c r="C12" i="93"/>
  <c r="C42" i="127"/>
  <c r="AB107" i="114"/>
  <c r="AA47" i="114"/>
  <c r="C9" i="93"/>
  <c r="C23" i="127"/>
  <c r="D21" i="153"/>
  <c r="AA43" i="114"/>
  <c r="AB103" i="114"/>
  <c r="AB74" i="114"/>
  <c r="AA14" i="114"/>
  <c r="C16" i="93"/>
  <c r="D62" i="153"/>
  <c r="C64" i="127"/>
  <c r="C61" i="127"/>
  <c r="D59" i="153"/>
  <c r="C15" i="93"/>
  <c r="AB71" i="114"/>
  <c r="AA11" i="114"/>
  <c r="Z10" i="114"/>
  <c r="AA8" i="114"/>
  <c r="AB68" i="114"/>
  <c r="C8" i="93"/>
  <c r="C19" i="127"/>
  <c r="D17" i="153"/>
  <c r="AB69" i="114"/>
  <c r="AA9" i="114"/>
  <c r="AB73" i="114"/>
  <c r="AA13" i="114"/>
  <c r="AB104" i="114"/>
  <c r="AA44" i="114"/>
  <c r="D45" i="153"/>
  <c r="C13" i="93"/>
  <c r="C47" i="127"/>
  <c r="AB72" i="114"/>
  <c r="AA12" i="114"/>
  <c r="AA7" i="114"/>
  <c r="AB67" i="114"/>
  <c r="AB109" i="114"/>
  <c r="AA49" i="114"/>
  <c r="AB106" i="114"/>
  <c r="AA46" i="114"/>
  <c r="D27" i="153"/>
  <c r="C10" i="93"/>
  <c r="C29" i="127"/>
  <c r="D64" i="127"/>
  <c r="D16" i="93"/>
  <c r="D62" i="152"/>
  <c r="G77" i="192"/>
  <c r="E125" i="191"/>
  <c r="E119" i="191"/>
  <c r="J87" i="191"/>
  <c r="G83" i="190"/>
  <c r="K7" i="111"/>
  <c r="K6" i="111" s="1"/>
  <c r="L19" i="120"/>
  <c r="L8" i="120" s="1"/>
  <c r="L29" i="120"/>
  <c r="L10" i="120" s="1"/>
  <c r="L64" i="120"/>
  <c r="L16" i="120" s="1"/>
  <c r="U12" i="178"/>
  <c r="U45" i="185"/>
  <c r="K13" i="120"/>
  <c r="U45" i="186"/>
  <c r="L55" i="120"/>
  <c r="L14" i="120" s="1"/>
  <c r="U53" i="185"/>
  <c r="U53" i="186"/>
  <c r="K14" i="120"/>
  <c r="J18" i="120"/>
  <c r="J17" i="120" s="1"/>
  <c r="U6" i="178"/>
  <c r="L61" i="120"/>
  <c r="L15" i="120" s="1"/>
  <c r="U21" i="185"/>
  <c r="K9" i="120"/>
  <c r="U7" i="186" s="1"/>
  <c r="U21" i="186"/>
  <c r="K12" i="120"/>
  <c r="U40" i="186"/>
  <c r="U40" i="185"/>
  <c r="L35" i="120"/>
  <c r="L11" i="120" s="1"/>
  <c r="U11" i="178"/>
  <c r="U9" i="178"/>
  <c r="K8" i="120"/>
  <c r="U6" i="185" s="1"/>
  <c r="U17" i="186"/>
  <c r="U17" i="185"/>
  <c r="L47" i="120"/>
  <c r="L13" i="120" s="1"/>
  <c r="U7" i="178"/>
  <c r="U7" i="185"/>
  <c r="K15" i="120"/>
  <c r="U59" i="186"/>
  <c r="U59" i="185"/>
  <c r="U8" i="178"/>
  <c r="U33" i="185"/>
  <c r="U33" i="186"/>
  <c r="K11" i="120"/>
  <c r="L23" i="120"/>
  <c r="L9" i="120" s="1"/>
  <c r="L42" i="120"/>
  <c r="L12" i="120" s="1"/>
  <c r="U13" i="178"/>
  <c r="M44" i="120"/>
  <c r="M43" i="120"/>
  <c r="M20" i="120"/>
  <c r="M37" i="120"/>
  <c r="M41" i="120"/>
  <c r="M67" i="120"/>
  <c r="M59" i="120"/>
  <c r="M28" i="120"/>
  <c r="M50" i="120"/>
  <c r="M63" i="120"/>
  <c r="M31" i="120"/>
  <c r="M56" i="120"/>
  <c r="M26" i="120"/>
  <c r="M22" i="120"/>
  <c r="M62" i="120"/>
  <c r="M51" i="120"/>
  <c r="M57" i="120"/>
  <c r="M25" i="120"/>
  <c r="M21" i="120"/>
  <c r="M33" i="120"/>
  <c r="M38" i="120"/>
  <c r="M60" i="120"/>
  <c r="M48" i="120"/>
  <c r="M27" i="120"/>
  <c r="M46" i="120"/>
  <c r="M45" i="120"/>
  <c r="M49" i="120"/>
  <c r="M58" i="120"/>
  <c r="M66" i="120"/>
  <c r="M30" i="120"/>
  <c r="M32" i="120"/>
  <c r="M39" i="120"/>
  <c r="M40" i="120"/>
  <c r="M53" i="120"/>
  <c r="M24" i="120"/>
  <c r="M65" i="120"/>
  <c r="M34" i="120"/>
  <c r="M54" i="120"/>
  <c r="M52" i="120"/>
  <c r="M36" i="120"/>
  <c r="U62" i="186"/>
  <c r="U62" i="185"/>
  <c r="K16" i="120"/>
  <c r="U14" i="178"/>
  <c r="U10" i="178"/>
  <c r="U27" i="186"/>
  <c r="U27" i="185"/>
  <c r="K10" i="120"/>
  <c r="E6" i="120"/>
  <c r="U16" i="134"/>
  <c r="F7" i="120"/>
  <c r="E79" i="189"/>
  <c r="M6" i="119"/>
  <c r="D6" i="134"/>
  <c r="F8" i="127"/>
  <c r="F98" i="121"/>
  <c r="F98" i="124" s="1"/>
  <c r="F119" i="121"/>
  <c r="F119" i="124" s="1"/>
  <c r="F137" i="121"/>
  <c r="F137" i="124" s="1"/>
  <c r="F118" i="121"/>
  <c r="F118" i="124" s="1"/>
  <c r="F116" i="121"/>
  <c r="F116" i="124" s="1"/>
  <c r="F114" i="121"/>
  <c r="F114" i="124" s="1"/>
  <c r="F121" i="121"/>
  <c r="F121" i="124" s="1"/>
  <c r="V60" i="157"/>
  <c r="V39" i="157"/>
  <c r="V28" i="157"/>
  <c r="V47" i="157"/>
  <c r="V37" i="157"/>
  <c r="V34" i="157"/>
  <c r="V57" i="157"/>
  <c r="F96" i="121"/>
  <c r="F96" i="124" s="1"/>
  <c r="F91" i="121"/>
  <c r="F91" i="124" s="1"/>
  <c r="F132" i="121"/>
  <c r="F132" i="124" s="1"/>
  <c r="F120" i="121"/>
  <c r="F120" i="124" s="1"/>
  <c r="F126" i="121"/>
  <c r="F126" i="124" s="1"/>
  <c r="F111" i="121"/>
  <c r="F111" i="124" s="1"/>
  <c r="O7" i="111"/>
  <c r="O6" i="111" s="1"/>
  <c r="E78" i="189"/>
  <c r="F101" i="121"/>
  <c r="F101" i="124" s="1"/>
  <c r="F133" i="121"/>
  <c r="F133" i="124" s="1"/>
  <c r="F129" i="121"/>
  <c r="F129" i="124" s="1"/>
  <c r="F135" i="121"/>
  <c r="F135" i="124" s="1"/>
  <c r="D11" i="134"/>
  <c r="F13" i="127"/>
  <c r="E74" i="189"/>
  <c r="E76" i="189"/>
  <c r="V20" i="157"/>
  <c r="V48" i="157"/>
  <c r="F123" i="121"/>
  <c r="F123" i="124" s="1"/>
  <c r="F94" i="121"/>
  <c r="F94" i="124" s="1"/>
  <c r="F110" i="121"/>
  <c r="F110" i="124" s="1"/>
  <c r="F103" i="121"/>
  <c r="F103" i="124" s="1"/>
  <c r="F107" i="121"/>
  <c r="F107" i="124" s="1"/>
  <c r="Z34" i="114"/>
  <c r="E75" i="189"/>
  <c r="E73" i="189"/>
  <c r="G83" i="188"/>
  <c r="F128" i="121"/>
  <c r="F128" i="124" s="1"/>
  <c r="F97" i="121"/>
  <c r="F97" i="124" s="1"/>
  <c r="F108" i="121"/>
  <c r="F108" i="124" s="1"/>
  <c r="F95" i="121"/>
  <c r="F95" i="124" s="1"/>
  <c r="F106" i="121"/>
  <c r="F106" i="124" s="1"/>
  <c r="F113" i="121"/>
  <c r="F113" i="124" s="1"/>
  <c r="N7" i="111"/>
  <c r="N6" i="111" s="1"/>
  <c r="V36" i="157"/>
  <c r="V24" i="157"/>
  <c r="V58" i="157"/>
  <c r="V31" i="157"/>
  <c r="V54" i="157"/>
  <c r="AG65" i="114"/>
  <c r="AH65" i="114" s="1"/>
  <c r="AI65" i="114" s="1"/>
  <c r="AJ65" i="114" s="1"/>
  <c r="AK65" i="114" s="1"/>
  <c r="AE5" i="114"/>
  <c r="V27" i="134"/>
  <c r="F127" i="121"/>
  <c r="F127" i="124" s="1"/>
  <c r="V59" i="134"/>
  <c r="F92" i="121"/>
  <c r="F92" i="124" s="1"/>
  <c r="F136" i="121"/>
  <c r="F136" i="124" s="1"/>
  <c r="E80" i="189"/>
  <c r="AA41" i="114"/>
  <c r="AB101" i="114"/>
  <c r="G121" i="121"/>
  <c r="G121" i="124" s="1"/>
  <c r="F90" i="121"/>
  <c r="F90" i="124" s="1"/>
  <c r="F130" i="121"/>
  <c r="F130" i="124" s="1"/>
  <c r="F109" i="121"/>
  <c r="F109" i="124" s="1"/>
  <c r="V65" i="157"/>
  <c r="V30" i="157"/>
  <c r="V56" i="157"/>
  <c r="V50" i="157"/>
  <c r="V44" i="157"/>
  <c r="V61" i="157"/>
  <c r="F100" i="121"/>
  <c r="F100" i="124" s="1"/>
  <c r="F9" i="127"/>
  <c r="D7" i="134"/>
  <c r="F122" i="121"/>
  <c r="F122" i="124" s="1"/>
  <c r="F102" i="121"/>
  <c r="F102" i="124" s="1"/>
  <c r="F104" i="121"/>
  <c r="F104" i="124" s="1"/>
  <c r="F115" i="121"/>
  <c r="F115" i="124" s="1"/>
  <c r="E81" i="189"/>
  <c r="E77" i="189"/>
  <c r="G72" i="189"/>
  <c r="AB98" i="114"/>
  <c r="AA38" i="114"/>
  <c r="AN30" i="99" l="1"/>
  <c r="AN29" i="99" s="1"/>
  <c r="AM35" i="99"/>
  <c r="AM34" i="99" s="1"/>
  <c r="AL22" i="99"/>
  <c r="AM23" i="99"/>
  <c r="AM22" i="99" s="1"/>
  <c r="AL16" i="108"/>
  <c r="AN17" i="108"/>
  <c r="AN16" i="108" s="1"/>
  <c r="AL42" i="108"/>
  <c r="AL10" i="108"/>
  <c r="AL4" i="108" s="1"/>
  <c r="AN11" i="108"/>
  <c r="AN10" i="108" s="1"/>
  <c r="AN7" i="108"/>
  <c r="AN6" i="108" s="1"/>
  <c r="AL22" i="108"/>
  <c r="AN52" i="108"/>
  <c r="AN51" i="108" s="1"/>
  <c r="AL29" i="108"/>
  <c r="AN30" i="108"/>
  <c r="AN29" i="108" s="1"/>
  <c r="W5" i="111"/>
  <c r="HD5" i="129"/>
  <c r="X5" i="111"/>
  <c r="HN5" i="129"/>
  <c r="D42" i="127"/>
  <c r="D10" i="93"/>
  <c r="D9" i="93"/>
  <c r="D23" i="127"/>
  <c r="D17" i="152"/>
  <c r="V17" i="152" s="1"/>
  <c r="D89" i="121" s="1"/>
  <c r="D89" i="124" s="1"/>
  <c r="D8" i="93"/>
  <c r="D6" i="152" s="1"/>
  <c r="D33" i="152"/>
  <c r="V33" i="152" s="1"/>
  <c r="D105" i="121" s="1"/>
  <c r="D105" i="124" s="1"/>
  <c r="D11" i="93"/>
  <c r="D9" i="152" s="1"/>
  <c r="D29" i="127"/>
  <c r="D12" i="93"/>
  <c r="D10" i="152" s="1"/>
  <c r="D13" i="93"/>
  <c r="D13" i="127" s="1"/>
  <c r="D45" i="152"/>
  <c r="V45" i="152" s="1"/>
  <c r="D117" i="121" s="1"/>
  <c r="D117" i="124" s="1"/>
  <c r="D55" i="127"/>
  <c r="D14" i="93"/>
  <c r="D14" i="127" s="1"/>
  <c r="D61" i="127"/>
  <c r="D15" i="93"/>
  <c r="D13" i="152" s="1"/>
  <c r="J5" i="134"/>
  <c r="G82" i="212"/>
  <c r="G82" i="213"/>
  <c r="AM27" i="108"/>
  <c r="AM22" i="108" s="1"/>
  <c r="AL34" i="108"/>
  <c r="AM35" i="108"/>
  <c r="AM34" i="108" s="1"/>
  <c r="AM43" i="108"/>
  <c r="AM42" i="108" s="1"/>
  <c r="AM17" i="108"/>
  <c r="AM16" i="108" s="1"/>
  <c r="AM30" i="108"/>
  <c r="AM29" i="108" s="1"/>
  <c r="E84" i="190"/>
  <c r="J67" i="190"/>
  <c r="J69" i="190" s="1"/>
  <c r="D40" i="151"/>
  <c r="V40" i="151" s="1"/>
  <c r="E112" i="121" s="1"/>
  <c r="E112" i="124" s="1"/>
  <c r="E12" i="93"/>
  <c r="E12" i="127" s="1"/>
  <c r="E13" i="93"/>
  <c r="E13" i="127" s="1"/>
  <c r="C6" i="111"/>
  <c r="E4" i="153" s="1"/>
  <c r="E87" i="191"/>
  <c r="E74" i="190"/>
  <c r="EK23" i="129"/>
  <c r="EK9" i="129" s="1"/>
  <c r="CW18" i="129"/>
  <c r="CW7" i="129" s="1"/>
  <c r="CW6" i="129" s="1"/>
  <c r="CW1" i="129" s="1"/>
  <c r="P7" i="112"/>
  <c r="P6" i="112" s="1"/>
  <c r="E93" i="191"/>
  <c r="E9" i="93"/>
  <c r="D7" i="151" s="1"/>
  <c r="E94" i="190"/>
  <c r="E23" i="127"/>
  <c r="E83" i="191"/>
  <c r="EK19" i="129"/>
  <c r="EK8" i="129" s="1"/>
  <c r="P18" i="111"/>
  <c r="P17" i="111" s="1"/>
  <c r="H41" i="127"/>
  <c r="EK29" i="129"/>
  <c r="EK10" i="129" s="1"/>
  <c r="F15" i="127"/>
  <c r="G35" i="127"/>
  <c r="R7" i="119"/>
  <c r="R6" i="119" s="1"/>
  <c r="D10" i="134"/>
  <c r="V10" i="134" s="1"/>
  <c r="V32" i="170"/>
  <c r="D53" i="151"/>
  <c r="V53" i="151" s="1"/>
  <c r="E125" i="121" s="1"/>
  <c r="E125" i="124" s="1"/>
  <c r="D45" i="151"/>
  <c r="V45" i="151" s="1"/>
  <c r="E117" i="121" s="1"/>
  <c r="E117" i="124" s="1"/>
  <c r="E55" i="127"/>
  <c r="BP63" i="129"/>
  <c r="BP61" i="129" s="1"/>
  <c r="BP15" i="129" s="1"/>
  <c r="BP37" i="129"/>
  <c r="BP38" i="129"/>
  <c r="BP48" i="129"/>
  <c r="BP31" i="129"/>
  <c r="BP22" i="129"/>
  <c r="BP49" i="129"/>
  <c r="BP39" i="129"/>
  <c r="BP28" i="129"/>
  <c r="BP33" i="129"/>
  <c r="BP51" i="129"/>
  <c r="BP26" i="129"/>
  <c r="BP43" i="129"/>
  <c r="BP65" i="129"/>
  <c r="E16" i="93"/>
  <c r="D14" i="151" s="1"/>
  <c r="E8" i="93"/>
  <c r="E8" i="127" s="1"/>
  <c r="V34" i="170"/>
  <c r="I33" i="93"/>
  <c r="E61" i="127"/>
  <c r="E64" i="127"/>
  <c r="E19" i="127"/>
  <c r="E35" i="127"/>
  <c r="I53" i="93"/>
  <c r="D59" i="151"/>
  <c r="V59" i="151" s="1"/>
  <c r="E131" i="121" s="1"/>
  <c r="E131" i="124" s="1"/>
  <c r="E11" i="93"/>
  <c r="D9" i="151" s="1"/>
  <c r="E29" i="127"/>
  <c r="E10" i="93"/>
  <c r="E10" i="127" s="1"/>
  <c r="F11" i="127"/>
  <c r="G11" i="93"/>
  <c r="D9" i="157" s="1"/>
  <c r="I67" i="93"/>
  <c r="H28" i="127"/>
  <c r="I24" i="93"/>
  <c r="I39" i="93"/>
  <c r="E67" i="186"/>
  <c r="E69" i="186" s="1"/>
  <c r="E99" i="191"/>
  <c r="BP34" i="129"/>
  <c r="BP32" i="129"/>
  <c r="BP58" i="129"/>
  <c r="BP45" i="129"/>
  <c r="BP57" i="129"/>
  <c r="BP36" i="129"/>
  <c r="BP59" i="129"/>
  <c r="BP66" i="129"/>
  <c r="BP44" i="129"/>
  <c r="BP27" i="129"/>
  <c r="DG18" i="129"/>
  <c r="DG7" i="129" s="1"/>
  <c r="DG6" i="129" s="1"/>
  <c r="DG1" i="129" s="1"/>
  <c r="BP24" i="129"/>
  <c r="BP46" i="129"/>
  <c r="BS1" i="129"/>
  <c r="BP53" i="129"/>
  <c r="BP54" i="129"/>
  <c r="EK35" i="129"/>
  <c r="EK11" i="129" s="1"/>
  <c r="BP52" i="129"/>
  <c r="BP40" i="129"/>
  <c r="BP21" i="129"/>
  <c r="E75" i="191"/>
  <c r="BP67" i="129"/>
  <c r="BP25" i="129"/>
  <c r="E5" i="151"/>
  <c r="BP60" i="129"/>
  <c r="BP56" i="129"/>
  <c r="BP41" i="129"/>
  <c r="BP50" i="129"/>
  <c r="BP30" i="129"/>
  <c r="BP20" i="129"/>
  <c r="AE18" i="129"/>
  <c r="AE7" i="129" s="1"/>
  <c r="AE6" i="129" s="1"/>
  <c r="AE1" i="129" s="1"/>
  <c r="U5" i="177"/>
  <c r="D12" i="134"/>
  <c r="V12" i="134" s="1"/>
  <c r="H6" i="120"/>
  <c r="U4" i="177" s="1"/>
  <c r="H44" i="127"/>
  <c r="J5" i="151"/>
  <c r="J76" i="188"/>
  <c r="V61" i="170"/>
  <c r="D53" i="157"/>
  <c r="V53" i="157" s="1"/>
  <c r="H31" i="127"/>
  <c r="G14" i="93"/>
  <c r="D12" i="157" s="1"/>
  <c r="AH14" i="176"/>
  <c r="AR40" i="92" s="1"/>
  <c r="AA14" i="176"/>
  <c r="AB14" i="176" s="1"/>
  <c r="AL8" i="122"/>
  <c r="AL5" i="99"/>
  <c r="U74" i="120"/>
  <c r="U24" i="120" s="1"/>
  <c r="G82" i="211"/>
  <c r="D6" i="112"/>
  <c r="J4" i="152" s="1"/>
  <c r="E5" i="152"/>
  <c r="E67" i="157"/>
  <c r="E69" i="157" s="1"/>
  <c r="U18" i="129"/>
  <c r="U7" i="129" s="1"/>
  <c r="U6" i="129" s="1"/>
  <c r="U1" i="129" s="1"/>
  <c r="G8" i="93"/>
  <c r="G8" i="127" s="1"/>
  <c r="K18" i="129"/>
  <c r="K7" i="129" s="1"/>
  <c r="K6" i="129" s="1"/>
  <c r="K1" i="129" s="1"/>
  <c r="G19" i="127"/>
  <c r="H32" i="127"/>
  <c r="G82" i="191"/>
  <c r="H45" i="127"/>
  <c r="G82" i="192"/>
  <c r="H54" i="127"/>
  <c r="H52" i="127"/>
  <c r="R42" i="111"/>
  <c r="R12" i="111" s="1"/>
  <c r="C6" i="158"/>
  <c r="CC18" i="129"/>
  <c r="CC7" i="129" s="1"/>
  <c r="CC6" i="129" s="1"/>
  <c r="CC1" i="129" s="1"/>
  <c r="R29" i="111"/>
  <c r="R10" i="111" s="1"/>
  <c r="R23" i="111"/>
  <c r="FE23" i="129" s="1"/>
  <c r="FE9" i="129" s="1"/>
  <c r="H40" i="127"/>
  <c r="G71" i="213"/>
  <c r="I55" i="199"/>
  <c r="H26" i="127"/>
  <c r="F16" i="127"/>
  <c r="F18" i="93"/>
  <c r="F17" i="93" s="1"/>
  <c r="V41" i="170"/>
  <c r="R35" i="111"/>
  <c r="FE35" i="129" s="1"/>
  <c r="FE11" i="129" s="1"/>
  <c r="G15" i="93"/>
  <c r="D13" i="157" s="1"/>
  <c r="D59" i="157"/>
  <c r="V59" i="157" s="1"/>
  <c r="V19" i="170"/>
  <c r="R47" i="111"/>
  <c r="R13" i="111" s="1"/>
  <c r="K55" i="199"/>
  <c r="R55" i="111"/>
  <c r="FE55" i="129" s="1"/>
  <c r="FE14" i="129" s="1"/>
  <c r="V46" i="170"/>
  <c r="E5" i="157"/>
  <c r="R61" i="111"/>
  <c r="FE61" i="129" s="1"/>
  <c r="FE15" i="129" s="1"/>
  <c r="D8" i="134"/>
  <c r="V8" i="134" s="1"/>
  <c r="R64" i="111"/>
  <c r="FE64" i="129" s="1"/>
  <c r="FE16" i="129" s="1"/>
  <c r="V65" i="170"/>
  <c r="BF44" i="129"/>
  <c r="BF21" i="129"/>
  <c r="BF25" i="129"/>
  <c r="BF34" i="129"/>
  <c r="BF32" i="129"/>
  <c r="BF31" i="129"/>
  <c r="BF27" i="129"/>
  <c r="BF26" i="129"/>
  <c r="BF60" i="129"/>
  <c r="BF45" i="129"/>
  <c r="BF30" i="129"/>
  <c r="BF39" i="129"/>
  <c r="BF49" i="129"/>
  <c r="BF48" i="129"/>
  <c r="BF63" i="129"/>
  <c r="BF20" i="129"/>
  <c r="BF67" i="129"/>
  <c r="BF58" i="129"/>
  <c r="BF37" i="129"/>
  <c r="BF40" i="129"/>
  <c r="BF46" i="129"/>
  <c r="BF57" i="129"/>
  <c r="BF50" i="129"/>
  <c r="BF24" i="129"/>
  <c r="BF28" i="129"/>
  <c r="BF56" i="129"/>
  <c r="BF51" i="129"/>
  <c r="BF22" i="129"/>
  <c r="BI1" i="129"/>
  <c r="BF54" i="129"/>
  <c r="BF33" i="129"/>
  <c r="BF65" i="129"/>
  <c r="BF41" i="129"/>
  <c r="BF52" i="129"/>
  <c r="BF53" i="129"/>
  <c r="BF59" i="129"/>
  <c r="BF36" i="129"/>
  <c r="BF38" i="129"/>
  <c r="BF66" i="129"/>
  <c r="BF43" i="129"/>
  <c r="BF62" i="129"/>
  <c r="Z16" i="206"/>
  <c r="Q18" i="111"/>
  <c r="Q17" i="111" s="1"/>
  <c r="Z22" i="206"/>
  <c r="I34" i="93"/>
  <c r="I34" i="127" s="1"/>
  <c r="I31" i="93"/>
  <c r="I31" i="127" s="1"/>
  <c r="R19" i="111"/>
  <c r="R8" i="111" s="1"/>
  <c r="I30" i="93"/>
  <c r="I59" i="93"/>
  <c r="I59" i="127" s="1"/>
  <c r="AL10" i="122"/>
  <c r="AL5" i="122" s="1"/>
  <c r="Z48" i="206"/>
  <c r="J67" i="185"/>
  <c r="J69" i="185" s="1"/>
  <c r="Y4" i="206"/>
  <c r="U67" i="120"/>
  <c r="U67" i="125" s="1"/>
  <c r="H65" i="207" s="1"/>
  <c r="U20" i="120"/>
  <c r="U22" i="120"/>
  <c r="U22" i="125" s="1"/>
  <c r="H20" i="207" s="1"/>
  <c r="U38" i="120"/>
  <c r="U38" i="125" s="1"/>
  <c r="H36" i="207" s="1"/>
  <c r="U52" i="120"/>
  <c r="U52" i="125" s="1"/>
  <c r="H50" i="207" s="1"/>
  <c r="U58" i="120"/>
  <c r="U58" i="125" s="1"/>
  <c r="H56" i="207" s="1"/>
  <c r="U27" i="120"/>
  <c r="U27" i="125" s="1"/>
  <c r="H25" i="207" s="1"/>
  <c r="U59" i="120"/>
  <c r="U59" i="125" s="1"/>
  <c r="H57" i="207" s="1"/>
  <c r="U36" i="120"/>
  <c r="U62" i="120"/>
  <c r="U33" i="120"/>
  <c r="U33" i="125" s="1"/>
  <c r="H31" i="207" s="1"/>
  <c r="U41" i="120"/>
  <c r="U41" i="125" s="1"/>
  <c r="H39" i="207" s="1"/>
  <c r="U28" i="120"/>
  <c r="U28" i="125" s="1"/>
  <c r="H26" i="207" s="1"/>
  <c r="U34" i="120"/>
  <c r="U34" i="125" s="1"/>
  <c r="H32" i="207" s="1"/>
  <c r="U54" i="120"/>
  <c r="U54" i="125" s="1"/>
  <c r="H52" i="207" s="1"/>
  <c r="F6" i="111"/>
  <c r="E4" i="134" s="1"/>
  <c r="E5" i="134"/>
  <c r="AB99" i="206"/>
  <c r="AA39" i="206"/>
  <c r="H59" i="127"/>
  <c r="Z51" i="206"/>
  <c r="G29" i="127"/>
  <c r="I20" i="93"/>
  <c r="I20" i="127" s="1"/>
  <c r="I45" i="93"/>
  <c r="I45" i="127" s="1"/>
  <c r="I57" i="93"/>
  <c r="I57" i="127" s="1"/>
  <c r="AB108" i="206"/>
  <c r="AA49" i="206"/>
  <c r="AB109" i="206"/>
  <c r="I25" i="93"/>
  <c r="I25" i="127" s="1"/>
  <c r="I40" i="93"/>
  <c r="I40" i="127" s="1"/>
  <c r="AB96" i="206"/>
  <c r="AA36" i="206"/>
  <c r="AB73" i="206"/>
  <c r="AA13" i="206"/>
  <c r="AB103" i="206"/>
  <c r="AA43" i="206"/>
  <c r="AB102" i="206"/>
  <c r="AA21" i="206"/>
  <c r="AB81" i="206"/>
  <c r="AB107" i="206"/>
  <c r="AA47" i="206"/>
  <c r="AA31" i="206"/>
  <c r="AB91" i="206"/>
  <c r="Z29" i="206"/>
  <c r="AC65" i="206"/>
  <c r="AB5" i="206"/>
  <c r="AA12" i="206"/>
  <c r="AB72" i="206"/>
  <c r="I43" i="93"/>
  <c r="I37" i="93"/>
  <c r="I37" i="127" s="1"/>
  <c r="AB80" i="206"/>
  <c r="AA20" i="206"/>
  <c r="AB75" i="206"/>
  <c r="AA15" i="206"/>
  <c r="V86" i="120"/>
  <c r="AB98" i="206"/>
  <c r="AA38" i="206"/>
  <c r="I62" i="93"/>
  <c r="I49" i="93"/>
  <c r="I49" i="127" s="1"/>
  <c r="I36" i="93"/>
  <c r="H60" i="127"/>
  <c r="AB86" i="206"/>
  <c r="AA26" i="206"/>
  <c r="AA18" i="206"/>
  <c r="AB78" i="206"/>
  <c r="AA33" i="206"/>
  <c r="AB93" i="206"/>
  <c r="AL4" i="99"/>
  <c r="AA53" i="206"/>
  <c r="AB113" i="206"/>
  <c r="I51" i="93"/>
  <c r="I51" i="127" s="1"/>
  <c r="AA7" i="206"/>
  <c r="AB67" i="206"/>
  <c r="AB66" i="206"/>
  <c r="AB84" i="206"/>
  <c r="AA24" i="206"/>
  <c r="G64" i="127"/>
  <c r="I56" i="93"/>
  <c r="I65" i="93"/>
  <c r="I50" i="93"/>
  <c r="AI61" i="129"/>
  <c r="AB88" i="206"/>
  <c r="AA28" i="206"/>
  <c r="AA14" i="206"/>
  <c r="AB74" i="206"/>
  <c r="J67" i="189"/>
  <c r="J69" i="189" s="1"/>
  <c r="J83" i="189"/>
  <c r="AA45" i="206"/>
  <c r="AB105" i="206"/>
  <c r="AA23" i="206"/>
  <c r="AB82" i="206"/>
  <c r="AB83" i="206"/>
  <c r="I58" i="93"/>
  <c r="I58" i="127" s="1"/>
  <c r="I60" i="93"/>
  <c r="I60" i="127" s="1"/>
  <c r="I41" i="93"/>
  <c r="AA9" i="206"/>
  <c r="AB69" i="206"/>
  <c r="I22" i="93"/>
  <c r="AA30" i="206"/>
  <c r="AB89" i="206"/>
  <c r="AB90" i="206"/>
  <c r="G10" i="93"/>
  <c r="D8" i="157" s="1"/>
  <c r="D62" i="157"/>
  <c r="V62" i="157" s="1"/>
  <c r="I66" i="93"/>
  <c r="I66" i="127" s="1"/>
  <c r="AB85" i="206"/>
  <c r="AA25" i="206"/>
  <c r="AA46" i="206"/>
  <c r="AB106" i="206"/>
  <c r="AB79" i="206"/>
  <c r="AA19" i="206"/>
  <c r="AB110" i="206"/>
  <c r="AA50" i="206"/>
  <c r="AB95" i="206"/>
  <c r="AA35" i="206"/>
  <c r="AB94" i="206"/>
  <c r="Z34" i="206"/>
  <c r="E67" i="134"/>
  <c r="E69" i="134" s="1"/>
  <c r="AO18" i="129"/>
  <c r="AO7" i="129" s="1"/>
  <c r="AO6" i="129" s="1"/>
  <c r="AA17" i="206"/>
  <c r="AB76" i="206"/>
  <c r="AB77" i="206"/>
  <c r="D6" i="120"/>
  <c r="U4" i="152" s="1"/>
  <c r="AA54" i="206"/>
  <c r="AB114" i="206"/>
  <c r="AB112" i="206"/>
  <c r="AA52" i="206"/>
  <c r="AB111" i="206"/>
  <c r="AB104" i="206"/>
  <c r="AA44" i="206"/>
  <c r="AA32" i="206"/>
  <c r="AB92" i="206"/>
  <c r="Z6" i="206"/>
  <c r="I27" i="93"/>
  <c r="V25" i="170"/>
  <c r="AB100" i="206"/>
  <c r="AA40" i="206"/>
  <c r="V80" i="120"/>
  <c r="V74" i="120" s="1"/>
  <c r="I28" i="93"/>
  <c r="I28" i="127" s="1"/>
  <c r="AB32" i="114"/>
  <c r="AC92" i="114"/>
  <c r="I63" i="93"/>
  <c r="I44" i="93"/>
  <c r="I44" i="127" s="1"/>
  <c r="I26" i="93"/>
  <c r="I26" i="127" s="1"/>
  <c r="V44" i="170"/>
  <c r="U5" i="157"/>
  <c r="G6" i="120"/>
  <c r="U4" i="157" s="1"/>
  <c r="AB89" i="114"/>
  <c r="AB90" i="114"/>
  <c r="AA30" i="114"/>
  <c r="AA29" i="114" s="1"/>
  <c r="AB101" i="206"/>
  <c r="AA41" i="206"/>
  <c r="AA37" i="206"/>
  <c r="AB97" i="206"/>
  <c r="Z10" i="206"/>
  <c r="AA8" i="206"/>
  <c r="AB68" i="206"/>
  <c r="BF83" i="114"/>
  <c r="BG83" i="114" s="1"/>
  <c r="BH83" i="114" s="1"/>
  <c r="BI83" i="114" s="1"/>
  <c r="BJ83" i="114" s="1"/>
  <c r="AA53" i="114"/>
  <c r="AA51" i="114" s="1"/>
  <c r="AB113" i="114"/>
  <c r="I46" i="93"/>
  <c r="I46" i="127" s="1"/>
  <c r="Z42" i="206"/>
  <c r="I48" i="93"/>
  <c r="I32" i="93"/>
  <c r="I54" i="93"/>
  <c r="I21" i="93"/>
  <c r="I52" i="93"/>
  <c r="I52" i="127" s="1"/>
  <c r="AA11" i="206"/>
  <c r="AB71" i="206"/>
  <c r="AB70" i="206"/>
  <c r="AB87" i="206"/>
  <c r="AA27" i="206"/>
  <c r="E22" i="207"/>
  <c r="U45" i="111"/>
  <c r="U56" i="111"/>
  <c r="U31" i="111"/>
  <c r="U50" i="111"/>
  <c r="U21" i="111"/>
  <c r="U27" i="111"/>
  <c r="U46" i="111"/>
  <c r="U65" i="111"/>
  <c r="U33" i="111"/>
  <c r="U52" i="111"/>
  <c r="U25" i="111"/>
  <c r="U44" i="111"/>
  <c r="U63" i="111"/>
  <c r="U54" i="111"/>
  <c r="U32" i="111"/>
  <c r="U51" i="111"/>
  <c r="U66" i="111"/>
  <c r="U38" i="111"/>
  <c r="U57" i="111"/>
  <c r="U49" i="111"/>
  <c r="U67" i="111"/>
  <c r="U59" i="111"/>
  <c r="U37" i="111"/>
  <c r="U62" i="111"/>
  <c r="U34" i="111"/>
  <c r="U53" i="111"/>
  <c r="U22" i="111"/>
  <c r="U41" i="111"/>
  <c r="U60" i="111"/>
  <c r="U28" i="111"/>
  <c r="U20" i="111"/>
  <c r="U39" i="111"/>
  <c r="U58" i="111"/>
  <c r="U36" i="111"/>
  <c r="U26" i="111"/>
  <c r="U43" i="111"/>
  <c r="U40" i="111"/>
  <c r="U30" i="111"/>
  <c r="U48" i="111"/>
  <c r="J55" i="199"/>
  <c r="Z11" i="176"/>
  <c r="Z16" i="176"/>
  <c r="T59" i="112"/>
  <c r="J123" i="205" s="1"/>
  <c r="T31" i="112"/>
  <c r="J95" i="205" s="1"/>
  <c r="T27" i="112"/>
  <c r="J91" i="205" s="1"/>
  <c r="T62" i="112"/>
  <c r="J126" i="205" s="1"/>
  <c r="T38" i="112"/>
  <c r="J102" i="205" s="1"/>
  <c r="T45" i="112"/>
  <c r="J109" i="205" s="1"/>
  <c r="T25" i="112"/>
  <c r="J89" i="205" s="1"/>
  <c r="T22" i="112"/>
  <c r="J86" i="205" s="1"/>
  <c r="T49" i="112"/>
  <c r="J113" i="205" s="1"/>
  <c r="T58" i="112"/>
  <c r="J122" i="205" s="1"/>
  <c r="T39" i="112"/>
  <c r="J103" i="205" s="1"/>
  <c r="T21" i="112"/>
  <c r="J85" i="205" s="1"/>
  <c r="T24" i="112"/>
  <c r="J88" i="205" s="1"/>
  <c r="T37" i="112"/>
  <c r="J101" i="205" s="1"/>
  <c r="T20" i="112"/>
  <c r="T54" i="112"/>
  <c r="J118" i="205" s="1"/>
  <c r="T28" i="112"/>
  <c r="J92" i="205" s="1"/>
  <c r="T66" i="112"/>
  <c r="J130" i="205" s="1"/>
  <c r="T51" i="112"/>
  <c r="J115" i="205" s="1"/>
  <c r="T65" i="112"/>
  <c r="J129" i="205" s="1"/>
  <c r="T56" i="112"/>
  <c r="J120" i="205" s="1"/>
  <c r="T26" i="112"/>
  <c r="J90" i="205" s="1"/>
  <c r="T41" i="112"/>
  <c r="J105" i="205" s="1"/>
  <c r="T52" i="112"/>
  <c r="J116" i="205" s="1"/>
  <c r="T53" i="112"/>
  <c r="J117" i="205" s="1"/>
  <c r="T40" i="112"/>
  <c r="J104" i="205" s="1"/>
  <c r="T36" i="112"/>
  <c r="J100" i="205" s="1"/>
  <c r="T48" i="112"/>
  <c r="J112" i="205" s="1"/>
  <c r="T60" i="112"/>
  <c r="J124" i="205" s="1"/>
  <c r="T44" i="112"/>
  <c r="J108" i="205" s="1"/>
  <c r="T32" i="112"/>
  <c r="J96" i="205" s="1"/>
  <c r="T33" i="112"/>
  <c r="J97" i="205" s="1"/>
  <c r="T43" i="112"/>
  <c r="J107" i="205" s="1"/>
  <c r="T34" i="112"/>
  <c r="J98" i="205" s="1"/>
  <c r="T50" i="112"/>
  <c r="J114" i="205" s="1"/>
  <c r="T57" i="112"/>
  <c r="J121" i="205" s="1"/>
  <c r="T63" i="112"/>
  <c r="J127" i="205" s="1"/>
  <c r="T46" i="112"/>
  <c r="J110" i="205" s="1"/>
  <c r="T30" i="112"/>
  <c r="J94" i="205" s="1"/>
  <c r="U54" i="112"/>
  <c r="U46" i="112"/>
  <c r="U38" i="112"/>
  <c r="U30" i="112"/>
  <c r="U67" i="112"/>
  <c r="U60" i="112"/>
  <c r="U66" i="112"/>
  <c r="U62" i="112"/>
  <c r="U21" i="112"/>
  <c r="U59" i="112"/>
  <c r="U51" i="112"/>
  <c r="U43" i="112"/>
  <c r="U34" i="112"/>
  <c r="U31" i="112"/>
  <c r="U52" i="112"/>
  <c r="U53" i="112"/>
  <c r="U28" i="112"/>
  <c r="U50" i="112"/>
  <c r="U25" i="112"/>
  <c r="U26" i="112"/>
  <c r="U63" i="112"/>
  <c r="U56" i="112"/>
  <c r="U48" i="112"/>
  <c r="U39" i="112"/>
  <c r="U22" i="112"/>
  <c r="U44" i="112"/>
  <c r="U45" i="112"/>
  <c r="U58" i="112"/>
  <c r="U33" i="112"/>
  <c r="U36" i="112"/>
  <c r="U27" i="112"/>
  <c r="U65" i="112"/>
  <c r="U57" i="112"/>
  <c r="U49" i="112"/>
  <c r="U40" i="112"/>
  <c r="U32" i="112"/>
  <c r="U24" i="112"/>
  <c r="U37" i="112"/>
  <c r="U20" i="112"/>
  <c r="U41" i="112"/>
  <c r="J131" i="205"/>
  <c r="G99" i="207"/>
  <c r="G9" i="207"/>
  <c r="G95" i="207"/>
  <c r="G117" i="207"/>
  <c r="G103" i="207"/>
  <c r="G121" i="207"/>
  <c r="G110" i="207"/>
  <c r="G124" i="207"/>
  <c r="G116" i="207"/>
  <c r="G114" i="207"/>
  <c r="G105" i="207"/>
  <c r="G102" i="207"/>
  <c r="G104" i="207"/>
  <c r="G130" i="207"/>
  <c r="G122" i="207"/>
  <c r="G101" i="207"/>
  <c r="G98" i="207"/>
  <c r="G125" i="207"/>
  <c r="G13" i="207"/>
  <c r="G119" i="207"/>
  <c r="G12" i="207"/>
  <c r="G111" i="207"/>
  <c r="G11" i="207"/>
  <c r="G106" i="207"/>
  <c r="G10" i="207"/>
  <c r="G127" i="207"/>
  <c r="G89" i="207"/>
  <c r="G109" i="207"/>
  <c r="G115" i="207"/>
  <c r="G85" i="207"/>
  <c r="G97" i="207"/>
  <c r="G86" i="207"/>
  <c r="G123" i="207"/>
  <c r="G113" i="207"/>
  <c r="G131" i="207"/>
  <c r="G92" i="207"/>
  <c r="G108" i="207"/>
  <c r="G96" i="207"/>
  <c r="G118" i="207"/>
  <c r="G91" i="207"/>
  <c r="G90" i="207"/>
  <c r="G6" i="207"/>
  <c r="G83" i="207"/>
  <c r="G128" i="207"/>
  <c r="G14" i="207"/>
  <c r="G93" i="207"/>
  <c r="G8" i="207"/>
  <c r="G87" i="207"/>
  <c r="G7" i="207"/>
  <c r="C18" i="93"/>
  <c r="C17" i="93" s="1"/>
  <c r="L55" i="199"/>
  <c r="M55" i="199"/>
  <c r="Y11" i="176"/>
  <c r="Y16" i="176"/>
  <c r="AG14" i="176"/>
  <c r="AQ40" i="92" s="1"/>
  <c r="H47" i="93"/>
  <c r="H47" i="127" s="1"/>
  <c r="H49" i="127"/>
  <c r="T16" i="119"/>
  <c r="T15" i="119"/>
  <c r="T14" i="119"/>
  <c r="H50" i="127"/>
  <c r="AD112" i="114"/>
  <c r="AC52" i="114"/>
  <c r="AA53" i="129"/>
  <c r="T13" i="119"/>
  <c r="T11" i="119"/>
  <c r="V54" i="170"/>
  <c r="AC59" i="129"/>
  <c r="T32" i="111"/>
  <c r="T49" i="111"/>
  <c r="T51" i="111"/>
  <c r="T31" i="111"/>
  <c r="T36" i="111"/>
  <c r="T58" i="111"/>
  <c r="T59" i="111"/>
  <c r="T38" i="111"/>
  <c r="T21" i="111"/>
  <c r="T54" i="111"/>
  <c r="T37" i="111"/>
  <c r="T66" i="111"/>
  <c r="T45" i="111"/>
  <c r="T28" i="111"/>
  <c r="T65" i="111"/>
  <c r="T26" i="111"/>
  <c r="T50" i="111"/>
  <c r="T44" i="111"/>
  <c r="T46" i="111"/>
  <c r="T33" i="111"/>
  <c r="T67" i="111"/>
  <c r="T60" i="111"/>
  <c r="T27" i="111"/>
  <c r="T52" i="111"/>
  <c r="T41" i="111"/>
  <c r="T57" i="111"/>
  <c r="T34" i="111"/>
  <c r="T22" i="111"/>
  <c r="T39" i="111"/>
  <c r="T25" i="111"/>
  <c r="T20" i="111"/>
  <c r="T53" i="111"/>
  <c r="T62" i="111"/>
  <c r="T63" i="111"/>
  <c r="T24" i="111"/>
  <c r="T40" i="111"/>
  <c r="T43" i="111"/>
  <c r="T56" i="111"/>
  <c r="T30" i="111"/>
  <c r="T48" i="111"/>
  <c r="T8" i="119"/>
  <c r="T12" i="119"/>
  <c r="T51" i="120"/>
  <c r="T58" i="120"/>
  <c r="T33" i="120"/>
  <c r="T66" i="120"/>
  <c r="T20" i="120"/>
  <c r="T50" i="120"/>
  <c r="T48" i="120"/>
  <c r="T26" i="120"/>
  <c r="T44" i="120"/>
  <c r="T27" i="120"/>
  <c r="T24" i="120"/>
  <c r="T39" i="120"/>
  <c r="T57" i="120"/>
  <c r="T62" i="120"/>
  <c r="T22" i="120"/>
  <c r="T38" i="120"/>
  <c r="T52" i="120"/>
  <c r="T40" i="120"/>
  <c r="T56" i="120"/>
  <c r="T67" i="120"/>
  <c r="T32" i="120"/>
  <c r="T28" i="120"/>
  <c r="T30" i="120"/>
  <c r="T63" i="120"/>
  <c r="T43" i="120"/>
  <c r="T60" i="120"/>
  <c r="T34" i="120"/>
  <c r="T36" i="120"/>
  <c r="T45" i="120"/>
  <c r="T53" i="120"/>
  <c r="T65" i="120"/>
  <c r="T21" i="120"/>
  <c r="T54" i="120"/>
  <c r="T59" i="120"/>
  <c r="T46" i="120"/>
  <c r="T37" i="120"/>
  <c r="T49" i="120"/>
  <c r="T41" i="120"/>
  <c r="T31" i="120"/>
  <c r="AA40" i="129"/>
  <c r="T10" i="119"/>
  <c r="T9" i="119"/>
  <c r="AA16" i="114"/>
  <c r="H39" i="127"/>
  <c r="H65" i="127"/>
  <c r="H22" i="127"/>
  <c r="AA58" i="129"/>
  <c r="AC20" i="129"/>
  <c r="AA63" i="129"/>
  <c r="AA26" i="129"/>
  <c r="AC54" i="129"/>
  <c r="Y51" i="129"/>
  <c r="AA20" i="129"/>
  <c r="Y20" i="129"/>
  <c r="AC66" i="129"/>
  <c r="Y49" i="129"/>
  <c r="H64" i="93"/>
  <c r="H16" i="93" s="1"/>
  <c r="H16" i="127" s="1"/>
  <c r="H55" i="93"/>
  <c r="H14" i="93" s="1"/>
  <c r="H14" i="127" s="1"/>
  <c r="G23" i="127"/>
  <c r="H66" i="127"/>
  <c r="G9" i="93"/>
  <c r="D7" i="157" s="1"/>
  <c r="H58" i="127"/>
  <c r="H23" i="93"/>
  <c r="H9" i="93" s="1"/>
  <c r="H9" i="127" s="1"/>
  <c r="H35" i="93"/>
  <c r="H35" i="127" s="1"/>
  <c r="H61" i="93"/>
  <c r="H15" i="93" s="1"/>
  <c r="H15" i="127" s="1"/>
  <c r="AC28" i="129"/>
  <c r="AC45" i="129"/>
  <c r="AC36" i="129"/>
  <c r="AC58" i="129"/>
  <c r="AA46" i="129"/>
  <c r="AC25" i="129"/>
  <c r="AC32" i="129"/>
  <c r="AA39" i="129"/>
  <c r="AA60" i="129"/>
  <c r="AC50" i="129"/>
  <c r="Y30" i="129"/>
  <c r="Y59" i="129"/>
  <c r="Y43" i="129"/>
  <c r="AF1" i="129"/>
  <c r="AC57" i="129"/>
  <c r="AC65" i="129"/>
  <c r="AC31" i="129"/>
  <c r="AC67" i="129"/>
  <c r="AA65" i="129"/>
  <c r="AC51" i="129"/>
  <c r="AA37" i="129"/>
  <c r="AA36" i="129"/>
  <c r="AA48" i="129"/>
  <c r="AA66" i="129"/>
  <c r="Y39" i="129"/>
  <c r="Y41" i="129"/>
  <c r="Y46" i="129"/>
  <c r="AC62" i="129"/>
  <c r="AA59" i="129"/>
  <c r="AC34" i="129"/>
  <c r="AC44" i="129"/>
  <c r="AA41" i="129"/>
  <c r="AA62" i="129"/>
  <c r="AC27" i="129"/>
  <c r="AC60" i="129"/>
  <c r="AA67" i="129"/>
  <c r="AA21" i="129"/>
  <c r="Y38" i="129"/>
  <c r="Y52" i="129"/>
  <c r="Y65" i="129"/>
  <c r="AC52" i="129"/>
  <c r="AC33" i="129"/>
  <c r="AA52" i="129"/>
  <c r="AC48" i="129"/>
  <c r="AA33" i="129"/>
  <c r="AC30" i="129"/>
  <c r="AC49" i="129"/>
  <c r="AA45" i="129"/>
  <c r="AC41" i="129"/>
  <c r="AC24" i="129"/>
  <c r="Y25" i="129"/>
  <c r="Y21" i="129"/>
  <c r="Y58" i="129"/>
  <c r="AA27" i="129"/>
  <c r="AA31" i="129"/>
  <c r="AA25" i="129"/>
  <c r="AA56" i="129"/>
  <c r="AA22" i="129"/>
  <c r="AA34" i="129"/>
  <c r="AA28" i="129"/>
  <c r="AC21" i="129"/>
  <c r="AA32" i="129"/>
  <c r="AA30" i="129"/>
  <c r="Y63" i="129"/>
  <c r="Y54" i="129"/>
  <c r="Y56" i="129"/>
  <c r="CG42" i="129"/>
  <c r="AA54" i="129"/>
  <c r="AA44" i="129"/>
  <c r="AA51" i="129"/>
  <c r="AA50" i="129"/>
  <c r="AC37" i="129"/>
  <c r="AC43" i="129"/>
  <c r="AC53" i="129"/>
  <c r="AA24" i="129"/>
  <c r="AC26" i="129"/>
  <c r="AC56" i="129"/>
  <c r="Y22" i="129"/>
  <c r="Y33" i="129"/>
  <c r="Y44" i="129"/>
  <c r="AA49" i="129"/>
  <c r="AC46" i="129"/>
  <c r="AC39" i="129"/>
  <c r="AA38" i="129"/>
  <c r="AC40" i="129"/>
  <c r="AC38" i="129"/>
  <c r="AA57" i="129"/>
  <c r="AC63" i="129"/>
  <c r="AC22" i="129"/>
  <c r="AA43" i="129"/>
  <c r="Y48" i="129"/>
  <c r="Y60" i="129"/>
  <c r="Y50" i="129"/>
  <c r="Y62" i="129"/>
  <c r="CI61" i="129"/>
  <c r="CI15" i="129" s="1"/>
  <c r="V36" i="170"/>
  <c r="H38" i="127"/>
  <c r="G42" i="127"/>
  <c r="G12" i="93"/>
  <c r="G12" i="127" s="1"/>
  <c r="H62" i="127"/>
  <c r="H29" i="93"/>
  <c r="H10" i="93" s="1"/>
  <c r="H10" i="127" s="1"/>
  <c r="H19" i="93"/>
  <c r="H8" i="93" s="1"/>
  <c r="G13" i="93"/>
  <c r="D11" i="157" s="1"/>
  <c r="H42" i="93"/>
  <c r="H12" i="93" s="1"/>
  <c r="H12" i="127" s="1"/>
  <c r="H30" i="127"/>
  <c r="Y36" i="129"/>
  <c r="Y27" i="129"/>
  <c r="Y37" i="129"/>
  <c r="Y32" i="129"/>
  <c r="Y31" i="129"/>
  <c r="U5" i="153"/>
  <c r="C6" i="120"/>
  <c r="U4" i="153" s="1"/>
  <c r="Y67" i="129"/>
  <c r="Y45" i="129"/>
  <c r="Y34" i="129"/>
  <c r="Y57" i="129"/>
  <c r="Y26" i="129"/>
  <c r="H33" i="127"/>
  <c r="H6" i="158"/>
  <c r="N55" i="199"/>
  <c r="H20" i="127"/>
  <c r="Y40" i="129"/>
  <c r="Y66" i="129"/>
  <c r="Y28" i="129"/>
  <c r="Y53" i="129"/>
  <c r="C6" i="112"/>
  <c r="J4" i="153" s="1"/>
  <c r="J5" i="153"/>
  <c r="E98" i="192"/>
  <c r="FE34" i="129"/>
  <c r="E127" i="192"/>
  <c r="FE63" i="129"/>
  <c r="E116" i="192"/>
  <c r="FE52" i="129"/>
  <c r="E85" i="192"/>
  <c r="FE21" i="129"/>
  <c r="E114" i="192"/>
  <c r="FE50" i="129"/>
  <c r="E86" i="192"/>
  <c r="FE22" i="129"/>
  <c r="E124" i="192"/>
  <c r="FE60" i="129"/>
  <c r="E84" i="192"/>
  <c r="FE20" i="129"/>
  <c r="E100" i="192"/>
  <c r="FE36" i="129"/>
  <c r="E120" i="192"/>
  <c r="FE56" i="129"/>
  <c r="E107" i="192"/>
  <c r="FE43" i="129"/>
  <c r="E112" i="192"/>
  <c r="FE48" i="129"/>
  <c r="E95" i="192"/>
  <c r="FE31" i="129"/>
  <c r="E109" i="192"/>
  <c r="FE45" i="129"/>
  <c r="E113" i="192"/>
  <c r="FE49" i="129"/>
  <c r="E90" i="192"/>
  <c r="FE26" i="129"/>
  <c r="E130" i="192"/>
  <c r="FE66" i="129"/>
  <c r="E102" i="192"/>
  <c r="FE38" i="129"/>
  <c r="E105" i="192"/>
  <c r="FE41" i="129"/>
  <c r="E129" i="192"/>
  <c r="FE65" i="129"/>
  <c r="E118" i="192"/>
  <c r="FE54" i="129"/>
  <c r="E92" i="192"/>
  <c r="FE28" i="129"/>
  <c r="E110" i="192"/>
  <c r="FE46" i="129"/>
  <c r="E91" i="192"/>
  <c r="FE27" i="129"/>
  <c r="E96" i="192"/>
  <c r="FE32" i="129"/>
  <c r="E123" i="192"/>
  <c r="FE59" i="129"/>
  <c r="E121" i="192"/>
  <c r="FE57" i="129"/>
  <c r="E122" i="192"/>
  <c r="FE58" i="129"/>
  <c r="E94" i="192"/>
  <c r="FE30" i="129"/>
  <c r="E88" i="192"/>
  <c r="FE24" i="129"/>
  <c r="E126" i="192"/>
  <c r="FE62" i="129"/>
  <c r="E103" i="192"/>
  <c r="FE39" i="129"/>
  <c r="E89" i="192"/>
  <c r="FE25" i="129"/>
  <c r="E117" i="192"/>
  <c r="FE53" i="129"/>
  <c r="E108" i="192"/>
  <c r="FE44" i="129"/>
  <c r="E97" i="192"/>
  <c r="FE33" i="129"/>
  <c r="E101" i="192"/>
  <c r="FE37" i="129"/>
  <c r="E131" i="192"/>
  <c r="FE67" i="129"/>
  <c r="E115" i="192"/>
  <c r="FE51" i="129"/>
  <c r="CG61" i="129"/>
  <c r="CG64" i="129"/>
  <c r="CQ61" i="129"/>
  <c r="AI47" i="129"/>
  <c r="DA29" i="129"/>
  <c r="J106" i="192"/>
  <c r="S44" i="111"/>
  <c r="S56" i="111"/>
  <c r="S52" i="111"/>
  <c r="S45" i="111"/>
  <c r="S51" i="111"/>
  <c r="S49" i="111"/>
  <c r="S60" i="111"/>
  <c r="S57" i="111"/>
  <c r="S50" i="111"/>
  <c r="S66" i="111"/>
  <c r="S53" i="111"/>
  <c r="S67" i="111"/>
  <c r="S54" i="111"/>
  <c r="S62" i="111"/>
  <c r="S20" i="111"/>
  <c r="S58" i="111"/>
  <c r="S28" i="111"/>
  <c r="S21" i="111"/>
  <c r="S59" i="111"/>
  <c r="S25" i="111"/>
  <c r="S63" i="111"/>
  <c r="S33" i="111"/>
  <c r="S26" i="111"/>
  <c r="S65" i="111"/>
  <c r="S27" i="111"/>
  <c r="S38" i="111"/>
  <c r="S31" i="111"/>
  <c r="S22" i="111"/>
  <c r="S34" i="111"/>
  <c r="S37" i="111"/>
  <c r="S36" i="111"/>
  <c r="S32" i="111"/>
  <c r="S39" i="111"/>
  <c r="S46" i="111"/>
  <c r="S48" i="111"/>
  <c r="S41" i="111"/>
  <c r="S43" i="111"/>
  <c r="S30" i="111"/>
  <c r="S24" i="111"/>
  <c r="S40" i="111"/>
  <c r="BO19" i="129"/>
  <c r="BO8" i="129" s="1"/>
  <c r="AI19" i="129"/>
  <c r="CG55" i="129"/>
  <c r="AS61" i="129"/>
  <c r="AS29" i="129"/>
  <c r="AI64" i="129"/>
  <c r="O55" i="199"/>
  <c r="BM64" i="129"/>
  <c r="T55" i="199"/>
  <c r="T57" i="199"/>
  <c r="BM19" i="129"/>
  <c r="R57" i="199"/>
  <c r="R55" i="199"/>
  <c r="S57" i="199"/>
  <c r="S55" i="199"/>
  <c r="Q55" i="199"/>
  <c r="P55" i="199"/>
  <c r="BM61" i="129"/>
  <c r="BC47" i="129"/>
  <c r="AS64" i="129"/>
  <c r="DA42" i="129"/>
  <c r="BW55" i="129"/>
  <c r="E64" i="129"/>
  <c r="AI55" i="129"/>
  <c r="BC42" i="129"/>
  <c r="CQ23" i="129"/>
  <c r="CQ55" i="129"/>
  <c r="BW29" i="129"/>
  <c r="E61" i="129"/>
  <c r="BC55" i="129"/>
  <c r="BC19" i="129"/>
  <c r="CG29" i="129"/>
  <c r="E55" i="129"/>
  <c r="E23" i="129"/>
  <c r="CQ64" i="129"/>
  <c r="CQ29" i="129"/>
  <c r="CQ35" i="129"/>
  <c r="BM55" i="129"/>
  <c r="DA19" i="129"/>
  <c r="BW19" i="129"/>
  <c r="BW35" i="129"/>
  <c r="BW47" i="129"/>
  <c r="O26" i="129"/>
  <c r="O65" i="129"/>
  <c r="O50" i="129"/>
  <c r="O51" i="129"/>
  <c r="O40" i="129"/>
  <c r="O21" i="129"/>
  <c r="O54" i="129"/>
  <c r="O37" i="129"/>
  <c r="O45" i="129"/>
  <c r="O28" i="129"/>
  <c r="O44" i="129"/>
  <c r="O20" i="129"/>
  <c r="O30" i="129"/>
  <c r="O46" i="129"/>
  <c r="O59" i="129"/>
  <c r="O25" i="129"/>
  <c r="O32" i="129"/>
  <c r="O62" i="129"/>
  <c r="O63" i="129"/>
  <c r="O41" i="129"/>
  <c r="O43" i="129"/>
  <c r="O27" i="129"/>
  <c r="O53" i="129"/>
  <c r="O24" i="129"/>
  <c r="O31" i="129"/>
  <c r="O33" i="129"/>
  <c r="O36" i="129"/>
  <c r="O22" i="129"/>
  <c r="O52" i="129"/>
  <c r="O60" i="129"/>
  <c r="O48" i="129"/>
  <c r="O56" i="129"/>
  <c r="O34" i="129"/>
  <c r="O49" i="129"/>
  <c r="O57" i="129"/>
  <c r="O38" i="129"/>
  <c r="O67" i="129"/>
  <c r="O39" i="129"/>
  <c r="O58" i="129"/>
  <c r="O66" i="129"/>
  <c r="AI29" i="129"/>
  <c r="AI42" i="129"/>
  <c r="BC35" i="129"/>
  <c r="E47" i="129"/>
  <c r="CQ42" i="129"/>
  <c r="CQ19" i="129"/>
  <c r="AS35" i="129"/>
  <c r="AS23" i="129"/>
  <c r="AS55" i="129"/>
  <c r="BM35" i="129"/>
  <c r="BM42" i="129"/>
  <c r="DA55" i="129"/>
  <c r="DA64" i="129"/>
  <c r="DA61" i="129"/>
  <c r="BC64" i="129"/>
  <c r="BC23" i="129"/>
  <c r="CG19" i="129"/>
  <c r="CG35" i="129"/>
  <c r="E19" i="129"/>
  <c r="AS42" i="129"/>
  <c r="BM47" i="129"/>
  <c r="BM29" i="129"/>
  <c r="DA47" i="129"/>
  <c r="DA35" i="129"/>
  <c r="DA23" i="129"/>
  <c r="BW64" i="129"/>
  <c r="AK23" i="129"/>
  <c r="AK9" i="129" s="1"/>
  <c r="AI23" i="129"/>
  <c r="AI35" i="129"/>
  <c r="BC61" i="129"/>
  <c r="BC29" i="129"/>
  <c r="CG23" i="129"/>
  <c r="CG47" i="129"/>
  <c r="E42" i="129"/>
  <c r="CQ47" i="129"/>
  <c r="AS19" i="129"/>
  <c r="AS47" i="129"/>
  <c r="BM23" i="129"/>
  <c r="BW42" i="129"/>
  <c r="BW23" i="129"/>
  <c r="BW61" i="129"/>
  <c r="CM18" i="129"/>
  <c r="CM7" i="129" s="1"/>
  <c r="CM6" i="129" s="1"/>
  <c r="CM1" i="129" s="1"/>
  <c r="EA18" i="129"/>
  <c r="EA7" i="129" s="1"/>
  <c r="EA6" i="129" s="1"/>
  <c r="EA1" i="129" s="1"/>
  <c r="DQ18" i="129"/>
  <c r="DQ7" i="129" s="1"/>
  <c r="DQ6" i="129" s="1"/>
  <c r="DQ1" i="129" s="1"/>
  <c r="V17" i="151"/>
  <c r="E89" i="121" s="1"/>
  <c r="E89" i="124" s="1"/>
  <c r="V33" i="151"/>
  <c r="E105" i="121" s="1"/>
  <c r="E105" i="124" s="1"/>
  <c r="V17" i="153"/>
  <c r="C89" i="121" s="1"/>
  <c r="C89" i="124" s="1"/>
  <c r="V52" i="157"/>
  <c r="G124" i="121" s="1"/>
  <c r="G124" i="124" s="1"/>
  <c r="V62" i="151"/>
  <c r="E134" i="121" s="1"/>
  <c r="E134" i="124" s="1"/>
  <c r="V27" i="151"/>
  <c r="E99" i="121" s="1"/>
  <c r="E99" i="124" s="1"/>
  <c r="V21" i="151"/>
  <c r="E93" i="121" s="1"/>
  <c r="E93" i="124" s="1"/>
  <c r="E6" i="158"/>
  <c r="D6" i="158"/>
  <c r="AK47" i="129"/>
  <c r="AK13" i="129" s="1"/>
  <c r="V45" i="153"/>
  <c r="C117" i="121" s="1"/>
  <c r="C117" i="124" s="1"/>
  <c r="V33" i="153"/>
  <c r="C105" i="121" s="1"/>
  <c r="C105" i="124" s="1"/>
  <c r="D128" i="124"/>
  <c r="C97" i="124"/>
  <c r="D115" i="124"/>
  <c r="C133" i="124"/>
  <c r="D119" i="124"/>
  <c r="C123" i="124"/>
  <c r="V27" i="152"/>
  <c r="D99" i="121" s="1"/>
  <c r="D99" i="124" s="1"/>
  <c r="J99" i="191"/>
  <c r="D135" i="124"/>
  <c r="D113" i="124"/>
  <c r="D137" i="124"/>
  <c r="C110" i="124"/>
  <c r="D90" i="124"/>
  <c r="V53" i="152"/>
  <c r="D125" i="121" s="1"/>
  <c r="D125" i="124" s="1"/>
  <c r="U9" i="186"/>
  <c r="U9" i="185"/>
  <c r="U12" i="186"/>
  <c r="U12" i="185"/>
  <c r="C95" i="124"/>
  <c r="D130" i="124"/>
  <c r="D110" i="124"/>
  <c r="C107" i="124"/>
  <c r="D104" i="124"/>
  <c r="D100" i="124"/>
  <c r="C132" i="124"/>
  <c r="D124" i="124"/>
  <c r="C106" i="124"/>
  <c r="D126" i="124"/>
  <c r="D136" i="124"/>
  <c r="U14" i="186"/>
  <c r="U14" i="185"/>
  <c r="U10" i="186"/>
  <c r="U10" i="185"/>
  <c r="U11" i="186"/>
  <c r="U11" i="185"/>
  <c r="V62" i="152"/>
  <c r="D134" i="121" s="1"/>
  <c r="D134" i="124" s="1"/>
  <c r="V27" i="153"/>
  <c r="C99" i="121" s="1"/>
  <c r="C99" i="124" s="1"/>
  <c r="V21" i="152"/>
  <c r="D93" i="121" s="1"/>
  <c r="D93" i="124" s="1"/>
  <c r="V21" i="153"/>
  <c r="C93" i="121" s="1"/>
  <c r="C93" i="124" s="1"/>
  <c r="V40" i="153"/>
  <c r="C112" i="121" s="1"/>
  <c r="C112" i="124" s="1"/>
  <c r="V53" i="153"/>
  <c r="C125" i="121" s="1"/>
  <c r="C125" i="124" s="1"/>
  <c r="C98" i="124"/>
  <c r="D123" i="124"/>
  <c r="D96" i="124"/>
  <c r="C116" i="124"/>
  <c r="C135" i="124"/>
  <c r="D116" i="124"/>
  <c r="C129" i="124"/>
  <c r="C92" i="124"/>
  <c r="C90" i="124"/>
  <c r="C96" i="124"/>
  <c r="C127" i="124"/>
  <c r="D102" i="124"/>
  <c r="D122" i="124"/>
  <c r="G47" i="127"/>
  <c r="U4" i="151"/>
  <c r="U8" i="186"/>
  <c r="U8" i="185"/>
  <c r="U13" i="186"/>
  <c r="U13" i="185"/>
  <c r="V62" i="153"/>
  <c r="C134" i="121" s="1"/>
  <c r="C134" i="124" s="1"/>
  <c r="R18" i="112"/>
  <c r="R17" i="112" s="1"/>
  <c r="G55" i="129"/>
  <c r="G14" i="129" s="1"/>
  <c r="D121" i="124"/>
  <c r="D91" i="124"/>
  <c r="D106" i="124"/>
  <c r="D132" i="124"/>
  <c r="C115" i="124"/>
  <c r="D127" i="124"/>
  <c r="D111" i="124"/>
  <c r="C126" i="124"/>
  <c r="C130" i="124"/>
  <c r="D103" i="124"/>
  <c r="D120" i="124"/>
  <c r="C104" i="124"/>
  <c r="C100" i="124"/>
  <c r="D109" i="124"/>
  <c r="C118" i="124"/>
  <c r="C119" i="124"/>
  <c r="D101" i="124"/>
  <c r="C122" i="124"/>
  <c r="C103" i="124"/>
  <c r="D129" i="124"/>
  <c r="D94" i="124"/>
  <c r="C128" i="124"/>
  <c r="C94" i="124"/>
  <c r="D108" i="124"/>
  <c r="C124" i="124"/>
  <c r="C121" i="124"/>
  <c r="D107" i="124"/>
  <c r="C111" i="124"/>
  <c r="C113" i="124"/>
  <c r="C91" i="124"/>
  <c r="C120" i="124"/>
  <c r="D97" i="124"/>
  <c r="C108" i="124"/>
  <c r="V59" i="152"/>
  <c r="D131" i="121" s="1"/>
  <c r="D131" i="124" s="1"/>
  <c r="V40" i="152"/>
  <c r="D112" i="121" s="1"/>
  <c r="D112" i="124" s="1"/>
  <c r="V59" i="153"/>
  <c r="C131" i="121" s="1"/>
  <c r="C131" i="124" s="1"/>
  <c r="BY19" i="129"/>
  <c r="BY8" i="129" s="1"/>
  <c r="C101" i="124"/>
  <c r="C114" i="124"/>
  <c r="D133" i="124"/>
  <c r="D114" i="124"/>
  <c r="C102" i="124"/>
  <c r="D98" i="124"/>
  <c r="C136" i="124"/>
  <c r="D95" i="124"/>
  <c r="D92" i="124"/>
  <c r="C109" i="124"/>
  <c r="C137" i="124"/>
  <c r="D118" i="124"/>
  <c r="I19" i="129"/>
  <c r="I8" i="129" s="1"/>
  <c r="DC55" i="129"/>
  <c r="DC14" i="129" s="1"/>
  <c r="AK61" i="129"/>
  <c r="AK15" i="129" s="1"/>
  <c r="CI19" i="129"/>
  <c r="CI8" i="129" s="1"/>
  <c r="AK35" i="129"/>
  <c r="AK11" i="129" s="1"/>
  <c r="AK42" i="129"/>
  <c r="AK12" i="129" s="1"/>
  <c r="AK55" i="129"/>
  <c r="AK14" i="129" s="1"/>
  <c r="AY7" i="129"/>
  <c r="AY6" i="129" s="1"/>
  <c r="AY1" i="129" s="1"/>
  <c r="V1" i="129"/>
  <c r="CS47" i="129"/>
  <c r="CS13" i="129" s="1"/>
  <c r="BE64" i="129"/>
  <c r="BE16" i="129" s="1"/>
  <c r="BE61" i="129"/>
  <c r="BE15" i="129" s="1"/>
  <c r="CI23" i="129"/>
  <c r="CI9" i="129" s="1"/>
  <c r="AK29" i="129"/>
  <c r="AK10" i="129" s="1"/>
  <c r="AK64" i="129"/>
  <c r="AK16" i="129" s="1"/>
  <c r="G29" i="129"/>
  <c r="G10" i="129" s="1"/>
  <c r="AU55" i="129"/>
  <c r="AU14" i="129" s="1"/>
  <c r="AU61" i="129"/>
  <c r="AU15" i="129" s="1"/>
  <c r="AU35" i="129"/>
  <c r="AU11" i="129" s="1"/>
  <c r="BE19" i="129"/>
  <c r="BE8" i="129" s="1"/>
  <c r="DC61" i="129"/>
  <c r="DC15" i="129" s="1"/>
  <c r="G64" i="129"/>
  <c r="G16" i="129" s="1"/>
  <c r="I35" i="129"/>
  <c r="I11" i="129" s="1"/>
  <c r="BY64" i="129"/>
  <c r="BY16" i="129" s="1"/>
  <c r="BY42" i="129"/>
  <c r="BY12" i="129" s="1"/>
  <c r="BO61" i="129"/>
  <c r="BO15" i="129" s="1"/>
  <c r="CI64" i="129"/>
  <c r="CI16" i="129" s="1"/>
  <c r="BE47" i="129"/>
  <c r="BE13" i="129" s="1"/>
  <c r="AD88" i="114"/>
  <c r="AC28" i="114"/>
  <c r="Z4" i="114"/>
  <c r="J51" i="93" s="1"/>
  <c r="AB35" i="114"/>
  <c r="AC95" i="114"/>
  <c r="EB9" i="129"/>
  <c r="EB11" i="129"/>
  <c r="EB15" i="129"/>
  <c r="EB13" i="129"/>
  <c r="G47" i="129"/>
  <c r="G13" i="129" s="1"/>
  <c r="I23" i="129"/>
  <c r="I9" i="129" s="1"/>
  <c r="CA47" i="129"/>
  <c r="CA13" i="129" s="1"/>
  <c r="BY47" i="129"/>
  <c r="BY13" i="129" s="1"/>
  <c r="CA29" i="129"/>
  <c r="CA10" i="129" s="1"/>
  <c r="BY35" i="129"/>
  <c r="BY11" i="129" s="1"/>
  <c r="AW35" i="129"/>
  <c r="AW11" i="129" s="1"/>
  <c r="AW55" i="129"/>
  <c r="AW14" i="129" s="1"/>
  <c r="AW61" i="129"/>
  <c r="AW15" i="129" s="1"/>
  <c r="AW47" i="129"/>
  <c r="AW13" i="129" s="1"/>
  <c r="AU19" i="129"/>
  <c r="AU8" i="129" s="1"/>
  <c r="CS23" i="129"/>
  <c r="CS9" i="129" s="1"/>
  <c r="CS35" i="129"/>
  <c r="CS11" i="129" s="1"/>
  <c r="CU64" i="129"/>
  <c r="CU16" i="129" s="1"/>
  <c r="CS61" i="129"/>
  <c r="CS15" i="129" s="1"/>
  <c r="BE42" i="129"/>
  <c r="BE12" i="129" s="1"/>
  <c r="BG19" i="129"/>
  <c r="BG8" i="129" s="1"/>
  <c r="BG23" i="129"/>
  <c r="BG9" i="129" s="1"/>
  <c r="BG55" i="129"/>
  <c r="BG14" i="129" s="1"/>
  <c r="BQ29" i="129"/>
  <c r="BQ10" i="129" s="1"/>
  <c r="BO47" i="129"/>
  <c r="BO13" i="129" s="1"/>
  <c r="BO35" i="129"/>
  <c r="BO11" i="129" s="1"/>
  <c r="BQ61" i="129"/>
  <c r="BQ15" i="129" s="1"/>
  <c r="CK35" i="129"/>
  <c r="CK11" i="129" s="1"/>
  <c r="CK29" i="129"/>
  <c r="CK10" i="129" s="1"/>
  <c r="CK19" i="129"/>
  <c r="CK8" i="129" s="1"/>
  <c r="CK64" i="129"/>
  <c r="CK16" i="129" s="1"/>
  <c r="DE19" i="129"/>
  <c r="DE8" i="129" s="1"/>
  <c r="DC29" i="129"/>
  <c r="DC10" i="129" s="1"/>
  <c r="EB12" i="129"/>
  <c r="EB8" i="129"/>
  <c r="I47" i="129"/>
  <c r="I13" i="129" s="1"/>
  <c r="G23" i="129"/>
  <c r="G9" i="129" s="1"/>
  <c r="I64" i="129"/>
  <c r="I16" i="129" s="1"/>
  <c r="I61" i="129"/>
  <c r="I15" i="129" s="1"/>
  <c r="G61" i="129"/>
  <c r="G15" i="129" s="1"/>
  <c r="G19" i="129"/>
  <c r="G8" i="129" s="1"/>
  <c r="CA23" i="129"/>
  <c r="CA9" i="129" s="1"/>
  <c r="CA35" i="129"/>
  <c r="CA11" i="129" s="1"/>
  <c r="BY61" i="129"/>
  <c r="BY15" i="129" s="1"/>
  <c r="AW64" i="129"/>
  <c r="AW16" i="129" s="1"/>
  <c r="AU23" i="129"/>
  <c r="AU9" i="129" s="1"/>
  <c r="AW19" i="129"/>
  <c r="AW8" i="129" s="1"/>
  <c r="AU29" i="129"/>
  <c r="AU10" i="129" s="1"/>
  <c r="AM35" i="129"/>
  <c r="AM11" i="129" s="1"/>
  <c r="AM42" i="129"/>
  <c r="AM12" i="129" s="1"/>
  <c r="AM47" i="129"/>
  <c r="AM13" i="129" s="1"/>
  <c r="AM55" i="129"/>
  <c r="AM14" i="129" s="1"/>
  <c r="CU47" i="129"/>
  <c r="CU13" i="129" s="1"/>
  <c r="CS55" i="129"/>
  <c r="CS14" i="129" s="1"/>
  <c r="CU55" i="129"/>
  <c r="CU14" i="129" s="1"/>
  <c r="CS42" i="129"/>
  <c r="CS12" i="129" s="1"/>
  <c r="BG64" i="129"/>
  <c r="BG16" i="129" s="1"/>
  <c r="BG42" i="129"/>
  <c r="BG12" i="129" s="1"/>
  <c r="BE29" i="129"/>
  <c r="BE10" i="129" s="1"/>
  <c r="BQ64" i="129"/>
  <c r="BQ16" i="129" s="1"/>
  <c r="BQ42" i="129"/>
  <c r="BQ12" i="129" s="1"/>
  <c r="BQ47" i="129"/>
  <c r="BQ13" i="129" s="1"/>
  <c r="BO23" i="129"/>
  <c r="BO9" i="129" s="1"/>
  <c r="BQ55" i="129"/>
  <c r="BQ14" i="129" s="1"/>
  <c r="BQ19" i="129"/>
  <c r="BQ8" i="129" s="1"/>
  <c r="CI55" i="129"/>
  <c r="CI14" i="129" s="1"/>
  <c r="CK42" i="129"/>
  <c r="CK12" i="129" s="1"/>
  <c r="CI47" i="129"/>
  <c r="CI13" i="129" s="1"/>
  <c r="CK47" i="129"/>
  <c r="CK13" i="129" s="1"/>
  <c r="CK55" i="129"/>
  <c r="CK14" i="129" s="1"/>
  <c r="CI29" i="129"/>
  <c r="CI10" i="129" s="1"/>
  <c r="CI42" i="129"/>
  <c r="CI12" i="129" s="1"/>
  <c r="DE47" i="129"/>
  <c r="DE13" i="129" s="1"/>
  <c r="DE64" i="129"/>
  <c r="DE16" i="129" s="1"/>
  <c r="DC47" i="129"/>
  <c r="DC13" i="129" s="1"/>
  <c r="DE29" i="129"/>
  <c r="DE10" i="129" s="1"/>
  <c r="DC64" i="129"/>
  <c r="DC16" i="129" s="1"/>
  <c r="EB10" i="129"/>
  <c r="EB16" i="129"/>
  <c r="EB7" i="129" s="1"/>
  <c r="I42" i="129"/>
  <c r="I12" i="129" s="1"/>
  <c r="G35" i="129"/>
  <c r="G11" i="129" s="1"/>
  <c r="I29" i="129"/>
  <c r="I10" i="129" s="1"/>
  <c r="I55" i="129"/>
  <c r="I14" i="129" s="1"/>
  <c r="BY29" i="129"/>
  <c r="BY10" i="129" s="1"/>
  <c r="BY55" i="129"/>
  <c r="BY14" i="129" s="1"/>
  <c r="Q56" i="129"/>
  <c r="S62" i="129"/>
  <c r="S44" i="129"/>
  <c r="S20" i="129"/>
  <c r="S51" i="129"/>
  <c r="Q67" i="129"/>
  <c r="Q24" i="129"/>
  <c r="S31" i="129"/>
  <c r="S46" i="129"/>
  <c r="Q33" i="129"/>
  <c r="Q53" i="129"/>
  <c r="S21" i="129"/>
  <c r="S28" i="129"/>
  <c r="Q63" i="129"/>
  <c r="S37" i="129"/>
  <c r="S60" i="129"/>
  <c r="S49" i="129"/>
  <c r="S32" i="129"/>
  <c r="Q52" i="129"/>
  <c r="S59" i="129"/>
  <c r="Q34" i="129"/>
  <c r="Q58" i="129"/>
  <c r="Q28" i="129"/>
  <c r="Q49" i="129"/>
  <c r="S54" i="129"/>
  <c r="Q59" i="129"/>
  <c r="S56" i="129"/>
  <c r="S30" i="129"/>
  <c r="S65" i="129"/>
  <c r="Q66" i="129"/>
  <c r="S41" i="129"/>
  <c r="Q51" i="129"/>
  <c r="S34" i="129"/>
  <c r="S67" i="129"/>
  <c r="Q31" i="129"/>
  <c r="S58" i="129"/>
  <c r="Q21" i="129"/>
  <c r="Q50" i="129"/>
  <c r="Q37" i="129"/>
  <c r="S43" i="129"/>
  <c r="Q60" i="129"/>
  <c r="S45" i="129"/>
  <c r="Q39" i="129"/>
  <c r="Q57" i="129"/>
  <c r="S36" i="129"/>
  <c r="Q27" i="129"/>
  <c r="Q62" i="129"/>
  <c r="Q44" i="129"/>
  <c r="Q20" i="129"/>
  <c r="Q26" i="129"/>
  <c r="S33" i="129"/>
  <c r="S38" i="129"/>
  <c r="Q32" i="129"/>
  <c r="S52" i="129"/>
  <c r="S39" i="129"/>
  <c r="Q54" i="129"/>
  <c r="S57" i="129"/>
  <c r="Q36" i="129"/>
  <c r="S27" i="129"/>
  <c r="Q30" i="129"/>
  <c r="Q65" i="129"/>
  <c r="S66" i="129"/>
  <c r="Q22" i="129"/>
  <c r="S40" i="129"/>
  <c r="S26" i="129"/>
  <c r="Q48" i="129"/>
  <c r="Q25" i="129"/>
  <c r="Q38" i="129"/>
  <c r="S53" i="129"/>
  <c r="S50" i="129"/>
  <c r="S63" i="129"/>
  <c r="Q43" i="129"/>
  <c r="Q45" i="129"/>
  <c r="Q41" i="129"/>
  <c r="S22" i="129"/>
  <c r="Q40" i="129"/>
  <c r="S24" i="129"/>
  <c r="Q46" i="129"/>
  <c r="S48" i="129"/>
  <c r="S25" i="129"/>
  <c r="AW23" i="129"/>
  <c r="AW9" i="129" s="1"/>
  <c r="AW42" i="129"/>
  <c r="AW12" i="129" s="1"/>
  <c r="AU64" i="129"/>
  <c r="AU16" i="129" s="1"/>
  <c r="AW29" i="129"/>
  <c r="AW10" i="129" s="1"/>
  <c r="AM19" i="129"/>
  <c r="AM8" i="129" s="1"/>
  <c r="AM29" i="129"/>
  <c r="AM10" i="129" s="1"/>
  <c r="AK19" i="129"/>
  <c r="AK8" i="129" s="1"/>
  <c r="AM64" i="129"/>
  <c r="AM16" i="129" s="1"/>
  <c r="CS19" i="129"/>
  <c r="CS8" i="129" s="1"/>
  <c r="CU23" i="129"/>
  <c r="CU9" i="129" s="1"/>
  <c r="CU61" i="129"/>
  <c r="CU15" i="129" s="1"/>
  <c r="CU19" i="129"/>
  <c r="CU8" i="129" s="1"/>
  <c r="CU35" i="129"/>
  <c r="CU11" i="129" s="1"/>
  <c r="CU42" i="129"/>
  <c r="CU12" i="129" s="1"/>
  <c r="BG35" i="129"/>
  <c r="BG11" i="129" s="1"/>
  <c r="BE55" i="129"/>
  <c r="BE14" i="129" s="1"/>
  <c r="BG61" i="129"/>
  <c r="BG15" i="129" s="1"/>
  <c r="BQ35" i="129"/>
  <c r="BQ11" i="129" s="1"/>
  <c r="BQ23" i="129"/>
  <c r="BQ9" i="129" s="1"/>
  <c r="BO42" i="129"/>
  <c r="BO12" i="129" s="1"/>
  <c r="BO29" i="129"/>
  <c r="BO10" i="129" s="1"/>
  <c r="CI35" i="129"/>
  <c r="CI11" i="129" s="1"/>
  <c r="DC42" i="129"/>
  <c r="DC12" i="129" s="1"/>
  <c r="DC35" i="129"/>
  <c r="DC11" i="129" s="1"/>
  <c r="DE35" i="129"/>
  <c r="DE11" i="129" s="1"/>
  <c r="DE55" i="129"/>
  <c r="DE14" i="129" s="1"/>
  <c r="EB14" i="129"/>
  <c r="G42" i="129"/>
  <c r="G12" i="129" s="1"/>
  <c r="CA19" i="129"/>
  <c r="CA8" i="129" s="1"/>
  <c r="CA64" i="129"/>
  <c r="CA16" i="129" s="1"/>
  <c r="CA42" i="129"/>
  <c r="CA12" i="129" s="1"/>
  <c r="CA55" i="129"/>
  <c r="CA14" i="129" s="1"/>
  <c r="CA61" i="129"/>
  <c r="CA15" i="129" s="1"/>
  <c r="BY23" i="129"/>
  <c r="BY9" i="129" s="1"/>
  <c r="AU42" i="129"/>
  <c r="AU12" i="129" s="1"/>
  <c r="AU47" i="129"/>
  <c r="AU13" i="129" s="1"/>
  <c r="AM61" i="129"/>
  <c r="AM15" i="129" s="1"/>
  <c r="AM23" i="129"/>
  <c r="AM9" i="129" s="1"/>
  <c r="CS29" i="129"/>
  <c r="CS10" i="129" s="1"/>
  <c r="CS64" i="129"/>
  <c r="CS16" i="129" s="1"/>
  <c r="CU29" i="129"/>
  <c r="CU10" i="129" s="1"/>
  <c r="BG47" i="129"/>
  <c r="BG13" i="129" s="1"/>
  <c r="BE23" i="129"/>
  <c r="BE9" i="129" s="1"/>
  <c r="BE35" i="129"/>
  <c r="BE11" i="129" s="1"/>
  <c r="BG29" i="129"/>
  <c r="BG10" i="129" s="1"/>
  <c r="BO55" i="129"/>
  <c r="BO14" i="129" s="1"/>
  <c r="BO64" i="129"/>
  <c r="BO16" i="129" s="1"/>
  <c r="CK23" i="129"/>
  <c r="CK9" i="129" s="1"/>
  <c r="CK61" i="129"/>
  <c r="CK15" i="129" s="1"/>
  <c r="DE61" i="129"/>
  <c r="DE15" i="129" s="1"/>
  <c r="DE42" i="129"/>
  <c r="DE12" i="129" s="1"/>
  <c r="DE23" i="129"/>
  <c r="DE9" i="129" s="1"/>
  <c r="DC19" i="129"/>
  <c r="DC8" i="129" s="1"/>
  <c r="DC23" i="129"/>
  <c r="DC9" i="129" s="1"/>
  <c r="G71" i="190"/>
  <c r="E67" i="188"/>
  <c r="E69" i="188" s="1"/>
  <c r="E67" i="189"/>
  <c r="E69" i="189" s="1"/>
  <c r="AE114" i="114"/>
  <c r="AF114" i="114" s="1"/>
  <c r="AD54" i="114"/>
  <c r="AA22" i="114"/>
  <c r="AC99" i="114"/>
  <c r="AB39" i="114"/>
  <c r="AB40" i="114"/>
  <c r="AC100" i="114"/>
  <c r="AC97" i="114"/>
  <c r="AB37" i="114"/>
  <c r="AB31" i="114"/>
  <c r="AC91" i="114"/>
  <c r="AC80" i="114"/>
  <c r="AB20" i="114"/>
  <c r="AC85" i="114"/>
  <c r="AB25" i="114"/>
  <c r="AC83" i="114"/>
  <c r="AB23" i="114"/>
  <c r="AB21" i="114"/>
  <c r="AC81" i="114"/>
  <c r="DR16" i="129"/>
  <c r="S8" i="112"/>
  <c r="S9" i="112"/>
  <c r="S12" i="112"/>
  <c r="S10" i="112"/>
  <c r="S11" i="112"/>
  <c r="S16" i="112"/>
  <c r="S14" i="112"/>
  <c r="S15" i="112"/>
  <c r="S13" i="112"/>
  <c r="J128" i="192"/>
  <c r="J125" i="192"/>
  <c r="AC26" i="114"/>
  <c r="AD86" i="114"/>
  <c r="AD93" i="114"/>
  <c r="AC33" i="114"/>
  <c r="AE27" i="114"/>
  <c r="AA48" i="114"/>
  <c r="W13" i="176"/>
  <c r="AE13" i="176" s="1"/>
  <c r="X16" i="176"/>
  <c r="AF16" i="176" s="1"/>
  <c r="X11" i="176"/>
  <c r="AF14" i="176"/>
  <c r="S18" i="119"/>
  <c r="G106" i="194"/>
  <c r="G125" i="194"/>
  <c r="G111" i="194"/>
  <c r="G119" i="194"/>
  <c r="G128" i="194"/>
  <c r="G87" i="194"/>
  <c r="G93" i="194"/>
  <c r="G99" i="194"/>
  <c r="G83" i="194"/>
  <c r="AC36" i="114"/>
  <c r="AD96" i="114"/>
  <c r="E78" i="190"/>
  <c r="E79" i="190"/>
  <c r="G72" i="190"/>
  <c r="E75" i="190"/>
  <c r="E81" i="190"/>
  <c r="E79" i="191"/>
  <c r="E73" i="190"/>
  <c r="J79" i="191"/>
  <c r="J72" i="191"/>
  <c r="E77" i="190"/>
  <c r="E80" i="190"/>
  <c r="J73" i="191"/>
  <c r="J74" i="191"/>
  <c r="J78" i="191"/>
  <c r="J76" i="191"/>
  <c r="J77" i="191"/>
  <c r="J80" i="191"/>
  <c r="J83" i="188"/>
  <c r="AD84" i="114"/>
  <c r="AC24" i="114"/>
  <c r="AD79" i="114"/>
  <c r="AC19" i="114"/>
  <c r="AC18" i="114"/>
  <c r="AD78" i="114"/>
  <c r="AD77" i="114"/>
  <c r="AC17" i="114"/>
  <c r="J99" i="192"/>
  <c r="DR7" i="129"/>
  <c r="F6" i="158"/>
  <c r="M6" i="158"/>
  <c r="G6" i="158"/>
  <c r="N6" i="158"/>
  <c r="I6" i="158"/>
  <c r="K6" i="158"/>
  <c r="L6" i="158"/>
  <c r="J6" i="158"/>
  <c r="O6" i="158"/>
  <c r="D16" i="127"/>
  <c r="D14" i="152"/>
  <c r="D8" i="152"/>
  <c r="D10" i="127"/>
  <c r="AB7" i="114"/>
  <c r="AC67" i="114"/>
  <c r="AA10" i="114"/>
  <c r="AC104" i="114"/>
  <c r="AB44" i="114"/>
  <c r="AB13" i="114"/>
  <c r="AC73" i="114"/>
  <c r="AA6" i="114"/>
  <c r="D6" i="153"/>
  <c r="C8" i="127"/>
  <c r="AA42" i="114"/>
  <c r="AC105" i="114"/>
  <c r="AB45" i="114"/>
  <c r="E9" i="127"/>
  <c r="D9" i="153"/>
  <c r="C11" i="127"/>
  <c r="AC106" i="114"/>
  <c r="AB46" i="114"/>
  <c r="AC72" i="114"/>
  <c r="AB12" i="114"/>
  <c r="AB9" i="114"/>
  <c r="AC69" i="114"/>
  <c r="E16" i="127"/>
  <c r="AC71" i="114"/>
  <c r="AB11" i="114"/>
  <c r="C15" i="127"/>
  <c r="D13" i="153"/>
  <c r="C14" i="127"/>
  <c r="D12" i="153"/>
  <c r="C10" i="127"/>
  <c r="D8" i="153"/>
  <c r="AB49" i="114"/>
  <c r="AC109" i="114"/>
  <c r="C16" i="127"/>
  <c r="D14" i="153"/>
  <c r="AC74" i="114"/>
  <c r="AB14" i="114"/>
  <c r="C9" i="127"/>
  <c r="D7" i="153"/>
  <c r="D9" i="127"/>
  <c r="D7" i="152"/>
  <c r="D13" i="151"/>
  <c r="E15" i="127"/>
  <c r="C13" i="127"/>
  <c r="D11" i="153"/>
  <c r="E14" i="127"/>
  <c r="D12" i="151"/>
  <c r="AB8" i="114"/>
  <c r="AC68" i="114"/>
  <c r="AC103" i="114"/>
  <c r="AB43" i="114"/>
  <c r="AB47" i="114"/>
  <c r="AC107" i="114"/>
  <c r="C12" i="127"/>
  <c r="D10" i="153"/>
  <c r="AB50" i="114"/>
  <c r="AC110" i="114"/>
  <c r="AB15" i="114"/>
  <c r="AC75" i="114"/>
  <c r="E78" i="191"/>
  <c r="E74" i="191"/>
  <c r="J80" i="192"/>
  <c r="J79" i="192"/>
  <c r="J76" i="192"/>
  <c r="L18" i="120"/>
  <c r="M19" i="120"/>
  <c r="K18" i="120"/>
  <c r="K17" i="120" s="1"/>
  <c r="U6" i="186"/>
  <c r="M35" i="120"/>
  <c r="M42" i="120"/>
  <c r="M47" i="120"/>
  <c r="M29" i="120"/>
  <c r="M61" i="120"/>
  <c r="M55" i="120"/>
  <c r="J7" i="120"/>
  <c r="U16" i="178"/>
  <c r="M64" i="120"/>
  <c r="N44" i="120"/>
  <c r="U42" i="188" s="1"/>
  <c r="N53" i="120"/>
  <c r="U51" i="188" s="1"/>
  <c r="N41" i="120"/>
  <c r="U39" i="188" s="1"/>
  <c r="N38" i="120"/>
  <c r="U36" i="188" s="1"/>
  <c r="N32" i="120"/>
  <c r="U30" i="188" s="1"/>
  <c r="N28" i="120"/>
  <c r="U26" i="188" s="1"/>
  <c r="N65" i="120"/>
  <c r="N67" i="120"/>
  <c r="U65" i="188" s="1"/>
  <c r="N66" i="120"/>
  <c r="U64" i="188" s="1"/>
  <c r="N45" i="120"/>
  <c r="U43" i="188" s="1"/>
  <c r="N48" i="120"/>
  <c r="N52" i="120"/>
  <c r="U50" i="188" s="1"/>
  <c r="N59" i="120"/>
  <c r="U57" i="188" s="1"/>
  <c r="N43" i="120"/>
  <c r="N40" i="120"/>
  <c r="U38" i="188" s="1"/>
  <c r="N63" i="120"/>
  <c r="U61" i="188" s="1"/>
  <c r="N24" i="120"/>
  <c r="N27" i="120"/>
  <c r="U25" i="188" s="1"/>
  <c r="N57" i="120"/>
  <c r="U55" i="188" s="1"/>
  <c r="N34" i="120"/>
  <c r="U32" i="188" s="1"/>
  <c r="N26" i="120"/>
  <c r="U24" i="188" s="1"/>
  <c r="N21" i="120"/>
  <c r="U19" i="188" s="1"/>
  <c r="N56" i="120"/>
  <c r="N36" i="120"/>
  <c r="N54" i="120"/>
  <c r="U52" i="188" s="1"/>
  <c r="N39" i="120"/>
  <c r="U37" i="188" s="1"/>
  <c r="N60" i="120"/>
  <c r="U58" i="188" s="1"/>
  <c r="N33" i="120"/>
  <c r="U31" i="188" s="1"/>
  <c r="N46" i="120"/>
  <c r="U44" i="188" s="1"/>
  <c r="N31" i="120"/>
  <c r="U29" i="188" s="1"/>
  <c r="N58" i="120"/>
  <c r="U56" i="188" s="1"/>
  <c r="N30" i="120"/>
  <c r="N37" i="120"/>
  <c r="U35" i="188" s="1"/>
  <c r="N49" i="120"/>
  <c r="U47" i="188" s="1"/>
  <c r="N51" i="120"/>
  <c r="U49" i="188" s="1"/>
  <c r="N20" i="120"/>
  <c r="N62" i="120"/>
  <c r="N50" i="120"/>
  <c r="U48" i="188" s="1"/>
  <c r="N22" i="120"/>
  <c r="U20" i="188" s="1"/>
  <c r="N25" i="120"/>
  <c r="U23" i="188" s="1"/>
  <c r="M23" i="120"/>
  <c r="Q7" i="112"/>
  <c r="Q6" i="112" s="1"/>
  <c r="F6" i="120"/>
  <c r="U4" i="134" s="1"/>
  <c r="U5" i="134"/>
  <c r="AA34" i="114"/>
  <c r="V7" i="134"/>
  <c r="G116" i="121"/>
  <c r="G116" i="124" s="1"/>
  <c r="G110" i="121"/>
  <c r="G110" i="124" s="1"/>
  <c r="G135" i="121"/>
  <c r="G135" i="124" s="1"/>
  <c r="G102" i="121"/>
  <c r="G102" i="124" s="1"/>
  <c r="G136" i="121"/>
  <c r="G136" i="124" s="1"/>
  <c r="F105" i="121"/>
  <c r="F105" i="124" s="1"/>
  <c r="F99" i="121"/>
  <c r="F99" i="124" s="1"/>
  <c r="AF5" i="114"/>
  <c r="G115" i="121"/>
  <c r="G115" i="124" s="1"/>
  <c r="G130" i="121"/>
  <c r="G130" i="124" s="1"/>
  <c r="G96" i="121"/>
  <c r="G96" i="124" s="1"/>
  <c r="V50" i="170"/>
  <c r="V26" i="170"/>
  <c r="V39" i="170"/>
  <c r="E83" i="188"/>
  <c r="V52" i="170"/>
  <c r="G72" i="188"/>
  <c r="H121" i="121"/>
  <c r="H121" i="124" s="1"/>
  <c r="F93" i="121"/>
  <c r="F93" i="124" s="1"/>
  <c r="G90" i="121"/>
  <c r="G90" i="124" s="1"/>
  <c r="G120" i="121"/>
  <c r="G120" i="124" s="1"/>
  <c r="G123" i="121"/>
  <c r="G123" i="124" s="1"/>
  <c r="G95" i="121"/>
  <c r="G95" i="124" s="1"/>
  <c r="G107" i="121"/>
  <c r="G107" i="124" s="1"/>
  <c r="V9" i="134"/>
  <c r="V11" i="134"/>
  <c r="I38" i="127"/>
  <c r="G113" i="121"/>
  <c r="G113" i="124" s="1"/>
  <c r="G109" i="121"/>
  <c r="G109" i="124" s="1"/>
  <c r="G94" i="121"/>
  <c r="G94" i="124" s="1"/>
  <c r="G100" i="121"/>
  <c r="G100" i="124" s="1"/>
  <c r="G132" i="121"/>
  <c r="G132" i="124" s="1"/>
  <c r="V30" i="170"/>
  <c r="V64" i="170"/>
  <c r="V43" i="170"/>
  <c r="V42" i="170"/>
  <c r="V63" i="170"/>
  <c r="V29" i="170"/>
  <c r="V6" i="134"/>
  <c r="AC98" i="114"/>
  <c r="AB38" i="114"/>
  <c r="G71" i="189"/>
  <c r="V17" i="157"/>
  <c r="G133" i="121"/>
  <c r="G133" i="124" s="1"/>
  <c r="G114" i="121"/>
  <c r="G114" i="124" s="1"/>
  <c r="G122" i="121"/>
  <c r="G122" i="124" s="1"/>
  <c r="G128" i="121"/>
  <c r="G128" i="124" s="1"/>
  <c r="G137" i="121"/>
  <c r="G137" i="124" s="1"/>
  <c r="G104" i="121"/>
  <c r="G104" i="124" s="1"/>
  <c r="F112" i="121"/>
  <c r="F112" i="124" s="1"/>
  <c r="F117" i="121"/>
  <c r="F117" i="124" s="1"/>
  <c r="AB41" i="114"/>
  <c r="AC101" i="114"/>
  <c r="V13" i="134"/>
  <c r="F131" i="121"/>
  <c r="F131" i="124" s="1"/>
  <c r="G126" i="121"/>
  <c r="G126" i="124" s="1"/>
  <c r="V33" i="157"/>
  <c r="G103" i="121"/>
  <c r="G103" i="124" s="1"/>
  <c r="G97" i="121"/>
  <c r="G97" i="124" s="1"/>
  <c r="G118" i="121"/>
  <c r="G118" i="124" s="1"/>
  <c r="V45" i="157"/>
  <c r="G98" i="121"/>
  <c r="G98" i="124" s="1"/>
  <c r="V27" i="157"/>
  <c r="G127" i="121"/>
  <c r="G127" i="124" s="1"/>
  <c r="G108" i="121"/>
  <c r="G108" i="124" s="1"/>
  <c r="V37" i="170"/>
  <c r="V20" i="170"/>
  <c r="V47" i="170"/>
  <c r="V38" i="170"/>
  <c r="V28" i="170"/>
  <c r="V14" i="134"/>
  <c r="F125" i="121"/>
  <c r="F125" i="124" s="1"/>
  <c r="G101" i="121"/>
  <c r="G101" i="124" s="1"/>
  <c r="G92" i="121"/>
  <c r="G92" i="124" s="1"/>
  <c r="D14" i="157"/>
  <c r="G16" i="127"/>
  <c r="G91" i="121"/>
  <c r="G91" i="124" s="1"/>
  <c r="E83" i="189"/>
  <c r="G129" i="121"/>
  <c r="G129" i="124" s="1"/>
  <c r="V40" i="157"/>
  <c r="G106" i="121"/>
  <c r="G106" i="124" s="1"/>
  <c r="G119" i="121"/>
  <c r="G119" i="124" s="1"/>
  <c r="V21" i="157"/>
  <c r="G111" i="121"/>
  <c r="G111" i="124" s="1"/>
  <c r="V31" i="170"/>
  <c r="V58" i="170"/>
  <c r="V24" i="170"/>
  <c r="V48" i="170"/>
  <c r="V57" i="170"/>
  <c r="F134" i="121"/>
  <c r="F134" i="124" s="1"/>
  <c r="F89" i="121"/>
  <c r="F89" i="124" s="1"/>
  <c r="AN23" i="99" l="1"/>
  <c r="AN22" i="99" s="1"/>
  <c r="AN35" i="99"/>
  <c r="AN34" i="99" s="1"/>
  <c r="AM5" i="99"/>
  <c r="V67" i="111"/>
  <c r="V66" i="111"/>
  <c r="V52" i="111"/>
  <c r="E50" i="211" s="1"/>
  <c r="AN43" i="108"/>
  <c r="AN42" i="108" s="1"/>
  <c r="AN35" i="108"/>
  <c r="AN34" i="108" s="1"/>
  <c r="AM4" i="108"/>
  <c r="W20" i="111" s="1"/>
  <c r="AN27" i="108"/>
  <c r="AN22" i="108" s="1"/>
  <c r="AN4" i="108"/>
  <c r="X54" i="111" s="1"/>
  <c r="V34" i="111"/>
  <c r="V50" i="111"/>
  <c r="V49" i="111"/>
  <c r="E47" i="211" s="1"/>
  <c r="GT49" i="129" s="1"/>
  <c r="V51" i="111"/>
  <c r="V60" i="111"/>
  <c r="V63" i="111"/>
  <c r="E61" i="211" s="1"/>
  <c r="V45" i="111"/>
  <c r="E43" i="211" s="1"/>
  <c r="GT45" i="129" s="1"/>
  <c r="V32" i="111"/>
  <c r="E30" i="211" s="1"/>
  <c r="GT32" i="129" s="1"/>
  <c r="V31" i="111"/>
  <c r="V58" i="111"/>
  <c r="V59" i="111"/>
  <c r="V55" i="111" s="1"/>
  <c r="V36" i="111"/>
  <c r="V30" i="111"/>
  <c r="V46" i="111"/>
  <c r="E44" i="211" s="1"/>
  <c r="GT46" i="129" s="1"/>
  <c r="V27" i="111"/>
  <c r="E25" i="211" s="1"/>
  <c r="GT27" i="129" s="1"/>
  <c r="V41" i="111"/>
  <c r="E39" i="211" s="1"/>
  <c r="GT41" i="129" s="1"/>
  <c r="V56" i="111"/>
  <c r="V44" i="111"/>
  <c r="V25" i="111"/>
  <c r="E23" i="211" s="1"/>
  <c r="GT25" i="129" s="1"/>
  <c r="V57" i="111"/>
  <c r="V24" i="111"/>
  <c r="V33" i="111"/>
  <c r="E31" i="211" s="1"/>
  <c r="GT33" i="129" s="1"/>
  <c r="V20" i="111"/>
  <c r="E18" i="211" s="1"/>
  <c r="GT20" i="129" s="1"/>
  <c r="V40" i="111"/>
  <c r="V35" i="111" s="1"/>
  <c r="V26" i="111"/>
  <c r="V39" i="111"/>
  <c r="V53" i="111"/>
  <c r="E51" i="211" s="1"/>
  <c r="GT53" i="129" s="1"/>
  <c r="V37" i="111"/>
  <c r="V62" i="111"/>
  <c r="E60" i="211" s="1"/>
  <c r="GT62" i="129" s="1"/>
  <c r="V65" i="111"/>
  <c r="V64" i="111" s="1"/>
  <c r="V28" i="111"/>
  <c r="E26" i="211" s="1"/>
  <c r="V43" i="111"/>
  <c r="E41" i="211" s="1"/>
  <c r="GT43" i="129" s="1"/>
  <c r="V54" i="111"/>
  <c r="V38" i="111"/>
  <c r="V48" i="111"/>
  <c r="V47" i="111" s="1"/>
  <c r="V21" i="111"/>
  <c r="V22" i="111"/>
  <c r="X45" i="111"/>
  <c r="X56" i="111"/>
  <c r="X62" i="111"/>
  <c r="X44" i="111"/>
  <c r="X22" i="111"/>
  <c r="D15" i="127"/>
  <c r="D11" i="151"/>
  <c r="D8" i="127"/>
  <c r="D11" i="127"/>
  <c r="CT21" i="129"/>
  <c r="D11" i="152"/>
  <c r="V11" i="152" s="1"/>
  <c r="D83" i="121" s="1"/>
  <c r="D83" i="124" s="1"/>
  <c r="E80" i="191"/>
  <c r="CT40" i="129"/>
  <c r="CT22" i="129"/>
  <c r="D12" i="127"/>
  <c r="D12" i="152"/>
  <c r="V12" i="152" s="1"/>
  <c r="D84" i="121" s="1"/>
  <c r="D84" i="124" s="1"/>
  <c r="D18" i="93"/>
  <c r="D17" i="93" s="1"/>
  <c r="J83" i="190"/>
  <c r="J75" i="191"/>
  <c r="J72" i="190"/>
  <c r="CT20" i="129"/>
  <c r="CT66" i="129"/>
  <c r="W45" i="111"/>
  <c r="W66" i="111"/>
  <c r="W41" i="111"/>
  <c r="W25" i="111"/>
  <c r="W54" i="111"/>
  <c r="W27" i="111"/>
  <c r="W67" i="111"/>
  <c r="W24" i="111"/>
  <c r="W56" i="111"/>
  <c r="W46" i="111"/>
  <c r="W31" i="111"/>
  <c r="W22" i="111"/>
  <c r="W38" i="111"/>
  <c r="W53" i="111"/>
  <c r="W28" i="111"/>
  <c r="W63" i="111"/>
  <c r="W57" i="111"/>
  <c r="W50" i="111"/>
  <c r="W48" i="111"/>
  <c r="W43" i="111"/>
  <c r="D10" i="151"/>
  <c r="V10" i="151" s="1"/>
  <c r="E82" i="121" s="1"/>
  <c r="E82" i="124" s="1"/>
  <c r="AA40" i="92"/>
  <c r="I67" i="127"/>
  <c r="P7" i="111"/>
  <c r="P6" i="111" s="1"/>
  <c r="CT48" i="129"/>
  <c r="CT41" i="129"/>
  <c r="CT24" i="129"/>
  <c r="CT39" i="129"/>
  <c r="CT59" i="129"/>
  <c r="CT33" i="129"/>
  <c r="CT62" i="129"/>
  <c r="CT37" i="129"/>
  <c r="CT26" i="129"/>
  <c r="CT28" i="129"/>
  <c r="CT46" i="129"/>
  <c r="CT30" i="129"/>
  <c r="CT53" i="129"/>
  <c r="CT52" i="129"/>
  <c r="CT25" i="129"/>
  <c r="CT36" i="129"/>
  <c r="CT51" i="129"/>
  <c r="CT65" i="129"/>
  <c r="CT31" i="129"/>
  <c r="CT49" i="129"/>
  <c r="CT50" i="129"/>
  <c r="CT38" i="129"/>
  <c r="CT27" i="129"/>
  <c r="CT45" i="129"/>
  <c r="CT54" i="129"/>
  <c r="CT43" i="129"/>
  <c r="CT34" i="129"/>
  <c r="CT58" i="129"/>
  <c r="CT57" i="129"/>
  <c r="CT67" i="129"/>
  <c r="CT56" i="129"/>
  <c r="CT63" i="129"/>
  <c r="CT60" i="129"/>
  <c r="CT44" i="129"/>
  <c r="CT32" i="129"/>
  <c r="J75" i="192"/>
  <c r="J82" i="191"/>
  <c r="E76" i="190"/>
  <c r="U4" i="170"/>
  <c r="D6" i="151"/>
  <c r="V6" i="151" s="1"/>
  <c r="E78" i="121" s="1"/>
  <c r="E78" i="124" s="1"/>
  <c r="G71" i="212"/>
  <c r="AB16" i="176"/>
  <c r="AB11" i="176"/>
  <c r="AB13" i="176" s="1"/>
  <c r="AI14" i="176"/>
  <c r="AS40" i="92" s="1"/>
  <c r="AJ14" i="176"/>
  <c r="GJ24" i="129"/>
  <c r="W24" i="110"/>
  <c r="I39" i="127"/>
  <c r="E18" i="93"/>
  <c r="E17" i="93" s="1"/>
  <c r="I24" i="127"/>
  <c r="I33" i="127"/>
  <c r="AB46" i="129"/>
  <c r="AB52" i="129"/>
  <c r="BP47" i="129"/>
  <c r="BP13" i="129" s="1"/>
  <c r="BP64" i="129"/>
  <c r="BP16" i="129" s="1"/>
  <c r="DD37" i="129"/>
  <c r="AB66" i="129"/>
  <c r="DD52" i="129"/>
  <c r="AB41" i="129"/>
  <c r="AB37" i="129"/>
  <c r="DD67" i="129"/>
  <c r="AB20" i="129"/>
  <c r="BP35" i="129"/>
  <c r="BP11" i="129" s="1"/>
  <c r="BP19" i="129"/>
  <c r="BP8" i="129" s="1"/>
  <c r="AB24" i="129"/>
  <c r="AB53" i="129"/>
  <c r="BP55" i="129"/>
  <c r="BP14" i="129" s="1"/>
  <c r="BP23" i="129"/>
  <c r="BP9" i="129" s="1"/>
  <c r="DD38" i="129"/>
  <c r="AB51" i="129"/>
  <c r="AB21" i="129"/>
  <c r="DD28" i="129"/>
  <c r="AB34" i="129"/>
  <c r="AB67" i="129"/>
  <c r="DD65" i="129"/>
  <c r="DD62" i="129"/>
  <c r="AB60" i="129"/>
  <c r="AB32" i="129"/>
  <c r="DD43" i="129"/>
  <c r="BP42" i="129"/>
  <c r="BP12" i="129" s="1"/>
  <c r="V55" i="170"/>
  <c r="H127" i="121" s="1"/>
  <c r="H127" i="124" s="1"/>
  <c r="I53" i="127"/>
  <c r="G11" i="127"/>
  <c r="D8" i="151"/>
  <c r="V8" i="151" s="1"/>
  <c r="E80" i="121" s="1"/>
  <c r="E80" i="124" s="1"/>
  <c r="E11" i="127"/>
  <c r="J49" i="93"/>
  <c r="J49" i="127" s="1"/>
  <c r="AA51" i="206"/>
  <c r="J65" i="93"/>
  <c r="J65" i="127" s="1"/>
  <c r="J34" i="93"/>
  <c r="J34" i="127" s="1"/>
  <c r="V35" i="170"/>
  <c r="H107" i="121" s="1"/>
  <c r="H107" i="124" s="1"/>
  <c r="J48" i="93"/>
  <c r="J32" i="93"/>
  <c r="J44" i="93"/>
  <c r="J44" i="127" s="1"/>
  <c r="J60" i="93"/>
  <c r="J67" i="93"/>
  <c r="J67" i="127" s="1"/>
  <c r="J20" i="93"/>
  <c r="H55" i="127"/>
  <c r="DD57" i="129"/>
  <c r="DD63" i="129"/>
  <c r="DD53" i="129"/>
  <c r="DD33" i="129"/>
  <c r="DD46" i="129"/>
  <c r="DD44" i="129"/>
  <c r="DD22" i="129"/>
  <c r="DD26" i="129"/>
  <c r="DD50" i="129"/>
  <c r="E72" i="191"/>
  <c r="DD27" i="129"/>
  <c r="DD49" i="129"/>
  <c r="DD56" i="129"/>
  <c r="DD45" i="129"/>
  <c r="DD34" i="129"/>
  <c r="DD21" i="129"/>
  <c r="DD40" i="129"/>
  <c r="DD30" i="129"/>
  <c r="DD51" i="129"/>
  <c r="DD60" i="129"/>
  <c r="BP29" i="129"/>
  <c r="BP10" i="129" s="1"/>
  <c r="DD48" i="129"/>
  <c r="DD58" i="129"/>
  <c r="DD59" i="129"/>
  <c r="DD66" i="129"/>
  <c r="DD20" i="129"/>
  <c r="DD25" i="129"/>
  <c r="DD36" i="129"/>
  <c r="DD39" i="129"/>
  <c r="DD24" i="129"/>
  <c r="DD32" i="129"/>
  <c r="DD31" i="129"/>
  <c r="AB58" i="129"/>
  <c r="AB25" i="129"/>
  <c r="AB26" i="129"/>
  <c r="AB54" i="129"/>
  <c r="AB45" i="129"/>
  <c r="AB65" i="129"/>
  <c r="AB27" i="129"/>
  <c r="AB43" i="129"/>
  <c r="AB62" i="129"/>
  <c r="AB57" i="129"/>
  <c r="AB56" i="129"/>
  <c r="AB38" i="129"/>
  <c r="AB39" i="129"/>
  <c r="AB30" i="129"/>
  <c r="AB22" i="129"/>
  <c r="AB31" i="129"/>
  <c r="AB48" i="129"/>
  <c r="AB59" i="129"/>
  <c r="AB63" i="129"/>
  <c r="AB44" i="129"/>
  <c r="AB28" i="129"/>
  <c r="AB50" i="129"/>
  <c r="AB36" i="129"/>
  <c r="AB49" i="129"/>
  <c r="AB33" i="129"/>
  <c r="AB40" i="129"/>
  <c r="DD54" i="129"/>
  <c r="DD41" i="129"/>
  <c r="G14" i="127"/>
  <c r="G71" i="191"/>
  <c r="I62" i="127"/>
  <c r="G15" i="127"/>
  <c r="D6" i="157"/>
  <c r="V6" i="157" s="1"/>
  <c r="I61" i="93"/>
  <c r="I15" i="93" s="1"/>
  <c r="I15" i="127" s="1"/>
  <c r="V56" i="170"/>
  <c r="H128" i="121" s="1"/>
  <c r="H128" i="124" s="1"/>
  <c r="H13" i="93"/>
  <c r="H13" i="127" s="1"/>
  <c r="R48" i="129"/>
  <c r="R54" i="129"/>
  <c r="BZ31" i="129"/>
  <c r="R20" i="129"/>
  <c r="R27" i="129"/>
  <c r="BZ52" i="129"/>
  <c r="R41" i="129"/>
  <c r="R59" i="129"/>
  <c r="H21" i="129"/>
  <c r="R49" i="129"/>
  <c r="BZ45" i="129"/>
  <c r="R21" i="129"/>
  <c r="R45" i="129"/>
  <c r="R62" i="129"/>
  <c r="E73" i="191"/>
  <c r="R22" i="129"/>
  <c r="BZ26" i="129"/>
  <c r="R33" i="129"/>
  <c r="H63" i="129"/>
  <c r="L22" i="199"/>
  <c r="J22" i="199"/>
  <c r="U30" i="120"/>
  <c r="U57" i="120"/>
  <c r="U57" i="125" s="1"/>
  <c r="H55" i="207" s="1"/>
  <c r="U51" i="120"/>
  <c r="U51" i="125" s="1"/>
  <c r="H49" i="207" s="1"/>
  <c r="K22" i="199"/>
  <c r="AA29" i="206"/>
  <c r="U32" i="120"/>
  <c r="U32" i="125" s="1"/>
  <c r="H30" i="207" s="1"/>
  <c r="U40" i="120"/>
  <c r="U40" i="125" s="1"/>
  <c r="H38" i="207" s="1"/>
  <c r="U50" i="120"/>
  <c r="U50" i="125" s="1"/>
  <c r="H48" i="207" s="1"/>
  <c r="U31" i="120"/>
  <c r="U31" i="125" s="1"/>
  <c r="H29" i="207" s="1"/>
  <c r="U26" i="120"/>
  <c r="U26" i="125" s="1"/>
  <c r="H24" i="207" s="1"/>
  <c r="U39" i="120"/>
  <c r="U39" i="125" s="1"/>
  <c r="H37" i="207" s="1"/>
  <c r="U37" i="120"/>
  <c r="U37" i="125" s="1"/>
  <c r="H35" i="207" s="1"/>
  <c r="U60" i="120"/>
  <c r="U60" i="125" s="1"/>
  <c r="H58" i="207" s="1"/>
  <c r="I22" i="199"/>
  <c r="H54" i="199" s="1"/>
  <c r="U21" i="120"/>
  <c r="U21" i="125" s="1"/>
  <c r="H19" i="207" s="1"/>
  <c r="U49" i="120"/>
  <c r="U49" i="125" s="1"/>
  <c r="H47" i="207" s="1"/>
  <c r="U22" i="199"/>
  <c r="P22" i="199"/>
  <c r="R22" i="199"/>
  <c r="O22" i="199"/>
  <c r="U25" i="120"/>
  <c r="U25" i="125" s="1"/>
  <c r="H23" i="207" s="1"/>
  <c r="U44" i="120"/>
  <c r="U44" i="125" s="1"/>
  <c r="H42" i="207" s="1"/>
  <c r="U56" i="120"/>
  <c r="U56" i="125" s="1"/>
  <c r="H54" i="207" s="1"/>
  <c r="Q22" i="199"/>
  <c r="T22" i="199"/>
  <c r="N22" i="199"/>
  <c r="U66" i="120"/>
  <c r="U66" i="125" s="1"/>
  <c r="H64" i="207" s="1"/>
  <c r="U53" i="120"/>
  <c r="U53" i="125" s="1"/>
  <c r="H51" i="207" s="1"/>
  <c r="U45" i="120"/>
  <c r="U45" i="125" s="1"/>
  <c r="H43" i="207" s="1"/>
  <c r="M22" i="199"/>
  <c r="U46" i="120"/>
  <c r="U46" i="125" s="1"/>
  <c r="H44" i="207" s="1"/>
  <c r="U63" i="120"/>
  <c r="U63" i="125" s="1"/>
  <c r="H61" i="207" s="1"/>
  <c r="U43" i="120"/>
  <c r="AA11" i="176"/>
  <c r="AA16" i="176"/>
  <c r="S22" i="199"/>
  <c r="U48" i="120"/>
  <c r="U48" i="125" s="1"/>
  <c r="H46" i="207" s="1"/>
  <c r="U65" i="120"/>
  <c r="U65" i="125" s="1"/>
  <c r="H63" i="207" s="1"/>
  <c r="G71" i="211"/>
  <c r="G71" i="192"/>
  <c r="R58" i="129"/>
  <c r="R38" i="129"/>
  <c r="H28" i="129"/>
  <c r="H33" i="129"/>
  <c r="R37" i="129"/>
  <c r="H49" i="129"/>
  <c r="R28" i="129"/>
  <c r="H32" i="129"/>
  <c r="R67" i="129"/>
  <c r="H57" i="129"/>
  <c r="H48" i="129"/>
  <c r="H31" i="129"/>
  <c r="R52" i="129"/>
  <c r="H40" i="129"/>
  <c r="H66" i="129"/>
  <c r="R36" i="129"/>
  <c r="H45" i="129"/>
  <c r="R56" i="129"/>
  <c r="R63" i="129"/>
  <c r="H62" i="129"/>
  <c r="H34" i="129"/>
  <c r="H38" i="129"/>
  <c r="H46" i="129"/>
  <c r="R51" i="129"/>
  <c r="H27" i="129"/>
  <c r="R50" i="129"/>
  <c r="R43" i="129"/>
  <c r="R39" i="129"/>
  <c r="H43" i="129"/>
  <c r="H41" i="129"/>
  <c r="R34" i="129"/>
  <c r="R65" i="129"/>
  <c r="R44" i="129"/>
  <c r="H20" i="129"/>
  <c r="H53" i="129"/>
  <c r="AH16" i="176"/>
  <c r="H26" i="129"/>
  <c r="FE29" i="129"/>
  <c r="FE10" i="129" s="1"/>
  <c r="R25" i="129"/>
  <c r="R40" i="129"/>
  <c r="H65" i="129"/>
  <c r="H60" i="129"/>
  <c r="H39" i="129"/>
  <c r="R60" i="129"/>
  <c r="R31" i="129"/>
  <c r="H24" i="129"/>
  <c r="H51" i="129"/>
  <c r="H67" i="129"/>
  <c r="R9" i="111"/>
  <c r="H50" i="129"/>
  <c r="R66" i="129"/>
  <c r="R26" i="129"/>
  <c r="H30" i="129"/>
  <c r="H37" i="129"/>
  <c r="H54" i="129"/>
  <c r="R24" i="129"/>
  <c r="R32" i="129"/>
  <c r="R46" i="129"/>
  <c r="H36" i="129"/>
  <c r="H44" i="129"/>
  <c r="H22" i="129"/>
  <c r="H52" i="129"/>
  <c r="H59" i="129"/>
  <c r="R30" i="129"/>
  <c r="R53" i="129"/>
  <c r="R57" i="129"/>
  <c r="H56" i="129"/>
  <c r="H25" i="129"/>
  <c r="H58" i="129"/>
  <c r="R11" i="111"/>
  <c r="I63" i="127"/>
  <c r="V23" i="177"/>
  <c r="I41" i="127"/>
  <c r="BF55" i="129"/>
  <c r="BF14" i="129" s="1"/>
  <c r="BZ40" i="129"/>
  <c r="I21" i="127"/>
  <c r="BZ46" i="129"/>
  <c r="BZ20" i="129"/>
  <c r="V35" i="177"/>
  <c r="BZ49" i="129"/>
  <c r="BF42" i="129"/>
  <c r="BF12" i="129" s="1"/>
  <c r="FE47" i="129"/>
  <c r="FE13" i="129" s="1"/>
  <c r="BZ48" i="129"/>
  <c r="I29" i="93"/>
  <c r="I10" i="93" s="1"/>
  <c r="I10" i="127" s="1"/>
  <c r="BF19" i="129"/>
  <c r="BF8" i="129" s="1"/>
  <c r="BZ25" i="129"/>
  <c r="FE42" i="129"/>
  <c r="FE12" i="129" s="1"/>
  <c r="BZ62" i="129"/>
  <c r="BZ60" i="129"/>
  <c r="I48" i="127"/>
  <c r="I27" i="127"/>
  <c r="Q7" i="111"/>
  <c r="Q6" i="111" s="1"/>
  <c r="I50" i="127"/>
  <c r="BZ50" i="129"/>
  <c r="E76" i="191"/>
  <c r="BZ21" i="129"/>
  <c r="E77" i="191"/>
  <c r="BZ65" i="129"/>
  <c r="BZ43" i="129"/>
  <c r="EU18" i="129"/>
  <c r="BZ28" i="129"/>
  <c r="I42" i="93"/>
  <c r="I12" i="93" s="1"/>
  <c r="I12" i="127" s="1"/>
  <c r="BZ39" i="129"/>
  <c r="BF29" i="129"/>
  <c r="BF10" i="129" s="1"/>
  <c r="BZ36" i="129"/>
  <c r="BF47" i="129"/>
  <c r="BF13" i="129" s="1"/>
  <c r="V55" i="177"/>
  <c r="V18" i="170"/>
  <c r="H90" i="121" s="1"/>
  <c r="H90" i="124" s="1"/>
  <c r="BZ63" i="129"/>
  <c r="BZ27" i="129"/>
  <c r="BF35" i="129"/>
  <c r="BF11" i="129" s="1"/>
  <c r="BZ37" i="129"/>
  <c r="BZ38" i="129"/>
  <c r="BZ54" i="129"/>
  <c r="I35" i="93"/>
  <c r="I11" i="93" s="1"/>
  <c r="I11" i="127" s="1"/>
  <c r="BZ66" i="129"/>
  <c r="R14" i="111"/>
  <c r="BZ33" i="129"/>
  <c r="BZ41" i="129"/>
  <c r="F18" i="127"/>
  <c r="BZ56" i="129"/>
  <c r="BZ59" i="129"/>
  <c r="BZ53" i="129"/>
  <c r="BF61" i="129"/>
  <c r="BF15" i="129" s="1"/>
  <c r="BZ58" i="129"/>
  <c r="D16" i="134"/>
  <c r="D67" i="134" s="1"/>
  <c r="D69" i="134" s="1"/>
  <c r="BZ22" i="129"/>
  <c r="BZ32" i="129"/>
  <c r="BZ51" i="129"/>
  <c r="I54" i="127"/>
  <c r="BF23" i="129"/>
  <c r="BF9" i="129" s="1"/>
  <c r="BZ30" i="129"/>
  <c r="V40" i="170"/>
  <c r="BZ44" i="129"/>
  <c r="I36" i="127"/>
  <c r="BZ67" i="129"/>
  <c r="F7" i="93"/>
  <c r="D5" i="134" s="1"/>
  <c r="BZ34" i="129"/>
  <c r="BZ24" i="129"/>
  <c r="BZ57" i="129"/>
  <c r="AC61" i="129"/>
  <c r="AC15" i="129" s="1"/>
  <c r="BF64" i="129"/>
  <c r="BF16" i="129" s="1"/>
  <c r="H29" i="127"/>
  <c r="FE19" i="129"/>
  <c r="FE8" i="129" s="1"/>
  <c r="V60" i="170"/>
  <c r="H132" i="121" s="1"/>
  <c r="H132" i="124" s="1"/>
  <c r="R16" i="111"/>
  <c r="I22" i="127"/>
  <c r="I30" i="127"/>
  <c r="R15" i="111"/>
  <c r="V62" i="170"/>
  <c r="D10" i="157"/>
  <c r="V10" i="157" s="1"/>
  <c r="H11" i="93"/>
  <c r="H11" i="127" s="1"/>
  <c r="G10" i="127"/>
  <c r="V51" i="170"/>
  <c r="H123" i="121" s="1"/>
  <c r="H123" i="124" s="1"/>
  <c r="I32" i="127"/>
  <c r="I47" i="93"/>
  <c r="I47" i="127" s="1"/>
  <c r="V57" i="177"/>
  <c r="V64" i="177"/>
  <c r="I19" i="93"/>
  <c r="I19" i="127" s="1"/>
  <c r="I23" i="93"/>
  <c r="I23" i="127" s="1"/>
  <c r="AA48" i="206"/>
  <c r="H64" i="127"/>
  <c r="AA42" i="206"/>
  <c r="V51" i="120"/>
  <c r="V51" i="125" s="1"/>
  <c r="V39" i="120"/>
  <c r="V39" i="125" s="1"/>
  <c r="V45" i="120"/>
  <c r="V45" i="125" s="1"/>
  <c r="V60" i="120"/>
  <c r="V60" i="125" s="1"/>
  <c r="V59" i="120"/>
  <c r="V59" i="125" s="1"/>
  <c r="V50" i="120"/>
  <c r="V50" i="125" s="1"/>
  <c r="V40" i="120"/>
  <c r="V40" i="125" s="1"/>
  <c r="V21" i="120"/>
  <c r="V21" i="125" s="1"/>
  <c r="V27" i="120"/>
  <c r="V27" i="125" s="1"/>
  <c r="V24" i="120"/>
  <c r="V37" i="120"/>
  <c r="V37" i="125" s="1"/>
  <c r="V38" i="120"/>
  <c r="V38" i="125" s="1"/>
  <c r="V63" i="120"/>
  <c r="V63" i="125" s="1"/>
  <c r="V44" i="120"/>
  <c r="V44" i="125" s="1"/>
  <c r="V49" i="120"/>
  <c r="V49" i="125" s="1"/>
  <c r="V34" i="120"/>
  <c r="V34" i="125" s="1"/>
  <c r="V52" i="120"/>
  <c r="V52" i="125" s="1"/>
  <c r="V22" i="120"/>
  <c r="V22" i="125" s="1"/>
  <c r="V58" i="120"/>
  <c r="V58" i="125" s="1"/>
  <c r="V36" i="120"/>
  <c r="V26" i="120"/>
  <c r="V26" i="125" s="1"/>
  <c r="V57" i="120"/>
  <c r="V57" i="125" s="1"/>
  <c r="V65" i="120"/>
  <c r="V43" i="120"/>
  <c r="V67" i="120"/>
  <c r="V67" i="125" s="1"/>
  <c r="V56" i="120"/>
  <c r="V30" i="120"/>
  <c r="V53" i="120"/>
  <c r="V53" i="125" s="1"/>
  <c r="V62" i="120"/>
  <c r="V66" i="120"/>
  <c r="V66" i="125" s="1"/>
  <c r="V33" i="120"/>
  <c r="V33" i="125" s="1"/>
  <c r="V32" i="120"/>
  <c r="V32" i="125" s="1"/>
  <c r="V20" i="120"/>
  <c r="V48" i="120"/>
  <c r="V28" i="120"/>
  <c r="V28" i="125" s="1"/>
  <c r="V46" i="120"/>
  <c r="V46" i="125" s="1"/>
  <c r="V54" i="120"/>
  <c r="V54" i="125" s="1"/>
  <c r="V41" i="120"/>
  <c r="V41" i="125" s="1"/>
  <c r="V31" i="120"/>
  <c r="V31" i="125" s="1"/>
  <c r="V25" i="120"/>
  <c r="V25" i="125" s="1"/>
  <c r="AC32" i="114"/>
  <c r="AD92" i="114"/>
  <c r="AC79" i="206"/>
  <c r="AB19" i="206"/>
  <c r="AC87" i="206"/>
  <c r="AB27" i="206"/>
  <c r="AB54" i="206"/>
  <c r="AC114" i="206"/>
  <c r="AC106" i="206"/>
  <c r="AB46" i="206"/>
  <c r="AC83" i="206"/>
  <c r="AB23" i="206"/>
  <c r="AC97" i="206"/>
  <c r="AB37" i="206"/>
  <c r="AC90" i="114"/>
  <c r="AB30" i="114"/>
  <c r="AB29" i="114" s="1"/>
  <c r="AO1" i="129"/>
  <c r="AL28" i="129"/>
  <c r="AL52" i="129"/>
  <c r="AL66" i="129"/>
  <c r="AL32" i="129"/>
  <c r="AL48" i="129"/>
  <c r="AL20" i="129"/>
  <c r="AL45" i="129"/>
  <c r="AL53" i="129"/>
  <c r="AL34" i="129"/>
  <c r="AL22" i="129"/>
  <c r="AL56" i="129"/>
  <c r="AL54" i="129"/>
  <c r="AL39" i="129"/>
  <c r="AL49" i="129"/>
  <c r="AL50" i="129"/>
  <c r="AL30" i="129"/>
  <c r="AL27" i="129"/>
  <c r="AL46" i="129"/>
  <c r="AL26" i="129"/>
  <c r="AL57" i="129"/>
  <c r="AL44" i="129"/>
  <c r="AL58" i="129"/>
  <c r="AL21" i="129"/>
  <c r="AL33" i="129"/>
  <c r="AL41" i="129"/>
  <c r="AL59" i="129"/>
  <c r="AL38" i="129"/>
  <c r="AL62" i="129"/>
  <c r="AL43" i="129"/>
  <c r="AL63" i="129"/>
  <c r="AL37" i="129"/>
  <c r="AL60" i="129"/>
  <c r="AL36" i="129"/>
  <c r="AL67" i="129"/>
  <c r="AL24" i="129"/>
  <c r="AL65" i="129"/>
  <c r="AL25" i="129"/>
  <c r="AL31" i="129"/>
  <c r="AL40" i="129"/>
  <c r="AL51" i="129"/>
  <c r="H42" i="127"/>
  <c r="AB30" i="206"/>
  <c r="AC90" i="206"/>
  <c r="J71" i="189"/>
  <c r="J72" i="189"/>
  <c r="AA6" i="206"/>
  <c r="AC86" i="206"/>
  <c r="AB26" i="206"/>
  <c r="I55" i="93"/>
  <c r="I14" i="93" s="1"/>
  <c r="I14" i="127" s="1"/>
  <c r="H61" i="127"/>
  <c r="V58" i="177"/>
  <c r="Z4" i="206"/>
  <c r="AC74" i="206"/>
  <c r="AB14" i="206"/>
  <c r="AC91" i="206"/>
  <c r="AB31" i="206"/>
  <c r="AC109" i="206"/>
  <c r="AB49" i="206"/>
  <c r="AB15" i="206"/>
  <c r="AC75" i="206"/>
  <c r="I65" i="127"/>
  <c r="AC80" i="206"/>
  <c r="AB20" i="206"/>
  <c r="I56" i="127"/>
  <c r="I43" i="127"/>
  <c r="U20" i="125"/>
  <c r="H18" i="207" s="1"/>
  <c r="V56" i="177"/>
  <c r="AB32" i="206"/>
  <c r="AC92" i="206"/>
  <c r="AC113" i="206"/>
  <c r="AB53" i="206"/>
  <c r="AB13" i="206"/>
  <c r="AC73" i="206"/>
  <c r="AB36" i="206"/>
  <c r="AC96" i="206"/>
  <c r="U36" i="125"/>
  <c r="H34" i="207" s="1"/>
  <c r="AA34" i="206"/>
  <c r="AB38" i="206"/>
  <c r="AC98" i="206"/>
  <c r="U24" i="125"/>
  <c r="H22" i="207" s="1"/>
  <c r="AC78" i="206"/>
  <c r="AB18" i="206"/>
  <c r="AA22" i="206"/>
  <c r="AC99" i="206"/>
  <c r="AB39" i="206"/>
  <c r="V26" i="177"/>
  <c r="AB40" i="206"/>
  <c r="AC100" i="206"/>
  <c r="U62" i="125"/>
  <c r="H60" i="207" s="1"/>
  <c r="AD65" i="206"/>
  <c r="AC5" i="206"/>
  <c r="AC113" i="114"/>
  <c r="AB53" i="114"/>
  <c r="AB51" i="114" s="1"/>
  <c r="AC95" i="206"/>
  <c r="AB35" i="206"/>
  <c r="AB9" i="206"/>
  <c r="AC69" i="206"/>
  <c r="AC88" i="206"/>
  <c r="AB28" i="206"/>
  <c r="V46" i="112"/>
  <c r="V58" i="112"/>
  <c r="V22" i="112"/>
  <c r="V30" i="112"/>
  <c r="V51" i="112"/>
  <c r="V67" i="112"/>
  <c r="V56" i="112"/>
  <c r="V37" i="112"/>
  <c r="V25" i="112"/>
  <c r="V41" i="112"/>
  <c r="V60" i="112"/>
  <c r="V59" i="112"/>
  <c r="V50" i="112"/>
  <c r="V28" i="112"/>
  <c r="V54" i="112"/>
  <c r="V44" i="112"/>
  <c r="V26" i="112"/>
  <c r="V33" i="112"/>
  <c r="V57" i="112"/>
  <c r="V39" i="112"/>
  <c r="V27" i="112"/>
  <c r="V34" i="112"/>
  <c r="V40" i="112"/>
  <c r="V53" i="112"/>
  <c r="V45" i="112"/>
  <c r="V66" i="112"/>
  <c r="V31" i="112"/>
  <c r="V49" i="112"/>
  <c r="V63" i="112"/>
  <c r="V21" i="112"/>
  <c r="V32" i="112"/>
  <c r="V52" i="112"/>
  <c r="V24" i="112"/>
  <c r="V38" i="112"/>
  <c r="V20" i="112"/>
  <c r="V43" i="112"/>
  <c r="V62" i="112"/>
  <c r="V65" i="112"/>
  <c r="V36" i="112"/>
  <c r="V48" i="112"/>
  <c r="AC107" i="206"/>
  <c r="AB47" i="206"/>
  <c r="AB8" i="206"/>
  <c r="AC68" i="206"/>
  <c r="I64" i="93"/>
  <c r="I16" i="93" s="1"/>
  <c r="I16" i="127" s="1"/>
  <c r="AA10" i="206"/>
  <c r="AC85" i="206"/>
  <c r="AB25" i="206"/>
  <c r="AC72" i="206"/>
  <c r="AB12" i="206"/>
  <c r="V23" i="170"/>
  <c r="H95" i="121" s="1"/>
  <c r="H95" i="124" s="1"/>
  <c r="AC67" i="206"/>
  <c r="AB7" i="206"/>
  <c r="H23" i="127"/>
  <c r="V53" i="170"/>
  <c r="AC104" i="206"/>
  <c r="AB44" i="206"/>
  <c r="AB33" i="206"/>
  <c r="AC93" i="206"/>
  <c r="AC81" i="206"/>
  <c r="AB21" i="206"/>
  <c r="AB52" i="206"/>
  <c r="AC112" i="206"/>
  <c r="AC103" i="206"/>
  <c r="AB43" i="206"/>
  <c r="AB11" i="206"/>
  <c r="AC71" i="206"/>
  <c r="Z13" i="176"/>
  <c r="AH11" i="176"/>
  <c r="AR39" i="92" s="1"/>
  <c r="AB17" i="206"/>
  <c r="AC77" i="206"/>
  <c r="AC105" i="206"/>
  <c r="AB45" i="206"/>
  <c r="AC101" i="206"/>
  <c r="AB41" i="206"/>
  <c r="AC84" i="206"/>
  <c r="AB24" i="206"/>
  <c r="AA16" i="206"/>
  <c r="AC110" i="206"/>
  <c r="AB50" i="206"/>
  <c r="E22" i="211"/>
  <c r="V23" i="111"/>
  <c r="E49" i="211"/>
  <c r="GT51" i="129" s="1"/>
  <c r="E32" i="211"/>
  <c r="GT34" i="129" s="1"/>
  <c r="E52" i="211"/>
  <c r="E58" i="211"/>
  <c r="GT60" i="129" s="1"/>
  <c r="E24" i="211"/>
  <c r="GT26" i="129" s="1"/>
  <c r="E37" i="211"/>
  <c r="E35" i="211"/>
  <c r="GT37" i="129" s="1"/>
  <c r="E55" i="211"/>
  <c r="E36" i="211"/>
  <c r="GT38" i="129" s="1"/>
  <c r="E29" i="211"/>
  <c r="E56" i="211"/>
  <c r="GT58" i="129" s="1"/>
  <c r="E19" i="211"/>
  <c r="E57" i="211"/>
  <c r="GT59" i="129" s="1"/>
  <c r="E20" i="211"/>
  <c r="E34" i="211"/>
  <c r="GT36" i="129" s="1"/>
  <c r="E65" i="211"/>
  <c r="E48" i="211"/>
  <c r="E64" i="211"/>
  <c r="E54" i="211"/>
  <c r="GT56" i="129" s="1"/>
  <c r="E42" i="211"/>
  <c r="E88" i="207"/>
  <c r="U35" i="111"/>
  <c r="E33" i="207" s="1"/>
  <c r="U23" i="111"/>
  <c r="E38" i="207"/>
  <c r="E56" i="207"/>
  <c r="E58" i="207"/>
  <c r="E32" i="207"/>
  <c r="E65" i="207"/>
  <c r="E64" i="207"/>
  <c r="E61" i="207"/>
  <c r="E31" i="207"/>
  <c r="E19" i="207"/>
  <c r="E43" i="207"/>
  <c r="E41" i="207"/>
  <c r="U42" i="111"/>
  <c r="E37" i="207"/>
  <c r="E39" i="207"/>
  <c r="U61" i="111"/>
  <c r="E60" i="207"/>
  <c r="E47" i="207"/>
  <c r="E49" i="207"/>
  <c r="E42" i="207"/>
  <c r="E63" i="207"/>
  <c r="U64" i="111"/>
  <c r="E48" i="207"/>
  <c r="E46" i="207"/>
  <c r="U47" i="111"/>
  <c r="E24" i="207"/>
  <c r="U19" i="111"/>
  <c r="E18" i="207"/>
  <c r="E20" i="207"/>
  <c r="E35" i="207"/>
  <c r="E55" i="207"/>
  <c r="E30" i="207"/>
  <c r="E23" i="207"/>
  <c r="E44" i="207"/>
  <c r="E29" i="207"/>
  <c r="U29" i="111"/>
  <c r="E28" i="207"/>
  <c r="E34" i="207"/>
  <c r="E26" i="207"/>
  <c r="E51" i="207"/>
  <c r="E57" i="207"/>
  <c r="E36" i="207"/>
  <c r="E52" i="207"/>
  <c r="E50" i="207"/>
  <c r="E25" i="207"/>
  <c r="U55" i="111"/>
  <c r="E54" i="207"/>
  <c r="T19" i="112"/>
  <c r="T64" i="112"/>
  <c r="T16" i="112" s="1"/>
  <c r="T35" i="112"/>
  <c r="T11" i="112" s="1"/>
  <c r="T55" i="112"/>
  <c r="J84" i="205"/>
  <c r="T47" i="112"/>
  <c r="T29" i="112"/>
  <c r="T10" i="112" s="1"/>
  <c r="T23" i="112"/>
  <c r="T9" i="112" s="1"/>
  <c r="T42" i="112"/>
  <c r="T12" i="112" s="1"/>
  <c r="T61" i="112"/>
  <c r="T15" i="112" s="1"/>
  <c r="J77" i="192"/>
  <c r="J48" i="207"/>
  <c r="J114" i="207" s="1"/>
  <c r="J19" i="207"/>
  <c r="J85" i="207" s="1"/>
  <c r="J39" i="207"/>
  <c r="J105" i="207" s="1"/>
  <c r="U64" i="112"/>
  <c r="J63" i="207"/>
  <c r="J129" i="207" s="1"/>
  <c r="J37" i="207"/>
  <c r="J103" i="207" s="1"/>
  <c r="J51" i="207"/>
  <c r="J117" i="207" s="1"/>
  <c r="J60" i="207"/>
  <c r="J126" i="207" s="1"/>
  <c r="U61" i="112"/>
  <c r="J44" i="207"/>
  <c r="J110" i="207" s="1"/>
  <c r="J55" i="207"/>
  <c r="J121" i="207" s="1"/>
  <c r="J20" i="207"/>
  <c r="J86" i="207" s="1"/>
  <c r="J26" i="207"/>
  <c r="J92" i="207" s="1"/>
  <c r="J52" i="207"/>
  <c r="J118" i="207" s="1"/>
  <c r="U19" i="112"/>
  <c r="J18" i="207"/>
  <c r="J84" i="207" s="1"/>
  <c r="J25" i="207"/>
  <c r="J91" i="207" s="1"/>
  <c r="U47" i="112"/>
  <c r="J46" i="207"/>
  <c r="J112" i="207" s="1"/>
  <c r="J50" i="207"/>
  <c r="J116" i="207" s="1"/>
  <c r="J64" i="207"/>
  <c r="J130" i="207" s="1"/>
  <c r="J47" i="207"/>
  <c r="J113" i="207" s="1"/>
  <c r="J29" i="207"/>
  <c r="J95" i="207" s="1"/>
  <c r="U23" i="112"/>
  <c r="J22" i="207"/>
  <c r="J88" i="207" s="1"/>
  <c r="J31" i="207"/>
  <c r="J97" i="207" s="1"/>
  <c r="J61" i="207"/>
  <c r="J127" i="207" s="1"/>
  <c r="J32" i="207"/>
  <c r="J98" i="207" s="1"/>
  <c r="J65" i="207"/>
  <c r="J131" i="207" s="1"/>
  <c r="J57" i="207"/>
  <c r="J123" i="207" s="1"/>
  <c r="J35" i="207"/>
  <c r="J101" i="207" s="1"/>
  <c r="U35" i="112"/>
  <c r="J34" i="207"/>
  <c r="J100" i="207" s="1"/>
  <c r="U55" i="112"/>
  <c r="J54" i="207"/>
  <c r="J120" i="207" s="1"/>
  <c r="J30" i="207"/>
  <c r="J96" i="207" s="1"/>
  <c r="J56" i="207"/>
  <c r="J122" i="207" s="1"/>
  <c r="J24" i="207"/>
  <c r="J90" i="207" s="1"/>
  <c r="J41" i="207"/>
  <c r="J107" i="207" s="1"/>
  <c r="U42" i="112"/>
  <c r="J28" i="207"/>
  <c r="J94" i="207" s="1"/>
  <c r="U29" i="112"/>
  <c r="J42" i="207"/>
  <c r="J108" i="207" s="1"/>
  <c r="J58" i="207"/>
  <c r="J124" i="207" s="1"/>
  <c r="J38" i="207"/>
  <c r="J104" i="207" s="1"/>
  <c r="J43" i="207"/>
  <c r="J109" i="207" s="1"/>
  <c r="J23" i="207"/>
  <c r="J89" i="207" s="1"/>
  <c r="J49" i="207"/>
  <c r="J115" i="207" s="1"/>
  <c r="J36" i="207"/>
  <c r="J102" i="207" s="1"/>
  <c r="G72" i="207"/>
  <c r="G22" i="200"/>
  <c r="G70" i="200" s="1"/>
  <c r="G75" i="207"/>
  <c r="G25" i="200"/>
  <c r="G73" i="200" s="1"/>
  <c r="G73" i="207"/>
  <c r="G23" i="200"/>
  <c r="G71" i="200" s="1"/>
  <c r="G80" i="207"/>
  <c r="G30" i="200"/>
  <c r="G78" i="200" s="1"/>
  <c r="G77" i="207"/>
  <c r="G27" i="200"/>
  <c r="G75" i="200" s="1"/>
  <c r="G74" i="207"/>
  <c r="G24" i="200"/>
  <c r="G72" i="200" s="1"/>
  <c r="G76" i="207"/>
  <c r="G26" i="200"/>
  <c r="G74" i="200" s="1"/>
  <c r="G78" i="207"/>
  <c r="G28" i="200"/>
  <c r="G76" i="200" s="1"/>
  <c r="G79" i="207"/>
  <c r="G29" i="200"/>
  <c r="G77" i="200" s="1"/>
  <c r="CJ46" i="129"/>
  <c r="FZ63" i="129"/>
  <c r="FZ25" i="129"/>
  <c r="FZ57" i="129"/>
  <c r="FZ60" i="129"/>
  <c r="E108" i="205"/>
  <c r="FZ28" i="129"/>
  <c r="FZ54" i="129"/>
  <c r="FZ58" i="129"/>
  <c r="FZ49" i="129"/>
  <c r="E103" i="205"/>
  <c r="E105" i="205"/>
  <c r="FZ67" i="129"/>
  <c r="FZ50" i="129"/>
  <c r="E109" i="205"/>
  <c r="FZ21" i="129"/>
  <c r="FZ32" i="129"/>
  <c r="E104" i="205"/>
  <c r="FZ53" i="129"/>
  <c r="FZ22" i="129"/>
  <c r="FZ52" i="129"/>
  <c r="FZ33" i="129"/>
  <c r="FZ26" i="129"/>
  <c r="FZ66" i="129"/>
  <c r="E102" i="205"/>
  <c r="FZ31" i="129"/>
  <c r="FZ34" i="129"/>
  <c r="FZ27" i="129"/>
  <c r="E110" i="205"/>
  <c r="FZ37" i="129"/>
  <c r="FZ59" i="129"/>
  <c r="FZ51" i="129"/>
  <c r="AC19" i="129"/>
  <c r="AC8" i="129" s="1"/>
  <c r="AC64" i="129"/>
  <c r="AC16" i="129" s="1"/>
  <c r="AA61" i="129"/>
  <c r="AA15" i="129" s="1"/>
  <c r="AC23" i="129"/>
  <c r="AC9" i="129" s="1"/>
  <c r="AA35" i="129"/>
  <c r="AA11" i="129" s="1"/>
  <c r="AG16" i="176"/>
  <c r="AG11" i="176"/>
  <c r="AQ39" i="92" s="1"/>
  <c r="Y13" i="176"/>
  <c r="T35" i="120"/>
  <c r="T11" i="120" s="1"/>
  <c r="T55" i="120"/>
  <c r="T14" i="120" s="1"/>
  <c r="T23" i="120"/>
  <c r="T9" i="120" s="1"/>
  <c r="T61" i="120"/>
  <c r="T15" i="120" s="1"/>
  <c r="AD52" i="114"/>
  <c r="AE112" i="114"/>
  <c r="J78" i="192"/>
  <c r="FZ56" i="129"/>
  <c r="T55" i="111"/>
  <c r="G99" i="205"/>
  <c r="T47" i="111"/>
  <c r="G128" i="205"/>
  <c r="AA55" i="129"/>
  <c r="AA14" i="129" s="1"/>
  <c r="T42" i="120"/>
  <c r="T12" i="120" s="1"/>
  <c r="T42" i="111"/>
  <c r="FZ36" i="129"/>
  <c r="T35" i="111"/>
  <c r="FZ20" i="129"/>
  <c r="T19" i="111"/>
  <c r="G106" i="205"/>
  <c r="G111" i="205"/>
  <c r="FJ5" i="129"/>
  <c r="T29" i="111"/>
  <c r="FZ30" i="129"/>
  <c r="T64" i="111"/>
  <c r="FZ65" i="129"/>
  <c r="G87" i="205"/>
  <c r="T64" i="120"/>
  <c r="T16" i="120" s="1"/>
  <c r="T29" i="120"/>
  <c r="T10" i="120" s="1"/>
  <c r="T47" i="120"/>
  <c r="T13" i="120" s="1"/>
  <c r="FZ24" i="129"/>
  <c r="T23" i="111"/>
  <c r="G119" i="205"/>
  <c r="G83" i="205"/>
  <c r="J72" i="192"/>
  <c r="AA23" i="129"/>
  <c r="AA9" i="129" s="1"/>
  <c r="Y42" i="129"/>
  <c r="AC35" i="129"/>
  <c r="AC11" i="129" s="1"/>
  <c r="G93" i="205"/>
  <c r="T19" i="120"/>
  <c r="T8" i="120" s="1"/>
  <c r="T18" i="119"/>
  <c r="FZ62" i="129"/>
  <c r="T61" i="111"/>
  <c r="G125" i="205"/>
  <c r="G18" i="93"/>
  <c r="G17" i="93" s="1"/>
  <c r="G9" i="127"/>
  <c r="G13" i="127"/>
  <c r="CJ48" i="129"/>
  <c r="AA42" i="129"/>
  <c r="AA12" i="129" s="1"/>
  <c r="AA19" i="129"/>
  <c r="AA8" i="129" s="1"/>
  <c r="V22" i="170"/>
  <c r="H94" i="121" s="1"/>
  <c r="H94" i="124" s="1"/>
  <c r="CJ31" i="129"/>
  <c r="CJ40" i="129"/>
  <c r="CJ20" i="129"/>
  <c r="CJ58" i="129"/>
  <c r="CJ24" i="129"/>
  <c r="CJ30" i="129"/>
  <c r="CJ25" i="129"/>
  <c r="CJ37" i="129"/>
  <c r="AA64" i="129"/>
  <c r="AA16" i="129" s="1"/>
  <c r="Y61" i="129"/>
  <c r="Y19" i="129"/>
  <c r="Y55" i="129"/>
  <c r="Y35" i="129"/>
  <c r="Y23" i="129"/>
  <c r="AA29" i="129"/>
  <c r="AA10" i="129" s="1"/>
  <c r="AC47" i="129"/>
  <c r="AC13" i="129" s="1"/>
  <c r="Y47" i="129"/>
  <c r="AC42" i="129"/>
  <c r="AC12" i="129" s="1"/>
  <c r="AA47" i="129"/>
  <c r="AA13" i="129" s="1"/>
  <c r="AC55" i="129"/>
  <c r="AC14" i="129" s="1"/>
  <c r="AC29" i="129"/>
  <c r="AC10" i="129" s="1"/>
  <c r="Y64" i="129"/>
  <c r="Y29" i="129"/>
  <c r="H19" i="127"/>
  <c r="J51" i="127"/>
  <c r="J75" i="194"/>
  <c r="E95" i="194"/>
  <c r="E90" i="194"/>
  <c r="E123" i="194"/>
  <c r="E117" i="194"/>
  <c r="E124" i="194"/>
  <c r="E116" i="194"/>
  <c r="E110" i="194"/>
  <c r="E101" i="194"/>
  <c r="FO38" i="129"/>
  <c r="E97" i="194"/>
  <c r="E85" i="194"/>
  <c r="E130" i="194"/>
  <c r="E113" i="194"/>
  <c r="S7" i="119"/>
  <c r="S6" i="119" s="1"/>
  <c r="E103" i="194"/>
  <c r="FO34" i="129"/>
  <c r="E91" i="194"/>
  <c r="FO63" i="129"/>
  <c r="FO28" i="129"/>
  <c r="FO54" i="129"/>
  <c r="E114" i="194"/>
  <c r="FO51" i="129"/>
  <c r="E108" i="194"/>
  <c r="FO40" i="129"/>
  <c r="FO41" i="129"/>
  <c r="FO32" i="129"/>
  <c r="FO22" i="129"/>
  <c r="FO25" i="129"/>
  <c r="E122" i="194"/>
  <c r="FO67" i="129"/>
  <c r="FO57" i="129"/>
  <c r="FO45" i="129"/>
  <c r="FA5" i="129"/>
  <c r="W63" i="92"/>
  <c r="EY58" i="129"/>
  <c r="EY66" i="129"/>
  <c r="EY49" i="129"/>
  <c r="EY62" i="129"/>
  <c r="EY48" i="129"/>
  <c r="EY36" i="129"/>
  <c r="EY20" i="129"/>
  <c r="EY59" i="129"/>
  <c r="EY26" i="129"/>
  <c r="EY51" i="129"/>
  <c r="EY54" i="129"/>
  <c r="EY63" i="129"/>
  <c r="EY45" i="129"/>
  <c r="EY60" i="129"/>
  <c r="EY44" i="129"/>
  <c r="EY32" i="129"/>
  <c r="EY39" i="129"/>
  <c r="EY38" i="129"/>
  <c r="EY22" i="129"/>
  <c r="EY33" i="129"/>
  <c r="EY50" i="129"/>
  <c r="EY57" i="129"/>
  <c r="EY41" i="129"/>
  <c r="EY56" i="129"/>
  <c r="EY40" i="129"/>
  <c r="EY28" i="129"/>
  <c r="EY31" i="129"/>
  <c r="EY34" i="129"/>
  <c r="EY25" i="129"/>
  <c r="EY37" i="129"/>
  <c r="EY67" i="129"/>
  <c r="EY46" i="129"/>
  <c r="EY53" i="129"/>
  <c r="EY65" i="129"/>
  <c r="EY52" i="129"/>
  <c r="EY43" i="129"/>
  <c r="EY24" i="129"/>
  <c r="EY27" i="129"/>
  <c r="EY30" i="129"/>
  <c r="EY21" i="129"/>
  <c r="EX5" i="129"/>
  <c r="EW5" i="129" s="1"/>
  <c r="CJ51" i="129"/>
  <c r="CJ33" i="129"/>
  <c r="CJ65" i="129"/>
  <c r="CJ39" i="129"/>
  <c r="CJ53" i="129"/>
  <c r="CJ38" i="129"/>
  <c r="CJ28" i="129"/>
  <c r="CJ54" i="129"/>
  <c r="CJ36" i="129"/>
  <c r="CJ50" i="129"/>
  <c r="CJ62" i="129"/>
  <c r="CJ49" i="129"/>
  <c r="CJ26" i="129"/>
  <c r="CJ21" i="129"/>
  <c r="CJ52" i="129"/>
  <c r="CJ27" i="129"/>
  <c r="CJ32" i="129"/>
  <c r="CJ41" i="129"/>
  <c r="CJ45" i="129"/>
  <c r="CJ22" i="129"/>
  <c r="CJ43" i="129"/>
  <c r="CJ60" i="129"/>
  <c r="CJ67" i="129"/>
  <c r="CJ66" i="129"/>
  <c r="CJ44" i="129"/>
  <c r="CJ34" i="129"/>
  <c r="CJ56" i="129"/>
  <c r="CJ63" i="129"/>
  <c r="CJ59" i="129"/>
  <c r="CJ57" i="129"/>
  <c r="J73" i="192"/>
  <c r="S64" i="111"/>
  <c r="S23" i="111"/>
  <c r="S35" i="111"/>
  <c r="S19" i="111"/>
  <c r="S29" i="111"/>
  <c r="S61" i="111"/>
  <c r="S42" i="111"/>
  <c r="S47" i="111"/>
  <c r="S55" i="111"/>
  <c r="O61" i="129"/>
  <c r="O42" i="129"/>
  <c r="O55" i="129"/>
  <c r="O23" i="129"/>
  <c r="O19" i="129"/>
  <c r="O47" i="129"/>
  <c r="O35" i="129"/>
  <c r="O64" i="129"/>
  <c r="O29" i="129"/>
  <c r="AV66" i="129"/>
  <c r="AV48" i="129"/>
  <c r="V14" i="151"/>
  <c r="E86" i="121" s="1"/>
  <c r="E86" i="124" s="1"/>
  <c r="AV32" i="129"/>
  <c r="V12" i="151"/>
  <c r="E84" i="121" s="1"/>
  <c r="E84" i="124" s="1"/>
  <c r="V11" i="151"/>
  <c r="E83" i="121" s="1"/>
  <c r="E83" i="124" s="1"/>
  <c r="V13" i="151"/>
  <c r="E85" i="121" s="1"/>
  <c r="E85" i="124" s="1"/>
  <c r="V9" i="151"/>
  <c r="E81" i="121" s="1"/>
  <c r="E81" i="124" s="1"/>
  <c r="V7" i="151"/>
  <c r="E79" i="121" s="1"/>
  <c r="E79" i="124" s="1"/>
  <c r="V10" i="153"/>
  <c r="C82" i="121" s="1"/>
  <c r="C82" i="124" s="1"/>
  <c r="V12" i="153"/>
  <c r="C84" i="121" s="1"/>
  <c r="C84" i="124" s="1"/>
  <c r="L7" i="120"/>
  <c r="L6" i="120" s="1"/>
  <c r="L17" i="120"/>
  <c r="V7" i="152"/>
  <c r="D79" i="121" s="1"/>
  <c r="D79" i="124" s="1"/>
  <c r="V13" i="153"/>
  <c r="C85" i="121" s="1"/>
  <c r="C85" i="124" s="1"/>
  <c r="AV28" i="129"/>
  <c r="AV52" i="129"/>
  <c r="AV46" i="129"/>
  <c r="V13" i="152"/>
  <c r="D85" i="121" s="1"/>
  <c r="D85" i="124" s="1"/>
  <c r="V11" i="153"/>
  <c r="C83" i="121" s="1"/>
  <c r="C83" i="124" s="1"/>
  <c r="V9" i="152"/>
  <c r="D81" i="121" s="1"/>
  <c r="D81" i="124" s="1"/>
  <c r="V10" i="152"/>
  <c r="D82" i="121" s="1"/>
  <c r="D82" i="124" s="1"/>
  <c r="V9" i="153"/>
  <c r="C81" i="121" s="1"/>
  <c r="C81" i="124" s="1"/>
  <c r="V6" i="153"/>
  <c r="C78" i="121" s="1"/>
  <c r="C78" i="124" s="1"/>
  <c r="AV56" i="129"/>
  <c r="AV41" i="129"/>
  <c r="V14" i="153"/>
  <c r="C86" i="121" s="1"/>
  <c r="C86" i="124" s="1"/>
  <c r="V14" i="152"/>
  <c r="D86" i="121" s="1"/>
  <c r="D86" i="124" s="1"/>
  <c r="V6" i="152"/>
  <c r="D78" i="121" s="1"/>
  <c r="D78" i="124" s="1"/>
  <c r="V7" i="153"/>
  <c r="C79" i="121" s="1"/>
  <c r="C79" i="124" s="1"/>
  <c r="V8" i="153"/>
  <c r="C80" i="121" s="1"/>
  <c r="C80" i="124" s="1"/>
  <c r="V8" i="152"/>
  <c r="D80" i="121" s="1"/>
  <c r="D80" i="124" s="1"/>
  <c r="AV21" i="129"/>
  <c r="AV43" i="129"/>
  <c r="AV57" i="129"/>
  <c r="AV31" i="129"/>
  <c r="AV22" i="129"/>
  <c r="AV30" i="129"/>
  <c r="AV34" i="129"/>
  <c r="AV44" i="129"/>
  <c r="AV36" i="129"/>
  <c r="AV67" i="129"/>
  <c r="AV40" i="129"/>
  <c r="AV37" i="129"/>
  <c r="AV65" i="129"/>
  <c r="AV39" i="129"/>
  <c r="AV26" i="129"/>
  <c r="AV59" i="129"/>
  <c r="AV33" i="129"/>
  <c r="AV20" i="129"/>
  <c r="AV27" i="129"/>
  <c r="AV54" i="129"/>
  <c r="AV58" i="129"/>
  <c r="AV49" i="129"/>
  <c r="BY18" i="129"/>
  <c r="BY7" i="129" s="1"/>
  <c r="BY6" i="129" s="1"/>
  <c r="BY1" i="129" s="1"/>
  <c r="AV62" i="129"/>
  <c r="AV53" i="129"/>
  <c r="AV45" i="129"/>
  <c r="AV38" i="129"/>
  <c r="AV60" i="129"/>
  <c r="AV24" i="129"/>
  <c r="AV51" i="129"/>
  <c r="AV63" i="129"/>
  <c r="AV50" i="129"/>
  <c r="AV25" i="129"/>
  <c r="BO18" i="129"/>
  <c r="BO17" i="129" s="1"/>
  <c r="DC18" i="129"/>
  <c r="DC7" i="129" s="1"/>
  <c r="DC6" i="129" s="1"/>
  <c r="DC1" i="129" s="1"/>
  <c r="I18" i="129"/>
  <c r="I17" i="129" s="1"/>
  <c r="CA18" i="129"/>
  <c r="DE18" i="129"/>
  <c r="AU18" i="129"/>
  <c r="BE18" i="129"/>
  <c r="CS18" i="129"/>
  <c r="AM18" i="129"/>
  <c r="G18" i="129"/>
  <c r="CK18" i="129"/>
  <c r="BG18" i="129"/>
  <c r="CI18" i="129"/>
  <c r="CU18" i="129"/>
  <c r="BQ18" i="129"/>
  <c r="AW18" i="129"/>
  <c r="AK18" i="129"/>
  <c r="Q47" i="129"/>
  <c r="Q13" i="129" s="1"/>
  <c r="Q29" i="129"/>
  <c r="Q10" i="129" s="1"/>
  <c r="J62" i="93"/>
  <c r="J33" i="93"/>
  <c r="J46" i="93"/>
  <c r="J66" i="93"/>
  <c r="J66" i="127" s="1"/>
  <c r="J40" i="93"/>
  <c r="J38" i="93"/>
  <c r="J38" i="127" s="1"/>
  <c r="J58" i="93"/>
  <c r="J37" i="93"/>
  <c r="J37" i="127" s="1"/>
  <c r="J36" i="93"/>
  <c r="J41" i="93"/>
  <c r="J41" i="127" s="1"/>
  <c r="J54" i="93"/>
  <c r="J54" i="127" s="1"/>
  <c r="J63" i="93"/>
  <c r="J63" i="127" s="1"/>
  <c r="J22" i="93"/>
  <c r="J22" i="127" s="1"/>
  <c r="J21" i="93"/>
  <c r="J21" i="127" s="1"/>
  <c r="J30" i="93"/>
  <c r="J50" i="93"/>
  <c r="J50" i="127" s="1"/>
  <c r="J53" i="93"/>
  <c r="J27" i="93"/>
  <c r="J26" i="93"/>
  <c r="J31" i="93"/>
  <c r="J43" i="93"/>
  <c r="J56" i="93"/>
  <c r="J56" i="127" s="1"/>
  <c r="J25" i="93"/>
  <c r="J52" i="93"/>
  <c r="J24" i="93"/>
  <c r="J57" i="93"/>
  <c r="J59" i="93"/>
  <c r="J59" i="127" s="1"/>
  <c r="J45" i="93"/>
  <c r="J45" i="127" s="1"/>
  <c r="J39" i="93"/>
  <c r="J39" i="127" s="1"/>
  <c r="J28" i="93"/>
  <c r="J28" i="127" s="1"/>
  <c r="AA4" i="114"/>
  <c r="K51" i="93" s="1"/>
  <c r="K51" i="127" s="1"/>
  <c r="AE54" i="114"/>
  <c r="AE88" i="114"/>
  <c r="AF88" i="114" s="1"/>
  <c r="AD28" i="114"/>
  <c r="AB16" i="114"/>
  <c r="AD95" i="114"/>
  <c r="AC35" i="114"/>
  <c r="DN57" i="129"/>
  <c r="DN39" i="129"/>
  <c r="DN53" i="129"/>
  <c r="DN49" i="129"/>
  <c r="DN41" i="129"/>
  <c r="DN33" i="129"/>
  <c r="DN50" i="129"/>
  <c r="DN28" i="129"/>
  <c r="DN46" i="129"/>
  <c r="DN38" i="129"/>
  <c r="DN63" i="129"/>
  <c r="DN44" i="129"/>
  <c r="DN51" i="129"/>
  <c r="DN25" i="129"/>
  <c r="DN22" i="129"/>
  <c r="DN26" i="129"/>
  <c r="DN45" i="129"/>
  <c r="DN21" i="129"/>
  <c r="DN60" i="129"/>
  <c r="DN66" i="129"/>
  <c r="DN31" i="129"/>
  <c r="DN34" i="129"/>
  <c r="DN58" i="129"/>
  <c r="DN54" i="129"/>
  <c r="DN32" i="129"/>
  <c r="DN40" i="129"/>
  <c r="DN67" i="129"/>
  <c r="DN52" i="129"/>
  <c r="DN37" i="129"/>
  <c r="DN27" i="129"/>
  <c r="DN59" i="129"/>
  <c r="DN48" i="129"/>
  <c r="DN56" i="129"/>
  <c r="DN43" i="129"/>
  <c r="DN65" i="129"/>
  <c r="DN36" i="129"/>
  <c r="DN20" i="129"/>
  <c r="DN24" i="129"/>
  <c r="DN30" i="129"/>
  <c r="DN62" i="129"/>
  <c r="S23" i="129"/>
  <c r="S9" i="129" s="1"/>
  <c r="Q64" i="129"/>
  <c r="Q16" i="129" s="1"/>
  <c r="Q19" i="129"/>
  <c r="Q8" i="129" s="1"/>
  <c r="S64" i="129"/>
  <c r="S16" i="129" s="1"/>
  <c r="Q55" i="129"/>
  <c r="Q14" i="129" s="1"/>
  <c r="Q42" i="129"/>
  <c r="Q12" i="129" s="1"/>
  <c r="S42" i="129"/>
  <c r="S12" i="129" s="1"/>
  <c r="S29" i="129"/>
  <c r="S10" i="129" s="1"/>
  <c r="S19" i="129"/>
  <c r="S8" i="129" s="1"/>
  <c r="EB6" i="129"/>
  <c r="DX33" i="129"/>
  <c r="DX34" i="129"/>
  <c r="DX59" i="129"/>
  <c r="DX21" i="129"/>
  <c r="DX40" i="129"/>
  <c r="DX66" i="129"/>
  <c r="DX39" i="129"/>
  <c r="DX37" i="129"/>
  <c r="DX32" i="129"/>
  <c r="DX54" i="129"/>
  <c r="DX26" i="129"/>
  <c r="DX22" i="129"/>
  <c r="DX46" i="129"/>
  <c r="DX60" i="129"/>
  <c r="DX31" i="129"/>
  <c r="DX38" i="129"/>
  <c r="DX58" i="129"/>
  <c r="DX50" i="129"/>
  <c r="DX44" i="129"/>
  <c r="DX25" i="129"/>
  <c r="DX57" i="129"/>
  <c r="DX53" i="129"/>
  <c r="DX52" i="129"/>
  <c r="DX28" i="129"/>
  <c r="DX67" i="129"/>
  <c r="DX45" i="129"/>
  <c r="DX51" i="129"/>
  <c r="DX27" i="129"/>
  <c r="DX49" i="129"/>
  <c r="DX63" i="129"/>
  <c r="DX41" i="129"/>
  <c r="DX43" i="129"/>
  <c r="DX24" i="129"/>
  <c r="DX30" i="129"/>
  <c r="DX62" i="129"/>
  <c r="DX56" i="129"/>
  <c r="DX36" i="129"/>
  <c r="DX48" i="129"/>
  <c r="DX65" i="129"/>
  <c r="DX20" i="129"/>
  <c r="S47" i="129"/>
  <c r="S13" i="129" s="1"/>
  <c r="S55" i="129"/>
  <c r="S14" i="129" s="1"/>
  <c r="Q23" i="129"/>
  <c r="Q9" i="129" s="1"/>
  <c r="S35" i="129"/>
  <c r="S11" i="129" s="1"/>
  <c r="Q35" i="129"/>
  <c r="Q11" i="129" s="1"/>
  <c r="Q61" i="129"/>
  <c r="Q15" i="129" s="1"/>
  <c r="S61" i="129"/>
  <c r="S15" i="129" s="1"/>
  <c r="DR6" i="129"/>
  <c r="AB22" i="114"/>
  <c r="AC23" i="114"/>
  <c r="AD83" i="114"/>
  <c r="AD80" i="114"/>
  <c r="AC20" i="114"/>
  <c r="AD97" i="114"/>
  <c r="AC37" i="114"/>
  <c r="AC39" i="114"/>
  <c r="AD99" i="114"/>
  <c r="AC21" i="114"/>
  <c r="AD81" i="114"/>
  <c r="AD91" i="114"/>
  <c r="AC31" i="114"/>
  <c r="AC40" i="114"/>
  <c r="AD100" i="114"/>
  <c r="AC25" i="114"/>
  <c r="AD85" i="114"/>
  <c r="J99" i="194"/>
  <c r="J87" i="194"/>
  <c r="J106" i="194"/>
  <c r="J83" i="194"/>
  <c r="J111" i="194"/>
  <c r="J119" i="194"/>
  <c r="S18" i="112"/>
  <c r="J125" i="194"/>
  <c r="J128" i="194"/>
  <c r="J93" i="194"/>
  <c r="J74" i="192"/>
  <c r="AE93" i="114"/>
  <c r="AF93" i="114" s="1"/>
  <c r="AD33" i="114"/>
  <c r="AE86" i="114"/>
  <c r="AF86" i="114" s="1"/>
  <c r="AD26" i="114"/>
  <c r="AG87" i="114"/>
  <c r="AH87" i="114" s="1"/>
  <c r="AI87" i="114" s="1"/>
  <c r="AJ87" i="114" s="1"/>
  <c r="AK87" i="114" s="1"/>
  <c r="AF27" i="114"/>
  <c r="X13" i="176"/>
  <c r="AF11" i="176"/>
  <c r="G72" i="194"/>
  <c r="G80" i="194"/>
  <c r="G74" i="194"/>
  <c r="G77" i="194"/>
  <c r="G76" i="194"/>
  <c r="G75" i="194"/>
  <c r="G78" i="194"/>
  <c r="G73" i="194"/>
  <c r="G79" i="194"/>
  <c r="AD36" i="114"/>
  <c r="AE96" i="114"/>
  <c r="AF96" i="114" s="1"/>
  <c r="J72" i="188"/>
  <c r="AD19" i="114"/>
  <c r="AE79" i="114"/>
  <c r="AF79" i="114" s="1"/>
  <c r="AE84" i="114"/>
  <c r="AF84" i="114" s="1"/>
  <c r="AD24" i="114"/>
  <c r="AD17" i="114"/>
  <c r="AE77" i="114"/>
  <c r="AF77" i="114" s="1"/>
  <c r="AE78" i="114"/>
  <c r="AF78" i="114" s="1"/>
  <c r="AD18" i="114"/>
  <c r="R7" i="112"/>
  <c r="R6" i="112" s="1"/>
  <c r="J82" i="192"/>
  <c r="E99" i="192"/>
  <c r="E128" i="192"/>
  <c r="E87" i="192"/>
  <c r="E119" i="192"/>
  <c r="E125" i="192"/>
  <c r="AD75" i="114"/>
  <c r="AC15" i="114"/>
  <c r="AB42" i="114"/>
  <c r="AD109" i="114"/>
  <c r="AC49" i="114"/>
  <c r="AD104" i="114"/>
  <c r="AC44" i="114"/>
  <c r="AD103" i="114"/>
  <c r="AC43" i="114"/>
  <c r="AB48" i="114"/>
  <c r="AC9" i="114"/>
  <c r="AD69" i="114"/>
  <c r="AB10" i="114"/>
  <c r="AC13" i="114"/>
  <c r="AD73" i="114"/>
  <c r="AD110" i="114"/>
  <c r="AC50" i="114"/>
  <c r="AC47" i="114"/>
  <c r="AD107" i="114"/>
  <c r="D18" i="127"/>
  <c r="AD74" i="114"/>
  <c r="AC14" i="114"/>
  <c r="AC11" i="114"/>
  <c r="AD71" i="114"/>
  <c r="AB6" i="114"/>
  <c r="AD72" i="114"/>
  <c r="AC12" i="114"/>
  <c r="AD106" i="114"/>
  <c r="AC46" i="114"/>
  <c r="AC45" i="114"/>
  <c r="AD105" i="114"/>
  <c r="D16" i="153"/>
  <c r="C7" i="93"/>
  <c r="C18" i="127"/>
  <c r="AC7" i="114"/>
  <c r="AD67" i="114"/>
  <c r="AD68" i="114"/>
  <c r="AC8" i="114"/>
  <c r="AG5" i="114"/>
  <c r="N35" i="120"/>
  <c r="U34" i="188"/>
  <c r="M16" i="120"/>
  <c r="M15" i="120"/>
  <c r="M11" i="120"/>
  <c r="N55" i="120"/>
  <c r="U54" i="188"/>
  <c r="N64" i="120"/>
  <c r="U63" i="188"/>
  <c r="M10" i="120"/>
  <c r="N61" i="120"/>
  <c r="U60" i="188"/>
  <c r="U41" i="188"/>
  <c r="N42" i="120"/>
  <c r="U22" i="188"/>
  <c r="N23" i="120"/>
  <c r="N19" i="120"/>
  <c r="U18" i="188"/>
  <c r="O59" i="120"/>
  <c r="U57" i="189" s="1"/>
  <c r="O43" i="120"/>
  <c r="O21" i="120"/>
  <c r="U19" i="189" s="1"/>
  <c r="O24" i="120"/>
  <c r="O38" i="120"/>
  <c r="U36" i="189" s="1"/>
  <c r="O34" i="120"/>
  <c r="U32" i="189" s="1"/>
  <c r="O50" i="120"/>
  <c r="U48" i="189" s="1"/>
  <c r="O33" i="120"/>
  <c r="U31" i="189" s="1"/>
  <c r="O22" i="120"/>
  <c r="U20" i="189" s="1"/>
  <c r="O54" i="120"/>
  <c r="U52" i="189" s="1"/>
  <c r="O63" i="120"/>
  <c r="U61" i="189" s="1"/>
  <c r="O20" i="120"/>
  <c r="O36" i="120"/>
  <c r="O39" i="120"/>
  <c r="U37" i="189" s="1"/>
  <c r="O58" i="120"/>
  <c r="U56" i="189" s="1"/>
  <c r="O25" i="120"/>
  <c r="U23" i="189" s="1"/>
  <c r="O27" i="120"/>
  <c r="U25" i="189" s="1"/>
  <c r="O49" i="120"/>
  <c r="U47" i="189" s="1"/>
  <c r="O28" i="120"/>
  <c r="U26" i="189" s="1"/>
  <c r="O52" i="120"/>
  <c r="U50" i="189" s="1"/>
  <c r="O41" i="120"/>
  <c r="U39" i="189" s="1"/>
  <c r="O51" i="120"/>
  <c r="U49" i="189" s="1"/>
  <c r="O46" i="120"/>
  <c r="U44" i="189" s="1"/>
  <c r="O60" i="120"/>
  <c r="U58" i="189" s="1"/>
  <c r="O66" i="120"/>
  <c r="U64" i="189" s="1"/>
  <c r="O30" i="120"/>
  <c r="O65" i="120"/>
  <c r="O48" i="120"/>
  <c r="O32" i="120"/>
  <c r="U30" i="189" s="1"/>
  <c r="O45" i="120"/>
  <c r="U43" i="189" s="1"/>
  <c r="O56" i="120"/>
  <c r="O53" i="120"/>
  <c r="U51" i="189" s="1"/>
  <c r="O37" i="120"/>
  <c r="U35" i="189" s="1"/>
  <c r="O40" i="120"/>
  <c r="U38" i="189" s="1"/>
  <c r="O31" i="120"/>
  <c r="U29" i="189" s="1"/>
  <c r="O26" i="120"/>
  <c r="U24" i="189" s="1"/>
  <c r="O44" i="120"/>
  <c r="U42" i="189" s="1"/>
  <c r="O62" i="120"/>
  <c r="O57" i="120"/>
  <c r="U55" i="189" s="1"/>
  <c r="O67" i="120"/>
  <c r="U65" i="189" s="1"/>
  <c r="K7" i="120"/>
  <c r="U5" i="185" s="1"/>
  <c r="U16" i="185"/>
  <c r="U16" i="186"/>
  <c r="J6" i="120"/>
  <c r="U5" i="178"/>
  <c r="M13" i="120"/>
  <c r="M8" i="120"/>
  <c r="M9" i="120"/>
  <c r="U46" i="188"/>
  <c r="N47" i="120"/>
  <c r="M12" i="120"/>
  <c r="U28" i="188"/>
  <c r="N29" i="120"/>
  <c r="M14" i="120"/>
  <c r="H118" i="121"/>
  <c r="H118" i="124" s="1"/>
  <c r="H129" i="121"/>
  <c r="H129" i="124" s="1"/>
  <c r="H120" i="121"/>
  <c r="H120" i="124" s="1"/>
  <c r="H96" i="121"/>
  <c r="H96" i="124" s="1"/>
  <c r="H130" i="121"/>
  <c r="H130" i="124" s="1"/>
  <c r="G93" i="121"/>
  <c r="G93" i="124" s="1"/>
  <c r="V12" i="157"/>
  <c r="V20" i="177"/>
  <c r="V31" i="177"/>
  <c r="V41" i="177"/>
  <c r="V65" i="177"/>
  <c r="V61" i="177"/>
  <c r="V54" i="177"/>
  <c r="E72" i="189"/>
  <c r="V14" i="157"/>
  <c r="H100" i="121"/>
  <c r="H100" i="124" s="1"/>
  <c r="H109" i="121"/>
  <c r="H109" i="124" s="1"/>
  <c r="G99" i="121"/>
  <c r="G99" i="124" s="1"/>
  <c r="G105" i="121"/>
  <c r="G105" i="124" s="1"/>
  <c r="F85" i="121"/>
  <c r="F85" i="124" s="1"/>
  <c r="AC41" i="114"/>
  <c r="AD101" i="114"/>
  <c r="G89" i="121"/>
  <c r="G89" i="124" s="1"/>
  <c r="AB34" i="114"/>
  <c r="H91" i="121"/>
  <c r="H91" i="124" s="1"/>
  <c r="H108" i="121"/>
  <c r="H108" i="124" s="1"/>
  <c r="H101" i="121"/>
  <c r="H101" i="124" s="1"/>
  <c r="H114" i="121"/>
  <c r="H114" i="124" s="1"/>
  <c r="H115" i="121"/>
  <c r="H115" i="124" s="1"/>
  <c r="H136" i="121"/>
  <c r="H136" i="124" s="1"/>
  <c r="V7" i="157"/>
  <c r="V36" i="177"/>
  <c r="V30" i="177"/>
  <c r="V34" i="177"/>
  <c r="V51" i="177"/>
  <c r="V19" i="177"/>
  <c r="F81" i="121"/>
  <c r="F81" i="124" s="1"/>
  <c r="H124" i="121"/>
  <c r="H124" i="124" s="1"/>
  <c r="H126" i="121"/>
  <c r="H126" i="124" s="1"/>
  <c r="H133" i="121"/>
  <c r="H133" i="124" s="1"/>
  <c r="H8" i="127"/>
  <c r="H98" i="121"/>
  <c r="H98" i="124" s="1"/>
  <c r="H122" i="121"/>
  <c r="H122" i="124" s="1"/>
  <c r="V13" i="157"/>
  <c r="V8" i="157"/>
  <c r="V11" i="157"/>
  <c r="V9" i="157"/>
  <c r="F79" i="121"/>
  <c r="F79" i="124" s="1"/>
  <c r="F84" i="121"/>
  <c r="F84" i="124" s="1"/>
  <c r="V49" i="178"/>
  <c r="H116" i="121"/>
  <c r="H116" i="124" s="1"/>
  <c r="H97" i="121"/>
  <c r="H97" i="124" s="1"/>
  <c r="H103" i="121"/>
  <c r="H103" i="124" s="1"/>
  <c r="H137" i="121"/>
  <c r="H137" i="124" s="1"/>
  <c r="G112" i="121"/>
  <c r="G112" i="124" s="1"/>
  <c r="F80" i="121"/>
  <c r="F80" i="124" s="1"/>
  <c r="V48" i="177"/>
  <c r="V63" i="177"/>
  <c r="V22" i="177"/>
  <c r="V52" i="177"/>
  <c r="F86" i="121"/>
  <c r="F86" i="124" s="1"/>
  <c r="H113" i="121"/>
  <c r="H113" i="124" s="1"/>
  <c r="H110" i="121"/>
  <c r="H110" i="124" s="1"/>
  <c r="H119" i="121"/>
  <c r="H119" i="124" s="1"/>
  <c r="H92" i="121"/>
  <c r="H92" i="124" s="1"/>
  <c r="H106" i="121"/>
  <c r="H106" i="124" s="1"/>
  <c r="G131" i="121"/>
  <c r="G131" i="124" s="1"/>
  <c r="G117" i="121"/>
  <c r="G117" i="124" s="1"/>
  <c r="AD98" i="114"/>
  <c r="AC38" i="114"/>
  <c r="F78" i="121"/>
  <c r="F78" i="124" s="1"/>
  <c r="H135" i="121"/>
  <c r="H135" i="124" s="1"/>
  <c r="H102" i="121"/>
  <c r="H102" i="124" s="1"/>
  <c r="G125" i="121"/>
  <c r="G125" i="124" s="1"/>
  <c r="V25" i="177"/>
  <c r="V39" i="177"/>
  <c r="V37" i="177"/>
  <c r="V46" i="177"/>
  <c r="V60" i="177"/>
  <c r="F83" i="121"/>
  <c r="F83" i="124" s="1"/>
  <c r="F82" i="121"/>
  <c r="F82" i="124" s="1"/>
  <c r="G134" i="121"/>
  <c r="G134" i="124" s="1"/>
  <c r="G71" i="188"/>
  <c r="E72" i="188"/>
  <c r="H111" i="121"/>
  <c r="H111" i="124" s="1"/>
  <c r="H104" i="121"/>
  <c r="H104" i="124" s="1"/>
  <c r="AM4" i="99" l="1"/>
  <c r="AN5" i="99"/>
  <c r="X58" i="111"/>
  <c r="X37" i="111"/>
  <c r="X26" i="111"/>
  <c r="E24" i="213" s="1"/>
  <c r="E90" i="213" s="1"/>
  <c r="W51" i="111"/>
  <c r="W40" i="111"/>
  <c r="W49" i="111"/>
  <c r="W49" i="127" s="1"/>
  <c r="W58" i="111"/>
  <c r="W55" i="111" s="1"/>
  <c r="W21" i="111"/>
  <c r="W19" i="111" s="1"/>
  <c r="X63" i="111"/>
  <c r="X59" i="111"/>
  <c r="X59" i="127" s="1"/>
  <c r="X49" i="111"/>
  <c r="E47" i="213" s="1"/>
  <c r="E113" i="213" s="1"/>
  <c r="X57" i="111"/>
  <c r="X27" i="111"/>
  <c r="X27" i="127" s="1"/>
  <c r="X33" i="111"/>
  <c r="X33" i="127" s="1"/>
  <c r="X67" i="111"/>
  <c r="E65" i="213" s="1"/>
  <c r="E131" i="213" s="1"/>
  <c r="W26" i="111"/>
  <c r="W23" i="111" s="1"/>
  <c r="W33" i="111"/>
  <c r="W60" i="111"/>
  <c r="W44" i="111"/>
  <c r="E42" i="212" s="1"/>
  <c r="W52" i="111"/>
  <c r="X60" i="111"/>
  <c r="X50" i="111"/>
  <c r="E48" i="213" s="1"/>
  <c r="E114" i="213" s="1"/>
  <c r="X39" i="111"/>
  <c r="X35" i="111" s="1"/>
  <c r="X48" i="111"/>
  <c r="E46" i="213" s="1"/>
  <c r="E112" i="213" s="1"/>
  <c r="X34" i="111"/>
  <c r="X51" i="111"/>
  <c r="X30" i="111"/>
  <c r="X30" i="127" s="1"/>
  <c r="W62" i="111"/>
  <c r="W62" i="127" s="1"/>
  <c r="W37" i="111"/>
  <c r="W65" i="111"/>
  <c r="E63" i="212" s="1"/>
  <c r="E129" i="212" s="1"/>
  <c r="W39" i="111"/>
  <c r="W39" i="127" s="1"/>
  <c r="W30" i="111"/>
  <c r="E28" i="212" s="1"/>
  <c r="E94" i="212" s="1"/>
  <c r="X41" i="111"/>
  <c r="X31" i="111"/>
  <c r="X20" i="111"/>
  <c r="X19" i="111" s="1"/>
  <c r="X28" i="111"/>
  <c r="X65" i="111"/>
  <c r="X64" i="111" s="1"/>
  <c r="X53" i="111"/>
  <c r="X53" i="127" s="1"/>
  <c r="X52" i="111"/>
  <c r="E50" i="213" s="1"/>
  <c r="E116" i="213" s="1"/>
  <c r="X24" i="111"/>
  <c r="E22" i="213" s="1"/>
  <c r="E88" i="213" s="1"/>
  <c r="X46" i="111"/>
  <c r="X36" i="111"/>
  <c r="X40" i="111"/>
  <c r="X38" i="111"/>
  <c r="X43" i="111"/>
  <c r="W59" i="111"/>
  <c r="W59" i="127" s="1"/>
  <c r="W36" i="111"/>
  <c r="E34" i="212" s="1"/>
  <c r="E100" i="212" s="1"/>
  <c r="W34" i="111"/>
  <c r="E32" i="212" s="1"/>
  <c r="E98" i="212" s="1"/>
  <c r="W32" i="111"/>
  <c r="X32" i="111"/>
  <c r="X21" i="111"/>
  <c r="X25" i="111"/>
  <c r="E23" i="213" s="1"/>
  <c r="E89" i="213" s="1"/>
  <c r="X66" i="111"/>
  <c r="V19" i="111"/>
  <c r="V29" i="111"/>
  <c r="E27" i="211" s="1"/>
  <c r="GT29" i="129" s="1"/>
  <c r="E46" i="211"/>
  <c r="GT48" i="129" s="1"/>
  <c r="V61" i="111"/>
  <c r="E28" i="211"/>
  <c r="GT30" i="129" s="1"/>
  <c r="E38" i="211"/>
  <c r="GT40" i="129" s="1"/>
  <c r="E63" i="211"/>
  <c r="GT65" i="129" s="1"/>
  <c r="V42" i="111"/>
  <c r="V12" i="111" s="1"/>
  <c r="X63" i="127"/>
  <c r="E61" i="213"/>
  <c r="E127" i="213" s="1"/>
  <c r="E57" i="213"/>
  <c r="E123" i="213" s="1"/>
  <c r="X49" i="127"/>
  <c r="X55" i="111"/>
  <c r="X57" i="127"/>
  <c r="E55" i="213"/>
  <c r="E121" i="213" s="1"/>
  <c r="E25" i="213"/>
  <c r="E91" i="213" s="1"/>
  <c r="E58" i="213"/>
  <c r="E124" i="213" s="1"/>
  <c r="X60" i="127"/>
  <c r="E37" i="213"/>
  <c r="E103" i="213" s="1"/>
  <c r="X48" i="127"/>
  <c r="E32" i="213"/>
  <c r="E98" i="213" s="1"/>
  <c r="X34" i="127"/>
  <c r="E49" i="213"/>
  <c r="E115" i="213" s="1"/>
  <c r="X51" i="127"/>
  <c r="E38" i="213"/>
  <c r="E104" i="213" s="1"/>
  <c r="X40" i="127"/>
  <c r="X29" i="111"/>
  <c r="X38" i="127"/>
  <c r="E36" i="213"/>
  <c r="E102" i="213" s="1"/>
  <c r="X42" i="111"/>
  <c r="E41" i="213"/>
  <c r="E107" i="213" s="1"/>
  <c r="X43" i="127"/>
  <c r="X41" i="127"/>
  <c r="E39" i="213"/>
  <c r="E105" i="213" s="1"/>
  <c r="X31" i="127"/>
  <c r="E29" i="213"/>
  <c r="E95" i="213" s="1"/>
  <c r="X20" i="127"/>
  <c r="E26" i="213"/>
  <c r="E92" i="213" s="1"/>
  <c r="X28" i="127"/>
  <c r="X65" i="127"/>
  <c r="E63" i="213"/>
  <c r="E129" i="213" s="1"/>
  <c r="X32" i="127"/>
  <c r="E30" i="213"/>
  <c r="E96" i="213" s="1"/>
  <c r="X21" i="127"/>
  <c r="E19" i="213"/>
  <c r="E85" i="213" s="1"/>
  <c r="X23" i="111"/>
  <c r="X25" i="127"/>
  <c r="E64" i="213"/>
  <c r="E130" i="213" s="1"/>
  <c r="X66" i="127"/>
  <c r="E52" i="213"/>
  <c r="E118" i="213" s="1"/>
  <c r="X54" i="127"/>
  <c r="X22" i="127"/>
  <c r="E20" i="213"/>
  <c r="E86" i="213" s="1"/>
  <c r="E42" i="213"/>
  <c r="E108" i="213" s="1"/>
  <c r="X44" i="127"/>
  <c r="X61" i="111"/>
  <c r="X62" i="127"/>
  <c r="E60" i="213"/>
  <c r="E126" i="213" s="1"/>
  <c r="X56" i="127"/>
  <c r="E54" i="213"/>
  <c r="E120" i="213" s="1"/>
  <c r="E43" i="213"/>
  <c r="E109" i="213" s="1"/>
  <c r="X45" i="127"/>
  <c r="E51" i="213"/>
  <c r="E117" i="213" s="1"/>
  <c r="X46" i="127"/>
  <c r="E44" i="213"/>
  <c r="E110" i="213" s="1"/>
  <c r="E34" i="213"/>
  <c r="E100" i="213" s="1"/>
  <c r="X36" i="127"/>
  <c r="E31" i="213"/>
  <c r="E97" i="213" s="1"/>
  <c r="E56" i="213"/>
  <c r="E122" i="213" s="1"/>
  <c r="X58" i="127"/>
  <c r="X37" i="127"/>
  <c r="E35" i="213"/>
  <c r="E101" i="213" s="1"/>
  <c r="X26" i="127"/>
  <c r="CT19" i="129"/>
  <c r="CT8" i="129" s="1"/>
  <c r="W52" i="127"/>
  <c r="W20" i="127"/>
  <c r="D16" i="152"/>
  <c r="V16" i="152" s="1"/>
  <c r="D88" i="121" s="1"/>
  <c r="D88" i="124" s="1"/>
  <c r="D7" i="93"/>
  <c r="D7" i="127" s="1"/>
  <c r="E55" i="212"/>
  <c r="E121" i="212" s="1"/>
  <c r="E50" i="212"/>
  <c r="E116" i="212" s="1"/>
  <c r="E44" i="212"/>
  <c r="W57" i="127"/>
  <c r="E60" i="212"/>
  <c r="E126" i="212" s="1"/>
  <c r="W50" i="127"/>
  <c r="W38" i="127"/>
  <c r="W27" i="127"/>
  <c r="E35" i="212"/>
  <c r="E101" i="212" s="1"/>
  <c r="E58" i="212"/>
  <c r="E124" i="212" s="1"/>
  <c r="E31" i="212"/>
  <c r="E97" i="212" s="1"/>
  <c r="W60" i="127"/>
  <c r="E64" i="212"/>
  <c r="E130" i="212" s="1"/>
  <c r="W33" i="127"/>
  <c r="W44" i="127"/>
  <c r="W66" i="127"/>
  <c r="J71" i="190"/>
  <c r="E36" i="212"/>
  <c r="W54" i="127"/>
  <c r="W65" i="127"/>
  <c r="W45" i="127"/>
  <c r="E52" i="212"/>
  <c r="E118" i="212" s="1"/>
  <c r="E43" i="212"/>
  <c r="W56" i="127"/>
  <c r="W32" i="127"/>
  <c r="W37" i="127"/>
  <c r="E54" i="212"/>
  <c r="E120" i="212" s="1"/>
  <c r="E30" i="212"/>
  <c r="E96" i="212" s="1"/>
  <c r="E38" i="212"/>
  <c r="W34" i="127"/>
  <c r="K54" i="199"/>
  <c r="E18" i="212"/>
  <c r="E84" i="212" s="1"/>
  <c r="G70" i="212"/>
  <c r="G70" i="213"/>
  <c r="W24" i="127"/>
  <c r="W22" i="127"/>
  <c r="W64" i="111"/>
  <c r="W43" i="127"/>
  <c r="E22" i="212"/>
  <c r="E88" i="212" s="1"/>
  <c r="W42" i="111"/>
  <c r="E20" i="212"/>
  <c r="E86" i="212" s="1"/>
  <c r="E61" i="212"/>
  <c r="E127" i="212" s="1"/>
  <c r="E23" i="212"/>
  <c r="E89" i="212" s="1"/>
  <c r="E25" i="212"/>
  <c r="E91" i="212" s="1"/>
  <c r="W46" i="127"/>
  <c r="E26" i="212"/>
  <c r="E92" i="212" s="1"/>
  <c r="E46" i="212"/>
  <c r="W67" i="127"/>
  <c r="E41" i="212"/>
  <c r="W63" i="127"/>
  <c r="W25" i="127"/>
  <c r="W28" i="127"/>
  <c r="E65" i="212"/>
  <c r="E131" i="212" s="1"/>
  <c r="W51" i="127"/>
  <c r="W31" i="127"/>
  <c r="W53" i="127"/>
  <c r="W61" i="111"/>
  <c r="E29" i="212"/>
  <c r="E95" i="212" s="1"/>
  <c r="CT64" i="129"/>
  <c r="CT16" i="129" s="1"/>
  <c r="E39" i="212"/>
  <c r="E51" i="212"/>
  <c r="E117" i="212" s="1"/>
  <c r="EK18" i="129"/>
  <c r="EK7" i="129" s="1"/>
  <c r="EK6" i="129" s="1"/>
  <c r="EH33" i="129" s="1"/>
  <c r="E49" i="212"/>
  <c r="E115" i="212" s="1"/>
  <c r="W48" i="127"/>
  <c r="E48" i="212"/>
  <c r="E114" i="212" s="1"/>
  <c r="W41" i="127"/>
  <c r="W40" i="127"/>
  <c r="CT35" i="129"/>
  <c r="CT11" i="129" s="1"/>
  <c r="CT47" i="129"/>
  <c r="CT13" i="129" s="1"/>
  <c r="CT29" i="129"/>
  <c r="CT10" i="129" s="1"/>
  <c r="D16" i="151"/>
  <c r="D67" i="151" s="1"/>
  <c r="D69" i="151" s="1"/>
  <c r="AJ11" i="176"/>
  <c r="F25" i="212"/>
  <c r="F32" i="212"/>
  <c r="F55" i="212"/>
  <c r="F52" i="212"/>
  <c r="F24" i="212"/>
  <c r="F61" i="212"/>
  <c r="F57" i="212"/>
  <c r="F50" i="212"/>
  <c r="F23" i="212"/>
  <c r="F31" i="212"/>
  <c r="F64" i="212"/>
  <c r="F44" i="212"/>
  <c r="F51" i="212"/>
  <c r="F36" i="212"/>
  <c r="F58" i="212"/>
  <c r="F65" i="212"/>
  <c r="F19" i="212"/>
  <c r="F29" i="212"/>
  <c r="F38" i="212"/>
  <c r="F48" i="212"/>
  <c r="F26" i="212"/>
  <c r="F35" i="212"/>
  <c r="F43" i="212"/>
  <c r="F49" i="212"/>
  <c r="F30" i="212"/>
  <c r="F47" i="212"/>
  <c r="F39" i="212"/>
  <c r="F42" i="212"/>
  <c r="F20" i="212"/>
  <c r="F37" i="212"/>
  <c r="CT42" i="129"/>
  <c r="CT12" i="129" s="1"/>
  <c r="CT55" i="129"/>
  <c r="CT14" i="129" s="1"/>
  <c r="CT23" i="129"/>
  <c r="CT9" i="129" s="1"/>
  <c r="CT61" i="129"/>
  <c r="CT15" i="129" s="1"/>
  <c r="V27" i="170"/>
  <c r="H99" i="121" s="1"/>
  <c r="H99" i="124" s="1"/>
  <c r="E7" i="93"/>
  <c r="E6" i="93" s="1"/>
  <c r="E83" i="190"/>
  <c r="E67" i="190"/>
  <c r="E69" i="190" s="1"/>
  <c r="AB42" i="129"/>
  <c r="AB12" i="129" s="1"/>
  <c r="E18" i="127"/>
  <c r="J54" i="199"/>
  <c r="P54" i="199"/>
  <c r="DD19" i="129"/>
  <c r="DD8" i="129" s="1"/>
  <c r="AI16" i="176"/>
  <c r="AJ16" i="176"/>
  <c r="AA13" i="176"/>
  <c r="AI11" i="176"/>
  <c r="AS39" i="92" s="1"/>
  <c r="GJ52" i="129"/>
  <c r="W52" i="110"/>
  <c r="GJ43" i="129"/>
  <c r="W43" i="110"/>
  <c r="GJ54" i="129"/>
  <c r="W54" i="110"/>
  <c r="GJ45" i="129"/>
  <c r="W45" i="110"/>
  <c r="GJ28" i="129"/>
  <c r="W28" i="110"/>
  <c r="GJ41" i="129"/>
  <c r="W41" i="110"/>
  <c r="GJ66" i="129"/>
  <c r="W66" i="110"/>
  <c r="GJ39" i="129"/>
  <c r="W39" i="110"/>
  <c r="GJ30" i="129"/>
  <c r="W30" i="110"/>
  <c r="GJ65" i="129"/>
  <c r="W65" i="110"/>
  <c r="F56" i="212"/>
  <c r="GJ44" i="129"/>
  <c r="W44" i="110"/>
  <c r="GJ31" i="129"/>
  <c r="W31" i="110"/>
  <c r="GJ51" i="129"/>
  <c r="W51" i="110"/>
  <c r="GJ38" i="129"/>
  <c r="W38" i="110"/>
  <c r="GJ46" i="129"/>
  <c r="W46" i="110"/>
  <c r="GJ26" i="129"/>
  <c r="W26" i="110"/>
  <c r="GJ49" i="129"/>
  <c r="W49" i="110"/>
  <c r="GJ21" i="129"/>
  <c r="W21" i="110"/>
  <c r="GJ40" i="129"/>
  <c r="W40" i="110"/>
  <c r="GJ56" i="129"/>
  <c r="W56" i="110"/>
  <c r="GJ50" i="129"/>
  <c r="W50" i="110"/>
  <c r="GJ36" i="129"/>
  <c r="W36" i="110"/>
  <c r="GJ37" i="129"/>
  <c r="W37" i="110"/>
  <c r="GJ67" i="129"/>
  <c r="W67" i="110"/>
  <c r="GJ27" i="129"/>
  <c r="W27" i="110"/>
  <c r="GJ22" i="129"/>
  <c r="W22" i="110"/>
  <c r="GJ34" i="129"/>
  <c r="W34" i="110"/>
  <c r="GJ20" i="129"/>
  <c r="W20" i="110"/>
  <c r="GJ60" i="129"/>
  <c r="W60" i="110"/>
  <c r="GJ58" i="129"/>
  <c r="W58" i="110"/>
  <c r="GJ59" i="129"/>
  <c r="W59" i="110"/>
  <c r="GJ25" i="129"/>
  <c r="W25" i="110"/>
  <c r="GJ62" i="129"/>
  <c r="W62" i="110"/>
  <c r="GJ33" i="129"/>
  <c r="W33" i="110"/>
  <c r="GJ57" i="129"/>
  <c r="W57" i="110"/>
  <c r="U64" i="120"/>
  <c r="U64" i="125" s="1"/>
  <c r="H62" i="207" s="1"/>
  <c r="GJ53" i="129"/>
  <c r="W53" i="110"/>
  <c r="GJ32" i="129"/>
  <c r="W32" i="110"/>
  <c r="GJ48" i="129"/>
  <c r="W48" i="110"/>
  <c r="GJ63" i="129"/>
  <c r="W63" i="110"/>
  <c r="GJ35" i="129"/>
  <c r="W35" i="110"/>
  <c r="R56" i="199"/>
  <c r="J32" i="127"/>
  <c r="V32" i="178"/>
  <c r="AB35" i="129"/>
  <c r="AB11" i="129" s="1"/>
  <c r="DD64" i="129"/>
  <c r="DD16" i="129" s="1"/>
  <c r="AB61" i="129"/>
  <c r="AB15" i="129" s="1"/>
  <c r="DD61" i="129"/>
  <c r="DD15" i="129" s="1"/>
  <c r="AB64" i="129"/>
  <c r="AB16" i="129" s="1"/>
  <c r="BP18" i="129"/>
  <c r="BP17" i="129" s="1"/>
  <c r="AB55" i="129"/>
  <c r="AB14" i="129" s="1"/>
  <c r="DD42" i="129"/>
  <c r="DD12" i="129" s="1"/>
  <c r="DD55" i="129"/>
  <c r="DD14" i="129" s="1"/>
  <c r="AB23" i="129"/>
  <c r="AB9" i="129" s="1"/>
  <c r="AB47" i="129"/>
  <c r="AB13" i="129" s="1"/>
  <c r="DD29" i="129"/>
  <c r="DD10" i="129" s="1"/>
  <c r="AB19" i="129"/>
  <c r="AB8" i="129" s="1"/>
  <c r="DD23" i="129"/>
  <c r="DD9" i="129" s="1"/>
  <c r="T54" i="199"/>
  <c r="J60" i="127"/>
  <c r="AB6" i="206"/>
  <c r="K62" i="93"/>
  <c r="K57" i="93"/>
  <c r="K57" i="127" s="1"/>
  <c r="J20" i="127"/>
  <c r="J48" i="127"/>
  <c r="K28" i="93"/>
  <c r="K34" i="93"/>
  <c r="K34" i="127" s="1"/>
  <c r="K53" i="93"/>
  <c r="K20" i="93"/>
  <c r="V59" i="170"/>
  <c r="H131" i="121" s="1"/>
  <c r="H131" i="124" s="1"/>
  <c r="K65" i="93"/>
  <c r="K65" i="127" s="1"/>
  <c r="K67" i="93"/>
  <c r="K44" i="93"/>
  <c r="K49" i="93"/>
  <c r="K39" i="93"/>
  <c r="K39" i="127" s="1"/>
  <c r="K40" i="93"/>
  <c r="K40" i="127" s="1"/>
  <c r="AB29" i="129"/>
  <c r="AB10" i="129" s="1"/>
  <c r="DD47" i="129"/>
  <c r="DD13" i="129" s="1"/>
  <c r="DD35" i="129"/>
  <c r="DD11" i="129" s="1"/>
  <c r="U42" i="120"/>
  <c r="U12" i="120" s="1"/>
  <c r="U12" i="125" s="1"/>
  <c r="E93" i="192"/>
  <c r="U61" i="120"/>
  <c r="U61" i="125" s="1"/>
  <c r="H59" i="207" s="1"/>
  <c r="O54" i="199"/>
  <c r="R54" i="199"/>
  <c r="M54" i="199"/>
  <c r="Q54" i="199"/>
  <c r="S54" i="199"/>
  <c r="E74" i="192"/>
  <c r="L54" i="199"/>
  <c r="U29" i="120"/>
  <c r="U29" i="125" s="1"/>
  <c r="H27" i="207" s="1"/>
  <c r="S56" i="199"/>
  <c r="N54" i="199"/>
  <c r="U47" i="120"/>
  <c r="U13" i="120" s="1"/>
  <c r="U13" i="125" s="1"/>
  <c r="T56" i="199"/>
  <c r="U35" i="120"/>
  <c r="U11" i="120" s="1"/>
  <c r="U11" i="125" s="1"/>
  <c r="I61" i="127"/>
  <c r="V17" i="170"/>
  <c r="H89" i="121" s="1"/>
  <c r="H89" i="124" s="1"/>
  <c r="U19" i="120"/>
  <c r="U8" i="120" s="1"/>
  <c r="I42" i="127"/>
  <c r="U43" i="125"/>
  <c r="H41" i="207" s="1"/>
  <c r="U30" i="125"/>
  <c r="H28" i="207" s="1"/>
  <c r="U23" i="120"/>
  <c r="U9" i="120" s="1"/>
  <c r="U9" i="125" s="1"/>
  <c r="H61" i="129"/>
  <c r="H15" i="129" s="1"/>
  <c r="R61" i="129"/>
  <c r="R15" i="129" s="1"/>
  <c r="R19" i="129"/>
  <c r="R8" i="129" s="1"/>
  <c r="H42" i="129"/>
  <c r="H12" i="129" s="1"/>
  <c r="R42" i="129"/>
  <c r="R12" i="129" s="1"/>
  <c r="K48" i="93"/>
  <c r="K48" i="127" s="1"/>
  <c r="K52" i="93"/>
  <c r="U55" i="120"/>
  <c r="U14" i="120" s="1"/>
  <c r="U14" i="125" s="1"/>
  <c r="K27" i="93"/>
  <c r="K43" i="93"/>
  <c r="K43" i="127" s="1"/>
  <c r="K36" i="93"/>
  <c r="K36" i="127" s="1"/>
  <c r="K31" i="93"/>
  <c r="K31" i="127" s="1"/>
  <c r="R35" i="129"/>
  <c r="R11" i="129" s="1"/>
  <c r="I54" i="199"/>
  <c r="K56" i="93"/>
  <c r="K58" i="93"/>
  <c r="K63" i="93"/>
  <c r="K63" i="127" s="1"/>
  <c r="G70" i="211"/>
  <c r="G70" i="192"/>
  <c r="G70" i="191"/>
  <c r="J43" i="211"/>
  <c r="J109" i="211" s="1"/>
  <c r="J24" i="211"/>
  <c r="J90" i="211" s="1"/>
  <c r="J23" i="211"/>
  <c r="J89" i="211" s="1"/>
  <c r="J44" i="211"/>
  <c r="J110" i="211" s="1"/>
  <c r="H65" i="211"/>
  <c r="F65" i="211" s="1"/>
  <c r="H50" i="211"/>
  <c r="F50" i="211" s="1"/>
  <c r="H25" i="211"/>
  <c r="F25" i="211" s="1"/>
  <c r="H49" i="211"/>
  <c r="F49" i="211" s="1"/>
  <c r="J50" i="211"/>
  <c r="J116" i="211" s="1"/>
  <c r="J51" i="211"/>
  <c r="J117" i="211" s="1"/>
  <c r="J42" i="211"/>
  <c r="J108" i="211" s="1"/>
  <c r="J35" i="211"/>
  <c r="J101" i="211" s="1"/>
  <c r="H23" i="211"/>
  <c r="F23" i="211" s="1"/>
  <c r="H30" i="211"/>
  <c r="F30" i="211" s="1"/>
  <c r="H32" i="211"/>
  <c r="F32" i="211" s="1"/>
  <c r="H19" i="211"/>
  <c r="F19" i="211" s="1"/>
  <c r="J30" i="211"/>
  <c r="J96" i="211" s="1"/>
  <c r="J38" i="211"/>
  <c r="J104" i="211" s="1"/>
  <c r="J52" i="211"/>
  <c r="J118" i="211" s="1"/>
  <c r="H29" i="211"/>
  <c r="F29" i="211" s="1"/>
  <c r="H31" i="211"/>
  <c r="F31" i="211" s="1"/>
  <c r="H47" i="211"/>
  <c r="F47" i="211" s="1"/>
  <c r="H38" i="211"/>
  <c r="F38" i="211" s="1"/>
  <c r="J19" i="211"/>
  <c r="J85" i="211" s="1"/>
  <c r="J32" i="211"/>
  <c r="J98" i="211" s="1"/>
  <c r="J26" i="211"/>
  <c r="J92" i="211" s="1"/>
  <c r="J65" i="211"/>
  <c r="J131" i="211" s="1"/>
  <c r="H39" i="211"/>
  <c r="F39" i="211" s="1"/>
  <c r="H64" i="211"/>
  <c r="F64" i="211" s="1"/>
  <c r="H55" i="211"/>
  <c r="F55" i="211" s="1"/>
  <c r="H42" i="211"/>
  <c r="F42" i="211" s="1"/>
  <c r="H48" i="211"/>
  <c r="F48" i="211" s="1"/>
  <c r="J61" i="211"/>
  <c r="J127" i="211" s="1"/>
  <c r="J25" i="211"/>
  <c r="J91" i="211" s="1"/>
  <c r="J48" i="211"/>
  <c r="J114" i="211" s="1"/>
  <c r="J49" i="211"/>
  <c r="J115" i="211" s="1"/>
  <c r="H52" i="211"/>
  <c r="F52" i="211" s="1"/>
  <c r="H24" i="211"/>
  <c r="F24" i="211" s="1"/>
  <c r="H61" i="211"/>
  <c r="F61" i="211" s="1"/>
  <c r="H57" i="211"/>
  <c r="F57" i="211" s="1"/>
  <c r="J47" i="211"/>
  <c r="J113" i="211" s="1"/>
  <c r="J37" i="211"/>
  <c r="J103" i="211" s="1"/>
  <c r="J57" i="211"/>
  <c r="J123" i="211" s="1"/>
  <c r="H44" i="211"/>
  <c r="F44" i="211" s="1"/>
  <c r="H51" i="211"/>
  <c r="F51" i="211" s="1"/>
  <c r="H36" i="211"/>
  <c r="F36" i="211" s="1"/>
  <c r="H58" i="211"/>
  <c r="F58" i="211" s="1"/>
  <c r="J29" i="211"/>
  <c r="J95" i="211" s="1"/>
  <c r="J55" i="211"/>
  <c r="J121" i="211" s="1"/>
  <c r="J58" i="211"/>
  <c r="J124" i="211" s="1"/>
  <c r="J20" i="211"/>
  <c r="J86" i="211" s="1"/>
  <c r="H26" i="211"/>
  <c r="F26" i="211" s="1"/>
  <c r="H56" i="211"/>
  <c r="F56" i="211" s="1"/>
  <c r="H35" i="211"/>
  <c r="F35" i="211" s="1"/>
  <c r="H43" i="211"/>
  <c r="F43" i="211" s="1"/>
  <c r="J36" i="211"/>
  <c r="J102" i="211" s="1"/>
  <c r="J64" i="211"/>
  <c r="J130" i="211" s="1"/>
  <c r="J31" i="211"/>
  <c r="J97" i="211" s="1"/>
  <c r="J39" i="211"/>
  <c r="J105" i="211" s="1"/>
  <c r="J56" i="211"/>
  <c r="J122" i="211" s="1"/>
  <c r="H20" i="211"/>
  <c r="F20" i="211" s="1"/>
  <c r="H37" i="211"/>
  <c r="F37" i="211" s="1"/>
  <c r="R64" i="129"/>
  <c r="R16" i="129" s="1"/>
  <c r="H29" i="129"/>
  <c r="H10" i="129" s="1"/>
  <c r="R29" i="129"/>
  <c r="R10" i="129" s="1"/>
  <c r="H64" i="129"/>
  <c r="H16" i="129" s="1"/>
  <c r="H35" i="129"/>
  <c r="H11" i="129" s="1"/>
  <c r="R47" i="129"/>
  <c r="R13" i="129" s="1"/>
  <c r="H19" i="129"/>
  <c r="H8" i="129" s="1"/>
  <c r="H23" i="129"/>
  <c r="H9" i="129" s="1"/>
  <c r="E97" i="211"/>
  <c r="R55" i="129"/>
  <c r="R14" i="129" s="1"/>
  <c r="H47" i="129"/>
  <c r="H13" i="129" s="1"/>
  <c r="H55" i="129"/>
  <c r="H14" i="129" s="1"/>
  <c r="R23" i="129"/>
  <c r="R9" i="129" s="1"/>
  <c r="E72" i="192"/>
  <c r="E94" i="211"/>
  <c r="E91" i="207"/>
  <c r="BZ61" i="129"/>
  <c r="BZ15" i="129" s="1"/>
  <c r="E83" i="192"/>
  <c r="E106" i="192"/>
  <c r="E76" i="192"/>
  <c r="V24" i="177"/>
  <c r="I96" i="121" s="1"/>
  <c r="I96" i="124" s="1"/>
  <c r="V32" i="177"/>
  <c r="I104" i="121" s="1"/>
  <c r="I104" i="124" s="1"/>
  <c r="I13" i="93"/>
  <c r="I13" i="127" s="1"/>
  <c r="V43" i="177"/>
  <c r="I115" i="121" s="1"/>
  <c r="I115" i="124" s="1"/>
  <c r="BZ55" i="129"/>
  <c r="BZ14" i="129" s="1"/>
  <c r="V10" i="170"/>
  <c r="V7" i="170"/>
  <c r="V18" i="177"/>
  <c r="I90" i="121" s="1"/>
  <c r="I90" i="124" s="1"/>
  <c r="AL64" i="129"/>
  <c r="AL16" i="129" s="1"/>
  <c r="BZ23" i="129"/>
  <c r="BZ9" i="129" s="1"/>
  <c r="BZ42" i="129"/>
  <c r="BZ12" i="129" s="1"/>
  <c r="BF18" i="129"/>
  <c r="BF17" i="129" s="1"/>
  <c r="V38" i="177"/>
  <c r="I110" i="121" s="1"/>
  <c r="I110" i="124" s="1"/>
  <c r="BZ35" i="129"/>
  <c r="BZ11" i="129" s="1"/>
  <c r="V49" i="177"/>
  <c r="I121" i="121" s="1"/>
  <c r="I121" i="124" s="1"/>
  <c r="BZ47" i="129"/>
  <c r="BZ13" i="129" s="1"/>
  <c r="E82" i="191"/>
  <c r="I29" i="127"/>
  <c r="E77" i="192"/>
  <c r="E111" i="192"/>
  <c r="V62" i="177"/>
  <c r="BZ29" i="129"/>
  <c r="BZ10" i="129" s="1"/>
  <c r="I64" i="127"/>
  <c r="V47" i="177"/>
  <c r="I119" i="121" s="1"/>
  <c r="I119" i="124" s="1"/>
  <c r="V27" i="177"/>
  <c r="V44" i="177"/>
  <c r="I116" i="121" s="1"/>
  <c r="I116" i="124" s="1"/>
  <c r="BZ19" i="129"/>
  <c r="BZ8" i="129" s="1"/>
  <c r="BZ64" i="129"/>
  <c r="BZ16" i="129" s="1"/>
  <c r="V50" i="177"/>
  <c r="I122" i="121" s="1"/>
  <c r="I122" i="124" s="1"/>
  <c r="E116" i="207"/>
  <c r="F7" i="127"/>
  <c r="V45" i="177"/>
  <c r="V16" i="134"/>
  <c r="F88" i="121" s="1"/>
  <c r="F88" i="124" s="1"/>
  <c r="F6" i="93"/>
  <c r="F6" i="127" s="1"/>
  <c r="F5" i="127" s="1"/>
  <c r="F72" i="127" s="1"/>
  <c r="H18" i="93"/>
  <c r="H17" i="93" s="1"/>
  <c r="E85" i="207"/>
  <c r="R18" i="111"/>
  <c r="R17" i="111" s="1"/>
  <c r="I35" i="127"/>
  <c r="V45" i="170"/>
  <c r="H117" i="121" s="1"/>
  <c r="H117" i="124" s="1"/>
  <c r="V42" i="177"/>
  <c r="I114" i="121" s="1"/>
  <c r="I114" i="124" s="1"/>
  <c r="V28" i="177"/>
  <c r="I100" i="121" s="1"/>
  <c r="I100" i="124" s="1"/>
  <c r="I55" i="127"/>
  <c r="V48" i="178"/>
  <c r="V29" i="177"/>
  <c r="I101" i="121" s="1"/>
  <c r="I101" i="124" s="1"/>
  <c r="I9" i="93"/>
  <c r="I9" i="127" s="1"/>
  <c r="V14" i="170"/>
  <c r="I8" i="93"/>
  <c r="I8" i="127" s="1"/>
  <c r="AL23" i="129"/>
  <c r="AL9" i="129" s="1"/>
  <c r="E104" i="207"/>
  <c r="AA4" i="206"/>
  <c r="AB48" i="206"/>
  <c r="K30" i="93"/>
  <c r="EY29" i="129"/>
  <c r="K24" i="93"/>
  <c r="K24" i="127" s="1"/>
  <c r="K37" i="93"/>
  <c r="K37" i="127" s="1"/>
  <c r="K54" i="93"/>
  <c r="V52" i="185" s="1"/>
  <c r="AL35" i="129"/>
  <c r="AL11" i="129" s="1"/>
  <c r="E123" i="207"/>
  <c r="E86" i="205"/>
  <c r="E97" i="207"/>
  <c r="E96" i="207"/>
  <c r="E89" i="207"/>
  <c r="E117" i="207"/>
  <c r="E109" i="211"/>
  <c r="E91" i="211"/>
  <c r="E110" i="211"/>
  <c r="E117" i="211"/>
  <c r="E120" i="211"/>
  <c r="E102" i="211"/>
  <c r="E122" i="211"/>
  <c r="E131" i="211"/>
  <c r="GT67" i="129"/>
  <c r="E86" i="211"/>
  <c r="GT22" i="129"/>
  <c r="E98" i="207"/>
  <c r="AD72" i="206"/>
  <c r="AC12" i="206"/>
  <c r="AD93" i="206"/>
  <c r="AC33" i="206"/>
  <c r="AD96" i="206"/>
  <c r="AC36" i="206"/>
  <c r="AD74" i="206"/>
  <c r="AC14" i="206"/>
  <c r="V56" i="125"/>
  <c r="V55" i="120"/>
  <c r="AB16" i="206"/>
  <c r="K21" i="93"/>
  <c r="E126" i="211"/>
  <c r="J18" i="211"/>
  <c r="J84" i="211" s="1"/>
  <c r="V19" i="112"/>
  <c r="AC13" i="206"/>
  <c r="AD73" i="206"/>
  <c r="AL55" i="129"/>
  <c r="AL14" i="129" s="1"/>
  <c r="V64" i="120"/>
  <c r="V65" i="125"/>
  <c r="AL29" i="129"/>
  <c r="AL10" i="129" s="1"/>
  <c r="V29" i="120"/>
  <c r="V30" i="125"/>
  <c r="E100" i="211"/>
  <c r="E95" i="211"/>
  <c r="GT31" i="129"/>
  <c r="AD104" i="206"/>
  <c r="AC44" i="206"/>
  <c r="AE65" i="206"/>
  <c r="AD5" i="206"/>
  <c r="V42" i="120"/>
  <c r="V43" i="125"/>
  <c r="K38" i="93"/>
  <c r="K33" i="93"/>
  <c r="K45" i="93"/>
  <c r="G7" i="93"/>
  <c r="G6" i="93" s="1"/>
  <c r="E105" i="211"/>
  <c r="E121" i="211"/>
  <c r="GT57" i="129"/>
  <c r="AH13" i="176"/>
  <c r="AC37" i="206"/>
  <c r="AD97" i="206"/>
  <c r="AD114" i="206"/>
  <c r="AC54" i="206"/>
  <c r="AB29" i="206"/>
  <c r="V42" i="112"/>
  <c r="J41" i="211"/>
  <c r="J107" i="211" s="1"/>
  <c r="AL61" i="129"/>
  <c r="AL15" i="129" s="1"/>
  <c r="D16" i="157"/>
  <c r="V16" i="157" s="1"/>
  <c r="E107" i="211"/>
  <c r="E89" i="211"/>
  <c r="E127" i="211"/>
  <c r="GT63" i="129"/>
  <c r="J22" i="211"/>
  <c r="J88" i="211" s="1"/>
  <c r="V23" i="112"/>
  <c r="AC40" i="206"/>
  <c r="AD100" i="206"/>
  <c r="E88" i="211"/>
  <c r="GT24" i="129"/>
  <c r="AD90" i="206"/>
  <c r="AC30" i="206"/>
  <c r="AD90" i="114"/>
  <c r="AC30" i="114"/>
  <c r="AC29" i="114" s="1"/>
  <c r="AL42" i="129"/>
  <c r="AL12" i="129" s="1"/>
  <c r="K22" i="93"/>
  <c r="K25" i="93"/>
  <c r="K41" i="93"/>
  <c r="G18" i="127"/>
  <c r="E96" i="211"/>
  <c r="E116" i="211"/>
  <c r="GT52" i="129"/>
  <c r="AD71" i="206"/>
  <c r="AC11" i="206"/>
  <c r="AD80" i="206"/>
  <c r="AC20" i="206"/>
  <c r="AB22" i="206"/>
  <c r="V36" i="125"/>
  <c r="V35" i="120"/>
  <c r="AD84" i="206"/>
  <c r="AC24" i="206"/>
  <c r="AC35" i="206"/>
  <c r="AD95" i="206"/>
  <c r="E108" i="211"/>
  <c r="GT44" i="129"/>
  <c r="AD107" i="206"/>
  <c r="AC47" i="206"/>
  <c r="AD113" i="114"/>
  <c r="AC53" i="114"/>
  <c r="AC51" i="114" s="1"/>
  <c r="AD87" i="206"/>
  <c r="AC27" i="206"/>
  <c r="E85" i="211"/>
  <c r="GT21" i="129"/>
  <c r="E123" i="211"/>
  <c r="AC45" i="206"/>
  <c r="AD105" i="206"/>
  <c r="AD85" i="206"/>
  <c r="AC25" i="206"/>
  <c r="AE92" i="114"/>
  <c r="AD32" i="114"/>
  <c r="E113" i="211"/>
  <c r="AD110" i="206"/>
  <c r="AC50" i="206"/>
  <c r="J28" i="211"/>
  <c r="J94" i="211" s="1"/>
  <c r="V29" i="112"/>
  <c r="V33" i="170"/>
  <c r="H105" i="121" s="1"/>
  <c r="H105" i="124" s="1"/>
  <c r="E86" i="207"/>
  <c r="E101" i="211"/>
  <c r="E114" i="211"/>
  <c r="GT50" i="129"/>
  <c r="E92" i="211"/>
  <c r="GT28" i="129"/>
  <c r="AB10" i="206"/>
  <c r="AC8" i="206"/>
  <c r="AD68" i="206"/>
  <c r="AC28" i="206"/>
  <c r="AD88" i="206"/>
  <c r="AD98" i="206"/>
  <c r="AC38" i="206"/>
  <c r="AD83" i="206"/>
  <c r="AC23" i="206"/>
  <c r="AD112" i="206"/>
  <c r="AC52" i="206"/>
  <c r="AB34" i="206"/>
  <c r="E103" i="211"/>
  <c r="GT39" i="129"/>
  <c r="AB51" i="206"/>
  <c r="AD99" i="206"/>
  <c r="AC39" i="206"/>
  <c r="AD109" i="206"/>
  <c r="AC49" i="206"/>
  <c r="AD81" i="206"/>
  <c r="AC21" i="206"/>
  <c r="J46" i="211"/>
  <c r="J112" i="211" s="1"/>
  <c r="V47" i="112"/>
  <c r="U11" i="111"/>
  <c r="V55" i="112"/>
  <c r="J54" i="211"/>
  <c r="J120" i="211" s="1"/>
  <c r="V64" i="112"/>
  <c r="J63" i="211"/>
  <c r="J129" i="211" s="1"/>
  <c r="E130" i="211"/>
  <c r="GT66" i="129"/>
  <c r="AD77" i="206"/>
  <c r="AC17" i="206"/>
  <c r="E118" i="211"/>
  <c r="GT54" i="129"/>
  <c r="K66" i="93"/>
  <c r="K66" i="127" s="1"/>
  <c r="K46" i="93"/>
  <c r="K46" i="127" s="1"/>
  <c r="K60" i="93"/>
  <c r="K60" i="127" s="1"/>
  <c r="K32" i="93"/>
  <c r="K50" i="93"/>
  <c r="V21" i="170"/>
  <c r="H93" i="121" s="1"/>
  <c r="H93" i="124" s="1"/>
  <c r="J58" i="127"/>
  <c r="E131" i="205"/>
  <c r="E98" i="211"/>
  <c r="E84" i="211"/>
  <c r="AB42" i="206"/>
  <c r="AD69" i="206"/>
  <c r="AC9" i="206"/>
  <c r="AD113" i="206"/>
  <c r="AC53" i="206"/>
  <c r="AD75" i="206"/>
  <c r="AC15" i="206"/>
  <c r="AL19" i="129"/>
  <c r="AL8" i="129" s="1"/>
  <c r="V48" i="125"/>
  <c r="V47" i="120"/>
  <c r="AD101" i="206"/>
  <c r="AC41" i="206"/>
  <c r="V61" i="120"/>
  <c r="V62" i="125"/>
  <c r="AC31" i="206"/>
  <c r="AD91" i="206"/>
  <c r="J34" i="211"/>
  <c r="J100" i="211" s="1"/>
  <c r="V35" i="112"/>
  <c r="AD79" i="206"/>
  <c r="AC19" i="206"/>
  <c r="AD78" i="206"/>
  <c r="AC18" i="206"/>
  <c r="V24" i="125"/>
  <c r="V23" i="120"/>
  <c r="E115" i="211"/>
  <c r="J60" i="211"/>
  <c r="J126" i="211" s="1"/>
  <c r="V61" i="112"/>
  <c r="K26" i="93"/>
  <c r="K59" i="93"/>
  <c r="E124" i="211"/>
  <c r="E90" i="211"/>
  <c r="AD103" i="206"/>
  <c r="AC43" i="206"/>
  <c r="AD67" i="206"/>
  <c r="AC7" i="206"/>
  <c r="AD92" i="206"/>
  <c r="AC32" i="206"/>
  <c r="AC26" i="206"/>
  <c r="AD86" i="206"/>
  <c r="AL47" i="129"/>
  <c r="AL13" i="129" s="1"/>
  <c r="AD106" i="206"/>
  <c r="AC46" i="206"/>
  <c r="V19" i="120"/>
  <c r="V20" i="125"/>
  <c r="EY64" i="129"/>
  <c r="E115" i="207"/>
  <c r="E110" i="207"/>
  <c r="E118" i="207"/>
  <c r="E92" i="205"/>
  <c r="T8" i="112"/>
  <c r="E90" i="207"/>
  <c r="E96" i="205"/>
  <c r="E92" i="207"/>
  <c r="E121" i="207"/>
  <c r="E95" i="207"/>
  <c r="E109" i="207"/>
  <c r="E105" i="207"/>
  <c r="V14" i="111"/>
  <c r="E53" i="211"/>
  <c r="E119" i="211" s="1"/>
  <c r="V13" i="111"/>
  <c r="E45" i="211"/>
  <c r="GT47" i="129" s="1"/>
  <c r="V8" i="111"/>
  <c r="E17" i="211"/>
  <c r="GT19" i="129" s="1"/>
  <c r="V10" i="111"/>
  <c r="V16" i="111"/>
  <c r="E62" i="211"/>
  <c r="V15" i="111"/>
  <c r="E59" i="211"/>
  <c r="GT61" i="129" s="1"/>
  <c r="V11" i="111"/>
  <c r="E33" i="211"/>
  <c r="GT35" i="129" s="1"/>
  <c r="V9" i="111"/>
  <c r="E21" i="211"/>
  <c r="GT23" i="129" s="1"/>
  <c r="E126" i="207"/>
  <c r="U9" i="111"/>
  <c r="E101" i="207"/>
  <c r="E130" i="207"/>
  <c r="E103" i="207"/>
  <c r="E102" i="207"/>
  <c r="E98" i="205"/>
  <c r="E89" i="205"/>
  <c r="E108" i="207"/>
  <c r="E122" i="205"/>
  <c r="E122" i="207"/>
  <c r="E124" i="207"/>
  <c r="E107" i="207"/>
  <c r="E131" i="207"/>
  <c r="E114" i="207"/>
  <c r="E113" i="207"/>
  <c r="E127" i="207"/>
  <c r="E21" i="207"/>
  <c r="E129" i="207"/>
  <c r="E45" i="207"/>
  <c r="U13" i="111"/>
  <c r="U15" i="111"/>
  <c r="E59" i="207"/>
  <c r="E112" i="207"/>
  <c r="U14" i="111"/>
  <c r="E53" i="207"/>
  <c r="U10" i="111"/>
  <c r="E27" i="207"/>
  <c r="U8" i="111"/>
  <c r="E17" i="207"/>
  <c r="E100" i="207"/>
  <c r="U12" i="111"/>
  <c r="E40" i="207"/>
  <c r="E84" i="207"/>
  <c r="E120" i="207"/>
  <c r="U16" i="111"/>
  <c r="E62" i="207"/>
  <c r="E94" i="207"/>
  <c r="EY42" i="129"/>
  <c r="EY55" i="129"/>
  <c r="EY23" i="129"/>
  <c r="EY47" i="129"/>
  <c r="EY61" i="129"/>
  <c r="EY19" i="129"/>
  <c r="EY35" i="129"/>
  <c r="FI5" i="129"/>
  <c r="FI57" i="129" s="1"/>
  <c r="FT5" i="129"/>
  <c r="FT66" i="129" s="1"/>
  <c r="T14" i="112"/>
  <c r="T13" i="112"/>
  <c r="J128" i="205"/>
  <c r="J93" i="205"/>
  <c r="J106" i="205"/>
  <c r="J125" i="205"/>
  <c r="J62" i="207"/>
  <c r="U16" i="112"/>
  <c r="U12" i="112"/>
  <c r="J40" i="207"/>
  <c r="U15" i="112"/>
  <c r="J59" i="207"/>
  <c r="U14" i="112"/>
  <c r="J53" i="207"/>
  <c r="U9" i="112"/>
  <c r="J21" i="207"/>
  <c r="J17" i="207"/>
  <c r="U8" i="112"/>
  <c r="U13" i="112"/>
  <c r="J45" i="207"/>
  <c r="U10" i="112"/>
  <c r="J27" i="207"/>
  <c r="U11" i="112"/>
  <c r="J33" i="207"/>
  <c r="E115" i="205"/>
  <c r="E118" i="205"/>
  <c r="E127" i="205"/>
  <c r="E121" i="205"/>
  <c r="E114" i="205"/>
  <c r="E91" i="205"/>
  <c r="E130" i="205"/>
  <c r="E97" i="205"/>
  <c r="E101" i="205"/>
  <c r="E116" i="205"/>
  <c r="E117" i="205"/>
  <c r="E90" i="205"/>
  <c r="E113" i="205"/>
  <c r="E85" i="205"/>
  <c r="E124" i="205"/>
  <c r="E123" i="205"/>
  <c r="E95" i="205"/>
  <c r="FZ38" i="129"/>
  <c r="FZ41" i="129"/>
  <c r="FZ44" i="129"/>
  <c r="FZ48" i="129"/>
  <c r="FZ43" i="129"/>
  <c r="FZ46" i="129"/>
  <c r="FZ40" i="129"/>
  <c r="FZ45" i="129"/>
  <c r="FZ39" i="129"/>
  <c r="E112" i="205"/>
  <c r="G82" i="207"/>
  <c r="G5" i="207"/>
  <c r="G21" i="200" s="1"/>
  <c r="G69" i="200" s="1"/>
  <c r="E9" i="207"/>
  <c r="W11" i="110" s="1"/>
  <c r="E99" i="207"/>
  <c r="FK5" i="129"/>
  <c r="X63" i="92"/>
  <c r="AC18" i="129"/>
  <c r="AC17" i="129" s="1"/>
  <c r="AF13" i="176"/>
  <c r="AG13" i="176"/>
  <c r="E121" i="194"/>
  <c r="E105" i="194"/>
  <c r="T18" i="120"/>
  <c r="T7" i="120" s="1"/>
  <c r="T6" i="120" s="1"/>
  <c r="G73" i="205"/>
  <c r="G76" i="205"/>
  <c r="G74" i="205"/>
  <c r="G78" i="205"/>
  <c r="G75" i="205"/>
  <c r="G77" i="205"/>
  <c r="G80" i="205"/>
  <c r="G79" i="205"/>
  <c r="G72" i="205"/>
  <c r="V20" i="178"/>
  <c r="T7" i="119"/>
  <c r="T6" i="119" s="1"/>
  <c r="G82" i="205"/>
  <c r="E129" i="205"/>
  <c r="FZ64" i="129"/>
  <c r="T16" i="111"/>
  <c r="T12" i="111"/>
  <c r="T13" i="111"/>
  <c r="E126" i="205"/>
  <c r="FZ55" i="129"/>
  <c r="T14" i="111"/>
  <c r="E88" i="205"/>
  <c r="FZ29" i="129"/>
  <c r="T10" i="111"/>
  <c r="T8" i="111"/>
  <c r="FZ19" i="129"/>
  <c r="E94" i="205"/>
  <c r="FZ23" i="129"/>
  <c r="T9" i="111"/>
  <c r="E120" i="205"/>
  <c r="E107" i="205"/>
  <c r="T15" i="111"/>
  <c r="FZ61" i="129"/>
  <c r="J40" i="127"/>
  <c r="E84" i="205"/>
  <c r="E100" i="205"/>
  <c r="FU5" i="129"/>
  <c r="AF112" i="114"/>
  <c r="AE52" i="114"/>
  <c r="J43" i="127"/>
  <c r="FZ35" i="129"/>
  <c r="T11" i="111"/>
  <c r="J119" i="205"/>
  <c r="J111" i="205"/>
  <c r="FO21" i="129"/>
  <c r="J83" i="205"/>
  <c r="FO31" i="129"/>
  <c r="E86" i="194"/>
  <c r="FO46" i="129"/>
  <c r="FO44" i="129"/>
  <c r="FO59" i="129"/>
  <c r="E92" i="194"/>
  <c r="FO39" i="129"/>
  <c r="E102" i="194"/>
  <c r="FO58" i="129"/>
  <c r="FO27" i="129"/>
  <c r="FO50" i="129"/>
  <c r="E98" i="194"/>
  <c r="E109" i="194"/>
  <c r="FO49" i="129"/>
  <c r="FO60" i="129"/>
  <c r="J46" i="127"/>
  <c r="J26" i="127"/>
  <c r="CJ55" i="129"/>
  <c r="CJ14" i="129" s="1"/>
  <c r="AA18" i="129"/>
  <c r="AA17" i="129" s="1"/>
  <c r="E118" i="194"/>
  <c r="E104" i="194"/>
  <c r="E89" i="194"/>
  <c r="J62" i="127"/>
  <c r="CJ42" i="129"/>
  <c r="CJ12" i="129" s="1"/>
  <c r="CJ29" i="129"/>
  <c r="CJ10" i="129" s="1"/>
  <c r="E131" i="194"/>
  <c r="E127" i="194"/>
  <c r="E115" i="194"/>
  <c r="E96" i="194"/>
  <c r="J53" i="127"/>
  <c r="J36" i="127"/>
  <c r="AB4" i="114"/>
  <c r="L51" i="93" s="1"/>
  <c r="FO66" i="129"/>
  <c r="FO33" i="129"/>
  <c r="FO37" i="129"/>
  <c r="FO52" i="129"/>
  <c r="FO53" i="129"/>
  <c r="FO26" i="129"/>
  <c r="S17" i="112"/>
  <c r="FA65" i="129"/>
  <c r="FA25" i="129"/>
  <c r="FA48" i="129"/>
  <c r="FA66" i="129"/>
  <c r="FA45" i="129"/>
  <c r="FA62" i="129"/>
  <c r="FA27" i="129"/>
  <c r="FA21" i="129"/>
  <c r="FA44" i="129"/>
  <c r="FA34" i="129"/>
  <c r="FA40" i="129"/>
  <c r="FA59" i="129"/>
  <c r="FA31" i="129"/>
  <c r="FA38" i="129"/>
  <c r="FA30" i="129"/>
  <c r="FA39" i="129"/>
  <c r="FA56" i="129"/>
  <c r="FA52" i="129"/>
  <c r="FA26" i="129"/>
  <c r="FA51" i="129"/>
  <c r="FA41" i="129"/>
  <c r="FA50" i="129"/>
  <c r="FA37" i="129"/>
  <c r="FA67" i="129"/>
  <c r="FA43" i="129"/>
  <c r="FA63" i="129"/>
  <c r="FA32" i="129"/>
  <c r="FA46" i="129"/>
  <c r="FA33" i="129"/>
  <c r="FA28" i="129"/>
  <c r="FA58" i="129"/>
  <c r="FA49" i="129"/>
  <c r="FA54" i="129"/>
  <c r="FA60" i="129"/>
  <c r="FA22" i="129"/>
  <c r="FA20" i="129"/>
  <c r="FA36" i="129"/>
  <c r="FA53" i="129"/>
  <c r="FA57" i="129"/>
  <c r="FA24" i="129"/>
  <c r="FF5" i="129"/>
  <c r="W62" i="92"/>
  <c r="FD5" i="129" s="1"/>
  <c r="E120" i="194"/>
  <c r="FO56" i="129"/>
  <c r="E94" i="194"/>
  <c r="FO30" i="129"/>
  <c r="E100" i="194"/>
  <c r="FO36" i="129"/>
  <c r="E129" i="194"/>
  <c r="FO65" i="129"/>
  <c r="E107" i="194"/>
  <c r="FO43" i="129"/>
  <c r="E112" i="194"/>
  <c r="FO48" i="129"/>
  <c r="E126" i="194"/>
  <c r="FO62" i="129"/>
  <c r="E84" i="194"/>
  <c r="FO20" i="129"/>
  <c r="E88" i="194"/>
  <c r="FO24" i="129"/>
  <c r="CJ19" i="129"/>
  <c r="CJ8" i="129" s="1"/>
  <c r="CJ47" i="129"/>
  <c r="CJ13" i="129" s="1"/>
  <c r="CJ35" i="129"/>
  <c r="CJ11" i="129" s="1"/>
  <c r="CJ61" i="129"/>
  <c r="CJ15" i="129" s="1"/>
  <c r="CJ64" i="129"/>
  <c r="CJ16" i="129" s="1"/>
  <c r="CJ23" i="129"/>
  <c r="CJ9" i="129" s="1"/>
  <c r="S13" i="111"/>
  <c r="FO47" i="129"/>
  <c r="FO13" i="129" s="1"/>
  <c r="S8" i="111"/>
  <c r="FO19" i="129"/>
  <c r="FO8" i="129" s="1"/>
  <c r="S12" i="111"/>
  <c r="FO42" i="129"/>
  <c r="FO12" i="129" s="1"/>
  <c r="S11" i="111"/>
  <c r="FO35" i="129"/>
  <c r="FO11" i="129" s="1"/>
  <c r="S15" i="111"/>
  <c r="FO61" i="129"/>
  <c r="FO15" i="129" s="1"/>
  <c r="S9" i="111"/>
  <c r="FO23" i="129"/>
  <c r="FO9" i="129" s="1"/>
  <c r="S14" i="111"/>
  <c r="FO55" i="129"/>
  <c r="FO14" i="129" s="1"/>
  <c r="S10" i="111"/>
  <c r="FO29" i="129"/>
  <c r="FO10" i="129" s="1"/>
  <c r="S16" i="111"/>
  <c r="FO64" i="129"/>
  <c r="FO16" i="129" s="1"/>
  <c r="J42" i="93"/>
  <c r="J42" i="127" s="1"/>
  <c r="J31" i="127"/>
  <c r="J52" i="127"/>
  <c r="V64" i="178"/>
  <c r="J19" i="93"/>
  <c r="J8" i="93" s="1"/>
  <c r="DK46" i="129"/>
  <c r="DK66" i="129"/>
  <c r="DK54" i="129"/>
  <c r="DK20" i="129"/>
  <c r="DK56" i="129"/>
  <c r="DK26" i="129"/>
  <c r="DK58" i="129"/>
  <c r="DK51" i="129"/>
  <c r="DK62" i="129"/>
  <c r="DK65" i="129"/>
  <c r="DK31" i="129"/>
  <c r="DK24" i="129"/>
  <c r="DK59" i="129"/>
  <c r="DK49" i="129"/>
  <c r="DK67" i="129"/>
  <c r="DK50" i="129"/>
  <c r="DK39" i="129"/>
  <c r="DK43" i="129"/>
  <c r="DK27" i="129"/>
  <c r="DK41" i="129"/>
  <c r="DK28" i="129"/>
  <c r="DK52" i="129"/>
  <c r="DK60" i="129"/>
  <c r="DK30" i="129"/>
  <c r="DK48" i="129"/>
  <c r="DK63" i="129"/>
  <c r="DK21" i="129"/>
  <c r="DK57" i="129"/>
  <c r="DK25" i="129"/>
  <c r="DK38" i="129"/>
  <c r="DK40" i="129"/>
  <c r="DK45" i="129"/>
  <c r="DK36" i="129"/>
  <c r="DK32" i="129"/>
  <c r="DK22" i="129"/>
  <c r="DK34" i="129"/>
  <c r="DK44" i="129"/>
  <c r="DK33" i="129"/>
  <c r="DK37" i="129"/>
  <c r="DK53" i="129"/>
  <c r="DU46" i="129"/>
  <c r="DU33" i="129"/>
  <c r="DU30" i="129"/>
  <c r="DU22" i="129"/>
  <c r="DU58" i="129"/>
  <c r="DU65" i="129"/>
  <c r="DU24" i="129"/>
  <c r="DU40" i="129"/>
  <c r="DU26" i="129"/>
  <c r="DU48" i="129"/>
  <c r="DU44" i="129"/>
  <c r="DU20" i="129"/>
  <c r="DU39" i="129"/>
  <c r="DU34" i="129"/>
  <c r="DU66" i="129"/>
  <c r="DU62" i="129"/>
  <c r="DU37" i="129"/>
  <c r="DU28" i="129"/>
  <c r="DU52" i="129"/>
  <c r="DU43" i="129"/>
  <c r="DU38" i="129"/>
  <c r="DU63" i="129"/>
  <c r="DU27" i="129"/>
  <c r="DU45" i="129"/>
  <c r="DU25" i="129"/>
  <c r="DU60" i="129"/>
  <c r="DU67" i="129"/>
  <c r="DU54" i="129"/>
  <c r="DU31" i="129"/>
  <c r="DU51" i="129"/>
  <c r="DU21" i="129"/>
  <c r="DU59" i="129"/>
  <c r="DU53" i="129"/>
  <c r="DU50" i="129"/>
  <c r="DU36" i="129"/>
  <c r="DU32" i="129"/>
  <c r="DU41" i="129"/>
  <c r="DU56" i="129"/>
  <c r="DU57" i="129"/>
  <c r="DU49" i="129"/>
  <c r="V26" i="178"/>
  <c r="J57" i="127"/>
  <c r="J24" i="127"/>
  <c r="J33" i="127"/>
  <c r="J61" i="93"/>
  <c r="J61" i="127" s="1"/>
  <c r="BY17" i="129"/>
  <c r="J27" i="127"/>
  <c r="J55" i="93"/>
  <c r="J55" i="127" s="1"/>
  <c r="I7" i="129"/>
  <c r="I6" i="129" s="1"/>
  <c r="I1" i="129" s="1"/>
  <c r="AV42" i="129"/>
  <c r="AV12" i="129" s="1"/>
  <c r="AV64" i="129"/>
  <c r="AV16" i="129" s="1"/>
  <c r="J71" i="188"/>
  <c r="V16" i="151"/>
  <c r="E88" i="121" s="1"/>
  <c r="E88" i="124" s="1"/>
  <c r="V16" i="153"/>
  <c r="C88" i="121" s="1"/>
  <c r="C88" i="124" s="1"/>
  <c r="J47" i="93"/>
  <c r="J13" i="93" s="1"/>
  <c r="J13" i="127" s="1"/>
  <c r="AV55" i="129"/>
  <c r="AV14" i="129" s="1"/>
  <c r="AV29" i="129"/>
  <c r="AV10" i="129" s="1"/>
  <c r="J64" i="93"/>
  <c r="J64" i="127" s="1"/>
  <c r="J29" i="93"/>
  <c r="J10" i="93" s="1"/>
  <c r="J10" i="127" s="1"/>
  <c r="V52" i="178"/>
  <c r="J35" i="93"/>
  <c r="J35" i="127" s="1"/>
  <c r="J23" i="93"/>
  <c r="J9" i="93" s="1"/>
  <c r="J9" i="127" s="1"/>
  <c r="J25" i="127"/>
  <c r="AV35" i="129"/>
  <c r="AV11" i="129" s="1"/>
  <c r="EU7" i="129"/>
  <c r="EU6" i="129" s="1"/>
  <c r="J30" i="127"/>
  <c r="DC17" i="129"/>
  <c r="AV19" i="129"/>
  <c r="AV8" i="129" s="1"/>
  <c r="BO7" i="129"/>
  <c r="BO6" i="129" s="1"/>
  <c r="BO1" i="129" s="1"/>
  <c r="AV23" i="129"/>
  <c r="AV9" i="129" s="1"/>
  <c r="AV61" i="129"/>
  <c r="AV15" i="129" s="1"/>
  <c r="AV47" i="129"/>
  <c r="AV13" i="129" s="1"/>
  <c r="S18" i="129"/>
  <c r="BQ17" i="129"/>
  <c r="BQ7" i="129"/>
  <c r="BQ6" i="129" s="1"/>
  <c r="BQ1" i="129" s="1"/>
  <c r="BG17" i="129"/>
  <c r="BG7" i="129"/>
  <c r="BG6" i="129" s="1"/>
  <c r="BG1" i="129" s="1"/>
  <c r="CS17" i="129"/>
  <c r="CS7" i="129"/>
  <c r="CS6" i="129" s="1"/>
  <c r="CS1" i="129" s="1"/>
  <c r="DE17" i="129"/>
  <c r="DE7" i="129"/>
  <c r="DE6" i="129" s="1"/>
  <c r="DE1" i="129" s="1"/>
  <c r="CU17" i="129"/>
  <c r="CU7" i="129"/>
  <c r="CU6" i="129" s="1"/>
  <c r="CU1" i="129" s="1"/>
  <c r="CK17" i="129"/>
  <c r="CK7" i="129"/>
  <c r="CK6" i="129" s="1"/>
  <c r="CK1" i="129" s="1"/>
  <c r="CA17" i="129"/>
  <c r="CA7" i="129"/>
  <c r="CA6" i="129" s="1"/>
  <c r="CA1" i="129" s="1"/>
  <c r="EB1" i="129"/>
  <c r="G7" i="129"/>
  <c r="G6" i="129" s="1"/>
  <c r="G1" i="129" s="1"/>
  <c r="G17" i="129"/>
  <c r="BE7" i="129"/>
  <c r="BE6" i="129" s="1"/>
  <c r="BE1" i="129" s="1"/>
  <c r="BE17" i="129"/>
  <c r="DR1" i="129"/>
  <c r="Q18" i="129"/>
  <c r="AW17" i="129"/>
  <c r="AW7" i="129"/>
  <c r="AW6" i="129" s="1"/>
  <c r="AW1" i="129" s="1"/>
  <c r="CI17" i="129"/>
  <c r="CI7" i="129"/>
  <c r="CI6" i="129" s="1"/>
  <c r="CI1" i="129" s="1"/>
  <c r="AM17" i="129"/>
  <c r="AM7" i="129"/>
  <c r="AM6" i="129" s="1"/>
  <c r="AM1" i="129" s="1"/>
  <c r="AU7" i="129"/>
  <c r="AU6" i="129" s="1"/>
  <c r="AU1" i="129" s="1"/>
  <c r="AU17" i="129"/>
  <c r="AK17" i="129"/>
  <c r="AK7" i="129"/>
  <c r="AK6" i="129" s="1"/>
  <c r="AK1" i="129" s="1"/>
  <c r="DX35" i="129"/>
  <c r="DX11" i="129" s="1"/>
  <c r="DX23" i="129"/>
  <c r="DX9" i="129" s="1"/>
  <c r="DX61" i="129"/>
  <c r="DX15" i="129" s="1"/>
  <c r="DN42" i="129"/>
  <c r="DN12" i="129" s="1"/>
  <c r="DN61" i="129"/>
  <c r="DN15" i="129" s="1"/>
  <c r="AC16" i="114"/>
  <c r="AE28" i="114"/>
  <c r="AG114" i="114"/>
  <c r="AH114" i="114" s="1"/>
  <c r="AI114" i="114" s="1"/>
  <c r="AJ114" i="114" s="1"/>
  <c r="AK114" i="114" s="1"/>
  <c r="AF54" i="114"/>
  <c r="AE95" i="114"/>
  <c r="AF95" i="114" s="1"/>
  <c r="AD35" i="114"/>
  <c r="DX64" i="129"/>
  <c r="DX16" i="129" s="1"/>
  <c r="DN29" i="129"/>
  <c r="DN10" i="129" s="1"/>
  <c r="DN64" i="129"/>
  <c r="DN16" i="129" s="1"/>
  <c r="DX47" i="129"/>
  <c r="DX13" i="129" s="1"/>
  <c r="DX29" i="129"/>
  <c r="DX10" i="129" s="1"/>
  <c r="DX42" i="129"/>
  <c r="DX12" i="129" s="1"/>
  <c r="DN19" i="129"/>
  <c r="DN8" i="129" s="1"/>
  <c r="DN23" i="129"/>
  <c r="DN9" i="129" s="1"/>
  <c r="DM59" i="129"/>
  <c r="DM22" i="129"/>
  <c r="DO32" i="129"/>
  <c r="DM53" i="129"/>
  <c r="DO33" i="129"/>
  <c r="DM36" i="129"/>
  <c r="DO27" i="129"/>
  <c r="DM38" i="129"/>
  <c r="DO24" i="129"/>
  <c r="DM31" i="129"/>
  <c r="DO41" i="129"/>
  <c r="DO66" i="129"/>
  <c r="DM21" i="129"/>
  <c r="DO56" i="129"/>
  <c r="DO26" i="129"/>
  <c r="DO49" i="129"/>
  <c r="DO34" i="129"/>
  <c r="DM48" i="129"/>
  <c r="DM58" i="129"/>
  <c r="DM44" i="129"/>
  <c r="DO22" i="129"/>
  <c r="DM37" i="129"/>
  <c r="DO53" i="129"/>
  <c r="DM62" i="129"/>
  <c r="DO36" i="129"/>
  <c r="DM46" i="129"/>
  <c r="DM54" i="129"/>
  <c r="DO38" i="129"/>
  <c r="DM50" i="129"/>
  <c r="DO31" i="129"/>
  <c r="DM39" i="129"/>
  <c r="DM60" i="129"/>
  <c r="DO21" i="129"/>
  <c r="DM28" i="129"/>
  <c r="DM56" i="129"/>
  <c r="DM57" i="129"/>
  <c r="DM49" i="129"/>
  <c r="DM52" i="129"/>
  <c r="DO48" i="129"/>
  <c r="DM51" i="129"/>
  <c r="DO58" i="129"/>
  <c r="DO44" i="129"/>
  <c r="DM40" i="129"/>
  <c r="DO37" i="129"/>
  <c r="DM67" i="129"/>
  <c r="DO62" i="129"/>
  <c r="DM25" i="129"/>
  <c r="DO46" i="129"/>
  <c r="DM63" i="129"/>
  <c r="DO54" i="129"/>
  <c r="DM20" i="129"/>
  <c r="DO50" i="129"/>
  <c r="DM65" i="129"/>
  <c r="DO39" i="129"/>
  <c r="DM30" i="129"/>
  <c r="DO60" i="129"/>
  <c r="DO28" i="129"/>
  <c r="DM45" i="129"/>
  <c r="DO57" i="129"/>
  <c r="DM43" i="129"/>
  <c r="DO52" i="129"/>
  <c r="DO59" i="129"/>
  <c r="DO51" i="129"/>
  <c r="DM32" i="129"/>
  <c r="DO40" i="129"/>
  <c r="DM33" i="129"/>
  <c r="DO67" i="129"/>
  <c r="DM27" i="129"/>
  <c r="DO25" i="129"/>
  <c r="DO63" i="129"/>
  <c r="DM24" i="129"/>
  <c r="DO20" i="129"/>
  <c r="DM41" i="129"/>
  <c r="DO65" i="129"/>
  <c r="DM66" i="129"/>
  <c r="DO30" i="129"/>
  <c r="DM26" i="129"/>
  <c r="DO45" i="129"/>
  <c r="DM34" i="129"/>
  <c r="DO43" i="129"/>
  <c r="DX55" i="129"/>
  <c r="DX14" i="129" s="1"/>
  <c r="DW44" i="129"/>
  <c r="DW66" i="129"/>
  <c r="DY62" i="129"/>
  <c r="DY59" i="129"/>
  <c r="DW26" i="129"/>
  <c r="DY54" i="129"/>
  <c r="DW20" i="129"/>
  <c r="DY41" i="129"/>
  <c r="DY40" i="129"/>
  <c r="DY52" i="129"/>
  <c r="DY58" i="129"/>
  <c r="DY46" i="129"/>
  <c r="DW31" i="129"/>
  <c r="DY65" i="129"/>
  <c r="DY56" i="129"/>
  <c r="DY60" i="129"/>
  <c r="DW34" i="129"/>
  <c r="DY27" i="129"/>
  <c r="DW38" i="129"/>
  <c r="DW63" i="129"/>
  <c r="DY24" i="129"/>
  <c r="DW36" i="129"/>
  <c r="DW57" i="129"/>
  <c r="DY66" i="129"/>
  <c r="DW49" i="129"/>
  <c r="DY26" i="129"/>
  <c r="DW45" i="129"/>
  <c r="DY20" i="129"/>
  <c r="DW41" i="129"/>
  <c r="DW52" i="129"/>
  <c r="DW33" i="129"/>
  <c r="DW46" i="129"/>
  <c r="DW30" i="129"/>
  <c r="DW37" i="129"/>
  <c r="DW65" i="129"/>
  <c r="DW56" i="129"/>
  <c r="DW60" i="129"/>
  <c r="DY51" i="129"/>
  <c r="DW27" i="129"/>
  <c r="DW39" i="129"/>
  <c r="DY63" i="129"/>
  <c r="DW28" i="129"/>
  <c r="DW24" i="129"/>
  <c r="DY36" i="129"/>
  <c r="DY57" i="129"/>
  <c r="DW48" i="129"/>
  <c r="DW25" i="129"/>
  <c r="DW43" i="129"/>
  <c r="DW53" i="129"/>
  <c r="DY49" i="129"/>
  <c r="DW67" i="129"/>
  <c r="DY45" i="129"/>
  <c r="DW21" i="129"/>
  <c r="DY33" i="129"/>
  <c r="DW50" i="129"/>
  <c r="DY30" i="129"/>
  <c r="DY37" i="129"/>
  <c r="DY22" i="129"/>
  <c r="DW51" i="129"/>
  <c r="DW32" i="129"/>
  <c r="DY39" i="129"/>
  <c r="DY44" i="129"/>
  <c r="DY28" i="129"/>
  <c r="DW62" i="129"/>
  <c r="DW59" i="129"/>
  <c r="DY48" i="129"/>
  <c r="DY25" i="129"/>
  <c r="DY43" i="129"/>
  <c r="DY53" i="129"/>
  <c r="DW54" i="129"/>
  <c r="DY67" i="129"/>
  <c r="DW40" i="129"/>
  <c r="DW58" i="129"/>
  <c r="DY21" i="129"/>
  <c r="DY31" i="129"/>
  <c r="DY50" i="129"/>
  <c r="DY34" i="129"/>
  <c r="DW22" i="129"/>
  <c r="DY38" i="129"/>
  <c r="DY32" i="129"/>
  <c r="DN35" i="129"/>
  <c r="DN11" i="129" s="1"/>
  <c r="DN55" i="129"/>
  <c r="DN14" i="129" s="1"/>
  <c r="DX19" i="129"/>
  <c r="DX8" i="129" s="1"/>
  <c r="DN47" i="129"/>
  <c r="DN13" i="129" s="1"/>
  <c r="E71" i="188"/>
  <c r="AC22" i="114"/>
  <c r="AE91" i="114"/>
  <c r="AF91" i="114" s="1"/>
  <c r="AD31" i="114"/>
  <c r="AE80" i="114"/>
  <c r="AF80" i="114" s="1"/>
  <c r="AD20" i="114"/>
  <c r="AD40" i="114"/>
  <c r="AE100" i="114"/>
  <c r="AF100" i="114" s="1"/>
  <c r="AD21" i="114"/>
  <c r="AE81" i="114"/>
  <c r="AF81" i="114" s="1"/>
  <c r="AE83" i="114"/>
  <c r="AF83" i="114" s="1"/>
  <c r="AD23" i="114"/>
  <c r="AD25" i="114"/>
  <c r="AE85" i="114"/>
  <c r="AF85" i="114" s="1"/>
  <c r="AE97" i="114"/>
  <c r="AF97" i="114" s="1"/>
  <c r="AD37" i="114"/>
  <c r="AD39" i="114"/>
  <c r="AE99" i="114"/>
  <c r="AF99" i="114" s="1"/>
  <c r="D67" i="153"/>
  <c r="D69" i="153" s="1"/>
  <c r="J77" i="194"/>
  <c r="J76" i="194"/>
  <c r="S7" i="112"/>
  <c r="S6" i="112" s="1"/>
  <c r="J80" i="194"/>
  <c r="J73" i="194"/>
  <c r="J74" i="194"/>
  <c r="J79" i="194"/>
  <c r="J78" i="194"/>
  <c r="J72" i="194"/>
  <c r="AG27" i="114"/>
  <c r="AE33" i="114"/>
  <c r="AE26" i="114"/>
  <c r="AH5" i="114"/>
  <c r="G82" i="194"/>
  <c r="AE36" i="114"/>
  <c r="AC10" i="114"/>
  <c r="E72" i="190"/>
  <c r="J71" i="191"/>
  <c r="AE19" i="114"/>
  <c r="AE24" i="114"/>
  <c r="AE18" i="114"/>
  <c r="AE17" i="114"/>
  <c r="E79" i="192"/>
  <c r="E80" i="192"/>
  <c r="E78" i="192"/>
  <c r="E73" i="192"/>
  <c r="E75" i="192"/>
  <c r="AE68" i="114"/>
  <c r="AF68" i="114" s="1"/>
  <c r="AD8" i="114"/>
  <c r="D5" i="153"/>
  <c r="C7" i="127"/>
  <c r="C6" i="93"/>
  <c r="AD46" i="114"/>
  <c r="AE106" i="114"/>
  <c r="AF106" i="114" s="1"/>
  <c r="AD50" i="114"/>
  <c r="AE110" i="114"/>
  <c r="AF110" i="114" s="1"/>
  <c r="AD9" i="114"/>
  <c r="AE69" i="114"/>
  <c r="AF69" i="114" s="1"/>
  <c r="AD44" i="114"/>
  <c r="AE104" i="114"/>
  <c r="AF104" i="114" s="1"/>
  <c r="AD49" i="114"/>
  <c r="AE109" i="114"/>
  <c r="AF109" i="114" s="1"/>
  <c r="AE67" i="114"/>
  <c r="AF67" i="114" s="1"/>
  <c r="AG67" i="114" s="1"/>
  <c r="AD7" i="114"/>
  <c r="AE107" i="114"/>
  <c r="AF107" i="114" s="1"/>
  <c r="AD47" i="114"/>
  <c r="AC6" i="114"/>
  <c r="AC42" i="114"/>
  <c r="AD45" i="114"/>
  <c r="AE105" i="114"/>
  <c r="AF105" i="114" s="1"/>
  <c r="AE72" i="114"/>
  <c r="AF72" i="114" s="1"/>
  <c r="AD12" i="114"/>
  <c r="AE71" i="114"/>
  <c r="AF71" i="114" s="1"/>
  <c r="AD11" i="114"/>
  <c r="AD43" i="114"/>
  <c r="AE103" i="114"/>
  <c r="AF103" i="114" s="1"/>
  <c r="AE74" i="114"/>
  <c r="AF74" i="114" s="1"/>
  <c r="AD14" i="114"/>
  <c r="AE73" i="114"/>
  <c r="AF73" i="114" s="1"/>
  <c r="AD13" i="114"/>
  <c r="AC48" i="114"/>
  <c r="AD15" i="114"/>
  <c r="AE75" i="114"/>
  <c r="AF75" i="114" s="1"/>
  <c r="U34" i="189"/>
  <c r="O35" i="120"/>
  <c r="N8" i="120"/>
  <c r="U17" i="188"/>
  <c r="U4" i="178"/>
  <c r="U46" i="189"/>
  <c r="O47" i="120"/>
  <c r="O19" i="120"/>
  <c r="U18" i="189"/>
  <c r="O64" i="120"/>
  <c r="U63" i="189"/>
  <c r="P65" i="120"/>
  <c r="P26" i="120"/>
  <c r="P52" i="120"/>
  <c r="P30" i="120"/>
  <c r="P34" i="120"/>
  <c r="P59" i="120"/>
  <c r="P62" i="120"/>
  <c r="P39" i="120"/>
  <c r="P45" i="120"/>
  <c r="P54" i="120"/>
  <c r="P60" i="120"/>
  <c r="P21" i="120"/>
  <c r="P38" i="120"/>
  <c r="P63" i="120"/>
  <c r="P36" i="120"/>
  <c r="P37" i="120"/>
  <c r="P24" i="120"/>
  <c r="P25" i="120"/>
  <c r="P33" i="120"/>
  <c r="P41" i="120"/>
  <c r="P57" i="120"/>
  <c r="P46" i="120"/>
  <c r="P49" i="120"/>
  <c r="P67" i="120"/>
  <c r="P51" i="120"/>
  <c r="P66" i="120"/>
  <c r="P22" i="120"/>
  <c r="P27" i="120"/>
  <c r="P53" i="120"/>
  <c r="P56" i="120"/>
  <c r="P40" i="120"/>
  <c r="P31" i="120"/>
  <c r="P43" i="120"/>
  <c r="P48" i="120"/>
  <c r="P50" i="120"/>
  <c r="P28" i="120"/>
  <c r="P32" i="120"/>
  <c r="P44" i="120"/>
  <c r="P20" i="120"/>
  <c r="P58" i="120"/>
  <c r="N9" i="120"/>
  <c r="U7" i="188" s="1"/>
  <c r="U21" i="188"/>
  <c r="U27" i="188"/>
  <c r="N10" i="120"/>
  <c r="U8" i="188" s="1"/>
  <c r="M18" i="120"/>
  <c r="M17" i="120" s="1"/>
  <c r="O29" i="120"/>
  <c r="U28" i="189"/>
  <c r="U22" i="189"/>
  <c r="O23" i="120"/>
  <c r="N16" i="120"/>
  <c r="U14" i="188" s="1"/>
  <c r="U62" i="188"/>
  <c r="K6" i="120"/>
  <c r="U5" i="186"/>
  <c r="U40" i="188"/>
  <c r="N12" i="120"/>
  <c r="U10" i="188" s="1"/>
  <c r="O42" i="120"/>
  <c r="U41" i="189"/>
  <c r="N14" i="120"/>
  <c r="U12" i="188" s="1"/>
  <c r="U53" i="188"/>
  <c r="U54" i="189"/>
  <c r="O55" i="120"/>
  <c r="N13" i="120"/>
  <c r="U11" i="188" s="1"/>
  <c r="U45" i="188"/>
  <c r="U60" i="189"/>
  <c r="O61" i="120"/>
  <c r="U59" i="188"/>
  <c r="N15" i="120"/>
  <c r="U13" i="188" s="1"/>
  <c r="N11" i="120"/>
  <c r="U9" i="188" s="1"/>
  <c r="U33" i="188"/>
  <c r="G78" i="121"/>
  <c r="G78" i="124" s="1"/>
  <c r="H125" i="121"/>
  <c r="H125" i="124" s="1"/>
  <c r="I109" i="121"/>
  <c r="I109" i="124" s="1"/>
  <c r="G82" i="121"/>
  <c r="G82" i="124" s="1"/>
  <c r="AC34" i="114"/>
  <c r="V9" i="170"/>
  <c r="V28" i="178"/>
  <c r="I124" i="121"/>
  <c r="I124" i="124" s="1"/>
  <c r="I94" i="121"/>
  <c r="I94" i="124" s="1"/>
  <c r="I128" i="121"/>
  <c r="I128" i="124" s="1"/>
  <c r="I132" i="121"/>
  <c r="I132" i="124" s="1"/>
  <c r="V59" i="177"/>
  <c r="I118" i="121"/>
  <c r="I118" i="124" s="1"/>
  <c r="I97" i="121"/>
  <c r="I97" i="124" s="1"/>
  <c r="AD38" i="114"/>
  <c r="AE98" i="114"/>
  <c r="AF98" i="114" s="1"/>
  <c r="V8" i="170"/>
  <c r="V41" i="178"/>
  <c r="V29" i="178"/>
  <c r="V25" i="178"/>
  <c r="V58" i="178"/>
  <c r="I127" i="121"/>
  <c r="I127" i="124" s="1"/>
  <c r="I135" i="121"/>
  <c r="I135" i="124" s="1"/>
  <c r="I107" i="121"/>
  <c r="I107" i="124" s="1"/>
  <c r="I120" i="121"/>
  <c r="I120" i="124" s="1"/>
  <c r="I129" i="121"/>
  <c r="I129" i="124" s="1"/>
  <c r="G83" i="121"/>
  <c r="G83" i="124" s="1"/>
  <c r="G85" i="121"/>
  <c r="G85" i="124" s="1"/>
  <c r="I95" i="121"/>
  <c r="I95" i="124" s="1"/>
  <c r="I123" i="121"/>
  <c r="I123" i="124" s="1"/>
  <c r="I108" i="121"/>
  <c r="I108" i="124" s="1"/>
  <c r="G79" i="121"/>
  <c r="G79" i="124" s="1"/>
  <c r="AD41" i="114"/>
  <c r="AE101" i="114"/>
  <c r="AF101" i="114" s="1"/>
  <c r="V56" i="178"/>
  <c r="V55" i="178"/>
  <c r="V38" i="178"/>
  <c r="V31" i="178"/>
  <c r="G86" i="121"/>
  <c r="G86" i="124" s="1"/>
  <c r="E71" i="189"/>
  <c r="I133" i="121"/>
  <c r="I133" i="124" s="1"/>
  <c r="I103" i="121"/>
  <c r="I103" i="124" s="1"/>
  <c r="I130" i="121"/>
  <c r="I130" i="124" s="1"/>
  <c r="I111" i="121"/>
  <c r="I111" i="124" s="1"/>
  <c r="V30" i="178"/>
  <c r="V24" i="178"/>
  <c r="V51" i="178"/>
  <c r="V18" i="178"/>
  <c r="V46" i="178"/>
  <c r="V11" i="170"/>
  <c r="V13" i="170"/>
  <c r="J121" i="121"/>
  <c r="J121" i="124" s="1"/>
  <c r="G81" i="121"/>
  <c r="G81" i="124" s="1"/>
  <c r="G80" i="121"/>
  <c r="G80" i="124" s="1"/>
  <c r="I91" i="121"/>
  <c r="I91" i="124" s="1"/>
  <c r="I136" i="121"/>
  <c r="I136" i="124" s="1"/>
  <c r="I106" i="121"/>
  <c r="I106" i="124" s="1"/>
  <c r="I102" i="121"/>
  <c r="I102" i="124" s="1"/>
  <c r="H134" i="121"/>
  <c r="H134" i="124" s="1"/>
  <c r="V5" i="134"/>
  <c r="H112" i="121"/>
  <c r="H112" i="124" s="1"/>
  <c r="V6" i="170"/>
  <c r="V34" i="178"/>
  <c r="V22" i="178"/>
  <c r="V50" i="178"/>
  <c r="V44" i="178"/>
  <c r="V23" i="178"/>
  <c r="V60" i="178"/>
  <c r="I126" i="121"/>
  <c r="I126" i="124" s="1"/>
  <c r="I137" i="121"/>
  <c r="I137" i="124" s="1"/>
  <c r="I113" i="121"/>
  <c r="I113" i="124" s="1"/>
  <c r="I92" i="121"/>
  <c r="I92" i="124" s="1"/>
  <c r="I98" i="121"/>
  <c r="I98" i="124" s="1"/>
  <c r="G84" i="121"/>
  <c r="G84" i="124" s="1"/>
  <c r="AN4" i="99" l="1"/>
  <c r="W51" i="112"/>
  <c r="J49" i="212" s="1"/>
  <c r="J115" i="212" s="1"/>
  <c r="W40" i="112"/>
  <c r="J38" i="212" s="1"/>
  <c r="J104" i="212" s="1"/>
  <c r="W21" i="112"/>
  <c r="J19" i="212" s="1"/>
  <c r="J85" i="212" s="1"/>
  <c r="W52" i="112"/>
  <c r="J50" i="212" s="1"/>
  <c r="J116" i="212" s="1"/>
  <c r="W27" i="112"/>
  <c r="J25" i="212" s="1"/>
  <c r="J91" i="212" s="1"/>
  <c r="W31" i="112"/>
  <c r="J29" i="212" s="1"/>
  <c r="J95" i="212" s="1"/>
  <c r="W65" i="112"/>
  <c r="W57" i="112"/>
  <c r="J55" i="212" s="1"/>
  <c r="J121" i="212" s="1"/>
  <c r="W41" i="112"/>
  <c r="J39" i="212" s="1"/>
  <c r="J105" i="212" s="1"/>
  <c r="W56" i="112"/>
  <c r="W59" i="112"/>
  <c r="J57" i="212" s="1"/>
  <c r="J123" i="212" s="1"/>
  <c r="W22" i="112"/>
  <c r="J20" i="212" s="1"/>
  <c r="J86" i="212" s="1"/>
  <c r="W24" i="112"/>
  <c r="W34" i="112"/>
  <c r="J32" i="212" s="1"/>
  <c r="J98" i="212" s="1"/>
  <c r="W36" i="112"/>
  <c r="W46" i="112"/>
  <c r="J44" i="212" s="1"/>
  <c r="J110" i="212" s="1"/>
  <c r="W38" i="112"/>
  <c r="J36" i="212" s="1"/>
  <c r="J102" i="212" s="1"/>
  <c r="W67" i="112"/>
  <c r="J65" i="212" s="1"/>
  <c r="J131" i="212" s="1"/>
  <c r="W58" i="112"/>
  <c r="J56" i="212" s="1"/>
  <c r="J122" i="212" s="1"/>
  <c r="W49" i="112"/>
  <c r="J47" i="212" s="1"/>
  <c r="J113" i="212" s="1"/>
  <c r="W63" i="112"/>
  <c r="J61" i="212" s="1"/>
  <c r="J127" i="212" s="1"/>
  <c r="W53" i="112"/>
  <c r="J51" i="212" s="1"/>
  <c r="J117" i="212" s="1"/>
  <c r="W66" i="112"/>
  <c r="J64" i="212" s="1"/>
  <c r="J130" i="212" s="1"/>
  <c r="W37" i="112"/>
  <c r="J35" i="212" s="1"/>
  <c r="J101" i="212" s="1"/>
  <c r="W33" i="112"/>
  <c r="J31" i="212" s="1"/>
  <c r="J97" i="212" s="1"/>
  <c r="W26" i="112"/>
  <c r="J24" i="212" s="1"/>
  <c r="J90" i="212" s="1"/>
  <c r="W28" i="112"/>
  <c r="J26" i="212" s="1"/>
  <c r="J92" i="212" s="1"/>
  <c r="W39" i="112"/>
  <c r="J37" i="212" s="1"/>
  <c r="J103" i="212" s="1"/>
  <c r="W62" i="112"/>
  <c r="W48" i="112"/>
  <c r="W54" i="112"/>
  <c r="J52" i="212" s="1"/>
  <c r="J118" i="212" s="1"/>
  <c r="W25" i="112"/>
  <c r="J23" i="212" s="1"/>
  <c r="J89" i="212" s="1"/>
  <c r="W43" i="112"/>
  <c r="W45" i="112"/>
  <c r="J43" i="212" s="1"/>
  <c r="J109" i="212" s="1"/>
  <c r="W30" i="112"/>
  <c r="W20" i="112"/>
  <c r="W60" i="112"/>
  <c r="J58" i="212" s="1"/>
  <c r="J124" i="212" s="1"/>
  <c r="W50" i="112"/>
  <c r="J48" i="212" s="1"/>
  <c r="J114" i="212" s="1"/>
  <c r="W32" i="112"/>
  <c r="J30" i="212" s="1"/>
  <c r="J96" i="212" s="1"/>
  <c r="W44" i="112"/>
  <c r="J42" i="212" s="1"/>
  <c r="J108" i="212" s="1"/>
  <c r="E19" i="212"/>
  <c r="E85" i="212" s="1"/>
  <c r="W35" i="111"/>
  <c r="W36" i="127"/>
  <c r="X39" i="127"/>
  <c r="W58" i="127"/>
  <c r="E56" i="212"/>
  <c r="E122" i="212" s="1"/>
  <c r="W47" i="111"/>
  <c r="W47" i="127" s="1"/>
  <c r="E37" i="212"/>
  <c r="E103" i="212" s="1"/>
  <c r="X52" i="127"/>
  <c r="E18" i="213"/>
  <c r="E84" i="213" s="1"/>
  <c r="X50" i="127"/>
  <c r="W29" i="111"/>
  <c r="X24" i="127"/>
  <c r="E57" i="212"/>
  <c r="E123" i="212" s="1"/>
  <c r="E104" i="211"/>
  <c r="E47" i="212"/>
  <c r="E113" i="212" s="1"/>
  <c r="W30" i="127"/>
  <c r="W21" i="127"/>
  <c r="W26" i="127"/>
  <c r="X67" i="127"/>
  <c r="E28" i="213"/>
  <c r="E94" i="213" s="1"/>
  <c r="X47" i="111"/>
  <c r="E24" i="212"/>
  <c r="E90" i="212" s="1"/>
  <c r="E129" i="211"/>
  <c r="E112" i="211"/>
  <c r="E40" i="211"/>
  <c r="GT42" i="129" s="1"/>
  <c r="X16" i="111"/>
  <c r="X16" i="127" s="1"/>
  <c r="X64" i="127"/>
  <c r="E62" i="213"/>
  <c r="E14" i="213" s="1"/>
  <c r="X14" i="111"/>
  <c r="X14" i="127" s="1"/>
  <c r="X55" i="127"/>
  <c r="E53" i="213"/>
  <c r="E119" i="213" s="1"/>
  <c r="X15" i="111"/>
  <c r="X15" i="127" s="1"/>
  <c r="E59" i="213"/>
  <c r="E13" i="213" s="1"/>
  <c r="X61" i="127"/>
  <c r="X9" i="111"/>
  <c r="X9" i="127" s="1"/>
  <c r="X23" i="127"/>
  <c r="E21" i="213"/>
  <c r="E87" i="213" s="1"/>
  <c r="X12" i="111"/>
  <c r="X12" i="127" s="1"/>
  <c r="E40" i="213"/>
  <c r="E10" i="213" s="1"/>
  <c r="X42" i="127"/>
  <c r="W55" i="127"/>
  <c r="X8" i="111"/>
  <c r="E17" i="213"/>
  <c r="E6" i="213" s="1"/>
  <c r="X19" i="127"/>
  <c r="X13" i="111"/>
  <c r="X13" i="127" s="1"/>
  <c r="X47" i="127"/>
  <c r="E45" i="213"/>
  <c r="E11" i="213" s="1"/>
  <c r="X11" i="111"/>
  <c r="X11" i="127" s="1"/>
  <c r="E33" i="213"/>
  <c r="E9" i="213" s="1"/>
  <c r="E121" i="200" s="1"/>
  <c r="X35" i="127"/>
  <c r="X10" i="111"/>
  <c r="X10" i="127" s="1"/>
  <c r="E27" i="213"/>
  <c r="E93" i="213" s="1"/>
  <c r="X29" i="127"/>
  <c r="E102" i="212"/>
  <c r="E112" i="212"/>
  <c r="E105" i="212"/>
  <c r="E110" i="212"/>
  <c r="E108" i="212"/>
  <c r="E109" i="212"/>
  <c r="E107" i="212"/>
  <c r="E104" i="212"/>
  <c r="D67" i="152"/>
  <c r="D69" i="152" s="1"/>
  <c r="D5" i="152"/>
  <c r="V5" i="152" s="1"/>
  <c r="D77" i="121" s="1"/>
  <c r="D77" i="124" s="1"/>
  <c r="W42" i="127"/>
  <c r="D6" i="93"/>
  <c r="E7" i="127"/>
  <c r="EH32" i="129"/>
  <c r="D5" i="151"/>
  <c r="V5" i="151" s="1"/>
  <c r="E77" i="121" s="1"/>
  <c r="E77" i="124" s="1"/>
  <c r="EH39" i="129"/>
  <c r="EH24" i="129"/>
  <c r="W8" i="111"/>
  <c r="W8" i="127" s="1"/>
  <c r="EH56" i="129"/>
  <c r="W64" i="127"/>
  <c r="EH41" i="129"/>
  <c r="EH66" i="129"/>
  <c r="EH57" i="129"/>
  <c r="EH43" i="129"/>
  <c r="EH63" i="129"/>
  <c r="EH37" i="129"/>
  <c r="EH60" i="129"/>
  <c r="EH28" i="129"/>
  <c r="EH44" i="129"/>
  <c r="EH49" i="129"/>
  <c r="EH34" i="129"/>
  <c r="EH62" i="129"/>
  <c r="W29" i="127"/>
  <c r="W11" i="111"/>
  <c r="W11" i="127" s="1"/>
  <c r="EH65" i="129"/>
  <c r="EH46" i="129"/>
  <c r="EH67" i="129"/>
  <c r="EH22" i="129"/>
  <c r="EH21" i="129"/>
  <c r="EH36" i="129"/>
  <c r="EH51" i="129"/>
  <c r="EK1" i="129"/>
  <c r="W10" i="111"/>
  <c r="W10" i="127" s="1"/>
  <c r="EH25" i="129"/>
  <c r="EH26" i="129"/>
  <c r="EH52" i="129"/>
  <c r="EH20" i="129"/>
  <c r="EH45" i="129"/>
  <c r="E17" i="212"/>
  <c r="E83" i="212" s="1"/>
  <c r="EH40" i="129"/>
  <c r="EH53" i="129"/>
  <c r="EH50" i="129"/>
  <c r="EH58" i="129"/>
  <c r="EH48" i="129"/>
  <c r="E27" i="212"/>
  <c r="E93" i="212" s="1"/>
  <c r="EH54" i="129"/>
  <c r="EH27" i="129"/>
  <c r="EH59" i="129"/>
  <c r="EH31" i="129"/>
  <c r="EH38" i="129"/>
  <c r="EH30" i="129"/>
  <c r="W19" i="127"/>
  <c r="BP7" i="129"/>
  <c r="BP6" i="129" s="1"/>
  <c r="BP1" i="129" s="1"/>
  <c r="E62" i="212"/>
  <c r="E128" i="212" s="1"/>
  <c r="W16" i="111"/>
  <c r="W16" i="127" s="1"/>
  <c r="E59" i="212"/>
  <c r="E125" i="212" s="1"/>
  <c r="W35" i="127"/>
  <c r="W15" i="111"/>
  <c r="W15" i="127" s="1"/>
  <c r="E33" i="212"/>
  <c r="E99" i="212" s="1"/>
  <c r="CT18" i="129"/>
  <c r="CT7" i="129" s="1"/>
  <c r="CT6" i="129" s="1"/>
  <c r="CT1" i="129" s="1"/>
  <c r="AA39" i="92"/>
  <c r="E53" i="212"/>
  <c r="E12" i="212" s="1"/>
  <c r="W14" i="111"/>
  <c r="W14" i="127" s="1"/>
  <c r="W9" i="111"/>
  <c r="W9" i="127" s="1"/>
  <c r="E40" i="212"/>
  <c r="W12" i="111"/>
  <c r="W12" i="127" s="1"/>
  <c r="E21" i="212"/>
  <c r="E7" i="212" s="1"/>
  <c r="W61" i="127"/>
  <c r="W13" i="111"/>
  <c r="W13" i="127" s="1"/>
  <c r="W23" i="127"/>
  <c r="K49" i="127"/>
  <c r="F39" i="213"/>
  <c r="F51" i="213"/>
  <c r="F18" i="212"/>
  <c r="F31" i="213"/>
  <c r="F44" i="213"/>
  <c r="F35" i="213"/>
  <c r="F28" i="212"/>
  <c r="F49" i="213"/>
  <c r="F48" i="213"/>
  <c r="F58" i="213"/>
  <c r="F61" i="213"/>
  <c r="F32" i="213"/>
  <c r="F43" i="213"/>
  <c r="F60" i="212"/>
  <c r="F54" i="212"/>
  <c r="F47" i="213"/>
  <c r="F56" i="213"/>
  <c r="F52" i="213"/>
  <c r="F57" i="213"/>
  <c r="F23" i="213"/>
  <c r="F34" i="212"/>
  <c r="F42" i="213"/>
  <c r="F38" i="213"/>
  <c r="F36" i="213"/>
  <c r="F24" i="213"/>
  <c r="F25" i="213"/>
  <c r="F29" i="213"/>
  <c r="F50" i="213"/>
  <c r="F22" i="212"/>
  <c r="F20" i="213"/>
  <c r="F19" i="213"/>
  <c r="F55" i="213"/>
  <c r="F41" i="212"/>
  <c r="F46" i="212"/>
  <c r="F63" i="212"/>
  <c r="F37" i="213"/>
  <c r="F30" i="213"/>
  <c r="F26" i="213"/>
  <c r="F65" i="213"/>
  <c r="F64" i="213"/>
  <c r="U55" i="125"/>
  <c r="H53" i="207" s="1"/>
  <c r="K53" i="127"/>
  <c r="K62" i="127"/>
  <c r="K52" i="127"/>
  <c r="V63" i="178"/>
  <c r="J135" i="121" s="1"/>
  <c r="J135" i="124" s="1"/>
  <c r="V47" i="178"/>
  <c r="J119" i="121" s="1"/>
  <c r="J119" i="124" s="1"/>
  <c r="AI13" i="176"/>
  <c r="AJ13" i="176"/>
  <c r="U10" i="120"/>
  <c r="U10" i="125" s="1"/>
  <c r="U16" i="120"/>
  <c r="U16" i="125" s="1"/>
  <c r="U15" i="120"/>
  <c r="U15" i="125" s="1"/>
  <c r="U47" i="125"/>
  <c r="H45" i="207" s="1"/>
  <c r="GJ47" i="129"/>
  <c r="W47" i="110"/>
  <c r="GJ23" i="129"/>
  <c r="W23" i="110"/>
  <c r="GJ61" i="129"/>
  <c r="W61" i="110"/>
  <c r="U42" i="125"/>
  <c r="H40" i="207" s="1"/>
  <c r="U23" i="125"/>
  <c r="H21" i="207" s="1"/>
  <c r="GJ29" i="129"/>
  <c r="W29" i="110"/>
  <c r="GJ55" i="129"/>
  <c r="W55" i="110"/>
  <c r="GJ42" i="129"/>
  <c r="W42" i="110"/>
  <c r="GJ19" i="129"/>
  <c r="W19" i="110"/>
  <c r="U35" i="125"/>
  <c r="H33" i="207" s="1"/>
  <c r="GJ64" i="129"/>
  <c r="W64" i="110"/>
  <c r="V42" i="178"/>
  <c r="J114" i="121" s="1"/>
  <c r="J114" i="124" s="1"/>
  <c r="V55" i="185"/>
  <c r="DD18" i="129"/>
  <c r="DD17" i="129" s="1"/>
  <c r="AB18" i="129"/>
  <c r="AB7" i="129" s="1"/>
  <c r="AB6" i="129" s="1"/>
  <c r="AB1" i="129" s="1"/>
  <c r="V32" i="185"/>
  <c r="K28" i="127"/>
  <c r="K20" i="127"/>
  <c r="L41" i="93"/>
  <c r="L56" i="93"/>
  <c r="L56" i="127" s="1"/>
  <c r="L48" i="93"/>
  <c r="L48" i="127" s="1"/>
  <c r="L44" i="93"/>
  <c r="K44" i="127"/>
  <c r="K59" i="127"/>
  <c r="K27" i="127"/>
  <c r="V65" i="178"/>
  <c r="J137" i="121" s="1"/>
  <c r="J137" i="124" s="1"/>
  <c r="K67" i="127"/>
  <c r="V53" i="177"/>
  <c r="I125" i="121" s="1"/>
  <c r="I125" i="124" s="1"/>
  <c r="L38" i="93"/>
  <c r="L38" i="127" s="1"/>
  <c r="L66" i="93"/>
  <c r="K61" i="93"/>
  <c r="K61" i="127" s="1"/>
  <c r="K56" i="127"/>
  <c r="H18" i="127"/>
  <c r="V40" i="177"/>
  <c r="I112" i="121" s="1"/>
  <c r="I112" i="124" s="1"/>
  <c r="V29" i="185"/>
  <c r="U19" i="125"/>
  <c r="H17" i="207" s="1"/>
  <c r="V33" i="177"/>
  <c r="I105" i="121" s="1"/>
  <c r="I105" i="124" s="1"/>
  <c r="K58" i="127"/>
  <c r="K54" i="127"/>
  <c r="AC22" i="206"/>
  <c r="H60" i="211"/>
  <c r="F60" i="211" s="1"/>
  <c r="F59" i="211" s="1"/>
  <c r="F13" i="211" s="1"/>
  <c r="F61" i="200" s="1"/>
  <c r="H34" i="211"/>
  <c r="F34" i="211" s="1"/>
  <c r="F33" i="211" s="1"/>
  <c r="F9" i="211" s="1"/>
  <c r="F57" i="200" s="1"/>
  <c r="H54" i="211"/>
  <c r="F54" i="211" s="1"/>
  <c r="F53" i="211" s="1"/>
  <c r="F12" i="211" s="1"/>
  <c r="F60" i="200" s="1"/>
  <c r="H63" i="211"/>
  <c r="F63" i="211" s="1"/>
  <c r="F62" i="211" s="1"/>
  <c r="F14" i="211" s="1"/>
  <c r="F62" i="200" s="1"/>
  <c r="H18" i="211"/>
  <c r="F18" i="211" s="1"/>
  <c r="F17" i="211" s="1"/>
  <c r="F6" i="211" s="1"/>
  <c r="F54" i="200" s="1"/>
  <c r="H22" i="211"/>
  <c r="F22" i="211" s="1"/>
  <c r="F21" i="211" s="1"/>
  <c r="F7" i="211" s="1"/>
  <c r="F55" i="200" s="1"/>
  <c r="H46" i="211"/>
  <c r="F46" i="211" s="1"/>
  <c r="F45" i="211" s="1"/>
  <c r="F11" i="211" s="1"/>
  <c r="F59" i="200" s="1"/>
  <c r="H41" i="211"/>
  <c r="F41" i="211" s="1"/>
  <c r="F40" i="211" s="1"/>
  <c r="F10" i="211" s="1"/>
  <c r="F58" i="200" s="1"/>
  <c r="H28" i="211"/>
  <c r="F28" i="211" s="1"/>
  <c r="F27" i="211" s="1"/>
  <c r="F8" i="211" s="1"/>
  <c r="F56" i="200" s="1"/>
  <c r="H18" i="129"/>
  <c r="H17" i="129" s="1"/>
  <c r="R18" i="129"/>
  <c r="R7" i="129" s="1"/>
  <c r="R6" i="129" s="1"/>
  <c r="R1" i="129" s="1"/>
  <c r="BZ18" i="129"/>
  <c r="BZ17" i="129" s="1"/>
  <c r="V36" i="178"/>
  <c r="J108" i="121" s="1"/>
  <c r="J108" i="124" s="1"/>
  <c r="K25" i="127"/>
  <c r="D4" i="134"/>
  <c r="V4" i="134" s="1"/>
  <c r="V17" i="177"/>
  <c r="I89" i="121" s="1"/>
  <c r="I89" i="124" s="1"/>
  <c r="K30" i="127"/>
  <c r="V21" i="177"/>
  <c r="I93" i="121" s="1"/>
  <c r="I93" i="124" s="1"/>
  <c r="V7" i="177"/>
  <c r="E71" i="191"/>
  <c r="BF7" i="129"/>
  <c r="BF6" i="129" s="1"/>
  <c r="BF1" i="129" s="1"/>
  <c r="H7" i="93"/>
  <c r="H7" i="127" s="1"/>
  <c r="V39" i="178"/>
  <c r="J111" i="121" s="1"/>
  <c r="J111" i="124" s="1"/>
  <c r="K22" i="127"/>
  <c r="K26" i="127"/>
  <c r="V43" i="178"/>
  <c r="J115" i="121" s="1"/>
  <c r="J115" i="124" s="1"/>
  <c r="V54" i="178"/>
  <c r="J126" i="121" s="1"/>
  <c r="J126" i="124" s="1"/>
  <c r="V35" i="185"/>
  <c r="K19" i="93"/>
  <c r="K8" i="93" s="1"/>
  <c r="FE18" i="129"/>
  <c r="FE7" i="129" s="1"/>
  <c r="FE6" i="129" s="1"/>
  <c r="FB52" i="129" s="1"/>
  <c r="V12" i="170"/>
  <c r="H84" i="121" s="1"/>
  <c r="H84" i="124" s="1"/>
  <c r="R7" i="111"/>
  <c r="R6" i="111" s="1"/>
  <c r="K64" i="93"/>
  <c r="K23" i="93"/>
  <c r="K23" i="127" s="1"/>
  <c r="K21" i="127"/>
  <c r="J12" i="93"/>
  <c r="J12" i="127" s="1"/>
  <c r="I18" i="93"/>
  <c r="I17" i="93" s="1"/>
  <c r="J23" i="127"/>
  <c r="K47" i="93"/>
  <c r="K47" i="127" s="1"/>
  <c r="K41" i="127"/>
  <c r="AC6" i="206"/>
  <c r="K55" i="93"/>
  <c r="AC29" i="206"/>
  <c r="K35" i="93"/>
  <c r="K11" i="93" s="1"/>
  <c r="K11" i="127" s="1"/>
  <c r="E6" i="207"/>
  <c r="E83" i="207"/>
  <c r="E125" i="211"/>
  <c r="E93" i="211"/>
  <c r="E9" i="211"/>
  <c r="E57" i="200" s="1"/>
  <c r="E99" i="211"/>
  <c r="J53" i="211"/>
  <c r="V14" i="112"/>
  <c r="L63" i="93"/>
  <c r="L63" i="127" s="1"/>
  <c r="AE74" i="206"/>
  <c r="AD14" i="206"/>
  <c r="L45" i="93"/>
  <c r="V9" i="120"/>
  <c r="V9" i="125" s="1"/>
  <c r="V23" i="125"/>
  <c r="V13" i="112"/>
  <c r="J45" i="211"/>
  <c r="L40" i="93"/>
  <c r="L40" i="127" s="1"/>
  <c r="U8" i="125"/>
  <c r="AE81" i="206"/>
  <c r="AD21" i="206"/>
  <c r="AC42" i="206"/>
  <c r="AE103" i="206"/>
  <c r="AD43" i="206"/>
  <c r="AE114" i="206"/>
  <c r="AD54" i="206"/>
  <c r="L65" i="93"/>
  <c r="V58" i="185"/>
  <c r="K33" i="127"/>
  <c r="AA7" i="129"/>
  <c r="AA6" i="129" s="1"/>
  <c r="AA1" i="129" s="1"/>
  <c r="D67" i="157"/>
  <c r="D69" i="157" s="1"/>
  <c r="E106" i="211"/>
  <c r="AD53" i="206"/>
  <c r="AE113" i="206"/>
  <c r="AB4" i="206"/>
  <c r="AD25" i="206"/>
  <c r="AE85" i="206"/>
  <c r="AE95" i="206"/>
  <c r="AD35" i="206"/>
  <c r="AE97" i="206"/>
  <c r="AD37" i="206"/>
  <c r="G7" i="127"/>
  <c r="E12" i="211"/>
  <c r="E60" i="200" s="1"/>
  <c r="GT55" i="129"/>
  <c r="AD12" i="206"/>
  <c r="AE72" i="206"/>
  <c r="L46" i="93"/>
  <c r="L46" i="127" s="1"/>
  <c r="L34" i="93"/>
  <c r="FH5" i="129"/>
  <c r="FG5" i="129" s="1"/>
  <c r="E14" i="207"/>
  <c r="E6" i="211"/>
  <c r="E54" i="200" s="1"/>
  <c r="AE79" i="206"/>
  <c r="AD19" i="206"/>
  <c r="AC16" i="206"/>
  <c r="AD39" i="206"/>
  <c r="AE99" i="206"/>
  <c r="AE105" i="206"/>
  <c r="AD45" i="206"/>
  <c r="AC34" i="206"/>
  <c r="AE100" i="206"/>
  <c r="AD40" i="206"/>
  <c r="AD44" i="206"/>
  <c r="AE104" i="206"/>
  <c r="AE90" i="114"/>
  <c r="AD30" i="114"/>
  <c r="AD29" i="114" s="1"/>
  <c r="L20" i="93"/>
  <c r="V42" i="125"/>
  <c r="V12" i="120"/>
  <c r="V12" i="125" s="1"/>
  <c r="L22" i="93"/>
  <c r="L22" i="127" s="1"/>
  <c r="K42" i="93"/>
  <c r="K12" i="93" s="1"/>
  <c r="K12" i="127" s="1"/>
  <c r="D5" i="157"/>
  <c r="V5" i="157" s="1"/>
  <c r="AF65" i="206"/>
  <c r="AE5" i="206"/>
  <c r="L57" i="93"/>
  <c r="K38" i="127"/>
  <c r="K29" i="93"/>
  <c r="K29" i="127" s="1"/>
  <c r="FI39" i="129"/>
  <c r="E111" i="207"/>
  <c r="E83" i="211"/>
  <c r="J33" i="211"/>
  <c r="V11" i="112"/>
  <c r="AE69" i="206"/>
  <c r="AD9" i="206"/>
  <c r="AE77" i="206"/>
  <c r="AD17" i="206"/>
  <c r="V16" i="120"/>
  <c r="V16" i="125" s="1"/>
  <c r="V64" i="125"/>
  <c r="L21" i="93"/>
  <c r="L21" i="127" s="1"/>
  <c r="L67" i="93"/>
  <c r="K32" i="127"/>
  <c r="AD53" i="114"/>
  <c r="AD51" i="114" s="1"/>
  <c r="AE113" i="114"/>
  <c r="V12" i="112"/>
  <c r="J40" i="211"/>
  <c r="L31" i="93"/>
  <c r="L31" i="127" s="1"/>
  <c r="AC10" i="206"/>
  <c r="K45" i="127"/>
  <c r="E111" i="211"/>
  <c r="AE78" i="206"/>
  <c r="AD18" i="206"/>
  <c r="V8" i="112"/>
  <c r="J17" i="211"/>
  <c r="L24" i="93"/>
  <c r="L24" i="127" s="1"/>
  <c r="L28" i="93"/>
  <c r="L32" i="93"/>
  <c r="L32" i="127" s="1"/>
  <c r="L37" i="93"/>
  <c r="FI20" i="129"/>
  <c r="J21" i="211"/>
  <c r="V9" i="112"/>
  <c r="E128" i="211"/>
  <c r="GT64" i="129"/>
  <c r="AD26" i="206"/>
  <c r="AE86" i="206"/>
  <c r="J27" i="211"/>
  <c r="V10" i="112"/>
  <c r="L36" i="93"/>
  <c r="AE101" i="206"/>
  <c r="AD41" i="206"/>
  <c r="L52" i="93"/>
  <c r="L52" i="127" s="1"/>
  <c r="V47" i="125"/>
  <c r="V13" i="120"/>
  <c r="V13" i="125" s="1"/>
  <c r="AD20" i="206"/>
  <c r="AE80" i="206"/>
  <c r="AE110" i="206"/>
  <c r="AD50" i="206"/>
  <c r="AE96" i="206"/>
  <c r="AD36" i="206"/>
  <c r="AE88" i="206"/>
  <c r="AD28" i="206"/>
  <c r="L25" i="93"/>
  <c r="AD47" i="206"/>
  <c r="AE107" i="206"/>
  <c r="E11" i="211"/>
  <c r="E59" i="200" s="1"/>
  <c r="AE75" i="206"/>
  <c r="AD15" i="206"/>
  <c r="AE68" i="206"/>
  <c r="AD8" i="206"/>
  <c r="L26" i="93"/>
  <c r="L49" i="93"/>
  <c r="L51" i="127"/>
  <c r="FI24" i="129"/>
  <c r="E13" i="211"/>
  <c r="E61" i="200" s="1"/>
  <c r="V19" i="125"/>
  <c r="V8" i="120"/>
  <c r="AE91" i="206"/>
  <c r="AD31" i="206"/>
  <c r="AD27" i="206"/>
  <c r="AE87" i="206"/>
  <c r="K50" i="127"/>
  <c r="AE90" i="206"/>
  <c r="AD30" i="206"/>
  <c r="L59" i="93"/>
  <c r="L59" i="127" s="1"/>
  <c r="L43" i="93"/>
  <c r="L43" i="127" s="1"/>
  <c r="AL18" i="129"/>
  <c r="AF92" i="114"/>
  <c r="AE32" i="114"/>
  <c r="AE71" i="206"/>
  <c r="AD11" i="206"/>
  <c r="L33" i="93"/>
  <c r="L39" i="93"/>
  <c r="L39" i="127" s="1"/>
  <c r="L54" i="93"/>
  <c r="AD49" i="206"/>
  <c r="AE109" i="206"/>
  <c r="L58" i="93"/>
  <c r="AG7" i="114"/>
  <c r="AH67" i="114"/>
  <c r="AI67" i="114" s="1"/>
  <c r="AJ67" i="114" s="1"/>
  <c r="AK67" i="114" s="1"/>
  <c r="E7" i="207"/>
  <c r="AD24" i="206"/>
  <c r="AE84" i="206"/>
  <c r="V15" i="112"/>
  <c r="J59" i="211"/>
  <c r="V61" i="125"/>
  <c r="V15" i="120"/>
  <c r="V15" i="125" s="1"/>
  <c r="AE112" i="206"/>
  <c r="AD52" i="206"/>
  <c r="L60" i="93"/>
  <c r="AD23" i="206"/>
  <c r="AE83" i="206"/>
  <c r="AE92" i="206"/>
  <c r="AD32" i="206"/>
  <c r="AD38" i="206"/>
  <c r="AE98" i="206"/>
  <c r="AE73" i="206"/>
  <c r="AD13" i="206"/>
  <c r="AD7" i="206"/>
  <c r="AE67" i="206"/>
  <c r="AE93" i="206"/>
  <c r="AD33" i="206"/>
  <c r="L50" i="93"/>
  <c r="L50" i="127" s="1"/>
  <c r="AC48" i="206"/>
  <c r="L27" i="93"/>
  <c r="L62" i="93"/>
  <c r="L30" i="93"/>
  <c r="L53" i="93"/>
  <c r="L53" i="127" s="1"/>
  <c r="E87" i="207"/>
  <c r="E8" i="211"/>
  <c r="E56" i="200" s="1"/>
  <c r="AE106" i="206"/>
  <c r="AD46" i="206"/>
  <c r="V16" i="112"/>
  <c r="J62" i="211"/>
  <c r="AC51" i="206"/>
  <c r="V11" i="120"/>
  <c r="V11" i="125" s="1"/>
  <c r="V35" i="125"/>
  <c r="V10" i="120"/>
  <c r="V10" i="125" s="1"/>
  <c r="V29" i="125"/>
  <c r="V14" i="120"/>
  <c r="V14" i="125" s="1"/>
  <c r="V55" i="125"/>
  <c r="V49" i="185"/>
  <c r="K121" i="121" s="1"/>
  <c r="K121" i="124" s="1"/>
  <c r="V37" i="178"/>
  <c r="J109" i="121" s="1"/>
  <c r="J109" i="124" s="1"/>
  <c r="E14" i="211"/>
  <c r="E62" i="200" s="1"/>
  <c r="GE5" i="129"/>
  <c r="V18" i="111"/>
  <c r="FI28" i="129"/>
  <c r="FI31" i="129"/>
  <c r="FI37" i="129"/>
  <c r="FI41" i="129"/>
  <c r="FI63" i="129"/>
  <c r="FI62" i="129"/>
  <c r="FI58" i="129"/>
  <c r="FI67" i="129"/>
  <c r="FI50" i="129"/>
  <c r="FI34" i="129"/>
  <c r="FI45" i="129"/>
  <c r="FA23" i="129"/>
  <c r="FA19" i="129"/>
  <c r="J99" i="205"/>
  <c r="E128" i="207"/>
  <c r="E11" i="207"/>
  <c r="E99" i="205"/>
  <c r="Y41" i="92"/>
  <c r="FV5" i="129" s="1"/>
  <c r="FV36" i="129" s="1"/>
  <c r="E87" i="211"/>
  <c r="E7" i="211"/>
  <c r="E55" i="200" s="1"/>
  <c r="E125" i="207"/>
  <c r="E10" i="207"/>
  <c r="E125" i="205"/>
  <c r="E8" i="207"/>
  <c r="E13" i="207"/>
  <c r="E93" i="207"/>
  <c r="E12" i="207"/>
  <c r="E119" i="207"/>
  <c r="E106" i="207"/>
  <c r="U18" i="111"/>
  <c r="FI32" i="129"/>
  <c r="FI49" i="129"/>
  <c r="FI27" i="129"/>
  <c r="FI52" i="129"/>
  <c r="FI22" i="129"/>
  <c r="FI44" i="129"/>
  <c r="FI51" i="129"/>
  <c r="FI56" i="129"/>
  <c r="FI26" i="129"/>
  <c r="FI48" i="129"/>
  <c r="FI66" i="129"/>
  <c r="FI60" i="129"/>
  <c r="FI65" i="129"/>
  <c r="FI38" i="129"/>
  <c r="FI25" i="129"/>
  <c r="FI59" i="129"/>
  <c r="FI21" i="129"/>
  <c r="FI46" i="129"/>
  <c r="FI33" i="129"/>
  <c r="FI54" i="129"/>
  <c r="FI36" i="129"/>
  <c r="FI53" i="129"/>
  <c r="FI43" i="129"/>
  <c r="FI30" i="129"/>
  <c r="FI40" i="129"/>
  <c r="FA29" i="129"/>
  <c r="FA47" i="129"/>
  <c r="FA61" i="129"/>
  <c r="FA35" i="129"/>
  <c r="FA42" i="129"/>
  <c r="FA55" i="129"/>
  <c r="FA64" i="129"/>
  <c r="J19" i="127"/>
  <c r="J80" i="205"/>
  <c r="T18" i="112"/>
  <c r="AC7" i="129"/>
  <c r="AC6" i="129" s="1"/>
  <c r="AC1" i="129" s="1"/>
  <c r="V35" i="178"/>
  <c r="J107" i="121" s="1"/>
  <c r="J107" i="124" s="1"/>
  <c r="J47" i="127"/>
  <c r="V61" i="178"/>
  <c r="J133" i="121" s="1"/>
  <c r="J133" i="124" s="1"/>
  <c r="J87" i="205"/>
  <c r="J74" i="205"/>
  <c r="J76" i="205"/>
  <c r="J125" i="207"/>
  <c r="J13" i="207"/>
  <c r="J93" i="207"/>
  <c r="J8" i="207"/>
  <c r="J83" i="207"/>
  <c r="J6" i="207"/>
  <c r="J7" i="207"/>
  <c r="J87" i="207"/>
  <c r="J106" i="207"/>
  <c r="J10" i="207"/>
  <c r="J111" i="207"/>
  <c r="J11" i="207"/>
  <c r="J119" i="207"/>
  <c r="J12" i="207"/>
  <c r="J99" i="207"/>
  <c r="J9" i="207"/>
  <c r="U18" i="112"/>
  <c r="J128" i="207"/>
  <c r="J14" i="207"/>
  <c r="G40" i="200"/>
  <c r="G41" i="200"/>
  <c r="G38" i="200"/>
  <c r="G44" i="200"/>
  <c r="G46" i="200"/>
  <c r="G39" i="200"/>
  <c r="G42" i="200"/>
  <c r="E75" i="207"/>
  <c r="E25" i="200"/>
  <c r="G43" i="200"/>
  <c r="G45" i="200"/>
  <c r="E87" i="205"/>
  <c r="FZ47" i="129"/>
  <c r="FZ42" i="129"/>
  <c r="T65" i="131"/>
  <c r="G71" i="207"/>
  <c r="G4" i="207"/>
  <c r="E78" i="205"/>
  <c r="E119" i="205"/>
  <c r="FT28" i="129"/>
  <c r="E73" i="205"/>
  <c r="FT30" i="129"/>
  <c r="T29" i="131" s="1"/>
  <c r="FT49" i="129"/>
  <c r="FT67" i="129"/>
  <c r="FT54" i="129"/>
  <c r="FT59" i="129"/>
  <c r="FT24" i="129"/>
  <c r="FT34" i="129"/>
  <c r="FT36" i="129"/>
  <c r="EU1" i="129"/>
  <c r="ER20" i="129"/>
  <c r="E72" i="205"/>
  <c r="E83" i="205"/>
  <c r="E80" i="205"/>
  <c r="E77" i="205"/>
  <c r="E128" i="205"/>
  <c r="E111" i="205"/>
  <c r="E79" i="205"/>
  <c r="E76" i="205"/>
  <c r="J73" i="205"/>
  <c r="J75" i="205"/>
  <c r="J72" i="205"/>
  <c r="J78" i="205"/>
  <c r="J77" i="205"/>
  <c r="FT62" i="129"/>
  <c r="FT56" i="129"/>
  <c r="FT63" i="129"/>
  <c r="FT52" i="129"/>
  <c r="FT20" i="129"/>
  <c r="FT38" i="129"/>
  <c r="FT31" i="129"/>
  <c r="FT27" i="129"/>
  <c r="FT57" i="129"/>
  <c r="FT53" i="129"/>
  <c r="FT39" i="129"/>
  <c r="FT48" i="129"/>
  <c r="FT46" i="129"/>
  <c r="FT22" i="129"/>
  <c r="FT65" i="129"/>
  <c r="FT40" i="129"/>
  <c r="FT50" i="129"/>
  <c r="FS5" i="129"/>
  <c r="FR5" i="129" s="1"/>
  <c r="FT43" i="129"/>
  <c r="FT41" i="129"/>
  <c r="FT60" i="129"/>
  <c r="FT58" i="129"/>
  <c r="FT51" i="129"/>
  <c r="FT32" i="129"/>
  <c r="FT45" i="129"/>
  <c r="FT44" i="129"/>
  <c r="FT21" i="129"/>
  <c r="FT37" i="129"/>
  <c r="FT25" i="129"/>
  <c r="FT26" i="129"/>
  <c r="FT33" i="129"/>
  <c r="Y63" i="92"/>
  <c r="AG112" i="114"/>
  <c r="AH112" i="114" s="1"/>
  <c r="AI112" i="114" s="1"/>
  <c r="AJ112" i="114" s="1"/>
  <c r="AK112" i="114" s="1"/>
  <c r="AF52" i="114"/>
  <c r="E106" i="205"/>
  <c r="J15" i="93"/>
  <c r="J15" i="127" s="1"/>
  <c r="AI5" i="114"/>
  <c r="E93" i="205"/>
  <c r="T18" i="111"/>
  <c r="DW61" i="129"/>
  <c r="DW15" i="129" s="1"/>
  <c r="J16" i="93"/>
  <c r="J16" i="127" s="1"/>
  <c r="CJ18" i="129"/>
  <c r="CJ17" i="129" s="1"/>
  <c r="J29" i="127"/>
  <c r="J11" i="93"/>
  <c r="J11" i="127" s="1"/>
  <c r="FK22" i="129"/>
  <c r="FK24" i="129"/>
  <c r="FK33" i="129"/>
  <c r="FK28" i="129"/>
  <c r="FK48" i="129"/>
  <c r="FK60" i="129"/>
  <c r="FK59" i="129"/>
  <c r="FK58" i="129"/>
  <c r="FK56" i="129"/>
  <c r="FK57" i="129"/>
  <c r="FK62" i="129"/>
  <c r="FK53" i="129"/>
  <c r="FK38" i="129"/>
  <c r="FK65" i="129"/>
  <c r="FK54" i="129"/>
  <c r="FK27" i="129"/>
  <c r="FK45" i="129"/>
  <c r="FK25" i="129"/>
  <c r="FK46" i="129"/>
  <c r="FK63" i="129"/>
  <c r="FK31" i="129"/>
  <c r="FK51" i="129"/>
  <c r="FK26" i="129"/>
  <c r="FK39" i="129"/>
  <c r="FK21" i="129"/>
  <c r="FK37" i="129"/>
  <c r="FK67" i="129"/>
  <c r="FK32" i="129"/>
  <c r="FK44" i="129"/>
  <c r="FK30" i="129"/>
  <c r="FK20" i="129"/>
  <c r="FK66" i="129"/>
  <c r="FK49" i="129"/>
  <c r="FK40" i="129"/>
  <c r="FK41" i="129"/>
  <c r="FK43" i="129"/>
  <c r="FK36" i="129"/>
  <c r="FK52" i="129"/>
  <c r="FK34" i="129"/>
  <c r="FK50" i="129"/>
  <c r="ER28" i="129"/>
  <c r="ER62" i="129"/>
  <c r="ER30" i="129"/>
  <c r="ER51" i="129"/>
  <c r="ER54" i="129"/>
  <c r="ER49" i="129"/>
  <c r="ER48" i="129"/>
  <c r="ER45" i="129"/>
  <c r="ER26" i="129"/>
  <c r="ER38" i="129"/>
  <c r="ER36" i="129"/>
  <c r="ER34" i="129"/>
  <c r="ER39" i="129"/>
  <c r="ER32" i="129"/>
  <c r="ER59" i="129"/>
  <c r="ER58" i="129"/>
  <c r="ER56" i="129"/>
  <c r="ER46" i="129"/>
  <c r="ER53" i="129"/>
  <c r="ER57" i="129"/>
  <c r="ER31" i="129"/>
  <c r="ER40" i="129"/>
  <c r="ER52" i="129"/>
  <c r="ER21" i="129"/>
  <c r="ER60" i="129"/>
  <c r="ER50" i="129"/>
  <c r="ER65" i="129"/>
  <c r="ER43" i="129"/>
  <c r="ER41" i="129"/>
  <c r="ER22" i="129"/>
  <c r="ER24" i="129"/>
  <c r="ER27" i="129"/>
  <c r="ER67" i="129"/>
  <c r="ER37" i="129"/>
  <c r="ER25" i="129"/>
  <c r="ER33" i="129"/>
  <c r="ER44" i="129"/>
  <c r="ER66" i="129"/>
  <c r="ER63" i="129"/>
  <c r="J71" i="192"/>
  <c r="E93" i="194"/>
  <c r="E99" i="194"/>
  <c r="E119" i="194"/>
  <c r="E106" i="194"/>
  <c r="E87" i="194"/>
  <c r="E83" i="194"/>
  <c r="S18" i="111"/>
  <c r="E128" i="194"/>
  <c r="E125" i="194"/>
  <c r="E111" i="194"/>
  <c r="J14" i="93"/>
  <c r="J14" i="127" s="1"/>
  <c r="DK42" i="129"/>
  <c r="DU42" i="129"/>
  <c r="DU61" i="129"/>
  <c r="DU19" i="129"/>
  <c r="DK23" i="129"/>
  <c r="DK19" i="129"/>
  <c r="DU35" i="129"/>
  <c r="DU23" i="129"/>
  <c r="DU29" i="129"/>
  <c r="DU55" i="129"/>
  <c r="DU47" i="129"/>
  <c r="DU64" i="129"/>
  <c r="DK29" i="129"/>
  <c r="DK64" i="129"/>
  <c r="DK35" i="129"/>
  <c r="DK47" i="129"/>
  <c r="DK61" i="129"/>
  <c r="DK55" i="129"/>
  <c r="V19" i="178"/>
  <c r="J91" i="121" s="1"/>
  <c r="J91" i="124" s="1"/>
  <c r="V57" i="178"/>
  <c r="J129" i="121" s="1"/>
  <c r="J129" i="124" s="1"/>
  <c r="V5" i="153"/>
  <c r="C77" i="121" s="1"/>
  <c r="C77" i="124" s="1"/>
  <c r="U4" i="186"/>
  <c r="U4" i="185"/>
  <c r="AV18" i="129"/>
  <c r="AV17" i="129" s="1"/>
  <c r="DX18" i="129"/>
  <c r="Q7" i="129"/>
  <c r="Q6" i="129" s="1"/>
  <c r="Q1" i="129" s="1"/>
  <c r="Q17" i="129"/>
  <c r="S17" i="129"/>
  <c r="S7" i="129"/>
  <c r="S6" i="129" s="1"/>
  <c r="S1" i="129" s="1"/>
  <c r="DN18" i="129"/>
  <c r="DM55" i="129"/>
  <c r="DM14" i="129" s="1"/>
  <c r="DM19" i="129"/>
  <c r="DM8" i="129" s="1"/>
  <c r="DM64" i="129"/>
  <c r="DM16" i="129" s="1"/>
  <c r="AD16" i="114"/>
  <c r="AE40" i="114"/>
  <c r="AE35" i="114"/>
  <c r="AG74" i="114"/>
  <c r="AH74" i="114" s="1"/>
  <c r="AI74" i="114" s="1"/>
  <c r="AJ74" i="114" s="1"/>
  <c r="AK74" i="114" s="1"/>
  <c r="AE37" i="114"/>
  <c r="AE23" i="114"/>
  <c r="AE31" i="114"/>
  <c r="AE39" i="114"/>
  <c r="AE25" i="114"/>
  <c r="AE21" i="114"/>
  <c r="AG54" i="114"/>
  <c r="AE20" i="114"/>
  <c r="AG88" i="114"/>
  <c r="AH88" i="114" s="1"/>
  <c r="AI88" i="114" s="1"/>
  <c r="AJ88" i="114" s="1"/>
  <c r="AK88" i="114" s="1"/>
  <c r="AF28" i="114"/>
  <c r="AC4" i="114"/>
  <c r="M31" i="93" s="1"/>
  <c r="AD22" i="114"/>
  <c r="DW42" i="129"/>
  <c r="DW12" i="129" s="1"/>
  <c r="DO42" i="129"/>
  <c r="DO12" i="129" s="1"/>
  <c r="DO29" i="129"/>
  <c r="DO10" i="129" s="1"/>
  <c r="DO19" i="129"/>
  <c r="DO8" i="129" s="1"/>
  <c r="DM29" i="129"/>
  <c r="DM10" i="129" s="1"/>
  <c r="DO35" i="129"/>
  <c r="DO11" i="129" s="1"/>
  <c r="DM47" i="129"/>
  <c r="DM13" i="129" s="1"/>
  <c r="DO55" i="129"/>
  <c r="DO14" i="129" s="1"/>
  <c r="DM35" i="129"/>
  <c r="DM11" i="129" s="1"/>
  <c r="DY47" i="129"/>
  <c r="DY13" i="129" s="1"/>
  <c r="DY42" i="129"/>
  <c r="DY12" i="129" s="1"/>
  <c r="DW29" i="129"/>
  <c r="DW10" i="129" s="1"/>
  <c r="DY29" i="129"/>
  <c r="DY10" i="129" s="1"/>
  <c r="DW55" i="129"/>
  <c r="DW14" i="129" s="1"/>
  <c r="DY64" i="129"/>
  <c r="DY16" i="129" s="1"/>
  <c r="DM23" i="129"/>
  <c r="DM9" i="129" s="1"/>
  <c r="DM61" i="129"/>
  <c r="DM15" i="129" s="1"/>
  <c r="DM42" i="129"/>
  <c r="DM12" i="129" s="1"/>
  <c r="DY35" i="129"/>
  <c r="DY11" i="129" s="1"/>
  <c r="DW23" i="129"/>
  <c r="DW9" i="129" s="1"/>
  <c r="DW64" i="129"/>
  <c r="DW16" i="129" s="1"/>
  <c r="DY55" i="129"/>
  <c r="DY14" i="129" s="1"/>
  <c r="DW19" i="129"/>
  <c r="DW8" i="129" s="1"/>
  <c r="DY61" i="129"/>
  <c r="DY15" i="129" s="1"/>
  <c r="DO64" i="129"/>
  <c r="DO16" i="129" s="1"/>
  <c r="DO61" i="129"/>
  <c r="DO15" i="129" s="1"/>
  <c r="DO47" i="129"/>
  <c r="DO13" i="129" s="1"/>
  <c r="DY19" i="129"/>
  <c r="DY8" i="129" s="1"/>
  <c r="DW47" i="129"/>
  <c r="DW13" i="129" s="1"/>
  <c r="DY23" i="129"/>
  <c r="DY9" i="129" s="1"/>
  <c r="DW35" i="129"/>
  <c r="DW11" i="129" s="1"/>
  <c r="DO23" i="129"/>
  <c r="DO9" i="129" s="1"/>
  <c r="J82" i="194"/>
  <c r="U56" i="190"/>
  <c r="U26" i="190"/>
  <c r="U29" i="190"/>
  <c r="U51" i="190"/>
  <c r="U49" i="190"/>
  <c r="U55" i="190"/>
  <c r="U36" i="190"/>
  <c r="U43" i="190"/>
  <c r="U32" i="190"/>
  <c r="U48" i="190"/>
  <c r="U38" i="190"/>
  <c r="U25" i="190"/>
  <c r="U65" i="190"/>
  <c r="U39" i="190"/>
  <c r="U35" i="190"/>
  <c r="U19" i="190"/>
  <c r="U37" i="190"/>
  <c r="U42" i="190"/>
  <c r="U20" i="190"/>
  <c r="U47" i="190"/>
  <c r="U31" i="190"/>
  <c r="U58" i="190"/>
  <c r="U50" i="190"/>
  <c r="U30" i="190"/>
  <c r="U64" i="190"/>
  <c r="U44" i="190"/>
  <c r="U23" i="190"/>
  <c r="U61" i="190"/>
  <c r="U52" i="190"/>
  <c r="U57" i="190"/>
  <c r="U24" i="190"/>
  <c r="AG93" i="114"/>
  <c r="AH93" i="114" s="1"/>
  <c r="AI93" i="114" s="1"/>
  <c r="AJ93" i="114" s="1"/>
  <c r="AK93" i="114" s="1"/>
  <c r="AF33" i="114"/>
  <c r="AG86" i="114"/>
  <c r="AF26" i="114"/>
  <c r="AH27" i="114"/>
  <c r="G71" i="194"/>
  <c r="AG96" i="114"/>
  <c r="AH96" i="114" s="1"/>
  <c r="AI96" i="114" s="1"/>
  <c r="AJ96" i="114" s="1"/>
  <c r="AK96" i="114" s="1"/>
  <c r="AF36" i="114"/>
  <c r="E71" i="190"/>
  <c r="J70" i="191"/>
  <c r="AG84" i="114"/>
  <c r="AH84" i="114" s="1"/>
  <c r="AI84" i="114" s="1"/>
  <c r="AJ84" i="114" s="1"/>
  <c r="AK84" i="114" s="1"/>
  <c r="AF24" i="114"/>
  <c r="AG79" i="114"/>
  <c r="AH79" i="114" s="1"/>
  <c r="AI79" i="114" s="1"/>
  <c r="AJ79" i="114" s="1"/>
  <c r="AK79" i="114" s="1"/>
  <c r="AF19" i="114"/>
  <c r="AG77" i="114"/>
  <c r="AH77" i="114" s="1"/>
  <c r="AI77" i="114" s="1"/>
  <c r="AJ77" i="114" s="1"/>
  <c r="AK77" i="114" s="1"/>
  <c r="AF17" i="114"/>
  <c r="AG78" i="114"/>
  <c r="AH78" i="114" s="1"/>
  <c r="AI78" i="114" s="1"/>
  <c r="AJ78" i="114" s="1"/>
  <c r="AK78" i="114" s="1"/>
  <c r="AF18" i="114"/>
  <c r="AD42" i="114"/>
  <c r="AD48" i="114"/>
  <c r="AE15" i="114"/>
  <c r="AG75" i="114"/>
  <c r="AH75" i="114" s="1"/>
  <c r="AI75" i="114" s="1"/>
  <c r="AJ75" i="114" s="1"/>
  <c r="AK75" i="114" s="1"/>
  <c r="AG73" i="114"/>
  <c r="AH73" i="114" s="1"/>
  <c r="AI73" i="114" s="1"/>
  <c r="AJ73" i="114" s="1"/>
  <c r="AK73" i="114" s="1"/>
  <c r="AE13" i="114"/>
  <c r="AE43" i="114"/>
  <c r="AG103" i="114"/>
  <c r="AH103" i="114" s="1"/>
  <c r="AI103" i="114" s="1"/>
  <c r="AJ103" i="114" s="1"/>
  <c r="AK103" i="114" s="1"/>
  <c r="AG71" i="114"/>
  <c r="AH71" i="114" s="1"/>
  <c r="AI71" i="114" s="1"/>
  <c r="AJ71" i="114" s="1"/>
  <c r="AK71" i="114" s="1"/>
  <c r="AE11" i="114"/>
  <c r="D6" i="127"/>
  <c r="D5" i="127" s="1"/>
  <c r="D72" i="127" s="1"/>
  <c r="D4" i="152"/>
  <c r="AE7" i="114"/>
  <c r="AD10" i="114"/>
  <c r="D4" i="151"/>
  <c r="E6" i="127"/>
  <c r="E5" i="127" s="1"/>
  <c r="E72" i="127" s="1"/>
  <c r="AG109" i="114"/>
  <c r="AH109" i="114" s="1"/>
  <c r="AI109" i="114" s="1"/>
  <c r="AJ109" i="114" s="1"/>
  <c r="AK109" i="114" s="1"/>
  <c r="AE49" i="114"/>
  <c r="AE9" i="114"/>
  <c r="AG69" i="114"/>
  <c r="AH69" i="114" s="1"/>
  <c r="AI69" i="114" s="1"/>
  <c r="AJ69" i="114" s="1"/>
  <c r="AK69" i="114" s="1"/>
  <c r="AG106" i="114"/>
  <c r="AH106" i="114" s="1"/>
  <c r="AI106" i="114" s="1"/>
  <c r="AJ106" i="114" s="1"/>
  <c r="AK106" i="114" s="1"/>
  <c r="AE46" i="114"/>
  <c r="AE14" i="114"/>
  <c r="AG72" i="114"/>
  <c r="AH72" i="114" s="1"/>
  <c r="AI72" i="114" s="1"/>
  <c r="AJ72" i="114" s="1"/>
  <c r="AK72" i="114" s="1"/>
  <c r="AE12" i="114"/>
  <c r="AD6" i="114"/>
  <c r="AG105" i="114"/>
  <c r="AH105" i="114" s="1"/>
  <c r="AI105" i="114" s="1"/>
  <c r="AJ105" i="114" s="1"/>
  <c r="AK105" i="114" s="1"/>
  <c r="AE45" i="114"/>
  <c r="AG107" i="114"/>
  <c r="AH107" i="114" s="1"/>
  <c r="AI107" i="114" s="1"/>
  <c r="AJ107" i="114" s="1"/>
  <c r="AK107" i="114" s="1"/>
  <c r="AE47" i="114"/>
  <c r="AG104" i="114"/>
  <c r="AH104" i="114" s="1"/>
  <c r="AI104" i="114" s="1"/>
  <c r="AJ104" i="114" s="1"/>
  <c r="AK104" i="114" s="1"/>
  <c r="AE44" i="114"/>
  <c r="AG110" i="114"/>
  <c r="AH110" i="114" s="1"/>
  <c r="AI110" i="114" s="1"/>
  <c r="AJ110" i="114" s="1"/>
  <c r="AK110" i="114" s="1"/>
  <c r="AE50" i="114"/>
  <c r="C6" i="127"/>
  <c r="C5" i="127" s="1"/>
  <c r="C72" i="127" s="1"/>
  <c r="D4" i="153"/>
  <c r="AG68" i="114"/>
  <c r="AH68" i="114" s="1"/>
  <c r="AI68" i="114" s="1"/>
  <c r="AJ68" i="114" s="1"/>
  <c r="AK68" i="114" s="1"/>
  <c r="AE8" i="114"/>
  <c r="O15" i="120"/>
  <c r="U13" i="189" s="1"/>
  <c r="U59" i="189"/>
  <c r="O9" i="120"/>
  <c r="U7" i="189" s="1"/>
  <c r="U21" i="189"/>
  <c r="P47" i="120"/>
  <c r="U46" i="190"/>
  <c r="U45" i="189"/>
  <c r="O13" i="120"/>
  <c r="U11" i="189" s="1"/>
  <c r="O12" i="120"/>
  <c r="U10" i="189" s="1"/>
  <c r="U40" i="189"/>
  <c r="U41" i="190"/>
  <c r="P42" i="120"/>
  <c r="U22" i="190"/>
  <c r="P23" i="120"/>
  <c r="P64" i="120"/>
  <c r="U63" i="190"/>
  <c r="O10" i="120"/>
  <c r="U8" i="189" s="1"/>
  <c r="U27" i="189"/>
  <c r="P19" i="120"/>
  <c r="U18" i="190"/>
  <c r="Q63" i="120"/>
  <c r="T61" i="191" s="1"/>
  <c r="Q39" i="120"/>
  <c r="T37" i="191" s="1"/>
  <c r="Q37" i="120"/>
  <c r="T35" i="191" s="1"/>
  <c r="Q40" i="120"/>
  <c r="T38" i="191" s="1"/>
  <c r="Q30" i="120"/>
  <c r="Q58" i="120"/>
  <c r="T56" i="191" s="1"/>
  <c r="Q48" i="120"/>
  <c r="Q67" i="120"/>
  <c r="T65" i="191" s="1"/>
  <c r="Q34" i="120"/>
  <c r="T32" i="191" s="1"/>
  <c r="Q49" i="120"/>
  <c r="T47" i="191" s="1"/>
  <c r="Q26" i="120"/>
  <c r="T24" i="191" s="1"/>
  <c r="Q32" i="120"/>
  <c r="T30" i="191" s="1"/>
  <c r="Q33" i="120"/>
  <c r="T31" i="191" s="1"/>
  <c r="Q43" i="120"/>
  <c r="Q56" i="120"/>
  <c r="Q24" i="120"/>
  <c r="Q60" i="120"/>
  <c r="T58" i="191" s="1"/>
  <c r="Q28" i="120"/>
  <c r="T26" i="191" s="1"/>
  <c r="Q46" i="120"/>
  <c r="T44" i="191" s="1"/>
  <c r="Q50" i="120"/>
  <c r="T48" i="191" s="1"/>
  <c r="Q38" i="120"/>
  <c r="T36" i="191" s="1"/>
  <c r="Q57" i="120"/>
  <c r="T55" i="191" s="1"/>
  <c r="Q62" i="120"/>
  <c r="Q25" i="120"/>
  <c r="T23" i="191" s="1"/>
  <c r="Q31" i="120"/>
  <c r="T29" i="191" s="1"/>
  <c r="Q20" i="120"/>
  <c r="Q53" i="120"/>
  <c r="T51" i="191" s="1"/>
  <c r="Q59" i="120"/>
  <c r="T57" i="191" s="1"/>
  <c r="Q27" i="120"/>
  <c r="T25" i="191" s="1"/>
  <c r="Q65" i="120"/>
  <c r="Q45" i="120"/>
  <c r="T43" i="191" s="1"/>
  <c r="Q22" i="120"/>
  <c r="T20" i="191" s="1"/>
  <c r="Q41" i="120"/>
  <c r="T39" i="191" s="1"/>
  <c r="Q54" i="120"/>
  <c r="T52" i="191" s="1"/>
  <c r="Q51" i="120"/>
  <c r="T49" i="191" s="1"/>
  <c r="Q66" i="120"/>
  <c r="T64" i="191" s="1"/>
  <c r="Q44" i="120"/>
  <c r="T42" i="191" s="1"/>
  <c r="Q52" i="120"/>
  <c r="T50" i="191" s="1"/>
  <c r="Q36" i="120"/>
  <c r="Q21" i="120"/>
  <c r="T19" i="191" s="1"/>
  <c r="U53" i="189"/>
  <c r="O14" i="120"/>
  <c r="U12" i="189" s="1"/>
  <c r="M7" i="120"/>
  <c r="P35" i="120"/>
  <c r="U34" i="190"/>
  <c r="P61" i="120"/>
  <c r="U60" i="190"/>
  <c r="P55" i="120"/>
  <c r="U54" i="190"/>
  <c r="O16" i="120"/>
  <c r="U14" i="189" s="1"/>
  <c r="U62" i="189"/>
  <c r="N18" i="120"/>
  <c r="N17" i="120" s="1"/>
  <c r="U6" i="188"/>
  <c r="O11" i="120"/>
  <c r="U9" i="189" s="1"/>
  <c r="U33" i="189"/>
  <c r="U28" i="190"/>
  <c r="P29" i="120"/>
  <c r="U17" i="189"/>
  <c r="O8" i="120"/>
  <c r="J132" i="121"/>
  <c r="J132" i="124" s="1"/>
  <c r="J95" i="121"/>
  <c r="J95" i="124" s="1"/>
  <c r="J116" i="121"/>
  <c r="J116" i="124" s="1"/>
  <c r="J136" i="121"/>
  <c r="J136" i="124" s="1"/>
  <c r="J94" i="121"/>
  <c r="J94" i="124" s="1"/>
  <c r="J106" i="121"/>
  <c r="J106" i="124" s="1"/>
  <c r="H78" i="121"/>
  <c r="H78" i="124" s="1"/>
  <c r="I99" i="121"/>
  <c r="I99" i="124" s="1"/>
  <c r="J123" i="121"/>
  <c r="J123" i="124" s="1"/>
  <c r="J102" i="121"/>
  <c r="J102" i="124" s="1"/>
  <c r="G88" i="121"/>
  <c r="G88" i="124" s="1"/>
  <c r="V25" i="185"/>
  <c r="V51" i="185"/>
  <c r="V20" i="185"/>
  <c r="V12" i="177"/>
  <c r="J103" i="121"/>
  <c r="J103" i="124" s="1"/>
  <c r="AG101" i="114"/>
  <c r="AH101" i="114" s="1"/>
  <c r="AI101" i="114" s="1"/>
  <c r="AJ101" i="114" s="1"/>
  <c r="AK101" i="114" s="1"/>
  <c r="AE41" i="114"/>
  <c r="K124" i="121"/>
  <c r="K124" i="124" s="1"/>
  <c r="J92" i="121"/>
  <c r="J92" i="124" s="1"/>
  <c r="J130" i="121"/>
  <c r="J130" i="124" s="1"/>
  <c r="J101" i="121"/>
  <c r="J101" i="124" s="1"/>
  <c r="AG98" i="114"/>
  <c r="AH98" i="114" s="1"/>
  <c r="AI98" i="114" s="1"/>
  <c r="AJ98" i="114" s="1"/>
  <c r="AK98" i="114" s="1"/>
  <c r="AE38" i="114"/>
  <c r="I131" i="121"/>
  <c r="I131" i="124" s="1"/>
  <c r="V13" i="177"/>
  <c r="D4" i="157"/>
  <c r="G6" i="127"/>
  <c r="G5" i="127" s="1"/>
  <c r="G72" i="127" s="1"/>
  <c r="V50" i="185"/>
  <c r="V56" i="185"/>
  <c r="V47" i="185"/>
  <c r="V39" i="185"/>
  <c r="V28" i="185"/>
  <c r="V23" i="185"/>
  <c r="V31" i="185"/>
  <c r="V18" i="185"/>
  <c r="V54" i="185"/>
  <c r="J100" i="121"/>
  <c r="J100" i="124" s="1"/>
  <c r="H81" i="121"/>
  <c r="H81" i="124" s="1"/>
  <c r="V42" i="185"/>
  <c r="V60" i="185"/>
  <c r="J122" i="121"/>
  <c r="J122" i="124" s="1"/>
  <c r="J98" i="121"/>
  <c r="J98" i="124" s="1"/>
  <c r="H82" i="121"/>
  <c r="H82" i="124" s="1"/>
  <c r="F77" i="121"/>
  <c r="F77" i="124" s="1"/>
  <c r="H85" i="121"/>
  <c r="H85" i="124" s="1"/>
  <c r="H83" i="121"/>
  <c r="H83" i="124" s="1"/>
  <c r="J118" i="121"/>
  <c r="J118" i="124" s="1"/>
  <c r="J90" i="121"/>
  <c r="J90" i="124" s="1"/>
  <c r="J96" i="121"/>
  <c r="J96" i="124" s="1"/>
  <c r="I117" i="121"/>
  <c r="I117" i="124" s="1"/>
  <c r="V24" i="185"/>
  <c r="V10" i="177"/>
  <c r="J110" i="121"/>
  <c r="J110" i="124" s="1"/>
  <c r="J127" i="121"/>
  <c r="J127" i="124" s="1"/>
  <c r="J128" i="121"/>
  <c r="J128" i="124" s="1"/>
  <c r="H86" i="121"/>
  <c r="H86" i="124" s="1"/>
  <c r="V6" i="177"/>
  <c r="J124" i="121"/>
  <c r="J124" i="124" s="1"/>
  <c r="I134" i="121"/>
  <c r="I134" i="124" s="1"/>
  <c r="J8" i="127"/>
  <c r="J97" i="121"/>
  <c r="J97" i="124" s="1"/>
  <c r="J104" i="121"/>
  <c r="J104" i="124" s="1"/>
  <c r="J113" i="121"/>
  <c r="J113" i="124" s="1"/>
  <c r="H80" i="121"/>
  <c r="H80" i="124" s="1"/>
  <c r="AD34" i="114"/>
  <c r="H79" i="121"/>
  <c r="H79" i="124" s="1"/>
  <c r="V43" i="185"/>
  <c r="V65" i="185"/>
  <c r="V26" i="185"/>
  <c r="V30" i="185"/>
  <c r="J120" i="121"/>
  <c r="J120" i="124" s="1"/>
  <c r="V57" i="185"/>
  <c r="V19" i="185"/>
  <c r="V49" i="186"/>
  <c r="J46" i="212" l="1"/>
  <c r="J112" i="212" s="1"/>
  <c r="W47" i="112"/>
  <c r="J22" i="212"/>
  <c r="J88" i="212" s="1"/>
  <c r="W23" i="112"/>
  <c r="J41" i="212"/>
  <c r="J107" i="212" s="1"/>
  <c r="W42" i="112"/>
  <c r="J60" i="212"/>
  <c r="J126" i="212" s="1"/>
  <c r="W61" i="112"/>
  <c r="J18" i="212"/>
  <c r="J84" i="212" s="1"/>
  <c r="W19" i="112"/>
  <c r="J28" i="212"/>
  <c r="J94" i="212" s="1"/>
  <c r="W29" i="112"/>
  <c r="J54" i="212"/>
  <c r="J120" i="212" s="1"/>
  <c r="W55" i="112"/>
  <c r="J34" i="212"/>
  <c r="J100" i="212" s="1"/>
  <c r="W35" i="112"/>
  <c r="J63" i="212"/>
  <c r="J129" i="212" s="1"/>
  <c r="W64" i="112"/>
  <c r="X25" i="112"/>
  <c r="J23" i="213" s="1"/>
  <c r="J89" i="213" s="1"/>
  <c r="X36" i="112"/>
  <c r="X56" i="112"/>
  <c r="X22" i="112"/>
  <c r="J20" i="213" s="1"/>
  <c r="J86" i="213" s="1"/>
  <c r="X59" i="112"/>
  <c r="J57" i="213" s="1"/>
  <c r="J123" i="213" s="1"/>
  <c r="X24" i="112"/>
  <c r="X44" i="112"/>
  <c r="J42" i="213" s="1"/>
  <c r="J108" i="213" s="1"/>
  <c r="X57" i="112"/>
  <c r="J55" i="213" s="1"/>
  <c r="J121" i="213" s="1"/>
  <c r="X53" i="112"/>
  <c r="J51" i="213" s="1"/>
  <c r="J117" i="213" s="1"/>
  <c r="X20" i="112"/>
  <c r="X30" i="112"/>
  <c r="X28" i="112"/>
  <c r="J26" i="213" s="1"/>
  <c r="J92" i="213" s="1"/>
  <c r="X39" i="112"/>
  <c r="J37" i="213" s="1"/>
  <c r="J103" i="213" s="1"/>
  <c r="X48" i="112"/>
  <c r="X49" i="112"/>
  <c r="J47" i="213" s="1"/>
  <c r="J113" i="213" s="1"/>
  <c r="X26" i="112"/>
  <c r="J24" i="213" s="1"/>
  <c r="J90" i="213" s="1"/>
  <c r="X58" i="112"/>
  <c r="J56" i="213" s="1"/>
  <c r="J122" i="213" s="1"/>
  <c r="X34" i="112"/>
  <c r="J32" i="213" s="1"/>
  <c r="J98" i="213" s="1"/>
  <c r="X45" i="112"/>
  <c r="J43" i="213" s="1"/>
  <c r="J109" i="213" s="1"/>
  <c r="X66" i="112"/>
  <c r="J64" i="213" s="1"/>
  <c r="J130" i="213" s="1"/>
  <c r="X41" i="112"/>
  <c r="J39" i="213" s="1"/>
  <c r="J105" i="213" s="1"/>
  <c r="X32" i="112"/>
  <c r="J30" i="213" s="1"/>
  <c r="J96" i="213" s="1"/>
  <c r="X54" i="112"/>
  <c r="J52" i="213" s="1"/>
  <c r="J118" i="213" s="1"/>
  <c r="X51" i="112"/>
  <c r="J49" i="213" s="1"/>
  <c r="J115" i="213" s="1"/>
  <c r="X33" i="112"/>
  <c r="J31" i="213" s="1"/>
  <c r="J97" i="213" s="1"/>
  <c r="X65" i="112"/>
  <c r="X60" i="112"/>
  <c r="J58" i="213" s="1"/>
  <c r="J124" i="213" s="1"/>
  <c r="X43" i="112"/>
  <c r="X63" i="112"/>
  <c r="J61" i="213" s="1"/>
  <c r="J127" i="213" s="1"/>
  <c r="X38" i="112"/>
  <c r="J36" i="213" s="1"/>
  <c r="J102" i="213" s="1"/>
  <c r="X21" i="112"/>
  <c r="J19" i="213" s="1"/>
  <c r="J85" i="213" s="1"/>
  <c r="X52" i="112"/>
  <c r="J50" i="213" s="1"/>
  <c r="J116" i="213" s="1"/>
  <c r="X27" i="112"/>
  <c r="J25" i="213" s="1"/>
  <c r="J91" i="213" s="1"/>
  <c r="X31" i="112"/>
  <c r="J29" i="213" s="1"/>
  <c r="J95" i="213" s="1"/>
  <c r="X62" i="112"/>
  <c r="X37" i="112"/>
  <c r="J35" i="213" s="1"/>
  <c r="J101" i="213" s="1"/>
  <c r="X40" i="112"/>
  <c r="J38" i="213" s="1"/>
  <c r="J104" i="213" s="1"/>
  <c r="X67" i="112"/>
  <c r="J65" i="213" s="1"/>
  <c r="J131" i="213" s="1"/>
  <c r="X46" i="112"/>
  <c r="J44" i="213" s="1"/>
  <c r="J110" i="213" s="1"/>
  <c r="X50" i="112"/>
  <c r="J48" i="213" s="1"/>
  <c r="J114" i="213" s="1"/>
  <c r="E45" i="212"/>
  <c r="E10" i="211"/>
  <c r="E58" i="200" s="1"/>
  <c r="E8" i="213"/>
  <c r="E120" i="200" s="1"/>
  <c r="E75" i="213"/>
  <c r="E106" i="213"/>
  <c r="E12" i="213"/>
  <c r="E124" i="200" s="1"/>
  <c r="E125" i="213"/>
  <c r="E7" i="213"/>
  <c r="E73" i="213" s="1"/>
  <c r="E118" i="200"/>
  <c r="E72" i="213"/>
  <c r="E80" i="213"/>
  <c r="E126" i="200"/>
  <c r="E125" i="200"/>
  <c r="E79" i="213"/>
  <c r="E77" i="213"/>
  <c r="E123" i="200"/>
  <c r="E122" i="200"/>
  <c r="E76" i="213"/>
  <c r="X8" i="127"/>
  <c r="X18" i="111"/>
  <c r="E128" i="213"/>
  <c r="E111" i="213"/>
  <c r="E83" i="213"/>
  <c r="E99" i="213"/>
  <c r="E106" i="212"/>
  <c r="E111" i="212"/>
  <c r="E14" i="212"/>
  <c r="E80" i="212" s="1"/>
  <c r="EH19" i="129"/>
  <c r="EH8" i="129" s="1"/>
  <c r="CT17" i="129"/>
  <c r="EH64" i="129"/>
  <c r="EH16" i="129" s="1"/>
  <c r="E6" i="212"/>
  <c r="E72" i="212" s="1"/>
  <c r="EH61" i="129"/>
  <c r="EH15" i="129" s="1"/>
  <c r="E119" i="212"/>
  <c r="EH23" i="129"/>
  <c r="EH9" i="129" s="1"/>
  <c r="EH47" i="129"/>
  <c r="EH13" i="129" s="1"/>
  <c r="E10" i="212"/>
  <c r="E76" i="212" s="1"/>
  <c r="EH29" i="129"/>
  <c r="EH10" i="129" s="1"/>
  <c r="EH55" i="129"/>
  <c r="EH14" i="129" s="1"/>
  <c r="E8" i="212"/>
  <c r="E74" i="212" s="1"/>
  <c r="EH42" i="129"/>
  <c r="EH12" i="129" s="1"/>
  <c r="EH35" i="129"/>
  <c r="EH11" i="129" s="1"/>
  <c r="E87" i="212"/>
  <c r="E13" i="212"/>
  <c r="E93" i="200" s="1"/>
  <c r="DD7" i="129"/>
  <c r="DD6" i="129" s="1"/>
  <c r="DD1" i="129" s="1"/>
  <c r="E9" i="212"/>
  <c r="E75" i="212" s="1"/>
  <c r="E11" i="212"/>
  <c r="E91" i="200" s="1"/>
  <c r="W18" i="111"/>
  <c r="L41" i="127"/>
  <c r="M45" i="93"/>
  <c r="M45" i="127" s="1"/>
  <c r="V38" i="185"/>
  <c r="K110" i="121" s="1"/>
  <c r="K110" i="124" s="1"/>
  <c r="H6" i="212"/>
  <c r="F54" i="213"/>
  <c r="H14" i="212"/>
  <c r="F18" i="213"/>
  <c r="H9" i="212"/>
  <c r="H7" i="212"/>
  <c r="F46" i="213"/>
  <c r="F34" i="213"/>
  <c r="H11" i="212"/>
  <c r="F63" i="213"/>
  <c r="F60" i="213"/>
  <c r="H12" i="212"/>
  <c r="H8" i="212"/>
  <c r="F22" i="213"/>
  <c r="H13" i="212"/>
  <c r="H10" i="212"/>
  <c r="F41" i="213"/>
  <c r="F28" i="213"/>
  <c r="V59" i="185"/>
  <c r="V46" i="186"/>
  <c r="K15" i="93"/>
  <c r="K15" i="127" s="1"/>
  <c r="V40" i="178"/>
  <c r="J112" i="121" s="1"/>
  <c r="J112" i="124" s="1"/>
  <c r="V27" i="178"/>
  <c r="J99" i="121" s="1"/>
  <c r="J99" i="124" s="1"/>
  <c r="U18" i="120"/>
  <c r="U7" i="120" s="1"/>
  <c r="AB17" i="129"/>
  <c r="E79" i="207"/>
  <c r="W15" i="110"/>
  <c r="F27" i="212"/>
  <c r="F21" i="212"/>
  <c r="E74" i="207"/>
  <c r="W10" i="110"/>
  <c r="E77" i="207"/>
  <c r="W13" i="110"/>
  <c r="GN38" i="129"/>
  <c r="AB39" i="92"/>
  <c r="E80" i="207"/>
  <c r="W16" i="110"/>
  <c r="F33" i="212"/>
  <c r="F62" i="212"/>
  <c r="E23" i="200"/>
  <c r="E71" i="200" s="1"/>
  <c r="W9" i="110"/>
  <c r="F45" i="212"/>
  <c r="F17" i="212"/>
  <c r="F59" i="212"/>
  <c r="E78" i="207"/>
  <c r="W14" i="110"/>
  <c r="E78" i="212"/>
  <c r="E92" i="200"/>
  <c r="F53" i="212"/>
  <c r="F40" i="212"/>
  <c r="E73" i="212"/>
  <c r="E87" i="200"/>
  <c r="E76" i="207"/>
  <c r="W12" i="110"/>
  <c r="GO5" i="129"/>
  <c r="AB40" i="92"/>
  <c r="E72" i="207"/>
  <c r="W8" i="110"/>
  <c r="E94" i="200"/>
  <c r="V37" i="185"/>
  <c r="K109" i="121" s="1"/>
  <c r="K109" i="124" s="1"/>
  <c r="L44" i="127"/>
  <c r="V34" i="185"/>
  <c r="K106" i="121" s="1"/>
  <c r="K106" i="124" s="1"/>
  <c r="BZ7" i="129"/>
  <c r="BZ6" i="129" s="1"/>
  <c r="BZ1" i="129" s="1"/>
  <c r="M58" i="93"/>
  <c r="M58" i="127" s="1"/>
  <c r="V46" i="185"/>
  <c r="K118" i="121" s="1"/>
  <c r="K118" i="124" s="1"/>
  <c r="V45" i="185"/>
  <c r="L66" i="127"/>
  <c r="V63" i="185"/>
  <c r="K135" i="121" s="1"/>
  <c r="K135" i="124" s="1"/>
  <c r="V44" i="185"/>
  <c r="K116" i="121" s="1"/>
  <c r="K116" i="124" s="1"/>
  <c r="V16" i="170"/>
  <c r="H88" i="121" s="1"/>
  <c r="H88" i="124" s="1"/>
  <c r="V27" i="185"/>
  <c r="K9" i="93"/>
  <c r="K9" i="127" s="1"/>
  <c r="D67" i="170"/>
  <c r="D69" i="170" s="1"/>
  <c r="V53" i="178"/>
  <c r="J125" i="121" s="1"/>
  <c r="J125" i="124" s="1"/>
  <c r="M53" i="93"/>
  <c r="V9" i="177"/>
  <c r="I81" i="121" s="1"/>
  <c r="I81" i="124" s="1"/>
  <c r="V22" i="185"/>
  <c r="K94" i="121" s="1"/>
  <c r="K94" i="124" s="1"/>
  <c r="L33" i="127"/>
  <c r="V41" i="185"/>
  <c r="K113" i="121" s="1"/>
  <c r="K113" i="124" s="1"/>
  <c r="K42" i="127"/>
  <c r="V8" i="177"/>
  <c r="I80" i="121" s="1"/>
  <c r="I80" i="124" s="1"/>
  <c r="V61" i="185"/>
  <c r="K133" i="121" s="1"/>
  <c r="K133" i="124" s="1"/>
  <c r="K19" i="127"/>
  <c r="H7" i="129"/>
  <c r="H6" i="129" s="1"/>
  <c r="H1" i="129" s="1"/>
  <c r="R17" i="129"/>
  <c r="AD48" i="206"/>
  <c r="H27" i="211"/>
  <c r="H8" i="211" s="1"/>
  <c r="H56" i="200" s="1"/>
  <c r="H62" i="211"/>
  <c r="H14" i="211" s="1"/>
  <c r="H62" i="200" s="1"/>
  <c r="H59" i="211"/>
  <c r="H13" i="211" s="1"/>
  <c r="H61" i="200" s="1"/>
  <c r="H33" i="211"/>
  <c r="H9" i="211" s="1"/>
  <c r="H57" i="200" s="1"/>
  <c r="H21" i="211"/>
  <c r="H7" i="211" s="1"/>
  <c r="H55" i="200" s="1"/>
  <c r="H40" i="211"/>
  <c r="H10" i="211" s="1"/>
  <c r="H58" i="200" s="1"/>
  <c r="H53" i="211"/>
  <c r="H12" i="211" s="1"/>
  <c r="H60" i="200" s="1"/>
  <c r="H17" i="211"/>
  <c r="H6" i="211" s="1"/>
  <c r="H54" i="200" s="1"/>
  <c r="H45" i="211"/>
  <c r="H11" i="211" s="1"/>
  <c r="H59" i="200" s="1"/>
  <c r="G37" i="200"/>
  <c r="FB26" i="129"/>
  <c r="FB33" i="129"/>
  <c r="FB31" i="129"/>
  <c r="FB27" i="129"/>
  <c r="FB34" i="129"/>
  <c r="FB36" i="129"/>
  <c r="E70" i="191"/>
  <c r="FB41" i="129"/>
  <c r="FB57" i="129"/>
  <c r="FB62" i="129"/>
  <c r="FB43" i="129"/>
  <c r="FB51" i="129"/>
  <c r="E82" i="192"/>
  <c r="FB39" i="129"/>
  <c r="FB50" i="129"/>
  <c r="H6" i="93"/>
  <c r="H6" i="127" s="1"/>
  <c r="H5" i="127" s="1"/>
  <c r="H72" i="127" s="1"/>
  <c r="K64" i="127"/>
  <c r="K16" i="93"/>
  <c r="K16" i="127" s="1"/>
  <c r="V14" i="177"/>
  <c r="I86" i="121" s="1"/>
  <c r="I86" i="124" s="1"/>
  <c r="V59" i="178"/>
  <c r="J131" i="121" s="1"/>
  <c r="J131" i="124" s="1"/>
  <c r="FB25" i="129"/>
  <c r="FB22" i="129"/>
  <c r="FB37" i="129"/>
  <c r="FB56" i="129"/>
  <c r="FB60" i="129"/>
  <c r="FB38" i="129"/>
  <c r="K35" i="127"/>
  <c r="FB65" i="129"/>
  <c r="FB45" i="129"/>
  <c r="FB28" i="129"/>
  <c r="L25" i="127"/>
  <c r="FB49" i="129"/>
  <c r="FB59" i="129"/>
  <c r="E73" i="200"/>
  <c r="FB54" i="129"/>
  <c r="FB63" i="129"/>
  <c r="L28" i="127"/>
  <c r="FB46" i="129"/>
  <c r="FB24" i="129"/>
  <c r="FB21" i="129"/>
  <c r="FB32" i="129"/>
  <c r="FB48" i="129"/>
  <c r="FB30" i="129"/>
  <c r="V11" i="177"/>
  <c r="I83" i="121" s="1"/>
  <c r="I83" i="124" s="1"/>
  <c r="L20" i="127"/>
  <c r="FB44" i="129"/>
  <c r="FB67" i="129"/>
  <c r="FB66" i="129"/>
  <c r="FB58" i="129"/>
  <c r="FB40" i="129"/>
  <c r="FB53" i="129"/>
  <c r="FB20" i="129"/>
  <c r="V64" i="185"/>
  <c r="K136" i="121" s="1"/>
  <c r="K136" i="124" s="1"/>
  <c r="L62" i="127"/>
  <c r="K13" i="93"/>
  <c r="K13" i="127" s="1"/>
  <c r="L64" i="93"/>
  <c r="L64" i="127" s="1"/>
  <c r="E79" i="211"/>
  <c r="L58" i="127"/>
  <c r="L27" i="127"/>
  <c r="E75" i="211"/>
  <c r="V48" i="185"/>
  <c r="K120" i="121" s="1"/>
  <c r="K120" i="124" s="1"/>
  <c r="L45" i="127"/>
  <c r="L61" i="93"/>
  <c r="L61" i="127" s="1"/>
  <c r="L57" i="127"/>
  <c r="K55" i="127"/>
  <c r="I18" i="127"/>
  <c r="K14" i="93"/>
  <c r="K14" i="127" s="1"/>
  <c r="G70" i="205"/>
  <c r="L65" i="127"/>
  <c r="V16" i="177"/>
  <c r="I7" i="93"/>
  <c r="I6" i="93" s="1"/>
  <c r="I6" i="127" s="1"/>
  <c r="I5" i="127" s="1"/>
  <c r="I72" i="127" s="1"/>
  <c r="FI61" i="129"/>
  <c r="G71" i="205"/>
  <c r="V41" i="186"/>
  <c r="V30" i="186"/>
  <c r="E22" i="200"/>
  <c r="E70" i="200" s="1"/>
  <c r="FI55" i="129"/>
  <c r="AC4" i="206"/>
  <c r="FI19" i="129"/>
  <c r="L26" i="127"/>
  <c r="L37" i="127"/>
  <c r="E26" i="200"/>
  <c r="E74" i="200" s="1"/>
  <c r="GD5" i="129"/>
  <c r="GD65" i="129" s="1"/>
  <c r="E30" i="200"/>
  <c r="E78" i="200" s="1"/>
  <c r="E28" i="200"/>
  <c r="E76" i="200" s="1"/>
  <c r="E72" i="211"/>
  <c r="E76" i="211"/>
  <c r="Z38" i="92"/>
  <c r="Z63" i="92" s="1"/>
  <c r="E78" i="211"/>
  <c r="AF90" i="114"/>
  <c r="AE30" i="114"/>
  <c r="AE29" i="114" s="1"/>
  <c r="AF113" i="206"/>
  <c r="AE53" i="206"/>
  <c r="AF92" i="206"/>
  <c r="AE32" i="206"/>
  <c r="E73" i="207"/>
  <c r="AF68" i="206"/>
  <c r="AE8" i="206"/>
  <c r="AF72" i="206"/>
  <c r="AE12" i="206"/>
  <c r="L23" i="93"/>
  <c r="L23" i="127" s="1"/>
  <c r="CJ7" i="129"/>
  <c r="CJ6" i="129" s="1"/>
  <c r="CJ1" i="129" s="1"/>
  <c r="AD22" i="206"/>
  <c r="V33" i="185"/>
  <c r="L34" i="127"/>
  <c r="AF87" i="206"/>
  <c r="AE27" i="206"/>
  <c r="V9" i="178"/>
  <c r="AF101" i="206"/>
  <c r="AE41" i="206"/>
  <c r="E77" i="211"/>
  <c r="AD51" i="206"/>
  <c r="AE47" i="206"/>
  <c r="AF107" i="206"/>
  <c r="M21" i="93"/>
  <c r="M21" i="127" s="1"/>
  <c r="V36" i="185"/>
  <c r="K108" i="121" s="1"/>
  <c r="K108" i="124" s="1"/>
  <c r="V50" i="186"/>
  <c r="AF112" i="206"/>
  <c r="AE52" i="206"/>
  <c r="AE31" i="206"/>
  <c r="AF91" i="206"/>
  <c r="V18" i="112"/>
  <c r="AE39" i="206"/>
  <c r="AF99" i="206"/>
  <c r="V33" i="178"/>
  <c r="J105" i="121" s="1"/>
  <c r="J105" i="124" s="1"/>
  <c r="E74" i="211"/>
  <c r="L42" i="93"/>
  <c r="L42" i="127" s="1"/>
  <c r="V29" i="186"/>
  <c r="AG26" i="114"/>
  <c r="AH86" i="114"/>
  <c r="AI86" i="114" s="1"/>
  <c r="AJ86" i="114" s="1"/>
  <c r="AK86" i="114" s="1"/>
  <c r="FI29" i="129"/>
  <c r="AF93" i="206"/>
  <c r="AE33" i="206"/>
  <c r="AD10" i="206"/>
  <c r="V18" i="120"/>
  <c r="V8" i="125"/>
  <c r="J93" i="211"/>
  <c r="J8" i="211"/>
  <c r="AD16" i="206"/>
  <c r="AE54" i="206"/>
  <c r="AF114" i="206"/>
  <c r="J106" i="211"/>
  <c r="J10" i="211"/>
  <c r="L55" i="93"/>
  <c r="L55" i="127" s="1"/>
  <c r="M20" i="93"/>
  <c r="M46" i="93"/>
  <c r="V51" i="186"/>
  <c r="L54" i="127"/>
  <c r="J128" i="211"/>
  <c r="J14" i="211"/>
  <c r="AF67" i="206"/>
  <c r="AE7" i="206"/>
  <c r="AF71" i="206"/>
  <c r="AE11" i="206"/>
  <c r="AF86" i="206"/>
  <c r="AE26" i="206"/>
  <c r="AF78" i="206"/>
  <c r="AE18" i="206"/>
  <c r="AF77" i="206"/>
  <c r="AE17" i="206"/>
  <c r="AF97" i="206"/>
  <c r="AE37" i="206"/>
  <c r="AD42" i="206"/>
  <c r="AF74" i="206"/>
  <c r="AE14" i="206"/>
  <c r="AF100" i="206"/>
  <c r="AE40" i="206"/>
  <c r="AF105" i="206"/>
  <c r="AE45" i="206"/>
  <c r="L29" i="93"/>
  <c r="L67" i="127"/>
  <c r="L19" i="93"/>
  <c r="L8" i="93" s="1"/>
  <c r="AD6" i="206"/>
  <c r="J125" i="211"/>
  <c r="J13" i="211"/>
  <c r="AF88" i="206"/>
  <c r="AE28" i="206"/>
  <c r="AD34" i="206"/>
  <c r="AF103" i="206"/>
  <c r="AE43" i="206"/>
  <c r="AE20" i="206"/>
  <c r="AF80" i="206"/>
  <c r="AF83" i="206"/>
  <c r="AE23" i="206"/>
  <c r="AF75" i="206"/>
  <c r="AE15" i="206"/>
  <c r="AG65" i="206"/>
  <c r="AF5" i="206"/>
  <c r="E24" i="200"/>
  <c r="E72" i="200" s="1"/>
  <c r="AA38" i="92"/>
  <c r="AA44" i="92" s="1"/>
  <c r="AG92" i="114"/>
  <c r="AF32" i="114"/>
  <c r="AF69" i="206"/>
  <c r="AE9" i="206"/>
  <c r="AF79" i="206"/>
  <c r="AE19" i="206"/>
  <c r="AE35" i="206"/>
  <c r="AF95" i="206"/>
  <c r="J87" i="211"/>
  <c r="J7" i="211"/>
  <c r="AD29" i="206"/>
  <c r="AE44" i="206"/>
  <c r="AF104" i="206"/>
  <c r="AF90" i="206"/>
  <c r="AE30" i="206"/>
  <c r="AE49" i="206"/>
  <c r="AF109" i="206"/>
  <c r="J111" i="211"/>
  <c r="J11" i="211"/>
  <c r="M40" i="93"/>
  <c r="L30" i="127"/>
  <c r="L35" i="93"/>
  <c r="M27" i="93"/>
  <c r="K10" i="93"/>
  <c r="K10" i="127" s="1"/>
  <c r="L49" i="127"/>
  <c r="L47" i="93"/>
  <c r="L13" i="93" s="1"/>
  <c r="L13" i="127" s="1"/>
  <c r="L36" i="127"/>
  <c r="L60" i="127"/>
  <c r="T17" i="112"/>
  <c r="E27" i="200"/>
  <c r="E75" i="200" s="1"/>
  <c r="E80" i="211"/>
  <c r="AF73" i="206"/>
  <c r="AE13" i="206"/>
  <c r="AL7" i="129"/>
  <c r="AL6" i="129" s="1"/>
  <c r="AL1" i="129" s="1"/>
  <c r="AL17" i="129"/>
  <c r="AE36" i="206"/>
  <c r="AF96" i="206"/>
  <c r="AE25" i="206"/>
  <c r="AF85" i="206"/>
  <c r="J12" i="211"/>
  <c r="J119" i="211"/>
  <c r="AF110" i="206"/>
  <c r="AE50" i="206"/>
  <c r="AE21" i="206"/>
  <c r="AF81" i="206"/>
  <c r="AF113" i="114"/>
  <c r="AE53" i="114"/>
  <c r="AE51" i="114" s="1"/>
  <c r="V17" i="178"/>
  <c r="J89" i="121" s="1"/>
  <c r="J89" i="124" s="1"/>
  <c r="J83" i="211"/>
  <c r="J6" i="211"/>
  <c r="M24" i="93"/>
  <c r="M57" i="93"/>
  <c r="AF106" i="206"/>
  <c r="AE46" i="206"/>
  <c r="AF98" i="206"/>
  <c r="AE38" i="206"/>
  <c r="AE24" i="206"/>
  <c r="AF84" i="206"/>
  <c r="J9" i="211"/>
  <c r="J99" i="211"/>
  <c r="V62" i="178"/>
  <c r="J134" i="121" s="1"/>
  <c r="J134" i="124" s="1"/>
  <c r="E29" i="200"/>
  <c r="E77" i="200" s="1"/>
  <c r="E16" i="211"/>
  <c r="E5" i="211" s="1"/>
  <c r="E53" i="200" s="1"/>
  <c r="V7" i="111"/>
  <c r="V17" i="111"/>
  <c r="FI35" i="129"/>
  <c r="FI23" i="129"/>
  <c r="FI42" i="129"/>
  <c r="FI64" i="129"/>
  <c r="AJ5" i="114"/>
  <c r="FI47" i="129"/>
  <c r="Z41" i="92"/>
  <c r="Z45" i="92" s="1"/>
  <c r="E73" i="211"/>
  <c r="E41" i="200"/>
  <c r="T7" i="112"/>
  <c r="T6" i="112" s="1"/>
  <c r="U7" i="111"/>
  <c r="U17" i="111"/>
  <c r="E16" i="207"/>
  <c r="X62" i="92"/>
  <c r="FN5" i="129" s="1"/>
  <c r="FV43" i="129"/>
  <c r="FV66" i="129"/>
  <c r="FV67" i="129"/>
  <c r="FV58" i="129"/>
  <c r="FV52" i="129"/>
  <c r="FV65" i="129"/>
  <c r="AV7" i="129"/>
  <c r="AV6" i="129" s="1"/>
  <c r="AV1" i="129" s="1"/>
  <c r="FV60" i="129"/>
  <c r="FV24" i="129"/>
  <c r="FV51" i="129"/>
  <c r="FV53" i="129"/>
  <c r="FV46" i="129"/>
  <c r="E75" i="205"/>
  <c r="FV63" i="129"/>
  <c r="FV49" i="129"/>
  <c r="FV27" i="129"/>
  <c r="FV59" i="129"/>
  <c r="FV33" i="129"/>
  <c r="FV48" i="129"/>
  <c r="FV28" i="129"/>
  <c r="FV50" i="129"/>
  <c r="FV40" i="129"/>
  <c r="FV37" i="129"/>
  <c r="FV26" i="129"/>
  <c r="FV22" i="129"/>
  <c r="FV30" i="129"/>
  <c r="FV57" i="129"/>
  <c r="J79" i="205"/>
  <c r="J23" i="200"/>
  <c r="J39" i="200" s="1"/>
  <c r="J73" i="207"/>
  <c r="J75" i="207"/>
  <c r="J25" i="200"/>
  <c r="J41" i="200" s="1"/>
  <c r="J28" i="200"/>
  <c r="J44" i="200" s="1"/>
  <c r="J78" i="207"/>
  <c r="J72" i="207"/>
  <c r="J22" i="200"/>
  <c r="J38" i="200" s="1"/>
  <c r="J82" i="205"/>
  <c r="J80" i="207"/>
  <c r="J30" i="200"/>
  <c r="J77" i="207"/>
  <c r="J27" i="200"/>
  <c r="J43" i="200" s="1"/>
  <c r="J74" i="207"/>
  <c r="J24" i="200"/>
  <c r="J26" i="200"/>
  <c r="J76" i="207"/>
  <c r="J79" i="207"/>
  <c r="J29" i="200"/>
  <c r="J45" i="200" s="1"/>
  <c r="U7" i="112"/>
  <c r="J16" i="207"/>
  <c r="J82" i="207" s="1"/>
  <c r="U17" i="112"/>
  <c r="FV54" i="129"/>
  <c r="FV34" i="129"/>
  <c r="FV41" i="129"/>
  <c r="FV21" i="129"/>
  <c r="FV45" i="129"/>
  <c r="FV25" i="129"/>
  <c r="FV62" i="129"/>
  <c r="G70" i="207"/>
  <c r="G20" i="200"/>
  <c r="G68" i="200" s="1"/>
  <c r="FV56" i="129"/>
  <c r="FV31" i="129"/>
  <c r="FV39" i="129"/>
  <c r="FV32" i="129"/>
  <c r="FV20" i="129"/>
  <c r="FV44" i="129"/>
  <c r="FV38" i="129"/>
  <c r="T36" i="131"/>
  <c r="T31" i="131"/>
  <c r="T40" i="131"/>
  <c r="T39" i="131"/>
  <c r="T47" i="131"/>
  <c r="T26" i="131"/>
  <c r="T51" i="131"/>
  <c r="T58" i="131"/>
  <c r="T32" i="131"/>
  <c r="T20" i="131"/>
  <c r="T50" i="131"/>
  <c r="T42" i="131"/>
  <c r="T64" i="131"/>
  <c r="T38" i="131"/>
  <c r="T30" i="131"/>
  <c r="T62" i="131"/>
  <c r="T35" i="131"/>
  <c r="T53" i="131"/>
  <c r="T25" i="131"/>
  <c r="T43" i="131"/>
  <c r="T57" i="131"/>
  <c r="T21" i="131"/>
  <c r="T52" i="131"/>
  <c r="T37" i="131"/>
  <c r="T55" i="131"/>
  <c r="T33" i="131"/>
  <c r="T66" i="131"/>
  <c r="T27" i="131"/>
  <c r="T24" i="131"/>
  <c r="T44" i="131"/>
  <c r="T59" i="131"/>
  <c r="T49" i="131"/>
  <c r="T45" i="131"/>
  <c r="T56" i="131"/>
  <c r="T19" i="131"/>
  <c r="T61" i="131"/>
  <c r="T23" i="131"/>
  <c r="T48" i="131"/>
  <c r="E74" i="205"/>
  <c r="FT61" i="129"/>
  <c r="FT35" i="129"/>
  <c r="FT42" i="129"/>
  <c r="FT55" i="129"/>
  <c r="FT19" i="129"/>
  <c r="FT23" i="129"/>
  <c r="FT64" i="129"/>
  <c r="FT47" i="129"/>
  <c r="FT29" i="129"/>
  <c r="M43" i="93"/>
  <c r="M25" i="93"/>
  <c r="M25" i="127" s="1"/>
  <c r="M50" i="93"/>
  <c r="M50" i="127" s="1"/>
  <c r="M62" i="93"/>
  <c r="M62" i="127" s="1"/>
  <c r="M33" i="93"/>
  <c r="M33" i="127" s="1"/>
  <c r="M44" i="93"/>
  <c r="M38" i="93"/>
  <c r="M34" i="93"/>
  <c r="V45" i="178"/>
  <c r="J117" i="121" s="1"/>
  <c r="J117" i="124" s="1"/>
  <c r="T7" i="111"/>
  <c r="T6" i="111" s="1"/>
  <c r="T17" i="111"/>
  <c r="FZ18" i="129"/>
  <c r="M41" i="93"/>
  <c r="M41" i="127" s="1"/>
  <c r="M36" i="93"/>
  <c r="M60" i="93"/>
  <c r="AI27" i="114"/>
  <c r="M56" i="93"/>
  <c r="M56" i="127" s="1"/>
  <c r="M22" i="93"/>
  <c r="M22" i="127" s="1"/>
  <c r="M67" i="93"/>
  <c r="M37" i="93"/>
  <c r="M37" i="127" s="1"/>
  <c r="M65" i="93"/>
  <c r="V11" i="178"/>
  <c r="AG52" i="114"/>
  <c r="M32" i="93"/>
  <c r="M32" i="127" s="1"/>
  <c r="M39" i="93"/>
  <c r="M59" i="93"/>
  <c r="M28" i="93"/>
  <c r="M49" i="93"/>
  <c r="M49" i="127" s="1"/>
  <c r="M48" i="93"/>
  <c r="M30" i="93"/>
  <c r="M63" i="93"/>
  <c r="M26" i="93"/>
  <c r="M52" i="93"/>
  <c r="M66" i="93"/>
  <c r="V21" i="178"/>
  <c r="J93" i="121" s="1"/>
  <c r="J93" i="124" s="1"/>
  <c r="J18" i="93"/>
  <c r="J17" i="93" s="1"/>
  <c r="ER35" i="129"/>
  <c r="ER11" i="129" s="1"/>
  <c r="J71" i="205"/>
  <c r="FK35" i="129"/>
  <c r="FK55" i="129"/>
  <c r="FK61" i="129"/>
  <c r="FK42" i="129"/>
  <c r="FK19" i="129"/>
  <c r="FP5" i="129"/>
  <c r="FK29" i="129"/>
  <c r="FK64" i="129"/>
  <c r="FK23" i="129"/>
  <c r="FK47" i="129"/>
  <c r="ER23" i="129"/>
  <c r="ER64" i="129"/>
  <c r="ER55" i="129"/>
  <c r="ER42" i="129"/>
  <c r="ER29" i="129"/>
  <c r="ER47" i="129"/>
  <c r="ER61" i="129"/>
  <c r="ER19" i="129"/>
  <c r="J70" i="192"/>
  <c r="E80" i="194"/>
  <c r="E73" i="194"/>
  <c r="E78" i="194"/>
  <c r="E74" i="194"/>
  <c r="E79" i="194"/>
  <c r="E72" i="194"/>
  <c r="E75" i="194"/>
  <c r="E77" i="194"/>
  <c r="E76" i="194"/>
  <c r="AE16" i="114"/>
  <c r="S17" i="111"/>
  <c r="S7" i="111"/>
  <c r="S6" i="111" s="1"/>
  <c r="FO18" i="129"/>
  <c r="FO7" i="129" s="1"/>
  <c r="FO6" i="129" s="1"/>
  <c r="V4" i="151"/>
  <c r="E76" i="121" s="1"/>
  <c r="E65" i="121" s="1"/>
  <c r="V4" i="152"/>
  <c r="D76" i="121" s="1"/>
  <c r="V4" i="153"/>
  <c r="C76" i="121" s="1"/>
  <c r="DY18" i="129"/>
  <c r="DY17" i="129" s="1"/>
  <c r="DW18" i="129"/>
  <c r="DO18" i="129"/>
  <c r="DX17" i="129"/>
  <c r="DX7" i="129"/>
  <c r="DX6" i="129" s="1"/>
  <c r="DX1" i="129" s="1"/>
  <c r="DM18" i="129"/>
  <c r="DN17" i="129"/>
  <c r="DN7" i="129"/>
  <c r="DN6" i="129" s="1"/>
  <c r="DN1" i="129" s="1"/>
  <c r="AE22" i="114"/>
  <c r="AG80" i="114"/>
  <c r="AH80" i="114" s="1"/>
  <c r="AI80" i="114" s="1"/>
  <c r="AJ80" i="114" s="1"/>
  <c r="AK80" i="114" s="1"/>
  <c r="AF20" i="114"/>
  <c r="AG81" i="114"/>
  <c r="AH81" i="114" s="1"/>
  <c r="AI81" i="114" s="1"/>
  <c r="AJ81" i="114" s="1"/>
  <c r="AK81" i="114" s="1"/>
  <c r="AF21" i="114"/>
  <c r="AG99" i="114"/>
  <c r="AH99" i="114" s="1"/>
  <c r="AI99" i="114" s="1"/>
  <c r="AJ99" i="114" s="1"/>
  <c r="AK99" i="114" s="1"/>
  <c r="AF39" i="114"/>
  <c r="AG95" i="114"/>
  <c r="AH95" i="114" s="1"/>
  <c r="AI95" i="114" s="1"/>
  <c r="AJ95" i="114" s="1"/>
  <c r="AK95" i="114" s="1"/>
  <c r="AF35" i="114"/>
  <c r="AG83" i="114"/>
  <c r="AH83" i="114" s="1"/>
  <c r="AI83" i="114" s="1"/>
  <c r="AJ83" i="114" s="1"/>
  <c r="AK83" i="114" s="1"/>
  <c r="AF23" i="114"/>
  <c r="AH54" i="114"/>
  <c r="AG85" i="114"/>
  <c r="AH85" i="114" s="1"/>
  <c r="AI85" i="114" s="1"/>
  <c r="AJ85" i="114" s="1"/>
  <c r="AK85" i="114" s="1"/>
  <c r="AF25" i="114"/>
  <c r="AG100" i="114"/>
  <c r="AH100" i="114" s="1"/>
  <c r="AI100" i="114" s="1"/>
  <c r="AJ100" i="114" s="1"/>
  <c r="AK100" i="114" s="1"/>
  <c r="AF40" i="114"/>
  <c r="AG28" i="114"/>
  <c r="AG91" i="114"/>
  <c r="AH91" i="114" s="1"/>
  <c r="AI91" i="114" s="1"/>
  <c r="AJ91" i="114" s="1"/>
  <c r="AK91" i="114" s="1"/>
  <c r="AF31" i="114"/>
  <c r="AG97" i="114"/>
  <c r="AH97" i="114" s="1"/>
  <c r="AI97" i="114" s="1"/>
  <c r="AJ97" i="114" s="1"/>
  <c r="AK97" i="114" s="1"/>
  <c r="AF37" i="114"/>
  <c r="M51" i="93"/>
  <c r="M54" i="93"/>
  <c r="J71" i="194"/>
  <c r="AG33" i="114"/>
  <c r="AE10" i="114"/>
  <c r="AD4" i="114"/>
  <c r="N51" i="93" s="1"/>
  <c r="N51" i="127" s="1"/>
  <c r="G70" i="194"/>
  <c r="AG36" i="114"/>
  <c r="AG19" i="114"/>
  <c r="AG24" i="114"/>
  <c r="AG18" i="114"/>
  <c r="AG17" i="114"/>
  <c r="AE48" i="114"/>
  <c r="AF46" i="114"/>
  <c r="AF49" i="114"/>
  <c r="AF8" i="114"/>
  <c r="AF50" i="114"/>
  <c r="AF47" i="114"/>
  <c r="AF9" i="114"/>
  <c r="AF7" i="114"/>
  <c r="AF11" i="114"/>
  <c r="AF13" i="114"/>
  <c r="AF12" i="114"/>
  <c r="AE6" i="114"/>
  <c r="AF43" i="114"/>
  <c r="AF15" i="114"/>
  <c r="AF44" i="114"/>
  <c r="AF45" i="114"/>
  <c r="AF14" i="114"/>
  <c r="AE42" i="114"/>
  <c r="U27" i="190"/>
  <c r="P10" i="120"/>
  <c r="P11" i="120"/>
  <c r="U33" i="190"/>
  <c r="T18" i="191"/>
  <c r="Q19" i="120"/>
  <c r="M6" i="120"/>
  <c r="N7" i="120"/>
  <c r="U16" i="188"/>
  <c r="T22" i="191"/>
  <c r="Q23" i="120"/>
  <c r="T34" i="191"/>
  <c r="Q35" i="120"/>
  <c r="T60" i="191"/>
  <c r="Q61" i="120"/>
  <c r="T54" i="191"/>
  <c r="Q55" i="120"/>
  <c r="T46" i="191"/>
  <c r="Q47" i="120"/>
  <c r="R28" i="120"/>
  <c r="R39" i="120"/>
  <c r="R65" i="120"/>
  <c r="R33" i="120"/>
  <c r="R30" i="120"/>
  <c r="R21" i="120"/>
  <c r="R62" i="120"/>
  <c r="R49" i="120"/>
  <c r="R38" i="120"/>
  <c r="R37" i="120"/>
  <c r="R52" i="120"/>
  <c r="R40" i="120"/>
  <c r="R54" i="120"/>
  <c r="R63" i="120"/>
  <c r="R48" i="120"/>
  <c r="R41" i="120"/>
  <c r="R25" i="120"/>
  <c r="R56" i="120"/>
  <c r="R43" i="120"/>
  <c r="R45" i="120"/>
  <c r="R24" i="120"/>
  <c r="R46" i="120"/>
  <c r="R50" i="120"/>
  <c r="R26" i="120"/>
  <c r="R66" i="120"/>
  <c r="R27" i="120"/>
  <c r="R57" i="120"/>
  <c r="R36" i="120"/>
  <c r="R60" i="120"/>
  <c r="R58" i="120"/>
  <c r="R51" i="120"/>
  <c r="R31" i="120"/>
  <c r="R22" i="120"/>
  <c r="R59" i="120"/>
  <c r="R32" i="120"/>
  <c r="R20" i="120"/>
  <c r="R34" i="120"/>
  <c r="R44" i="120"/>
  <c r="R67" i="120"/>
  <c r="R53" i="120"/>
  <c r="T63" i="191"/>
  <c r="Q64" i="120"/>
  <c r="T41" i="191"/>
  <c r="Q42" i="120"/>
  <c r="T28" i="191"/>
  <c r="Q29" i="120"/>
  <c r="P8" i="120"/>
  <c r="U17" i="190"/>
  <c r="U40" i="190"/>
  <c r="P12" i="120"/>
  <c r="O18" i="120"/>
  <c r="O17" i="120" s="1"/>
  <c r="U6" i="189"/>
  <c r="U53" i="190"/>
  <c r="P14" i="120"/>
  <c r="P15" i="120"/>
  <c r="U59" i="190"/>
  <c r="P16" i="120"/>
  <c r="U62" i="190"/>
  <c r="U21" i="190"/>
  <c r="P9" i="120"/>
  <c r="P13" i="120"/>
  <c r="U45" i="190"/>
  <c r="K91" i="121"/>
  <c r="K91" i="124" s="1"/>
  <c r="V62" i="185"/>
  <c r="K129" i="121"/>
  <c r="K129" i="124" s="1"/>
  <c r="K127" i="121"/>
  <c r="K127" i="124" s="1"/>
  <c r="I78" i="121"/>
  <c r="I78" i="124" s="1"/>
  <c r="I82" i="121"/>
  <c r="I82" i="124" s="1"/>
  <c r="V47" i="186"/>
  <c r="V55" i="186"/>
  <c r="V42" i="186"/>
  <c r="V24" i="186"/>
  <c r="V13" i="178"/>
  <c r="K132" i="121"/>
  <c r="K132" i="124" s="1"/>
  <c r="K114" i="121"/>
  <c r="K114" i="124" s="1"/>
  <c r="V8" i="178"/>
  <c r="K126" i="121"/>
  <c r="K126" i="124" s="1"/>
  <c r="V53" i="185"/>
  <c r="K90" i="121"/>
  <c r="K90" i="124" s="1"/>
  <c r="K103" i="121"/>
  <c r="K103" i="124" s="1"/>
  <c r="K95" i="121"/>
  <c r="K95" i="124" s="1"/>
  <c r="K101" i="121"/>
  <c r="K101" i="124" s="1"/>
  <c r="K104" i="121"/>
  <c r="K104" i="124" s="1"/>
  <c r="K119" i="121"/>
  <c r="K119" i="124" s="1"/>
  <c r="K122" i="121"/>
  <c r="K122" i="124" s="1"/>
  <c r="V4" i="157"/>
  <c r="AF38" i="114"/>
  <c r="V52" i="186"/>
  <c r="I79" i="121"/>
  <c r="I79" i="124" s="1"/>
  <c r="AF41" i="114"/>
  <c r="K123" i="121"/>
  <c r="K123" i="124" s="1"/>
  <c r="K130" i="121"/>
  <c r="K130" i="124" s="1"/>
  <c r="K97" i="121"/>
  <c r="K97" i="124" s="1"/>
  <c r="V34" i="186"/>
  <c r="V64" i="186"/>
  <c r="V56" i="186"/>
  <c r="V35" i="186"/>
  <c r="V32" i="186"/>
  <c r="V65" i="186"/>
  <c r="V58" i="186"/>
  <c r="V39" i="186"/>
  <c r="V25" i="186"/>
  <c r="V31" i="186"/>
  <c r="V23" i="186"/>
  <c r="L121" i="121"/>
  <c r="L121" i="124" s="1"/>
  <c r="U51" i="126" s="1"/>
  <c r="M31" i="127"/>
  <c r="K102" i="121"/>
  <c r="K102" i="124" s="1"/>
  <c r="K98" i="121"/>
  <c r="K98" i="124" s="1"/>
  <c r="K137" i="121"/>
  <c r="K137" i="124" s="1"/>
  <c r="K115" i="121"/>
  <c r="K115" i="124" s="1"/>
  <c r="K107" i="121"/>
  <c r="K107" i="124" s="1"/>
  <c r="G77" i="121"/>
  <c r="G77" i="124" s="1"/>
  <c r="K96" i="121"/>
  <c r="K96" i="124" s="1"/>
  <c r="F76" i="121"/>
  <c r="F76" i="124" s="1"/>
  <c r="V43" i="186"/>
  <c r="V28" i="186"/>
  <c r="V26" i="186"/>
  <c r="V60" i="186"/>
  <c r="V12" i="178"/>
  <c r="V17" i="185"/>
  <c r="K8" i="127"/>
  <c r="K100" i="121"/>
  <c r="K100" i="124" s="1"/>
  <c r="K111" i="121"/>
  <c r="K111" i="124" s="1"/>
  <c r="K128" i="121"/>
  <c r="K128" i="124" s="1"/>
  <c r="I85" i="121"/>
  <c r="I85" i="124" s="1"/>
  <c r="AE34" i="114"/>
  <c r="I84" i="121"/>
  <c r="I84" i="124" s="1"/>
  <c r="K92" i="121"/>
  <c r="K92" i="124" s="1"/>
  <c r="V6" i="178"/>
  <c r="V18" i="186"/>
  <c r="J46" i="213" l="1"/>
  <c r="J112" i="213" s="1"/>
  <c r="X47" i="112"/>
  <c r="X23" i="112"/>
  <c r="J22" i="213"/>
  <c r="J88" i="213" s="1"/>
  <c r="J59" i="212"/>
  <c r="W15" i="112"/>
  <c r="J27" i="212"/>
  <c r="W10" i="112"/>
  <c r="J33" i="212"/>
  <c r="W11" i="112"/>
  <c r="X42" i="112"/>
  <c r="J41" i="213"/>
  <c r="J107" i="213" s="1"/>
  <c r="J53" i="212"/>
  <c r="W14" i="112"/>
  <c r="J40" i="212"/>
  <c r="W12" i="112"/>
  <c r="J60" i="213"/>
  <c r="J126" i="213" s="1"/>
  <c r="X61" i="112"/>
  <c r="X29" i="112"/>
  <c r="J28" i="213"/>
  <c r="J94" i="213" s="1"/>
  <c r="X55" i="112"/>
  <c r="J54" i="213"/>
  <c r="J120" i="213" s="1"/>
  <c r="J63" i="213"/>
  <c r="J129" i="213" s="1"/>
  <c r="X64" i="112"/>
  <c r="J18" i="213"/>
  <c r="J84" i="213" s="1"/>
  <c r="X19" i="112"/>
  <c r="J34" i="213"/>
  <c r="J100" i="213" s="1"/>
  <c r="X35" i="112"/>
  <c r="J21" i="212"/>
  <c r="W9" i="112"/>
  <c r="J62" i="212"/>
  <c r="W16" i="112"/>
  <c r="J17" i="212"/>
  <c r="W8" i="112"/>
  <c r="J45" i="212"/>
  <c r="W13" i="112"/>
  <c r="E74" i="213"/>
  <c r="E78" i="213"/>
  <c r="E119" i="200"/>
  <c r="E135" i="200" s="1"/>
  <c r="AC39" i="92"/>
  <c r="GY5" i="129"/>
  <c r="GY38" i="129" s="1"/>
  <c r="AC40" i="92"/>
  <c r="HI5" i="129" s="1"/>
  <c r="E16" i="213"/>
  <c r="E82" i="213" s="1"/>
  <c r="X18" i="127"/>
  <c r="X7" i="111"/>
  <c r="X17" i="111"/>
  <c r="E86" i="200"/>
  <c r="E102" i="200" s="1"/>
  <c r="E90" i="200"/>
  <c r="E138" i="200" s="1"/>
  <c r="E77" i="212"/>
  <c r="E110" i="200"/>
  <c r="E142" i="200"/>
  <c r="E107" i="200"/>
  <c r="E139" i="200"/>
  <c r="E109" i="200"/>
  <c r="E141" i="200"/>
  <c r="E103" i="200"/>
  <c r="E108" i="200"/>
  <c r="E140" i="200"/>
  <c r="E79" i="212"/>
  <c r="EH18" i="129"/>
  <c r="EH7" i="129" s="1"/>
  <c r="EH6" i="129" s="1"/>
  <c r="EH1" i="129" s="1"/>
  <c r="E89" i="200"/>
  <c r="E88" i="200"/>
  <c r="W17" i="111"/>
  <c r="W18" i="127"/>
  <c r="E16" i="212"/>
  <c r="E82" i="212" s="1"/>
  <c r="W7" i="111"/>
  <c r="W6" i="111" s="1"/>
  <c r="W6" i="127" s="1"/>
  <c r="W5" i="127" s="1"/>
  <c r="V36" i="186"/>
  <c r="L108" i="121" s="1"/>
  <c r="L108" i="124" s="1"/>
  <c r="U38" i="126" s="1"/>
  <c r="F1" i="212"/>
  <c r="F1" i="213"/>
  <c r="F53" i="213"/>
  <c r="F27" i="213"/>
  <c r="F62" i="213"/>
  <c r="H11" i="213"/>
  <c r="H123" i="200" s="1"/>
  <c r="H7" i="213"/>
  <c r="H119" i="200" s="1"/>
  <c r="U18" i="125"/>
  <c r="H16" i="207" s="1"/>
  <c r="H10" i="213"/>
  <c r="H122" i="200" s="1"/>
  <c r="H13" i="213"/>
  <c r="H125" i="200" s="1"/>
  <c r="F21" i="213"/>
  <c r="H12" i="213"/>
  <c r="H124" i="200" s="1"/>
  <c r="F33" i="213"/>
  <c r="F45" i="213"/>
  <c r="F40" i="213"/>
  <c r="H8" i="213"/>
  <c r="H120" i="200" s="1"/>
  <c r="F59" i="213"/>
  <c r="H6" i="213"/>
  <c r="H118" i="200" s="1"/>
  <c r="H9" i="213"/>
  <c r="H121" i="200" s="1"/>
  <c r="F17" i="213"/>
  <c r="H14" i="213"/>
  <c r="H126" i="200" s="1"/>
  <c r="V10" i="178"/>
  <c r="J82" i="121" s="1"/>
  <c r="J82" i="124" s="1"/>
  <c r="GN59" i="129"/>
  <c r="GN48" i="129"/>
  <c r="GN45" i="129"/>
  <c r="V44" i="131" s="1"/>
  <c r="GN41" i="129"/>
  <c r="V40" i="131" s="1"/>
  <c r="V8" i="185"/>
  <c r="GN62" i="129"/>
  <c r="V40" i="185"/>
  <c r="K112" i="121" s="1"/>
  <c r="K112" i="124" s="1"/>
  <c r="V54" i="186"/>
  <c r="L126" i="121" s="1"/>
  <c r="L126" i="124" s="1"/>
  <c r="U56" i="126" s="1"/>
  <c r="E39" i="200"/>
  <c r="GN57" i="129"/>
  <c r="V56" i="131" s="1"/>
  <c r="GN30" i="129"/>
  <c r="GN34" i="129"/>
  <c r="GN60" i="129"/>
  <c r="GN58" i="129"/>
  <c r="GN67" i="129"/>
  <c r="GN21" i="129"/>
  <c r="GN26" i="129"/>
  <c r="V25" i="131" s="1"/>
  <c r="GN32" i="129"/>
  <c r="GN44" i="129"/>
  <c r="GN31" i="129"/>
  <c r="GN49" i="129"/>
  <c r="GN24" i="129"/>
  <c r="GN53" i="129"/>
  <c r="GN33" i="129"/>
  <c r="GN43" i="129"/>
  <c r="GN66" i="129"/>
  <c r="V65" i="131" s="1"/>
  <c r="GN20" i="129"/>
  <c r="GN65" i="129"/>
  <c r="GN37" i="129"/>
  <c r="GN39" i="129"/>
  <c r="GN54" i="129"/>
  <c r="GM5" i="129"/>
  <c r="GL5" i="129" s="1"/>
  <c r="GN22" i="129"/>
  <c r="GN28" i="129"/>
  <c r="GN50" i="129"/>
  <c r="H87" i="200"/>
  <c r="H88" i="200"/>
  <c r="GN27" i="129"/>
  <c r="GN25" i="129"/>
  <c r="GN51" i="129"/>
  <c r="GN40" i="129"/>
  <c r="GN52" i="129"/>
  <c r="H89" i="200"/>
  <c r="F7" i="212"/>
  <c r="H94" i="200"/>
  <c r="GN36" i="129"/>
  <c r="GN56" i="129"/>
  <c r="GN63" i="129"/>
  <c r="GN46" i="129"/>
  <c r="V45" i="131" s="1"/>
  <c r="F10" i="212"/>
  <c r="F9" i="212"/>
  <c r="AB38" i="92"/>
  <c r="F12" i="212"/>
  <c r="F11" i="212"/>
  <c r="GY66" i="129"/>
  <c r="GY52" i="129"/>
  <c r="GY45" i="129"/>
  <c r="GY27" i="129"/>
  <c r="GY67" i="129"/>
  <c r="GY54" i="129"/>
  <c r="GY37" i="129"/>
  <c r="GY48" i="129"/>
  <c r="N46" i="212" s="1"/>
  <c r="GY46" i="129"/>
  <c r="GY63" i="129"/>
  <c r="GY28" i="129"/>
  <c r="GY30" i="129"/>
  <c r="N28" i="212" s="1"/>
  <c r="GY24" i="129"/>
  <c r="N22" i="212" s="1"/>
  <c r="GY39" i="129"/>
  <c r="GY44" i="129"/>
  <c r="F6" i="212"/>
  <c r="H92" i="200"/>
  <c r="F14" i="212"/>
  <c r="GJ18" i="129"/>
  <c r="W18" i="110"/>
  <c r="H91" i="200"/>
  <c r="F13" i="212"/>
  <c r="H93" i="200"/>
  <c r="H90" i="200"/>
  <c r="F8" i="212"/>
  <c r="H86" i="200"/>
  <c r="V37" i="131"/>
  <c r="V5" i="170"/>
  <c r="H77" i="121" s="1"/>
  <c r="H77" i="124" s="1"/>
  <c r="V48" i="186"/>
  <c r="L120" i="121" s="1"/>
  <c r="L120" i="124" s="1"/>
  <c r="U50" i="126" s="1"/>
  <c r="V21" i="185"/>
  <c r="K93" i="121" s="1"/>
  <c r="K93" i="124" s="1"/>
  <c r="N41" i="93"/>
  <c r="N41" i="127" s="1"/>
  <c r="M53" i="127"/>
  <c r="N49" i="93"/>
  <c r="N49" i="127" s="1"/>
  <c r="L47" i="127"/>
  <c r="L19" i="127"/>
  <c r="FB61" i="129"/>
  <c r="E71" i="192"/>
  <c r="FB29" i="129"/>
  <c r="V22" i="186"/>
  <c r="L94" i="121" s="1"/>
  <c r="L94" i="124" s="1"/>
  <c r="U24" i="126" s="1"/>
  <c r="FB47" i="129"/>
  <c r="FB55" i="129"/>
  <c r="FB42" i="129"/>
  <c r="FB19" i="129"/>
  <c r="FB23" i="129"/>
  <c r="V17" i="186"/>
  <c r="FB64" i="129"/>
  <c r="L16" i="93"/>
  <c r="L16" i="127" s="1"/>
  <c r="FB35" i="129"/>
  <c r="V37" i="186"/>
  <c r="L109" i="121" s="1"/>
  <c r="L109" i="124" s="1"/>
  <c r="U39" i="126" s="1"/>
  <c r="GD31" i="129"/>
  <c r="U30" i="131" s="1"/>
  <c r="V63" i="186"/>
  <c r="L135" i="121" s="1"/>
  <c r="L135" i="124" s="1"/>
  <c r="U65" i="126" s="1"/>
  <c r="L14" i="93"/>
  <c r="L14" i="127" s="1"/>
  <c r="GD56" i="129"/>
  <c r="U55" i="131" s="1"/>
  <c r="M57" i="127"/>
  <c r="M40" i="127"/>
  <c r="V14" i="178"/>
  <c r="J86" i="121" s="1"/>
  <c r="J86" i="124" s="1"/>
  <c r="M24" i="127"/>
  <c r="GD48" i="129"/>
  <c r="U47" i="131" s="1"/>
  <c r="L15" i="93"/>
  <c r="L15" i="127" s="1"/>
  <c r="M26" i="127"/>
  <c r="GD38" i="129"/>
  <c r="U37" i="131" s="1"/>
  <c r="V61" i="186"/>
  <c r="L133" i="121" s="1"/>
  <c r="L133" i="124" s="1"/>
  <c r="U63" i="126" s="1"/>
  <c r="M66" i="127"/>
  <c r="E38" i="200"/>
  <c r="M27" i="127"/>
  <c r="M60" i="127"/>
  <c r="I7" i="127"/>
  <c r="GD60" i="129"/>
  <c r="U59" i="131" s="1"/>
  <c r="GD20" i="129"/>
  <c r="U19" i="131" s="1"/>
  <c r="J42" i="200"/>
  <c r="V57" i="186"/>
  <c r="L129" i="121" s="1"/>
  <c r="L129" i="124" s="1"/>
  <c r="U59" i="126" s="1"/>
  <c r="GD45" i="129"/>
  <c r="U44" i="131" s="1"/>
  <c r="V20" i="186"/>
  <c r="L92" i="121" s="1"/>
  <c r="L92" i="124" s="1"/>
  <c r="U22" i="126" s="1"/>
  <c r="GD67" i="129"/>
  <c r="U66" i="131" s="1"/>
  <c r="GD34" i="129"/>
  <c r="U33" i="131" s="1"/>
  <c r="GD52" i="129"/>
  <c r="U51" i="131" s="1"/>
  <c r="GD63" i="129"/>
  <c r="U62" i="131" s="1"/>
  <c r="E42" i="200"/>
  <c r="GD24" i="129"/>
  <c r="U23" i="131" s="1"/>
  <c r="V44" i="186"/>
  <c r="L116" i="121" s="1"/>
  <c r="L116" i="124" s="1"/>
  <c r="U46" i="126" s="1"/>
  <c r="D67" i="177"/>
  <c r="D69" i="177" s="1"/>
  <c r="GD37" i="129"/>
  <c r="U36" i="131" s="1"/>
  <c r="M38" i="127"/>
  <c r="GD57" i="129"/>
  <c r="U56" i="131" s="1"/>
  <c r="GD30" i="129"/>
  <c r="U29" i="131" s="1"/>
  <c r="GD59" i="129"/>
  <c r="U58" i="131" s="1"/>
  <c r="GD50" i="129"/>
  <c r="U49" i="131" s="1"/>
  <c r="E46" i="200"/>
  <c r="L12" i="93"/>
  <c r="L12" i="127" s="1"/>
  <c r="GD54" i="129"/>
  <c r="U53" i="131" s="1"/>
  <c r="GD44" i="129"/>
  <c r="U43" i="131" s="1"/>
  <c r="K18" i="93"/>
  <c r="K17" i="93" s="1"/>
  <c r="GD62" i="129"/>
  <c r="E44" i="200"/>
  <c r="GD26" i="129"/>
  <c r="U25" i="131" s="1"/>
  <c r="M19" i="93"/>
  <c r="AE22" i="206"/>
  <c r="M63" i="127"/>
  <c r="V19" i="186"/>
  <c r="L91" i="121" s="1"/>
  <c r="L91" i="124" s="1"/>
  <c r="U21" i="126" s="1"/>
  <c r="AE48" i="206"/>
  <c r="AE29" i="206"/>
  <c r="E40" i="200"/>
  <c r="GD49" i="129"/>
  <c r="U48" i="131" s="1"/>
  <c r="GD22" i="129"/>
  <c r="U21" i="131" s="1"/>
  <c r="GD43" i="129"/>
  <c r="GD66" i="129"/>
  <c r="U65" i="131" s="1"/>
  <c r="GD32" i="129"/>
  <c r="GD58" i="129"/>
  <c r="GD51" i="129"/>
  <c r="U50" i="131" s="1"/>
  <c r="GD33" i="129"/>
  <c r="U32" i="131" s="1"/>
  <c r="GD39" i="129"/>
  <c r="U38" i="131" s="1"/>
  <c r="GD25" i="129"/>
  <c r="U24" i="131" s="1"/>
  <c r="GD46" i="129"/>
  <c r="U45" i="131" s="1"/>
  <c r="GC5" i="129"/>
  <c r="GB5" i="129" s="1"/>
  <c r="GD40" i="129"/>
  <c r="U39" i="131" s="1"/>
  <c r="GD21" i="129"/>
  <c r="U20" i="131" s="1"/>
  <c r="GD41" i="129"/>
  <c r="U40" i="131" s="1"/>
  <c r="GD28" i="129"/>
  <c r="U27" i="131" s="1"/>
  <c r="GD36" i="129"/>
  <c r="U35" i="131" s="1"/>
  <c r="GD27" i="129"/>
  <c r="U26" i="131" s="1"/>
  <c r="GD53" i="129"/>
  <c r="Z44" i="92"/>
  <c r="Z62" i="92" s="1"/>
  <c r="GI5" i="129" s="1"/>
  <c r="AA63" i="92"/>
  <c r="AG95" i="206"/>
  <c r="AF35" i="206"/>
  <c r="AG78" i="206"/>
  <c r="AF18" i="206"/>
  <c r="AE34" i="206"/>
  <c r="AG113" i="114"/>
  <c r="AF53" i="114"/>
  <c r="AF51" i="114" s="1"/>
  <c r="AG81" i="206"/>
  <c r="AF21" i="206"/>
  <c r="AG109" i="206"/>
  <c r="AF49" i="206"/>
  <c r="AF11" i="206"/>
  <c r="AG71" i="206"/>
  <c r="AG68" i="206"/>
  <c r="AF8" i="206"/>
  <c r="AG110" i="206"/>
  <c r="AF50" i="206"/>
  <c r="AG103" i="206"/>
  <c r="AF43" i="206"/>
  <c r="AF7" i="206"/>
  <c r="AG67" i="206"/>
  <c r="AG99" i="206"/>
  <c r="AF39" i="206"/>
  <c r="AG101" i="206"/>
  <c r="AF41" i="206"/>
  <c r="AF23" i="206"/>
  <c r="AG83" i="206"/>
  <c r="AG107" i="206"/>
  <c r="AF47" i="206"/>
  <c r="L11" i="93"/>
  <c r="L11" i="127" s="1"/>
  <c r="AG114" i="206"/>
  <c r="AF54" i="206"/>
  <c r="AG100" i="206"/>
  <c r="AF40" i="206"/>
  <c r="L29" i="127"/>
  <c r="L9" i="93"/>
  <c r="L9" i="127" s="1"/>
  <c r="AG98" i="206"/>
  <c r="AF38" i="206"/>
  <c r="AG90" i="206"/>
  <c r="AF30" i="206"/>
  <c r="AF14" i="206"/>
  <c r="AG74" i="206"/>
  <c r="J80" i="211"/>
  <c r="J62" i="200"/>
  <c r="J74" i="211"/>
  <c r="J56" i="200"/>
  <c r="AG92" i="206"/>
  <c r="AF32" i="206"/>
  <c r="AG93" i="206"/>
  <c r="AF33" i="206"/>
  <c r="AG86" i="206"/>
  <c r="AF26" i="206"/>
  <c r="AG105" i="206"/>
  <c r="AF45" i="206"/>
  <c r="L10" i="93"/>
  <c r="L10" i="127" s="1"/>
  <c r="J78" i="211"/>
  <c r="J60" i="200"/>
  <c r="AF44" i="206"/>
  <c r="AG104" i="206"/>
  <c r="J16" i="211"/>
  <c r="V7" i="112"/>
  <c r="V6" i="112" s="1"/>
  <c r="V17" i="112"/>
  <c r="L35" i="127"/>
  <c r="AG72" i="206"/>
  <c r="AF12" i="206"/>
  <c r="M34" i="127"/>
  <c r="E43" i="200"/>
  <c r="AG106" i="206"/>
  <c r="AF46" i="206"/>
  <c r="AG85" i="206"/>
  <c r="AF25" i="206"/>
  <c r="AG91" i="206"/>
  <c r="AF31" i="206"/>
  <c r="AG113" i="206"/>
  <c r="AF53" i="206"/>
  <c r="AD4" i="206"/>
  <c r="AG73" i="206"/>
  <c r="AF13" i="206"/>
  <c r="AG79" i="206"/>
  <c r="AF19" i="206"/>
  <c r="J76" i="211"/>
  <c r="J58" i="200"/>
  <c r="AG80" i="206"/>
  <c r="AF20" i="206"/>
  <c r="AF24" i="206"/>
  <c r="AG84" i="206"/>
  <c r="V38" i="186"/>
  <c r="L110" i="121" s="1"/>
  <c r="L110" i="124" s="1"/>
  <c r="U40" i="126" s="1"/>
  <c r="AH65" i="206"/>
  <c r="AG5" i="206"/>
  <c r="AF28" i="206"/>
  <c r="AG88" i="206"/>
  <c r="AF37" i="206"/>
  <c r="AG97" i="206"/>
  <c r="V7" i="120"/>
  <c r="V18" i="125"/>
  <c r="AF27" i="206"/>
  <c r="AG87" i="206"/>
  <c r="AF15" i="206"/>
  <c r="AG75" i="206"/>
  <c r="M46" i="127"/>
  <c r="U6" i="120"/>
  <c r="U6" i="125" s="1"/>
  <c r="U7" i="125"/>
  <c r="AE10" i="206"/>
  <c r="J75" i="211"/>
  <c r="J57" i="200"/>
  <c r="AE42" i="206"/>
  <c r="AE6" i="206"/>
  <c r="M20" i="127"/>
  <c r="E45" i="200"/>
  <c r="E82" i="211"/>
  <c r="GT18" i="129"/>
  <c r="J73" i="211"/>
  <c r="J55" i="200"/>
  <c r="AE16" i="206"/>
  <c r="AE51" i="206"/>
  <c r="J77" i="211"/>
  <c r="J59" i="200"/>
  <c r="AG69" i="206"/>
  <c r="AF9" i="206"/>
  <c r="AH92" i="114"/>
  <c r="AG32" i="114"/>
  <c r="J72" i="211"/>
  <c r="J54" i="200"/>
  <c r="AG96" i="206"/>
  <c r="AF36" i="206"/>
  <c r="J79" i="211"/>
  <c r="J61" i="200"/>
  <c r="AF17" i="206"/>
  <c r="AG77" i="206"/>
  <c r="AG112" i="206"/>
  <c r="AF52" i="206"/>
  <c r="AG90" i="114"/>
  <c r="AF30" i="114"/>
  <c r="AF29" i="114" s="1"/>
  <c r="M30" i="127"/>
  <c r="N56" i="93"/>
  <c r="N56" i="127" s="1"/>
  <c r="AK5" i="114"/>
  <c r="AL65" i="114"/>
  <c r="E5" i="207"/>
  <c r="J46" i="200"/>
  <c r="GU5" i="129"/>
  <c r="F1" i="211"/>
  <c r="AA62" i="92"/>
  <c r="GS5" i="129" s="1"/>
  <c r="V6" i="111"/>
  <c r="FK10" i="129"/>
  <c r="FK12" i="129"/>
  <c r="FK13" i="129"/>
  <c r="FK15" i="129"/>
  <c r="FK9" i="129"/>
  <c r="FK14" i="129"/>
  <c r="FK16" i="129"/>
  <c r="FK8" i="129"/>
  <c r="FK11" i="129"/>
  <c r="GF5" i="129"/>
  <c r="GF31" i="129" s="1"/>
  <c r="AA41" i="92"/>
  <c r="AB41" i="92" s="1"/>
  <c r="M61" i="93"/>
  <c r="M61" i="127" s="1"/>
  <c r="FV64" i="129"/>
  <c r="FV16" i="129" s="1"/>
  <c r="M28" i="127"/>
  <c r="M42" i="93"/>
  <c r="M12" i="93" s="1"/>
  <c r="M12" i="127" s="1"/>
  <c r="AJ27" i="114"/>
  <c r="E82" i="207"/>
  <c r="E71" i="211"/>
  <c r="E4" i="211"/>
  <c r="E52" i="200" s="1"/>
  <c r="U6" i="111"/>
  <c r="Y62" i="92"/>
  <c r="FY5" i="129" s="1"/>
  <c r="FV55" i="129"/>
  <c r="FV14" i="129" s="1"/>
  <c r="FV19" i="129"/>
  <c r="FV8" i="129" s="1"/>
  <c r="FV42" i="129"/>
  <c r="FV12" i="129" s="1"/>
  <c r="FV61" i="129"/>
  <c r="FV15" i="129" s="1"/>
  <c r="M35" i="93"/>
  <c r="M11" i="93" s="1"/>
  <c r="M11" i="127" s="1"/>
  <c r="FV23" i="129"/>
  <c r="FV9" i="129" s="1"/>
  <c r="M39" i="127"/>
  <c r="M43" i="127"/>
  <c r="M48" i="127"/>
  <c r="M52" i="127"/>
  <c r="M67" i="127"/>
  <c r="FV29" i="129"/>
  <c r="FV10" i="129" s="1"/>
  <c r="FV47" i="129"/>
  <c r="FV13" i="129" s="1"/>
  <c r="FV35" i="129"/>
  <c r="FV11" i="129" s="1"/>
  <c r="U64" i="131"/>
  <c r="J40" i="200"/>
  <c r="J5" i="207"/>
  <c r="J21" i="200" s="1"/>
  <c r="J37" i="200" s="1"/>
  <c r="U6" i="112"/>
  <c r="FT9" i="129"/>
  <c r="T8" i="131" s="1"/>
  <c r="FT11" i="129"/>
  <c r="T10" i="131" s="1"/>
  <c r="T28" i="131"/>
  <c r="T18" i="131"/>
  <c r="FT15" i="129"/>
  <c r="T14" i="131" s="1"/>
  <c r="T46" i="131"/>
  <c r="T54" i="131"/>
  <c r="T63" i="131"/>
  <c r="FT12" i="129"/>
  <c r="T11" i="131" s="1"/>
  <c r="E82" i="205"/>
  <c r="M55" i="93"/>
  <c r="M55" i="127" s="1"/>
  <c r="T60" i="131"/>
  <c r="ER13" i="129"/>
  <c r="ER16" i="129"/>
  <c r="ER10" i="129"/>
  <c r="ER9" i="129"/>
  <c r="ER8" i="129"/>
  <c r="ER12" i="129"/>
  <c r="ER15" i="129"/>
  <c r="ER14" i="129"/>
  <c r="M64" i="93"/>
  <c r="M23" i="93"/>
  <c r="M23" i="127" s="1"/>
  <c r="J70" i="205"/>
  <c r="FT14" i="129"/>
  <c r="T13" i="131" s="1"/>
  <c r="T41" i="131"/>
  <c r="FT8" i="129"/>
  <c r="T7" i="131" s="1"/>
  <c r="T34" i="131"/>
  <c r="FT16" i="129"/>
  <c r="T15" i="131" s="1"/>
  <c r="FT10" i="129"/>
  <c r="T9" i="131" s="1"/>
  <c r="FT13" i="129"/>
  <c r="T12" i="131" s="1"/>
  <c r="T22" i="131"/>
  <c r="GA5" i="129"/>
  <c r="N48" i="93"/>
  <c r="N48" i="127" s="1"/>
  <c r="N65" i="93"/>
  <c r="N33" i="93"/>
  <c r="N50" i="93"/>
  <c r="N50" i="127" s="1"/>
  <c r="M59" i="127"/>
  <c r="M29" i="93"/>
  <c r="N44" i="93"/>
  <c r="N44" i="127" s="1"/>
  <c r="N20" i="93"/>
  <c r="N34" i="93"/>
  <c r="N34" i="127" s="1"/>
  <c r="N46" i="93"/>
  <c r="N37" i="93"/>
  <c r="AI54" i="114"/>
  <c r="N54" i="93"/>
  <c r="N54" i="127" s="1"/>
  <c r="M65" i="127"/>
  <c r="N32" i="93"/>
  <c r="N32" i="127" s="1"/>
  <c r="N39" i="93"/>
  <c r="N39" i="127" s="1"/>
  <c r="AH52" i="114"/>
  <c r="N45" i="93"/>
  <c r="M36" i="127"/>
  <c r="M44" i="127"/>
  <c r="N27" i="93"/>
  <c r="N27" i="127" s="1"/>
  <c r="N28" i="93"/>
  <c r="N28" i="127" s="1"/>
  <c r="N52" i="93"/>
  <c r="N52" i="127" s="1"/>
  <c r="N59" i="93"/>
  <c r="N59" i="127" s="1"/>
  <c r="J18" i="127"/>
  <c r="J7" i="93"/>
  <c r="J6" i="93" s="1"/>
  <c r="J6" i="127" s="1"/>
  <c r="J5" i="127" s="1"/>
  <c r="J72" i="127" s="1"/>
  <c r="D67" i="178"/>
  <c r="D69" i="178" s="1"/>
  <c r="V7" i="178"/>
  <c r="J79" i="121" s="1"/>
  <c r="J79" i="124" s="1"/>
  <c r="FL45" i="129"/>
  <c r="FL40" i="129"/>
  <c r="FL27" i="129"/>
  <c r="FL38" i="129"/>
  <c r="FL26" i="129"/>
  <c r="FL58" i="129"/>
  <c r="FL54" i="129"/>
  <c r="FL33" i="129"/>
  <c r="FL31" i="129"/>
  <c r="FL67" i="129"/>
  <c r="FL44" i="129"/>
  <c r="FL39" i="129"/>
  <c r="FL46" i="129"/>
  <c r="FL22" i="129"/>
  <c r="FL63" i="129"/>
  <c r="FL37" i="129"/>
  <c r="FL25" i="129"/>
  <c r="FL50" i="129"/>
  <c r="FL49" i="129"/>
  <c r="FL52" i="129"/>
  <c r="FL41" i="129"/>
  <c r="FL34" i="129"/>
  <c r="FL60" i="129"/>
  <c r="FL32" i="129"/>
  <c r="FL28" i="129"/>
  <c r="FL21" i="129"/>
  <c r="FL53" i="129"/>
  <c r="FL57" i="129"/>
  <c r="FL51" i="129"/>
  <c r="FL66" i="129"/>
  <c r="FL59" i="129"/>
  <c r="FL65" i="129"/>
  <c r="FL43" i="129"/>
  <c r="FL48" i="129"/>
  <c r="FL30" i="129"/>
  <c r="FL36" i="129"/>
  <c r="FL24" i="129"/>
  <c r="FL56" i="129"/>
  <c r="FL62" i="129"/>
  <c r="FL20" i="129"/>
  <c r="AF16" i="114"/>
  <c r="N21" i="93"/>
  <c r="N24" i="93"/>
  <c r="N30" i="93"/>
  <c r="N57" i="93"/>
  <c r="N57" i="127" s="1"/>
  <c r="N22" i="93"/>
  <c r="N22" i="127" s="1"/>
  <c r="N67" i="93"/>
  <c r="N67" i="127" s="1"/>
  <c r="N38" i="93"/>
  <c r="N31" i="93"/>
  <c r="N31" i="127" s="1"/>
  <c r="N62" i="93"/>
  <c r="N62" i="127" s="1"/>
  <c r="N63" i="93"/>
  <c r="N63" i="127" s="1"/>
  <c r="N25" i="93"/>
  <c r="N25" i="127" s="1"/>
  <c r="N60" i="93"/>
  <c r="N66" i="93"/>
  <c r="N58" i="93"/>
  <c r="E82" i="194"/>
  <c r="N43" i="93"/>
  <c r="N26" i="93"/>
  <c r="N40" i="93"/>
  <c r="N36" i="93"/>
  <c r="N53" i="93"/>
  <c r="N53" i="127" s="1"/>
  <c r="V49" i="188"/>
  <c r="E56" i="121"/>
  <c r="E56" i="125" s="1"/>
  <c r="E37" i="121"/>
  <c r="E37" i="125" s="1"/>
  <c r="H35" i="151" s="1"/>
  <c r="E21" i="121"/>
  <c r="E21" i="125" s="1"/>
  <c r="H19" i="151" s="1"/>
  <c r="E50" i="121"/>
  <c r="E50" i="125" s="1"/>
  <c r="H48" i="151" s="1"/>
  <c r="E43" i="121"/>
  <c r="E43" i="125" s="1"/>
  <c r="E44" i="121"/>
  <c r="E44" i="125" s="1"/>
  <c r="H42" i="151" s="1"/>
  <c r="E39" i="121"/>
  <c r="E39" i="125" s="1"/>
  <c r="H37" i="151" s="1"/>
  <c r="E46" i="121"/>
  <c r="E46" i="125" s="1"/>
  <c r="H44" i="151" s="1"/>
  <c r="E25" i="121"/>
  <c r="E25" i="125" s="1"/>
  <c r="H23" i="151" s="1"/>
  <c r="E40" i="121"/>
  <c r="E40" i="125" s="1"/>
  <c r="H38" i="151" s="1"/>
  <c r="E20" i="121"/>
  <c r="E48" i="121"/>
  <c r="E36" i="121"/>
  <c r="E36" i="125" s="1"/>
  <c r="E54" i="121"/>
  <c r="E54" i="125" s="1"/>
  <c r="H52" i="151" s="1"/>
  <c r="E49" i="121"/>
  <c r="E49" i="125" s="1"/>
  <c r="H47" i="151" s="1"/>
  <c r="E67" i="121"/>
  <c r="E67" i="125" s="1"/>
  <c r="H65" i="151" s="1"/>
  <c r="E41" i="121"/>
  <c r="E41" i="125" s="1"/>
  <c r="H39" i="151" s="1"/>
  <c r="E33" i="121"/>
  <c r="E33" i="125" s="1"/>
  <c r="E59" i="121"/>
  <c r="E59" i="125" s="1"/>
  <c r="H57" i="151" s="1"/>
  <c r="E28" i="121"/>
  <c r="E28" i="125" s="1"/>
  <c r="H26" i="151" s="1"/>
  <c r="E66" i="121"/>
  <c r="E66" i="125" s="1"/>
  <c r="H64" i="151" s="1"/>
  <c r="E34" i="121"/>
  <c r="E34" i="125" s="1"/>
  <c r="H32" i="151" s="1"/>
  <c r="E31" i="121"/>
  <c r="E31" i="125" s="1"/>
  <c r="H29" i="151" s="1"/>
  <c r="E38" i="121"/>
  <c r="E38" i="125" s="1"/>
  <c r="H36" i="151" s="1"/>
  <c r="E30" i="121"/>
  <c r="E30" i="125" s="1"/>
  <c r="H28" i="151" s="1"/>
  <c r="E27" i="121"/>
  <c r="E27" i="125" s="1"/>
  <c r="H25" i="151" s="1"/>
  <c r="E26" i="121"/>
  <c r="E26" i="125" s="1"/>
  <c r="H24" i="151" s="1"/>
  <c r="E58" i="121"/>
  <c r="E58" i="125" s="1"/>
  <c r="H56" i="151" s="1"/>
  <c r="E51" i="121"/>
  <c r="E51" i="125" s="1"/>
  <c r="H49" i="151" s="1"/>
  <c r="E53" i="121"/>
  <c r="E53" i="125" s="1"/>
  <c r="H51" i="151" s="1"/>
  <c r="E62" i="121"/>
  <c r="E62" i="125" s="1"/>
  <c r="E24" i="121"/>
  <c r="E24" i="125" s="1"/>
  <c r="E45" i="121"/>
  <c r="E45" i="125" s="1"/>
  <c r="H43" i="151" s="1"/>
  <c r="E57" i="121"/>
  <c r="E57" i="125" s="1"/>
  <c r="H55" i="151" s="1"/>
  <c r="E22" i="121"/>
  <c r="E22" i="125" s="1"/>
  <c r="H20" i="151" s="1"/>
  <c r="E63" i="121"/>
  <c r="E63" i="125" s="1"/>
  <c r="H61" i="151" s="1"/>
  <c r="E52" i="121"/>
  <c r="E52" i="125" s="1"/>
  <c r="H50" i="151" s="1"/>
  <c r="E60" i="121"/>
  <c r="E60" i="125" s="1"/>
  <c r="H58" i="151" s="1"/>
  <c r="E76" i="124"/>
  <c r="E33" i="124" s="1"/>
  <c r="E32" i="121"/>
  <c r="E32" i="125" s="1"/>
  <c r="H30" i="151" s="1"/>
  <c r="C76" i="124"/>
  <c r="C63" i="121"/>
  <c r="C63" i="125" s="1"/>
  <c r="C53" i="121"/>
  <c r="C53" i="125" s="1"/>
  <c r="C40" i="121"/>
  <c r="C40" i="125" s="1"/>
  <c r="C46" i="121"/>
  <c r="C46" i="125" s="1"/>
  <c r="C22" i="121"/>
  <c r="C22" i="125" s="1"/>
  <c r="C26" i="121"/>
  <c r="C26" i="125" s="1"/>
  <c r="C49" i="121"/>
  <c r="C49" i="125" s="1"/>
  <c r="C51" i="121"/>
  <c r="C21" i="121"/>
  <c r="C21" i="125" s="1"/>
  <c r="C25" i="121"/>
  <c r="C25" i="125" s="1"/>
  <c r="C62" i="121"/>
  <c r="C36" i="121"/>
  <c r="C36" i="125" s="1"/>
  <c r="C45" i="121"/>
  <c r="C45" i="125" s="1"/>
  <c r="C60" i="121"/>
  <c r="C60" i="125" s="1"/>
  <c r="C30" i="121"/>
  <c r="C48" i="121"/>
  <c r="C48" i="125" s="1"/>
  <c r="C33" i="121"/>
  <c r="C33" i="125" s="1"/>
  <c r="C24" i="121"/>
  <c r="C24" i="125" s="1"/>
  <c r="C54" i="121"/>
  <c r="C54" i="125" s="1"/>
  <c r="C43" i="121"/>
  <c r="C50" i="121"/>
  <c r="C50" i="125" s="1"/>
  <c r="C38" i="121"/>
  <c r="C38" i="125" s="1"/>
  <c r="C31" i="121"/>
  <c r="C31" i="125" s="1"/>
  <c r="C32" i="121"/>
  <c r="C32" i="125" s="1"/>
  <c r="C66" i="121"/>
  <c r="C66" i="125" s="1"/>
  <c r="C67" i="121"/>
  <c r="C67" i="125" s="1"/>
  <c r="C39" i="121"/>
  <c r="C27" i="121"/>
  <c r="C28" i="121"/>
  <c r="C28" i="125" s="1"/>
  <c r="C65" i="121"/>
  <c r="C59" i="121"/>
  <c r="C20" i="121"/>
  <c r="C57" i="121"/>
  <c r="C57" i="125" s="1"/>
  <c r="C37" i="121"/>
  <c r="C37" i="125" s="1"/>
  <c r="C56" i="121"/>
  <c r="C56" i="125" s="1"/>
  <c r="C34" i="121"/>
  <c r="C34" i="125" s="1"/>
  <c r="C52" i="121"/>
  <c r="C52" i="125" s="1"/>
  <c r="C58" i="121"/>
  <c r="C58" i="125" s="1"/>
  <c r="C41" i="121"/>
  <c r="C41" i="125" s="1"/>
  <c r="C44" i="121"/>
  <c r="C44" i="125" s="1"/>
  <c r="D76" i="124"/>
  <c r="D58" i="121"/>
  <c r="D58" i="125" s="1"/>
  <c r="D45" i="121"/>
  <c r="D45" i="125" s="1"/>
  <c r="D43" i="121"/>
  <c r="D20" i="121"/>
  <c r="D53" i="121"/>
  <c r="D53" i="125" s="1"/>
  <c r="D46" i="121"/>
  <c r="D46" i="125" s="1"/>
  <c r="D32" i="121"/>
  <c r="D32" i="125" s="1"/>
  <c r="D60" i="121"/>
  <c r="D60" i="125" s="1"/>
  <c r="D30" i="121"/>
  <c r="D56" i="121"/>
  <c r="D62" i="121"/>
  <c r="D33" i="121"/>
  <c r="D33" i="125" s="1"/>
  <c r="D59" i="121"/>
  <c r="D59" i="125" s="1"/>
  <c r="D28" i="121"/>
  <c r="D28" i="125" s="1"/>
  <c r="D40" i="121"/>
  <c r="D40" i="125" s="1"/>
  <c r="D34" i="121"/>
  <c r="D34" i="125" s="1"/>
  <c r="D66" i="121"/>
  <c r="D66" i="125" s="1"/>
  <c r="D51" i="121"/>
  <c r="D51" i="125" s="1"/>
  <c r="D36" i="121"/>
  <c r="D41" i="121"/>
  <c r="D41" i="125" s="1"/>
  <c r="D50" i="121"/>
  <c r="D50" i="125" s="1"/>
  <c r="D31" i="121"/>
  <c r="D31" i="125" s="1"/>
  <c r="D24" i="121"/>
  <c r="D37" i="121"/>
  <c r="D37" i="125" s="1"/>
  <c r="D63" i="121"/>
  <c r="D63" i="125" s="1"/>
  <c r="D22" i="121"/>
  <c r="D22" i="125" s="1"/>
  <c r="D57" i="121"/>
  <c r="D57" i="125" s="1"/>
  <c r="D39" i="121"/>
  <c r="D39" i="125" s="1"/>
  <c r="D38" i="121"/>
  <c r="D38" i="125" s="1"/>
  <c r="D49" i="121"/>
  <c r="D49" i="125" s="1"/>
  <c r="D65" i="121"/>
  <c r="D67" i="121"/>
  <c r="D67" i="125" s="1"/>
  <c r="D26" i="121"/>
  <c r="D26" i="125" s="1"/>
  <c r="D52" i="121"/>
  <c r="D52" i="125" s="1"/>
  <c r="D48" i="121"/>
  <c r="D54" i="121"/>
  <c r="D54" i="125" s="1"/>
  <c r="D21" i="121"/>
  <c r="D21" i="125" s="1"/>
  <c r="D27" i="121"/>
  <c r="D27" i="125" s="1"/>
  <c r="D44" i="121"/>
  <c r="D44" i="125" s="1"/>
  <c r="D25" i="121"/>
  <c r="D25" i="125" s="1"/>
  <c r="E65" i="125"/>
  <c r="DY7" i="129"/>
  <c r="DY6" i="129" s="1"/>
  <c r="DY1" i="129" s="1"/>
  <c r="DO17" i="129"/>
  <c r="DO7" i="129"/>
  <c r="DO6" i="129" s="1"/>
  <c r="DO1" i="129" s="1"/>
  <c r="DM17" i="129"/>
  <c r="DM7" i="129"/>
  <c r="DM6" i="129" s="1"/>
  <c r="DM1" i="129" s="1"/>
  <c r="DW17" i="129"/>
  <c r="DW7" i="129"/>
  <c r="DW6" i="129" s="1"/>
  <c r="DW1" i="129" s="1"/>
  <c r="M47" i="93"/>
  <c r="M13" i="93" s="1"/>
  <c r="M13" i="127" s="1"/>
  <c r="AF22" i="114"/>
  <c r="AG37" i="114"/>
  <c r="AH28" i="114"/>
  <c r="AG25" i="114"/>
  <c r="AG23" i="114"/>
  <c r="AG39" i="114"/>
  <c r="AG20" i="114"/>
  <c r="AG31" i="114"/>
  <c r="AG40" i="114"/>
  <c r="AG35" i="114"/>
  <c r="AG21" i="114"/>
  <c r="M54" i="127"/>
  <c r="M51" i="127"/>
  <c r="J70" i="194"/>
  <c r="U11" i="190"/>
  <c r="U14" i="190"/>
  <c r="U7" i="190"/>
  <c r="U13" i="190"/>
  <c r="U9" i="190"/>
  <c r="U12" i="190"/>
  <c r="U10" i="190"/>
  <c r="U8" i="190"/>
  <c r="AH33" i="114"/>
  <c r="AH26" i="114"/>
  <c r="AH17" i="114"/>
  <c r="AH24" i="114"/>
  <c r="AH18" i="114"/>
  <c r="AH36" i="114"/>
  <c r="AH19" i="114"/>
  <c r="S54" i="120"/>
  <c r="S46" i="120"/>
  <c r="S31" i="120"/>
  <c r="S34" i="120"/>
  <c r="S52" i="120"/>
  <c r="S40" i="120"/>
  <c r="S66" i="120"/>
  <c r="S65" i="120"/>
  <c r="S28" i="120"/>
  <c r="S63" i="120"/>
  <c r="S60" i="120"/>
  <c r="S43" i="120"/>
  <c r="S53" i="120"/>
  <c r="S22" i="120"/>
  <c r="S27" i="120"/>
  <c r="S38" i="120"/>
  <c r="S59" i="120"/>
  <c r="S49" i="120"/>
  <c r="S51" i="120"/>
  <c r="S45" i="120"/>
  <c r="S26" i="120"/>
  <c r="S67" i="120"/>
  <c r="S21" i="120"/>
  <c r="S48" i="120"/>
  <c r="S33" i="120"/>
  <c r="S32" i="120"/>
  <c r="S39" i="120"/>
  <c r="S36" i="120"/>
  <c r="S37" i="120"/>
  <c r="S44" i="120"/>
  <c r="S25" i="120"/>
  <c r="S62" i="120"/>
  <c r="S50" i="120"/>
  <c r="S24" i="120"/>
  <c r="S58" i="120"/>
  <c r="S56" i="120"/>
  <c r="S57" i="120"/>
  <c r="S20" i="120"/>
  <c r="S41" i="120"/>
  <c r="S30" i="120"/>
  <c r="AE4" i="114"/>
  <c r="O51" i="93" s="1"/>
  <c r="O51" i="127" s="1"/>
  <c r="AF6" i="114"/>
  <c r="AF48" i="114"/>
  <c r="E70" i="192"/>
  <c r="AG15" i="114"/>
  <c r="AG9" i="114"/>
  <c r="AG49" i="114"/>
  <c r="AG45" i="114"/>
  <c r="AG12" i="114"/>
  <c r="AG11" i="114"/>
  <c r="AG50" i="114"/>
  <c r="AG14" i="114"/>
  <c r="AF42" i="114"/>
  <c r="AF10" i="114"/>
  <c r="AG47" i="114"/>
  <c r="AG44" i="114"/>
  <c r="AG43" i="114"/>
  <c r="AG13" i="114"/>
  <c r="AH7" i="114"/>
  <c r="AG8" i="114"/>
  <c r="AG46" i="114"/>
  <c r="AG38" i="114"/>
  <c r="AG41" i="114"/>
  <c r="T65" i="192"/>
  <c r="T49" i="192"/>
  <c r="T48" i="192"/>
  <c r="T46" i="192"/>
  <c r="R47" i="120"/>
  <c r="T60" i="192"/>
  <c r="R61" i="120"/>
  <c r="Q8" i="120"/>
  <c r="T17" i="191"/>
  <c r="T24" i="192"/>
  <c r="Q12" i="120"/>
  <c r="T10" i="191" s="1"/>
  <c r="T40" i="191"/>
  <c r="T42" i="192"/>
  <c r="T56" i="192"/>
  <c r="T44" i="192"/>
  <c r="T61" i="192"/>
  <c r="T19" i="192"/>
  <c r="Q14" i="120"/>
  <c r="T12" i="191" s="1"/>
  <c r="T53" i="191"/>
  <c r="T51" i="192"/>
  <c r="T39" i="192"/>
  <c r="T32" i="192"/>
  <c r="T58" i="192"/>
  <c r="T22" i="192"/>
  <c r="R23" i="120"/>
  <c r="T52" i="192"/>
  <c r="T28" i="192"/>
  <c r="R29" i="120"/>
  <c r="U5" i="188"/>
  <c r="N6" i="120"/>
  <c r="U4" i="188" s="1"/>
  <c r="Q9" i="120"/>
  <c r="T7" i="191" s="1"/>
  <c r="T21" i="191"/>
  <c r="Q16" i="120"/>
  <c r="T14" i="191" s="1"/>
  <c r="T62" i="191"/>
  <c r="T18" i="192"/>
  <c r="R19" i="120"/>
  <c r="T34" i="192"/>
  <c r="R35" i="120"/>
  <c r="T43" i="192"/>
  <c r="T38" i="192"/>
  <c r="T31" i="192"/>
  <c r="Q15" i="120"/>
  <c r="T13" i="191" s="1"/>
  <c r="T59" i="191"/>
  <c r="T47" i="192"/>
  <c r="U6" i="190"/>
  <c r="P18" i="120"/>
  <c r="P17" i="120" s="1"/>
  <c r="T30" i="192"/>
  <c r="T55" i="192"/>
  <c r="T41" i="192"/>
  <c r="R42" i="120"/>
  <c r="T50" i="192"/>
  <c r="T63" i="192"/>
  <c r="R64" i="120"/>
  <c r="Q13" i="120"/>
  <c r="T11" i="191" s="1"/>
  <c r="T45" i="191"/>
  <c r="Q10" i="120"/>
  <c r="T8" i="191" s="1"/>
  <c r="T27" i="191"/>
  <c r="T57" i="192"/>
  <c r="T25" i="192"/>
  <c r="T54" i="192"/>
  <c r="R55" i="120"/>
  <c r="T35" i="192"/>
  <c r="T37" i="192"/>
  <c r="Q11" i="120"/>
  <c r="T9" i="191" s="1"/>
  <c r="T33" i="191"/>
  <c r="T29" i="192"/>
  <c r="U16" i="189"/>
  <c r="O7" i="120"/>
  <c r="T20" i="192"/>
  <c r="T64" i="192"/>
  <c r="T23" i="192"/>
  <c r="T36" i="192"/>
  <c r="T26" i="192"/>
  <c r="L8" i="127"/>
  <c r="J78" i="121"/>
  <c r="J78" i="124" s="1"/>
  <c r="K89" i="121"/>
  <c r="K89" i="124" s="1"/>
  <c r="L132" i="121"/>
  <c r="L132" i="124" s="1"/>
  <c r="U62" i="126" s="1"/>
  <c r="L102" i="121"/>
  <c r="L102" i="124" s="1"/>
  <c r="U32" i="126" s="1"/>
  <c r="V10" i="185"/>
  <c r="J84" i="121"/>
  <c r="J84" i="124" s="1"/>
  <c r="J81" i="121"/>
  <c r="J81" i="124" s="1"/>
  <c r="L113" i="121"/>
  <c r="L113" i="124" s="1"/>
  <c r="U43" i="126" s="1"/>
  <c r="L98" i="121"/>
  <c r="L98" i="124" s="1"/>
  <c r="U28" i="126" s="1"/>
  <c r="L100" i="121"/>
  <c r="L100" i="124" s="1"/>
  <c r="U30" i="126" s="1"/>
  <c r="V27" i="186"/>
  <c r="L115" i="121"/>
  <c r="L115" i="124" s="1"/>
  <c r="U45" i="126" s="1"/>
  <c r="F54" i="121"/>
  <c r="F54" i="125" s="1"/>
  <c r="F34" i="121"/>
  <c r="F34" i="125" s="1"/>
  <c r="F57" i="121"/>
  <c r="F57" i="125" s="1"/>
  <c r="F38" i="121"/>
  <c r="F38" i="125" s="1"/>
  <c r="F58" i="121"/>
  <c r="F58" i="125" s="1"/>
  <c r="F31" i="121"/>
  <c r="F31" i="125" s="1"/>
  <c r="F21" i="121"/>
  <c r="F21" i="125" s="1"/>
  <c r="F46" i="121"/>
  <c r="F46" i="125" s="1"/>
  <c r="F67" i="121"/>
  <c r="F67" i="125" s="1"/>
  <c r="F52" i="121"/>
  <c r="F52" i="125" s="1"/>
  <c r="F60" i="121"/>
  <c r="F60" i="125" s="1"/>
  <c r="F36" i="121"/>
  <c r="F37" i="121"/>
  <c r="F37" i="125" s="1"/>
  <c r="F59" i="121"/>
  <c r="F59" i="125" s="1"/>
  <c r="F62" i="121"/>
  <c r="F51" i="121"/>
  <c r="F51" i="125" s="1"/>
  <c r="F28" i="121"/>
  <c r="F28" i="125" s="1"/>
  <c r="F32" i="121"/>
  <c r="F32" i="125" s="1"/>
  <c r="F39" i="121"/>
  <c r="F39" i="125" s="1"/>
  <c r="F20" i="121"/>
  <c r="F22" i="121"/>
  <c r="F22" i="125" s="1"/>
  <c r="F43" i="121"/>
  <c r="F27" i="121"/>
  <c r="F27" i="125" s="1"/>
  <c r="F40" i="121"/>
  <c r="F40" i="125" s="1"/>
  <c r="F53" i="121"/>
  <c r="F53" i="125" s="1"/>
  <c r="F63" i="121"/>
  <c r="F63" i="125" s="1"/>
  <c r="F56" i="121"/>
  <c r="F45" i="121"/>
  <c r="F45" i="125" s="1"/>
  <c r="F30" i="121"/>
  <c r="F66" i="121"/>
  <c r="F66" i="125" s="1"/>
  <c r="F25" i="121"/>
  <c r="F25" i="125" s="1"/>
  <c r="F33" i="121"/>
  <c r="F33" i="125" s="1"/>
  <c r="F24" i="121"/>
  <c r="F65" i="121"/>
  <c r="F41" i="121"/>
  <c r="F41" i="125" s="1"/>
  <c r="F50" i="121"/>
  <c r="F50" i="125" s="1"/>
  <c r="F26" i="121"/>
  <c r="F26" i="125" s="1"/>
  <c r="F44" i="121"/>
  <c r="F44" i="125" s="1"/>
  <c r="F48" i="121"/>
  <c r="F49" i="121"/>
  <c r="F49" i="125" s="1"/>
  <c r="I88" i="121"/>
  <c r="I88" i="124" s="1"/>
  <c r="K117" i="121"/>
  <c r="K117" i="124" s="1"/>
  <c r="L95" i="121"/>
  <c r="L95" i="124" s="1"/>
  <c r="U25" i="126" s="1"/>
  <c r="L103" i="121"/>
  <c r="L103" i="124" s="1"/>
  <c r="U33" i="126" s="1"/>
  <c r="L97" i="121"/>
  <c r="L97" i="124" s="1"/>
  <c r="U27" i="126" s="1"/>
  <c r="L111" i="121"/>
  <c r="L111" i="124" s="1"/>
  <c r="U41" i="126" s="1"/>
  <c r="L130" i="121"/>
  <c r="L130" i="124" s="1"/>
  <c r="U60" i="126" s="1"/>
  <c r="L137" i="121"/>
  <c r="L137" i="124" s="1"/>
  <c r="U67" i="126" s="1"/>
  <c r="L136" i="121"/>
  <c r="L136" i="124" s="1"/>
  <c r="U66" i="126" s="1"/>
  <c r="L106" i="121"/>
  <c r="L106" i="124" s="1"/>
  <c r="U36" i="126" s="1"/>
  <c r="V33" i="186"/>
  <c r="V7" i="185"/>
  <c r="L124" i="121"/>
  <c r="L124" i="124" s="1"/>
  <c r="U54" i="126" s="1"/>
  <c r="AF34" i="114"/>
  <c r="G76" i="121"/>
  <c r="G76" i="124" s="1"/>
  <c r="K99" i="121"/>
  <c r="K99" i="124" s="1"/>
  <c r="K125" i="121"/>
  <c r="K125" i="124" s="1"/>
  <c r="J80" i="121"/>
  <c r="J80" i="124" s="1"/>
  <c r="L96" i="121"/>
  <c r="L96" i="124" s="1"/>
  <c r="U26" i="126" s="1"/>
  <c r="L114" i="121"/>
  <c r="L114" i="124" s="1"/>
  <c r="U44" i="126" s="1"/>
  <c r="V4" i="170"/>
  <c r="L90" i="121"/>
  <c r="L90" i="124" s="1"/>
  <c r="U20" i="126" s="1"/>
  <c r="L101" i="121"/>
  <c r="L101" i="124" s="1"/>
  <c r="U31" i="126" s="1"/>
  <c r="V6" i="185"/>
  <c r="F54" i="124"/>
  <c r="I52" i="134" s="1"/>
  <c r="F45" i="124"/>
  <c r="I43" i="134" s="1"/>
  <c r="F52" i="124"/>
  <c r="I50" i="134" s="1"/>
  <c r="F30" i="124"/>
  <c r="F60" i="124"/>
  <c r="I58" i="134" s="1"/>
  <c r="F66" i="124"/>
  <c r="I64" i="134" s="1"/>
  <c r="F36" i="124"/>
  <c r="F33" i="124"/>
  <c r="I31" i="134" s="1"/>
  <c r="F24" i="124"/>
  <c r="F59" i="124"/>
  <c r="I57" i="134" s="1"/>
  <c r="F41" i="124"/>
  <c r="I39" i="134" s="1"/>
  <c r="F50" i="124"/>
  <c r="I48" i="134" s="1"/>
  <c r="F51" i="124"/>
  <c r="I49" i="134" s="1"/>
  <c r="F28" i="124"/>
  <c r="I26" i="134" s="1"/>
  <c r="F34" i="124"/>
  <c r="I32" i="134" s="1"/>
  <c r="F22" i="124"/>
  <c r="I20" i="134" s="1"/>
  <c r="F57" i="124"/>
  <c r="I55" i="134" s="1"/>
  <c r="F27" i="124"/>
  <c r="I25" i="134" s="1"/>
  <c r="F40" i="124"/>
  <c r="I38" i="134" s="1"/>
  <c r="F53" i="124"/>
  <c r="I51" i="134" s="1"/>
  <c r="F31" i="124"/>
  <c r="I29" i="134" s="1"/>
  <c r="F56" i="124"/>
  <c r="F46" i="124"/>
  <c r="I44" i="134" s="1"/>
  <c r="F67" i="124"/>
  <c r="I65" i="134" s="1"/>
  <c r="F25" i="124"/>
  <c r="I23" i="134" s="1"/>
  <c r="F37" i="124"/>
  <c r="I35" i="134" s="1"/>
  <c r="F65" i="124"/>
  <c r="F62" i="124"/>
  <c r="F26" i="124"/>
  <c r="I24" i="134" s="1"/>
  <c r="F44" i="124"/>
  <c r="I42" i="134" s="1"/>
  <c r="F48" i="124"/>
  <c r="F49" i="124"/>
  <c r="I47" i="134" s="1"/>
  <c r="F32" i="124"/>
  <c r="I30" i="134" s="1"/>
  <c r="F39" i="124"/>
  <c r="I37" i="134" s="1"/>
  <c r="F20" i="124"/>
  <c r="F43" i="124"/>
  <c r="F38" i="124"/>
  <c r="I36" i="134" s="1"/>
  <c r="F58" i="124"/>
  <c r="I56" i="134" s="1"/>
  <c r="F63" i="124"/>
  <c r="I61" i="134" s="1"/>
  <c r="F21" i="124"/>
  <c r="I19" i="134" s="1"/>
  <c r="L104" i="121"/>
  <c r="L104" i="124" s="1"/>
  <c r="U34" i="126" s="1"/>
  <c r="L107" i="121"/>
  <c r="L107" i="124" s="1"/>
  <c r="U37" i="126" s="1"/>
  <c r="L128" i="121"/>
  <c r="L128" i="124" s="1"/>
  <c r="U58" i="126" s="1"/>
  <c r="J83" i="121"/>
  <c r="J83" i="124" s="1"/>
  <c r="V12" i="185"/>
  <c r="K131" i="121"/>
  <c r="K131" i="124" s="1"/>
  <c r="J85" i="121"/>
  <c r="J85" i="124" s="1"/>
  <c r="L118" i="121"/>
  <c r="L118" i="124" s="1"/>
  <c r="U48" i="126" s="1"/>
  <c r="L122" i="121"/>
  <c r="L122" i="124" s="1"/>
  <c r="U52" i="126" s="1"/>
  <c r="L127" i="121"/>
  <c r="L127" i="124" s="1"/>
  <c r="U57" i="126" s="1"/>
  <c r="L119" i="121"/>
  <c r="L119" i="124" s="1"/>
  <c r="U49" i="126" s="1"/>
  <c r="L123" i="121"/>
  <c r="L123" i="124" s="1"/>
  <c r="U53" i="126" s="1"/>
  <c r="K105" i="121"/>
  <c r="K105" i="124" s="1"/>
  <c r="K134" i="121"/>
  <c r="K134" i="124" s="1"/>
  <c r="V14" i="185"/>
  <c r="J8" i="212" l="1"/>
  <c r="J93" i="212"/>
  <c r="J7" i="212"/>
  <c r="J87" i="212"/>
  <c r="X14" i="112"/>
  <c r="J53" i="213"/>
  <c r="J12" i="212"/>
  <c r="J119" i="212"/>
  <c r="J13" i="212"/>
  <c r="J125" i="212"/>
  <c r="X11" i="112"/>
  <c r="J33" i="213"/>
  <c r="J14" i="212"/>
  <c r="J128" i="212"/>
  <c r="J10" i="212"/>
  <c r="J106" i="212"/>
  <c r="J11" i="212"/>
  <c r="J111" i="212"/>
  <c r="X10" i="112"/>
  <c r="J27" i="213"/>
  <c r="J21" i="213"/>
  <c r="X9" i="112"/>
  <c r="J17" i="213"/>
  <c r="X8" i="112"/>
  <c r="X18" i="112" s="1"/>
  <c r="J59" i="213"/>
  <c r="X15" i="112"/>
  <c r="W18" i="112"/>
  <c r="X13" i="112"/>
  <c r="J45" i="213"/>
  <c r="X16" i="112"/>
  <c r="J62" i="213"/>
  <c r="J40" i="213"/>
  <c r="X12" i="112"/>
  <c r="J6" i="212"/>
  <c r="J83" i="212"/>
  <c r="J9" i="212"/>
  <c r="J99" i="212"/>
  <c r="E5" i="213"/>
  <c r="E106" i="200"/>
  <c r="GY60" i="129"/>
  <c r="GY51" i="129"/>
  <c r="GY59" i="129"/>
  <c r="GY65" i="129"/>
  <c r="N63" i="212" s="1"/>
  <c r="GY26" i="129"/>
  <c r="N24" i="212" s="1"/>
  <c r="GY31" i="129"/>
  <c r="GY29" i="129" s="1"/>
  <c r="N27" i="212" s="1"/>
  <c r="GY33" i="129"/>
  <c r="N31" i="212" s="1"/>
  <c r="GY49" i="129"/>
  <c r="W48" i="130" s="1"/>
  <c r="GY41" i="129"/>
  <c r="GY40" i="129"/>
  <c r="GY62" i="129"/>
  <c r="N60" i="212" s="1"/>
  <c r="GY43" i="129"/>
  <c r="N41" i="212" s="1"/>
  <c r="GY58" i="129"/>
  <c r="W57" i="130" s="1"/>
  <c r="GY56" i="129"/>
  <c r="N54" i="212" s="1"/>
  <c r="GY25" i="129"/>
  <c r="W24" i="130" s="1"/>
  <c r="GY53" i="129"/>
  <c r="W52" i="130" s="1"/>
  <c r="GY36" i="129"/>
  <c r="N34" i="212" s="1"/>
  <c r="GY22" i="129"/>
  <c r="GY32" i="129"/>
  <c r="GY57" i="129"/>
  <c r="GY50" i="129"/>
  <c r="W49" i="130" s="1"/>
  <c r="GY21" i="129"/>
  <c r="W20" i="130" s="1"/>
  <c r="GY34" i="129"/>
  <c r="N32" i="212" s="1"/>
  <c r="GY20" i="129"/>
  <c r="N18" i="212" s="1"/>
  <c r="W37" i="130"/>
  <c r="N36" i="212"/>
  <c r="W38" i="130"/>
  <c r="N37" i="212"/>
  <c r="W27" i="130"/>
  <c r="N26" i="212"/>
  <c r="W66" i="130"/>
  <c r="N65" i="212"/>
  <c r="W51" i="130"/>
  <c r="N50" i="212"/>
  <c r="W62" i="130"/>
  <c r="N61" i="212"/>
  <c r="W36" i="130"/>
  <c r="N35" i="212"/>
  <c r="W26" i="130"/>
  <c r="N25" i="212"/>
  <c r="W65" i="130"/>
  <c r="N64" i="212"/>
  <c r="W43" i="130"/>
  <c r="N42" i="212"/>
  <c r="W45" i="130"/>
  <c r="N44" i="212"/>
  <c r="W53" i="130"/>
  <c r="N52" i="212"/>
  <c r="W44" i="130"/>
  <c r="N43" i="212"/>
  <c r="W40" i="130"/>
  <c r="N39" i="212"/>
  <c r="W59" i="130"/>
  <c r="N58" i="212"/>
  <c r="W39" i="130"/>
  <c r="N38" i="212"/>
  <c r="W50" i="130"/>
  <c r="N49" i="212"/>
  <c r="HI39" i="129"/>
  <c r="N37" i="213" s="1"/>
  <c r="HI50" i="129"/>
  <c r="N48" i="213" s="1"/>
  <c r="HI38" i="129"/>
  <c r="N36" i="213" s="1"/>
  <c r="HI57" i="129"/>
  <c r="N55" i="213" s="1"/>
  <c r="HI40" i="129"/>
  <c r="N38" i="213" s="1"/>
  <c r="HI20" i="129"/>
  <c r="HI30" i="129"/>
  <c r="HI26" i="129"/>
  <c r="N24" i="213" s="1"/>
  <c r="HI36" i="129"/>
  <c r="HI63" i="129"/>
  <c r="N61" i="213" s="1"/>
  <c r="HI43" i="129"/>
  <c r="HI44" i="129"/>
  <c r="N42" i="213" s="1"/>
  <c r="HI41" i="129"/>
  <c r="N39" i="213" s="1"/>
  <c r="HI33" i="129"/>
  <c r="N31" i="213" s="1"/>
  <c r="HI54" i="129"/>
  <c r="N52" i="213" s="1"/>
  <c r="HI28" i="129"/>
  <c r="N26" i="213" s="1"/>
  <c r="HI31" i="129"/>
  <c r="N29" i="213" s="1"/>
  <c r="HI58" i="129"/>
  <c r="N56" i="213" s="1"/>
  <c r="HI56" i="129"/>
  <c r="HI48" i="129"/>
  <c r="HI34" i="129"/>
  <c r="N32" i="213" s="1"/>
  <c r="HI32" i="129"/>
  <c r="N30" i="213" s="1"/>
  <c r="HI67" i="129"/>
  <c r="N65" i="213" s="1"/>
  <c r="HI60" i="129"/>
  <c r="N58" i="213" s="1"/>
  <c r="HI21" i="129"/>
  <c r="N19" i="213" s="1"/>
  <c r="HI66" i="129"/>
  <c r="N64" i="213" s="1"/>
  <c r="HI25" i="129"/>
  <c r="N23" i="213" s="1"/>
  <c r="HI45" i="129"/>
  <c r="N43" i="213" s="1"/>
  <c r="HI27" i="129"/>
  <c r="N25" i="213" s="1"/>
  <c r="HI24" i="129"/>
  <c r="HI37" i="129"/>
  <c r="N35" i="213" s="1"/>
  <c r="HI52" i="129"/>
  <c r="N50" i="213" s="1"/>
  <c r="HI53" i="129"/>
  <c r="N51" i="213" s="1"/>
  <c r="HI46" i="129"/>
  <c r="N44" i="213" s="1"/>
  <c r="HI62" i="129"/>
  <c r="HI51" i="129"/>
  <c r="N49" i="213" s="1"/>
  <c r="HI49" i="129"/>
  <c r="N47" i="213" s="1"/>
  <c r="HI22" i="129"/>
  <c r="N20" i="213" s="1"/>
  <c r="HI65" i="129"/>
  <c r="HI59" i="129"/>
  <c r="N57" i="213" s="1"/>
  <c r="AB45" i="92"/>
  <c r="GZ5" i="129"/>
  <c r="AC41" i="92"/>
  <c r="HJ5" i="129" s="1"/>
  <c r="W58" i="130"/>
  <c r="N57" i="212"/>
  <c r="W25" i="130"/>
  <c r="N23" i="212"/>
  <c r="W32" i="130"/>
  <c r="W21" i="130"/>
  <c r="N20" i="212"/>
  <c r="W31" i="130"/>
  <c r="N30" i="212"/>
  <c r="W56" i="130"/>
  <c r="N55" i="212"/>
  <c r="AC38" i="92"/>
  <c r="E134" i="200"/>
  <c r="W7" i="127"/>
  <c r="E4" i="213"/>
  <c r="E116" i="200" s="1"/>
  <c r="E117" i="200"/>
  <c r="X6" i="111"/>
  <c r="X6" i="127" s="1"/>
  <c r="X5" i="127" s="1"/>
  <c r="X7" i="127"/>
  <c r="EH17" i="129"/>
  <c r="H109" i="200"/>
  <c r="H141" i="200"/>
  <c r="H106" i="200"/>
  <c r="H138" i="200"/>
  <c r="H107" i="200"/>
  <c r="H139" i="200"/>
  <c r="H108" i="200"/>
  <c r="H140" i="200"/>
  <c r="H104" i="200"/>
  <c r="H136" i="200"/>
  <c r="H103" i="200"/>
  <c r="H135" i="200"/>
  <c r="E104" i="200"/>
  <c r="E136" i="200"/>
  <c r="H110" i="200"/>
  <c r="H142" i="200"/>
  <c r="H102" i="200"/>
  <c r="H134" i="200"/>
  <c r="H105" i="200"/>
  <c r="H137" i="200"/>
  <c r="E105" i="200"/>
  <c r="E137" i="200"/>
  <c r="E5" i="212"/>
  <c r="E85" i="200" s="1"/>
  <c r="E71" i="213"/>
  <c r="V13" i="185"/>
  <c r="K85" i="121" s="1"/>
  <c r="K85" i="124" s="1"/>
  <c r="T23" i="212"/>
  <c r="T23" i="213"/>
  <c r="T18" i="212"/>
  <c r="T18" i="213"/>
  <c r="T20" i="212"/>
  <c r="T20" i="213"/>
  <c r="T55" i="212"/>
  <c r="T55" i="213"/>
  <c r="T24" i="212"/>
  <c r="T24" i="213"/>
  <c r="T50" i="212"/>
  <c r="T50" i="213"/>
  <c r="T54" i="212"/>
  <c r="T54" i="213"/>
  <c r="T43" i="212"/>
  <c r="T43" i="213"/>
  <c r="T56" i="212"/>
  <c r="T56" i="213"/>
  <c r="T37" i="212"/>
  <c r="T37" i="213"/>
  <c r="T49" i="212"/>
  <c r="T49" i="213"/>
  <c r="T58" i="212"/>
  <c r="T58" i="213"/>
  <c r="T29" i="212"/>
  <c r="T29" i="213"/>
  <c r="T39" i="212"/>
  <c r="T39" i="213"/>
  <c r="T64" i="212"/>
  <c r="T64" i="213"/>
  <c r="T22" i="212"/>
  <c r="T22" i="213"/>
  <c r="T30" i="212"/>
  <c r="T30" i="213"/>
  <c r="T47" i="212"/>
  <c r="T47" i="213"/>
  <c r="T61" i="212"/>
  <c r="T61" i="213"/>
  <c r="T44" i="212"/>
  <c r="T44" i="213"/>
  <c r="T25" i="212"/>
  <c r="T25" i="213"/>
  <c r="T42" i="212"/>
  <c r="T42" i="213"/>
  <c r="T38" i="212"/>
  <c r="T38" i="213"/>
  <c r="T35" i="212"/>
  <c r="T35" i="213"/>
  <c r="T51" i="212"/>
  <c r="T51" i="213"/>
  <c r="T34" i="212"/>
  <c r="T34" i="213"/>
  <c r="T32" i="212"/>
  <c r="T32" i="213"/>
  <c r="T48" i="212"/>
  <c r="T48" i="213"/>
  <c r="T31" i="212"/>
  <c r="T31" i="213"/>
  <c r="T57" i="212"/>
  <c r="T57" i="213"/>
  <c r="T26" i="212"/>
  <c r="T26" i="213"/>
  <c r="T52" i="212"/>
  <c r="T52" i="213"/>
  <c r="T19" i="212"/>
  <c r="T19" i="213"/>
  <c r="T65" i="212"/>
  <c r="T65" i="213"/>
  <c r="T41" i="212"/>
  <c r="T41" i="213"/>
  <c r="T28" i="212"/>
  <c r="T28" i="213"/>
  <c r="T60" i="212"/>
  <c r="T60" i="213"/>
  <c r="T46" i="212"/>
  <c r="T46" i="213"/>
  <c r="T36" i="212"/>
  <c r="T36" i="213"/>
  <c r="T63" i="212"/>
  <c r="T63" i="213"/>
  <c r="AL5" i="114"/>
  <c r="AM65" i="114"/>
  <c r="AM5" i="114" s="1"/>
  <c r="V11" i="185"/>
  <c r="K83" i="121" s="1"/>
  <c r="K83" i="124" s="1"/>
  <c r="F11" i="213"/>
  <c r="F123" i="200" s="1"/>
  <c r="V52" i="131"/>
  <c r="V38" i="131"/>
  <c r="V23" i="131"/>
  <c r="V57" i="131"/>
  <c r="F7" i="213"/>
  <c r="F119" i="200" s="1"/>
  <c r="V21" i="131"/>
  <c r="V53" i="131"/>
  <c r="V66" i="131"/>
  <c r="V58" i="131"/>
  <c r="GN61" i="129"/>
  <c r="GN15" i="129" s="1"/>
  <c r="V14" i="131" s="1"/>
  <c r="V36" i="131"/>
  <c r="V48" i="131"/>
  <c r="V59" i="131"/>
  <c r="V61" i="131"/>
  <c r="F14" i="213"/>
  <c r="F126" i="200" s="1"/>
  <c r="V42" i="131"/>
  <c r="F6" i="213"/>
  <c r="F118" i="200" s="1"/>
  <c r="F10" i="213"/>
  <c r="F122" i="200" s="1"/>
  <c r="V32" i="131"/>
  <c r="V39" i="131"/>
  <c r="V47" i="131"/>
  <c r="V50" i="131"/>
  <c r="V49" i="131"/>
  <c r="V43" i="131"/>
  <c r="V33" i="131"/>
  <c r="F12" i="213"/>
  <c r="F124" i="200" s="1"/>
  <c r="V20" i="131"/>
  <c r="F8" i="213"/>
  <c r="F120" i="200" s="1"/>
  <c r="V55" i="131"/>
  <c r="V30" i="131"/>
  <c r="F9" i="213"/>
  <c r="F121" i="200" s="1"/>
  <c r="H5" i="212"/>
  <c r="V24" i="131"/>
  <c r="V27" i="131"/>
  <c r="V31" i="131"/>
  <c r="V29" i="131"/>
  <c r="F13" i="213"/>
  <c r="F125" i="200" s="1"/>
  <c r="V45" i="186"/>
  <c r="L117" i="121" s="1"/>
  <c r="L117" i="124" s="1"/>
  <c r="U47" i="126" s="1"/>
  <c r="GN64" i="129"/>
  <c r="GN16" i="129" s="1"/>
  <c r="V15" i="131" s="1"/>
  <c r="GN55" i="129"/>
  <c r="V62" i="131"/>
  <c r="GN29" i="129"/>
  <c r="GN19" i="129"/>
  <c r="GN23" i="129"/>
  <c r="V26" i="131"/>
  <c r="GN35" i="129"/>
  <c r="V19" i="131"/>
  <c r="GN42" i="129"/>
  <c r="V35" i="131"/>
  <c r="V64" i="131"/>
  <c r="F92" i="200"/>
  <c r="W64" i="130"/>
  <c r="GY64" i="129"/>
  <c r="N62" i="212" s="1"/>
  <c r="W42" i="130"/>
  <c r="GY42" i="129"/>
  <c r="N40" i="212" s="1"/>
  <c r="GX65" i="129"/>
  <c r="GX30" i="129"/>
  <c r="GX54" i="129"/>
  <c r="GX21" i="129"/>
  <c r="GX20" i="129"/>
  <c r="GX60" i="129"/>
  <c r="GX58" i="129"/>
  <c r="GX32" i="129"/>
  <c r="GX57" i="129"/>
  <c r="GX22" i="129"/>
  <c r="GX38" i="129"/>
  <c r="GX43" i="129"/>
  <c r="GX67" i="129"/>
  <c r="GX41" i="129"/>
  <c r="GX48" i="129"/>
  <c r="GX40" i="129"/>
  <c r="GX52" i="129"/>
  <c r="GX50" i="129"/>
  <c r="GX53" i="129"/>
  <c r="GX49" i="129"/>
  <c r="GX56" i="129"/>
  <c r="GX63" i="129"/>
  <c r="GX27" i="129"/>
  <c r="GX59" i="129"/>
  <c r="GX66" i="129"/>
  <c r="GX39" i="129"/>
  <c r="GX51" i="129"/>
  <c r="GX33" i="129"/>
  <c r="GX31" i="129"/>
  <c r="GX25" i="129"/>
  <c r="GX44" i="129"/>
  <c r="GX24" i="129"/>
  <c r="GX37" i="129"/>
  <c r="GX34" i="129"/>
  <c r="GX28" i="129"/>
  <c r="GW5" i="129"/>
  <c r="GX62" i="129"/>
  <c r="GX36" i="129"/>
  <c r="GX26" i="129"/>
  <c r="GX46" i="129"/>
  <c r="GX45" i="129"/>
  <c r="W35" i="130"/>
  <c r="GY35" i="129"/>
  <c r="N33" i="212" s="1"/>
  <c r="F93" i="200"/>
  <c r="F86" i="200"/>
  <c r="W47" i="130"/>
  <c r="F89" i="200"/>
  <c r="GY61" i="129"/>
  <c r="N59" i="212" s="1"/>
  <c r="F91" i="200"/>
  <c r="F87" i="200"/>
  <c r="F94" i="200"/>
  <c r="AB63" i="92"/>
  <c r="AB44" i="92"/>
  <c r="HE5" i="129" s="1"/>
  <c r="E21" i="200"/>
  <c r="E69" i="200" s="1"/>
  <c r="W7" i="110"/>
  <c r="V51" i="131"/>
  <c r="W23" i="130"/>
  <c r="F90" i="200"/>
  <c r="GN47" i="129"/>
  <c r="F88" i="200"/>
  <c r="W29" i="130"/>
  <c r="J70" i="200"/>
  <c r="J74" i="200"/>
  <c r="J71" i="200"/>
  <c r="J73" i="200"/>
  <c r="J72" i="200"/>
  <c r="J77" i="200"/>
  <c r="J76" i="200"/>
  <c r="J78" i="200"/>
  <c r="J75" i="200"/>
  <c r="D106" i="188"/>
  <c r="N36" i="127"/>
  <c r="D114" i="188"/>
  <c r="V62" i="186"/>
  <c r="L134" i="121" s="1"/>
  <c r="L134" i="124" s="1"/>
  <c r="U64" i="126" s="1"/>
  <c r="V14" i="186"/>
  <c r="D99" i="188"/>
  <c r="D122" i="188"/>
  <c r="V5" i="177"/>
  <c r="I77" i="121" s="1"/>
  <c r="I77" i="124" s="1"/>
  <c r="D119" i="188"/>
  <c r="T34" i="211"/>
  <c r="T41" i="211"/>
  <c r="T28" i="211"/>
  <c r="T46" i="211"/>
  <c r="T63" i="211"/>
  <c r="T18" i="211"/>
  <c r="T54" i="211"/>
  <c r="T22" i="211"/>
  <c r="T60" i="211"/>
  <c r="H16" i="211"/>
  <c r="H5" i="211" s="1"/>
  <c r="GD61" i="129"/>
  <c r="U60" i="131" s="1"/>
  <c r="V30" i="188"/>
  <c r="V59" i="186"/>
  <c r="L131" i="121" s="1"/>
  <c r="L131" i="124" s="1"/>
  <c r="U61" i="126" s="1"/>
  <c r="M90" i="121"/>
  <c r="M90" i="124" s="1"/>
  <c r="V20" i="126" s="1"/>
  <c r="D121" i="188"/>
  <c r="M92" i="121"/>
  <c r="M92" i="124" s="1"/>
  <c r="V22" i="126" s="1"/>
  <c r="U61" i="131"/>
  <c r="D96" i="188"/>
  <c r="M8" i="93"/>
  <c r="M8" i="127" s="1"/>
  <c r="J7" i="127"/>
  <c r="N60" i="127"/>
  <c r="M19" i="127"/>
  <c r="D109" i="188"/>
  <c r="N33" i="127"/>
  <c r="V9" i="185"/>
  <c r="K81" i="121" s="1"/>
  <c r="K81" i="124" s="1"/>
  <c r="D113" i="188"/>
  <c r="N45" i="127"/>
  <c r="N38" i="127"/>
  <c r="K7" i="93"/>
  <c r="K6" i="93" s="1"/>
  <c r="K6" i="127" s="1"/>
  <c r="K5" i="127" s="1"/>
  <c r="K72" i="127" s="1"/>
  <c r="D67" i="185"/>
  <c r="D69" i="185" s="1"/>
  <c r="M14" i="93"/>
  <c r="M14" i="127" s="1"/>
  <c r="K18" i="127"/>
  <c r="V21" i="186"/>
  <c r="L93" i="121" s="1"/>
  <c r="L93" i="124" s="1"/>
  <c r="U23" i="126" s="1"/>
  <c r="V53" i="186"/>
  <c r="L125" i="121" s="1"/>
  <c r="L125" i="124" s="1"/>
  <c r="U55" i="126" s="1"/>
  <c r="N65" i="127"/>
  <c r="GD42" i="129"/>
  <c r="U41" i="131" s="1"/>
  <c r="GD29" i="129"/>
  <c r="GD10" i="129" s="1"/>
  <c r="U9" i="131" s="1"/>
  <c r="M35" i="127"/>
  <c r="N58" i="127"/>
  <c r="V40" i="186"/>
  <c r="L112" i="121" s="1"/>
  <c r="L112" i="124" s="1"/>
  <c r="U42" i="126" s="1"/>
  <c r="GD23" i="129"/>
  <c r="U22" i="131" s="1"/>
  <c r="M102" i="121"/>
  <c r="M102" i="124" s="1"/>
  <c r="V32" i="126" s="1"/>
  <c r="M95" i="121"/>
  <c r="M95" i="124" s="1"/>
  <c r="V25" i="126" s="1"/>
  <c r="GD55" i="129"/>
  <c r="GD14" i="129" s="1"/>
  <c r="U13" i="131" s="1"/>
  <c r="G36" i="200"/>
  <c r="M42" i="127"/>
  <c r="D104" i="188"/>
  <c r="GD47" i="129"/>
  <c r="GD13" i="129" s="1"/>
  <c r="U12" i="131" s="1"/>
  <c r="M15" i="93"/>
  <c r="M15" i="127" s="1"/>
  <c r="AF51" i="206"/>
  <c r="AF10" i="206"/>
  <c r="AF48" i="206"/>
  <c r="U57" i="131"/>
  <c r="AE4" i="206"/>
  <c r="U31" i="131"/>
  <c r="GD64" i="129"/>
  <c r="GD16" i="129" s="1"/>
  <c r="U15" i="131" s="1"/>
  <c r="U42" i="131"/>
  <c r="GD35" i="129"/>
  <c r="GD11" i="129" s="1"/>
  <c r="U10" i="131" s="1"/>
  <c r="FK18" i="129"/>
  <c r="FK7" i="129" s="1"/>
  <c r="FK6" i="129" s="1"/>
  <c r="F1" i="207"/>
  <c r="GK5" i="129"/>
  <c r="GD19" i="129"/>
  <c r="GD8" i="129" s="1"/>
  <c r="U52" i="131"/>
  <c r="U6" i="126"/>
  <c r="U5" i="126" s="1"/>
  <c r="GF25" i="129"/>
  <c r="GF45" i="129"/>
  <c r="GF59" i="129"/>
  <c r="GF36" i="129"/>
  <c r="GF65" i="129"/>
  <c r="AI92" i="114"/>
  <c r="AH32" i="114"/>
  <c r="N46" i="127"/>
  <c r="GF44" i="129"/>
  <c r="GF37" i="129"/>
  <c r="AH90" i="114"/>
  <c r="AG30" i="114"/>
  <c r="AG29" i="114" s="1"/>
  <c r="N20" i="127"/>
  <c r="AH67" i="206"/>
  <c r="AG7" i="206"/>
  <c r="GF51" i="129"/>
  <c r="AH112" i="206"/>
  <c r="AG52" i="206"/>
  <c r="AH106" i="206"/>
  <c r="AG46" i="206"/>
  <c r="GF60" i="129"/>
  <c r="AF16" i="206"/>
  <c r="M9" i="93"/>
  <c r="M9" i="127" s="1"/>
  <c r="GF50" i="129"/>
  <c r="GF48" i="129"/>
  <c r="GF39" i="129"/>
  <c r="AH105" i="206"/>
  <c r="AG45" i="206"/>
  <c r="M132" i="121"/>
  <c r="M132" i="124" s="1"/>
  <c r="V62" i="126" s="1"/>
  <c r="AH85" i="206"/>
  <c r="AG25" i="206"/>
  <c r="GF28" i="129"/>
  <c r="GF30" i="129"/>
  <c r="GF62" i="129"/>
  <c r="AH97" i="206"/>
  <c r="AG37" i="206"/>
  <c r="AH103" i="206"/>
  <c r="AG43" i="206"/>
  <c r="M29" i="127"/>
  <c r="GF66" i="129"/>
  <c r="GF33" i="129"/>
  <c r="GF63" i="129"/>
  <c r="AG28" i="206"/>
  <c r="AH88" i="206"/>
  <c r="AH79" i="206"/>
  <c r="AG19" i="206"/>
  <c r="AG54" i="206"/>
  <c r="AH114" i="206"/>
  <c r="AH110" i="206"/>
  <c r="AG50" i="206"/>
  <c r="M111" i="121"/>
  <c r="M111" i="124" s="1"/>
  <c r="V41" i="126" s="1"/>
  <c r="AG21" i="206"/>
  <c r="AH81" i="206"/>
  <c r="GF21" i="129"/>
  <c r="AF6" i="206"/>
  <c r="D124" i="188"/>
  <c r="GF43" i="129"/>
  <c r="GF49" i="129"/>
  <c r="AG14" i="206"/>
  <c r="AH74" i="206"/>
  <c r="AG41" i="206"/>
  <c r="AH101" i="206"/>
  <c r="GF54" i="129"/>
  <c r="AG32" i="206"/>
  <c r="AH92" i="206"/>
  <c r="AG40" i="206"/>
  <c r="AH100" i="206"/>
  <c r="N37" i="127"/>
  <c r="M64" i="127"/>
  <c r="M16" i="93"/>
  <c r="M16" i="127" s="1"/>
  <c r="D115" i="188"/>
  <c r="GF67" i="129"/>
  <c r="GF22" i="129"/>
  <c r="AG36" i="206"/>
  <c r="AH96" i="206"/>
  <c r="AH73" i="206"/>
  <c r="AG13" i="206"/>
  <c r="AG18" i="206"/>
  <c r="AH78" i="206"/>
  <c r="AG15" i="206"/>
  <c r="AH75" i="206"/>
  <c r="AG38" i="206"/>
  <c r="AH98" i="206"/>
  <c r="AH91" i="206"/>
  <c r="AG31" i="206"/>
  <c r="GF34" i="129"/>
  <c r="E4" i="207"/>
  <c r="AH69" i="206"/>
  <c r="AG9" i="206"/>
  <c r="E71" i="207"/>
  <c r="GF26" i="129"/>
  <c r="AG44" i="206"/>
  <c r="AH104" i="206"/>
  <c r="GF46" i="129"/>
  <c r="V6" i="120"/>
  <c r="V6" i="125" s="1"/>
  <c r="V6" i="126" s="1"/>
  <c r="V5" i="126" s="1"/>
  <c r="V7" i="125"/>
  <c r="GF20" i="129"/>
  <c r="GF38" i="129"/>
  <c r="AI65" i="206"/>
  <c r="AH5" i="206"/>
  <c r="AF29" i="206"/>
  <c r="AH107" i="206"/>
  <c r="AG47" i="206"/>
  <c r="AG8" i="206"/>
  <c r="AH68" i="206"/>
  <c r="AF34" i="206"/>
  <c r="GF24" i="129"/>
  <c r="AG24" i="206"/>
  <c r="AH84" i="206"/>
  <c r="AH109" i="206"/>
  <c r="AG49" i="206"/>
  <c r="GF56" i="129"/>
  <c r="GF32" i="129"/>
  <c r="AG33" i="206"/>
  <c r="AH93" i="206"/>
  <c r="GF27" i="129"/>
  <c r="J5" i="211"/>
  <c r="J82" i="211"/>
  <c r="AH77" i="206"/>
  <c r="AG17" i="206"/>
  <c r="AH113" i="114"/>
  <c r="AG53" i="114"/>
  <c r="AG51" i="114" s="1"/>
  <c r="M119" i="121"/>
  <c r="M119" i="124" s="1"/>
  <c r="V49" i="126" s="1"/>
  <c r="V25" i="188"/>
  <c r="N40" i="127"/>
  <c r="L18" i="93"/>
  <c r="L17" i="93" s="1"/>
  <c r="GF52" i="129"/>
  <c r="GF58" i="129"/>
  <c r="AH90" i="206"/>
  <c r="AG30" i="206"/>
  <c r="AG23" i="206"/>
  <c r="AH83" i="206"/>
  <c r="AH95" i="206"/>
  <c r="AG35" i="206"/>
  <c r="AG53" i="206"/>
  <c r="AH113" i="206"/>
  <c r="AH86" i="206"/>
  <c r="AG26" i="206"/>
  <c r="AG27" i="206"/>
  <c r="AH87" i="206"/>
  <c r="AG39" i="206"/>
  <c r="AH99" i="206"/>
  <c r="GF53" i="129"/>
  <c r="AG20" i="206"/>
  <c r="AH80" i="206"/>
  <c r="GF41" i="129"/>
  <c r="GF57" i="129"/>
  <c r="AF42" i="206"/>
  <c r="GF40" i="129"/>
  <c r="AG12" i="206"/>
  <c r="AH72" i="206"/>
  <c r="AF22" i="206"/>
  <c r="AH71" i="206"/>
  <c r="AG11" i="206"/>
  <c r="AK27" i="114"/>
  <c r="AL87" i="114"/>
  <c r="AA45" i="92"/>
  <c r="GP5" i="129"/>
  <c r="AJ54" i="114"/>
  <c r="T65" i="207"/>
  <c r="T65" i="211"/>
  <c r="T61" i="207"/>
  <c r="T61" i="211"/>
  <c r="T35" i="207"/>
  <c r="T35" i="211"/>
  <c r="T31" i="207"/>
  <c r="T31" i="211"/>
  <c r="T24" i="207"/>
  <c r="T24" i="211"/>
  <c r="T57" i="207"/>
  <c r="T57" i="211"/>
  <c r="T51" i="207"/>
  <c r="T51" i="211"/>
  <c r="T26" i="207"/>
  <c r="T26" i="211"/>
  <c r="T50" i="207"/>
  <c r="T50" i="211"/>
  <c r="T52" i="207"/>
  <c r="T52" i="211"/>
  <c r="E70" i="211"/>
  <c r="T30" i="207"/>
  <c r="T30" i="211"/>
  <c r="T47" i="207"/>
  <c r="T47" i="211"/>
  <c r="T38" i="207"/>
  <c r="T38" i="211"/>
  <c r="T48" i="207"/>
  <c r="T48" i="211"/>
  <c r="T43" i="207"/>
  <c r="T43" i="211"/>
  <c r="T36" i="207"/>
  <c r="T36" i="211"/>
  <c r="T32" i="207"/>
  <c r="T32" i="211"/>
  <c r="J4" i="207"/>
  <c r="J70" i="207" s="1"/>
  <c r="T42" i="207"/>
  <c r="T42" i="211"/>
  <c r="T20" i="207"/>
  <c r="T20" i="211"/>
  <c r="T44" i="207"/>
  <c r="T44" i="211"/>
  <c r="T55" i="207"/>
  <c r="T55" i="211"/>
  <c r="T39" i="207"/>
  <c r="T39" i="211"/>
  <c r="T56" i="207"/>
  <c r="T56" i="211"/>
  <c r="T23" i="207"/>
  <c r="T23" i="211"/>
  <c r="T37" i="207"/>
  <c r="T37" i="211"/>
  <c r="T19" i="207"/>
  <c r="T19" i="211"/>
  <c r="T49" i="207"/>
  <c r="T49" i="211"/>
  <c r="T25" i="207"/>
  <c r="T25" i="211"/>
  <c r="T58" i="207"/>
  <c r="T58" i="211"/>
  <c r="T64" i="207"/>
  <c r="T64" i="211"/>
  <c r="T29" i="207"/>
  <c r="T29" i="211"/>
  <c r="FV18" i="129"/>
  <c r="FV7" i="129" s="1"/>
  <c r="FV6" i="129" s="1"/>
  <c r="J71" i="207"/>
  <c r="T28" i="205"/>
  <c r="T28" i="207"/>
  <c r="T54" i="205"/>
  <c r="T54" i="207"/>
  <c r="T60" i="205"/>
  <c r="T60" i="207"/>
  <c r="T34" i="205"/>
  <c r="T34" i="207"/>
  <c r="T46" i="205"/>
  <c r="T46" i="207"/>
  <c r="T41" i="205"/>
  <c r="T41" i="207"/>
  <c r="T63" i="205"/>
  <c r="T63" i="207"/>
  <c r="T18" i="205"/>
  <c r="T18" i="207"/>
  <c r="T22" i="205"/>
  <c r="T22" i="207"/>
  <c r="ER18" i="129"/>
  <c r="ER7" i="129" s="1"/>
  <c r="E70" i="205"/>
  <c r="E71" i="205"/>
  <c r="FT18" i="129"/>
  <c r="AI28" i="114"/>
  <c r="AI52" i="114"/>
  <c r="M10" i="93"/>
  <c r="M10" i="127" s="1"/>
  <c r="N24" i="127"/>
  <c r="D117" i="188"/>
  <c r="AI33" i="114"/>
  <c r="AI26" i="114"/>
  <c r="D128" i="188"/>
  <c r="V16" i="178"/>
  <c r="J88" i="121" s="1"/>
  <c r="J88" i="124" s="1"/>
  <c r="N26" i="127"/>
  <c r="AI19" i="114"/>
  <c r="AI24" i="114"/>
  <c r="AI18" i="114"/>
  <c r="V26" i="188"/>
  <c r="AI36" i="114"/>
  <c r="AI17" i="114"/>
  <c r="N64" i="93"/>
  <c r="N64" i="127" s="1"/>
  <c r="V65" i="188"/>
  <c r="O31" i="93"/>
  <c r="D116" i="188"/>
  <c r="N55" i="93"/>
  <c r="N55" i="127" s="1"/>
  <c r="M47" i="127"/>
  <c r="E63" i="124"/>
  <c r="I61" i="151" s="1"/>
  <c r="F61" i="151" s="1"/>
  <c r="N66" i="127"/>
  <c r="D131" i="188"/>
  <c r="N47" i="93"/>
  <c r="N13" i="93" s="1"/>
  <c r="N13" i="127" s="1"/>
  <c r="E28" i="124"/>
  <c r="I26" i="151" s="1"/>
  <c r="F26" i="151" s="1"/>
  <c r="D118" i="188"/>
  <c r="E41" i="124"/>
  <c r="I39" i="151" s="1"/>
  <c r="F39" i="151" s="1"/>
  <c r="V20" i="188"/>
  <c r="E20" i="124"/>
  <c r="I18" i="151" s="1"/>
  <c r="N19" i="93"/>
  <c r="E31" i="124"/>
  <c r="I29" i="151" s="1"/>
  <c r="F29" i="151" s="1"/>
  <c r="E53" i="124"/>
  <c r="I51" i="151" s="1"/>
  <c r="F51" i="151" s="1"/>
  <c r="E59" i="124"/>
  <c r="I57" i="151" s="1"/>
  <c r="F57" i="151" s="1"/>
  <c r="E67" i="124"/>
  <c r="I65" i="151" s="1"/>
  <c r="F65" i="151" s="1"/>
  <c r="N43" i="127"/>
  <c r="N21" i="127"/>
  <c r="N61" i="93"/>
  <c r="N61" i="127" s="1"/>
  <c r="N42" i="93"/>
  <c r="E40" i="124"/>
  <c r="I38" i="151" s="1"/>
  <c r="F38" i="151" s="1"/>
  <c r="D127" i="188"/>
  <c r="E30" i="124"/>
  <c r="I28" i="151" s="1"/>
  <c r="F28" i="151" s="1"/>
  <c r="E50" i="124"/>
  <c r="I48" i="151" s="1"/>
  <c r="F48" i="151" s="1"/>
  <c r="K48" i="151" s="1"/>
  <c r="E65" i="124"/>
  <c r="E65" i="126" s="1"/>
  <c r="E48" i="124"/>
  <c r="I46" i="151" s="1"/>
  <c r="E52" i="124"/>
  <c r="I50" i="151" s="1"/>
  <c r="F50" i="151" s="1"/>
  <c r="E36" i="124"/>
  <c r="E36" i="126" s="1"/>
  <c r="E39" i="124"/>
  <c r="I37" i="151" s="1"/>
  <c r="F37" i="151" s="1"/>
  <c r="E27" i="124"/>
  <c r="I25" i="151" s="1"/>
  <c r="F25" i="151" s="1"/>
  <c r="E43" i="124"/>
  <c r="E43" i="126" s="1"/>
  <c r="E21" i="124"/>
  <c r="I19" i="151" s="1"/>
  <c r="F19" i="151" s="1"/>
  <c r="E60" i="124"/>
  <c r="I58" i="151" s="1"/>
  <c r="F58" i="151" s="1"/>
  <c r="E45" i="124"/>
  <c r="I43" i="151" s="1"/>
  <c r="F43" i="151" s="1"/>
  <c r="E37" i="124"/>
  <c r="I35" i="151" s="1"/>
  <c r="F35" i="151" s="1"/>
  <c r="K35" i="151" s="1"/>
  <c r="E22" i="124"/>
  <c r="I20" i="151" s="1"/>
  <c r="F20" i="151" s="1"/>
  <c r="E58" i="124"/>
  <c r="I56" i="151" s="1"/>
  <c r="F56" i="151" s="1"/>
  <c r="E54" i="124"/>
  <c r="I52" i="151" s="1"/>
  <c r="F52" i="151" s="1"/>
  <c r="K52" i="151" s="1"/>
  <c r="E66" i="124"/>
  <c r="I64" i="151" s="1"/>
  <c r="F64" i="151" s="1"/>
  <c r="E56" i="124"/>
  <c r="E46" i="124"/>
  <c r="I44" i="151" s="1"/>
  <c r="F44" i="151" s="1"/>
  <c r="E25" i="124"/>
  <c r="I23" i="151" s="1"/>
  <c r="F23" i="151" s="1"/>
  <c r="K23" i="151" s="1"/>
  <c r="E34" i="124"/>
  <c r="I32" i="151" s="1"/>
  <c r="F32" i="151" s="1"/>
  <c r="E49" i="124"/>
  <c r="I47" i="151" s="1"/>
  <c r="F47" i="151" s="1"/>
  <c r="E32" i="124"/>
  <c r="I30" i="151" s="1"/>
  <c r="F30" i="151" s="1"/>
  <c r="E24" i="124"/>
  <c r="I22" i="151" s="1"/>
  <c r="E57" i="124"/>
  <c r="I55" i="151" s="1"/>
  <c r="F55" i="151" s="1"/>
  <c r="E26" i="124"/>
  <c r="I24" i="151" s="1"/>
  <c r="F24" i="151" s="1"/>
  <c r="E38" i="124"/>
  <c r="I36" i="151" s="1"/>
  <c r="F36" i="151" s="1"/>
  <c r="E51" i="124"/>
  <c r="I49" i="151" s="1"/>
  <c r="F49" i="151" s="1"/>
  <c r="E62" i="124"/>
  <c r="I60" i="151" s="1"/>
  <c r="E44" i="124"/>
  <c r="I42" i="151" s="1"/>
  <c r="F42" i="151" s="1"/>
  <c r="E19" i="121"/>
  <c r="E19" i="125" s="1"/>
  <c r="E20" i="125"/>
  <c r="H18" i="151" s="1"/>
  <c r="T42" i="194"/>
  <c r="T42" i="205"/>
  <c r="T30" i="194"/>
  <c r="T30" i="205"/>
  <c r="T65" i="194"/>
  <c r="T65" i="205"/>
  <c r="T47" i="194"/>
  <c r="T47" i="205"/>
  <c r="T20" i="194"/>
  <c r="T20" i="205"/>
  <c r="T61" i="194"/>
  <c r="T61" i="205"/>
  <c r="T38" i="194"/>
  <c r="T38" i="205"/>
  <c r="T44" i="194"/>
  <c r="T44" i="205"/>
  <c r="T55" i="194"/>
  <c r="T55" i="205"/>
  <c r="T48" i="194"/>
  <c r="T48" i="205"/>
  <c r="T35" i="194"/>
  <c r="T35" i="205"/>
  <c r="T31" i="194"/>
  <c r="T31" i="205"/>
  <c r="T24" i="194"/>
  <c r="T24" i="205"/>
  <c r="T57" i="194"/>
  <c r="T57" i="205"/>
  <c r="T51" i="194"/>
  <c r="T51" i="205"/>
  <c r="T26" i="194"/>
  <c r="T26" i="205"/>
  <c r="T50" i="194"/>
  <c r="T50" i="205"/>
  <c r="T52" i="194"/>
  <c r="T52" i="205"/>
  <c r="T43" i="194"/>
  <c r="T43" i="205"/>
  <c r="T36" i="194"/>
  <c r="T36" i="205"/>
  <c r="T32" i="194"/>
  <c r="T32" i="205"/>
  <c r="T39" i="194"/>
  <c r="T39" i="205"/>
  <c r="T56" i="194"/>
  <c r="T56" i="205"/>
  <c r="T23" i="194"/>
  <c r="T23" i="205"/>
  <c r="T37" i="194"/>
  <c r="T37" i="205"/>
  <c r="T19" i="194"/>
  <c r="T19" i="205"/>
  <c r="T49" i="194"/>
  <c r="T49" i="205"/>
  <c r="T25" i="194"/>
  <c r="T25" i="205"/>
  <c r="T58" i="194"/>
  <c r="T58" i="205"/>
  <c r="T64" i="194"/>
  <c r="T64" i="205"/>
  <c r="T29" i="194"/>
  <c r="T29" i="205"/>
  <c r="FL19" i="129"/>
  <c r="FL64" i="129"/>
  <c r="FL61" i="129"/>
  <c r="FL29" i="129"/>
  <c r="FL55" i="129"/>
  <c r="FL47" i="129"/>
  <c r="FL23" i="129"/>
  <c r="FL42" i="129"/>
  <c r="FL35" i="129"/>
  <c r="N29" i="93"/>
  <c r="N29" i="127" s="1"/>
  <c r="D90" i="188"/>
  <c r="N30" i="127"/>
  <c r="N23" i="93"/>
  <c r="N23" i="127" s="1"/>
  <c r="N35" i="93"/>
  <c r="E71" i="194"/>
  <c r="E29" i="121"/>
  <c r="E10" i="121" s="1"/>
  <c r="E10" i="125" s="1"/>
  <c r="E55" i="121"/>
  <c r="E55" i="125" s="1"/>
  <c r="E23" i="121"/>
  <c r="E23" i="125" s="1"/>
  <c r="E35" i="121"/>
  <c r="E35" i="125" s="1"/>
  <c r="E47" i="121"/>
  <c r="E47" i="125" s="1"/>
  <c r="E48" i="125"/>
  <c r="H46" i="151" s="1"/>
  <c r="E64" i="121"/>
  <c r="E16" i="121" s="1"/>
  <c r="E16" i="125" s="1"/>
  <c r="E42" i="121"/>
  <c r="E12" i="121" s="1"/>
  <c r="E12" i="125" s="1"/>
  <c r="E61" i="121"/>
  <c r="E61" i="125" s="1"/>
  <c r="I31" i="151"/>
  <c r="H23" i="152"/>
  <c r="H37" i="152"/>
  <c r="H32" i="152"/>
  <c r="H50" i="153"/>
  <c r="H64" i="153"/>
  <c r="H43" i="153"/>
  <c r="H63" i="151"/>
  <c r="H31" i="151"/>
  <c r="E33" i="126"/>
  <c r="H41" i="151"/>
  <c r="H42" i="152"/>
  <c r="D47" i="121"/>
  <c r="D48" i="125"/>
  <c r="D64" i="121"/>
  <c r="D65" i="125"/>
  <c r="H55" i="152"/>
  <c r="D23" i="121"/>
  <c r="D24" i="125"/>
  <c r="D35" i="121"/>
  <c r="D36" i="125"/>
  <c r="H38" i="152"/>
  <c r="D61" i="121"/>
  <c r="D62" i="125"/>
  <c r="H30" i="152"/>
  <c r="D42" i="121"/>
  <c r="D43" i="125"/>
  <c r="H42" i="153"/>
  <c r="H32" i="153"/>
  <c r="C19" i="121"/>
  <c r="C20" i="125"/>
  <c r="C23" i="121"/>
  <c r="C27" i="125"/>
  <c r="H30" i="153"/>
  <c r="C42" i="121"/>
  <c r="C43" i="125"/>
  <c r="H46" i="153"/>
  <c r="H34" i="153"/>
  <c r="C47" i="121"/>
  <c r="C51" i="125"/>
  <c r="H44" i="153"/>
  <c r="C21" i="124"/>
  <c r="I19" i="153" s="1"/>
  <c r="C58" i="124"/>
  <c r="I56" i="153" s="1"/>
  <c r="C46" i="124"/>
  <c r="I44" i="153" s="1"/>
  <c r="C20" i="124"/>
  <c r="C28" i="124"/>
  <c r="I26" i="153" s="1"/>
  <c r="C27" i="124"/>
  <c r="C66" i="124"/>
  <c r="I64" i="153" s="1"/>
  <c r="C38" i="124"/>
  <c r="I36" i="153" s="1"/>
  <c r="C54" i="124"/>
  <c r="I52" i="153" s="1"/>
  <c r="C60" i="124"/>
  <c r="I58" i="153" s="1"/>
  <c r="C53" i="124"/>
  <c r="I51" i="153" s="1"/>
  <c r="C56" i="124"/>
  <c r="I54" i="153" s="1"/>
  <c r="C31" i="124"/>
  <c r="I29" i="153" s="1"/>
  <c r="C33" i="124"/>
  <c r="I31" i="153" s="1"/>
  <c r="C40" i="124"/>
  <c r="I38" i="153" s="1"/>
  <c r="C41" i="124"/>
  <c r="I39" i="153" s="1"/>
  <c r="C34" i="124"/>
  <c r="I32" i="153" s="1"/>
  <c r="C59" i="124"/>
  <c r="C32" i="124"/>
  <c r="I30" i="153" s="1"/>
  <c r="C50" i="124"/>
  <c r="I48" i="153" s="1"/>
  <c r="C24" i="124"/>
  <c r="I22" i="153" s="1"/>
  <c r="C48" i="124"/>
  <c r="I46" i="153" s="1"/>
  <c r="C22" i="124"/>
  <c r="I20" i="153" s="1"/>
  <c r="C62" i="124"/>
  <c r="C26" i="124"/>
  <c r="I24" i="153" s="1"/>
  <c r="C39" i="124"/>
  <c r="C44" i="124"/>
  <c r="I42" i="153" s="1"/>
  <c r="C51" i="124"/>
  <c r="C52" i="124"/>
  <c r="I50" i="153" s="1"/>
  <c r="C37" i="124"/>
  <c r="I35" i="153" s="1"/>
  <c r="C65" i="124"/>
  <c r="C63" i="124"/>
  <c r="I61" i="153" s="1"/>
  <c r="C67" i="124"/>
  <c r="I65" i="153" s="1"/>
  <c r="C43" i="124"/>
  <c r="C30" i="124"/>
  <c r="C45" i="124"/>
  <c r="I43" i="153" s="1"/>
  <c r="C36" i="124"/>
  <c r="I34" i="153" s="1"/>
  <c r="C25" i="124"/>
  <c r="I23" i="153" s="1"/>
  <c r="C49" i="124"/>
  <c r="I47" i="153" s="1"/>
  <c r="C57" i="124"/>
  <c r="I55" i="153" s="1"/>
  <c r="H52" i="152"/>
  <c r="H39" i="152"/>
  <c r="H58" i="152"/>
  <c r="D19" i="121"/>
  <c r="D20" i="125"/>
  <c r="H55" i="153"/>
  <c r="H48" i="153"/>
  <c r="H19" i="153"/>
  <c r="H20" i="153"/>
  <c r="H54" i="151"/>
  <c r="H22" i="151"/>
  <c r="H25" i="152"/>
  <c r="H50" i="152"/>
  <c r="H47" i="152"/>
  <c r="H20" i="152"/>
  <c r="H29" i="152"/>
  <c r="H49" i="152"/>
  <c r="H26" i="152"/>
  <c r="D55" i="121"/>
  <c r="D56" i="125"/>
  <c r="H44" i="152"/>
  <c r="H43" i="152"/>
  <c r="H39" i="153"/>
  <c r="H54" i="153"/>
  <c r="C55" i="121"/>
  <c r="C59" i="125"/>
  <c r="C35" i="121"/>
  <c r="C39" i="125"/>
  <c r="H29" i="153"/>
  <c r="H52" i="153"/>
  <c r="C29" i="121"/>
  <c r="C30" i="125"/>
  <c r="C61" i="121"/>
  <c r="C62" i="125"/>
  <c r="H47" i="153"/>
  <c r="H38" i="153"/>
  <c r="H34" i="151"/>
  <c r="H60" i="151"/>
  <c r="H65" i="152"/>
  <c r="H35" i="152"/>
  <c r="H31" i="152"/>
  <c r="D53" i="124"/>
  <c r="I51" i="152" s="1"/>
  <c r="D58" i="124"/>
  <c r="I56" i="152" s="1"/>
  <c r="D28" i="124"/>
  <c r="I26" i="152" s="1"/>
  <c r="D39" i="124"/>
  <c r="I37" i="152" s="1"/>
  <c r="D57" i="124"/>
  <c r="I55" i="152" s="1"/>
  <c r="D54" i="124"/>
  <c r="I52" i="152" s="1"/>
  <c r="D46" i="124"/>
  <c r="I44" i="152" s="1"/>
  <c r="D31" i="124"/>
  <c r="I29" i="152" s="1"/>
  <c r="D51" i="124"/>
  <c r="I49" i="152" s="1"/>
  <c r="D34" i="124"/>
  <c r="I32" i="152" s="1"/>
  <c r="D25" i="124"/>
  <c r="I23" i="152" s="1"/>
  <c r="D27" i="124"/>
  <c r="I25" i="152" s="1"/>
  <c r="D38" i="124"/>
  <c r="I36" i="152" s="1"/>
  <c r="D56" i="124"/>
  <c r="D45" i="124"/>
  <c r="I43" i="152" s="1"/>
  <c r="D36" i="124"/>
  <c r="D44" i="124"/>
  <c r="I42" i="152" s="1"/>
  <c r="D59" i="124"/>
  <c r="I57" i="152" s="1"/>
  <c r="D62" i="124"/>
  <c r="D30" i="124"/>
  <c r="D48" i="124"/>
  <c r="D67" i="124"/>
  <c r="I65" i="152" s="1"/>
  <c r="D20" i="124"/>
  <c r="D41" i="124"/>
  <c r="I39" i="152" s="1"/>
  <c r="D66" i="124"/>
  <c r="I64" i="152" s="1"/>
  <c r="D40" i="124"/>
  <c r="I38" i="152" s="1"/>
  <c r="D43" i="124"/>
  <c r="D33" i="124"/>
  <c r="I31" i="152" s="1"/>
  <c r="D21" i="124"/>
  <c r="I19" i="152" s="1"/>
  <c r="D52" i="124"/>
  <c r="I50" i="152" s="1"/>
  <c r="D65" i="124"/>
  <c r="D63" i="124"/>
  <c r="I61" i="152" s="1"/>
  <c r="D24" i="124"/>
  <c r="D60" i="124"/>
  <c r="I58" i="152" s="1"/>
  <c r="D26" i="124"/>
  <c r="I24" i="152" s="1"/>
  <c r="D49" i="124"/>
  <c r="I47" i="152" s="1"/>
  <c r="D32" i="124"/>
  <c r="I30" i="152" s="1"/>
  <c r="D22" i="124"/>
  <c r="I20" i="152" s="1"/>
  <c r="D37" i="124"/>
  <c r="I35" i="152" s="1"/>
  <c r="D50" i="124"/>
  <c r="I48" i="152" s="1"/>
  <c r="H26" i="153"/>
  <c r="H31" i="153"/>
  <c r="H61" i="153"/>
  <c r="H19" i="152"/>
  <c r="H24" i="152"/>
  <c r="H36" i="152"/>
  <c r="H61" i="152"/>
  <c r="H48" i="152"/>
  <c r="H64" i="152"/>
  <c r="H57" i="152"/>
  <c r="D29" i="121"/>
  <c r="D30" i="125"/>
  <c r="H51" i="152"/>
  <c r="H56" i="152"/>
  <c r="H56" i="153"/>
  <c r="H35" i="153"/>
  <c r="C64" i="121"/>
  <c r="C65" i="125"/>
  <c r="H65" i="153"/>
  <c r="H36" i="153"/>
  <c r="H22" i="153"/>
  <c r="H58" i="153"/>
  <c r="H23" i="153"/>
  <c r="H24" i="153"/>
  <c r="H51" i="153"/>
  <c r="O20" i="93"/>
  <c r="O52" i="93"/>
  <c r="AG34" i="114"/>
  <c r="AG16" i="114"/>
  <c r="AG22" i="114"/>
  <c r="AH35" i="114"/>
  <c r="AH31" i="114"/>
  <c r="AH20" i="114"/>
  <c r="AH23" i="114"/>
  <c r="AH39" i="114"/>
  <c r="AH25" i="114"/>
  <c r="AH21" i="114"/>
  <c r="AH40" i="114"/>
  <c r="AH37" i="114"/>
  <c r="O22" i="93"/>
  <c r="O22" i="127" s="1"/>
  <c r="O39" i="93"/>
  <c r="O39" i="127" s="1"/>
  <c r="O24" i="93"/>
  <c r="O24" i="127" s="1"/>
  <c r="O66" i="93"/>
  <c r="O56" i="93"/>
  <c r="O60" i="93"/>
  <c r="O60" i="127" s="1"/>
  <c r="O59" i="93"/>
  <c r="AH38" i="114"/>
  <c r="AH8" i="114"/>
  <c r="AH13" i="114"/>
  <c r="AH44" i="114"/>
  <c r="AH50" i="114"/>
  <c r="AH12" i="114"/>
  <c r="AH49" i="114"/>
  <c r="AH15" i="114"/>
  <c r="O48" i="93"/>
  <c r="O21" i="93"/>
  <c r="O21" i="127" s="1"/>
  <c r="O26" i="93"/>
  <c r="O28" i="93"/>
  <c r="O67" i="93"/>
  <c r="O41" i="93"/>
  <c r="O41" i="127" s="1"/>
  <c r="O34" i="93"/>
  <c r="O36" i="93"/>
  <c r="O58" i="93"/>
  <c r="O63" i="93"/>
  <c r="O63" i="127" s="1"/>
  <c r="O33" i="93"/>
  <c r="O32" i="93"/>
  <c r="O40" i="93"/>
  <c r="O40" i="127" s="1"/>
  <c r="O30" i="93"/>
  <c r="O49" i="93"/>
  <c r="O49" i="127" s="1"/>
  <c r="O38" i="93"/>
  <c r="O53" i="93"/>
  <c r="O45" i="93"/>
  <c r="AH41" i="114"/>
  <c r="AH46" i="114"/>
  <c r="AH43" i="114"/>
  <c r="AH47" i="114"/>
  <c r="AH14" i="114"/>
  <c r="AH45" i="114"/>
  <c r="AH9" i="114"/>
  <c r="O54" i="93"/>
  <c r="AF4" i="114"/>
  <c r="O62" i="93"/>
  <c r="O62" i="127" s="1"/>
  <c r="O43" i="93"/>
  <c r="O25" i="93"/>
  <c r="O46" i="93"/>
  <c r="O27" i="93"/>
  <c r="O44" i="93"/>
  <c r="O50" i="93"/>
  <c r="O37" i="93"/>
  <c r="O37" i="127" s="1"/>
  <c r="O57" i="93"/>
  <c r="O65" i="93"/>
  <c r="AH11" i="114"/>
  <c r="T28" i="194"/>
  <c r="S29" i="120"/>
  <c r="T54" i="194"/>
  <c r="S55" i="120"/>
  <c r="S61" i="120"/>
  <c r="T60" i="194"/>
  <c r="T34" i="194"/>
  <c r="S35" i="120"/>
  <c r="T46" i="194"/>
  <c r="S47" i="120"/>
  <c r="T41" i="194"/>
  <c r="S42" i="120"/>
  <c r="S64" i="120"/>
  <c r="T63" i="194"/>
  <c r="T18" i="194"/>
  <c r="S19" i="120"/>
  <c r="T22" i="194"/>
  <c r="S23" i="120"/>
  <c r="AG42" i="114"/>
  <c r="AG6" i="114"/>
  <c r="AG10" i="114"/>
  <c r="AG48" i="114"/>
  <c r="T45" i="192"/>
  <c r="R13" i="120"/>
  <c r="T33" i="192"/>
  <c r="R11" i="120"/>
  <c r="T21" i="192"/>
  <c r="R9" i="120"/>
  <c r="O6" i="120"/>
  <c r="U4" i="189" s="1"/>
  <c r="U5" i="189"/>
  <c r="T53" i="192"/>
  <c r="R14" i="120"/>
  <c r="P7" i="120"/>
  <c r="U16" i="190"/>
  <c r="T6" i="191"/>
  <c r="Q18" i="120"/>
  <c r="T59" i="192"/>
  <c r="R15" i="120"/>
  <c r="T40" i="192"/>
  <c r="R12" i="120"/>
  <c r="T17" i="192"/>
  <c r="R8" i="120"/>
  <c r="T27" i="192"/>
  <c r="R10" i="120"/>
  <c r="T62" i="192"/>
  <c r="R16" i="120"/>
  <c r="K86" i="121"/>
  <c r="K86" i="124" s="1"/>
  <c r="M106" i="121"/>
  <c r="M106" i="124" s="1"/>
  <c r="V36" i="126" s="1"/>
  <c r="M118" i="121"/>
  <c r="M118" i="124" s="1"/>
  <c r="V48" i="126" s="1"/>
  <c r="M91" i="121"/>
  <c r="M91" i="124" s="1"/>
  <c r="V21" i="126" s="1"/>
  <c r="M108" i="121"/>
  <c r="M108" i="124" s="1"/>
  <c r="V38" i="126" s="1"/>
  <c r="K84" i="121"/>
  <c r="K84" i="124" s="1"/>
  <c r="M94" i="121"/>
  <c r="M94" i="124" s="1"/>
  <c r="V24" i="126" s="1"/>
  <c r="M107" i="121"/>
  <c r="M107" i="124" s="1"/>
  <c r="V37" i="126" s="1"/>
  <c r="V35" i="188"/>
  <c r="D102" i="188"/>
  <c r="D89" i="188"/>
  <c r="V22" i="188"/>
  <c r="D86" i="188"/>
  <c r="V19" i="188"/>
  <c r="V4" i="177"/>
  <c r="I41" i="134"/>
  <c r="F42" i="124"/>
  <c r="I60" i="134"/>
  <c r="F61" i="124"/>
  <c r="F55" i="124"/>
  <c r="I54" i="134"/>
  <c r="I28" i="134"/>
  <c r="F29" i="124"/>
  <c r="K78" i="121"/>
  <c r="K78" i="124" s="1"/>
  <c r="M98" i="121"/>
  <c r="M98" i="124" s="1"/>
  <c r="V28" i="126" s="1"/>
  <c r="M100" i="121"/>
  <c r="M100" i="124" s="1"/>
  <c r="V30" i="126" s="1"/>
  <c r="M109" i="121"/>
  <c r="M109" i="124" s="1"/>
  <c r="V39" i="126" s="1"/>
  <c r="M127" i="121"/>
  <c r="M127" i="124" s="1"/>
  <c r="V57" i="126" s="1"/>
  <c r="H76" i="121"/>
  <c r="H76" i="124" s="1"/>
  <c r="V7" i="186"/>
  <c r="G54" i="121"/>
  <c r="G54" i="125" s="1"/>
  <c r="G51" i="121"/>
  <c r="G51" i="125" s="1"/>
  <c r="G49" i="121"/>
  <c r="G49" i="125" s="1"/>
  <c r="G21" i="121"/>
  <c r="G21" i="125" s="1"/>
  <c r="G38" i="121"/>
  <c r="G38" i="125" s="1"/>
  <c r="G30" i="121"/>
  <c r="G20" i="121"/>
  <c r="G41" i="121"/>
  <c r="G41" i="125" s="1"/>
  <c r="G28" i="121"/>
  <c r="G28" i="125" s="1"/>
  <c r="G27" i="121"/>
  <c r="G27" i="125" s="1"/>
  <c r="G58" i="121"/>
  <c r="G58" i="125" s="1"/>
  <c r="G44" i="121"/>
  <c r="G44" i="125" s="1"/>
  <c r="G62" i="121"/>
  <c r="G60" i="121"/>
  <c r="G60" i="125" s="1"/>
  <c r="G66" i="121"/>
  <c r="G66" i="125" s="1"/>
  <c r="G65" i="121"/>
  <c r="G36" i="121"/>
  <c r="G59" i="121"/>
  <c r="G59" i="125" s="1"/>
  <c r="G31" i="121"/>
  <c r="G31" i="125" s="1"/>
  <c r="G52" i="121"/>
  <c r="G52" i="125" s="1"/>
  <c r="G63" i="121"/>
  <c r="G63" i="125" s="1"/>
  <c r="G39" i="121"/>
  <c r="G39" i="125" s="1"/>
  <c r="G25" i="121"/>
  <c r="G25" i="125" s="1"/>
  <c r="G45" i="121"/>
  <c r="G45" i="125" s="1"/>
  <c r="G40" i="121"/>
  <c r="G40" i="125" s="1"/>
  <c r="G22" i="121"/>
  <c r="G22" i="125" s="1"/>
  <c r="G57" i="121"/>
  <c r="G57" i="125" s="1"/>
  <c r="G48" i="121"/>
  <c r="G33" i="121"/>
  <c r="G33" i="125" s="1"/>
  <c r="G67" i="121"/>
  <c r="G67" i="125" s="1"/>
  <c r="G43" i="121"/>
  <c r="G50" i="121"/>
  <c r="G50" i="125" s="1"/>
  <c r="G26" i="121"/>
  <c r="G26" i="125" s="1"/>
  <c r="G32" i="121"/>
  <c r="G32" i="125" s="1"/>
  <c r="G56" i="121"/>
  <c r="G34" i="121"/>
  <c r="G34" i="125" s="1"/>
  <c r="G24" i="121"/>
  <c r="G37" i="121"/>
  <c r="G37" i="125" s="1"/>
  <c r="G53" i="121"/>
  <c r="G53" i="125" s="1"/>
  <c r="G46" i="121"/>
  <c r="G46" i="125" s="1"/>
  <c r="K79" i="121"/>
  <c r="K79" i="124" s="1"/>
  <c r="M126" i="121"/>
  <c r="M126" i="124" s="1"/>
  <c r="V56" i="126" s="1"/>
  <c r="M133" i="121"/>
  <c r="M133" i="124" s="1"/>
  <c r="V63" i="126" s="1"/>
  <c r="M122" i="121"/>
  <c r="M122" i="124" s="1"/>
  <c r="V52" i="126" s="1"/>
  <c r="M120" i="121"/>
  <c r="M120" i="124" s="1"/>
  <c r="V50" i="126" s="1"/>
  <c r="M123" i="121"/>
  <c r="M123" i="124" s="1"/>
  <c r="V53" i="126" s="1"/>
  <c r="M135" i="121"/>
  <c r="M135" i="124" s="1"/>
  <c r="V65" i="126" s="1"/>
  <c r="M128" i="121"/>
  <c r="M128" i="124" s="1"/>
  <c r="V58" i="126" s="1"/>
  <c r="V34" i="188"/>
  <c r="D101" i="188"/>
  <c r="D105" i="188"/>
  <c r="V38" i="188"/>
  <c r="D91" i="188"/>
  <c r="V24" i="188"/>
  <c r="D108" i="188"/>
  <c r="V41" i="188"/>
  <c r="H47" i="134"/>
  <c r="F49" i="126"/>
  <c r="H42" i="134"/>
  <c r="F44" i="126"/>
  <c r="H48" i="134"/>
  <c r="F50" i="126"/>
  <c r="F64" i="121"/>
  <c r="F65" i="125"/>
  <c r="H31" i="134"/>
  <c r="F33" i="126"/>
  <c r="H64" i="134"/>
  <c r="F66" i="126"/>
  <c r="H43" i="134"/>
  <c r="F45" i="126"/>
  <c r="H61" i="134"/>
  <c r="F63" i="126"/>
  <c r="H38" i="134"/>
  <c r="F40" i="126"/>
  <c r="F42" i="121"/>
  <c r="F43" i="125"/>
  <c r="F19" i="121"/>
  <c r="F20" i="125"/>
  <c r="H30" i="134"/>
  <c r="F32" i="126"/>
  <c r="H49" i="134"/>
  <c r="F51" i="126"/>
  <c r="H57" i="134"/>
  <c r="F59" i="126"/>
  <c r="F36" i="125"/>
  <c r="F35" i="121"/>
  <c r="H50" i="134"/>
  <c r="F52" i="126"/>
  <c r="H44" i="134"/>
  <c r="F46" i="126"/>
  <c r="H29" i="134"/>
  <c r="F31" i="126"/>
  <c r="F38" i="126"/>
  <c r="H36" i="134"/>
  <c r="H32" i="134"/>
  <c r="F34" i="126"/>
  <c r="V8" i="186"/>
  <c r="M116" i="121"/>
  <c r="M116" i="124" s="1"/>
  <c r="V46" i="126" s="1"/>
  <c r="M114" i="121"/>
  <c r="M114" i="124" s="1"/>
  <c r="V44" i="126" s="1"/>
  <c r="M104" i="121"/>
  <c r="M104" i="124" s="1"/>
  <c r="V34" i="126" s="1"/>
  <c r="M101" i="121"/>
  <c r="M101" i="124" s="1"/>
  <c r="V31" i="126" s="1"/>
  <c r="V43" i="188"/>
  <c r="D110" i="188"/>
  <c r="D103" i="188"/>
  <c r="V36" i="188"/>
  <c r="D95" i="188"/>
  <c r="V28" i="188"/>
  <c r="V44" i="188"/>
  <c r="D111" i="188"/>
  <c r="D85" i="188"/>
  <c r="V18" i="188"/>
  <c r="F19" i="124"/>
  <c r="I18" i="134"/>
  <c r="F47" i="124"/>
  <c r="I46" i="134"/>
  <c r="F64" i="124"/>
  <c r="I63" i="134"/>
  <c r="F23" i="124"/>
  <c r="I22" i="134"/>
  <c r="I34" i="134"/>
  <c r="F35" i="124"/>
  <c r="V13" i="186"/>
  <c r="N121" i="121"/>
  <c r="N121" i="124" s="1"/>
  <c r="W51" i="126" s="1"/>
  <c r="M113" i="121"/>
  <c r="M113" i="124" s="1"/>
  <c r="V43" i="126" s="1"/>
  <c r="M103" i="121"/>
  <c r="M103" i="124" s="1"/>
  <c r="V33" i="126" s="1"/>
  <c r="M110" i="121"/>
  <c r="M110" i="124" s="1"/>
  <c r="V40" i="126" s="1"/>
  <c r="M129" i="121"/>
  <c r="M129" i="124" s="1"/>
  <c r="V59" i="126" s="1"/>
  <c r="M115" i="121"/>
  <c r="M115" i="124" s="1"/>
  <c r="V45" i="126" s="1"/>
  <c r="K80" i="121"/>
  <c r="K80" i="124" s="1"/>
  <c r="G51" i="124"/>
  <c r="I49" i="157" s="1"/>
  <c r="G54" i="124"/>
  <c r="I52" i="157" s="1"/>
  <c r="G22" i="124"/>
  <c r="I20" i="157" s="1"/>
  <c r="G28" i="124"/>
  <c r="I26" i="157" s="1"/>
  <c r="G27" i="124"/>
  <c r="I25" i="157" s="1"/>
  <c r="G56" i="124"/>
  <c r="G34" i="124"/>
  <c r="I32" i="157" s="1"/>
  <c r="G58" i="124"/>
  <c r="I56" i="157" s="1"/>
  <c r="G44" i="124"/>
  <c r="I42" i="157" s="1"/>
  <c r="G24" i="124"/>
  <c r="G43" i="124"/>
  <c r="G37" i="124"/>
  <c r="I35" i="157" s="1"/>
  <c r="G53" i="124"/>
  <c r="I51" i="157" s="1"/>
  <c r="G26" i="124"/>
  <c r="I24" i="157" s="1"/>
  <c r="G66" i="124"/>
  <c r="I64" i="157" s="1"/>
  <c r="G65" i="124"/>
  <c r="G46" i="124"/>
  <c r="I44" i="157" s="1"/>
  <c r="G36" i="124"/>
  <c r="G38" i="124"/>
  <c r="I36" i="157" s="1"/>
  <c r="G41" i="124"/>
  <c r="I39" i="157" s="1"/>
  <c r="G57" i="124"/>
  <c r="I55" i="157" s="1"/>
  <c r="G48" i="124"/>
  <c r="G33" i="124"/>
  <c r="I31" i="157" s="1"/>
  <c r="G67" i="124"/>
  <c r="I65" i="157" s="1"/>
  <c r="G62" i="124"/>
  <c r="G50" i="124"/>
  <c r="I48" i="157" s="1"/>
  <c r="G60" i="124"/>
  <c r="I58" i="157" s="1"/>
  <c r="G32" i="124"/>
  <c r="I30" i="157" s="1"/>
  <c r="G49" i="124"/>
  <c r="I47" i="157" s="1"/>
  <c r="G59" i="124"/>
  <c r="I57" i="157" s="1"/>
  <c r="G52" i="124"/>
  <c r="I50" i="157" s="1"/>
  <c r="G63" i="124"/>
  <c r="I61" i="157" s="1"/>
  <c r="G30" i="124"/>
  <c r="G39" i="124"/>
  <c r="I37" i="157" s="1"/>
  <c r="G25" i="124"/>
  <c r="I23" i="157" s="1"/>
  <c r="G45" i="124"/>
  <c r="I43" i="157" s="1"/>
  <c r="G40" i="124"/>
  <c r="I38" i="157" s="1"/>
  <c r="G21" i="124"/>
  <c r="I19" i="157" s="1"/>
  <c r="G31" i="124"/>
  <c r="I29" i="157" s="1"/>
  <c r="G20" i="124"/>
  <c r="L105" i="121"/>
  <c r="L105" i="124" s="1"/>
  <c r="U35" i="126" s="1"/>
  <c r="V9" i="186"/>
  <c r="V12" i="186"/>
  <c r="M96" i="121"/>
  <c r="M96" i="124" s="1"/>
  <c r="V26" i="126" s="1"/>
  <c r="M130" i="121"/>
  <c r="M130" i="124" s="1"/>
  <c r="V60" i="126" s="1"/>
  <c r="M137" i="121"/>
  <c r="M137" i="124" s="1"/>
  <c r="V67" i="126" s="1"/>
  <c r="M97" i="121"/>
  <c r="M97" i="124" s="1"/>
  <c r="V27" i="126" s="1"/>
  <c r="M136" i="121"/>
  <c r="M136" i="124" s="1"/>
  <c r="V66" i="126" s="1"/>
  <c r="D130" i="188"/>
  <c r="V63" i="188"/>
  <c r="D123" i="188"/>
  <c r="V56" i="188"/>
  <c r="D125" i="188"/>
  <c r="V58" i="188"/>
  <c r="D98" i="188"/>
  <c r="V31" i="188"/>
  <c r="F48" i="125"/>
  <c r="F47" i="121"/>
  <c r="H24" i="134"/>
  <c r="F26" i="126"/>
  <c r="H39" i="134"/>
  <c r="F41" i="126"/>
  <c r="F24" i="125"/>
  <c r="F23" i="121"/>
  <c r="H23" i="134"/>
  <c r="F25" i="126"/>
  <c r="F29" i="121"/>
  <c r="F30" i="125"/>
  <c r="F55" i="121"/>
  <c r="F56" i="125"/>
  <c r="H51" i="134"/>
  <c r="F53" i="126"/>
  <c r="H25" i="134"/>
  <c r="F27" i="126"/>
  <c r="H20" i="134"/>
  <c r="F22" i="126"/>
  <c r="H37" i="134"/>
  <c r="F39" i="126"/>
  <c r="H26" i="134"/>
  <c r="F28" i="126"/>
  <c r="F62" i="125"/>
  <c r="F61" i="121"/>
  <c r="H35" i="134"/>
  <c r="F37" i="126"/>
  <c r="H58" i="134"/>
  <c r="F60" i="126"/>
  <c r="H65" i="134"/>
  <c r="F67" i="126"/>
  <c r="H19" i="134"/>
  <c r="F21" i="126"/>
  <c r="H56" i="134"/>
  <c r="F58" i="126"/>
  <c r="H55" i="134"/>
  <c r="F57" i="126"/>
  <c r="H52" i="134"/>
  <c r="F54" i="126"/>
  <c r="L99" i="121"/>
  <c r="L99" i="124" s="1"/>
  <c r="U29" i="126" s="1"/>
  <c r="V10" i="186"/>
  <c r="V11" i="186"/>
  <c r="K82" i="121"/>
  <c r="K82" i="124" s="1"/>
  <c r="L89" i="121"/>
  <c r="L89" i="124" s="1"/>
  <c r="U19" i="126" s="1"/>
  <c r="V6" i="186"/>
  <c r="J10" i="213" l="1"/>
  <c r="J106" i="213"/>
  <c r="X7" i="112"/>
  <c r="X6" i="112" s="1"/>
  <c r="X6" i="126" s="1"/>
  <c r="X5" i="126" s="1"/>
  <c r="J16" i="213"/>
  <c r="X17" i="112"/>
  <c r="J14" i="213"/>
  <c r="J128" i="213"/>
  <c r="J92" i="200"/>
  <c r="J78" i="212"/>
  <c r="J12" i="213"/>
  <c r="J119" i="213"/>
  <c r="J11" i="213"/>
  <c r="J111" i="213"/>
  <c r="J7" i="213"/>
  <c r="J87" i="213"/>
  <c r="J94" i="200"/>
  <c r="J80" i="212"/>
  <c r="J89" i="200"/>
  <c r="J75" i="212"/>
  <c r="J8" i="213"/>
  <c r="J93" i="213"/>
  <c r="J9" i="213"/>
  <c r="J99" i="213"/>
  <c r="J86" i="200"/>
  <c r="J72" i="212"/>
  <c r="J6" i="213"/>
  <c r="J83" i="213"/>
  <c r="J90" i="200"/>
  <c r="J76" i="212"/>
  <c r="J16" i="212"/>
  <c r="W7" i="112"/>
  <c r="W6" i="112" s="1"/>
  <c r="W6" i="126" s="1"/>
  <c r="W5" i="126" s="1"/>
  <c r="W17" i="112"/>
  <c r="J87" i="200"/>
  <c r="J73" i="212"/>
  <c r="J13" i="213"/>
  <c r="J125" i="213"/>
  <c r="J91" i="200"/>
  <c r="J77" i="212"/>
  <c r="J93" i="200"/>
  <c r="J79" i="212"/>
  <c r="J88" i="200"/>
  <c r="J74" i="212"/>
  <c r="N29" i="212"/>
  <c r="W33" i="130"/>
  <c r="W61" i="130"/>
  <c r="W19" i="130"/>
  <c r="W30" i="130"/>
  <c r="N19" i="212"/>
  <c r="GY23" i="129"/>
  <c r="N21" i="212" s="1"/>
  <c r="GY19" i="129"/>
  <c r="N17" i="212" s="1"/>
  <c r="N51" i="212"/>
  <c r="N56" i="212"/>
  <c r="GY55" i="129"/>
  <c r="N53" i="212" s="1"/>
  <c r="N47" i="212"/>
  <c r="N48" i="212"/>
  <c r="W55" i="130"/>
  <c r="GY47" i="129"/>
  <c r="N45" i="212" s="1"/>
  <c r="E70" i="213"/>
  <c r="AC45" i="92"/>
  <c r="N22" i="213"/>
  <c r="HI23" i="129"/>
  <c r="N18" i="213"/>
  <c r="HI19" i="129"/>
  <c r="HJ59" i="129"/>
  <c r="HJ48" i="129"/>
  <c r="HJ20" i="129"/>
  <c r="HJ56" i="129"/>
  <c r="HJ57" i="129"/>
  <c r="HJ62" i="129"/>
  <c r="HJ24" i="129"/>
  <c r="HJ65" i="129"/>
  <c r="HJ63" i="129"/>
  <c r="HJ61" i="129" s="1"/>
  <c r="HJ15" i="129" s="1"/>
  <c r="HJ40" i="129"/>
  <c r="HJ67" i="129"/>
  <c r="HJ53" i="129"/>
  <c r="HJ39" i="129"/>
  <c r="HJ41" i="129"/>
  <c r="HJ43" i="129"/>
  <c r="HJ32" i="129"/>
  <c r="HJ60" i="129"/>
  <c r="HJ26" i="129"/>
  <c r="HJ44" i="129"/>
  <c r="HJ28" i="129"/>
  <c r="HJ54" i="129"/>
  <c r="HJ34" i="129"/>
  <c r="HJ27" i="129"/>
  <c r="HJ37" i="129"/>
  <c r="HJ21" i="129"/>
  <c r="HJ31" i="129"/>
  <c r="HJ66" i="129"/>
  <c r="HJ30" i="129"/>
  <c r="HJ46" i="129"/>
  <c r="HJ58" i="129"/>
  <c r="HJ49" i="129"/>
  <c r="HJ50" i="129"/>
  <c r="HJ22" i="129"/>
  <c r="HJ25" i="129"/>
  <c r="HJ38" i="129"/>
  <c r="HJ51" i="129"/>
  <c r="HJ45" i="129"/>
  <c r="HJ36" i="129"/>
  <c r="HJ33" i="129"/>
  <c r="HJ52" i="129"/>
  <c r="N46" i="213"/>
  <c r="HI47" i="129"/>
  <c r="HH31" i="129"/>
  <c r="HH36" i="129"/>
  <c r="HH25" i="129"/>
  <c r="HH27" i="129"/>
  <c r="HH40" i="129"/>
  <c r="HH24" i="129"/>
  <c r="HH34" i="129"/>
  <c r="HH48" i="129"/>
  <c r="HH56" i="129"/>
  <c r="HH49" i="129"/>
  <c r="HH45" i="129"/>
  <c r="HH39" i="129"/>
  <c r="HH26" i="129"/>
  <c r="HH54" i="129"/>
  <c r="HH60" i="129"/>
  <c r="HH62" i="129"/>
  <c r="HH43" i="129"/>
  <c r="HH53" i="129"/>
  <c r="HH66" i="129"/>
  <c r="HH57" i="129"/>
  <c r="HH46" i="129"/>
  <c r="HH50" i="129"/>
  <c r="HH65" i="129"/>
  <c r="HH63" i="129"/>
  <c r="HH21" i="129"/>
  <c r="HH51" i="129"/>
  <c r="HH33" i="129"/>
  <c r="HH38" i="129"/>
  <c r="HH41" i="129"/>
  <c r="HH28" i="129"/>
  <c r="HH67" i="129"/>
  <c r="HH20" i="129"/>
  <c r="HG5" i="129"/>
  <c r="HH58" i="129"/>
  <c r="HH59" i="129"/>
  <c r="HH30" i="129"/>
  <c r="HH52" i="129"/>
  <c r="HH22" i="129"/>
  <c r="HH37" i="129"/>
  <c r="HH44" i="129"/>
  <c r="HH32" i="129"/>
  <c r="GZ66" i="129"/>
  <c r="GZ46" i="129"/>
  <c r="GZ38" i="129"/>
  <c r="GZ41" i="129"/>
  <c r="GZ60" i="129"/>
  <c r="GZ27" i="129"/>
  <c r="GZ56" i="129"/>
  <c r="GZ59" i="129"/>
  <c r="GZ62" i="129"/>
  <c r="GZ53" i="129"/>
  <c r="GZ45" i="129"/>
  <c r="GZ65" i="129"/>
  <c r="GZ67" i="129"/>
  <c r="GZ48" i="129"/>
  <c r="GZ49" i="129"/>
  <c r="GZ25" i="129"/>
  <c r="GZ32" i="129"/>
  <c r="GZ44" i="129"/>
  <c r="GZ34" i="129"/>
  <c r="GZ26" i="129"/>
  <c r="GZ63" i="129"/>
  <c r="GZ36" i="129"/>
  <c r="GZ28" i="129"/>
  <c r="GZ33" i="129"/>
  <c r="GZ57" i="129"/>
  <c r="GZ37" i="129"/>
  <c r="GZ58" i="129"/>
  <c r="GZ51" i="129"/>
  <c r="GZ22" i="129"/>
  <c r="GZ52" i="129"/>
  <c r="GZ39" i="129"/>
  <c r="GZ54" i="129"/>
  <c r="GZ40" i="129"/>
  <c r="GZ20" i="129"/>
  <c r="GZ21" i="129"/>
  <c r="GZ31" i="129"/>
  <c r="GZ50" i="129"/>
  <c r="GZ43" i="129"/>
  <c r="GZ42" i="129" s="1"/>
  <c r="GZ12" i="129" s="1"/>
  <c r="GZ30" i="129"/>
  <c r="GZ24" i="129"/>
  <c r="HI61" i="129"/>
  <c r="N60" i="213"/>
  <c r="N54" i="213"/>
  <c r="HI55" i="129"/>
  <c r="N41" i="213"/>
  <c r="HI42" i="129"/>
  <c r="AC44" i="92"/>
  <c r="AC63" i="92"/>
  <c r="N34" i="213"/>
  <c r="HI35" i="129"/>
  <c r="N63" i="213"/>
  <c r="HI64" i="129"/>
  <c r="N28" i="213"/>
  <c r="HI29" i="129"/>
  <c r="E4" i="212"/>
  <c r="E84" i="200" s="1"/>
  <c r="E71" i="212"/>
  <c r="F110" i="200"/>
  <c r="F142" i="200"/>
  <c r="F102" i="200"/>
  <c r="F134" i="200"/>
  <c r="F104" i="200"/>
  <c r="F136" i="200"/>
  <c r="E101" i="200"/>
  <c r="E133" i="200"/>
  <c r="F103" i="200"/>
  <c r="F135" i="200"/>
  <c r="F105" i="200"/>
  <c r="F137" i="200"/>
  <c r="F108" i="200"/>
  <c r="F140" i="200"/>
  <c r="F109" i="200"/>
  <c r="F141" i="200"/>
  <c r="F107" i="200"/>
  <c r="F139" i="200"/>
  <c r="F106" i="200"/>
  <c r="F138" i="200"/>
  <c r="T27" i="212"/>
  <c r="T27" i="213"/>
  <c r="T53" i="212"/>
  <c r="T53" i="213"/>
  <c r="T21" i="212"/>
  <c r="T21" i="213"/>
  <c r="T17" i="212"/>
  <c r="T17" i="213"/>
  <c r="V60" i="131"/>
  <c r="T40" i="212"/>
  <c r="T40" i="213"/>
  <c r="T45" i="212"/>
  <c r="T45" i="213"/>
  <c r="T33" i="212"/>
  <c r="T33" i="213"/>
  <c r="T62" i="212"/>
  <c r="T62" i="213"/>
  <c r="T59" i="212"/>
  <c r="T59" i="213"/>
  <c r="AL27" i="114"/>
  <c r="AM87" i="114"/>
  <c r="AM27" i="114" s="1"/>
  <c r="V47" i="188"/>
  <c r="N119" i="121" s="1"/>
  <c r="N119" i="124" s="1"/>
  <c r="W49" i="126" s="1"/>
  <c r="V39" i="188"/>
  <c r="N111" i="121" s="1"/>
  <c r="N111" i="124" s="1"/>
  <c r="W41" i="126" s="1"/>
  <c r="F16" i="212"/>
  <c r="F5" i="212" s="1"/>
  <c r="GN10" i="129"/>
  <c r="V9" i="131" s="1"/>
  <c r="GN13" i="129"/>
  <c r="V12" i="131" s="1"/>
  <c r="GN11" i="129"/>
  <c r="V10" i="131" s="1"/>
  <c r="V63" i="131"/>
  <c r="GN9" i="129"/>
  <c r="V8" i="131" s="1"/>
  <c r="V18" i="131"/>
  <c r="GN12" i="129"/>
  <c r="V11" i="131" s="1"/>
  <c r="V54" i="131"/>
  <c r="H5" i="213"/>
  <c r="H117" i="200" s="1"/>
  <c r="F16" i="213"/>
  <c r="GN8" i="129"/>
  <c r="V7" i="131" s="1"/>
  <c r="V28" i="131"/>
  <c r="GN14" i="129"/>
  <c r="V13" i="131" s="1"/>
  <c r="V41" i="131"/>
  <c r="V22" i="131"/>
  <c r="V46" i="131"/>
  <c r="V34" i="131"/>
  <c r="E37" i="200"/>
  <c r="W59" i="131"/>
  <c r="W59" i="132" s="1"/>
  <c r="GW60" i="129"/>
  <c r="W19" i="131"/>
  <c r="W19" i="132" s="1"/>
  <c r="GW20" i="129"/>
  <c r="GX19" i="129"/>
  <c r="W32" i="131"/>
  <c r="W32" i="132" s="1"/>
  <c r="GW33" i="129"/>
  <c r="GY10" i="129"/>
  <c r="W28" i="130"/>
  <c r="GY14" i="129"/>
  <c r="GW51" i="129"/>
  <c r="W50" i="131"/>
  <c r="W50" i="132" s="1"/>
  <c r="W53" i="131"/>
  <c r="W53" i="132" s="1"/>
  <c r="GW54" i="129"/>
  <c r="W33" i="131"/>
  <c r="W33" i="132" s="1"/>
  <c r="GW34" i="129"/>
  <c r="W38" i="131"/>
  <c r="W38" i="132" s="1"/>
  <c r="GW39" i="129"/>
  <c r="W49" i="131"/>
  <c r="W49" i="132" s="1"/>
  <c r="GW50" i="129"/>
  <c r="W21" i="131"/>
  <c r="W21" i="132" s="1"/>
  <c r="GW22" i="129"/>
  <c r="W29" i="131"/>
  <c r="W29" i="132" s="1"/>
  <c r="GW30" i="129"/>
  <c r="GX29" i="129"/>
  <c r="H85" i="200"/>
  <c r="H4" i="212"/>
  <c r="GW49" i="129"/>
  <c r="W48" i="131"/>
  <c r="W48" i="132" s="1"/>
  <c r="GW28" i="129"/>
  <c r="W27" i="131"/>
  <c r="W27" i="132" s="1"/>
  <c r="W52" i="131"/>
  <c r="W52" i="132" s="1"/>
  <c r="GW53" i="129"/>
  <c r="W37" i="131"/>
  <c r="W37" i="132" s="1"/>
  <c r="GW38" i="129"/>
  <c r="E70" i="207"/>
  <c r="W6" i="110"/>
  <c r="W5" i="110" s="1"/>
  <c r="W44" i="131"/>
  <c r="W44" i="132" s="1"/>
  <c r="GW45" i="129"/>
  <c r="W36" i="131"/>
  <c r="W36" i="132" s="1"/>
  <c r="GW37" i="129"/>
  <c r="GW66" i="129"/>
  <c r="W65" i="131"/>
  <c r="W65" i="132" s="1"/>
  <c r="W51" i="131"/>
  <c r="W51" i="132" s="1"/>
  <c r="GW52" i="129"/>
  <c r="W56" i="131"/>
  <c r="W56" i="132" s="1"/>
  <c r="GW57" i="129"/>
  <c r="W64" i="131"/>
  <c r="W64" i="132" s="1"/>
  <c r="GW65" i="129"/>
  <c r="GX64" i="129"/>
  <c r="AB62" i="92"/>
  <c r="HC5" i="129" s="1"/>
  <c r="W35" i="131"/>
  <c r="W35" i="132" s="1"/>
  <c r="GW36" i="129"/>
  <c r="GX35" i="129"/>
  <c r="W24" i="131"/>
  <c r="W24" i="132" s="1"/>
  <c r="GW25" i="129"/>
  <c r="W40" i="131"/>
  <c r="W40" i="132" s="1"/>
  <c r="GW41" i="129"/>
  <c r="W63" i="130"/>
  <c r="GY16" i="129"/>
  <c r="W30" i="131"/>
  <c r="GW31" i="129"/>
  <c r="W66" i="131"/>
  <c r="W66" i="132" s="1"/>
  <c r="GW67" i="129"/>
  <c r="W42" i="131"/>
  <c r="W42" i="132" s="1"/>
  <c r="GW43" i="129"/>
  <c r="GX42" i="129"/>
  <c r="W45" i="131"/>
  <c r="W45" i="132" s="1"/>
  <c r="GW46" i="129"/>
  <c r="W23" i="131"/>
  <c r="W23" i="132" s="1"/>
  <c r="GX23" i="129"/>
  <c r="GW24" i="129"/>
  <c r="GW59" i="129"/>
  <c r="W58" i="131"/>
  <c r="W58" i="132" s="1"/>
  <c r="W39" i="131"/>
  <c r="W39" i="132" s="1"/>
  <c r="GW40" i="129"/>
  <c r="W31" i="131"/>
  <c r="W31" i="132" s="1"/>
  <c r="GW32" i="129"/>
  <c r="GY12" i="129"/>
  <c r="W41" i="130"/>
  <c r="W34" i="130"/>
  <c r="GY11" i="129"/>
  <c r="GW63" i="129"/>
  <c r="W62" i="131"/>
  <c r="W62" i="132" s="1"/>
  <c r="W61" i="131"/>
  <c r="W61" i="132" s="1"/>
  <c r="GX61" i="129"/>
  <c r="GW62" i="129"/>
  <c r="W55" i="131"/>
  <c r="GW56" i="129"/>
  <c r="GX55" i="129"/>
  <c r="W46" i="130"/>
  <c r="GV5" i="129"/>
  <c r="W20" i="131"/>
  <c r="W20" i="132" s="1"/>
  <c r="GW21" i="129"/>
  <c r="GY15" i="129"/>
  <c r="W60" i="130"/>
  <c r="W25" i="131"/>
  <c r="W25" i="132" s="1"/>
  <c r="GW26" i="129"/>
  <c r="W43" i="131"/>
  <c r="W43" i="132" s="1"/>
  <c r="GW44" i="129"/>
  <c r="GW27" i="129"/>
  <c r="W26" i="131"/>
  <c r="W26" i="132" s="1"/>
  <c r="W47" i="131"/>
  <c r="W47" i="132" s="1"/>
  <c r="GX47" i="129"/>
  <c r="GW48" i="129"/>
  <c r="W57" i="131"/>
  <c r="W57" i="132" s="1"/>
  <c r="GW58" i="129"/>
  <c r="V32" i="188"/>
  <c r="N104" i="121" s="1"/>
  <c r="N104" i="124" s="1"/>
  <c r="W34" i="126" s="1"/>
  <c r="V54" i="188"/>
  <c r="N126" i="121" s="1"/>
  <c r="N126" i="124" s="1"/>
  <c r="W56" i="126" s="1"/>
  <c r="V55" i="188"/>
  <c r="N127" i="121" s="1"/>
  <c r="N127" i="124" s="1"/>
  <c r="W57" i="126" s="1"/>
  <c r="V52" i="188"/>
  <c r="N124" i="121" s="1"/>
  <c r="N124" i="124" s="1"/>
  <c r="W54" i="126" s="1"/>
  <c r="V16" i="185"/>
  <c r="K88" i="121" s="1"/>
  <c r="K88" i="124" s="1"/>
  <c r="V5" i="185"/>
  <c r="V46" i="188"/>
  <c r="N118" i="121" s="1"/>
  <c r="N118" i="124" s="1"/>
  <c r="W48" i="126" s="1"/>
  <c r="D92" i="188"/>
  <c r="D97" i="188"/>
  <c r="V5" i="178"/>
  <c r="J77" i="121" s="1"/>
  <c r="J77" i="124" s="1"/>
  <c r="AG48" i="206"/>
  <c r="T33" i="211"/>
  <c r="T45" i="211"/>
  <c r="T59" i="211"/>
  <c r="T53" i="211"/>
  <c r="T21" i="211"/>
  <c r="T27" i="211"/>
  <c r="AG16" i="206"/>
  <c r="T17" i="211"/>
  <c r="T62" i="211"/>
  <c r="T40" i="211"/>
  <c r="U46" i="131"/>
  <c r="GD15" i="129"/>
  <c r="U14" i="131" s="1"/>
  <c r="U28" i="131"/>
  <c r="F16" i="211"/>
  <c r="F5" i="211" s="1"/>
  <c r="F53" i="200" s="1"/>
  <c r="M112" i="121"/>
  <c r="M112" i="124" s="1"/>
  <c r="V42" i="126" s="1"/>
  <c r="V42" i="188"/>
  <c r="N114" i="121" s="1"/>
  <c r="N114" i="124" s="1"/>
  <c r="W44" i="126" s="1"/>
  <c r="V60" i="188"/>
  <c r="N132" i="121" s="1"/>
  <c r="N132" i="124" s="1"/>
  <c r="W62" i="126" s="1"/>
  <c r="U18" i="131"/>
  <c r="GD12" i="129"/>
  <c r="U11" i="131" s="1"/>
  <c r="V29" i="188"/>
  <c r="N101" i="121" s="1"/>
  <c r="N101" i="124" s="1"/>
  <c r="W31" i="126" s="1"/>
  <c r="O31" i="127"/>
  <c r="U54" i="131"/>
  <c r="V37" i="188"/>
  <c r="N109" i="121" s="1"/>
  <c r="N109" i="124" s="1"/>
  <c r="W39" i="126" s="1"/>
  <c r="M117" i="121"/>
  <c r="M117" i="124" s="1"/>
  <c r="V47" i="126" s="1"/>
  <c r="V50" i="188"/>
  <c r="N122" i="121" s="1"/>
  <c r="N122" i="124" s="1"/>
  <c r="W52" i="126" s="1"/>
  <c r="V37" i="189"/>
  <c r="V45" i="188"/>
  <c r="K7" i="127"/>
  <c r="N47" i="127"/>
  <c r="U63" i="131"/>
  <c r="N42" i="127"/>
  <c r="D132" i="188"/>
  <c r="M105" i="121"/>
  <c r="M105" i="124" s="1"/>
  <c r="V35" i="126" s="1"/>
  <c r="N16" i="93"/>
  <c r="N16" i="127" s="1"/>
  <c r="N14" i="93"/>
  <c r="N14" i="127" s="1"/>
  <c r="D120" i="188"/>
  <c r="GD9" i="129"/>
  <c r="U8" i="131" s="1"/>
  <c r="O48" i="127"/>
  <c r="U34" i="131"/>
  <c r="L18" i="127"/>
  <c r="L7" i="93"/>
  <c r="L6" i="93" s="1"/>
  <c r="L6" i="127" s="1"/>
  <c r="L5" i="127" s="1"/>
  <c r="L72" i="127" s="1"/>
  <c r="I41" i="151"/>
  <c r="F41" i="151" s="1"/>
  <c r="AG51" i="206"/>
  <c r="GF55" i="129"/>
  <c r="GF14" i="129" s="1"/>
  <c r="GF29" i="129"/>
  <c r="GF10" i="129" s="1"/>
  <c r="GF35" i="129"/>
  <c r="GF11" i="129" s="1"/>
  <c r="J20" i="200"/>
  <c r="J36" i="200" s="1"/>
  <c r="E20" i="200"/>
  <c r="E68" i="200" s="1"/>
  <c r="GF42" i="129"/>
  <c r="GF12" i="129" s="1"/>
  <c r="GF61" i="129"/>
  <c r="GF15" i="129" s="1"/>
  <c r="GF19" i="129"/>
  <c r="GF8" i="129" s="1"/>
  <c r="GF47" i="129"/>
  <c r="GF13" i="129" s="1"/>
  <c r="GF64" i="129"/>
  <c r="GF16" i="129" s="1"/>
  <c r="GF23" i="129"/>
  <c r="GF9" i="129" s="1"/>
  <c r="AH11" i="206"/>
  <c r="AI71" i="206"/>
  <c r="AI79" i="206"/>
  <c r="AH19" i="206"/>
  <c r="AI86" i="206"/>
  <c r="AH26" i="206"/>
  <c r="AI88" i="206"/>
  <c r="AH28" i="206"/>
  <c r="AH12" i="206"/>
  <c r="AI72" i="206"/>
  <c r="AG34" i="206"/>
  <c r="AI105" i="206"/>
  <c r="AH45" i="206"/>
  <c r="AH21" i="206"/>
  <c r="AI81" i="206"/>
  <c r="D93" i="188"/>
  <c r="V64" i="188"/>
  <c r="N136" i="121" s="1"/>
  <c r="N136" i="124" s="1"/>
  <c r="W66" i="126" s="1"/>
  <c r="M93" i="121"/>
  <c r="M93" i="124" s="1"/>
  <c r="V23" i="126" s="1"/>
  <c r="ER17" i="129"/>
  <c r="AH20" i="206"/>
  <c r="AI80" i="206"/>
  <c r="AI90" i="206"/>
  <c r="AH30" i="206"/>
  <c r="AI100" i="206"/>
  <c r="AH40" i="206"/>
  <c r="AG42" i="206"/>
  <c r="AI74" i="206"/>
  <c r="AH14" i="206"/>
  <c r="AI96" i="206"/>
  <c r="AH36" i="206"/>
  <c r="AI112" i="206"/>
  <c r="AH52" i="206"/>
  <c r="AG6" i="206"/>
  <c r="V23" i="188"/>
  <c r="N95" i="121" s="1"/>
  <c r="N95" i="124" s="1"/>
  <c r="W25" i="126" s="1"/>
  <c r="AG29" i="206"/>
  <c r="AJ65" i="206"/>
  <c r="AI5" i="206"/>
  <c r="AI98" i="206"/>
  <c r="AH38" i="206"/>
  <c r="AI75" i="206"/>
  <c r="AH15" i="206"/>
  <c r="AH43" i="206"/>
  <c r="AI103" i="206"/>
  <c r="D87" i="188"/>
  <c r="AI90" i="114"/>
  <c r="AH30" i="114"/>
  <c r="AH29" i="114" s="1"/>
  <c r="AH32" i="206"/>
  <c r="AI92" i="206"/>
  <c r="V48" i="188"/>
  <c r="N120" i="121" s="1"/>
  <c r="N120" i="124" s="1"/>
  <c r="W50" i="126" s="1"/>
  <c r="AF4" i="206"/>
  <c r="AI91" i="206"/>
  <c r="AH31" i="206"/>
  <c r="AI99" i="206"/>
  <c r="AH39" i="206"/>
  <c r="AI109" i="206"/>
  <c r="AH49" i="206"/>
  <c r="AI78" i="206"/>
  <c r="AH18" i="206"/>
  <c r="AI110" i="206"/>
  <c r="AH50" i="206"/>
  <c r="AH37" i="206"/>
  <c r="AI97" i="206"/>
  <c r="H53" i="200"/>
  <c r="H4" i="211"/>
  <c r="H52" i="200" s="1"/>
  <c r="AI113" i="114"/>
  <c r="AH53" i="114"/>
  <c r="AH51" i="114" s="1"/>
  <c r="AI113" i="206"/>
  <c r="AH53" i="206"/>
  <c r="AI68" i="206"/>
  <c r="AH8" i="206"/>
  <c r="AI69" i="206"/>
  <c r="AH9" i="206"/>
  <c r="J53" i="200"/>
  <c r="J71" i="211"/>
  <c r="J4" i="211"/>
  <c r="AI107" i="206"/>
  <c r="AH47" i="206"/>
  <c r="AI67" i="206"/>
  <c r="AH7" i="206"/>
  <c r="E41" i="126"/>
  <c r="AH24" i="206"/>
  <c r="AI84" i="206"/>
  <c r="AI114" i="206"/>
  <c r="AH54" i="206"/>
  <c r="AJ92" i="114"/>
  <c r="AI32" i="114"/>
  <c r="AH25" i="206"/>
  <c r="AI85" i="206"/>
  <c r="AG22" i="206"/>
  <c r="AI93" i="206"/>
  <c r="AH33" i="206"/>
  <c r="AH27" i="206"/>
  <c r="AI87" i="206"/>
  <c r="AI104" i="206"/>
  <c r="AH44" i="206"/>
  <c r="AI101" i="206"/>
  <c r="AH41" i="206"/>
  <c r="AI106" i="206"/>
  <c r="AH46" i="206"/>
  <c r="AH17" i="206"/>
  <c r="AI77" i="206"/>
  <c r="AH35" i="206"/>
  <c r="AI95" i="206"/>
  <c r="AI83" i="206"/>
  <c r="AH23" i="206"/>
  <c r="N35" i="127"/>
  <c r="N11" i="93"/>
  <c r="N11" i="127" s="1"/>
  <c r="V57" i="188"/>
  <c r="N129" i="121" s="1"/>
  <c r="N129" i="124" s="1"/>
  <c r="W59" i="126" s="1"/>
  <c r="M18" i="93"/>
  <c r="M17" i="93" s="1"/>
  <c r="AG10" i="206"/>
  <c r="AI73" i="206"/>
  <c r="AH13" i="206"/>
  <c r="AH48" i="114"/>
  <c r="AH16" i="114"/>
  <c r="AK54" i="114"/>
  <c r="AL114" i="114"/>
  <c r="GP36" i="129"/>
  <c r="GP63" i="129"/>
  <c r="GP39" i="129"/>
  <c r="GP62" i="129"/>
  <c r="GP46" i="129"/>
  <c r="GP26" i="129"/>
  <c r="GP53" i="129"/>
  <c r="GP37" i="129"/>
  <c r="GP24" i="129"/>
  <c r="GP56" i="129"/>
  <c r="GP43" i="129"/>
  <c r="GP50" i="129"/>
  <c r="GP30" i="129"/>
  <c r="GP57" i="129"/>
  <c r="GP21" i="129"/>
  <c r="GP60" i="129"/>
  <c r="GP44" i="129"/>
  <c r="GP59" i="129"/>
  <c r="GP31" i="129"/>
  <c r="GP58" i="129"/>
  <c r="GP38" i="129"/>
  <c r="GP22" i="129"/>
  <c r="GP49" i="129"/>
  <c r="GP33" i="129"/>
  <c r="GP32" i="129"/>
  <c r="GP28" i="129"/>
  <c r="GP20" i="129"/>
  <c r="GP52" i="129"/>
  <c r="GP51" i="129"/>
  <c r="GP27" i="129"/>
  <c r="GP54" i="129"/>
  <c r="GP34" i="129"/>
  <c r="GP65" i="129"/>
  <c r="GP45" i="129"/>
  <c r="GP25" i="129"/>
  <c r="GP40" i="129"/>
  <c r="GP67" i="129"/>
  <c r="GP66" i="129"/>
  <c r="GP41" i="129"/>
  <c r="GP48" i="129"/>
  <c r="AJ17" i="114"/>
  <c r="AJ26" i="114"/>
  <c r="AJ24" i="114"/>
  <c r="AJ52" i="114"/>
  <c r="AJ36" i="114"/>
  <c r="AJ33" i="114"/>
  <c r="AJ18" i="114"/>
  <c r="AJ19" i="114"/>
  <c r="AJ28" i="114"/>
  <c r="E40" i="126"/>
  <c r="U7" i="131"/>
  <c r="E27" i="126"/>
  <c r="E30" i="126"/>
  <c r="E66" i="126"/>
  <c r="E53" i="126"/>
  <c r="E28" i="126"/>
  <c r="E49" i="126"/>
  <c r="T17" i="205"/>
  <c r="T17" i="207"/>
  <c r="T40" i="205"/>
  <c r="T40" i="207"/>
  <c r="T33" i="205"/>
  <c r="T33" i="207"/>
  <c r="T53" i="205"/>
  <c r="T53" i="207"/>
  <c r="FT7" i="129"/>
  <c r="T6" i="131" s="1"/>
  <c r="T21" i="205"/>
  <c r="T21" i="207"/>
  <c r="T45" i="205"/>
  <c r="T45" i="207"/>
  <c r="T27" i="205"/>
  <c r="T27" i="207"/>
  <c r="T62" i="205"/>
  <c r="T62" i="207"/>
  <c r="T59" i="205"/>
  <c r="T59" i="207"/>
  <c r="E57" i="126"/>
  <c r="ER6" i="129"/>
  <c r="T17" i="131"/>
  <c r="AI47" i="114"/>
  <c r="AI12" i="114"/>
  <c r="AI8" i="114"/>
  <c r="E63" i="126"/>
  <c r="V61" i="188"/>
  <c r="N133" i="121" s="1"/>
  <c r="N133" i="124" s="1"/>
  <c r="W63" i="126" s="1"/>
  <c r="AI9" i="114"/>
  <c r="AI43" i="114"/>
  <c r="AI23" i="114"/>
  <c r="AI39" i="114"/>
  <c r="AI11" i="114"/>
  <c r="AI45" i="114"/>
  <c r="AI7" i="114"/>
  <c r="AI20" i="114"/>
  <c r="AI41" i="114"/>
  <c r="AI37" i="114"/>
  <c r="AI38" i="114"/>
  <c r="AI15" i="114"/>
  <c r="AI44" i="114"/>
  <c r="AI21" i="114"/>
  <c r="AI14" i="114"/>
  <c r="AI46" i="114"/>
  <c r="AI25" i="114"/>
  <c r="AI31" i="114"/>
  <c r="AI35" i="114"/>
  <c r="AI50" i="114"/>
  <c r="AI40" i="114"/>
  <c r="AI49" i="114"/>
  <c r="AI13" i="114"/>
  <c r="E50" i="126"/>
  <c r="V51" i="188"/>
  <c r="N123" i="121" s="1"/>
  <c r="N123" i="124" s="1"/>
  <c r="W53" i="126" s="1"/>
  <c r="E21" i="126"/>
  <c r="E67" i="126"/>
  <c r="D89" i="189"/>
  <c r="E59" i="126"/>
  <c r="E8" i="121"/>
  <c r="E8" i="125" s="1"/>
  <c r="H6" i="151" s="1"/>
  <c r="N12" i="93"/>
  <c r="N12" i="127" s="1"/>
  <c r="N19" i="127"/>
  <c r="O58" i="127"/>
  <c r="E9" i="121"/>
  <c r="E9" i="125" s="1"/>
  <c r="C33" i="126"/>
  <c r="N8" i="93"/>
  <c r="N8" i="127" s="1"/>
  <c r="C58" i="126"/>
  <c r="E19" i="124"/>
  <c r="E8" i="124" s="1"/>
  <c r="E44" i="126"/>
  <c r="E58" i="126"/>
  <c r="E31" i="126"/>
  <c r="E22" i="126"/>
  <c r="I34" i="151"/>
  <c r="F34" i="151" s="1"/>
  <c r="E32" i="126"/>
  <c r="N15" i="93"/>
  <c r="N15" i="127" s="1"/>
  <c r="N10" i="93"/>
  <c r="N10" i="127" s="1"/>
  <c r="V27" i="188"/>
  <c r="E52" i="126"/>
  <c r="C37" i="126"/>
  <c r="I63" i="151"/>
  <c r="F63" i="151" s="1"/>
  <c r="E11" i="121"/>
  <c r="E11" i="125" s="1"/>
  <c r="H9" i="151" s="1"/>
  <c r="C25" i="126"/>
  <c r="E64" i="124"/>
  <c r="I62" i="151" s="1"/>
  <c r="E45" i="126"/>
  <c r="E39" i="126"/>
  <c r="E60" i="126"/>
  <c r="E61" i="124"/>
  <c r="E61" i="126" s="1"/>
  <c r="E29" i="124"/>
  <c r="I27" i="151" s="1"/>
  <c r="E34" i="126"/>
  <c r="E62" i="126"/>
  <c r="E37" i="126"/>
  <c r="E55" i="124"/>
  <c r="E55" i="126" s="1"/>
  <c r="E51" i="126"/>
  <c r="E25" i="126"/>
  <c r="E23" i="124"/>
  <c r="I21" i="151" s="1"/>
  <c r="E56" i="126"/>
  <c r="E26" i="126"/>
  <c r="I54" i="151"/>
  <c r="F54" i="151" s="1"/>
  <c r="E54" i="126"/>
  <c r="C60" i="126"/>
  <c r="E13" i="121"/>
  <c r="E13" i="125" s="1"/>
  <c r="H11" i="151" s="1"/>
  <c r="E42" i="124"/>
  <c r="E12" i="124" s="1"/>
  <c r="I10" i="151" s="1"/>
  <c r="E47" i="124"/>
  <c r="I45" i="151" s="1"/>
  <c r="E42" i="125"/>
  <c r="H40" i="151" s="1"/>
  <c r="E38" i="126"/>
  <c r="E24" i="126"/>
  <c r="E20" i="126"/>
  <c r="E46" i="126"/>
  <c r="E35" i="124"/>
  <c r="E11" i="124" s="1"/>
  <c r="I9" i="151" s="1"/>
  <c r="D59" i="126"/>
  <c r="D58" i="126"/>
  <c r="O59" i="127"/>
  <c r="D106" i="189"/>
  <c r="E48" i="126"/>
  <c r="O52" i="127"/>
  <c r="E14" i="121"/>
  <c r="E14" i="125" s="1"/>
  <c r="H12" i="151" s="1"/>
  <c r="C40" i="126"/>
  <c r="FL11" i="129"/>
  <c r="FL14" i="129"/>
  <c r="FL12" i="129"/>
  <c r="FL10" i="129"/>
  <c r="FL16" i="129"/>
  <c r="FL9" i="129"/>
  <c r="FL13" i="129"/>
  <c r="FL15" i="129"/>
  <c r="FL8" i="129"/>
  <c r="E70" i="194"/>
  <c r="N9" i="93"/>
  <c r="N9" i="127" s="1"/>
  <c r="D53" i="126"/>
  <c r="D63" i="126"/>
  <c r="O67" i="127"/>
  <c r="E29" i="125"/>
  <c r="O46" i="127"/>
  <c r="C22" i="126"/>
  <c r="O38" i="127"/>
  <c r="O32" i="127"/>
  <c r="C53" i="126"/>
  <c r="C49" i="126"/>
  <c r="O57" i="127"/>
  <c r="C38" i="126"/>
  <c r="C63" i="126"/>
  <c r="C41" i="126"/>
  <c r="E64" i="125"/>
  <c r="H62" i="151" s="1"/>
  <c r="D66" i="126"/>
  <c r="C56" i="126"/>
  <c r="D38" i="126"/>
  <c r="D21" i="126"/>
  <c r="D50" i="126"/>
  <c r="C57" i="126"/>
  <c r="C50" i="126"/>
  <c r="E15" i="121"/>
  <c r="E15" i="125" s="1"/>
  <c r="H13" i="151" s="1"/>
  <c r="C54" i="126"/>
  <c r="K28" i="151"/>
  <c r="E30" i="110" s="1"/>
  <c r="C24" i="126"/>
  <c r="C67" i="126"/>
  <c r="K38" i="151"/>
  <c r="E40" i="110" s="1"/>
  <c r="D116" i="189"/>
  <c r="F55" i="134"/>
  <c r="K55" i="134" s="1"/>
  <c r="F19" i="134"/>
  <c r="F58" i="134"/>
  <c r="F37" i="134"/>
  <c r="F25" i="134"/>
  <c r="F23" i="134"/>
  <c r="F39" i="134"/>
  <c r="F23" i="153"/>
  <c r="K23" i="153" s="1"/>
  <c r="F56" i="152"/>
  <c r="F24" i="152"/>
  <c r="F60" i="151"/>
  <c r="F39" i="153"/>
  <c r="K55" i="151"/>
  <c r="AD57" i="129" s="1"/>
  <c r="K32" i="151"/>
  <c r="F32" i="134"/>
  <c r="F29" i="134"/>
  <c r="F50" i="134"/>
  <c r="F57" i="134"/>
  <c r="F30" i="134"/>
  <c r="F61" i="134"/>
  <c r="F64" i="134"/>
  <c r="F42" i="134"/>
  <c r="F35" i="153"/>
  <c r="F64" i="152"/>
  <c r="F61" i="152"/>
  <c r="F19" i="152"/>
  <c r="F31" i="153"/>
  <c r="K31" i="153" s="1"/>
  <c r="K50" i="151"/>
  <c r="K64" i="151"/>
  <c r="F47" i="153"/>
  <c r="K51" i="151"/>
  <c r="AD53" i="129" s="1"/>
  <c r="K61" i="151"/>
  <c r="AD63" i="129" s="1"/>
  <c r="K19" i="151"/>
  <c r="F20" i="153"/>
  <c r="K20" i="153" s="1"/>
  <c r="F48" i="153"/>
  <c r="K36" i="151"/>
  <c r="L36" i="151" s="1"/>
  <c r="F52" i="134"/>
  <c r="F56" i="134"/>
  <c r="F65" i="134"/>
  <c r="F35" i="134"/>
  <c r="F26" i="134"/>
  <c r="F20" i="134"/>
  <c r="F51" i="134"/>
  <c r="F24" i="134"/>
  <c r="F36" i="134"/>
  <c r="F51" i="153"/>
  <c r="K51" i="153" s="1"/>
  <c r="K65" i="151"/>
  <c r="K44" i="151"/>
  <c r="E46" i="110" s="1"/>
  <c r="F55" i="153"/>
  <c r="K43" i="151"/>
  <c r="K29" i="151"/>
  <c r="F44" i="134"/>
  <c r="F49" i="134"/>
  <c r="F38" i="134"/>
  <c r="K38" i="134" s="1"/>
  <c r="F43" i="134"/>
  <c r="F31" i="134"/>
  <c r="K31" i="134" s="1"/>
  <c r="F48" i="134"/>
  <c r="F47" i="134"/>
  <c r="F58" i="153"/>
  <c r="F36" i="153"/>
  <c r="F56" i="153"/>
  <c r="F51" i="152"/>
  <c r="F57" i="152"/>
  <c r="F48" i="152"/>
  <c r="F36" i="152"/>
  <c r="K36" i="152" s="1"/>
  <c r="F61" i="153"/>
  <c r="F26" i="153"/>
  <c r="F38" i="153"/>
  <c r="F54" i="153"/>
  <c r="F19" i="153"/>
  <c r="K20" i="151"/>
  <c r="K39" i="151"/>
  <c r="K47" i="151"/>
  <c r="O55" i="93"/>
  <c r="O55" i="127" s="1"/>
  <c r="F65" i="152"/>
  <c r="K65" i="152" s="1"/>
  <c r="F20" i="152"/>
  <c r="F42" i="153"/>
  <c r="D32" i="126"/>
  <c r="F64" i="153"/>
  <c r="K64" i="153" s="1"/>
  <c r="D51" i="126"/>
  <c r="F58" i="152"/>
  <c r="F42" i="152"/>
  <c r="F31" i="152"/>
  <c r="K31" i="152" s="1"/>
  <c r="F50" i="152"/>
  <c r="C48" i="126"/>
  <c r="C32" i="126"/>
  <c r="D34" i="126"/>
  <c r="F52" i="152"/>
  <c r="F38" i="152"/>
  <c r="D19" i="124"/>
  <c r="I18" i="152"/>
  <c r="H37" i="153"/>
  <c r="C39" i="126"/>
  <c r="E25" i="110"/>
  <c r="L23" i="151"/>
  <c r="AD25" i="129"/>
  <c r="C47" i="125"/>
  <c r="C13" i="121"/>
  <c r="C13" i="125" s="1"/>
  <c r="D9" i="121"/>
  <c r="D9" i="125" s="1"/>
  <c r="D23" i="125"/>
  <c r="D64" i="125"/>
  <c r="D16" i="121"/>
  <c r="D16" i="125" s="1"/>
  <c r="O20" i="127"/>
  <c r="F22" i="153"/>
  <c r="F65" i="153"/>
  <c r="D10" i="121"/>
  <c r="D10" i="125" s="1"/>
  <c r="D29" i="125"/>
  <c r="D26" i="126"/>
  <c r="H21" i="151"/>
  <c r="K58" i="151"/>
  <c r="C28" i="126"/>
  <c r="D55" i="124"/>
  <c r="I54" i="152"/>
  <c r="D37" i="126"/>
  <c r="L48" i="151"/>
  <c r="AD50" i="129"/>
  <c r="E50" i="110"/>
  <c r="C61" i="125"/>
  <c r="C15" i="121"/>
  <c r="C15" i="125" s="1"/>
  <c r="F52" i="153"/>
  <c r="C35" i="125"/>
  <c r="C11" i="121"/>
  <c r="C11" i="125" s="1"/>
  <c r="F43" i="152"/>
  <c r="D14" i="121"/>
  <c r="D14" i="125" s="1"/>
  <c r="D55" i="125"/>
  <c r="F49" i="152"/>
  <c r="D22" i="126"/>
  <c r="D52" i="126"/>
  <c r="F22" i="151"/>
  <c r="H8" i="151"/>
  <c r="H14" i="151"/>
  <c r="F46" i="151"/>
  <c r="H18" i="152"/>
  <c r="D20" i="126"/>
  <c r="D41" i="126"/>
  <c r="C47" i="124"/>
  <c r="I49" i="153"/>
  <c r="C61" i="124"/>
  <c r="I60" i="153"/>
  <c r="C19" i="124"/>
  <c r="I18" i="153"/>
  <c r="F44" i="153"/>
  <c r="C36" i="126"/>
  <c r="C43" i="126"/>
  <c r="H41" i="153"/>
  <c r="H25" i="153"/>
  <c r="C27" i="126"/>
  <c r="F32" i="153"/>
  <c r="H41" i="152"/>
  <c r="D43" i="126"/>
  <c r="H60" i="152"/>
  <c r="D62" i="126"/>
  <c r="H34" i="152"/>
  <c r="D36" i="126"/>
  <c r="F55" i="152"/>
  <c r="H46" i="152"/>
  <c r="D48" i="126"/>
  <c r="H59" i="151"/>
  <c r="C66" i="126"/>
  <c r="F32" i="152"/>
  <c r="F23" i="152"/>
  <c r="H28" i="152"/>
  <c r="D30" i="126"/>
  <c r="H45" i="151"/>
  <c r="D42" i="124"/>
  <c r="I41" i="152"/>
  <c r="D45" i="126"/>
  <c r="K42" i="151"/>
  <c r="O50" i="127"/>
  <c r="C26" i="126"/>
  <c r="C65" i="126"/>
  <c r="H63" i="153"/>
  <c r="K26" i="151"/>
  <c r="H53" i="151"/>
  <c r="H17" i="151"/>
  <c r="D23" i="124"/>
  <c r="I22" i="152"/>
  <c r="D47" i="124"/>
  <c r="I46" i="152"/>
  <c r="F35" i="152"/>
  <c r="H28" i="153"/>
  <c r="C30" i="126"/>
  <c r="C31" i="126"/>
  <c r="C59" i="126"/>
  <c r="H57" i="153"/>
  <c r="D46" i="126"/>
  <c r="D28" i="126"/>
  <c r="D31" i="126"/>
  <c r="F47" i="152"/>
  <c r="F25" i="152"/>
  <c r="H10" i="151"/>
  <c r="K57" i="151"/>
  <c r="D19" i="125"/>
  <c r="D8" i="121"/>
  <c r="F39" i="152"/>
  <c r="AD37" i="129"/>
  <c r="L35" i="151"/>
  <c r="E37" i="110"/>
  <c r="C29" i="124"/>
  <c r="I28" i="153"/>
  <c r="C64" i="124"/>
  <c r="I63" i="153"/>
  <c r="C46" i="126"/>
  <c r="F34" i="153"/>
  <c r="C12" i="121"/>
  <c r="C12" i="125" s="1"/>
  <c r="C42" i="125"/>
  <c r="C9" i="121"/>
  <c r="C9" i="125" s="1"/>
  <c r="C23" i="125"/>
  <c r="C34" i="126"/>
  <c r="D12" i="121"/>
  <c r="D12" i="125" s="1"/>
  <c r="D42" i="125"/>
  <c r="D15" i="121"/>
  <c r="D15" i="125" s="1"/>
  <c r="D61" i="125"/>
  <c r="D11" i="121"/>
  <c r="D11" i="125" s="1"/>
  <c r="D35" i="125"/>
  <c r="D57" i="126"/>
  <c r="D13" i="121"/>
  <c r="D13" i="125" s="1"/>
  <c r="D47" i="125"/>
  <c r="K49" i="151"/>
  <c r="F31" i="151"/>
  <c r="F43" i="153"/>
  <c r="C52" i="126"/>
  <c r="D39" i="126"/>
  <c r="K30" i="151"/>
  <c r="D64" i="124"/>
  <c r="I63" i="152"/>
  <c r="D61" i="124"/>
  <c r="I60" i="152"/>
  <c r="AD54" i="129"/>
  <c r="L52" i="151"/>
  <c r="E54" i="110"/>
  <c r="C62" i="126"/>
  <c r="H60" i="153"/>
  <c r="H54" i="152"/>
  <c r="D56" i="126"/>
  <c r="C19" i="125"/>
  <c r="C8" i="121"/>
  <c r="K24" i="151"/>
  <c r="K37" i="151"/>
  <c r="D25" i="126"/>
  <c r="K56" i="151"/>
  <c r="F24" i="153"/>
  <c r="C16" i="121"/>
  <c r="C16" i="125" s="1"/>
  <c r="C64" i="125"/>
  <c r="K25" i="151"/>
  <c r="D29" i="124"/>
  <c r="I28" i="152"/>
  <c r="D35" i="124"/>
  <c r="I34" i="152"/>
  <c r="D33" i="126"/>
  <c r="D67" i="126"/>
  <c r="C10" i="121"/>
  <c r="C10" i="125" s="1"/>
  <c r="C29" i="125"/>
  <c r="F29" i="153"/>
  <c r="C14" i="121"/>
  <c r="C14" i="125" s="1"/>
  <c r="C55" i="125"/>
  <c r="F44" i="152"/>
  <c r="F26" i="152"/>
  <c r="F29" i="152"/>
  <c r="D49" i="126"/>
  <c r="D27" i="126"/>
  <c r="F18" i="151"/>
  <c r="C21" i="126"/>
  <c r="D60" i="126"/>
  <c r="D54" i="126"/>
  <c r="C42" i="124"/>
  <c r="I41" i="153"/>
  <c r="C35" i="124"/>
  <c r="I37" i="153"/>
  <c r="C55" i="124"/>
  <c r="I57" i="153"/>
  <c r="C23" i="124"/>
  <c r="I25" i="153"/>
  <c r="H49" i="153"/>
  <c r="C51" i="126"/>
  <c r="F46" i="153"/>
  <c r="F30" i="153"/>
  <c r="H18" i="153"/>
  <c r="C20" i="126"/>
  <c r="C44" i="126"/>
  <c r="F30" i="152"/>
  <c r="D40" i="126"/>
  <c r="D24" i="126"/>
  <c r="H22" i="152"/>
  <c r="D65" i="126"/>
  <c r="H63" i="152"/>
  <c r="D44" i="126"/>
  <c r="H33" i="151"/>
  <c r="C45" i="126"/>
  <c r="F50" i="153"/>
  <c r="F37" i="152"/>
  <c r="AH42" i="114"/>
  <c r="AH22" i="114"/>
  <c r="D102" i="189"/>
  <c r="V49" i="189"/>
  <c r="O121" i="121" s="1"/>
  <c r="O121" i="124" s="1"/>
  <c r="X51" i="126" s="1"/>
  <c r="O56" i="127"/>
  <c r="O28" i="127"/>
  <c r="O66" i="127"/>
  <c r="M124" i="121"/>
  <c r="M124" i="124" s="1"/>
  <c r="V54" i="126" s="1"/>
  <c r="M121" i="121"/>
  <c r="M121" i="124" s="1"/>
  <c r="V51" i="126" s="1"/>
  <c r="AH6" i="114"/>
  <c r="AH10" i="114"/>
  <c r="AH34" i="114"/>
  <c r="O26" i="127"/>
  <c r="O45" i="127"/>
  <c r="O30" i="127"/>
  <c r="O42" i="93"/>
  <c r="O64" i="93"/>
  <c r="O64" i="127" s="1"/>
  <c r="O34" i="127"/>
  <c r="O44" i="127"/>
  <c r="O43" i="127"/>
  <c r="O65" i="127"/>
  <c r="O33" i="127"/>
  <c r="O25" i="127"/>
  <c r="O29" i="93"/>
  <c r="O23" i="93"/>
  <c r="O23" i="127" s="1"/>
  <c r="O36" i="127"/>
  <c r="O47" i="93"/>
  <c r="O47" i="127" s="1"/>
  <c r="D118" i="189"/>
  <c r="O27" i="127"/>
  <c r="O61" i="93"/>
  <c r="O53" i="127"/>
  <c r="D105" i="189"/>
  <c r="O19" i="93"/>
  <c r="O8" i="93" s="1"/>
  <c r="O35" i="93"/>
  <c r="O35" i="127" s="1"/>
  <c r="O54" i="127"/>
  <c r="S8" i="120"/>
  <c r="T17" i="194"/>
  <c r="S12" i="120"/>
  <c r="T40" i="194"/>
  <c r="S11" i="120"/>
  <c r="T33" i="194"/>
  <c r="S14" i="120"/>
  <c r="T53" i="194"/>
  <c r="S9" i="120"/>
  <c r="T21" i="194"/>
  <c r="S13" i="120"/>
  <c r="T45" i="194"/>
  <c r="S10" i="120"/>
  <c r="T27" i="194"/>
  <c r="S16" i="120"/>
  <c r="T62" i="194"/>
  <c r="S15" i="120"/>
  <c r="T59" i="194"/>
  <c r="AG4" i="114"/>
  <c r="Q34" i="93" s="1"/>
  <c r="T6" i="192"/>
  <c r="R18" i="120"/>
  <c r="T12" i="192"/>
  <c r="T9" i="192"/>
  <c r="T14" i="192"/>
  <c r="T10" i="192"/>
  <c r="T16" i="191"/>
  <c r="Q7" i="120"/>
  <c r="T11" i="192"/>
  <c r="T13" i="192"/>
  <c r="T8" i="192"/>
  <c r="P6" i="120"/>
  <c r="U5" i="190"/>
  <c r="T7" i="192"/>
  <c r="L78" i="121"/>
  <c r="L78" i="124" s="1"/>
  <c r="U8" i="126" s="1"/>
  <c r="D110" i="189"/>
  <c r="V43" i="189"/>
  <c r="D131" i="189"/>
  <c r="V64" i="189"/>
  <c r="D103" i="189"/>
  <c r="V36" i="189"/>
  <c r="D117" i="189"/>
  <c r="V50" i="189"/>
  <c r="D97" i="189"/>
  <c r="V30" i="189"/>
  <c r="D98" i="189"/>
  <c r="V31" i="189"/>
  <c r="L83" i="121"/>
  <c r="L83" i="124" s="1"/>
  <c r="U13" i="126" s="1"/>
  <c r="H60" i="134"/>
  <c r="F62" i="126"/>
  <c r="F10" i="121"/>
  <c r="F10" i="125" s="1"/>
  <c r="F29" i="125"/>
  <c r="H22" i="134"/>
  <c r="F24" i="126"/>
  <c r="H46" i="134"/>
  <c r="F48" i="126"/>
  <c r="D124" i="189"/>
  <c r="V57" i="189"/>
  <c r="D95" i="189"/>
  <c r="V28" i="189"/>
  <c r="D85" i="189"/>
  <c r="V18" i="189"/>
  <c r="D121" i="189"/>
  <c r="V54" i="189"/>
  <c r="L82" i="121"/>
  <c r="L82" i="124" s="1"/>
  <c r="U12" i="126" s="1"/>
  <c r="F15" i="121"/>
  <c r="F15" i="125" s="1"/>
  <c r="F61" i="125"/>
  <c r="H54" i="134"/>
  <c r="F56" i="126"/>
  <c r="H28" i="134"/>
  <c r="F30" i="126"/>
  <c r="F9" i="121"/>
  <c r="F9" i="125" s="1"/>
  <c r="F23" i="125"/>
  <c r="F13" i="121"/>
  <c r="F13" i="125" s="1"/>
  <c r="F47" i="125"/>
  <c r="N128" i="121"/>
  <c r="N128" i="124" s="1"/>
  <c r="W58" i="126" s="1"/>
  <c r="N135" i="121"/>
  <c r="N135" i="124" s="1"/>
  <c r="W65" i="126" s="1"/>
  <c r="M134" i="121"/>
  <c r="M134" i="124" s="1"/>
  <c r="V64" i="126" s="1"/>
  <c r="M89" i="121"/>
  <c r="M89" i="124" s="1"/>
  <c r="V19" i="126" s="1"/>
  <c r="I28" i="157"/>
  <c r="G29" i="124"/>
  <c r="I60" i="157"/>
  <c r="G61" i="124"/>
  <c r="G42" i="124"/>
  <c r="I41" i="157"/>
  <c r="L86" i="121"/>
  <c r="L86" i="124" s="1"/>
  <c r="U16" i="126" s="1"/>
  <c r="V4" i="178"/>
  <c r="F9" i="124"/>
  <c r="I7" i="134" s="1"/>
  <c r="I21" i="134"/>
  <c r="F16" i="124"/>
  <c r="I14" i="134" s="1"/>
  <c r="I62" i="134"/>
  <c r="I45" i="134"/>
  <c r="F13" i="124"/>
  <c r="I11" i="134" s="1"/>
  <c r="I17" i="134"/>
  <c r="F8" i="124"/>
  <c r="N90" i="121"/>
  <c r="N90" i="124" s="1"/>
  <c r="W20" i="126" s="1"/>
  <c r="N92" i="121"/>
  <c r="N92" i="124" s="1"/>
  <c r="W22" i="126" s="1"/>
  <c r="N100" i="121"/>
  <c r="N100" i="124" s="1"/>
  <c r="W30" i="126" s="1"/>
  <c r="N115" i="121"/>
  <c r="N115" i="124" s="1"/>
  <c r="W45" i="126" s="1"/>
  <c r="D130" i="189"/>
  <c r="V63" i="189"/>
  <c r="D123" i="189"/>
  <c r="V56" i="189"/>
  <c r="D122" i="189"/>
  <c r="V55" i="189"/>
  <c r="D93" i="189"/>
  <c r="V26" i="189"/>
  <c r="D108" i="189"/>
  <c r="V41" i="189"/>
  <c r="L80" i="121"/>
  <c r="L80" i="124" s="1"/>
  <c r="U10" i="126" s="1"/>
  <c r="F11" i="121"/>
  <c r="F11" i="125" s="1"/>
  <c r="F35" i="125"/>
  <c r="H18" i="134"/>
  <c r="F20" i="126"/>
  <c r="H41" i="134"/>
  <c r="F43" i="126"/>
  <c r="H63" i="134"/>
  <c r="F65" i="126"/>
  <c r="N113" i="121"/>
  <c r="N113" i="124" s="1"/>
  <c r="W43" i="126" s="1"/>
  <c r="N96" i="121"/>
  <c r="N96" i="124" s="1"/>
  <c r="W26" i="126" s="1"/>
  <c r="N110" i="121"/>
  <c r="N110" i="124" s="1"/>
  <c r="W40" i="126" s="1"/>
  <c r="H51" i="157"/>
  <c r="G53" i="126"/>
  <c r="G23" i="121"/>
  <c r="G24" i="125"/>
  <c r="G56" i="125"/>
  <c r="G55" i="121"/>
  <c r="H24" i="157"/>
  <c r="G26" i="126"/>
  <c r="G43" i="125"/>
  <c r="G42" i="121"/>
  <c r="H31" i="157"/>
  <c r="G33" i="126"/>
  <c r="H55" i="157"/>
  <c r="G57" i="126"/>
  <c r="H38" i="157"/>
  <c r="G40" i="126"/>
  <c r="H23" i="157"/>
  <c r="G25" i="126"/>
  <c r="H61" i="157"/>
  <c r="G63" i="126"/>
  <c r="H29" i="157"/>
  <c r="G31" i="126"/>
  <c r="G35" i="121"/>
  <c r="G36" i="125"/>
  <c r="H64" i="157"/>
  <c r="G66" i="126"/>
  <c r="G62" i="125"/>
  <c r="G61" i="121"/>
  <c r="H56" i="157"/>
  <c r="G58" i="126"/>
  <c r="H26" i="157"/>
  <c r="G28" i="126"/>
  <c r="G20" i="125"/>
  <c r="G19" i="121"/>
  <c r="H36" i="157"/>
  <c r="G38" i="126"/>
  <c r="H47" i="157"/>
  <c r="G49" i="126"/>
  <c r="H52" i="157"/>
  <c r="G54" i="126"/>
  <c r="L79" i="121"/>
  <c r="L79" i="124" s="1"/>
  <c r="U9" i="126" s="1"/>
  <c r="H51" i="124"/>
  <c r="H57" i="124"/>
  <c r="H41" i="124"/>
  <c r="H22" i="124"/>
  <c r="H25" i="124"/>
  <c r="H56" i="124"/>
  <c r="H66" i="124"/>
  <c r="H44" i="124"/>
  <c r="H31" i="124"/>
  <c r="H62" i="124"/>
  <c r="H37" i="124"/>
  <c r="H67" i="124"/>
  <c r="H27" i="124"/>
  <c r="H58" i="124"/>
  <c r="H24" i="124"/>
  <c r="H63" i="124"/>
  <c r="H54" i="124"/>
  <c r="H38" i="124"/>
  <c r="H50" i="124"/>
  <c r="H34" i="124"/>
  <c r="H65" i="124"/>
  <c r="H36" i="124"/>
  <c r="H43" i="124"/>
  <c r="H32" i="124"/>
  <c r="H49" i="124"/>
  <c r="H46" i="124"/>
  <c r="H52" i="124"/>
  <c r="H28" i="124"/>
  <c r="H45" i="124"/>
  <c r="H39" i="124"/>
  <c r="H48" i="124"/>
  <c r="H53" i="124"/>
  <c r="H40" i="124"/>
  <c r="H33" i="124"/>
  <c r="H21" i="124"/>
  <c r="H30" i="124"/>
  <c r="H20" i="124"/>
  <c r="H26" i="124"/>
  <c r="H59" i="124"/>
  <c r="H60" i="124"/>
  <c r="F14" i="124"/>
  <c r="I12" i="134" s="1"/>
  <c r="I53" i="134"/>
  <c r="I76" i="121"/>
  <c r="I76" i="124" s="1"/>
  <c r="N91" i="121"/>
  <c r="N91" i="124" s="1"/>
  <c r="W21" i="126" s="1"/>
  <c r="N94" i="121"/>
  <c r="N94" i="124" s="1"/>
  <c r="W24" i="126" s="1"/>
  <c r="N97" i="121"/>
  <c r="N97" i="124" s="1"/>
  <c r="W27" i="126" s="1"/>
  <c r="N107" i="121"/>
  <c r="N107" i="124" s="1"/>
  <c r="W37" i="126" s="1"/>
  <c r="M131" i="121"/>
  <c r="M131" i="124" s="1"/>
  <c r="V61" i="126" s="1"/>
  <c r="D96" i="189"/>
  <c r="V29" i="189"/>
  <c r="F14" i="121"/>
  <c r="F14" i="125" s="1"/>
  <c r="F55" i="125"/>
  <c r="D107" i="188"/>
  <c r="V40" i="188"/>
  <c r="N103" i="121"/>
  <c r="N103" i="124" s="1"/>
  <c r="W33" i="126" s="1"/>
  <c r="N130" i="121"/>
  <c r="N130" i="124" s="1"/>
  <c r="W60" i="126" s="1"/>
  <c r="D100" i="188"/>
  <c r="V33" i="188"/>
  <c r="L84" i="121"/>
  <c r="L84" i="124" s="1"/>
  <c r="U14" i="126" s="1"/>
  <c r="L81" i="121"/>
  <c r="L81" i="124" s="1"/>
  <c r="U11" i="126" s="1"/>
  <c r="I18" i="157"/>
  <c r="G19" i="124"/>
  <c r="I46" i="157"/>
  <c r="G47" i="124"/>
  <c r="I34" i="157"/>
  <c r="G35" i="124"/>
  <c r="I63" i="157"/>
  <c r="G64" i="124"/>
  <c r="G23" i="124"/>
  <c r="I22" i="157"/>
  <c r="G55" i="124"/>
  <c r="I54" i="157"/>
  <c r="L85" i="121"/>
  <c r="L85" i="124" s="1"/>
  <c r="U15" i="126" s="1"/>
  <c r="F11" i="124"/>
  <c r="I9" i="134" s="1"/>
  <c r="I33" i="134"/>
  <c r="D84" i="188"/>
  <c r="V17" i="188"/>
  <c r="N116" i="121"/>
  <c r="N116" i="124" s="1"/>
  <c r="W46" i="126" s="1"/>
  <c r="N98" i="121"/>
  <c r="N98" i="124" s="1"/>
  <c r="W28" i="126" s="1"/>
  <c r="N108" i="121"/>
  <c r="N108" i="124" s="1"/>
  <c r="W38" i="126" s="1"/>
  <c r="M125" i="121"/>
  <c r="M125" i="124" s="1"/>
  <c r="V55" i="126" s="1"/>
  <c r="D101" i="189"/>
  <c r="V34" i="189"/>
  <c r="D99" i="189"/>
  <c r="V32" i="189"/>
  <c r="D115" i="189"/>
  <c r="V48" i="189"/>
  <c r="D109" i="189"/>
  <c r="V42" i="189"/>
  <c r="D132" i="189"/>
  <c r="V65" i="189"/>
  <c r="D92" i="189"/>
  <c r="V25" i="189"/>
  <c r="D111" i="189"/>
  <c r="V44" i="189"/>
  <c r="D91" i="189"/>
  <c r="V24" i="189"/>
  <c r="D90" i="189"/>
  <c r="V23" i="189"/>
  <c r="D113" i="189"/>
  <c r="V46" i="189"/>
  <c r="H34" i="134"/>
  <c r="F36" i="126"/>
  <c r="F8" i="121"/>
  <c r="F19" i="125"/>
  <c r="F12" i="121"/>
  <c r="F12" i="125" s="1"/>
  <c r="F42" i="125"/>
  <c r="F16" i="121"/>
  <c r="F16" i="125" s="1"/>
  <c r="F64" i="125"/>
  <c r="N102" i="121"/>
  <c r="N102" i="124" s="1"/>
  <c r="W32" i="126" s="1"/>
  <c r="N106" i="121"/>
  <c r="N106" i="124" s="1"/>
  <c r="W36" i="126" s="1"/>
  <c r="H44" i="157"/>
  <c r="G46" i="126"/>
  <c r="G37" i="126"/>
  <c r="H35" i="157"/>
  <c r="H32" i="157"/>
  <c r="G34" i="126"/>
  <c r="H30" i="157"/>
  <c r="G32" i="126"/>
  <c r="H48" i="157"/>
  <c r="G50" i="126"/>
  <c r="H65" i="157"/>
  <c r="G67" i="126"/>
  <c r="G48" i="125"/>
  <c r="G47" i="121"/>
  <c r="H20" i="157"/>
  <c r="G22" i="126"/>
  <c r="H43" i="157"/>
  <c r="G45" i="126"/>
  <c r="H37" i="157"/>
  <c r="G39" i="126"/>
  <c r="H50" i="157"/>
  <c r="G52" i="126"/>
  <c r="H57" i="157"/>
  <c r="G59" i="126"/>
  <c r="G64" i="121"/>
  <c r="G65" i="125"/>
  <c r="H58" i="157"/>
  <c r="G60" i="126"/>
  <c r="G44" i="126"/>
  <c r="H42" i="157"/>
  <c r="H25" i="157"/>
  <c r="G27" i="126"/>
  <c r="H39" i="157"/>
  <c r="G41" i="126"/>
  <c r="G30" i="125"/>
  <c r="G29" i="121"/>
  <c r="H19" i="157"/>
  <c r="G21" i="126"/>
  <c r="H49" i="157"/>
  <c r="G51" i="126"/>
  <c r="H51" i="121"/>
  <c r="H51" i="125" s="1"/>
  <c r="H57" i="121"/>
  <c r="H57" i="125" s="1"/>
  <c r="H32" i="121"/>
  <c r="H32" i="125" s="1"/>
  <c r="H49" i="121"/>
  <c r="H49" i="125" s="1"/>
  <c r="H25" i="121"/>
  <c r="H25" i="125" s="1"/>
  <c r="H34" i="121"/>
  <c r="H34" i="125" s="1"/>
  <c r="H65" i="121"/>
  <c r="H40" i="121"/>
  <c r="H40" i="125" s="1"/>
  <c r="H67" i="121"/>
  <c r="H67" i="125" s="1"/>
  <c r="H27" i="121"/>
  <c r="H27" i="125" s="1"/>
  <c r="H58" i="121"/>
  <c r="H58" i="125" s="1"/>
  <c r="H24" i="121"/>
  <c r="H21" i="121"/>
  <c r="H21" i="125" s="1"/>
  <c r="H30" i="121"/>
  <c r="H26" i="121"/>
  <c r="H26" i="125" s="1"/>
  <c r="H59" i="121"/>
  <c r="H59" i="125" s="1"/>
  <c r="H66" i="121"/>
  <c r="H66" i="125" s="1"/>
  <c r="H44" i="121"/>
  <c r="H44" i="125" s="1"/>
  <c r="H41" i="121"/>
  <c r="H41" i="125" s="1"/>
  <c r="H22" i="121"/>
  <c r="H22" i="125" s="1"/>
  <c r="H53" i="121"/>
  <c r="H53" i="125" s="1"/>
  <c r="H37" i="121"/>
  <c r="H37" i="125" s="1"/>
  <c r="H36" i="121"/>
  <c r="H43" i="121"/>
  <c r="H33" i="121"/>
  <c r="H33" i="125" s="1"/>
  <c r="H63" i="121"/>
  <c r="H63" i="125" s="1"/>
  <c r="H54" i="121"/>
  <c r="H54" i="125" s="1"/>
  <c r="H38" i="121"/>
  <c r="H38" i="125" s="1"/>
  <c r="H20" i="121"/>
  <c r="H60" i="121"/>
  <c r="H60" i="125" s="1"/>
  <c r="H50" i="121"/>
  <c r="H50" i="125" s="1"/>
  <c r="H46" i="121"/>
  <c r="H46" i="125" s="1"/>
  <c r="H52" i="121"/>
  <c r="H52" i="125" s="1"/>
  <c r="H28" i="121"/>
  <c r="H28" i="125" s="1"/>
  <c r="H56" i="121"/>
  <c r="H45" i="121"/>
  <c r="H45" i="125" s="1"/>
  <c r="H31" i="121"/>
  <c r="H31" i="125" s="1"/>
  <c r="H39" i="121"/>
  <c r="H39" i="125" s="1"/>
  <c r="H62" i="121"/>
  <c r="H48" i="121"/>
  <c r="F10" i="124"/>
  <c r="I8" i="134" s="1"/>
  <c r="I27" i="134"/>
  <c r="F15" i="124"/>
  <c r="I13" i="134" s="1"/>
  <c r="I59" i="134"/>
  <c r="F12" i="124"/>
  <c r="I10" i="134" s="1"/>
  <c r="I40" i="134"/>
  <c r="N137" i="121"/>
  <c r="N137" i="124" s="1"/>
  <c r="W67" i="126" s="1"/>
  <c r="M99" i="121"/>
  <c r="M99" i="124" s="1"/>
  <c r="V29" i="126" s="1"/>
  <c r="J110" i="200" l="1"/>
  <c r="J5" i="212"/>
  <c r="J82" i="212"/>
  <c r="J106" i="200"/>
  <c r="J120" i="200"/>
  <c r="J136" i="200" s="1"/>
  <c r="J74" i="213"/>
  <c r="J123" i="200"/>
  <c r="J139" i="200" s="1"/>
  <c r="J77" i="213"/>
  <c r="J5" i="213"/>
  <c r="J82" i="213"/>
  <c r="J102" i="200"/>
  <c r="J109" i="200"/>
  <c r="J119" i="200"/>
  <c r="J73" i="213"/>
  <c r="J125" i="200"/>
  <c r="J141" i="200" s="1"/>
  <c r="J79" i="213"/>
  <c r="J126" i="200"/>
  <c r="J142" i="200" s="1"/>
  <c r="J80" i="213"/>
  <c r="J118" i="200"/>
  <c r="J134" i="200" s="1"/>
  <c r="J72" i="213"/>
  <c r="J105" i="200"/>
  <c r="J124" i="200"/>
  <c r="J140" i="200" s="1"/>
  <c r="J78" i="213"/>
  <c r="J108" i="200"/>
  <c r="J121" i="200"/>
  <c r="J137" i="200" s="1"/>
  <c r="J75" i="213"/>
  <c r="J107" i="200"/>
  <c r="J104" i="200"/>
  <c r="J135" i="200"/>
  <c r="J103" i="200"/>
  <c r="J122" i="200"/>
  <c r="J138" i="200" s="1"/>
  <c r="J76" i="213"/>
  <c r="W18" i="130"/>
  <c r="W30" i="132"/>
  <c r="GY13" i="129"/>
  <c r="W22" i="130"/>
  <c r="GY8" i="129"/>
  <c r="X7" i="131" s="1"/>
  <c r="X7" i="132" s="1"/>
  <c r="GY9" i="129"/>
  <c r="W8" i="130" s="1"/>
  <c r="W55" i="132"/>
  <c r="W54" i="130"/>
  <c r="E70" i="212"/>
  <c r="HJ64" i="129"/>
  <c r="HJ16" i="129" s="1"/>
  <c r="GZ29" i="129"/>
  <c r="GZ10" i="129" s="1"/>
  <c r="GZ55" i="129"/>
  <c r="GZ14" i="129" s="1"/>
  <c r="GZ64" i="129"/>
  <c r="GZ16" i="129" s="1"/>
  <c r="HJ42" i="129"/>
  <c r="HJ12" i="129" s="1"/>
  <c r="HJ35" i="129"/>
  <c r="HJ11" i="129" s="1"/>
  <c r="W9" i="130"/>
  <c r="X9" i="131"/>
  <c r="HI10" i="129"/>
  <c r="N27" i="213"/>
  <c r="HI11" i="129"/>
  <c r="N33" i="213"/>
  <c r="HI12" i="129"/>
  <c r="N40" i="213"/>
  <c r="X9" i="132"/>
  <c r="M30" i="213"/>
  <c r="HG32" i="129"/>
  <c r="X31" i="131"/>
  <c r="X31" i="132" s="1"/>
  <c r="HF5" i="129"/>
  <c r="HG21" i="129"/>
  <c r="X20" i="131"/>
  <c r="X20" i="132" s="1"/>
  <c r="M19" i="213"/>
  <c r="X42" i="131"/>
  <c r="X42" i="132" s="1"/>
  <c r="HH42" i="129"/>
  <c r="M41" i="213"/>
  <c r="HG43" i="129"/>
  <c r="M54" i="213"/>
  <c r="HH55" i="129"/>
  <c r="X55" i="131"/>
  <c r="X55" i="132" s="1"/>
  <c r="HG56" i="129"/>
  <c r="M29" i="213"/>
  <c r="X30" i="131"/>
  <c r="X30" i="132" s="1"/>
  <c r="HG31" i="129"/>
  <c r="W14" i="130"/>
  <c r="X14" i="131"/>
  <c r="W15" i="130"/>
  <c r="X15" i="131"/>
  <c r="GZ35" i="129"/>
  <c r="GZ11" i="129" s="1"/>
  <c r="GZ47" i="129"/>
  <c r="GZ13" i="129" s="1"/>
  <c r="HG44" i="129"/>
  <c r="X43" i="131"/>
  <c r="X43" i="132" s="1"/>
  <c r="M42" i="213"/>
  <c r="M18" i="213"/>
  <c r="HH19" i="129"/>
  <c r="X19" i="131"/>
  <c r="X19" i="132" s="1"/>
  <c r="HG20" i="129"/>
  <c r="HG63" i="129"/>
  <c r="X62" i="131"/>
  <c r="X62" i="132" s="1"/>
  <c r="M61" i="213"/>
  <c r="HG62" i="129"/>
  <c r="M60" i="213"/>
  <c r="HH61" i="129"/>
  <c r="X61" i="131"/>
  <c r="X61" i="132" s="1"/>
  <c r="HG48" i="129"/>
  <c r="M46" i="213"/>
  <c r="HH47" i="129"/>
  <c r="X47" i="131"/>
  <c r="X47" i="132" s="1"/>
  <c r="HI9" i="129"/>
  <c r="N21" i="213"/>
  <c r="X8" i="131"/>
  <c r="HI16" i="129"/>
  <c r="N62" i="213"/>
  <c r="HI14" i="129"/>
  <c r="N53" i="213"/>
  <c r="X36" i="131"/>
  <c r="X36" i="132" s="1"/>
  <c r="M35" i="213"/>
  <c r="HG37" i="129"/>
  <c r="M65" i="213"/>
  <c r="HG67" i="129"/>
  <c r="X66" i="131"/>
  <c r="X66" i="132" s="1"/>
  <c r="HH64" i="129"/>
  <c r="X64" i="131"/>
  <c r="X64" i="132" s="1"/>
  <c r="M63" i="213"/>
  <c r="HG65" i="129"/>
  <c r="HG60" i="129"/>
  <c r="X59" i="131"/>
  <c r="X59" i="132" s="1"/>
  <c r="M58" i="213"/>
  <c r="HG34" i="129"/>
  <c r="M32" i="213"/>
  <c r="X33" i="131"/>
  <c r="X33" i="132" s="1"/>
  <c r="HJ23" i="129"/>
  <c r="HJ9" i="129" s="1"/>
  <c r="AC62" i="92"/>
  <c r="HM5" i="129" s="1"/>
  <c r="X15" i="132"/>
  <c r="HG22" i="129"/>
  <c r="M20" i="213"/>
  <c r="X21" i="131"/>
  <c r="X21" i="132" s="1"/>
  <c r="HG28" i="129"/>
  <c r="M26" i="213"/>
  <c r="X27" i="131"/>
  <c r="X27" i="132" s="1"/>
  <c r="M48" i="213"/>
  <c r="X49" i="131"/>
  <c r="X49" i="132" s="1"/>
  <c r="HG50" i="129"/>
  <c r="HG54" i="129"/>
  <c r="M52" i="213"/>
  <c r="X53" i="131"/>
  <c r="X53" i="132" s="1"/>
  <c r="M22" i="213"/>
  <c r="X23" i="131"/>
  <c r="X23" i="132" s="1"/>
  <c r="HH23" i="129"/>
  <c r="HG24" i="129"/>
  <c r="W11" i="130"/>
  <c r="X11" i="131"/>
  <c r="X11" i="132" s="1"/>
  <c r="X51" i="131"/>
  <c r="X51" i="132" s="1"/>
  <c r="HG52" i="129"/>
  <c r="M50" i="213"/>
  <c r="HG41" i="129"/>
  <c r="X40" i="131"/>
  <c r="X40" i="132" s="1"/>
  <c r="M39" i="213"/>
  <c r="HG46" i="129"/>
  <c r="X45" i="131"/>
  <c r="X45" i="132" s="1"/>
  <c r="M44" i="213"/>
  <c r="M24" i="213"/>
  <c r="HG26" i="129"/>
  <c r="X25" i="131"/>
  <c r="X25" i="132" s="1"/>
  <c r="X39" i="131"/>
  <c r="X39" i="132" s="1"/>
  <c r="HG40" i="129"/>
  <c r="M38" i="213"/>
  <c r="HI15" i="129"/>
  <c r="N59" i="213"/>
  <c r="GZ19" i="129"/>
  <c r="GZ8" i="129" s="1"/>
  <c r="X29" i="131"/>
  <c r="X29" i="132" s="1"/>
  <c r="HH29" i="129"/>
  <c r="HG30" i="129"/>
  <c r="M28" i="213"/>
  <c r="M36" i="213"/>
  <c r="HG38" i="129"/>
  <c r="X37" i="131"/>
  <c r="X37" i="132" s="1"/>
  <c r="X56" i="131"/>
  <c r="X56" i="132" s="1"/>
  <c r="M55" i="213"/>
  <c r="HG57" i="129"/>
  <c r="HG39" i="129"/>
  <c r="X38" i="131"/>
  <c r="X38" i="132" s="1"/>
  <c r="M37" i="213"/>
  <c r="HG27" i="129"/>
  <c r="X26" i="131"/>
  <c r="X26" i="132" s="1"/>
  <c r="M25" i="213"/>
  <c r="HJ29" i="129"/>
  <c r="HJ10" i="129" s="1"/>
  <c r="HJ55" i="129"/>
  <c r="HJ14" i="129" s="1"/>
  <c r="W12" i="130"/>
  <c r="X12" i="131"/>
  <c r="W13" i="130"/>
  <c r="X13" i="131"/>
  <c r="X13" i="132" s="1"/>
  <c r="GZ61" i="129"/>
  <c r="GZ15" i="129" s="1"/>
  <c r="X14" i="132" s="1"/>
  <c r="M57" i="213"/>
  <c r="HG59" i="129"/>
  <c r="X58" i="131"/>
  <c r="X58" i="132" s="1"/>
  <c r="HG33" i="129"/>
  <c r="X32" i="131"/>
  <c r="X32" i="132" s="1"/>
  <c r="M31" i="213"/>
  <c r="M64" i="213"/>
  <c r="HG66" i="129"/>
  <c r="X65" i="131"/>
  <c r="X65" i="132" s="1"/>
  <c r="M43" i="213"/>
  <c r="X44" i="131"/>
  <c r="X44" i="132" s="1"/>
  <c r="HG45" i="129"/>
  <c r="X24" i="131"/>
  <c r="X24" i="132" s="1"/>
  <c r="M23" i="213"/>
  <c r="HG25" i="129"/>
  <c r="HI13" i="129"/>
  <c r="N45" i="213"/>
  <c r="HJ19" i="129"/>
  <c r="HJ8" i="129" s="1"/>
  <c r="W10" i="130"/>
  <c r="X10" i="131"/>
  <c r="GZ23" i="129"/>
  <c r="GZ9" i="129" s="1"/>
  <c r="HG58" i="129"/>
  <c r="M56" i="213"/>
  <c r="X57" i="131"/>
  <c r="X57" i="132" s="1"/>
  <c r="X50" i="131"/>
  <c r="X50" i="132" s="1"/>
  <c r="M49" i="213"/>
  <c r="HG51" i="129"/>
  <c r="HG53" i="129"/>
  <c r="X52" i="131"/>
  <c r="X52" i="132" s="1"/>
  <c r="M51" i="213"/>
  <c r="HG49" i="129"/>
  <c r="M47" i="213"/>
  <c r="X48" i="131"/>
  <c r="X48" i="132" s="1"/>
  <c r="X35" i="131"/>
  <c r="X35" i="132" s="1"/>
  <c r="HH35" i="129"/>
  <c r="HG36" i="129"/>
  <c r="M34" i="213"/>
  <c r="HJ47" i="129"/>
  <c r="HJ13" i="129" s="1"/>
  <c r="HI8" i="129"/>
  <c r="N17" i="213"/>
  <c r="H133" i="200"/>
  <c r="E100" i="200"/>
  <c r="E132" i="200"/>
  <c r="T10" i="212"/>
  <c r="T10" i="213"/>
  <c r="T7" i="212"/>
  <c r="T7" i="213"/>
  <c r="T14" i="212"/>
  <c r="T14" i="213"/>
  <c r="T11" i="212"/>
  <c r="T11" i="213"/>
  <c r="T13" i="212"/>
  <c r="T13" i="213"/>
  <c r="T6" i="212"/>
  <c r="T6" i="213"/>
  <c r="T12" i="212"/>
  <c r="T12" i="213"/>
  <c r="T8" i="212"/>
  <c r="T8" i="213"/>
  <c r="T9" i="212"/>
  <c r="T9" i="213"/>
  <c r="AL54" i="114"/>
  <c r="AM114" i="114"/>
  <c r="AM54" i="114" s="1"/>
  <c r="GN18" i="129"/>
  <c r="V17" i="131" s="1"/>
  <c r="F5" i="213"/>
  <c r="F117" i="200" s="1"/>
  <c r="H4" i="213"/>
  <c r="H116" i="200" s="1"/>
  <c r="L7" i="127"/>
  <c r="H101" i="200"/>
  <c r="V62" i="188"/>
  <c r="N134" i="121" s="1"/>
  <c r="N134" i="124" s="1"/>
  <c r="W64" i="126" s="1"/>
  <c r="GW42" i="129"/>
  <c r="W7" i="130"/>
  <c r="GX16" i="129"/>
  <c r="W15" i="131" s="1"/>
  <c r="W63" i="131"/>
  <c r="W63" i="132" s="1"/>
  <c r="GX10" i="129"/>
  <c r="W9" i="131" s="1"/>
  <c r="W28" i="131"/>
  <c r="W28" i="132" s="1"/>
  <c r="F85" i="200"/>
  <c r="F4" i="212"/>
  <c r="GW55" i="129"/>
  <c r="GW61" i="129"/>
  <c r="GX12" i="129"/>
  <c r="W11" i="131" s="1"/>
  <c r="W41" i="131"/>
  <c r="W41" i="132" s="1"/>
  <c r="GW29" i="129"/>
  <c r="GW47" i="129"/>
  <c r="W60" i="131"/>
  <c r="W60" i="132" s="1"/>
  <c r="GX15" i="129"/>
  <c r="W14" i="131" s="1"/>
  <c r="GW23" i="129"/>
  <c r="H84" i="200"/>
  <c r="GX11" i="129"/>
  <c r="W10" i="131" s="1"/>
  <c r="W10" i="132" s="1"/>
  <c r="W34" i="131"/>
  <c r="W34" i="132" s="1"/>
  <c r="GW64" i="129"/>
  <c r="GX8" i="129"/>
  <c r="W18" i="131"/>
  <c r="W18" i="132" s="1"/>
  <c r="GX14" i="129"/>
  <c r="W13" i="131" s="1"/>
  <c r="W13" i="132" s="1"/>
  <c r="W54" i="131"/>
  <c r="W54" i="132" s="1"/>
  <c r="GW35" i="129"/>
  <c r="GW19" i="129"/>
  <c r="GX13" i="129"/>
  <c r="W12" i="131" s="1"/>
  <c r="W46" i="131"/>
  <c r="W46" i="132" s="1"/>
  <c r="GX9" i="129"/>
  <c r="W8" i="131" s="1"/>
  <c r="W22" i="131"/>
  <c r="W22" i="132" s="1"/>
  <c r="J69" i="200"/>
  <c r="AI48" i="114"/>
  <c r="D129" i="188"/>
  <c r="AI6" i="114"/>
  <c r="D112" i="188"/>
  <c r="V11" i="188"/>
  <c r="F4" i="211"/>
  <c r="F52" i="200" s="1"/>
  <c r="T6" i="211"/>
  <c r="M84" i="121"/>
  <c r="M84" i="124" s="1"/>
  <c r="V14" i="126" s="1"/>
  <c r="M83" i="121"/>
  <c r="M83" i="124" s="1"/>
  <c r="V13" i="126" s="1"/>
  <c r="D88" i="188"/>
  <c r="D104" i="189"/>
  <c r="D67" i="186"/>
  <c r="D69" i="186" s="1"/>
  <c r="GD18" i="129"/>
  <c r="GD7" i="129" s="1"/>
  <c r="M18" i="127"/>
  <c r="V53" i="188"/>
  <c r="N125" i="121" s="1"/>
  <c r="N125" i="124" s="1"/>
  <c r="W55" i="126" s="1"/>
  <c r="V22" i="189"/>
  <c r="O94" i="121" s="1"/>
  <c r="O94" i="124" s="1"/>
  <c r="X24" i="126" s="1"/>
  <c r="D79" i="188"/>
  <c r="V59" i="188"/>
  <c r="N131" i="121" s="1"/>
  <c r="N131" i="124" s="1"/>
  <c r="W61" i="126" s="1"/>
  <c r="M7" i="93"/>
  <c r="M6" i="93" s="1"/>
  <c r="M6" i="127" s="1"/>
  <c r="M5" i="127" s="1"/>
  <c r="M72" i="127" s="1"/>
  <c r="D126" i="188"/>
  <c r="V16" i="186"/>
  <c r="L88" i="121" s="1"/>
  <c r="L88" i="124" s="1"/>
  <c r="U18" i="126" s="1"/>
  <c r="V21" i="188"/>
  <c r="N93" i="121" s="1"/>
  <c r="N93" i="124" s="1"/>
  <c r="W23" i="126" s="1"/>
  <c r="E8" i="126"/>
  <c r="E36" i="200"/>
  <c r="GF18" i="129"/>
  <c r="GF7" i="129" s="1"/>
  <c r="GF6" i="129" s="1"/>
  <c r="AI21" i="206"/>
  <c r="AJ81" i="206"/>
  <c r="J70" i="211"/>
  <c r="J52" i="200"/>
  <c r="AH42" i="206"/>
  <c r="AJ95" i="206"/>
  <c r="AI35" i="206"/>
  <c r="AH48" i="206"/>
  <c r="AH34" i="206"/>
  <c r="AI9" i="206"/>
  <c r="AJ69" i="206"/>
  <c r="AJ109" i="206"/>
  <c r="AI49" i="206"/>
  <c r="AI15" i="206"/>
  <c r="AJ75" i="206"/>
  <c r="AI12" i="206"/>
  <c r="AJ72" i="206"/>
  <c r="AI47" i="206"/>
  <c r="AJ107" i="206"/>
  <c r="AI45" i="206"/>
  <c r="AJ105" i="206"/>
  <c r="AJ99" i="206"/>
  <c r="AI39" i="206"/>
  <c r="AJ88" i="206"/>
  <c r="AI28" i="206"/>
  <c r="AI22" i="114"/>
  <c r="AJ106" i="206"/>
  <c r="AI46" i="206"/>
  <c r="AJ114" i="206"/>
  <c r="AI54" i="206"/>
  <c r="AI53" i="206"/>
  <c r="AJ113" i="206"/>
  <c r="AJ80" i="206"/>
  <c r="AI20" i="206"/>
  <c r="AK92" i="114"/>
  <c r="AJ32" i="114"/>
  <c r="AJ98" i="206"/>
  <c r="AI38" i="206"/>
  <c r="AJ84" i="206"/>
  <c r="AI24" i="206"/>
  <c r="AI31" i="206"/>
  <c r="AJ91" i="206"/>
  <c r="AK65" i="206"/>
  <c r="AK5" i="206" s="1"/>
  <c r="AJ5" i="206"/>
  <c r="AJ86" i="206"/>
  <c r="AI26" i="206"/>
  <c r="AJ112" i="206"/>
  <c r="AI52" i="206"/>
  <c r="AJ96" i="206"/>
  <c r="AI36" i="206"/>
  <c r="AH22" i="206"/>
  <c r="AJ77" i="206"/>
  <c r="AI17" i="206"/>
  <c r="GP19" i="129"/>
  <c r="AJ68" i="206"/>
  <c r="AI8" i="206"/>
  <c r="AJ90" i="206"/>
  <c r="AI30" i="206"/>
  <c r="AJ73" i="206"/>
  <c r="AI13" i="206"/>
  <c r="AJ101" i="206"/>
  <c r="AI41" i="206"/>
  <c r="AJ113" i="114"/>
  <c r="AI53" i="114"/>
  <c r="AI51" i="114" s="1"/>
  <c r="AJ110" i="206"/>
  <c r="AI50" i="206"/>
  <c r="AI25" i="206"/>
  <c r="AJ85" i="206"/>
  <c r="AI40" i="206"/>
  <c r="AJ100" i="206"/>
  <c r="AJ79" i="206"/>
  <c r="AI19" i="206"/>
  <c r="AJ93" i="206"/>
  <c r="AI33" i="206"/>
  <c r="AJ103" i="206"/>
  <c r="AI43" i="206"/>
  <c r="AI14" i="206"/>
  <c r="AJ74" i="206"/>
  <c r="AI44" i="206"/>
  <c r="AJ104" i="206"/>
  <c r="AH6" i="206"/>
  <c r="AJ92" i="206"/>
  <c r="AI32" i="206"/>
  <c r="AG4" i="206"/>
  <c r="AJ71" i="206"/>
  <c r="AI11" i="206"/>
  <c r="AJ90" i="114"/>
  <c r="AI30" i="114"/>
  <c r="AI29" i="114" s="1"/>
  <c r="AI23" i="206"/>
  <c r="AJ83" i="206"/>
  <c r="AI18" i="206"/>
  <c r="AJ78" i="206"/>
  <c r="AH16" i="206"/>
  <c r="AH29" i="206"/>
  <c r="GP61" i="129"/>
  <c r="AJ87" i="206"/>
  <c r="AI27" i="206"/>
  <c r="AJ67" i="206"/>
  <c r="AI7" i="206"/>
  <c r="AI37" i="206"/>
  <c r="AJ97" i="206"/>
  <c r="AH51" i="206"/>
  <c r="AH10" i="206"/>
  <c r="AK19" i="114"/>
  <c r="AL79" i="114"/>
  <c r="AK33" i="114"/>
  <c r="AL93" i="114"/>
  <c r="AK52" i="114"/>
  <c r="AL112" i="114"/>
  <c r="AK17" i="114"/>
  <c r="AL77" i="114"/>
  <c r="AH4" i="114"/>
  <c r="R63" i="93" s="1"/>
  <c r="AK28" i="114"/>
  <c r="AL88" i="114"/>
  <c r="AK18" i="114"/>
  <c r="AL78" i="114"/>
  <c r="AK36" i="114"/>
  <c r="AL96" i="114"/>
  <c r="AK24" i="114"/>
  <c r="AL84" i="114"/>
  <c r="AK26" i="114"/>
  <c r="AL86" i="114"/>
  <c r="GP47" i="129"/>
  <c r="GP42" i="129"/>
  <c r="GP55" i="129"/>
  <c r="GP64" i="129"/>
  <c r="GP29" i="129"/>
  <c r="GP23" i="129"/>
  <c r="GP35" i="129"/>
  <c r="AJ40" i="114"/>
  <c r="AJ35" i="114"/>
  <c r="AJ25" i="114"/>
  <c r="AJ14" i="114"/>
  <c r="AJ44" i="114"/>
  <c r="AJ38" i="114"/>
  <c r="AJ41" i="114"/>
  <c r="AJ7" i="114"/>
  <c r="AJ11" i="114"/>
  <c r="AJ23" i="114"/>
  <c r="AJ9" i="114"/>
  <c r="AJ8" i="114"/>
  <c r="AJ47" i="114"/>
  <c r="AJ49" i="114"/>
  <c r="AJ50" i="114"/>
  <c r="AJ31" i="114"/>
  <c r="AJ46" i="114"/>
  <c r="AJ21" i="114"/>
  <c r="AJ15" i="114"/>
  <c r="AJ37" i="114"/>
  <c r="AJ20" i="114"/>
  <c r="AJ45" i="114"/>
  <c r="AJ39" i="114"/>
  <c r="AJ43" i="114"/>
  <c r="AJ12" i="114"/>
  <c r="AJ13" i="114"/>
  <c r="T13" i="207"/>
  <c r="T13" i="211"/>
  <c r="T8" i="207"/>
  <c r="T8" i="211"/>
  <c r="T7" i="207"/>
  <c r="T7" i="211"/>
  <c r="T9" i="207"/>
  <c r="T9" i="211"/>
  <c r="T14" i="207"/>
  <c r="T14" i="211"/>
  <c r="T11" i="207"/>
  <c r="T11" i="211"/>
  <c r="T12" i="207"/>
  <c r="T12" i="211"/>
  <c r="T10" i="207"/>
  <c r="T10" i="211"/>
  <c r="FT6" i="129"/>
  <c r="T5" i="131" s="1"/>
  <c r="T6" i="205"/>
  <c r="T6" i="207"/>
  <c r="ER1" i="129"/>
  <c r="AI16" i="114"/>
  <c r="E35" i="126"/>
  <c r="D94" i="188"/>
  <c r="D75" i="188"/>
  <c r="AI34" i="114"/>
  <c r="AI42" i="114"/>
  <c r="AI10" i="114"/>
  <c r="I33" i="151"/>
  <c r="F33" i="151" s="1"/>
  <c r="E16" i="124"/>
  <c r="I14" i="151" s="1"/>
  <c r="F14" i="151" s="1"/>
  <c r="I53" i="151"/>
  <c r="F53" i="151" s="1"/>
  <c r="E47" i="126"/>
  <c r="I40" i="151"/>
  <c r="F40" i="151" s="1"/>
  <c r="E42" i="126"/>
  <c r="I17" i="151"/>
  <c r="F17" i="151" s="1"/>
  <c r="E13" i="124"/>
  <c r="I11" i="151" s="1"/>
  <c r="F11" i="151" s="1"/>
  <c r="E23" i="126"/>
  <c r="O13" i="93"/>
  <c r="O13" i="127" s="1"/>
  <c r="E15" i="124"/>
  <c r="I13" i="151" s="1"/>
  <c r="F13" i="151" s="1"/>
  <c r="E9" i="124"/>
  <c r="I7" i="151" s="1"/>
  <c r="E10" i="124"/>
  <c r="I8" i="151" s="1"/>
  <c r="F8" i="151" s="1"/>
  <c r="E14" i="124"/>
  <c r="I12" i="151" s="1"/>
  <c r="F12" i="151" s="1"/>
  <c r="E19" i="126"/>
  <c r="N18" i="93"/>
  <c r="N17" i="93" s="1"/>
  <c r="E29" i="126"/>
  <c r="H27" i="151"/>
  <c r="F27" i="151" s="1"/>
  <c r="I59" i="151"/>
  <c r="F59" i="151" s="1"/>
  <c r="E64" i="126"/>
  <c r="E12" i="126"/>
  <c r="AD40" i="129"/>
  <c r="W40" i="129" s="1"/>
  <c r="X40" i="129" s="1"/>
  <c r="V39" i="189"/>
  <c r="O111" i="121" s="1"/>
  <c r="O111" i="124" s="1"/>
  <c r="X41" i="126" s="1"/>
  <c r="V38" i="189"/>
  <c r="O110" i="121" s="1"/>
  <c r="O110" i="124" s="1"/>
  <c r="X40" i="126" s="1"/>
  <c r="T13" i="194"/>
  <c r="T13" i="205"/>
  <c r="T8" i="194"/>
  <c r="T8" i="205"/>
  <c r="T7" i="194"/>
  <c r="T7" i="205"/>
  <c r="T9" i="194"/>
  <c r="T9" i="205"/>
  <c r="T14" i="194"/>
  <c r="T14" i="205"/>
  <c r="T11" i="194"/>
  <c r="T11" i="205"/>
  <c r="T12" i="194"/>
  <c r="T12" i="205"/>
  <c r="T10" i="194"/>
  <c r="T10" i="205"/>
  <c r="FL18" i="129"/>
  <c r="FL7" i="129" s="1"/>
  <c r="FL6" i="129" s="1"/>
  <c r="V51" i="189"/>
  <c r="O123" i="121" s="1"/>
  <c r="O123" i="124" s="1"/>
  <c r="X53" i="126" s="1"/>
  <c r="L28" i="151"/>
  <c r="R28" i="151" s="1"/>
  <c r="S28" i="151" s="1"/>
  <c r="V35" i="189"/>
  <c r="O107" i="121" s="1"/>
  <c r="O107" i="124" s="1"/>
  <c r="X37" i="126" s="1"/>
  <c r="O12" i="93"/>
  <c r="O12" i="127" s="1"/>
  <c r="AD30" i="129"/>
  <c r="W30" i="129" s="1"/>
  <c r="L38" i="151"/>
  <c r="R38" i="151" s="1"/>
  <c r="S38" i="151" s="1"/>
  <c r="O14" i="93"/>
  <c r="O14" i="127" s="1"/>
  <c r="O9" i="93"/>
  <c r="O9" i="127" s="1"/>
  <c r="K65" i="134"/>
  <c r="AN67" i="129" s="1"/>
  <c r="K19" i="153"/>
  <c r="J21" i="129" s="1"/>
  <c r="E18" i="121"/>
  <c r="E17" i="121" s="1"/>
  <c r="K42" i="134"/>
  <c r="L42" i="134" s="1"/>
  <c r="K29" i="134"/>
  <c r="AN31" i="129" s="1"/>
  <c r="K23" i="134"/>
  <c r="AN25" i="129" s="1"/>
  <c r="AD34" i="129"/>
  <c r="W34" i="129" s="1"/>
  <c r="X34" i="129" s="1"/>
  <c r="AD67" i="129"/>
  <c r="W67" i="129" s="1"/>
  <c r="X67" i="129" s="1"/>
  <c r="K42" i="153"/>
  <c r="C44" i="110" s="1"/>
  <c r="K49" i="134"/>
  <c r="L49" i="134" s="1"/>
  <c r="L19" i="151"/>
  <c r="R19" i="151" s="1"/>
  <c r="S19" i="151" s="1"/>
  <c r="K58" i="152"/>
  <c r="L58" i="152" s="1"/>
  <c r="K48" i="134"/>
  <c r="F50" i="110" s="1"/>
  <c r="K43" i="134"/>
  <c r="L43" i="134" s="1"/>
  <c r="K57" i="134"/>
  <c r="L57" i="134" s="1"/>
  <c r="K52" i="134"/>
  <c r="K36" i="134"/>
  <c r="AN38" i="129" s="1"/>
  <c r="L32" i="151"/>
  <c r="R32" i="151" s="1"/>
  <c r="S32" i="151" s="1"/>
  <c r="L50" i="151"/>
  <c r="R50" i="151" s="1"/>
  <c r="S50" i="151" s="1"/>
  <c r="E67" i="110"/>
  <c r="K57" i="152"/>
  <c r="L57" i="152" s="1"/>
  <c r="K58" i="153"/>
  <c r="C60" i="110" s="1"/>
  <c r="L51" i="151"/>
  <c r="R51" i="151" s="1"/>
  <c r="S51" i="151" s="1"/>
  <c r="E66" i="110"/>
  <c r="K19" i="152"/>
  <c r="D21" i="110" s="1"/>
  <c r="AD21" i="129"/>
  <c r="W21" i="129" s="1"/>
  <c r="K61" i="134"/>
  <c r="L61" i="134" s="1"/>
  <c r="K51" i="134"/>
  <c r="K19" i="134"/>
  <c r="AN21" i="129" s="1"/>
  <c r="K55" i="153"/>
  <c r="J57" i="129" s="1"/>
  <c r="E52" i="110"/>
  <c r="L65" i="151"/>
  <c r="K56" i="153"/>
  <c r="C58" i="110" s="1"/>
  <c r="K48" i="153"/>
  <c r="L48" i="153" s="1"/>
  <c r="L64" i="151"/>
  <c r="R64" i="151" s="1"/>
  <c r="S64" i="151" s="1"/>
  <c r="K37" i="134"/>
  <c r="AN39" i="129" s="1"/>
  <c r="K26" i="134"/>
  <c r="F28" i="110" s="1"/>
  <c r="E34" i="110"/>
  <c r="AD52" i="129"/>
  <c r="W52" i="129" s="1"/>
  <c r="X52" i="129" s="1"/>
  <c r="E53" i="110"/>
  <c r="K24" i="152"/>
  <c r="T26" i="129" s="1"/>
  <c r="K39" i="153"/>
  <c r="J41" i="129" s="1"/>
  <c r="AD66" i="129"/>
  <c r="W66" i="129" s="1"/>
  <c r="X66" i="129" s="1"/>
  <c r="E21" i="110"/>
  <c r="K54" i="153"/>
  <c r="C56" i="110" s="1"/>
  <c r="K64" i="152"/>
  <c r="L64" i="152" s="1"/>
  <c r="K64" i="134"/>
  <c r="AN66" i="129" s="1"/>
  <c r="K30" i="134"/>
  <c r="K32" i="134"/>
  <c r="L32" i="134" s="1"/>
  <c r="K24" i="134"/>
  <c r="AN26" i="129" s="1"/>
  <c r="K25" i="134"/>
  <c r="L25" i="134" s="1"/>
  <c r="K56" i="134"/>
  <c r="AN58" i="129" s="1"/>
  <c r="K20" i="134"/>
  <c r="L20" i="134" s="1"/>
  <c r="K58" i="134"/>
  <c r="L58" i="134" s="1"/>
  <c r="L43" i="151"/>
  <c r="R43" i="151" s="1"/>
  <c r="S43" i="151" s="1"/>
  <c r="L55" i="151"/>
  <c r="K48" i="152"/>
  <c r="T50" i="129" s="1"/>
  <c r="K20" i="152"/>
  <c r="T22" i="129" s="1"/>
  <c r="K52" i="152"/>
  <c r="D54" i="110" s="1"/>
  <c r="AD46" i="129"/>
  <c r="W46" i="129" s="1"/>
  <c r="X46" i="129" s="1"/>
  <c r="K35" i="153"/>
  <c r="J37" i="129" s="1"/>
  <c r="K50" i="134"/>
  <c r="AN52" i="129" s="1"/>
  <c r="AD45" i="129"/>
  <c r="W45" i="129" s="1"/>
  <c r="X45" i="129" s="1"/>
  <c r="E38" i="110"/>
  <c r="K61" i="153"/>
  <c r="C63" i="110" s="1"/>
  <c r="K47" i="153"/>
  <c r="C49" i="110" s="1"/>
  <c r="K60" i="151"/>
  <c r="E62" i="110" s="1"/>
  <c r="K50" i="152"/>
  <c r="T52" i="129" s="1"/>
  <c r="L44" i="151"/>
  <c r="R44" i="151" s="1"/>
  <c r="S44" i="151" s="1"/>
  <c r="E22" i="110"/>
  <c r="K47" i="134"/>
  <c r="AN49" i="129" s="1"/>
  <c r="K44" i="134"/>
  <c r="K35" i="134"/>
  <c r="AN37" i="129" s="1"/>
  <c r="K39" i="134"/>
  <c r="L39" i="134" s="1"/>
  <c r="E45" i="110"/>
  <c r="AD38" i="129"/>
  <c r="W38" i="129" s="1"/>
  <c r="X38" i="129" s="1"/>
  <c r="E57" i="110"/>
  <c r="K51" i="152"/>
  <c r="L51" i="152" s="1"/>
  <c r="K36" i="153"/>
  <c r="C38" i="110" s="1"/>
  <c r="E63" i="110"/>
  <c r="L39" i="151"/>
  <c r="R39" i="151" s="1"/>
  <c r="S39" i="151" s="1"/>
  <c r="E41" i="110"/>
  <c r="V47" i="189"/>
  <c r="O119" i="121" s="1"/>
  <c r="O119" i="124" s="1"/>
  <c r="X49" i="126" s="1"/>
  <c r="D128" i="189"/>
  <c r="D87" i="189"/>
  <c r="D86" i="189"/>
  <c r="D127" i="189"/>
  <c r="D125" i="189"/>
  <c r="F49" i="157"/>
  <c r="K49" i="157" s="1"/>
  <c r="F58" i="157"/>
  <c r="K58" i="157" s="1"/>
  <c r="F20" i="157"/>
  <c r="K20" i="157" s="1"/>
  <c r="F65" i="157"/>
  <c r="F36" i="157"/>
  <c r="K36" i="157" s="1"/>
  <c r="F31" i="157"/>
  <c r="F42" i="157"/>
  <c r="K42" i="157" s="1"/>
  <c r="F63" i="134"/>
  <c r="F18" i="134"/>
  <c r="K18" i="134" s="1"/>
  <c r="F54" i="134"/>
  <c r="L20" i="151"/>
  <c r="L61" i="151"/>
  <c r="K38" i="153"/>
  <c r="K26" i="153"/>
  <c r="C28" i="110" s="1"/>
  <c r="F25" i="157"/>
  <c r="K25" i="157" s="1"/>
  <c r="F37" i="157"/>
  <c r="F30" i="157"/>
  <c r="K30" i="157" s="1"/>
  <c r="F26" i="157"/>
  <c r="K26" i="157" s="1"/>
  <c r="F38" i="157"/>
  <c r="F19" i="157"/>
  <c r="K19" i="157" s="1"/>
  <c r="F39" i="157"/>
  <c r="F50" i="157"/>
  <c r="K50" i="157" s="1"/>
  <c r="F43" i="157"/>
  <c r="F48" i="157"/>
  <c r="K48" i="157" s="1"/>
  <c r="F32" i="157"/>
  <c r="F44" i="157"/>
  <c r="K44" i="157" s="1"/>
  <c r="F47" i="157"/>
  <c r="K47" i="157" s="1"/>
  <c r="F56" i="157"/>
  <c r="F64" i="157"/>
  <c r="K64" i="157" s="1"/>
  <c r="F29" i="157"/>
  <c r="F23" i="157"/>
  <c r="K23" i="157" s="1"/>
  <c r="F55" i="157"/>
  <c r="F51" i="157"/>
  <c r="K51" i="157" s="1"/>
  <c r="F60" i="134"/>
  <c r="F22" i="152"/>
  <c r="K18" i="151"/>
  <c r="K42" i="152"/>
  <c r="AD31" i="129"/>
  <c r="W31" i="129" s="1"/>
  <c r="X31" i="129" s="1"/>
  <c r="E31" i="110"/>
  <c r="L29" i="151"/>
  <c r="F57" i="157"/>
  <c r="K57" i="157" s="1"/>
  <c r="F52" i="157"/>
  <c r="K52" i="157" s="1"/>
  <c r="F61" i="157"/>
  <c r="K61" i="157" s="1"/>
  <c r="F24" i="157"/>
  <c r="F46" i="134"/>
  <c r="K46" i="134" s="1"/>
  <c r="F35" i="157"/>
  <c r="F34" i="134"/>
  <c r="K34" i="134" s="1"/>
  <c r="F41" i="134"/>
  <c r="K41" i="134" s="1"/>
  <c r="F28" i="134"/>
  <c r="F22" i="134"/>
  <c r="K22" i="134" s="1"/>
  <c r="F9" i="151"/>
  <c r="K41" i="151"/>
  <c r="E43" i="110" s="1"/>
  <c r="R36" i="151"/>
  <c r="S36" i="151" s="1"/>
  <c r="F10" i="151"/>
  <c r="R48" i="151"/>
  <c r="S48" i="151" s="1"/>
  <c r="AD41" i="129"/>
  <c r="W41" i="129" s="1"/>
  <c r="X41" i="129" s="1"/>
  <c r="AD22" i="129"/>
  <c r="W22" i="129" s="1"/>
  <c r="X22" i="129" s="1"/>
  <c r="R23" i="151"/>
  <c r="S23" i="151" s="1"/>
  <c r="K38" i="152"/>
  <c r="F63" i="152"/>
  <c r="K63" i="152" s="1"/>
  <c r="F18" i="153"/>
  <c r="K18" i="153" s="1"/>
  <c r="F49" i="153"/>
  <c r="K49" i="153" s="1"/>
  <c r="F54" i="152"/>
  <c r="R52" i="151"/>
  <c r="S52" i="151" s="1"/>
  <c r="K63" i="151"/>
  <c r="L63" i="151" s="1"/>
  <c r="R35" i="151"/>
  <c r="S35" i="151" s="1"/>
  <c r="F18" i="152"/>
  <c r="K18" i="152" s="1"/>
  <c r="E49" i="110"/>
  <c r="AD49" i="129"/>
  <c r="W49" i="129" s="1"/>
  <c r="X49" i="129" s="1"/>
  <c r="L47" i="151"/>
  <c r="K54" i="151"/>
  <c r="K34" i="151"/>
  <c r="K61" i="152"/>
  <c r="K56" i="152"/>
  <c r="F62" i="151"/>
  <c r="F21" i="151"/>
  <c r="E11" i="126"/>
  <c r="F57" i="153"/>
  <c r="F28" i="153"/>
  <c r="F45" i="151"/>
  <c r="K30" i="153"/>
  <c r="K29" i="153"/>
  <c r="L25" i="151"/>
  <c r="E27" i="110"/>
  <c r="AD27" i="129"/>
  <c r="H14" i="153"/>
  <c r="AD39" i="129"/>
  <c r="L37" i="151"/>
  <c r="E39" i="110"/>
  <c r="E51" i="110"/>
  <c r="AD51" i="129"/>
  <c r="L49" i="151"/>
  <c r="H10" i="152"/>
  <c r="W37" i="129"/>
  <c r="X37" i="129" s="1"/>
  <c r="K35" i="152"/>
  <c r="F60" i="152"/>
  <c r="C22" i="110"/>
  <c r="J22" i="129"/>
  <c r="L20" i="153"/>
  <c r="K49" i="152"/>
  <c r="K52" i="153"/>
  <c r="H8" i="152"/>
  <c r="H14" i="152"/>
  <c r="V58" i="189"/>
  <c r="O130" i="121" s="1"/>
  <c r="O130" i="124" s="1"/>
  <c r="X60" i="126" s="1"/>
  <c r="K37" i="152"/>
  <c r="K46" i="153"/>
  <c r="C9" i="124"/>
  <c r="I7" i="153" s="1"/>
  <c r="I21" i="153"/>
  <c r="I33" i="153"/>
  <c r="C11" i="124"/>
  <c r="I9" i="153" s="1"/>
  <c r="K44" i="152"/>
  <c r="C29" i="126"/>
  <c r="H27" i="153"/>
  <c r="I33" i="152"/>
  <c r="D11" i="124"/>
  <c r="I9" i="152" s="1"/>
  <c r="K24" i="153"/>
  <c r="H17" i="153"/>
  <c r="C19" i="126"/>
  <c r="F60" i="153"/>
  <c r="W54" i="129"/>
  <c r="X54" i="129" s="1"/>
  <c r="D15" i="124"/>
  <c r="I13" i="152" s="1"/>
  <c r="I59" i="152"/>
  <c r="K43" i="153"/>
  <c r="H11" i="152"/>
  <c r="D61" i="126"/>
  <c r="H59" i="152"/>
  <c r="H10" i="153"/>
  <c r="C16" i="124"/>
  <c r="I14" i="153" s="1"/>
  <c r="I62" i="153"/>
  <c r="K39" i="152"/>
  <c r="AD59" i="129"/>
  <c r="E59" i="110"/>
  <c r="L57" i="151"/>
  <c r="K25" i="152"/>
  <c r="H7" i="151"/>
  <c r="F63" i="153"/>
  <c r="K23" i="152"/>
  <c r="F25" i="153"/>
  <c r="K44" i="153"/>
  <c r="C15" i="124"/>
  <c r="I13" i="153" s="1"/>
  <c r="I59" i="153"/>
  <c r="K22" i="151"/>
  <c r="H53" i="152"/>
  <c r="D55" i="126"/>
  <c r="H13" i="153"/>
  <c r="H62" i="152"/>
  <c r="D64" i="126"/>
  <c r="H45" i="153"/>
  <c r="C47" i="126"/>
  <c r="F37" i="153"/>
  <c r="D33" i="110"/>
  <c r="L31" i="152"/>
  <c r="T33" i="129"/>
  <c r="H9" i="152"/>
  <c r="K55" i="152"/>
  <c r="K50" i="153"/>
  <c r="C55" i="126"/>
  <c r="H53" i="153"/>
  <c r="H8" i="153"/>
  <c r="T38" i="129"/>
  <c r="D38" i="110"/>
  <c r="L36" i="152"/>
  <c r="AD58" i="129"/>
  <c r="E58" i="110"/>
  <c r="L56" i="151"/>
  <c r="E26" i="110"/>
  <c r="L24" i="151"/>
  <c r="AD26" i="129"/>
  <c r="H13" i="152"/>
  <c r="C23" i="126"/>
  <c r="H21" i="153"/>
  <c r="K34" i="153"/>
  <c r="D18" i="121"/>
  <c r="D8" i="125"/>
  <c r="K47" i="152"/>
  <c r="D13" i="124"/>
  <c r="I11" i="152" s="1"/>
  <c r="I45" i="152"/>
  <c r="J33" i="129"/>
  <c r="C33" i="110"/>
  <c r="L31" i="153"/>
  <c r="I40" i="152"/>
  <c r="D12" i="124"/>
  <c r="I10" i="152" s="1"/>
  <c r="F28" i="152"/>
  <c r="K32" i="152"/>
  <c r="F34" i="152"/>
  <c r="F41" i="152"/>
  <c r="F41" i="153"/>
  <c r="H12" i="152"/>
  <c r="H9" i="153"/>
  <c r="H59" i="153"/>
  <c r="C61" i="126"/>
  <c r="AD60" i="129"/>
  <c r="L58" i="151"/>
  <c r="E60" i="110"/>
  <c r="C53" i="110"/>
  <c r="J53" i="129"/>
  <c r="L51" i="153"/>
  <c r="H21" i="152"/>
  <c r="D23" i="126"/>
  <c r="W25" i="129"/>
  <c r="X25" i="129" s="1"/>
  <c r="K30" i="152"/>
  <c r="K26" i="152"/>
  <c r="C8" i="125"/>
  <c r="C18" i="121"/>
  <c r="H45" i="152"/>
  <c r="D47" i="126"/>
  <c r="H40" i="153"/>
  <c r="C42" i="126"/>
  <c r="D9" i="124"/>
  <c r="I7" i="152" s="1"/>
  <c r="I21" i="152"/>
  <c r="AD28" i="129"/>
  <c r="E28" i="110"/>
  <c r="L26" i="151"/>
  <c r="AD44" i="129"/>
  <c r="E44" i="110"/>
  <c r="L42" i="151"/>
  <c r="K22" i="153"/>
  <c r="H11" i="153"/>
  <c r="C14" i="124"/>
  <c r="I12" i="153" s="1"/>
  <c r="I53" i="153"/>
  <c r="C12" i="124"/>
  <c r="I10" i="153" s="1"/>
  <c r="I40" i="153"/>
  <c r="W57" i="129"/>
  <c r="X57" i="129" s="1"/>
  <c r="K29" i="152"/>
  <c r="H12" i="153"/>
  <c r="D10" i="124"/>
  <c r="I8" i="152" s="1"/>
  <c r="I27" i="152"/>
  <c r="C64" i="126"/>
  <c r="H62" i="153"/>
  <c r="L64" i="153"/>
  <c r="J66" i="129"/>
  <c r="C66" i="110"/>
  <c r="W53" i="129"/>
  <c r="X53" i="129" s="1"/>
  <c r="D67" i="110"/>
  <c r="L65" i="152"/>
  <c r="T67" i="129"/>
  <c r="D16" i="124"/>
  <c r="I14" i="152" s="1"/>
  <c r="I62" i="152"/>
  <c r="L30" i="151"/>
  <c r="AD32" i="129"/>
  <c r="E32" i="110"/>
  <c r="K31" i="151"/>
  <c r="D35" i="126"/>
  <c r="H33" i="152"/>
  <c r="D42" i="126"/>
  <c r="H40" i="152"/>
  <c r="H7" i="153"/>
  <c r="C10" i="124"/>
  <c r="I8" i="153" s="1"/>
  <c r="I27" i="153"/>
  <c r="H17" i="152"/>
  <c r="D19" i="126"/>
  <c r="I6" i="151"/>
  <c r="F46" i="152"/>
  <c r="K32" i="153"/>
  <c r="C8" i="124"/>
  <c r="I17" i="153"/>
  <c r="C13" i="124"/>
  <c r="I11" i="153" s="1"/>
  <c r="I45" i="153"/>
  <c r="K46" i="151"/>
  <c r="K43" i="152"/>
  <c r="C35" i="126"/>
  <c r="H33" i="153"/>
  <c r="W50" i="129"/>
  <c r="X50" i="129" s="1"/>
  <c r="D14" i="124"/>
  <c r="I12" i="152" s="1"/>
  <c r="I53" i="152"/>
  <c r="H27" i="152"/>
  <c r="D29" i="126"/>
  <c r="K65" i="153"/>
  <c r="H7" i="152"/>
  <c r="W63" i="129"/>
  <c r="X63" i="129" s="1"/>
  <c r="I17" i="152"/>
  <c r="D8" i="124"/>
  <c r="C25" i="110"/>
  <c r="J25" i="129"/>
  <c r="L23" i="153"/>
  <c r="F18" i="121"/>
  <c r="F17" i="121" s="1"/>
  <c r="V20" i="189"/>
  <c r="O92" i="121" s="1"/>
  <c r="O92" i="124" s="1"/>
  <c r="X22" i="126" s="1"/>
  <c r="O16" i="93"/>
  <c r="O16" i="127" s="1"/>
  <c r="O29" i="127"/>
  <c r="V61" i="189"/>
  <c r="O133" i="121" s="1"/>
  <c r="O133" i="124" s="1"/>
  <c r="X63" i="126" s="1"/>
  <c r="V19" i="189"/>
  <c r="O91" i="121" s="1"/>
  <c r="O91" i="124" s="1"/>
  <c r="X21" i="126" s="1"/>
  <c r="O10" i="93"/>
  <c r="O10" i="127" s="1"/>
  <c r="V62" i="189"/>
  <c r="L31" i="134"/>
  <c r="AN33" i="129"/>
  <c r="L38" i="134"/>
  <c r="AN40" i="129"/>
  <c r="L55" i="134"/>
  <c r="AN57" i="129"/>
  <c r="V60" i="189"/>
  <c r="O132" i="121" s="1"/>
  <c r="O132" i="124" s="1"/>
  <c r="X62" i="126" s="1"/>
  <c r="O42" i="127"/>
  <c r="D114" i="189"/>
  <c r="O11" i="93"/>
  <c r="O11" i="127" s="1"/>
  <c r="O15" i="93"/>
  <c r="O15" i="127" s="1"/>
  <c r="D100" i="189"/>
  <c r="V21" i="189"/>
  <c r="U4" i="190"/>
  <c r="O19" i="127"/>
  <c r="O61" i="127"/>
  <c r="D119" i="189"/>
  <c r="V52" i="189"/>
  <c r="T6" i="194"/>
  <c r="S18" i="120"/>
  <c r="Q28" i="93"/>
  <c r="Q28" i="127" s="1"/>
  <c r="Q22" i="93"/>
  <c r="Q66" i="93"/>
  <c r="Q52" i="93"/>
  <c r="Q57" i="93"/>
  <c r="Q53" i="93"/>
  <c r="Q62" i="93"/>
  <c r="Q49" i="93"/>
  <c r="Q20" i="93"/>
  <c r="Q33" i="93"/>
  <c r="Q60" i="93"/>
  <c r="Q21" i="93"/>
  <c r="Q67" i="93"/>
  <c r="Q59" i="93"/>
  <c r="Q36" i="93"/>
  <c r="Q56" i="93"/>
  <c r="Q54" i="93"/>
  <c r="Q30" i="93"/>
  <c r="Q30" i="127" s="1"/>
  <c r="Q31" i="93"/>
  <c r="Q31" i="127" s="1"/>
  <c r="Q25" i="93"/>
  <c r="Q37" i="93"/>
  <c r="Q51" i="93"/>
  <c r="Q26" i="93"/>
  <c r="Q26" i="127" s="1"/>
  <c r="Q45" i="93"/>
  <c r="Q45" i="127" s="1"/>
  <c r="Q43" i="93"/>
  <c r="Q43" i="127" s="1"/>
  <c r="Q48" i="93"/>
  <c r="Q41" i="93"/>
  <c r="Q50" i="93"/>
  <c r="Q24" i="93"/>
  <c r="Q65" i="93"/>
  <c r="Q63" i="93"/>
  <c r="Q27" i="93"/>
  <c r="Q38" i="93"/>
  <c r="Q46" i="93"/>
  <c r="Q32" i="93"/>
  <c r="Q40" i="93"/>
  <c r="Q44" i="93"/>
  <c r="Q58" i="93"/>
  <c r="Q34" i="127"/>
  <c r="Q39" i="93"/>
  <c r="Q6" i="120"/>
  <c r="T4" i="191" s="1"/>
  <c r="T5" i="191"/>
  <c r="T16" i="192"/>
  <c r="R7" i="120"/>
  <c r="H31" i="126"/>
  <c r="H52" i="126"/>
  <c r="H20" i="125"/>
  <c r="H19" i="121"/>
  <c r="H54" i="126"/>
  <c r="H53" i="126"/>
  <c r="H66" i="126"/>
  <c r="H21" i="126"/>
  <c r="H67" i="126"/>
  <c r="H65" i="125"/>
  <c r="H64" i="121"/>
  <c r="H32" i="126"/>
  <c r="G10" i="121"/>
  <c r="G10" i="125" s="1"/>
  <c r="G29" i="125"/>
  <c r="G13" i="121"/>
  <c r="G13" i="125" s="1"/>
  <c r="G47" i="125"/>
  <c r="M85" i="121"/>
  <c r="M85" i="124" s="1"/>
  <c r="V15" i="126" s="1"/>
  <c r="M80" i="121"/>
  <c r="M80" i="124" s="1"/>
  <c r="V10" i="126" s="1"/>
  <c r="K77" i="121"/>
  <c r="K77" i="124" s="1"/>
  <c r="H48" i="125"/>
  <c r="H47" i="121"/>
  <c r="H39" i="126"/>
  <c r="H45" i="126"/>
  <c r="H28" i="126"/>
  <c r="H46" i="126"/>
  <c r="H60" i="126"/>
  <c r="H38" i="126"/>
  <c r="H63" i="126"/>
  <c r="H42" i="121"/>
  <c r="H43" i="125"/>
  <c r="H37" i="126"/>
  <c r="H22" i="126"/>
  <c r="H44" i="126"/>
  <c r="H59" i="126"/>
  <c r="H30" i="125"/>
  <c r="H29" i="121"/>
  <c r="H24" i="125"/>
  <c r="H23" i="121"/>
  <c r="H27" i="126"/>
  <c r="H40" i="126"/>
  <c r="H34" i="126"/>
  <c r="H49" i="126"/>
  <c r="H57" i="126"/>
  <c r="H28" i="157"/>
  <c r="G30" i="126"/>
  <c r="G16" i="121"/>
  <c r="G16" i="125" s="1"/>
  <c r="G64" i="125"/>
  <c r="H46" i="157"/>
  <c r="G48" i="126"/>
  <c r="H62" i="134"/>
  <c r="F64" i="126"/>
  <c r="H40" i="134"/>
  <c r="F42" i="126"/>
  <c r="H17" i="134"/>
  <c r="F19" i="126"/>
  <c r="O95" i="121"/>
  <c r="O95" i="124" s="1"/>
  <c r="X25" i="126" s="1"/>
  <c r="O96" i="121"/>
  <c r="O96" i="124" s="1"/>
  <c r="X26" i="126" s="1"/>
  <c r="O116" i="121"/>
  <c r="O116" i="124" s="1"/>
  <c r="X46" i="126" s="1"/>
  <c r="O97" i="121"/>
  <c r="O97" i="124" s="1"/>
  <c r="X27" i="126" s="1"/>
  <c r="O137" i="121"/>
  <c r="O137" i="124" s="1"/>
  <c r="X67" i="126" s="1"/>
  <c r="O114" i="121"/>
  <c r="O114" i="124" s="1"/>
  <c r="X44" i="126" s="1"/>
  <c r="O120" i="121"/>
  <c r="O120" i="124" s="1"/>
  <c r="X50" i="126" s="1"/>
  <c r="O104" i="121"/>
  <c r="O104" i="124" s="1"/>
  <c r="X34" i="126" s="1"/>
  <c r="O106" i="121"/>
  <c r="O106" i="124" s="1"/>
  <c r="X36" i="126" s="1"/>
  <c r="M82" i="121"/>
  <c r="M82" i="124" s="1"/>
  <c r="V12" i="126" s="1"/>
  <c r="M81" i="121"/>
  <c r="M81" i="124" s="1"/>
  <c r="V11" i="126" s="1"/>
  <c r="G14" i="124"/>
  <c r="I12" i="157" s="1"/>
  <c r="I53" i="157"/>
  <c r="G9" i="124"/>
  <c r="I7" i="157" s="1"/>
  <c r="I21" i="157"/>
  <c r="H53" i="134"/>
  <c r="F55" i="126"/>
  <c r="O109" i="121"/>
  <c r="O109" i="124" s="1"/>
  <c r="X39" i="126" s="1"/>
  <c r="I43" i="124"/>
  <c r="I40" i="124"/>
  <c r="I60" i="124"/>
  <c r="I63" i="124"/>
  <c r="I49" i="124"/>
  <c r="I50" i="124"/>
  <c r="I48" i="124"/>
  <c r="I62" i="124"/>
  <c r="I32" i="124"/>
  <c r="I66" i="124"/>
  <c r="I34" i="124"/>
  <c r="I26" i="124"/>
  <c r="I33" i="124"/>
  <c r="I53" i="124"/>
  <c r="I57" i="124"/>
  <c r="I44" i="124"/>
  <c r="I24" i="124"/>
  <c r="I39" i="124"/>
  <c r="I22" i="124"/>
  <c r="I67" i="124"/>
  <c r="I20" i="124"/>
  <c r="I45" i="124"/>
  <c r="I21" i="124"/>
  <c r="I41" i="124"/>
  <c r="I51" i="124"/>
  <c r="I38" i="124"/>
  <c r="I25" i="124"/>
  <c r="I59" i="124"/>
  <c r="I37" i="124"/>
  <c r="I65" i="124"/>
  <c r="I58" i="124"/>
  <c r="I54" i="124"/>
  <c r="I28" i="124"/>
  <c r="I56" i="124"/>
  <c r="I36" i="124"/>
  <c r="I30" i="124"/>
  <c r="I52" i="124"/>
  <c r="I31" i="124"/>
  <c r="I46" i="124"/>
  <c r="I27" i="124"/>
  <c r="H29" i="124"/>
  <c r="H10" i="124" s="1"/>
  <c r="H35" i="124"/>
  <c r="H11" i="124" s="1"/>
  <c r="H61" i="124"/>
  <c r="H15" i="124" s="1"/>
  <c r="H55" i="124"/>
  <c r="H14" i="124" s="1"/>
  <c r="H18" i="157"/>
  <c r="G20" i="126"/>
  <c r="H60" i="157"/>
  <c r="G62" i="126"/>
  <c r="G11" i="121"/>
  <c r="G11" i="125" s="1"/>
  <c r="G35" i="125"/>
  <c r="H41" i="157"/>
  <c r="G43" i="126"/>
  <c r="G56" i="126"/>
  <c r="H54" i="157"/>
  <c r="G9" i="121"/>
  <c r="G9" i="125" s="1"/>
  <c r="G23" i="125"/>
  <c r="M79" i="121"/>
  <c r="M79" i="124" s="1"/>
  <c r="V9" i="126" s="1"/>
  <c r="D81" i="188"/>
  <c r="V14" i="188"/>
  <c r="H9" i="134"/>
  <c r="F11" i="126"/>
  <c r="D126" i="189"/>
  <c r="V59" i="189"/>
  <c r="O113" i="121"/>
  <c r="O113" i="124" s="1"/>
  <c r="X43" i="126" s="1"/>
  <c r="O98" i="121"/>
  <c r="O98" i="124" s="1"/>
  <c r="X28" i="126" s="1"/>
  <c r="O127" i="121"/>
  <c r="O127" i="124" s="1"/>
  <c r="X57" i="126" s="1"/>
  <c r="O128" i="121"/>
  <c r="O128" i="124" s="1"/>
  <c r="X58" i="126" s="1"/>
  <c r="O135" i="121"/>
  <c r="O135" i="124" s="1"/>
  <c r="X65" i="126" s="1"/>
  <c r="N99" i="121"/>
  <c r="N99" i="124" s="1"/>
  <c r="W29" i="126" s="1"/>
  <c r="G12" i="124"/>
  <c r="I10" i="157" s="1"/>
  <c r="I40" i="157"/>
  <c r="N117" i="121"/>
  <c r="N117" i="124" s="1"/>
  <c r="W47" i="126" s="1"/>
  <c r="H11" i="134"/>
  <c r="F13" i="126"/>
  <c r="H7" i="134"/>
  <c r="F9" i="126"/>
  <c r="H13" i="134"/>
  <c r="F15" i="126"/>
  <c r="O129" i="121"/>
  <c r="O129" i="124" s="1"/>
  <c r="X59" i="126" s="1"/>
  <c r="H8" i="134"/>
  <c r="F10" i="126"/>
  <c r="F57" i="110"/>
  <c r="H62" i="125"/>
  <c r="H61" i="121"/>
  <c r="H56" i="125"/>
  <c r="H55" i="121"/>
  <c r="H50" i="126"/>
  <c r="H33" i="126"/>
  <c r="H36" i="125"/>
  <c r="H35" i="121"/>
  <c r="H41" i="126"/>
  <c r="H26" i="126"/>
  <c r="H58" i="126"/>
  <c r="H25" i="126"/>
  <c r="H51" i="126"/>
  <c r="H63" i="157"/>
  <c r="G65" i="126"/>
  <c r="H14" i="134"/>
  <c r="F16" i="126"/>
  <c r="F33" i="110"/>
  <c r="F40" i="110"/>
  <c r="H10" i="134"/>
  <c r="F12" i="126"/>
  <c r="F8" i="125"/>
  <c r="O118" i="121"/>
  <c r="O118" i="124" s="1"/>
  <c r="X48" i="126" s="1"/>
  <c r="D107" i="189"/>
  <c r="V40" i="189"/>
  <c r="N89" i="121"/>
  <c r="N89" i="124" s="1"/>
  <c r="W19" i="126" s="1"/>
  <c r="D73" i="188"/>
  <c r="V6" i="188"/>
  <c r="D80" i="188"/>
  <c r="V13" i="188"/>
  <c r="G16" i="124"/>
  <c r="I14" i="157" s="1"/>
  <c r="I62" i="157"/>
  <c r="G11" i="124"/>
  <c r="I9" i="157" s="1"/>
  <c r="I33" i="157"/>
  <c r="G13" i="124"/>
  <c r="I11" i="157" s="1"/>
  <c r="I45" i="157"/>
  <c r="G8" i="124"/>
  <c r="I17" i="157"/>
  <c r="N105" i="121"/>
  <c r="N105" i="124" s="1"/>
  <c r="W35" i="126" s="1"/>
  <c r="D76" i="188"/>
  <c r="V9" i="188"/>
  <c r="N112" i="121"/>
  <c r="N112" i="124" s="1"/>
  <c r="W42" i="126" s="1"/>
  <c r="D77" i="188"/>
  <c r="V10" i="188"/>
  <c r="H12" i="134"/>
  <c r="F14" i="126"/>
  <c r="O8" i="127"/>
  <c r="O101" i="121"/>
  <c r="O101" i="124" s="1"/>
  <c r="X31" i="126" s="1"/>
  <c r="D74" i="188"/>
  <c r="V7" i="188"/>
  <c r="I22" i="121"/>
  <c r="I22" i="125" s="1"/>
  <c r="I28" i="121"/>
  <c r="I28" i="125" s="1"/>
  <c r="I56" i="121"/>
  <c r="I32" i="121"/>
  <c r="I32" i="125" s="1"/>
  <c r="I30" i="121"/>
  <c r="I66" i="121"/>
  <c r="I66" i="125" s="1"/>
  <c r="I34" i="121"/>
  <c r="I34" i="125" s="1"/>
  <c r="I26" i="121"/>
  <c r="I26" i="125" s="1"/>
  <c r="I53" i="121"/>
  <c r="I53" i="125" s="1"/>
  <c r="I31" i="121"/>
  <c r="I31" i="125" s="1"/>
  <c r="I57" i="121"/>
  <c r="I57" i="125" s="1"/>
  <c r="I44" i="121"/>
  <c r="I44" i="125" s="1"/>
  <c r="I24" i="121"/>
  <c r="I43" i="121"/>
  <c r="I20" i="121"/>
  <c r="I63" i="121"/>
  <c r="I63" i="125" s="1"/>
  <c r="I49" i="121"/>
  <c r="I49" i="125" s="1"/>
  <c r="I59" i="121"/>
  <c r="I59" i="125" s="1"/>
  <c r="I37" i="121"/>
  <c r="I37" i="125" s="1"/>
  <c r="I65" i="121"/>
  <c r="I48" i="121"/>
  <c r="I54" i="121"/>
  <c r="I54" i="125" s="1"/>
  <c r="I67" i="121"/>
  <c r="I67" i="125" s="1"/>
  <c r="I36" i="121"/>
  <c r="I33" i="121"/>
  <c r="I33" i="125" s="1"/>
  <c r="I52" i="121"/>
  <c r="I52" i="125" s="1"/>
  <c r="I46" i="121"/>
  <c r="I46" i="125" s="1"/>
  <c r="I27" i="121"/>
  <c r="I27" i="125" s="1"/>
  <c r="I39" i="121"/>
  <c r="I39" i="125" s="1"/>
  <c r="I40" i="121"/>
  <c r="I40" i="125" s="1"/>
  <c r="I45" i="121"/>
  <c r="I45" i="125" s="1"/>
  <c r="I21" i="121"/>
  <c r="I21" i="125" s="1"/>
  <c r="I41" i="121"/>
  <c r="I41" i="125" s="1"/>
  <c r="I60" i="121"/>
  <c r="I60" i="125" s="1"/>
  <c r="I51" i="121"/>
  <c r="I51" i="125" s="1"/>
  <c r="I38" i="121"/>
  <c r="I38" i="125" s="1"/>
  <c r="I25" i="121"/>
  <c r="I25" i="125" s="1"/>
  <c r="I50" i="121"/>
  <c r="I50" i="125" s="1"/>
  <c r="I62" i="121"/>
  <c r="I58" i="121"/>
  <c r="I58" i="125" s="1"/>
  <c r="H19" i="124"/>
  <c r="H8" i="124" s="1"/>
  <c r="H47" i="124"/>
  <c r="H13" i="124" s="1"/>
  <c r="H42" i="124"/>
  <c r="H12" i="124" s="1"/>
  <c r="H64" i="124"/>
  <c r="H16" i="124" s="1"/>
  <c r="H23" i="124"/>
  <c r="H9" i="124" s="1"/>
  <c r="G19" i="125"/>
  <c r="G8" i="121"/>
  <c r="G15" i="121"/>
  <c r="G15" i="125" s="1"/>
  <c r="G61" i="125"/>
  <c r="H34" i="157"/>
  <c r="G36" i="126"/>
  <c r="G12" i="121"/>
  <c r="G12" i="125" s="1"/>
  <c r="G42" i="125"/>
  <c r="G14" i="121"/>
  <c r="G14" i="125" s="1"/>
  <c r="G55" i="125"/>
  <c r="H22" i="157"/>
  <c r="G24" i="126"/>
  <c r="H33" i="134"/>
  <c r="F35" i="126"/>
  <c r="I6" i="134"/>
  <c r="F18" i="124"/>
  <c r="F17" i="124" s="1"/>
  <c r="J76" i="121"/>
  <c r="J76" i="124" s="1"/>
  <c r="G15" i="124"/>
  <c r="I13" i="157" s="1"/>
  <c r="I59" i="157"/>
  <c r="G10" i="124"/>
  <c r="I8" i="157" s="1"/>
  <c r="I27" i="157"/>
  <c r="M78" i="121"/>
  <c r="M78" i="124" s="1"/>
  <c r="V8" i="126" s="1"/>
  <c r="M86" i="121"/>
  <c r="M86" i="124" s="1"/>
  <c r="V16" i="126" s="1"/>
  <c r="H45" i="134"/>
  <c r="F47" i="126"/>
  <c r="H21" i="134"/>
  <c r="F23" i="126"/>
  <c r="H59" i="134"/>
  <c r="F61" i="126"/>
  <c r="O126" i="121"/>
  <c r="O126" i="124" s="1"/>
  <c r="X56" i="126" s="1"/>
  <c r="O90" i="121"/>
  <c r="O90" i="124" s="1"/>
  <c r="X20" i="126" s="1"/>
  <c r="O100" i="121"/>
  <c r="O100" i="124" s="1"/>
  <c r="X30" i="126" s="1"/>
  <c r="D94" i="189"/>
  <c r="V27" i="189"/>
  <c r="H27" i="134"/>
  <c r="F29" i="126"/>
  <c r="O103" i="121"/>
  <c r="O103" i="124" s="1"/>
  <c r="X33" i="126" s="1"/>
  <c r="O102" i="121"/>
  <c r="O102" i="124" s="1"/>
  <c r="X32" i="126" s="1"/>
  <c r="O122" i="121"/>
  <c r="O122" i="124" s="1"/>
  <c r="X52" i="126" s="1"/>
  <c r="O108" i="121"/>
  <c r="O108" i="124" s="1"/>
  <c r="X38" i="126" s="1"/>
  <c r="O136" i="121"/>
  <c r="O136" i="124" s="1"/>
  <c r="X66" i="126" s="1"/>
  <c r="O115" i="121"/>
  <c r="O115" i="124" s="1"/>
  <c r="X45" i="126" s="1"/>
  <c r="J117" i="200" l="1"/>
  <c r="J4" i="213"/>
  <c r="J71" i="213"/>
  <c r="J85" i="200"/>
  <c r="J4" i="212"/>
  <c r="J71" i="212"/>
  <c r="W8" i="132"/>
  <c r="W15" i="132"/>
  <c r="GY18" i="129"/>
  <c r="N16" i="212" s="1"/>
  <c r="W9" i="132"/>
  <c r="W11" i="132"/>
  <c r="HG61" i="129"/>
  <c r="HG15" i="129" s="1"/>
  <c r="X8" i="132"/>
  <c r="W12" i="132"/>
  <c r="HH11" i="129"/>
  <c r="X34" i="131"/>
  <c r="X34" i="132" s="1"/>
  <c r="M33" i="213"/>
  <c r="X63" i="131"/>
  <c r="X63" i="132" s="1"/>
  <c r="M62" i="213"/>
  <c r="HH16" i="129"/>
  <c r="HG29" i="129"/>
  <c r="HG10" i="129" s="1"/>
  <c r="HG23" i="129"/>
  <c r="HG9" i="129" s="1"/>
  <c r="HH13" i="129"/>
  <c r="M45" i="213"/>
  <c r="X46" i="131"/>
  <c r="X46" i="132" s="1"/>
  <c r="HG42" i="129"/>
  <c r="HG12" i="129" s="1"/>
  <c r="HJ18" i="129"/>
  <c r="HJ7" i="129" s="1"/>
  <c r="HJ6" i="129" s="1"/>
  <c r="HH10" i="129"/>
  <c r="M27" i="213"/>
  <c r="X28" i="131"/>
  <c r="X28" i="132" s="1"/>
  <c r="HH9" i="129"/>
  <c r="X22" i="131"/>
  <c r="X22" i="132" s="1"/>
  <c r="M21" i="213"/>
  <c r="X12" i="132"/>
  <c r="HH12" i="129"/>
  <c r="M40" i="213"/>
  <c r="X41" i="131"/>
  <c r="X41" i="132" s="1"/>
  <c r="W14" i="132"/>
  <c r="HI18" i="129"/>
  <c r="HG47" i="129"/>
  <c r="HG13" i="129" s="1"/>
  <c r="HG19" i="129"/>
  <c r="HG8" i="129" s="1"/>
  <c r="X10" i="132"/>
  <c r="GZ18" i="129"/>
  <c r="GZ7" i="129" s="1"/>
  <c r="GZ6" i="129" s="1"/>
  <c r="HG55" i="129"/>
  <c r="HG14" i="129" s="1"/>
  <c r="HG64" i="129"/>
  <c r="HG16" i="129" s="1"/>
  <c r="X60" i="131"/>
  <c r="X60" i="132" s="1"/>
  <c r="M59" i="213"/>
  <c r="HH15" i="129"/>
  <c r="HH8" i="129"/>
  <c r="X18" i="131"/>
  <c r="X18" i="132" s="1"/>
  <c r="M17" i="213"/>
  <c r="HG35" i="129"/>
  <c r="HG11" i="129" s="1"/>
  <c r="HH14" i="129"/>
  <c r="M53" i="213"/>
  <c r="X54" i="131"/>
  <c r="X54" i="132" s="1"/>
  <c r="F101" i="200"/>
  <c r="F133" i="200"/>
  <c r="H100" i="200"/>
  <c r="H132" i="200"/>
  <c r="GN7" i="129"/>
  <c r="GN6" i="129" s="1"/>
  <c r="V5" i="131" s="1"/>
  <c r="T16" i="212"/>
  <c r="T16" i="213"/>
  <c r="AI51" i="206"/>
  <c r="AL18" i="114"/>
  <c r="AM78" i="114"/>
  <c r="AM18" i="114" s="1"/>
  <c r="AL26" i="114"/>
  <c r="AM86" i="114"/>
  <c r="AM26" i="114" s="1"/>
  <c r="AL28" i="114"/>
  <c r="AM88" i="114"/>
  <c r="AM28" i="114" s="1"/>
  <c r="AL19" i="114"/>
  <c r="AM79" i="114"/>
  <c r="AM19" i="114" s="1"/>
  <c r="AL24" i="114"/>
  <c r="AM84" i="114"/>
  <c r="AM24" i="114" s="1"/>
  <c r="AL17" i="114"/>
  <c r="AM77" i="114"/>
  <c r="AM17" i="114" s="1"/>
  <c r="AL36" i="114"/>
  <c r="AM96" i="114"/>
  <c r="AM36" i="114" s="1"/>
  <c r="AL33" i="114"/>
  <c r="AM93" i="114"/>
  <c r="AM33" i="114" s="1"/>
  <c r="AL52" i="114"/>
  <c r="AM112" i="114"/>
  <c r="AM52" i="114" s="1"/>
  <c r="V4" i="185"/>
  <c r="K76" i="121" s="1"/>
  <c r="K76" i="124" s="1"/>
  <c r="F4" i="213"/>
  <c r="F116" i="200" s="1"/>
  <c r="D78" i="188"/>
  <c r="F84" i="200"/>
  <c r="GW13" i="129"/>
  <c r="GW12" i="129"/>
  <c r="GW14" i="129"/>
  <c r="GW9" i="129"/>
  <c r="GW8" i="129"/>
  <c r="W7" i="131"/>
  <c r="W7" i="132" s="1"/>
  <c r="GX18" i="129"/>
  <c r="GW10" i="129"/>
  <c r="GW15" i="129"/>
  <c r="GW11" i="129"/>
  <c r="GW16" i="129"/>
  <c r="J68" i="200"/>
  <c r="V12" i="188"/>
  <c r="N84" i="121" s="1"/>
  <c r="N84" i="124" s="1"/>
  <c r="W14" i="126" s="1"/>
  <c r="R52" i="93"/>
  <c r="R52" i="127" s="1"/>
  <c r="R22" i="93"/>
  <c r="R22" i="127" s="1"/>
  <c r="R32" i="93"/>
  <c r="R27" i="93"/>
  <c r="R27" i="127" s="1"/>
  <c r="R40" i="93"/>
  <c r="R26" i="93"/>
  <c r="R66" i="93"/>
  <c r="R66" i="127" s="1"/>
  <c r="R33" i="93"/>
  <c r="R48" i="93"/>
  <c r="R48" i="127" s="1"/>
  <c r="R24" i="93"/>
  <c r="R24" i="127" s="1"/>
  <c r="M7" i="127"/>
  <c r="R31" i="93"/>
  <c r="R31" i="127" s="1"/>
  <c r="T16" i="211"/>
  <c r="GP14" i="129"/>
  <c r="GP12" i="129"/>
  <c r="GP13" i="129"/>
  <c r="GP11" i="129"/>
  <c r="GP8" i="129"/>
  <c r="GP9" i="129"/>
  <c r="GP16" i="129"/>
  <c r="GP10" i="129"/>
  <c r="GP15" i="129"/>
  <c r="U17" i="131"/>
  <c r="V53" i="189"/>
  <c r="O125" i="121" s="1"/>
  <c r="O125" i="124" s="1"/>
  <c r="X55" i="126" s="1"/>
  <c r="V5" i="186"/>
  <c r="L77" i="121" s="1"/>
  <c r="L77" i="124" s="1"/>
  <c r="U7" i="126" s="1"/>
  <c r="D120" i="189"/>
  <c r="E15" i="126"/>
  <c r="E10" i="126"/>
  <c r="AI22" i="206"/>
  <c r="AJ22" i="114"/>
  <c r="AJ34" i="114"/>
  <c r="AJ48" i="114"/>
  <c r="AJ6" i="114"/>
  <c r="AI48" i="206"/>
  <c r="AJ37" i="206"/>
  <c r="AK97" i="206"/>
  <c r="AK37" i="206" s="1"/>
  <c r="AJ11" i="206"/>
  <c r="AK71" i="206"/>
  <c r="AK11" i="206" s="1"/>
  <c r="AJ8" i="206"/>
  <c r="AK68" i="206"/>
  <c r="AK8" i="206" s="1"/>
  <c r="AJ24" i="206"/>
  <c r="AK84" i="206"/>
  <c r="AK24" i="206" s="1"/>
  <c r="AJ9" i="206"/>
  <c r="AK69" i="206"/>
  <c r="AK9" i="206" s="1"/>
  <c r="R62" i="93"/>
  <c r="R61" i="93" s="1"/>
  <c r="R15" i="93" s="1"/>
  <c r="R15" i="127" s="1"/>
  <c r="AJ40" i="206"/>
  <c r="AK100" i="206"/>
  <c r="AK40" i="206" s="1"/>
  <c r="AJ28" i="206"/>
  <c r="AK88" i="206"/>
  <c r="AK28" i="206" s="1"/>
  <c r="AJ33" i="206"/>
  <c r="AK93" i="206"/>
  <c r="AK33" i="206" s="1"/>
  <c r="AI10" i="206"/>
  <c r="AJ25" i="206"/>
  <c r="AK85" i="206"/>
  <c r="AK25" i="206" s="1"/>
  <c r="R57" i="93"/>
  <c r="R57" i="127" s="1"/>
  <c r="AJ27" i="206"/>
  <c r="AK87" i="206"/>
  <c r="AK27" i="206" s="1"/>
  <c r="AH4" i="206"/>
  <c r="AJ39" i="206"/>
  <c r="AK99" i="206"/>
  <c r="AK39" i="206" s="1"/>
  <c r="AJ35" i="206"/>
  <c r="AK95" i="206"/>
  <c r="AK35" i="206" s="1"/>
  <c r="AJ43" i="206"/>
  <c r="AK103" i="206"/>
  <c r="AK43" i="206" s="1"/>
  <c r="AJ13" i="206"/>
  <c r="AK73" i="206"/>
  <c r="AK13" i="206" s="1"/>
  <c r="AK90" i="114"/>
  <c r="AJ30" i="114"/>
  <c r="AJ29" i="114" s="1"/>
  <c r="AJ19" i="206"/>
  <c r="AK79" i="206"/>
  <c r="AK19" i="206" s="1"/>
  <c r="AJ38" i="206"/>
  <c r="AK98" i="206"/>
  <c r="AK38" i="206" s="1"/>
  <c r="AI34" i="206"/>
  <c r="AJ44" i="206"/>
  <c r="AK104" i="206"/>
  <c r="AK44" i="206" s="1"/>
  <c r="AJ50" i="206"/>
  <c r="AK110" i="206"/>
  <c r="AK50" i="206" s="1"/>
  <c r="AJ36" i="206"/>
  <c r="AK96" i="206"/>
  <c r="AK36" i="206" s="1"/>
  <c r="AJ20" i="206"/>
  <c r="AK80" i="206"/>
  <c r="AK20" i="206" s="1"/>
  <c r="AJ45" i="206"/>
  <c r="AK105" i="206"/>
  <c r="AK45" i="206" s="1"/>
  <c r="AJ15" i="206"/>
  <c r="AK75" i="206"/>
  <c r="AK15" i="206" s="1"/>
  <c r="AJ31" i="206"/>
  <c r="AK91" i="206"/>
  <c r="AK31" i="206" s="1"/>
  <c r="AJ17" i="206"/>
  <c r="AK77" i="206"/>
  <c r="AK17" i="206" s="1"/>
  <c r="AK32" i="114"/>
  <c r="AL92" i="114"/>
  <c r="R21" i="93"/>
  <c r="R21" i="127" s="1"/>
  <c r="AJ23" i="206"/>
  <c r="AK83" i="206"/>
  <c r="AK23" i="206" s="1"/>
  <c r="AJ30" i="206"/>
  <c r="AK90" i="206"/>
  <c r="AK30" i="206" s="1"/>
  <c r="AJ49" i="206"/>
  <c r="AK109" i="206"/>
  <c r="AK49" i="206" s="1"/>
  <c r="AI16" i="206"/>
  <c r="AJ32" i="206"/>
  <c r="AK92" i="206"/>
  <c r="AK32" i="206" s="1"/>
  <c r="R45" i="93"/>
  <c r="R45" i="127" s="1"/>
  <c r="R25" i="93"/>
  <c r="R25" i="127" s="1"/>
  <c r="AJ14" i="206"/>
  <c r="AK74" i="206"/>
  <c r="AK14" i="206" s="1"/>
  <c r="AK113" i="114"/>
  <c r="AJ53" i="114"/>
  <c r="AJ51" i="114" s="1"/>
  <c r="AJ52" i="206"/>
  <c r="AK112" i="206"/>
  <c r="AK52" i="206" s="1"/>
  <c r="AJ53" i="206"/>
  <c r="AK113" i="206"/>
  <c r="AK53" i="206" s="1"/>
  <c r="AJ47" i="206"/>
  <c r="AK107" i="206"/>
  <c r="AK47" i="206" s="1"/>
  <c r="AJ54" i="206"/>
  <c r="AK114" i="206"/>
  <c r="AK54" i="206" s="1"/>
  <c r="V8" i="188"/>
  <c r="N80" i="121" s="1"/>
  <c r="N80" i="124" s="1"/>
  <c r="W10" i="126" s="1"/>
  <c r="AJ46" i="206"/>
  <c r="AK106" i="206"/>
  <c r="AK46" i="206" s="1"/>
  <c r="R53" i="93"/>
  <c r="R53" i="127" s="1"/>
  <c r="R59" i="93"/>
  <c r="AJ42" i="114"/>
  <c r="AJ18" i="206"/>
  <c r="AK78" i="206"/>
  <c r="AK18" i="206" s="1"/>
  <c r="AJ21" i="206"/>
  <c r="AK81" i="206"/>
  <c r="AK21" i="206" s="1"/>
  <c r="AI29" i="206"/>
  <c r="AI6" i="206"/>
  <c r="AJ7" i="206"/>
  <c r="AK67" i="206"/>
  <c r="AK7" i="206" s="1"/>
  <c r="R36" i="93"/>
  <c r="R67" i="93"/>
  <c r="AI42" i="206"/>
  <c r="AJ41" i="206"/>
  <c r="AK101" i="206"/>
  <c r="AK41" i="206" s="1"/>
  <c r="AJ26" i="206"/>
  <c r="AK86" i="206"/>
  <c r="AK26" i="206" s="1"/>
  <c r="AJ12" i="206"/>
  <c r="AK72" i="206"/>
  <c r="AK12" i="206" s="1"/>
  <c r="AJ16" i="114"/>
  <c r="R37" i="93"/>
  <c r="R37" i="127" s="1"/>
  <c r="R20" i="93"/>
  <c r="R20" i="127" s="1"/>
  <c r="R54" i="93"/>
  <c r="R54" i="127" s="1"/>
  <c r="R39" i="93"/>
  <c r="R44" i="93"/>
  <c r="D108" i="192" s="1"/>
  <c r="R49" i="93"/>
  <c r="R58" i="93"/>
  <c r="R46" i="93"/>
  <c r="R46" i="127" s="1"/>
  <c r="R41" i="93"/>
  <c r="R50" i="93"/>
  <c r="R50" i="127" s="1"/>
  <c r="R30" i="93"/>
  <c r="R38" i="93"/>
  <c r="R38" i="127" s="1"/>
  <c r="R43" i="93"/>
  <c r="R65" i="93"/>
  <c r="R60" i="93"/>
  <c r="R56" i="93"/>
  <c r="R34" i="93"/>
  <c r="R34" i="127" s="1"/>
  <c r="R28" i="93"/>
  <c r="R28" i="127" s="1"/>
  <c r="R51" i="93"/>
  <c r="D115" i="192" s="1"/>
  <c r="AJ10" i="114"/>
  <c r="AK13" i="114"/>
  <c r="AL73" i="114"/>
  <c r="AK43" i="114"/>
  <c r="AL103" i="114"/>
  <c r="AK45" i="114"/>
  <c r="AL105" i="114"/>
  <c r="AK37" i="114"/>
  <c r="AL97" i="114"/>
  <c r="AK21" i="114"/>
  <c r="AL81" i="114"/>
  <c r="AK31" i="114"/>
  <c r="AL91" i="114"/>
  <c r="AK49" i="114"/>
  <c r="AL109" i="114"/>
  <c r="AK8" i="114"/>
  <c r="AL68" i="114"/>
  <c r="AK23" i="114"/>
  <c r="AL83" i="114"/>
  <c r="AK7" i="114"/>
  <c r="AL67" i="114"/>
  <c r="AK38" i="114"/>
  <c r="AL98" i="114"/>
  <c r="AK14" i="114"/>
  <c r="AL74" i="114"/>
  <c r="AK35" i="114"/>
  <c r="AL95" i="114"/>
  <c r="AK12" i="114"/>
  <c r="AL72" i="114"/>
  <c r="AK39" i="114"/>
  <c r="AL99" i="114"/>
  <c r="AK20" i="114"/>
  <c r="AL80" i="114"/>
  <c r="AK15" i="114"/>
  <c r="AL75" i="114"/>
  <c r="AK46" i="114"/>
  <c r="AL106" i="114"/>
  <c r="AK50" i="114"/>
  <c r="AL110" i="114"/>
  <c r="AK47" i="114"/>
  <c r="AL107" i="114"/>
  <c r="AK9" i="114"/>
  <c r="AL69" i="114"/>
  <c r="AK11" i="114"/>
  <c r="AL71" i="114"/>
  <c r="AK41" i="114"/>
  <c r="AL101" i="114"/>
  <c r="AK44" i="114"/>
  <c r="AL104" i="114"/>
  <c r="AK25" i="114"/>
  <c r="AL85" i="114"/>
  <c r="AK40" i="114"/>
  <c r="AL100" i="114"/>
  <c r="U32" i="191"/>
  <c r="Q104" i="121" s="1"/>
  <c r="Q104" i="124" s="1"/>
  <c r="U23" i="191"/>
  <c r="Q95" i="121" s="1"/>
  <c r="Q95" i="124" s="1"/>
  <c r="U6" i="131"/>
  <c r="GD6" i="129"/>
  <c r="U5" i="131" s="1"/>
  <c r="E16" i="126"/>
  <c r="T16" i="205"/>
  <c r="T16" i="207"/>
  <c r="E9" i="126"/>
  <c r="AI4" i="114"/>
  <c r="S59" i="93" s="1"/>
  <c r="S59" i="127" s="1"/>
  <c r="F45" i="110"/>
  <c r="D67" i="188"/>
  <c r="D69" i="188" s="1"/>
  <c r="F60" i="110"/>
  <c r="N7" i="93"/>
  <c r="N6" i="93" s="1"/>
  <c r="N6" i="127" s="1"/>
  <c r="N5" i="127" s="1"/>
  <c r="N72" i="127" s="1"/>
  <c r="L23" i="134"/>
  <c r="R23" i="134" s="1"/>
  <c r="S23" i="134" s="1"/>
  <c r="N18" i="127"/>
  <c r="T66" i="129"/>
  <c r="M66" i="129" s="1"/>
  <c r="N66" i="129" s="1"/>
  <c r="F25" i="110"/>
  <c r="F52" i="110"/>
  <c r="AN45" i="129"/>
  <c r="AG45" i="129" s="1"/>
  <c r="AH45" i="129" s="1"/>
  <c r="AN60" i="129"/>
  <c r="AG60" i="129" s="1"/>
  <c r="AH60" i="129" s="1"/>
  <c r="E13" i="126"/>
  <c r="L50" i="134"/>
  <c r="R50" i="134" s="1"/>
  <c r="S50" i="134" s="1"/>
  <c r="F49" i="110"/>
  <c r="J60" i="129"/>
  <c r="C60" i="129" s="1"/>
  <c r="D60" i="129" s="1"/>
  <c r="D53" i="110"/>
  <c r="E18" i="124"/>
  <c r="I16" i="151" s="1"/>
  <c r="AN50" i="129"/>
  <c r="AG50" i="129" s="1"/>
  <c r="AH50" i="129" s="1"/>
  <c r="L35" i="153"/>
  <c r="R35" i="153" s="1"/>
  <c r="S35" i="153" s="1"/>
  <c r="AN22" i="129"/>
  <c r="AG22" i="129" s="1"/>
  <c r="AH22" i="129" s="1"/>
  <c r="L29" i="134"/>
  <c r="R29" i="134" s="1"/>
  <c r="S29" i="134" s="1"/>
  <c r="T59" i="129"/>
  <c r="M59" i="129" s="1"/>
  <c r="N59" i="129" s="1"/>
  <c r="AN28" i="129"/>
  <c r="AG28" i="129" s="1"/>
  <c r="AH28" i="129" s="1"/>
  <c r="D9" i="126"/>
  <c r="L36" i="153"/>
  <c r="R36" i="153" s="1"/>
  <c r="S36" i="153" s="1"/>
  <c r="C57" i="110"/>
  <c r="E14" i="126"/>
  <c r="L47" i="134"/>
  <c r="R47" i="134" s="1"/>
  <c r="S47" i="134" s="1"/>
  <c r="L64" i="134"/>
  <c r="R64" i="134" s="1"/>
  <c r="S64" i="134" s="1"/>
  <c r="F51" i="110"/>
  <c r="L19" i="153"/>
  <c r="R19" i="153" s="1"/>
  <c r="S19" i="153" s="1"/>
  <c r="L47" i="153"/>
  <c r="R47" i="153" s="1"/>
  <c r="S47" i="153" s="1"/>
  <c r="AN41" i="129"/>
  <c r="AG41" i="129" s="1"/>
  <c r="AH41" i="129" s="1"/>
  <c r="F26" i="110"/>
  <c r="D22" i="110"/>
  <c r="F59" i="110"/>
  <c r="L24" i="134"/>
  <c r="R24" i="134" s="1"/>
  <c r="S24" i="134" s="1"/>
  <c r="J49" i="129"/>
  <c r="C49" i="129" s="1"/>
  <c r="D49" i="129" s="1"/>
  <c r="AD65" i="129"/>
  <c r="W65" i="129" s="1"/>
  <c r="J38" i="129"/>
  <c r="C38" i="129" s="1"/>
  <c r="D38" i="129" s="1"/>
  <c r="C50" i="110"/>
  <c r="AN59" i="129"/>
  <c r="AG59" i="129" s="1"/>
  <c r="AH59" i="129" s="1"/>
  <c r="F41" i="110"/>
  <c r="AN51" i="129"/>
  <c r="AG51" i="129" s="1"/>
  <c r="AH51" i="129" s="1"/>
  <c r="F66" i="110"/>
  <c r="L39" i="153"/>
  <c r="R39" i="153" s="1"/>
  <c r="S39" i="153" s="1"/>
  <c r="AN44" i="129"/>
  <c r="AG44" i="129" s="1"/>
  <c r="AH44" i="129" s="1"/>
  <c r="D60" i="110"/>
  <c r="T54" i="129"/>
  <c r="M54" i="129" s="1"/>
  <c r="N54" i="129" s="1"/>
  <c r="T60" i="129"/>
  <c r="M60" i="129" s="1"/>
  <c r="N60" i="129" s="1"/>
  <c r="AD62" i="129"/>
  <c r="W62" i="129" s="1"/>
  <c r="F63" i="110"/>
  <c r="C9" i="126"/>
  <c r="L52" i="152"/>
  <c r="R52" i="152" s="1"/>
  <c r="S52" i="152" s="1"/>
  <c r="C41" i="110"/>
  <c r="C21" i="110"/>
  <c r="T53" i="129"/>
  <c r="M53" i="129" s="1"/>
  <c r="N53" i="129" s="1"/>
  <c r="D66" i="110"/>
  <c r="L55" i="153"/>
  <c r="R55" i="153" s="1"/>
  <c r="S55" i="153" s="1"/>
  <c r="L58" i="153"/>
  <c r="R58" i="153" s="1"/>
  <c r="S58" i="153" s="1"/>
  <c r="J50" i="129"/>
  <c r="C50" i="129" s="1"/>
  <c r="D50" i="129" s="1"/>
  <c r="L20" i="152"/>
  <c r="R20" i="152" s="1"/>
  <c r="S20" i="152" s="1"/>
  <c r="AN63" i="129"/>
  <c r="AG63" i="129" s="1"/>
  <c r="AH63" i="129" s="1"/>
  <c r="E18" i="125"/>
  <c r="H16" i="151" s="1"/>
  <c r="E7" i="121"/>
  <c r="E6" i="121" s="1"/>
  <c r="E6" i="125" s="1"/>
  <c r="L60" i="151"/>
  <c r="R60" i="151" s="1"/>
  <c r="S60" i="151" s="1"/>
  <c r="F27" i="110"/>
  <c r="AN27" i="129"/>
  <c r="AG27" i="129" s="1"/>
  <c r="AH27" i="129" s="1"/>
  <c r="AD43" i="129"/>
  <c r="W43" i="129" s="1"/>
  <c r="F38" i="110"/>
  <c r="L56" i="153"/>
  <c r="R56" i="153" s="1"/>
  <c r="S56" i="153" s="1"/>
  <c r="AN34" i="129"/>
  <c r="AG34" i="129" s="1"/>
  <c r="AH34" i="129" s="1"/>
  <c r="L48" i="152"/>
  <c r="R48" i="152" s="1"/>
  <c r="S48" i="152" s="1"/>
  <c r="J28" i="129"/>
  <c r="C28" i="129" s="1"/>
  <c r="D28" i="129" s="1"/>
  <c r="J44" i="129"/>
  <c r="C44" i="129" s="1"/>
  <c r="D44" i="129" s="1"/>
  <c r="F34" i="110"/>
  <c r="T21" i="129"/>
  <c r="M21" i="129" s="1"/>
  <c r="J63" i="129"/>
  <c r="C63" i="129" s="1"/>
  <c r="D63" i="129" s="1"/>
  <c r="E65" i="110"/>
  <c r="F21" i="110"/>
  <c r="F67" i="110"/>
  <c r="L26" i="134"/>
  <c r="R26" i="134" s="1"/>
  <c r="S26" i="134" s="1"/>
  <c r="L48" i="134"/>
  <c r="R48" i="134" s="1"/>
  <c r="S48" i="134" s="1"/>
  <c r="C37" i="110"/>
  <c r="J58" i="129"/>
  <c r="C58" i="129" s="1"/>
  <c r="D58" i="129" s="1"/>
  <c r="L19" i="152"/>
  <c r="R19" i="152" s="1"/>
  <c r="S19" i="152" s="1"/>
  <c r="F22" i="110"/>
  <c r="F31" i="110"/>
  <c r="F44" i="110"/>
  <c r="L65" i="134"/>
  <c r="R65" i="134" s="1"/>
  <c r="S65" i="134" s="1"/>
  <c r="L19" i="134"/>
  <c r="R19" i="134" s="1"/>
  <c r="S19" i="134" s="1"/>
  <c r="L35" i="134"/>
  <c r="R35" i="134" s="1"/>
  <c r="S35" i="134" s="1"/>
  <c r="L36" i="134"/>
  <c r="R36" i="134" s="1"/>
  <c r="S36" i="134" s="1"/>
  <c r="L42" i="153"/>
  <c r="R42" i="153" s="1"/>
  <c r="S42" i="153" s="1"/>
  <c r="D50" i="110"/>
  <c r="C11" i="126"/>
  <c r="D59" i="110"/>
  <c r="L41" i="151"/>
  <c r="R41" i="151" s="1"/>
  <c r="S41" i="151" s="1"/>
  <c r="L54" i="153"/>
  <c r="R54" i="153" s="1"/>
  <c r="S54" i="153" s="1"/>
  <c r="D26" i="110"/>
  <c r="J56" i="129"/>
  <c r="C56" i="129" s="1"/>
  <c r="L26" i="153"/>
  <c r="R26" i="153" s="1"/>
  <c r="S26" i="153" s="1"/>
  <c r="L24" i="152"/>
  <c r="R24" i="152" s="1"/>
  <c r="S24" i="152" s="1"/>
  <c r="L61" i="153"/>
  <c r="R61" i="153" s="1"/>
  <c r="S61" i="153" s="1"/>
  <c r="F37" i="110"/>
  <c r="R55" i="151"/>
  <c r="S55" i="151" s="1"/>
  <c r="R65" i="151"/>
  <c r="S65" i="151" s="1"/>
  <c r="K54" i="152"/>
  <c r="T56" i="129" s="1"/>
  <c r="K57" i="153"/>
  <c r="J59" i="129" s="1"/>
  <c r="K22" i="152"/>
  <c r="L22" i="152" s="1"/>
  <c r="D15" i="126"/>
  <c r="D11" i="126"/>
  <c r="F53" i="110"/>
  <c r="K29" i="157"/>
  <c r="L29" i="157" s="1"/>
  <c r="F39" i="110"/>
  <c r="L56" i="134"/>
  <c r="L37" i="134"/>
  <c r="R37" i="134" s="1"/>
  <c r="S37" i="134" s="1"/>
  <c r="J40" i="129"/>
  <c r="C40" i="129" s="1"/>
  <c r="D40" i="129" s="1"/>
  <c r="F32" i="110"/>
  <c r="K55" i="157"/>
  <c r="AX57" i="129" s="1"/>
  <c r="AN53" i="129"/>
  <c r="AG53" i="129" s="1"/>
  <c r="AH53" i="129" s="1"/>
  <c r="AN46" i="129"/>
  <c r="AG46" i="129" s="1"/>
  <c r="AH46" i="129" s="1"/>
  <c r="AN32" i="129"/>
  <c r="AG32" i="129" s="1"/>
  <c r="AH32" i="129" s="1"/>
  <c r="AN54" i="129"/>
  <c r="AG54" i="129" s="1"/>
  <c r="AH54" i="129" s="1"/>
  <c r="D52" i="110"/>
  <c r="F58" i="110"/>
  <c r="F46" i="110"/>
  <c r="K63" i="134"/>
  <c r="L63" i="134" s="1"/>
  <c r="K24" i="157"/>
  <c r="G26" i="110" s="1"/>
  <c r="F54" i="110"/>
  <c r="L51" i="134"/>
  <c r="R51" i="134" s="1"/>
  <c r="S51" i="134" s="1"/>
  <c r="L44" i="134"/>
  <c r="R44" i="134" s="1"/>
  <c r="S44" i="134" s="1"/>
  <c r="L30" i="134"/>
  <c r="R30" i="134" s="1"/>
  <c r="S30" i="134" s="1"/>
  <c r="L52" i="134"/>
  <c r="R52" i="134" s="1"/>
  <c r="S52" i="134" s="1"/>
  <c r="L50" i="152"/>
  <c r="R50" i="152" s="1"/>
  <c r="S50" i="152" s="1"/>
  <c r="K35" i="157"/>
  <c r="L35" i="157" s="1"/>
  <c r="K38" i="157"/>
  <c r="G40" i="110" s="1"/>
  <c r="L38" i="153"/>
  <c r="R38" i="153" s="1"/>
  <c r="S38" i="153" s="1"/>
  <c r="L18" i="151"/>
  <c r="R18" i="151" s="1"/>
  <c r="S18" i="151" s="1"/>
  <c r="K54" i="134"/>
  <c r="L54" i="134" s="1"/>
  <c r="K65" i="157"/>
  <c r="AX67" i="129" s="1"/>
  <c r="K43" i="157"/>
  <c r="L43" i="157" s="1"/>
  <c r="K39" i="157"/>
  <c r="L39" i="157" s="1"/>
  <c r="C40" i="110"/>
  <c r="E20" i="110"/>
  <c r="K60" i="134"/>
  <c r="F62" i="110" s="1"/>
  <c r="K56" i="157"/>
  <c r="L56" i="157" s="1"/>
  <c r="D84" i="189"/>
  <c r="K28" i="134"/>
  <c r="L28" i="134" s="1"/>
  <c r="K31" i="157"/>
  <c r="L31" i="157" s="1"/>
  <c r="K32" i="157"/>
  <c r="L32" i="157" s="1"/>
  <c r="K37" i="157"/>
  <c r="L37" i="157" s="1"/>
  <c r="AD20" i="129"/>
  <c r="W20" i="129" s="1"/>
  <c r="D88" i="189"/>
  <c r="D78" i="189"/>
  <c r="V33" i="189"/>
  <c r="O105" i="121" s="1"/>
  <c r="O105" i="124" s="1"/>
  <c r="X35" i="126" s="1"/>
  <c r="D81" i="189"/>
  <c r="F21" i="134"/>
  <c r="K21" i="134" s="1"/>
  <c r="F13" i="134"/>
  <c r="K13" i="134" s="1"/>
  <c r="F7" i="134"/>
  <c r="K7" i="134" s="1"/>
  <c r="F9" i="134"/>
  <c r="K9" i="134" s="1"/>
  <c r="F60" i="157"/>
  <c r="K60" i="157" s="1"/>
  <c r="F18" i="157"/>
  <c r="K18" i="157" s="1"/>
  <c r="F33" i="153"/>
  <c r="K17" i="151"/>
  <c r="L17" i="151" s="1"/>
  <c r="F33" i="152"/>
  <c r="R51" i="152"/>
  <c r="S51" i="152" s="1"/>
  <c r="F45" i="152"/>
  <c r="R51" i="153"/>
  <c r="S51" i="153" s="1"/>
  <c r="K53" i="151"/>
  <c r="E55" i="110" s="1"/>
  <c r="R24" i="151"/>
  <c r="S24" i="151" s="1"/>
  <c r="R57" i="151"/>
  <c r="S57" i="151" s="1"/>
  <c r="R48" i="153"/>
  <c r="S48" i="153" s="1"/>
  <c r="K28" i="153"/>
  <c r="J30" i="129" s="1"/>
  <c r="R49" i="151"/>
  <c r="S49" i="151" s="1"/>
  <c r="R37" i="151"/>
  <c r="S37" i="151" s="1"/>
  <c r="K62" i="151"/>
  <c r="T63" i="129"/>
  <c r="M63" i="129" s="1"/>
  <c r="N63" i="129" s="1"/>
  <c r="L61" i="152"/>
  <c r="D63" i="110"/>
  <c r="AD56" i="129"/>
  <c r="W56" i="129" s="1"/>
  <c r="X56" i="129" s="1"/>
  <c r="E56" i="110"/>
  <c r="L54" i="151"/>
  <c r="D40" i="110"/>
  <c r="L38" i="152"/>
  <c r="T40" i="129"/>
  <c r="M40" i="129" s="1"/>
  <c r="N40" i="129" s="1"/>
  <c r="K10" i="151"/>
  <c r="R29" i="151"/>
  <c r="S29" i="151" s="1"/>
  <c r="F27" i="134"/>
  <c r="K27" i="134" s="1"/>
  <c r="F33" i="134"/>
  <c r="K33" i="134" s="1"/>
  <c r="F22" i="157"/>
  <c r="K22" i="157" s="1"/>
  <c r="F10" i="134"/>
  <c r="F8" i="134"/>
  <c r="K8" i="134" s="1"/>
  <c r="F54" i="157"/>
  <c r="F41" i="157"/>
  <c r="K41" i="157" s="1"/>
  <c r="F40" i="134"/>
  <c r="K40" i="134" s="1"/>
  <c r="F62" i="134"/>
  <c r="K62" i="134" s="1"/>
  <c r="F7" i="153"/>
  <c r="K11" i="151"/>
  <c r="L11" i="151" s="1"/>
  <c r="F59" i="153"/>
  <c r="R31" i="153"/>
  <c r="S31" i="153" s="1"/>
  <c r="F11" i="152"/>
  <c r="R63" i="151"/>
  <c r="S63" i="151" s="1"/>
  <c r="R57" i="152"/>
  <c r="S57" i="152" s="1"/>
  <c r="K14" i="151"/>
  <c r="F7" i="151"/>
  <c r="R25" i="151"/>
  <c r="S25" i="151" s="1"/>
  <c r="R47" i="151"/>
  <c r="S47" i="151" s="1"/>
  <c r="K9" i="151"/>
  <c r="L42" i="152"/>
  <c r="T44" i="129"/>
  <c r="M44" i="129" s="1"/>
  <c r="N44" i="129" s="1"/>
  <c r="D44" i="110"/>
  <c r="K8" i="151"/>
  <c r="F59" i="134"/>
  <c r="K59" i="134" s="1"/>
  <c r="F45" i="134"/>
  <c r="K45" i="134" s="1"/>
  <c r="F12" i="134"/>
  <c r="K12" i="134" s="1"/>
  <c r="F14" i="134"/>
  <c r="K14" i="134" s="1"/>
  <c r="F63" i="157"/>
  <c r="K63" i="157" s="1"/>
  <c r="F11" i="134"/>
  <c r="R23" i="153"/>
  <c r="S23" i="153" s="1"/>
  <c r="F27" i="152"/>
  <c r="F12" i="152"/>
  <c r="F6" i="151"/>
  <c r="F40" i="152"/>
  <c r="R26" i="151"/>
  <c r="S26" i="151" s="1"/>
  <c r="R58" i="152"/>
  <c r="S58" i="152" s="1"/>
  <c r="R58" i="151"/>
  <c r="S58" i="151" s="1"/>
  <c r="R56" i="151"/>
  <c r="S56" i="151" s="1"/>
  <c r="R36" i="152"/>
  <c r="S36" i="152" s="1"/>
  <c r="R31" i="152"/>
  <c r="S31" i="152" s="1"/>
  <c r="F13" i="153"/>
  <c r="F59" i="152"/>
  <c r="K33" i="151"/>
  <c r="K45" i="151"/>
  <c r="K21" i="151"/>
  <c r="T58" i="129"/>
  <c r="M58" i="129" s="1"/>
  <c r="N58" i="129" s="1"/>
  <c r="D58" i="110"/>
  <c r="L56" i="152"/>
  <c r="L34" i="151"/>
  <c r="AD36" i="129"/>
  <c r="W36" i="129" s="1"/>
  <c r="X36" i="129" s="1"/>
  <c r="E36" i="110"/>
  <c r="K13" i="151"/>
  <c r="R61" i="151"/>
  <c r="S61" i="151" s="1"/>
  <c r="F34" i="157"/>
  <c r="K34" i="157" s="1"/>
  <c r="F53" i="134"/>
  <c r="F17" i="134"/>
  <c r="K17" i="134" s="1"/>
  <c r="F46" i="157"/>
  <c r="F28" i="157"/>
  <c r="K28" i="157" s="1"/>
  <c r="K40" i="151"/>
  <c r="R30" i="151"/>
  <c r="S30" i="151" s="1"/>
  <c r="R65" i="152"/>
  <c r="S65" i="152" s="1"/>
  <c r="R64" i="153"/>
  <c r="S64" i="153" s="1"/>
  <c r="F8" i="152"/>
  <c r="R42" i="151"/>
  <c r="S42" i="151" s="1"/>
  <c r="R64" i="152"/>
  <c r="S64" i="152" s="1"/>
  <c r="F9" i="153"/>
  <c r="F10" i="152"/>
  <c r="K59" i="151"/>
  <c r="K27" i="151"/>
  <c r="E29" i="110" s="1"/>
  <c r="R20" i="153"/>
  <c r="S20" i="153" s="1"/>
  <c r="R20" i="151"/>
  <c r="S20" i="151" s="1"/>
  <c r="K12" i="151"/>
  <c r="F11" i="153"/>
  <c r="F8" i="153"/>
  <c r="C14" i="126"/>
  <c r="D14" i="126"/>
  <c r="T51" i="129"/>
  <c r="D51" i="110"/>
  <c r="L49" i="152"/>
  <c r="K60" i="152"/>
  <c r="W51" i="129"/>
  <c r="X51" i="129" s="1"/>
  <c r="W39" i="129"/>
  <c r="X39" i="129" s="1"/>
  <c r="J32" i="129"/>
  <c r="L30" i="153"/>
  <c r="C32" i="110"/>
  <c r="C25" i="129"/>
  <c r="D25" i="129" s="1"/>
  <c r="X30" i="129"/>
  <c r="J34" i="129"/>
  <c r="C34" i="110"/>
  <c r="L32" i="153"/>
  <c r="W32" i="129"/>
  <c r="X32" i="129" s="1"/>
  <c r="M67" i="129"/>
  <c r="F62" i="153"/>
  <c r="F12" i="153"/>
  <c r="F7" i="152"/>
  <c r="F40" i="153"/>
  <c r="T28" i="129"/>
  <c r="L26" i="152"/>
  <c r="D28" i="110"/>
  <c r="C53" i="129"/>
  <c r="D53" i="129" s="1"/>
  <c r="C37" i="129"/>
  <c r="D37" i="129" s="1"/>
  <c r="K41" i="152"/>
  <c r="K28" i="152"/>
  <c r="H6" i="152"/>
  <c r="D8" i="126"/>
  <c r="F21" i="153"/>
  <c r="W26" i="129"/>
  <c r="X26" i="129" s="1"/>
  <c r="F53" i="153"/>
  <c r="J52" i="129"/>
  <c r="C52" i="110"/>
  <c r="L50" i="153"/>
  <c r="K37" i="153"/>
  <c r="F62" i="152"/>
  <c r="F53" i="152"/>
  <c r="T25" i="129"/>
  <c r="D25" i="110"/>
  <c r="L23" i="152"/>
  <c r="M52" i="129"/>
  <c r="N52" i="129" s="1"/>
  <c r="K63" i="153"/>
  <c r="L43" i="153"/>
  <c r="J45" i="129"/>
  <c r="C45" i="110"/>
  <c r="F13" i="152"/>
  <c r="D10" i="126"/>
  <c r="D12" i="126"/>
  <c r="C16" i="126"/>
  <c r="X21" i="129"/>
  <c r="C41" i="129"/>
  <c r="D41" i="129" s="1"/>
  <c r="F14" i="152"/>
  <c r="C21" i="129"/>
  <c r="D21" i="129" s="1"/>
  <c r="D31" i="110"/>
  <c r="L29" i="152"/>
  <c r="T31" i="129"/>
  <c r="J51" i="129"/>
  <c r="C51" i="110"/>
  <c r="L49" i="153"/>
  <c r="T65" i="129"/>
  <c r="D65" i="110"/>
  <c r="L63" i="152"/>
  <c r="W44" i="129"/>
  <c r="X44" i="129" s="1"/>
  <c r="T32" i="129"/>
  <c r="L30" i="152"/>
  <c r="D32" i="110"/>
  <c r="K41" i="153"/>
  <c r="T34" i="129"/>
  <c r="D34" i="110"/>
  <c r="L32" i="152"/>
  <c r="T49" i="129"/>
  <c r="D49" i="110"/>
  <c r="L47" i="152"/>
  <c r="C36" i="110"/>
  <c r="L34" i="153"/>
  <c r="J36" i="129"/>
  <c r="K60" i="153"/>
  <c r="J26" i="129"/>
  <c r="L24" i="153"/>
  <c r="C26" i="110"/>
  <c r="T46" i="129"/>
  <c r="L44" i="152"/>
  <c r="D46" i="110"/>
  <c r="T39" i="129"/>
  <c r="L37" i="152"/>
  <c r="D39" i="110"/>
  <c r="L29" i="153"/>
  <c r="J31" i="129"/>
  <c r="C31" i="110"/>
  <c r="O18" i="93"/>
  <c r="O17" i="93" s="1"/>
  <c r="K46" i="152"/>
  <c r="J20" i="129"/>
  <c r="L18" i="153"/>
  <c r="C20" i="110"/>
  <c r="J24" i="129"/>
  <c r="C24" i="110"/>
  <c r="L22" i="153"/>
  <c r="C17" i="121"/>
  <c r="C7" i="121"/>
  <c r="C18" i="125"/>
  <c r="M50" i="129"/>
  <c r="N50" i="129" s="1"/>
  <c r="K34" i="152"/>
  <c r="C33" i="129"/>
  <c r="D33" i="129" s="1"/>
  <c r="D17" i="121"/>
  <c r="D7" i="121"/>
  <c r="D18" i="125"/>
  <c r="W58" i="129"/>
  <c r="X58" i="129" s="1"/>
  <c r="M38" i="129"/>
  <c r="N38" i="129" s="1"/>
  <c r="M33" i="129"/>
  <c r="N33" i="129" s="1"/>
  <c r="AD24" i="129"/>
  <c r="E24" i="110"/>
  <c r="L22" i="151"/>
  <c r="C46" i="110"/>
  <c r="L44" i="153"/>
  <c r="J46" i="129"/>
  <c r="W59" i="129"/>
  <c r="X59" i="129" s="1"/>
  <c r="C12" i="126"/>
  <c r="D13" i="126"/>
  <c r="F17" i="153"/>
  <c r="F9" i="152"/>
  <c r="F27" i="153"/>
  <c r="L52" i="153"/>
  <c r="J54" i="129"/>
  <c r="C54" i="110"/>
  <c r="C22" i="129"/>
  <c r="D22" i="129" s="1"/>
  <c r="T37" i="129"/>
  <c r="L35" i="152"/>
  <c r="D37" i="110"/>
  <c r="F14" i="153"/>
  <c r="D18" i="124"/>
  <c r="I6" i="152"/>
  <c r="C67" i="110"/>
  <c r="L65" i="153"/>
  <c r="J67" i="129"/>
  <c r="L43" i="152"/>
  <c r="D45" i="110"/>
  <c r="T45" i="129"/>
  <c r="L46" i="151"/>
  <c r="E48" i="110"/>
  <c r="AD48" i="129"/>
  <c r="I6" i="153"/>
  <c r="C18" i="124"/>
  <c r="F17" i="152"/>
  <c r="AD33" i="129"/>
  <c r="E33" i="110"/>
  <c r="L31" i="151"/>
  <c r="C66" i="129"/>
  <c r="D66" i="129" s="1"/>
  <c r="C13" i="126"/>
  <c r="W28" i="129"/>
  <c r="X28" i="129" s="1"/>
  <c r="H6" i="153"/>
  <c r="C8" i="126"/>
  <c r="F21" i="152"/>
  <c r="W60" i="129"/>
  <c r="X60" i="129" s="1"/>
  <c r="T20" i="129"/>
  <c r="D20" i="110"/>
  <c r="L18" i="152"/>
  <c r="C10" i="126"/>
  <c r="C57" i="129"/>
  <c r="D57" i="129" s="1"/>
  <c r="L55" i="152"/>
  <c r="T57" i="129"/>
  <c r="D57" i="110"/>
  <c r="F45" i="153"/>
  <c r="C15" i="126"/>
  <c r="K25" i="153"/>
  <c r="T27" i="129"/>
  <c r="L25" i="152"/>
  <c r="D27" i="110"/>
  <c r="D41" i="110"/>
  <c r="T41" i="129"/>
  <c r="L39" i="152"/>
  <c r="F10" i="153"/>
  <c r="M26" i="129"/>
  <c r="M22" i="129"/>
  <c r="N22" i="129" s="1"/>
  <c r="J48" i="129"/>
  <c r="C48" i="110"/>
  <c r="L46" i="153"/>
  <c r="D16" i="126"/>
  <c r="W27" i="129"/>
  <c r="X27" i="129" s="1"/>
  <c r="D129" i="189"/>
  <c r="R63" i="127"/>
  <c r="D74" i="189"/>
  <c r="V45" i="189"/>
  <c r="O117" i="121" s="1"/>
  <c r="O117" i="124" s="1"/>
  <c r="X47" i="126" s="1"/>
  <c r="D112" i="189"/>
  <c r="L34" i="134"/>
  <c r="AN36" i="129"/>
  <c r="L42" i="157"/>
  <c r="AX44" i="129"/>
  <c r="L23" i="157"/>
  <c r="AX25" i="129"/>
  <c r="L36" i="157"/>
  <c r="AX38" i="129"/>
  <c r="AG52" i="129"/>
  <c r="AH52" i="129" s="1"/>
  <c r="AG21" i="129"/>
  <c r="AH21" i="129" s="1"/>
  <c r="AG37" i="129"/>
  <c r="AH37" i="129" s="1"/>
  <c r="AG38" i="129"/>
  <c r="AH38" i="129" s="1"/>
  <c r="AG39" i="129"/>
  <c r="AH39" i="129" s="1"/>
  <c r="AG31" i="129"/>
  <c r="AH31" i="129" s="1"/>
  <c r="AG33" i="129"/>
  <c r="AH33" i="129" s="1"/>
  <c r="L46" i="134"/>
  <c r="AN48" i="129"/>
  <c r="L51" i="157"/>
  <c r="AX53" i="129"/>
  <c r="L61" i="157"/>
  <c r="AX63" i="129"/>
  <c r="L64" i="157"/>
  <c r="AX66" i="129"/>
  <c r="L26" i="157"/>
  <c r="AX28" i="129"/>
  <c r="L47" i="157"/>
  <c r="AX49" i="129"/>
  <c r="L30" i="157"/>
  <c r="AX32" i="129"/>
  <c r="L50" i="157"/>
  <c r="AX52" i="129"/>
  <c r="L58" i="157"/>
  <c r="AX60" i="129"/>
  <c r="AG58" i="129"/>
  <c r="AH58" i="129" s="1"/>
  <c r="AG26" i="129"/>
  <c r="AH26" i="129" s="1"/>
  <c r="AG49" i="129"/>
  <c r="AH49" i="129" s="1"/>
  <c r="L18" i="134"/>
  <c r="AN20" i="129"/>
  <c r="L52" i="157"/>
  <c r="AX54" i="129"/>
  <c r="L48" i="157"/>
  <c r="AX50" i="129"/>
  <c r="L20" i="157"/>
  <c r="AX22" i="129"/>
  <c r="L57" i="157"/>
  <c r="AX59" i="129"/>
  <c r="L25" i="157"/>
  <c r="AX27" i="129"/>
  <c r="L19" i="157"/>
  <c r="AX21" i="129"/>
  <c r="AG57" i="129"/>
  <c r="AH57" i="129" s="1"/>
  <c r="AG67" i="129"/>
  <c r="AH67" i="129" s="1"/>
  <c r="AG66" i="129"/>
  <c r="AH66" i="129" s="1"/>
  <c r="AG25" i="129"/>
  <c r="AH25" i="129" s="1"/>
  <c r="AG40" i="129"/>
  <c r="AH40" i="129" s="1"/>
  <c r="L22" i="134"/>
  <c r="AN24" i="129"/>
  <c r="L41" i="134"/>
  <c r="AN43" i="129"/>
  <c r="L44" i="157"/>
  <c r="AX46" i="129"/>
  <c r="L49" i="157"/>
  <c r="AX51" i="129"/>
  <c r="V17" i="189"/>
  <c r="O124" i="121"/>
  <c r="O124" i="124" s="1"/>
  <c r="X54" i="126" s="1"/>
  <c r="S7" i="120"/>
  <c r="T16" i="194"/>
  <c r="R114" i="121"/>
  <c r="R114" i="124" s="1"/>
  <c r="R133" i="121"/>
  <c r="R133" i="124" s="1"/>
  <c r="R119" i="121"/>
  <c r="R119" i="124" s="1"/>
  <c r="R129" i="121"/>
  <c r="R129" i="124" s="1"/>
  <c r="Q22" i="127"/>
  <c r="Q25" i="127"/>
  <c r="U49" i="191"/>
  <c r="Q29" i="93"/>
  <c r="Q29" i="127" s="1"/>
  <c r="Q51" i="127"/>
  <c r="Q23" i="93"/>
  <c r="Q9" i="93" s="1"/>
  <c r="Q9" i="127" s="1"/>
  <c r="R100" i="121"/>
  <c r="R100" i="124" s="1"/>
  <c r="Q52" i="127"/>
  <c r="R121" i="121"/>
  <c r="R121" i="124" s="1"/>
  <c r="Q66" i="127"/>
  <c r="Q49" i="127"/>
  <c r="Q62" i="127"/>
  <c r="Q33" i="127"/>
  <c r="Q53" i="127"/>
  <c r="Q47" i="93"/>
  <c r="Q13" i="93" s="1"/>
  <c r="Q13" i="127" s="1"/>
  <c r="Q20" i="127"/>
  <c r="Q57" i="127"/>
  <c r="Q67" i="127"/>
  <c r="Q19" i="93"/>
  <c r="Q21" i="127"/>
  <c r="Q60" i="127"/>
  <c r="Q56" i="127"/>
  <c r="Q36" i="127"/>
  <c r="Q59" i="127"/>
  <c r="Q27" i="127"/>
  <c r="Q50" i="127"/>
  <c r="Q32" i="127"/>
  <c r="Q61" i="93"/>
  <c r="Q63" i="127"/>
  <c r="Q41" i="127"/>
  <c r="Q46" i="127"/>
  <c r="Q65" i="127"/>
  <c r="Q64" i="93"/>
  <c r="Q48" i="127"/>
  <c r="Q38" i="127"/>
  <c r="Q24" i="127"/>
  <c r="Q37" i="127"/>
  <c r="Q54" i="127"/>
  <c r="U42" i="191"/>
  <c r="R96" i="121"/>
  <c r="R96" i="124" s="1"/>
  <c r="Q44" i="127"/>
  <c r="Q42" i="93"/>
  <c r="Q58" i="127"/>
  <c r="Q55" i="93"/>
  <c r="Q40" i="127"/>
  <c r="Q39" i="127"/>
  <c r="Q35" i="93"/>
  <c r="R103" i="121"/>
  <c r="R103" i="124" s="1"/>
  <c r="T5" i="192"/>
  <c r="R6" i="120"/>
  <c r="R128" i="121"/>
  <c r="R128" i="124" s="1"/>
  <c r="R102" i="121"/>
  <c r="R102" i="124" s="1"/>
  <c r="R58" i="134"/>
  <c r="S58" i="134" s="1"/>
  <c r="R20" i="134"/>
  <c r="S20" i="134" s="1"/>
  <c r="J51" i="124"/>
  <c r="J67" i="124"/>
  <c r="J54" i="124"/>
  <c r="J58" i="124"/>
  <c r="J40" i="124"/>
  <c r="J26" i="124"/>
  <c r="J28" i="124"/>
  <c r="J52" i="124"/>
  <c r="J63" i="124"/>
  <c r="J22" i="124"/>
  <c r="J45" i="124"/>
  <c r="J33" i="124"/>
  <c r="J24" i="124"/>
  <c r="J43" i="124"/>
  <c r="J27" i="124"/>
  <c r="J57" i="124"/>
  <c r="J20" i="124"/>
  <c r="J37" i="124"/>
  <c r="J56" i="124"/>
  <c r="J50" i="124"/>
  <c r="J39" i="124"/>
  <c r="J31" i="124"/>
  <c r="J60" i="124"/>
  <c r="J49" i="124"/>
  <c r="J41" i="124"/>
  <c r="J38" i="124"/>
  <c r="J66" i="124"/>
  <c r="J25" i="124"/>
  <c r="J62" i="124"/>
  <c r="J34" i="124"/>
  <c r="J65" i="124"/>
  <c r="J48" i="124"/>
  <c r="J30" i="124"/>
  <c r="J44" i="124"/>
  <c r="J32" i="124"/>
  <c r="J21" i="124"/>
  <c r="J59" i="124"/>
  <c r="J53" i="124"/>
  <c r="J36" i="124"/>
  <c r="J46" i="124"/>
  <c r="H12" i="157"/>
  <c r="G14" i="126"/>
  <c r="H10" i="157"/>
  <c r="G12" i="126"/>
  <c r="H13" i="157"/>
  <c r="G15" i="126"/>
  <c r="H17" i="157"/>
  <c r="G19" i="126"/>
  <c r="H18" i="124"/>
  <c r="H17" i="124" s="1"/>
  <c r="I58" i="126"/>
  <c r="I50" i="126"/>
  <c r="I38" i="126"/>
  <c r="I60" i="126"/>
  <c r="I21" i="126"/>
  <c r="I40" i="126"/>
  <c r="I27" i="126"/>
  <c r="I52" i="126"/>
  <c r="I35" i="121"/>
  <c r="I36" i="125"/>
  <c r="I54" i="126"/>
  <c r="I64" i="121"/>
  <c r="I65" i="125"/>
  <c r="I59" i="126"/>
  <c r="I63" i="126"/>
  <c r="I43" i="125"/>
  <c r="I42" i="121"/>
  <c r="I44" i="126"/>
  <c r="I31" i="126"/>
  <c r="I26" i="126"/>
  <c r="I66" i="126"/>
  <c r="I32" i="126"/>
  <c r="I28" i="126"/>
  <c r="N82" i="121"/>
  <c r="N82" i="124" s="1"/>
  <c r="W12" i="126" s="1"/>
  <c r="N81" i="121"/>
  <c r="N81" i="124" s="1"/>
  <c r="W11" i="126" s="1"/>
  <c r="G18" i="124"/>
  <c r="G17" i="124" s="1"/>
  <c r="I6" i="157"/>
  <c r="O112" i="121"/>
  <c r="O112" i="124" s="1"/>
  <c r="X42" i="126" s="1"/>
  <c r="H6" i="134"/>
  <c r="F8" i="126"/>
  <c r="R31" i="134"/>
  <c r="S31" i="134" s="1"/>
  <c r="R42" i="134"/>
  <c r="S42" i="134" s="1"/>
  <c r="M88" i="121"/>
  <c r="M88" i="124" s="1"/>
  <c r="V18" i="126" s="1"/>
  <c r="G44" i="110"/>
  <c r="H11" i="121"/>
  <c r="H11" i="125" s="1"/>
  <c r="H11" i="126" s="1"/>
  <c r="H35" i="125"/>
  <c r="H35" i="126" s="1"/>
  <c r="H55" i="125"/>
  <c r="H55" i="126" s="1"/>
  <c r="H14" i="121"/>
  <c r="H14" i="125" s="1"/>
  <c r="H14" i="126" s="1"/>
  <c r="H61" i="125"/>
  <c r="H61" i="126" s="1"/>
  <c r="H15" i="121"/>
  <c r="H15" i="125" s="1"/>
  <c r="H15" i="126" s="1"/>
  <c r="R55" i="134"/>
  <c r="S55" i="134" s="1"/>
  <c r="F48" i="110"/>
  <c r="D80" i="189"/>
  <c r="V13" i="189"/>
  <c r="F43" i="110"/>
  <c r="N86" i="121"/>
  <c r="N86" i="124" s="1"/>
  <c r="W16" i="126" s="1"/>
  <c r="G53" i="110"/>
  <c r="H7" i="157"/>
  <c r="G9" i="126"/>
  <c r="G25" i="110"/>
  <c r="H9" i="157"/>
  <c r="G11" i="126"/>
  <c r="G66" i="110"/>
  <c r="G49" i="110"/>
  <c r="I29" i="124"/>
  <c r="I10" i="124" s="1"/>
  <c r="I55" i="124"/>
  <c r="I14" i="124" s="1"/>
  <c r="I64" i="124"/>
  <c r="I16" i="124" s="1"/>
  <c r="I61" i="124"/>
  <c r="I15" i="124" s="1"/>
  <c r="R25" i="134"/>
  <c r="S25" i="134" s="1"/>
  <c r="R32" i="134"/>
  <c r="S32" i="134" s="1"/>
  <c r="R49" i="134"/>
  <c r="S49" i="134" s="1"/>
  <c r="R61" i="134"/>
  <c r="S61" i="134" s="1"/>
  <c r="R43" i="134"/>
  <c r="S43" i="134" s="1"/>
  <c r="G46" i="110"/>
  <c r="G22" i="110"/>
  <c r="G52" i="110"/>
  <c r="H62" i="157"/>
  <c r="G64" i="126"/>
  <c r="H24" i="126"/>
  <c r="H30" i="126"/>
  <c r="H42" i="125"/>
  <c r="H42" i="126" s="1"/>
  <c r="H12" i="121"/>
  <c r="H12" i="125" s="1"/>
  <c r="H12" i="126" s="1"/>
  <c r="H48" i="126"/>
  <c r="H45" i="157"/>
  <c r="G47" i="126"/>
  <c r="H27" i="157"/>
  <c r="G29" i="126"/>
  <c r="H64" i="125"/>
  <c r="H64" i="126" s="1"/>
  <c r="H16" i="121"/>
  <c r="H16" i="125" s="1"/>
  <c r="H16" i="126" s="1"/>
  <c r="H19" i="125"/>
  <c r="H19" i="126" s="1"/>
  <c r="H8" i="121"/>
  <c r="O99" i="121"/>
  <c r="O99" i="124" s="1"/>
  <c r="X29" i="126" s="1"/>
  <c r="D75" i="189"/>
  <c r="V8" i="189"/>
  <c r="J51" i="121"/>
  <c r="J51" i="125" s="1"/>
  <c r="J34" i="121"/>
  <c r="J34" i="125" s="1"/>
  <c r="J65" i="121"/>
  <c r="J48" i="121"/>
  <c r="J37" i="121"/>
  <c r="J37" i="125" s="1"/>
  <c r="J44" i="121"/>
  <c r="J44" i="125" s="1"/>
  <c r="J53" i="121"/>
  <c r="J53" i="125" s="1"/>
  <c r="J36" i="121"/>
  <c r="J46" i="121"/>
  <c r="J46" i="125" s="1"/>
  <c r="J56" i="121"/>
  <c r="J50" i="121"/>
  <c r="J50" i="125" s="1"/>
  <c r="J54" i="121"/>
  <c r="J54" i="125" s="1"/>
  <c r="J49" i="121"/>
  <c r="J49" i="125" s="1"/>
  <c r="J24" i="121"/>
  <c r="J43" i="121"/>
  <c r="J27" i="121"/>
  <c r="J27" i="125" s="1"/>
  <c r="J57" i="121"/>
  <c r="J57" i="125" s="1"/>
  <c r="J20" i="121"/>
  <c r="J30" i="121"/>
  <c r="J21" i="121"/>
  <c r="J21" i="125" s="1"/>
  <c r="J59" i="121"/>
  <c r="J59" i="125" s="1"/>
  <c r="J32" i="121"/>
  <c r="J32" i="125" s="1"/>
  <c r="J67" i="121"/>
  <c r="J67" i="125" s="1"/>
  <c r="J58" i="121"/>
  <c r="J58" i="125" s="1"/>
  <c r="J40" i="121"/>
  <c r="J40" i="125" s="1"/>
  <c r="J26" i="121"/>
  <c r="J26" i="125" s="1"/>
  <c r="J28" i="121"/>
  <c r="J28" i="125" s="1"/>
  <c r="J39" i="121"/>
  <c r="J39" i="125" s="1"/>
  <c r="J52" i="121"/>
  <c r="J52" i="125" s="1"/>
  <c r="J63" i="121"/>
  <c r="J63" i="125" s="1"/>
  <c r="J31" i="121"/>
  <c r="J31" i="125" s="1"/>
  <c r="J22" i="121"/>
  <c r="J22" i="125" s="1"/>
  <c r="J45" i="121"/>
  <c r="J45" i="125" s="1"/>
  <c r="J33" i="121"/>
  <c r="J33" i="125" s="1"/>
  <c r="J41" i="121"/>
  <c r="J41" i="125" s="1"/>
  <c r="J38" i="121"/>
  <c r="J38" i="125" s="1"/>
  <c r="J66" i="121"/>
  <c r="J66" i="125" s="1"/>
  <c r="J25" i="121"/>
  <c r="J25" i="125" s="1"/>
  <c r="J62" i="121"/>
  <c r="J60" i="121"/>
  <c r="J60" i="125" s="1"/>
  <c r="I16" i="134"/>
  <c r="F7" i="124"/>
  <c r="H53" i="157"/>
  <c r="G55" i="126"/>
  <c r="H40" i="157"/>
  <c r="G42" i="126"/>
  <c r="H59" i="157"/>
  <c r="G61" i="126"/>
  <c r="G8" i="125"/>
  <c r="G18" i="121"/>
  <c r="G17" i="121" s="1"/>
  <c r="I61" i="121"/>
  <c r="I62" i="125"/>
  <c r="I25" i="126"/>
  <c r="I51" i="126"/>
  <c r="I41" i="126"/>
  <c r="I45" i="126"/>
  <c r="I39" i="126"/>
  <c r="I46" i="126"/>
  <c r="I33" i="126"/>
  <c r="I67" i="126"/>
  <c r="I47" i="121"/>
  <c r="I48" i="125"/>
  <c r="I37" i="126"/>
  <c r="I49" i="126"/>
  <c r="I20" i="125"/>
  <c r="I19" i="121"/>
  <c r="I23" i="121"/>
  <c r="I24" i="125"/>
  <c r="I57" i="126"/>
  <c r="I53" i="126"/>
  <c r="I34" i="126"/>
  <c r="I29" i="121"/>
  <c r="I30" i="125"/>
  <c r="I56" i="125"/>
  <c r="I55" i="121"/>
  <c r="I22" i="126"/>
  <c r="N79" i="121"/>
  <c r="N79" i="124" s="1"/>
  <c r="W9" i="126" s="1"/>
  <c r="D73" i="189"/>
  <c r="V6" i="189"/>
  <c r="D79" i="189"/>
  <c r="V12" i="189"/>
  <c r="N85" i="121"/>
  <c r="N85" i="124" s="1"/>
  <c r="W15" i="126" s="1"/>
  <c r="N78" i="121"/>
  <c r="N78" i="124" s="1"/>
  <c r="W8" i="126" s="1"/>
  <c r="D77" i="189"/>
  <c r="V10" i="189"/>
  <c r="F36" i="110"/>
  <c r="R57" i="134"/>
  <c r="S57" i="134" s="1"/>
  <c r="F7" i="121"/>
  <c r="F6" i="121" s="1"/>
  <c r="F18" i="125"/>
  <c r="R38" i="134"/>
  <c r="S38" i="134" s="1"/>
  <c r="H36" i="126"/>
  <c r="H56" i="126"/>
  <c r="H62" i="126"/>
  <c r="V4" i="186"/>
  <c r="F24" i="110"/>
  <c r="R39" i="134"/>
  <c r="S39" i="134" s="1"/>
  <c r="N83" i="121"/>
  <c r="N83" i="124" s="1"/>
  <c r="W13" i="126" s="1"/>
  <c r="O134" i="121"/>
  <c r="O134" i="124" s="1"/>
  <c r="X64" i="126" s="1"/>
  <c r="O131" i="121"/>
  <c r="O131" i="124" s="1"/>
  <c r="X61" i="126" s="1"/>
  <c r="F20" i="110"/>
  <c r="H21" i="157"/>
  <c r="G23" i="126"/>
  <c r="G63" i="110"/>
  <c r="H33" i="157"/>
  <c r="G35" i="126"/>
  <c r="G28" i="110"/>
  <c r="G38" i="110"/>
  <c r="G54" i="110"/>
  <c r="I35" i="124"/>
  <c r="I11" i="124" s="1"/>
  <c r="I19" i="124"/>
  <c r="I8" i="124" s="1"/>
  <c r="I23" i="124"/>
  <c r="I9" i="124" s="1"/>
  <c r="I47" i="124"/>
  <c r="I13" i="124" s="1"/>
  <c r="I42" i="124"/>
  <c r="I12" i="124" s="1"/>
  <c r="O93" i="121"/>
  <c r="O93" i="124" s="1"/>
  <c r="X23" i="126" s="1"/>
  <c r="G32" i="110"/>
  <c r="G50" i="110"/>
  <c r="G59" i="110"/>
  <c r="H14" i="157"/>
  <c r="G16" i="126"/>
  <c r="G60" i="110"/>
  <c r="G27" i="110"/>
  <c r="G21" i="110"/>
  <c r="G51" i="110"/>
  <c r="H23" i="125"/>
  <c r="H23" i="126" s="1"/>
  <c r="H9" i="121"/>
  <c r="H9" i="125" s="1"/>
  <c r="H9" i="126" s="1"/>
  <c r="H10" i="121"/>
  <c r="H10" i="125" s="1"/>
  <c r="H10" i="126" s="1"/>
  <c r="H29" i="125"/>
  <c r="H29" i="126" s="1"/>
  <c r="H43" i="126"/>
  <c r="H47" i="125"/>
  <c r="H47" i="126" s="1"/>
  <c r="H13" i="121"/>
  <c r="H13" i="125" s="1"/>
  <c r="H13" i="126" s="1"/>
  <c r="H11" i="157"/>
  <c r="G13" i="126"/>
  <c r="H8" i="157"/>
  <c r="G10" i="126"/>
  <c r="H65" i="126"/>
  <c r="H20" i="126"/>
  <c r="J84" i="200" l="1"/>
  <c r="J70" i="212"/>
  <c r="J133" i="200"/>
  <c r="J101" i="200"/>
  <c r="J116" i="200"/>
  <c r="J70" i="213"/>
  <c r="W17" i="130"/>
  <c r="GY7" i="129"/>
  <c r="X6" i="131" s="1"/>
  <c r="X6" i="132" s="1"/>
  <c r="HH18" i="129"/>
  <c r="X17" i="131" s="1"/>
  <c r="X17" i="132" s="1"/>
  <c r="HG18" i="129"/>
  <c r="HG7" i="129" s="1"/>
  <c r="HG6" i="129" s="1"/>
  <c r="HI7" i="129"/>
  <c r="HI6" i="129" s="1"/>
  <c r="N16" i="213"/>
  <c r="F100" i="200"/>
  <c r="F132" i="200"/>
  <c r="V6" i="131"/>
  <c r="T5" i="212"/>
  <c r="T5" i="213"/>
  <c r="AL11" i="114"/>
  <c r="AM71" i="114"/>
  <c r="AM11" i="114" s="1"/>
  <c r="AL31" i="114"/>
  <c r="AM91" i="114"/>
  <c r="AM31" i="114" s="1"/>
  <c r="AL15" i="114"/>
  <c r="AM75" i="114"/>
  <c r="AM15" i="114" s="1"/>
  <c r="AL13" i="114"/>
  <c r="AM73" i="114"/>
  <c r="AM13" i="114" s="1"/>
  <c r="AL44" i="114"/>
  <c r="AM104" i="114"/>
  <c r="AM44" i="114" s="1"/>
  <c r="AL47" i="114"/>
  <c r="AM107" i="114"/>
  <c r="AM47" i="114" s="1"/>
  <c r="AL20" i="114"/>
  <c r="AM80" i="114"/>
  <c r="AM20" i="114" s="1"/>
  <c r="AL14" i="114"/>
  <c r="AM74" i="114"/>
  <c r="AM14" i="114" s="1"/>
  <c r="AL8" i="114"/>
  <c r="AM68" i="114"/>
  <c r="AM8" i="114" s="1"/>
  <c r="AL37" i="114"/>
  <c r="AM97" i="114"/>
  <c r="AM37" i="114" s="1"/>
  <c r="AL12" i="114"/>
  <c r="AM72" i="114"/>
  <c r="AM12" i="114" s="1"/>
  <c r="AL9" i="114"/>
  <c r="AM69" i="114"/>
  <c r="AM9" i="114" s="1"/>
  <c r="AL46" i="114"/>
  <c r="AM106" i="114"/>
  <c r="AM46" i="114" s="1"/>
  <c r="AL7" i="114"/>
  <c r="AM67" i="114"/>
  <c r="AM7" i="114" s="1"/>
  <c r="AL43" i="114"/>
  <c r="AM103" i="114"/>
  <c r="AM43" i="114" s="1"/>
  <c r="AL25" i="114"/>
  <c r="AM85" i="114"/>
  <c r="AM25" i="114" s="1"/>
  <c r="AL35" i="114"/>
  <c r="AM95" i="114"/>
  <c r="AM35" i="114" s="1"/>
  <c r="AL23" i="114"/>
  <c r="AM83" i="114"/>
  <c r="AM23" i="114" s="1"/>
  <c r="AL21" i="114"/>
  <c r="AM81" i="114"/>
  <c r="AM21" i="114" s="1"/>
  <c r="AL41" i="114"/>
  <c r="AM101" i="114"/>
  <c r="AM41" i="114" s="1"/>
  <c r="AL50" i="114"/>
  <c r="AM110" i="114"/>
  <c r="AM50" i="114" s="1"/>
  <c r="AL39" i="114"/>
  <c r="AM99" i="114"/>
  <c r="AM39" i="114" s="1"/>
  <c r="AL38" i="114"/>
  <c r="AM98" i="114"/>
  <c r="AM38" i="114" s="1"/>
  <c r="AL49" i="114"/>
  <c r="AM109" i="114"/>
  <c r="AM49" i="114" s="1"/>
  <c r="AL45" i="114"/>
  <c r="AM105" i="114"/>
  <c r="AM45" i="114" s="1"/>
  <c r="AL40" i="114"/>
  <c r="AM100" i="114"/>
  <c r="AM40" i="114" s="1"/>
  <c r="AL32" i="114"/>
  <c r="AM92" i="114"/>
  <c r="AM32" i="114" s="1"/>
  <c r="R32" i="127"/>
  <c r="D86" i="192"/>
  <c r="R122" i="121"/>
  <c r="R122" i="124" s="1"/>
  <c r="GY6" i="129"/>
  <c r="W6" i="130"/>
  <c r="GX7" i="129"/>
  <c r="W17" i="131"/>
  <c r="W17" i="132" s="1"/>
  <c r="GW18" i="129"/>
  <c r="R40" i="127"/>
  <c r="R26" i="127"/>
  <c r="R136" i="121"/>
  <c r="R136" i="124" s="1"/>
  <c r="D95" i="192"/>
  <c r="S48" i="93"/>
  <c r="R94" i="121"/>
  <c r="R94" i="124" s="1"/>
  <c r="S51" i="93"/>
  <c r="S51" i="127" s="1"/>
  <c r="S24" i="93"/>
  <c r="S24" i="127" s="1"/>
  <c r="S56" i="93"/>
  <c r="S56" i="127" s="1"/>
  <c r="S21" i="93"/>
  <c r="S21" i="127" s="1"/>
  <c r="S30" i="93"/>
  <c r="S20" i="93"/>
  <c r="S52" i="93"/>
  <c r="R118" i="121"/>
  <c r="R118" i="124" s="1"/>
  <c r="S58" i="93"/>
  <c r="S58" i="127" s="1"/>
  <c r="S46" i="93"/>
  <c r="S46" i="127" s="1"/>
  <c r="S32" i="93"/>
  <c r="S27" i="93"/>
  <c r="S27" i="127" s="1"/>
  <c r="S33" i="93"/>
  <c r="S26" i="93"/>
  <c r="S26" i="127" s="1"/>
  <c r="S25" i="93"/>
  <c r="S40" i="93"/>
  <c r="S67" i="93"/>
  <c r="S62" i="93"/>
  <c r="D126" i="194" s="1"/>
  <c r="D91" i="192"/>
  <c r="S49" i="93"/>
  <c r="S49" i="127" s="1"/>
  <c r="S43" i="93"/>
  <c r="S43" i="127" s="1"/>
  <c r="S57" i="93"/>
  <c r="S57" i="127" s="1"/>
  <c r="S39" i="93"/>
  <c r="S54" i="93"/>
  <c r="S41" i="93"/>
  <c r="S63" i="93"/>
  <c r="S63" i="127" s="1"/>
  <c r="S65" i="93"/>
  <c r="S22" i="93"/>
  <c r="S45" i="93"/>
  <c r="S45" i="127" s="1"/>
  <c r="S34" i="93"/>
  <c r="S34" i="127" s="1"/>
  <c r="S28" i="93"/>
  <c r="S28" i="127" s="1"/>
  <c r="S53" i="93"/>
  <c r="S53" i="127" s="1"/>
  <c r="S38" i="93"/>
  <c r="S31" i="93"/>
  <c r="R33" i="127"/>
  <c r="R108" i="121"/>
  <c r="R108" i="124" s="1"/>
  <c r="S66" i="93"/>
  <c r="S66" i="127" s="1"/>
  <c r="S37" i="93"/>
  <c r="T5" i="211"/>
  <c r="S50" i="93"/>
  <c r="S60" i="93"/>
  <c r="AK16" i="114"/>
  <c r="S44" i="93"/>
  <c r="S36" i="93"/>
  <c r="AJ4" i="114"/>
  <c r="T40" i="93" s="1"/>
  <c r="GP18" i="129"/>
  <c r="R58" i="127"/>
  <c r="R60" i="127"/>
  <c r="R42" i="93"/>
  <c r="R12" i="93" s="1"/>
  <c r="R12" i="127" s="1"/>
  <c r="R43" i="127"/>
  <c r="R36" i="127"/>
  <c r="D110" i="192"/>
  <c r="R39" i="127"/>
  <c r="R67" i="127"/>
  <c r="R115" i="121"/>
  <c r="R115" i="124" s="1"/>
  <c r="D72" i="188"/>
  <c r="R44" i="127"/>
  <c r="V16" i="188"/>
  <c r="N88" i="121" s="1"/>
  <c r="N88" i="124" s="1"/>
  <c r="W18" i="126" s="1"/>
  <c r="D83" i="188"/>
  <c r="R59" i="127"/>
  <c r="D121" i="192"/>
  <c r="R123" i="121"/>
  <c r="R123" i="124" s="1"/>
  <c r="R41" i="127"/>
  <c r="AK29" i="206"/>
  <c r="N7" i="127"/>
  <c r="AI4" i="206"/>
  <c r="AK51" i="206"/>
  <c r="AJ29" i="206"/>
  <c r="AK42" i="206"/>
  <c r="D123" i="194"/>
  <c r="R62" i="127"/>
  <c r="D98" i="192"/>
  <c r="AK48" i="114"/>
  <c r="AK22" i="206"/>
  <c r="AK34" i="206"/>
  <c r="AK10" i="206"/>
  <c r="AJ34" i="206"/>
  <c r="AK53" i="114"/>
  <c r="AK51" i="114" s="1"/>
  <c r="AL113" i="114"/>
  <c r="AK16" i="206"/>
  <c r="AJ16" i="206"/>
  <c r="R56" i="127"/>
  <c r="D89" i="192"/>
  <c r="R65" i="127"/>
  <c r="AJ10" i="206"/>
  <c r="AJ22" i="206"/>
  <c r="R91" i="121"/>
  <c r="R91" i="124" s="1"/>
  <c r="AJ42" i="206"/>
  <c r="AJ51" i="206"/>
  <c r="R132" i="121"/>
  <c r="R132" i="124" s="1"/>
  <c r="R29" i="93"/>
  <c r="R29" i="127" s="1"/>
  <c r="R124" i="121"/>
  <c r="R124" i="124" s="1"/>
  <c r="R30" i="127"/>
  <c r="AK6" i="206"/>
  <c r="AK48" i="206"/>
  <c r="AK30" i="114"/>
  <c r="AK29" i="114" s="1"/>
  <c r="AL90" i="114"/>
  <c r="R35" i="93"/>
  <c r="R11" i="93" s="1"/>
  <c r="R11" i="127" s="1"/>
  <c r="D101" i="192"/>
  <c r="R55" i="93"/>
  <c r="R55" i="127" s="1"/>
  <c r="AJ6" i="206"/>
  <c r="AJ48" i="206"/>
  <c r="AK42" i="114"/>
  <c r="R98" i="121"/>
  <c r="R98" i="124" s="1"/>
  <c r="R64" i="93"/>
  <c r="R16" i="93" s="1"/>
  <c r="R16" i="127" s="1"/>
  <c r="R47" i="93"/>
  <c r="R13" i="93" s="1"/>
  <c r="R13" i="127" s="1"/>
  <c r="R120" i="121"/>
  <c r="R120" i="124" s="1"/>
  <c r="R19" i="93"/>
  <c r="R19" i="127" s="1"/>
  <c r="R23" i="93"/>
  <c r="R23" i="127" s="1"/>
  <c r="D84" i="192"/>
  <c r="R49" i="127"/>
  <c r="R51" i="127"/>
  <c r="AK22" i="114"/>
  <c r="AL16" i="114"/>
  <c r="AK6" i="114"/>
  <c r="AK10" i="114"/>
  <c r="AK34" i="114"/>
  <c r="D105" i="192"/>
  <c r="T5" i="205"/>
  <c r="T5" i="207"/>
  <c r="G33" i="110"/>
  <c r="G45" i="110"/>
  <c r="G57" i="110"/>
  <c r="G37" i="110"/>
  <c r="F65" i="110"/>
  <c r="E7" i="124"/>
  <c r="E6" i="124" s="1"/>
  <c r="I4" i="151" s="1"/>
  <c r="E17" i="124"/>
  <c r="AX45" i="129"/>
  <c r="AQ45" i="129" s="1"/>
  <c r="AR45" i="129" s="1"/>
  <c r="V14" i="189"/>
  <c r="O86" i="121" s="1"/>
  <c r="O86" i="124" s="1"/>
  <c r="X16" i="126" s="1"/>
  <c r="G34" i="110"/>
  <c r="V11" i="189"/>
  <c r="O83" i="121" s="1"/>
  <c r="O83" i="124" s="1"/>
  <c r="X13" i="126" s="1"/>
  <c r="F30" i="110"/>
  <c r="AX33" i="129"/>
  <c r="AQ33" i="129" s="1"/>
  <c r="AR33" i="129" s="1"/>
  <c r="L57" i="153"/>
  <c r="R57" i="153" s="1"/>
  <c r="S57" i="153" s="1"/>
  <c r="E19" i="110"/>
  <c r="F56" i="110"/>
  <c r="AX34" i="129"/>
  <c r="AQ34" i="129" s="1"/>
  <c r="AR34" i="129" s="1"/>
  <c r="D67" i="189"/>
  <c r="D69" i="189" s="1"/>
  <c r="C59" i="110"/>
  <c r="L55" i="157"/>
  <c r="R55" i="157" s="1"/>
  <c r="S55" i="157" s="1"/>
  <c r="AN30" i="129"/>
  <c r="AG30" i="129" s="1"/>
  <c r="AX37" i="129"/>
  <c r="AQ37" i="129" s="1"/>
  <c r="AR37" i="129" s="1"/>
  <c r="D56" i="110"/>
  <c r="E18" i="126"/>
  <c r="S129" i="121"/>
  <c r="S129" i="124" s="1"/>
  <c r="AN56" i="129"/>
  <c r="AG56" i="129" s="1"/>
  <c r="D24" i="110"/>
  <c r="AX41" i="129"/>
  <c r="AQ41" i="129" s="1"/>
  <c r="AR41" i="129" s="1"/>
  <c r="G58" i="110"/>
  <c r="T24" i="129"/>
  <c r="M24" i="129" s="1"/>
  <c r="N24" i="129" s="1"/>
  <c r="G31" i="110"/>
  <c r="AX58" i="129"/>
  <c r="AQ58" i="129" s="1"/>
  <c r="AR58" i="129" s="1"/>
  <c r="AX31" i="129"/>
  <c r="AQ31" i="129" s="1"/>
  <c r="AR31" i="129" s="1"/>
  <c r="X20" i="129"/>
  <c r="X19" i="129" s="1"/>
  <c r="X8" i="129" s="1"/>
  <c r="W19" i="129"/>
  <c r="W8" i="129" s="1"/>
  <c r="AX40" i="129"/>
  <c r="AQ40" i="129" s="1"/>
  <c r="AR40" i="129" s="1"/>
  <c r="AX26" i="129"/>
  <c r="AQ26" i="129" s="1"/>
  <c r="AR26" i="129" s="1"/>
  <c r="G41" i="110"/>
  <c r="L38" i="157"/>
  <c r="R38" i="157" s="1"/>
  <c r="S38" i="157" s="1"/>
  <c r="L24" i="157"/>
  <c r="R24" i="157" s="1"/>
  <c r="S24" i="157" s="1"/>
  <c r="L28" i="153"/>
  <c r="R28" i="153" s="1"/>
  <c r="S28" i="153" s="1"/>
  <c r="AN62" i="129"/>
  <c r="AG62" i="129" s="1"/>
  <c r="L60" i="134"/>
  <c r="R60" i="134" s="1"/>
  <c r="S60" i="134" s="1"/>
  <c r="AN65" i="129"/>
  <c r="AG65" i="129" s="1"/>
  <c r="L54" i="152"/>
  <c r="R54" i="152" s="1"/>
  <c r="S54" i="152" s="1"/>
  <c r="E7" i="125"/>
  <c r="S48" i="127"/>
  <c r="G67" i="110"/>
  <c r="L53" i="151"/>
  <c r="R53" i="151" s="1"/>
  <c r="S53" i="151" s="1"/>
  <c r="AD55" i="129"/>
  <c r="AD14" i="129" s="1"/>
  <c r="E13" i="110"/>
  <c r="AD19" i="129"/>
  <c r="AD8" i="129" s="1"/>
  <c r="AD29" i="129"/>
  <c r="AD10" i="129" s="1"/>
  <c r="L59" i="151"/>
  <c r="R59" i="151" s="1"/>
  <c r="S59" i="151" s="1"/>
  <c r="C30" i="110"/>
  <c r="L27" i="151"/>
  <c r="R27" i="151" s="1"/>
  <c r="S27" i="151" s="1"/>
  <c r="G39" i="110"/>
  <c r="K53" i="134"/>
  <c r="L53" i="134" s="1"/>
  <c r="K11" i="134"/>
  <c r="F13" i="110" s="1"/>
  <c r="L65" i="157"/>
  <c r="L33" i="151"/>
  <c r="R33" i="151" s="1"/>
  <c r="S33" i="151" s="1"/>
  <c r="L14" i="151"/>
  <c r="R14" i="151" s="1"/>
  <c r="S14" i="151" s="1"/>
  <c r="K54" i="157"/>
  <c r="K10" i="134"/>
  <c r="AD35" i="129"/>
  <c r="AD11" i="129" s="1"/>
  <c r="E16" i="110"/>
  <c r="K46" i="157"/>
  <c r="AX48" i="129" s="1"/>
  <c r="R56" i="134"/>
  <c r="S56" i="134" s="1"/>
  <c r="AX39" i="129"/>
  <c r="AQ39" i="129" s="1"/>
  <c r="AR39" i="129" s="1"/>
  <c r="E35" i="110"/>
  <c r="AD42" i="129"/>
  <c r="AD12" i="129" s="1"/>
  <c r="E61" i="110"/>
  <c r="E42" i="110"/>
  <c r="L40" i="151"/>
  <c r="R40" i="151" s="1"/>
  <c r="S40" i="151" s="1"/>
  <c r="AD61" i="129"/>
  <c r="AD15" i="129" s="1"/>
  <c r="F8" i="157"/>
  <c r="F45" i="157"/>
  <c r="K45" i="157" s="1"/>
  <c r="F12" i="157"/>
  <c r="R46" i="153"/>
  <c r="S46" i="153" s="1"/>
  <c r="R18" i="152"/>
  <c r="S18" i="152" s="1"/>
  <c r="R35" i="152"/>
  <c r="S35" i="152" s="1"/>
  <c r="R37" i="152"/>
  <c r="S37" i="152" s="1"/>
  <c r="R32" i="152"/>
  <c r="S32" i="152" s="1"/>
  <c r="K14" i="152"/>
  <c r="R23" i="152"/>
  <c r="S23" i="152" s="1"/>
  <c r="K7" i="152"/>
  <c r="R32" i="153"/>
  <c r="S32" i="153" s="1"/>
  <c r="E14" i="110"/>
  <c r="L12" i="151"/>
  <c r="K9" i="153"/>
  <c r="L21" i="151"/>
  <c r="E23" i="110"/>
  <c r="AD23" i="129"/>
  <c r="AD9" i="129" s="1"/>
  <c r="K6" i="151"/>
  <c r="K27" i="152"/>
  <c r="E10" i="110"/>
  <c r="L8" i="151"/>
  <c r="K11" i="152"/>
  <c r="K59" i="153"/>
  <c r="K7" i="153"/>
  <c r="R38" i="152"/>
  <c r="S38" i="152" s="1"/>
  <c r="R61" i="152"/>
  <c r="S61" i="152" s="1"/>
  <c r="AD64" i="129"/>
  <c r="AD16" i="129" s="1"/>
  <c r="E64" i="110"/>
  <c r="L62" i="151"/>
  <c r="F14" i="157"/>
  <c r="K14" i="157" s="1"/>
  <c r="F40" i="157"/>
  <c r="I67" i="134"/>
  <c r="I69" i="134" s="1"/>
  <c r="F9" i="157"/>
  <c r="F17" i="157"/>
  <c r="K17" i="157" s="1"/>
  <c r="K10" i="153"/>
  <c r="F6" i="153"/>
  <c r="R31" i="151"/>
  <c r="S31" i="151" s="1"/>
  <c r="R65" i="153"/>
  <c r="S65" i="153" s="1"/>
  <c r="K14" i="153"/>
  <c r="R52" i="153"/>
  <c r="S52" i="153" s="1"/>
  <c r="K27" i="153"/>
  <c r="R44" i="153"/>
  <c r="S44" i="153" s="1"/>
  <c r="R11" i="151"/>
  <c r="S11" i="151" s="1"/>
  <c r="R47" i="152"/>
  <c r="S47" i="152" s="1"/>
  <c r="K13" i="152"/>
  <c r="D15" i="110" s="1"/>
  <c r="R43" i="153"/>
  <c r="S43" i="153" s="1"/>
  <c r="K62" i="152"/>
  <c r="T64" i="129" s="1"/>
  <c r="T16" i="129" s="1"/>
  <c r="K21" i="153"/>
  <c r="R26" i="152"/>
  <c r="S26" i="152" s="1"/>
  <c r="K12" i="153"/>
  <c r="K8" i="153"/>
  <c r="R34" i="151"/>
  <c r="S34" i="151" s="1"/>
  <c r="K45" i="152"/>
  <c r="K33" i="152"/>
  <c r="K33" i="153"/>
  <c r="F11" i="157"/>
  <c r="F33" i="157"/>
  <c r="K33" i="157" s="1"/>
  <c r="F21" i="157"/>
  <c r="F27" i="157"/>
  <c r="K27" i="157" s="1"/>
  <c r="F62" i="157"/>
  <c r="F7" i="157"/>
  <c r="K7" i="157" s="1"/>
  <c r="F6" i="134"/>
  <c r="F10" i="157"/>
  <c r="K10" i="157" s="1"/>
  <c r="R39" i="152"/>
  <c r="S39" i="152" s="1"/>
  <c r="K21" i="152"/>
  <c r="D23" i="110" s="1"/>
  <c r="K17" i="152"/>
  <c r="R43" i="152"/>
  <c r="S43" i="152" s="1"/>
  <c r="K9" i="152"/>
  <c r="R22" i="153"/>
  <c r="S22" i="153" s="1"/>
  <c r="R18" i="153"/>
  <c r="S18" i="153" s="1"/>
  <c r="R29" i="153"/>
  <c r="S29" i="153" s="1"/>
  <c r="R24" i="153"/>
  <c r="S24" i="153" s="1"/>
  <c r="R30" i="152"/>
  <c r="S30" i="152" s="1"/>
  <c r="R49" i="153"/>
  <c r="S49" i="153" s="1"/>
  <c r="R29" i="152"/>
  <c r="S29" i="152" s="1"/>
  <c r="R22" i="152"/>
  <c r="S22" i="152" s="1"/>
  <c r="K62" i="153"/>
  <c r="K11" i="153"/>
  <c r="K10" i="152"/>
  <c r="K8" i="152"/>
  <c r="L13" i="151"/>
  <c r="E15" i="110"/>
  <c r="L45" i="151"/>
  <c r="E47" i="110"/>
  <c r="AD47" i="129"/>
  <c r="AD13" i="129" s="1"/>
  <c r="K59" i="152"/>
  <c r="K13" i="153"/>
  <c r="K40" i="152"/>
  <c r="K12" i="152"/>
  <c r="L9" i="151"/>
  <c r="E11" i="110"/>
  <c r="K7" i="151"/>
  <c r="E12" i="110"/>
  <c r="L10" i="151"/>
  <c r="F59" i="157"/>
  <c r="F53" i="157"/>
  <c r="K53" i="157" s="1"/>
  <c r="F13" i="157"/>
  <c r="R25" i="152"/>
  <c r="S25" i="152" s="1"/>
  <c r="K45" i="153"/>
  <c r="R55" i="152"/>
  <c r="S55" i="152" s="1"/>
  <c r="R46" i="151"/>
  <c r="S46" i="151" s="1"/>
  <c r="R22" i="151"/>
  <c r="S22" i="151" s="1"/>
  <c r="R44" i="152"/>
  <c r="S44" i="152" s="1"/>
  <c r="R34" i="153"/>
  <c r="S34" i="153" s="1"/>
  <c r="R63" i="152"/>
  <c r="S63" i="152" s="1"/>
  <c r="K53" i="152"/>
  <c r="D55" i="110" s="1"/>
  <c r="R50" i="153"/>
  <c r="S50" i="153" s="1"/>
  <c r="K53" i="153"/>
  <c r="K40" i="153"/>
  <c r="L40" i="153" s="1"/>
  <c r="I67" i="151"/>
  <c r="I69" i="151" s="1"/>
  <c r="R30" i="153"/>
  <c r="S30" i="153" s="1"/>
  <c r="R49" i="152"/>
  <c r="S49" i="152" s="1"/>
  <c r="R56" i="152"/>
  <c r="S56" i="152" s="1"/>
  <c r="R42" i="152"/>
  <c r="S42" i="152" s="1"/>
  <c r="R54" i="151"/>
  <c r="S54" i="151" s="1"/>
  <c r="J47" i="129"/>
  <c r="J13" i="129" s="1"/>
  <c r="C48" i="129"/>
  <c r="M41" i="129"/>
  <c r="N41" i="129" s="1"/>
  <c r="J27" i="129"/>
  <c r="J23" i="129" s="1"/>
  <c r="J9" i="129" s="1"/>
  <c r="C27" i="110"/>
  <c r="L25" i="153"/>
  <c r="M57" i="129"/>
  <c r="N57" i="129" s="1"/>
  <c r="X65" i="129"/>
  <c r="W64" i="129"/>
  <c r="W16" i="129" s="1"/>
  <c r="M20" i="129"/>
  <c r="N20" i="129" s="1"/>
  <c r="W48" i="129"/>
  <c r="C67" i="129"/>
  <c r="D67" i="129" s="1"/>
  <c r="W42" i="129"/>
  <c r="W12" i="129" s="1"/>
  <c r="X43" i="129"/>
  <c r="D6" i="121"/>
  <c r="D6" i="125" s="1"/>
  <c r="D7" i="125"/>
  <c r="H16" i="153"/>
  <c r="C18" i="126"/>
  <c r="C20" i="129"/>
  <c r="J19" i="129"/>
  <c r="J8" i="129" s="1"/>
  <c r="C43" i="110"/>
  <c r="J43" i="129"/>
  <c r="L41" i="153"/>
  <c r="M65" i="129"/>
  <c r="N65" i="129" s="1"/>
  <c r="M31" i="129"/>
  <c r="N31" i="129" s="1"/>
  <c r="M25" i="129"/>
  <c r="N25" i="129" s="1"/>
  <c r="D56" i="129"/>
  <c r="H4" i="151"/>
  <c r="L41" i="152"/>
  <c r="T43" i="129"/>
  <c r="D43" i="110"/>
  <c r="N67" i="129"/>
  <c r="C34" i="129"/>
  <c r="D34" i="129" s="1"/>
  <c r="C32" i="129"/>
  <c r="D32" i="129" s="1"/>
  <c r="J29" i="129"/>
  <c r="J10" i="129" s="1"/>
  <c r="C30" i="129"/>
  <c r="N26" i="129"/>
  <c r="D7" i="124"/>
  <c r="I16" i="152"/>
  <c r="D17" i="124"/>
  <c r="C46" i="129"/>
  <c r="D46" i="129" s="1"/>
  <c r="D36" i="110"/>
  <c r="L34" i="152"/>
  <c r="T36" i="129"/>
  <c r="C6" i="121"/>
  <c r="C6" i="125" s="1"/>
  <c r="C7" i="125"/>
  <c r="C24" i="129"/>
  <c r="C26" i="129"/>
  <c r="D26" i="129" s="1"/>
  <c r="M56" i="129"/>
  <c r="M32" i="129"/>
  <c r="N32" i="129" s="1"/>
  <c r="T30" i="129"/>
  <c r="L28" i="152"/>
  <c r="D30" i="110"/>
  <c r="M51" i="129"/>
  <c r="N51" i="129" s="1"/>
  <c r="O7" i="93"/>
  <c r="O6" i="93" s="1"/>
  <c r="O6" i="127" s="1"/>
  <c r="O5" i="127" s="1"/>
  <c r="O72" i="127" s="1"/>
  <c r="Q114" i="121"/>
  <c r="Q114" i="124" s="1"/>
  <c r="M27" i="129"/>
  <c r="N27" i="129" s="1"/>
  <c r="N21" i="129"/>
  <c r="W61" i="129"/>
  <c r="W15" i="129" s="1"/>
  <c r="X62" i="129"/>
  <c r="W33" i="129"/>
  <c r="I16" i="153"/>
  <c r="C7" i="124"/>
  <c r="C17" i="124"/>
  <c r="W55" i="129"/>
  <c r="W14" i="129" s="1"/>
  <c r="M37" i="129"/>
  <c r="N37" i="129" s="1"/>
  <c r="C54" i="129"/>
  <c r="D54" i="129" s="1"/>
  <c r="K17" i="153"/>
  <c r="R17" i="151"/>
  <c r="S17" i="151" s="1"/>
  <c r="M46" i="129"/>
  <c r="N46" i="129" s="1"/>
  <c r="L60" i="153"/>
  <c r="C62" i="110"/>
  <c r="J62" i="129"/>
  <c r="C36" i="129"/>
  <c r="F16" i="151"/>
  <c r="H67" i="151"/>
  <c r="H69" i="151" s="1"/>
  <c r="M34" i="129"/>
  <c r="N34" i="129" s="1"/>
  <c r="C52" i="129"/>
  <c r="D52" i="129" s="1"/>
  <c r="F6" i="152"/>
  <c r="M28" i="129"/>
  <c r="N28" i="129" s="1"/>
  <c r="T62" i="129"/>
  <c r="D62" i="110"/>
  <c r="L60" i="152"/>
  <c r="W35" i="129"/>
  <c r="W11" i="129" s="1"/>
  <c r="Q121" i="121"/>
  <c r="Q121" i="124" s="1"/>
  <c r="V9" i="189"/>
  <c r="O81" i="121" s="1"/>
  <c r="O81" i="124" s="1"/>
  <c r="X11" i="126" s="1"/>
  <c r="O18" i="127"/>
  <c r="C59" i="129"/>
  <c r="D59" i="129" s="1"/>
  <c r="M45" i="129"/>
  <c r="N45" i="129" s="1"/>
  <c r="X55" i="129"/>
  <c r="X14" i="129" s="1"/>
  <c r="W24" i="129"/>
  <c r="H16" i="152"/>
  <c r="D18" i="126"/>
  <c r="T48" i="129"/>
  <c r="L46" i="152"/>
  <c r="D48" i="110"/>
  <c r="C31" i="129"/>
  <c r="D31" i="129" s="1"/>
  <c r="M39" i="129"/>
  <c r="N39" i="129" s="1"/>
  <c r="M49" i="129"/>
  <c r="N49" i="129" s="1"/>
  <c r="C51" i="129"/>
  <c r="D51" i="129" s="1"/>
  <c r="C45" i="129"/>
  <c r="D45" i="129" s="1"/>
  <c r="L63" i="153"/>
  <c r="C65" i="110"/>
  <c r="J65" i="129"/>
  <c r="J55" i="129"/>
  <c r="J14" i="129" s="1"/>
  <c r="C39" i="110"/>
  <c r="J39" i="129"/>
  <c r="L37" i="153"/>
  <c r="X35" i="129"/>
  <c r="X11" i="129" s="1"/>
  <c r="D76" i="189"/>
  <c r="V7" i="189"/>
  <c r="O79" i="121" s="1"/>
  <c r="O79" i="124" s="1"/>
  <c r="X9" i="126" s="1"/>
  <c r="R97" i="121"/>
  <c r="R97" i="124" s="1"/>
  <c r="R104" i="121"/>
  <c r="R104" i="124" s="1"/>
  <c r="R61" i="127"/>
  <c r="L63" i="157"/>
  <c r="AX65" i="129"/>
  <c r="L21" i="134"/>
  <c r="AN23" i="129"/>
  <c r="AN9" i="129" s="1"/>
  <c r="L62" i="134"/>
  <c r="R62" i="134" s="1"/>
  <c r="S62" i="134" s="1"/>
  <c r="AN64" i="129"/>
  <c r="AN16" i="129" s="1"/>
  <c r="L40" i="134"/>
  <c r="AN42" i="129"/>
  <c r="AN12" i="129" s="1"/>
  <c r="L18" i="157"/>
  <c r="AX20" i="129"/>
  <c r="L41" i="157"/>
  <c r="AX43" i="129"/>
  <c r="AQ67" i="129"/>
  <c r="AR67" i="129" s="1"/>
  <c r="AG24" i="129"/>
  <c r="AQ21" i="129"/>
  <c r="AR21" i="129" s="1"/>
  <c r="AQ59" i="129"/>
  <c r="AR59" i="129" s="1"/>
  <c r="AQ50" i="129"/>
  <c r="AR50" i="129" s="1"/>
  <c r="AQ52" i="129"/>
  <c r="AR52" i="129" s="1"/>
  <c r="AQ49" i="129"/>
  <c r="AR49" i="129" s="1"/>
  <c r="AQ66" i="129"/>
  <c r="AR66" i="129" s="1"/>
  <c r="AQ44" i="129"/>
  <c r="AR44" i="129" s="1"/>
  <c r="L28" i="157"/>
  <c r="AX30" i="129"/>
  <c r="L59" i="134"/>
  <c r="AN61" i="129"/>
  <c r="AN15" i="129" s="1"/>
  <c r="L17" i="134"/>
  <c r="R17" i="134" s="1"/>
  <c r="S17" i="134" s="1"/>
  <c r="AN19" i="129"/>
  <c r="AN8" i="129" s="1"/>
  <c r="L34" i="157"/>
  <c r="AX36" i="129"/>
  <c r="L60" i="157"/>
  <c r="AX62" i="129"/>
  <c r="L22" i="157"/>
  <c r="AX24" i="129"/>
  <c r="L27" i="134"/>
  <c r="R27" i="134" s="1"/>
  <c r="S27" i="134" s="1"/>
  <c r="AN29" i="129"/>
  <c r="AN10" i="129" s="1"/>
  <c r="AQ51" i="129"/>
  <c r="AR51" i="129" s="1"/>
  <c r="AQ46" i="129"/>
  <c r="AR46" i="129" s="1"/>
  <c r="AG43" i="129"/>
  <c r="AQ27" i="129"/>
  <c r="AR27" i="129" s="1"/>
  <c r="AQ22" i="129"/>
  <c r="AR22" i="129" s="1"/>
  <c r="AQ54" i="129"/>
  <c r="AR54" i="129" s="1"/>
  <c r="AQ57" i="129"/>
  <c r="AR57" i="129" s="1"/>
  <c r="AG20" i="129"/>
  <c r="AQ60" i="129"/>
  <c r="AR60" i="129" s="1"/>
  <c r="AQ32" i="129"/>
  <c r="AR32" i="129" s="1"/>
  <c r="AQ28" i="129"/>
  <c r="AR28" i="129" s="1"/>
  <c r="AQ63" i="129"/>
  <c r="AR63" i="129" s="1"/>
  <c r="AQ53" i="129"/>
  <c r="AR53" i="129" s="1"/>
  <c r="AG48" i="129"/>
  <c r="AQ38" i="129"/>
  <c r="AR38" i="129" s="1"/>
  <c r="AQ25" i="129"/>
  <c r="AR25" i="129" s="1"/>
  <c r="AG36" i="129"/>
  <c r="L45" i="134"/>
  <c r="AN47" i="129"/>
  <c r="AN13" i="129" s="1"/>
  <c r="L33" i="134"/>
  <c r="R33" i="134" s="1"/>
  <c r="S33" i="134" s="1"/>
  <c r="AN35" i="129"/>
  <c r="AN11" i="129" s="1"/>
  <c r="O89" i="121"/>
  <c r="O89" i="124" s="1"/>
  <c r="X19" i="126" s="1"/>
  <c r="R130" i="121"/>
  <c r="R130" i="124" s="1"/>
  <c r="R126" i="121"/>
  <c r="R126" i="124" s="1"/>
  <c r="R127" i="121"/>
  <c r="R127" i="124" s="1"/>
  <c r="D131" i="192"/>
  <c r="R113" i="121"/>
  <c r="R113" i="124" s="1"/>
  <c r="R135" i="121"/>
  <c r="R135" i="124" s="1"/>
  <c r="R107" i="121"/>
  <c r="R107" i="124" s="1"/>
  <c r="R101" i="121"/>
  <c r="R101" i="124" s="1"/>
  <c r="R92" i="121"/>
  <c r="R92" i="124" s="1"/>
  <c r="R109" i="121"/>
  <c r="R109" i="124" s="1"/>
  <c r="S6" i="120"/>
  <c r="T5" i="194"/>
  <c r="R137" i="121"/>
  <c r="R137" i="124" s="1"/>
  <c r="R110" i="121"/>
  <c r="R110" i="124" s="1"/>
  <c r="R116" i="121"/>
  <c r="R116" i="124" s="1"/>
  <c r="U26" i="191"/>
  <c r="D124" i="192"/>
  <c r="D90" i="192"/>
  <c r="D96" i="192"/>
  <c r="D100" i="192"/>
  <c r="D97" i="192"/>
  <c r="U20" i="191"/>
  <c r="R95" i="121"/>
  <c r="R95" i="124" s="1"/>
  <c r="R90" i="121"/>
  <c r="R90" i="124" s="1"/>
  <c r="U28" i="191"/>
  <c r="D94" i="192"/>
  <c r="Q10" i="93"/>
  <c r="Q10" i="127" s="1"/>
  <c r="U43" i="191"/>
  <c r="Q47" i="127"/>
  <c r="Q23" i="127"/>
  <c r="R111" i="121"/>
  <c r="R111" i="124" s="1"/>
  <c r="U24" i="191"/>
  <c r="R106" i="121"/>
  <c r="R106" i="124" s="1"/>
  <c r="U64" i="191"/>
  <c r="U41" i="191"/>
  <c r="D107" i="192"/>
  <c r="U50" i="191"/>
  <c r="U55" i="191"/>
  <c r="U51" i="191"/>
  <c r="U18" i="191"/>
  <c r="U31" i="191"/>
  <c r="D113" i="192"/>
  <c r="U47" i="191"/>
  <c r="U60" i="191"/>
  <c r="U19" i="191"/>
  <c r="U29" i="191"/>
  <c r="Q8" i="93"/>
  <c r="Q19" i="127"/>
  <c r="U58" i="191"/>
  <c r="U65" i="191"/>
  <c r="D123" i="192"/>
  <c r="U57" i="191"/>
  <c r="U54" i="191"/>
  <c r="U34" i="191"/>
  <c r="D120" i="192"/>
  <c r="U22" i="191"/>
  <c r="U63" i="191"/>
  <c r="U25" i="191"/>
  <c r="U52" i="191"/>
  <c r="U39" i="191"/>
  <c r="Q15" i="93"/>
  <c r="Q15" i="127" s="1"/>
  <c r="Q61" i="127"/>
  <c r="U48" i="191"/>
  <c r="U46" i="191"/>
  <c r="U44" i="191"/>
  <c r="U30" i="191"/>
  <c r="D129" i="192"/>
  <c r="U35" i="191"/>
  <c r="U36" i="191"/>
  <c r="Q16" i="93"/>
  <c r="Q16" i="127" s="1"/>
  <c r="Q64" i="127"/>
  <c r="U61" i="191"/>
  <c r="D127" i="192"/>
  <c r="Q12" i="93"/>
  <c r="Q12" i="127" s="1"/>
  <c r="Q42" i="127"/>
  <c r="U38" i="191"/>
  <c r="D104" i="192"/>
  <c r="U56" i="191"/>
  <c r="D122" i="192"/>
  <c r="Q14" i="93"/>
  <c r="Q14" i="127" s="1"/>
  <c r="Q55" i="127"/>
  <c r="Q35" i="127"/>
  <c r="Q11" i="93"/>
  <c r="D103" i="192"/>
  <c r="U37" i="191"/>
  <c r="T4" i="192"/>
  <c r="R57" i="157"/>
  <c r="S57" i="157" s="1"/>
  <c r="R37" i="157"/>
  <c r="S37" i="157" s="1"/>
  <c r="I18" i="124"/>
  <c r="I17" i="124" s="1"/>
  <c r="R31" i="157"/>
  <c r="S31" i="157" s="1"/>
  <c r="F6" i="125"/>
  <c r="F7" i="125"/>
  <c r="O82" i="121"/>
  <c r="O82" i="124" s="1"/>
  <c r="X12" i="126" s="1"/>
  <c r="F14" i="110"/>
  <c r="L12" i="134"/>
  <c r="R49" i="157"/>
  <c r="S49" i="157" s="1"/>
  <c r="R19" i="157"/>
  <c r="S19" i="157" s="1"/>
  <c r="G30" i="110"/>
  <c r="R48" i="157"/>
  <c r="S48" i="157" s="1"/>
  <c r="R30" i="157"/>
  <c r="S30" i="157" s="1"/>
  <c r="R52" i="157"/>
  <c r="S52" i="157" s="1"/>
  <c r="R29" i="157"/>
  <c r="S29" i="157" s="1"/>
  <c r="R61" i="157"/>
  <c r="S61" i="157" s="1"/>
  <c r="R18" i="134"/>
  <c r="S18" i="134" s="1"/>
  <c r="F9" i="110"/>
  <c r="L7" i="134"/>
  <c r="R54" i="134"/>
  <c r="S54" i="134" s="1"/>
  <c r="L13" i="134"/>
  <c r="F15" i="110"/>
  <c r="R22" i="134"/>
  <c r="S22" i="134" s="1"/>
  <c r="F10" i="110"/>
  <c r="L8" i="134"/>
  <c r="L76" i="121"/>
  <c r="L76" i="124" s="1"/>
  <c r="K51" i="124"/>
  <c r="K54" i="124"/>
  <c r="K30" i="124"/>
  <c r="K22" i="124"/>
  <c r="K41" i="124"/>
  <c r="K38" i="124"/>
  <c r="K45" i="124"/>
  <c r="K28" i="124"/>
  <c r="K27" i="124"/>
  <c r="K49" i="124"/>
  <c r="K48" i="124"/>
  <c r="K66" i="124"/>
  <c r="K58" i="124"/>
  <c r="K67" i="124"/>
  <c r="K32" i="124"/>
  <c r="K53" i="124"/>
  <c r="K31" i="124"/>
  <c r="K33" i="124"/>
  <c r="K63" i="124"/>
  <c r="K62" i="124"/>
  <c r="K21" i="124"/>
  <c r="K24" i="124"/>
  <c r="K50" i="124"/>
  <c r="K26" i="124"/>
  <c r="K40" i="124"/>
  <c r="K60" i="124"/>
  <c r="K46" i="124"/>
  <c r="K39" i="124"/>
  <c r="K59" i="124"/>
  <c r="K37" i="124"/>
  <c r="K36" i="124"/>
  <c r="K43" i="124"/>
  <c r="K52" i="124"/>
  <c r="K34" i="124"/>
  <c r="K25" i="124"/>
  <c r="K20" i="124"/>
  <c r="K56" i="124"/>
  <c r="K57" i="124"/>
  <c r="K44" i="124"/>
  <c r="K65" i="124"/>
  <c r="G65" i="110"/>
  <c r="R35" i="157"/>
  <c r="S35" i="157" s="1"/>
  <c r="L14" i="134"/>
  <c r="F16" i="110"/>
  <c r="H16" i="134"/>
  <c r="F18" i="126"/>
  <c r="R34" i="134"/>
  <c r="S34" i="134" s="1"/>
  <c r="I14" i="121"/>
  <c r="I14" i="125" s="1"/>
  <c r="I14" i="126" s="1"/>
  <c r="I55" i="125"/>
  <c r="I55" i="126" s="1"/>
  <c r="I30" i="126"/>
  <c r="I24" i="126"/>
  <c r="I19" i="125"/>
  <c r="I19" i="126" s="1"/>
  <c r="I8" i="121"/>
  <c r="I48" i="126"/>
  <c r="I62" i="126"/>
  <c r="G7" i="121"/>
  <c r="G18" i="125"/>
  <c r="F6" i="124"/>
  <c r="I4" i="134" s="1"/>
  <c r="I5" i="134"/>
  <c r="J60" i="126"/>
  <c r="J25" i="126"/>
  <c r="J38" i="126"/>
  <c r="J33" i="126"/>
  <c r="J22" i="126"/>
  <c r="J63" i="126"/>
  <c r="J39" i="126"/>
  <c r="J26" i="126"/>
  <c r="J58" i="126"/>
  <c r="J32" i="126"/>
  <c r="J21" i="126"/>
  <c r="J20" i="125"/>
  <c r="J19" i="121"/>
  <c r="J27" i="126"/>
  <c r="J23" i="121"/>
  <c r="J24" i="125"/>
  <c r="J54" i="126"/>
  <c r="J55" i="121"/>
  <c r="J56" i="125"/>
  <c r="J35" i="121"/>
  <c r="J36" i="125"/>
  <c r="J44" i="126"/>
  <c r="J47" i="121"/>
  <c r="J48" i="125"/>
  <c r="J34" i="126"/>
  <c r="O80" i="121"/>
  <c r="O80" i="124" s="1"/>
  <c r="X10" i="126" s="1"/>
  <c r="H8" i="125"/>
  <c r="H8" i="126" s="1"/>
  <c r="H18" i="121"/>
  <c r="H17" i="121" s="1"/>
  <c r="R50" i="157"/>
  <c r="S50" i="157" s="1"/>
  <c r="R20" i="157"/>
  <c r="S20" i="157" s="1"/>
  <c r="R32" i="157"/>
  <c r="S32" i="157" s="1"/>
  <c r="F42" i="110"/>
  <c r="F19" i="110"/>
  <c r="G20" i="110"/>
  <c r="R64" i="157"/>
  <c r="S64" i="157" s="1"/>
  <c r="R23" i="157"/>
  <c r="S23" i="157" s="1"/>
  <c r="G43" i="110"/>
  <c r="R28" i="134"/>
  <c r="S28" i="134" s="1"/>
  <c r="I12" i="121"/>
  <c r="I12" i="125" s="1"/>
  <c r="I12" i="126" s="1"/>
  <c r="I42" i="125"/>
  <c r="I42" i="126" s="1"/>
  <c r="I65" i="126"/>
  <c r="I36" i="126"/>
  <c r="H7" i="124"/>
  <c r="H6" i="124" s="1"/>
  <c r="G36" i="110"/>
  <c r="G24" i="110"/>
  <c r="J35" i="124"/>
  <c r="J11" i="124" s="1"/>
  <c r="J29" i="124"/>
  <c r="J10" i="124" s="1"/>
  <c r="J64" i="124"/>
  <c r="J16" i="124" s="1"/>
  <c r="J61" i="124"/>
  <c r="J15" i="124" s="1"/>
  <c r="J55" i="124"/>
  <c r="J14" i="124" s="1"/>
  <c r="J19" i="124"/>
  <c r="J8" i="124" s="1"/>
  <c r="J23" i="124"/>
  <c r="J9" i="124" s="1"/>
  <c r="F29" i="110"/>
  <c r="R25" i="157"/>
  <c r="S25" i="157" s="1"/>
  <c r="R58" i="157"/>
  <c r="S58" i="157" s="1"/>
  <c r="R43" i="157"/>
  <c r="S43" i="157" s="1"/>
  <c r="R36" i="157"/>
  <c r="S36" i="157" s="1"/>
  <c r="R26" i="157"/>
  <c r="S26" i="157" s="1"/>
  <c r="R63" i="134"/>
  <c r="S63" i="134" s="1"/>
  <c r="L9" i="134"/>
  <c r="F11" i="110"/>
  <c r="K54" i="121"/>
  <c r="K54" i="125" s="1"/>
  <c r="K51" i="121"/>
  <c r="K51" i="125" s="1"/>
  <c r="K58" i="121"/>
  <c r="K58" i="125" s="1"/>
  <c r="K37" i="121"/>
  <c r="K37" i="125" s="1"/>
  <c r="K36" i="121"/>
  <c r="K53" i="121"/>
  <c r="K53" i="125" s="1"/>
  <c r="K43" i="121"/>
  <c r="K34" i="121"/>
  <c r="K34" i="125" s="1"/>
  <c r="K25" i="121"/>
  <c r="K25" i="125" s="1"/>
  <c r="K20" i="121"/>
  <c r="K44" i="121"/>
  <c r="K44" i="125" s="1"/>
  <c r="K63" i="121"/>
  <c r="K63" i="125" s="1"/>
  <c r="K57" i="121"/>
  <c r="K57" i="125" s="1"/>
  <c r="K21" i="121"/>
  <c r="K21" i="125" s="1"/>
  <c r="K22" i="121"/>
  <c r="K22" i="125" s="1"/>
  <c r="K26" i="121"/>
  <c r="K26" i="125" s="1"/>
  <c r="K40" i="121"/>
  <c r="K40" i="125" s="1"/>
  <c r="K49" i="121"/>
  <c r="K49" i="125" s="1"/>
  <c r="K59" i="121"/>
  <c r="K59" i="125" s="1"/>
  <c r="K50" i="121"/>
  <c r="K50" i="125" s="1"/>
  <c r="K24" i="121"/>
  <c r="K30" i="121"/>
  <c r="K67" i="121"/>
  <c r="K67" i="125" s="1"/>
  <c r="K32" i="121"/>
  <c r="K32" i="125" s="1"/>
  <c r="K52" i="121"/>
  <c r="K52" i="125" s="1"/>
  <c r="K31" i="121"/>
  <c r="K31" i="125" s="1"/>
  <c r="K33" i="121"/>
  <c r="K33" i="125" s="1"/>
  <c r="K56" i="121"/>
  <c r="K62" i="121"/>
  <c r="K65" i="121"/>
  <c r="K41" i="121"/>
  <c r="K41" i="125" s="1"/>
  <c r="K38" i="121"/>
  <c r="K38" i="125" s="1"/>
  <c r="K45" i="121"/>
  <c r="K45" i="125" s="1"/>
  <c r="K28" i="121"/>
  <c r="K28" i="125" s="1"/>
  <c r="K60" i="121"/>
  <c r="K60" i="125" s="1"/>
  <c r="K46" i="121"/>
  <c r="K46" i="125" s="1"/>
  <c r="K39" i="121"/>
  <c r="K39" i="125" s="1"/>
  <c r="K48" i="121"/>
  <c r="K66" i="121"/>
  <c r="K66" i="125" s="1"/>
  <c r="K27" i="121"/>
  <c r="K27" i="125" s="1"/>
  <c r="M77" i="121"/>
  <c r="M77" i="124" s="1"/>
  <c r="V7" i="126" s="1"/>
  <c r="O84" i="121"/>
  <c r="O84" i="124" s="1"/>
  <c r="X14" i="126" s="1"/>
  <c r="O78" i="121"/>
  <c r="O78" i="124" s="1"/>
  <c r="X8" i="126" s="1"/>
  <c r="I56" i="126"/>
  <c r="I29" i="125"/>
  <c r="I29" i="126" s="1"/>
  <c r="I10" i="121"/>
  <c r="I10" i="125" s="1"/>
  <c r="I10" i="126" s="1"/>
  <c r="I23" i="125"/>
  <c r="I23" i="126" s="1"/>
  <c r="I9" i="121"/>
  <c r="I9" i="125" s="1"/>
  <c r="I9" i="126" s="1"/>
  <c r="I20" i="126"/>
  <c r="I47" i="125"/>
  <c r="I47" i="126" s="1"/>
  <c r="I13" i="121"/>
  <c r="I13" i="125" s="1"/>
  <c r="I13" i="126" s="1"/>
  <c r="I15" i="121"/>
  <c r="I15" i="125" s="1"/>
  <c r="I15" i="126" s="1"/>
  <c r="I61" i="125"/>
  <c r="I61" i="126" s="1"/>
  <c r="H6" i="157"/>
  <c r="G8" i="126"/>
  <c r="J62" i="125"/>
  <c r="J61" i="121"/>
  <c r="J66" i="126"/>
  <c r="J41" i="126"/>
  <c r="J45" i="126"/>
  <c r="J31" i="126"/>
  <c r="J52" i="126"/>
  <c r="J28" i="126"/>
  <c r="J40" i="126"/>
  <c r="J67" i="126"/>
  <c r="J59" i="126"/>
  <c r="J30" i="125"/>
  <c r="J29" i="121"/>
  <c r="J57" i="126"/>
  <c r="J43" i="125"/>
  <c r="J42" i="121"/>
  <c r="J49" i="126"/>
  <c r="J50" i="126"/>
  <c r="J46" i="126"/>
  <c r="J53" i="126"/>
  <c r="J37" i="126"/>
  <c r="J65" i="125"/>
  <c r="J64" i="121"/>
  <c r="J51" i="126"/>
  <c r="F47" i="110"/>
  <c r="F23" i="110"/>
  <c r="F61" i="110"/>
  <c r="R39" i="157"/>
  <c r="S39" i="157" s="1"/>
  <c r="R44" i="157"/>
  <c r="S44" i="157" s="1"/>
  <c r="F64" i="110"/>
  <c r="R47" i="157"/>
  <c r="S47" i="157" s="1"/>
  <c r="R56" i="157"/>
  <c r="S56" i="157" s="1"/>
  <c r="G62" i="110"/>
  <c r="R51" i="157"/>
  <c r="S51" i="157" s="1"/>
  <c r="R41" i="134"/>
  <c r="S41" i="134" s="1"/>
  <c r="O85" i="121"/>
  <c r="O85" i="124" s="1"/>
  <c r="X15" i="126" s="1"/>
  <c r="R46" i="134"/>
  <c r="S46" i="134" s="1"/>
  <c r="R42" i="157"/>
  <c r="S42" i="157" s="1"/>
  <c r="I16" i="157"/>
  <c r="G7" i="124"/>
  <c r="I43" i="126"/>
  <c r="I16" i="121"/>
  <c r="I16" i="125" s="1"/>
  <c r="I16" i="126" s="1"/>
  <c r="I64" i="125"/>
  <c r="I64" i="126" s="1"/>
  <c r="I35" i="125"/>
  <c r="I35" i="126" s="1"/>
  <c r="I11" i="121"/>
  <c r="I11" i="125" s="1"/>
  <c r="I11" i="126" s="1"/>
  <c r="F35" i="110"/>
  <c r="J47" i="124"/>
  <c r="J13" i="124" s="1"/>
  <c r="J42" i="124"/>
  <c r="J12" i="124" s="1"/>
  <c r="J132" i="200" l="1"/>
  <c r="J100" i="200"/>
  <c r="M16" i="213"/>
  <c r="HH7" i="129"/>
  <c r="HH6" i="129" s="1"/>
  <c r="W5" i="130"/>
  <c r="X5" i="131"/>
  <c r="X5" i="132" s="1"/>
  <c r="AL34" i="114"/>
  <c r="AL22" i="114"/>
  <c r="AL6" i="114"/>
  <c r="T4" i="212"/>
  <c r="T4" i="213"/>
  <c r="AL10" i="114"/>
  <c r="AL42" i="114"/>
  <c r="AL48" i="114"/>
  <c r="AL4" i="114" s="1"/>
  <c r="V22" i="93" s="1"/>
  <c r="AM34" i="114"/>
  <c r="AM48" i="114"/>
  <c r="AL53" i="114"/>
  <c r="AL51" i="114" s="1"/>
  <c r="AM113" i="114"/>
  <c r="AM53" i="114" s="1"/>
  <c r="AM42" i="114"/>
  <c r="AM22" i="114"/>
  <c r="AM6" i="114"/>
  <c r="AM10" i="114"/>
  <c r="AM16" i="114"/>
  <c r="AL30" i="114"/>
  <c r="AL29" i="114" s="1"/>
  <c r="AM90" i="114"/>
  <c r="AM30" i="114" s="1"/>
  <c r="S20" i="127"/>
  <c r="D116" i="192"/>
  <c r="S37" i="127"/>
  <c r="S30" i="127"/>
  <c r="GP7" i="129"/>
  <c r="GP6" i="129" s="1"/>
  <c r="W6" i="131"/>
  <c r="W6" i="132" s="1"/>
  <c r="GX6" i="129"/>
  <c r="W5" i="131" s="1"/>
  <c r="W5" i="132" s="1"/>
  <c r="GW7" i="129"/>
  <c r="GW6" i="129" s="1"/>
  <c r="S67" i="127"/>
  <c r="D130" i="192"/>
  <c r="S55" i="93"/>
  <c r="S55" i="127" s="1"/>
  <c r="D117" i="194"/>
  <c r="D88" i="192"/>
  <c r="S40" i="127"/>
  <c r="S31" i="127"/>
  <c r="D88" i="194"/>
  <c r="S62" i="127"/>
  <c r="D115" i="194"/>
  <c r="D122" i="194"/>
  <c r="D107" i="194"/>
  <c r="S41" i="127"/>
  <c r="S39" i="127"/>
  <c r="D112" i="192"/>
  <c r="D121" i="194"/>
  <c r="D130" i="194"/>
  <c r="D85" i="194"/>
  <c r="D102" i="192"/>
  <c r="S19" i="93"/>
  <c r="S19" i="127" s="1"/>
  <c r="S29" i="93"/>
  <c r="S10" i="93" s="1"/>
  <c r="S10" i="127" s="1"/>
  <c r="S61" i="93"/>
  <c r="S15" i="93" s="1"/>
  <c r="S15" i="127" s="1"/>
  <c r="T36" i="93"/>
  <c r="T22" i="93"/>
  <c r="T22" i="127" s="1"/>
  <c r="D109" i="194"/>
  <c r="T44" i="93"/>
  <c r="T38" i="93"/>
  <c r="T26" i="93"/>
  <c r="T59" i="93"/>
  <c r="T57" i="93"/>
  <c r="T57" i="127" s="1"/>
  <c r="T66" i="93"/>
  <c r="D127" i="194"/>
  <c r="S52" i="127"/>
  <c r="T45" i="93"/>
  <c r="T33" i="93"/>
  <c r="T33" i="127" s="1"/>
  <c r="S22" i="127"/>
  <c r="D92" i="194"/>
  <c r="T65" i="93"/>
  <c r="S42" i="93"/>
  <c r="S42" i="127" s="1"/>
  <c r="S23" i="93"/>
  <c r="S9" i="93" s="1"/>
  <c r="S9" i="127" s="1"/>
  <c r="S64" i="93"/>
  <c r="S16" i="93" s="1"/>
  <c r="S16" i="127" s="1"/>
  <c r="S65" i="127"/>
  <c r="S47" i="93"/>
  <c r="S47" i="127" s="1"/>
  <c r="D91" i="194"/>
  <c r="T27" i="93"/>
  <c r="T27" i="127" s="1"/>
  <c r="T41" i="93"/>
  <c r="S96" i="121"/>
  <c r="S96" i="124" s="1"/>
  <c r="T58" i="93"/>
  <c r="T58" i="127" s="1"/>
  <c r="T21" i="93"/>
  <c r="T32" i="93"/>
  <c r="S54" i="127"/>
  <c r="D96" i="194"/>
  <c r="T34" i="93"/>
  <c r="T56" i="93"/>
  <c r="T37" i="93"/>
  <c r="T37" i="127" s="1"/>
  <c r="S38" i="127"/>
  <c r="T51" i="93"/>
  <c r="T51" i="127" s="1"/>
  <c r="T43" i="93"/>
  <c r="T39" i="93"/>
  <c r="S25" i="127"/>
  <c r="D110" i="194"/>
  <c r="T52" i="93"/>
  <c r="T62" i="93"/>
  <c r="T31" i="93"/>
  <c r="T24" i="93"/>
  <c r="D98" i="194"/>
  <c r="T50" i="93"/>
  <c r="T50" i="127" s="1"/>
  <c r="S32" i="127"/>
  <c r="T54" i="93"/>
  <c r="T20" i="93"/>
  <c r="T30" i="93"/>
  <c r="T30" i="127" s="1"/>
  <c r="T48" i="93"/>
  <c r="T46" i="93"/>
  <c r="T49" i="93"/>
  <c r="S33" i="127"/>
  <c r="T60" i="93"/>
  <c r="T60" i="127" s="1"/>
  <c r="T25" i="93"/>
  <c r="T25" i="127" s="1"/>
  <c r="T67" i="93"/>
  <c r="T67" i="127" s="1"/>
  <c r="T53" i="93"/>
  <c r="S120" i="121"/>
  <c r="S120" i="124" s="1"/>
  <c r="T63" i="93"/>
  <c r="T28" i="93"/>
  <c r="D108" i="194"/>
  <c r="D124" i="194"/>
  <c r="S50" i="127"/>
  <c r="S60" i="127"/>
  <c r="R89" i="121"/>
  <c r="R89" i="124" s="1"/>
  <c r="S35" i="93"/>
  <c r="S11" i="93" s="1"/>
  <c r="S11" i="127" s="1"/>
  <c r="R42" i="127"/>
  <c r="S36" i="127"/>
  <c r="S44" i="127"/>
  <c r="R35" i="127"/>
  <c r="D109" i="192"/>
  <c r="R112" i="121"/>
  <c r="R112" i="124" s="1"/>
  <c r="D92" i="192"/>
  <c r="D114" i="192"/>
  <c r="V16" i="189"/>
  <c r="O88" i="121" s="1"/>
  <c r="O88" i="124" s="1"/>
  <c r="X18" i="126" s="1"/>
  <c r="V5" i="189"/>
  <c r="R99" i="121"/>
  <c r="R99" i="124" s="1"/>
  <c r="V5" i="188"/>
  <c r="N77" i="121" s="1"/>
  <c r="N77" i="124" s="1"/>
  <c r="W7" i="126" s="1"/>
  <c r="D71" i="188"/>
  <c r="D83" i="189"/>
  <c r="D126" i="192"/>
  <c r="D117" i="192"/>
  <c r="R10" i="93"/>
  <c r="R10" i="127" s="1"/>
  <c r="R47" i="127"/>
  <c r="R64" i="127"/>
  <c r="R8" i="93"/>
  <c r="R8" i="127" s="1"/>
  <c r="D85" i="192"/>
  <c r="D118" i="192"/>
  <c r="R14" i="93"/>
  <c r="R14" i="127" s="1"/>
  <c r="R9" i="93"/>
  <c r="R9" i="127" s="1"/>
  <c r="AK4" i="206"/>
  <c r="AJ4" i="206"/>
  <c r="AK4" i="114"/>
  <c r="U45" i="93" s="1"/>
  <c r="U27" i="191"/>
  <c r="Q99" i="121" s="1"/>
  <c r="Q99" i="124" s="1"/>
  <c r="T4" i="207"/>
  <c r="T4" i="211"/>
  <c r="I5" i="151"/>
  <c r="Q8" i="127"/>
  <c r="Q18" i="93"/>
  <c r="Q17" i="93" s="1"/>
  <c r="D95" i="194"/>
  <c r="D102" i="194"/>
  <c r="E7" i="126"/>
  <c r="D104" i="205"/>
  <c r="T40" i="127"/>
  <c r="D97" i="194"/>
  <c r="D84" i="194"/>
  <c r="D86" i="194"/>
  <c r="S98" i="121"/>
  <c r="S98" i="124" s="1"/>
  <c r="H5" i="151"/>
  <c r="D100" i="194"/>
  <c r="R134" i="121"/>
  <c r="R134" i="124" s="1"/>
  <c r="S95" i="121"/>
  <c r="S95" i="124" s="1"/>
  <c r="S103" i="121"/>
  <c r="S103" i="124" s="1"/>
  <c r="D64" i="110"/>
  <c r="D113" i="194"/>
  <c r="S115" i="121"/>
  <c r="S115" i="124" s="1"/>
  <c r="S122" i="121"/>
  <c r="S122" i="124" s="1"/>
  <c r="S104" i="121"/>
  <c r="S104" i="124" s="1"/>
  <c r="S102" i="121"/>
  <c r="S102" i="124" s="1"/>
  <c r="S106" i="121"/>
  <c r="S106" i="124" s="1"/>
  <c r="S116" i="121"/>
  <c r="S116" i="124" s="1"/>
  <c r="S121" i="121"/>
  <c r="S121" i="124" s="1"/>
  <c r="S137" i="121"/>
  <c r="S137" i="124" s="1"/>
  <c r="S92" i="121"/>
  <c r="S92" i="124" s="1"/>
  <c r="S118" i="121"/>
  <c r="S118" i="124" s="1"/>
  <c r="S100" i="121"/>
  <c r="S100" i="124" s="1"/>
  <c r="S123" i="121"/>
  <c r="S123" i="124" s="1"/>
  <c r="S97" i="121"/>
  <c r="S97" i="124" s="1"/>
  <c r="S101" i="121"/>
  <c r="S101" i="124" s="1"/>
  <c r="S109" i="121"/>
  <c r="S109" i="124" s="1"/>
  <c r="S130" i="121"/>
  <c r="S130" i="124" s="1"/>
  <c r="S132" i="121"/>
  <c r="S132" i="124" s="1"/>
  <c r="S108" i="121"/>
  <c r="S108" i="124" s="1"/>
  <c r="S119" i="121"/>
  <c r="S119" i="124" s="1"/>
  <c r="S128" i="121"/>
  <c r="S128" i="124" s="1"/>
  <c r="S135" i="121"/>
  <c r="S135" i="124" s="1"/>
  <c r="S90" i="121"/>
  <c r="S90" i="124" s="1"/>
  <c r="S113" i="121"/>
  <c r="S113" i="124" s="1"/>
  <c r="C42" i="110"/>
  <c r="D89" i="194"/>
  <c r="D112" i="194"/>
  <c r="D129" i="194"/>
  <c r="T120" i="121"/>
  <c r="T100" i="121"/>
  <c r="T104" i="121"/>
  <c r="T98" i="121"/>
  <c r="T118" i="121"/>
  <c r="T107" i="121"/>
  <c r="T127" i="121"/>
  <c r="T137" i="121"/>
  <c r="T109" i="121"/>
  <c r="T4" i="194"/>
  <c r="T4" i="205"/>
  <c r="R117" i="121"/>
  <c r="R117" i="124" s="1"/>
  <c r="R131" i="121"/>
  <c r="R131" i="124" s="1"/>
  <c r="D103" i="194"/>
  <c r="R84" i="121"/>
  <c r="R84" i="124" s="1"/>
  <c r="R105" i="121"/>
  <c r="R105" i="124" s="1"/>
  <c r="R93" i="121"/>
  <c r="R93" i="124" s="1"/>
  <c r="R125" i="121"/>
  <c r="R125" i="124" s="1"/>
  <c r="T23" i="129"/>
  <c r="T9" i="129" s="1"/>
  <c r="D116" i="194"/>
  <c r="F55" i="110"/>
  <c r="L13" i="152"/>
  <c r="R13" i="152" s="1"/>
  <c r="S13" i="152" s="1"/>
  <c r="O7" i="127"/>
  <c r="AN55" i="129"/>
  <c r="AN14" i="129" s="1"/>
  <c r="K40" i="157"/>
  <c r="AX42" i="129" s="1"/>
  <c r="AX12" i="129" s="1"/>
  <c r="C14" i="110"/>
  <c r="D9" i="110"/>
  <c r="L10" i="153"/>
  <c r="K62" i="157"/>
  <c r="L62" i="157" s="1"/>
  <c r="R62" i="157" s="1"/>
  <c r="S62" i="157" s="1"/>
  <c r="K13" i="157"/>
  <c r="L13" i="157" s="1"/>
  <c r="L11" i="134"/>
  <c r="R11" i="134" s="1"/>
  <c r="S11" i="134" s="1"/>
  <c r="L46" i="157"/>
  <c r="L45" i="153"/>
  <c r="R45" i="153" s="1"/>
  <c r="S45" i="153" s="1"/>
  <c r="K59" i="157"/>
  <c r="AX61" i="129" s="1"/>
  <c r="AX15" i="129" s="1"/>
  <c r="G48" i="110"/>
  <c r="AX56" i="129"/>
  <c r="AQ56" i="129" s="1"/>
  <c r="C47" i="110"/>
  <c r="C55" i="110"/>
  <c r="L62" i="152"/>
  <c r="R62" i="152" s="1"/>
  <c r="S62" i="152" s="1"/>
  <c r="L21" i="152"/>
  <c r="G56" i="110"/>
  <c r="L54" i="157"/>
  <c r="R54" i="157" s="1"/>
  <c r="S54" i="157" s="1"/>
  <c r="L53" i="153"/>
  <c r="T55" i="129"/>
  <c r="T14" i="129" s="1"/>
  <c r="M19" i="129"/>
  <c r="M8" i="129" s="1"/>
  <c r="L14" i="153"/>
  <c r="R14" i="153" s="1"/>
  <c r="S14" i="153" s="1"/>
  <c r="D19" i="110"/>
  <c r="L21" i="153"/>
  <c r="K9" i="157"/>
  <c r="L9" i="157" s="1"/>
  <c r="L14" i="152"/>
  <c r="R14" i="152" s="1"/>
  <c r="S14" i="152" s="1"/>
  <c r="R53" i="134"/>
  <c r="S53" i="134" s="1"/>
  <c r="K12" i="157"/>
  <c r="L53" i="152"/>
  <c r="R53" i="152" s="1"/>
  <c r="S53" i="152" s="1"/>
  <c r="F12" i="110"/>
  <c r="R45" i="134"/>
  <c r="S45" i="134" s="1"/>
  <c r="K21" i="157"/>
  <c r="AX23" i="129" s="1"/>
  <c r="AX9" i="129" s="1"/>
  <c r="R40" i="134"/>
  <c r="S40" i="134" s="1"/>
  <c r="L12" i="153"/>
  <c r="R12" i="153" s="1"/>
  <c r="S12" i="153" s="1"/>
  <c r="C12" i="110"/>
  <c r="L17" i="152"/>
  <c r="K6" i="134"/>
  <c r="K11" i="157"/>
  <c r="L11" i="157" s="1"/>
  <c r="L27" i="153"/>
  <c r="R27" i="153" s="1"/>
  <c r="S27" i="153" s="1"/>
  <c r="T19" i="129"/>
  <c r="T8" i="129" s="1"/>
  <c r="L62" i="153"/>
  <c r="D11" i="110"/>
  <c r="L10" i="134"/>
  <c r="R21" i="134"/>
  <c r="S21" i="134" s="1"/>
  <c r="R65" i="157"/>
  <c r="S65" i="157" s="1"/>
  <c r="K8" i="157"/>
  <c r="G10" i="110" s="1"/>
  <c r="C29" i="110"/>
  <c r="L7" i="152"/>
  <c r="D16" i="110"/>
  <c r="C16" i="110"/>
  <c r="C23" i="110"/>
  <c r="C64" i="110"/>
  <c r="L9" i="152"/>
  <c r="BH22" i="129"/>
  <c r="BA22" i="129" s="1"/>
  <c r="BB22" i="129" s="1"/>
  <c r="BH45" i="129"/>
  <c r="BA45" i="129" s="1"/>
  <c r="BB45" i="129" s="1"/>
  <c r="BH25" i="129"/>
  <c r="BA25" i="129" s="1"/>
  <c r="BB25" i="129" s="1"/>
  <c r="BH41" i="129"/>
  <c r="BA41" i="129" s="1"/>
  <c r="BB41" i="129" s="1"/>
  <c r="BH44" i="129"/>
  <c r="BA44" i="129" s="1"/>
  <c r="BB44" i="129" s="1"/>
  <c r="BH38" i="129"/>
  <c r="BA38" i="129" s="1"/>
  <c r="BB38" i="129" s="1"/>
  <c r="BH28" i="129"/>
  <c r="BA28" i="129" s="1"/>
  <c r="BB28" i="129" s="1"/>
  <c r="R8" i="134"/>
  <c r="S8" i="134" s="1"/>
  <c r="R13" i="134"/>
  <c r="S13" i="134" s="1"/>
  <c r="R59" i="134"/>
  <c r="S59" i="134" s="1"/>
  <c r="R46" i="152"/>
  <c r="S46" i="152" s="1"/>
  <c r="I67" i="152"/>
  <c r="I69" i="152" s="1"/>
  <c r="R41" i="153"/>
  <c r="S41" i="153" s="1"/>
  <c r="D42" i="110"/>
  <c r="L40" i="152"/>
  <c r="T42" i="129"/>
  <c r="T12" i="129" s="1"/>
  <c r="T61" i="129"/>
  <c r="T15" i="129" s="1"/>
  <c r="D61" i="110"/>
  <c r="L59" i="152"/>
  <c r="R8" i="151"/>
  <c r="S8" i="151" s="1"/>
  <c r="D29" i="110"/>
  <c r="L27" i="152"/>
  <c r="T29" i="129"/>
  <c r="T10" i="129" s="1"/>
  <c r="C11" i="110"/>
  <c r="L9" i="153"/>
  <c r="BH34" i="129"/>
  <c r="BA34" i="129" s="1"/>
  <c r="BB34" i="129" s="1"/>
  <c r="BH66" i="129"/>
  <c r="BA66" i="129" s="1"/>
  <c r="BB66" i="129" s="1"/>
  <c r="BH59" i="129"/>
  <c r="BA59" i="129" s="1"/>
  <c r="BB59" i="129" s="1"/>
  <c r="BH21" i="129"/>
  <c r="BA21" i="129" s="1"/>
  <c r="BB21" i="129" s="1"/>
  <c r="BH57" i="129"/>
  <c r="BA57" i="129" s="1"/>
  <c r="BB57" i="129" s="1"/>
  <c r="BH27" i="129"/>
  <c r="BA27" i="129" s="1"/>
  <c r="BB27" i="129" s="1"/>
  <c r="BH52" i="129"/>
  <c r="BA52" i="129" s="1"/>
  <c r="BB52" i="129" s="1"/>
  <c r="R12" i="134"/>
  <c r="S12" i="134" s="1"/>
  <c r="BH33" i="129"/>
  <c r="BA33" i="129" s="1"/>
  <c r="BB33" i="129" s="1"/>
  <c r="R37" i="153"/>
  <c r="S37" i="153" s="1"/>
  <c r="K6" i="152"/>
  <c r="R60" i="153"/>
  <c r="S60" i="153" s="1"/>
  <c r="R25" i="153"/>
  <c r="S25" i="153" s="1"/>
  <c r="R10" i="151"/>
  <c r="S10" i="151" s="1"/>
  <c r="E9" i="110"/>
  <c r="L7" i="151"/>
  <c r="D10" i="110"/>
  <c r="L8" i="152"/>
  <c r="C13" i="110"/>
  <c r="L11" i="153"/>
  <c r="L33" i="153"/>
  <c r="C35" i="110"/>
  <c r="D47" i="110"/>
  <c r="L45" i="152"/>
  <c r="T47" i="129"/>
  <c r="T13" i="129" s="1"/>
  <c r="L8" i="153"/>
  <c r="C10" i="110"/>
  <c r="K6" i="153"/>
  <c r="L59" i="153"/>
  <c r="C61" i="110"/>
  <c r="R21" i="151"/>
  <c r="S21" i="151" s="1"/>
  <c r="R12" i="151"/>
  <c r="S12" i="151" s="1"/>
  <c r="BH63" i="129"/>
  <c r="BA63" i="129" s="1"/>
  <c r="BB63" i="129" s="1"/>
  <c r="BH39" i="129"/>
  <c r="BA39" i="129" s="1"/>
  <c r="BB39" i="129" s="1"/>
  <c r="F6" i="157"/>
  <c r="K6" i="157" s="1"/>
  <c r="R9" i="134"/>
  <c r="S9" i="134" s="1"/>
  <c r="I67" i="170"/>
  <c r="I69" i="170" s="1"/>
  <c r="BH51" i="129"/>
  <c r="BA51" i="129" s="1"/>
  <c r="BB51" i="129" s="1"/>
  <c r="BH58" i="129"/>
  <c r="BA58" i="129" s="1"/>
  <c r="BB58" i="129" s="1"/>
  <c r="BH37" i="129"/>
  <c r="BA37" i="129" s="1"/>
  <c r="BB37" i="129" s="1"/>
  <c r="BH60" i="129"/>
  <c r="BA60" i="129" s="1"/>
  <c r="BB60" i="129" s="1"/>
  <c r="BH67" i="129"/>
  <c r="BA67" i="129" s="1"/>
  <c r="BB67" i="129" s="1"/>
  <c r="BH26" i="129"/>
  <c r="BA26" i="129" s="1"/>
  <c r="BB26" i="129" s="1"/>
  <c r="R7" i="134"/>
  <c r="S7" i="134" s="1"/>
  <c r="R28" i="152"/>
  <c r="S28" i="152" s="1"/>
  <c r="R34" i="152"/>
  <c r="S34" i="152" s="1"/>
  <c r="M64" i="129"/>
  <c r="M16" i="129" s="1"/>
  <c r="L12" i="152"/>
  <c r="D14" i="110"/>
  <c r="L13" i="153"/>
  <c r="C15" i="110"/>
  <c r="R13" i="151"/>
  <c r="S13" i="151" s="1"/>
  <c r="R62" i="151"/>
  <c r="S62" i="151" s="1"/>
  <c r="L6" i="151"/>
  <c r="E8" i="110"/>
  <c r="I67" i="157"/>
  <c r="I69" i="157" s="1"/>
  <c r="BH50" i="129"/>
  <c r="BA50" i="129" s="1"/>
  <c r="BB50" i="129" s="1"/>
  <c r="BH40" i="129"/>
  <c r="BA40" i="129" s="1"/>
  <c r="BB40" i="129" s="1"/>
  <c r="BH31" i="129"/>
  <c r="BA31" i="129" s="1"/>
  <c r="BB31" i="129" s="1"/>
  <c r="BH32" i="129"/>
  <c r="BA32" i="129" s="1"/>
  <c r="BB32" i="129" s="1"/>
  <c r="BH53" i="129"/>
  <c r="BA53" i="129" s="1"/>
  <c r="BB53" i="129" s="1"/>
  <c r="R14" i="134"/>
  <c r="S14" i="134" s="1"/>
  <c r="BH49" i="129"/>
  <c r="BA49" i="129" s="1"/>
  <c r="BB49" i="129" s="1"/>
  <c r="BH46" i="129"/>
  <c r="BA46" i="129" s="1"/>
  <c r="BB46" i="129" s="1"/>
  <c r="BH54" i="129"/>
  <c r="BA54" i="129" s="1"/>
  <c r="BB54" i="129" s="1"/>
  <c r="R63" i="153"/>
  <c r="S63" i="153" s="1"/>
  <c r="R60" i="152"/>
  <c r="S60" i="152" s="1"/>
  <c r="I67" i="153"/>
  <c r="I69" i="153" s="1"/>
  <c r="R41" i="152"/>
  <c r="S41" i="152" s="1"/>
  <c r="R9" i="151"/>
  <c r="S9" i="151" s="1"/>
  <c r="R45" i="151"/>
  <c r="S45" i="151" s="1"/>
  <c r="L10" i="152"/>
  <c r="D12" i="110"/>
  <c r="D35" i="110"/>
  <c r="T35" i="129"/>
  <c r="T11" i="129" s="1"/>
  <c r="L33" i="152"/>
  <c r="L7" i="153"/>
  <c r="C9" i="110"/>
  <c r="D13" i="110"/>
  <c r="L11" i="152"/>
  <c r="M62" i="129"/>
  <c r="D36" i="129"/>
  <c r="H4" i="153"/>
  <c r="X64" i="129"/>
  <c r="X16" i="129" s="1"/>
  <c r="C65" i="129"/>
  <c r="J64" i="129"/>
  <c r="J16" i="129" s="1"/>
  <c r="X24" i="129"/>
  <c r="W23" i="129"/>
  <c r="W9" i="129" s="1"/>
  <c r="F67" i="151"/>
  <c r="F69" i="151" s="1"/>
  <c r="K16" i="151"/>
  <c r="C62" i="129"/>
  <c r="J61" i="129"/>
  <c r="J15" i="129" s="1"/>
  <c r="X33" i="129"/>
  <c r="W29" i="129"/>
  <c r="W10" i="129" s="1"/>
  <c r="X61" i="129"/>
  <c r="X15" i="129" s="1"/>
  <c r="N56" i="129"/>
  <c r="M55" i="129"/>
  <c r="M14" i="129" s="1"/>
  <c r="M36" i="129"/>
  <c r="M23" i="129"/>
  <c r="M9" i="129" s="1"/>
  <c r="C29" i="129"/>
  <c r="C10" i="129" s="1"/>
  <c r="D30" i="129"/>
  <c r="F4" i="151"/>
  <c r="E6" i="126"/>
  <c r="E5" i="126" s="1"/>
  <c r="J42" i="129"/>
  <c r="J12" i="129" s="1"/>
  <c r="C43" i="129"/>
  <c r="F16" i="153"/>
  <c r="H67" i="153"/>
  <c r="H69" i="153" s="1"/>
  <c r="X42" i="129"/>
  <c r="X12" i="129" s="1"/>
  <c r="C27" i="129"/>
  <c r="D27" i="129" s="1"/>
  <c r="C47" i="129"/>
  <c r="C13" i="129" s="1"/>
  <c r="D48" i="129"/>
  <c r="C39" i="129"/>
  <c r="D39" i="129" s="1"/>
  <c r="H67" i="152"/>
  <c r="H69" i="152" s="1"/>
  <c r="F16" i="152"/>
  <c r="L17" i="153"/>
  <c r="C19" i="110"/>
  <c r="C6" i="124"/>
  <c r="I4" i="153" s="1"/>
  <c r="I5" i="153"/>
  <c r="M30" i="129"/>
  <c r="D24" i="129"/>
  <c r="I5" i="152"/>
  <c r="D6" i="124"/>
  <c r="I4" i="152" s="1"/>
  <c r="D55" i="129"/>
  <c r="D14" i="129" s="1"/>
  <c r="D7" i="126"/>
  <c r="H5" i="152"/>
  <c r="N19" i="129"/>
  <c r="N8" i="129" s="1"/>
  <c r="M48" i="129"/>
  <c r="J35" i="129"/>
  <c r="J11" i="129" s="1"/>
  <c r="R40" i="153"/>
  <c r="S40" i="153" s="1"/>
  <c r="C7" i="126"/>
  <c r="H5" i="153"/>
  <c r="M43" i="129"/>
  <c r="C55" i="129"/>
  <c r="C14" i="129" s="1"/>
  <c r="N23" i="129"/>
  <c r="N9" i="129" s="1"/>
  <c r="N64" i="129"/>
  <c r="N16" i="129" s="1"/>
  <c r="D20" i="129"/>
  <c r="C19" i="129"/>
  <c r="C8" i="129" s="1"/>
  <c r="H4" i="152"/>
  <c r="X48" i="129"/>
  <c r="W47" i="129"/>
  <c r="W13" i="129" s="1"/>
  <c r="D105" i="194"/>
  <c r="D104" i="194"/>
  <c r="S127" i="121"/>
  <c r="S127" i="124" s="1"/>
  <c r="S110" i="121"/>
  <c r="S110" i="124" s="1"/>
  <c r="D131" i="194"/>
  <c r="S114" i="121"/>
  <c r="S114" i="124" s="1"/>
  <c r="AQ24" i="129"/>
  <c r="AQ30" i="129"/>
  <c r="AQ20" i="129"/>
  <c r="AQ65" i="129"/>
  <c r="L45" i="157"/>
  <c r="AX47" i="129"/>
  <c r="AX13" i="129" s="1"/>
  <c r="L53" i="157"/>
  <c r="AX55" i="129"/>
  <c r="AX14" i="129" s="1"/>
  <c r="AG55" i="129"/>
  <c r="AG14" i="129" s="1"/>
  <c r="AH56" i="129"/>
  <c r="AG47" i="129"/>
  <c r="AG13" i="129" s="1"/>
  <c r="AH48" i="129"/>
  <c r="AG19" i="129"/>
  <c r="AG8" i="129" s="1"/>
  <c r="AH20" i="129"/>
  <c r="AG64" i="129"/>
  <c r="AG16" i="129" s="1"/>
  <c r="AH65" i="129"/>
  <c r="AH64" i="129" s="1"/>
  <c r="AH16" i="129" s="1"/>
  <c r="AG29" i="129"/>
  <c r="AG10" i="129" s="1"/>
  <c r="AH30" i="129"/>
  <c r="AH29" i="129" s="1"/>
  <c r="AH10" i="129" s="1"/>
  <c r="L27" i="157"/>
  <c r="AX29" i="129"/>
  <c r="AX10" i="129" s="1"/>
  <c r="L17" i="157"/>
  <c r="R17" i="157" s="1"/>
  <c r="S17" i="157" s="1"/>
  <c r="AX19" i="129"/>
  <c r="AX8" i="129" s="1"/>
  <c r="AQ62" i="129"/>
  <c r="AQ36" i="129"/>
  <c r="AQ48" i="129"/>
  <c r="AQ43" i="129"/>
  <c r="L33" i="157"/>
  <c r="AX35" i="129"/>
  <c r="AX11" i="129" s="1"/>
  <c r="AG35" i="129"/>
  <c r="AG11" i="129" s="1"/>
  <c r="AH36" i="129"/>
  <c r="AG42" i="129"/>
  <c r="AG12" i="129" s="1"/>
  <c r="AH43" i="129"/>
  <c r="AG61" i="129"/>
  <c r="AG15" i="129" s="1"/>
  <c r="AH62" i="129"/>
  <c r="AH61" i="129" s="1"/>
  <c r="AH15" i="129" s="1"/>
  <c r="AG23" i="129"/>
  <c r="AG9" i="129" s="1"/>
  <c r="AH24" i="129"/>
  <c r="D94" i="194"/>
  <c r="S136" i="121"/>
  <c r="S136" i="124" s="1"/>
  <c r="S111" i="121"/>
  <c r="S111" i="124" s="1"/>
  <c r="F16" i="134"/>
  <c r="H67" i="134"/>
  <c r="H69" i="134" s="1"/>
  <c r="D101" i="194"/>
  <c r="S107" i="121"/>
  <c r="S107" i="124" s="1"/>
  <c r="D118" i="194"/>
  <c r="S124" i="121"/>
  <c r="S124" i="124" s="1"/>
  <c r="R83" i="121"/>
  <c r="R83" i="124" s="1"/>
  <c r="D120" i="194"/>
  <c r="S91" i="121"/>
  <c r="S91" i="124" s="1"/>
  <c r="S94" i="121"/>
  <c r="S94" i="124" s="1"/>
  <c r="S133" i="121"/>
  <c r="S133" i="124" s="1"/>
  <c r="S126" i="121"/>
  <c r="S126" i="124" s="1"/>
  <c r="R85" i="121"/>
  <c r="R85" i="124" s="1"/>
  <c r="Q98" i="121"/>
  <c r="Q98" i="124" s="1"/>
  <c r="U21" i="191"/>
  <c r="Q92" i="121"/>
  <c r="Q92" i="124" s="1"/>
  <c r="R79" i="121"/>
  <c r="R79" i="124" s="1"/>
  <c r="Q115" i="121"/>
  <c r="Q115" i="124" s="1"/>
  <c r="Q100" i="121"/>
  <c r="Q100" i="124" s="1"/>
  <c r="U45" i="191"/>
  <c r="Q96" i="121"/>
  <c r="Q96" i="124" s="1"/>
  <c r="Q113" i="121"/>
  <c r="Q113" i="124" s="1"/>
  <c r="R78" i="121"/>
  <c r="R78" i="124" s="1"/>
  <c r="Q136" i="121"/>
  <c r="Q136" i="124" s="1"/>
  <c r="Q122" i="121"/>
  <c r="Q122" i="124" s="1"/>
  <c r="Q127" i="121"/>
  <c r="Q127" i="124" s="1"/>
  <c r="Q132" i="121"/>
  <c r="Q132" i="124" s="1"/>
  <c r="Q90" i="121"/>
  <c r="Q90" i="124" s="1"/>
  <c r="Q119" i="121"/>
  <c r="Q119" i="124" s="1"/>
  <c r="Q103" i="121"/>
  <c r="Q103" i="124" s="1"/>
  <c r="Q123" i="121"/>
  <c r="Q123" i="124" s="1"/>
  <c r="Q130" i="121"/>
  <c r="Q130" i="124" s="1"/>
  <c r="U17" i="191"/>
  <c r="Q91" i="121"/>
  <c r="Q91" i="124" s="1"/>
  <c r="Q137" i="121"/>
  <c r="Q137" i="124" s="1"/>
  <c r="Q101" i="121"/>
  <c r="Q101" i="124" s="1"/>
  <c r="Q126" i="121"/>
  <c r="Q126" i="124" s="1"/>
  <c r="Q106" i="121"/>
  <c r="Q106" i="124" s="1"/>
  <c r="Q129" i="121"/>
  <c r="Q129" i="124" s="1"/>
  <c r="Q107" i="121"/>
  <c r="Q107" i="124" s="1"/>
  <c r="D125" i="192"/>
  <c r="U59" i="191"/>
  <c r="Q111" i="121"/>
  <c r="Q111" i="124" s="1"/>
  <c r="Q135" i="121"/>
  <c r="Q135" i="124" s="1"/>
  <c r="Q133" i="121"/>
  <c r="Q133" i="124" s="1"/>
  <c r="Q108" i="121"/>
  <c r="Q108" i="124" s="1"/>
  <c r="Q116" i="121"/>
  <c r="Q116" i="124" s="1"/>
  <c r="Q120" i="121"/>
  <c r="Q120" i="124" s="1"/>
  <c r="Q124" i="121"/>
  <c r="Q124" i="124" s="1"/>
  <c r="Q97" i="121"/>
  <c r="Q97" i="124" s="1"/>
  <c r="U62" i="191"/>
  <c r="Q102" i="121"/>
  <c r="Q102" i="124" s="1"/>
  <c r="Q118" i="121"/>
  <c r="Q118" i="124" s="1"/>
  <c r="Q94" i="121"/>
  <c r="Q94" i="124" s="1"/>
  <c r="U40" i="191"/>
  <c r="U53" i="191"/>
  <c r="Q128" i="121"/>
  <c r="Q128" i="124" s="1"/>
  <c r="Q110" i="121"/>
  <c r="Q110" i="124" s="1"/>
  <c r="U33" i="191"/>
  <c r="Q109" i="121"/>
  <c r="Q109" i="124" s="1"/>
  <c r="Q11" i="127"/>
  <c r="R86" i="121"/>
  <c r="R86" i="124" s="1"/>
  <c r="G6" i="124"/>
  <c r="I4" i="157" s="1"/>
  <c r="I5" i="157"/>
  <c r="H50" i="110"/>
  <c r="H45" i="110"/>
  <c r="G47" i="110"/>
  <c r="H40" i="110"/>
  <c r="G29" i="110"/>
  <c r="H31" i="110"/>
  <c r="J64" i="125"/>
  <c r="J64" i="126" s="1"/>
  <c r="J16" i="121"/>
  <c r="J16" i="125" s="1"/>
  <c r="J16" i="126" s="1"/>
  <c r="J42" i="125"/>
  <c r="J42" i="126" s="1"/>
  <c r="J12" i="121"/>
  <c r="J12" i="125" s="1"/>
  <c r="J12" i="126" s="1"/>
  <c r="J10" i="121"/>
  <c r="J10" i="125" s="1"/>
  <c r="J10" i="126" s="1"/>
  <c r="J29" i="125"/>
  <c r="J29" i="126" s="1"/>
  <c r="J61" i="125"/>
  <c r="J61" i="126" s="1"/>
  <c r="J15" i="121"/>
  <c r="J15" i="125" s="1"/>
  <c r="J15" i="126" s="1"/>
  <c r="G55" i="110"/>
  <c r="K27" i="126"/>
  <c r="K48" i="125"/>
  <c r="K47" i="121"/>
  <c r="K46" i="126"/>
  <c r="K28" i="126"/>
  <c r="K38" i="126"/>
  <c r="K64" i="121"/>
  <c r="K65" i="125"/>
  <c r="K56" i="125"/>
  <c r="K55" i="121"/>
  <c r="K31" i="126"/>
  <c r="K32" i="126"/>
  <c r="K30" i="125"/>
  <c r="K29" i="121"/>
  <c r="K50" i="126"/>
  <c r="K49" i="126"/>
  <c r="K26" i="126"/>
  <c r="K21" i="126"/>
  <c r="K63" i="126"/>
  <c r="K19" i="121"/>
  <c r="K20" i="125"/>
  <c r="K34" i="126"/>
  <c r="K53" i="126"/>
  <c r="K37" i="126"/>
  <c r="K51" i="126"/>
  <c r="H59" i="110"/>
  <c r="H53" i="110"/>
  <c r="J18" i="124"/>
  <c r="J17" i="124" s="1"/>
  <c r="R34" i="157"/>
  <c r="S34" i="157" s="1"/>
  <c r="H25" i="110"/>
  <c r="L7" i="157"/>
  <c r="G9" i="110"/>
  <c r="R18" i="157"/>
  <c r="S18" i="157" s="1"/>
  <c r="H44" i="110"/>
  <c r="H60" i="110"/>
  <c r="H28" i="110"/>
  <c r="J47" i="125"/>
  <c r="J47" i="126" s="1"/>
  <c r="J13" i="121"/>
  <c r="J13" i="125" s="1"/>
  <c r="J13" i="126" s="1"/>
  <c r="J35" i="125"/>
  <c r="J35" i="126" s="1"/>
  <c r="J11" i="121"/>
  <c r="J11" i="125" s="1"/>
  <c r="J11" i="126" s="1"/>
  <c r="J55" i="125"/>
  <c r="J55" i="126" s="1"/>
  <c r="J14" i="121"/>
  <c r="J14" i="125" s="1"/>
  <c r="J14" i="126" s="1"/>
  <c r="J23" i="125"/>
  <c r="J23" i="126" s="1"/>
  <c r="J9" i="121"/>
  <c r="J9" i="125" s="1"/>
  <c r="J9" i="126" s="1"/>
  <c r="J20" i="126"/>
  <c r="G6" i="121"/>
  <c r="G6" i="125" s="1"/>
  <c r="G7" i="125"/>
  <c r="H26" i="110"/>
  <c r="K64" i="124"/>
  <c r="K19" i="124"/>
  <c r="K8" i="124" s="1"/>
  <c r="K42" i="124"/>
  <c r="K12" i="124" s="1"/>
  <c r="K23" i="124"/>
  <c r="K9" i="124" s="1"/>
  <c r="K61" i="124"/>
  <c r="L51" i="121"/>
  <c r="L51" i="125" s="1"/>
  <c r="L21" i="121"/>
  <c r="L21" i="125" s="1"/>
  <c r="L53" i="121"/>
  <c r="L53" i="125" s="1"/>
  <c r="L52" i="121"/>
  <c r="L52" i="125" s="1"/>
  <c r="L26" i="121"/>
  <c r="L26" i="125" s="1"/>
  <c r="L36" i="121"/>
  <c r="L41" i="121"/>
  <c r="L41" i="125" s="1"/>
  <c r="L46" i="121"/>
  <c r="L46" i="125" s="1"/>
  <c r="L25" i="121"/>
  <c r="L25" i="125" s="1"/>
  <c r="L28" i="121"/>
  <c r="L28" i="125" s="1"/>
  <c r="L43" i="121"/>
  <c r="L32" i="121"/>
  <c r="L32" i="125" s="1"/>
  <c r="L39" i="121"/>
  <c r="L39" i="125" s="1"/>
  <c r="L57" i="121"/>
  <c r="L57" i="125" s="1"/>
  <c r="L48" i="121"/>
  <c r="L37" i="121"/>
  <c r="L37" i="125" s="1"/>
  <c r="L40" i="121"/>
  <c r="L40" i="125" s="1"/>
  <c r="L59" i="121"/>
  <c r="L59" i="125" s="1"/>
  <c r="L67" i="121"/>
  <c r="L67" i="125" s="1"/>
  <c r="L56" i="121"/>
  <c r="L30" i="121"/>
  <c r="L49" i="121"/>
  <c r="L49" i="125" s="1"/>
  <c r="L65" i="121"/>
  <c r="L38" i="121"/>
  <c r="L38" i="125" s="1"/>
  <c r="L31" i="121"/>
  <c r="L31" i="125" s="1"/>
  <c r="L44" i="121"/>
  <c r="L44" i="125" s="1"/>
  <c r="L54" i="121"/>
  <c r="L54" i="125" s="1"/>
  <c r="L66" i="121"/>
  <c r="L66" i="125" s="1"/>
  <c r="L27" i="121"/>
  <c r="L27" i="125" s="1"/>
  <c r="L50" i="121"/>
  <c r="L50" i="125" s="1"/>
  <c r="L22" i="121"/>
  <c r="L22" i="125" s="1"/>
  <c r="L62" i="121"/>
  <c r="L58" i="121"/>
  <c r="L58" i="125" s="1"/>
  <c r="L34" i="121"/>
  <c r="L34" i="125" s="1"/>
  <c r="L20" i="121"/>
  <c r="L24" i="121"/>
  <c r="L60" i="121"/>
  <c r="L60" i="125" s="1"/>
  <c r="L33" i="121"/>
  <c r="L33" i="125" s="1"/>
  <c r="L63" i="121"/>
  <c r="L63" i="125" s="1"/>
  <c r="L45" i="121"/>
  <c r="L45" i="125" s="1"/>
  <c r="G35" i="110"/>
  <c r="H49" i="110"/>
  <c r="H46" i="110"/>
  <c r="H54" i="110"/>
  <c r="H4" i="134"/>
  <c r="F6" i="126"/>
  <c r="F5" i="126" s="1"/>
  <c r="M76" i="121"/>
  <c r="M76" i="124" s="1"/>
  <c r="H33" i="110"/>
  <c r="R60" i="157"/>
  <c r="S60" i="157" s="1"/>
  <c r="H34" i="110"/>
  <c r="H22" i="110"/>
  <c r="H63" i="110"/>
  <c r="H39" i="110"/>
  <c r="H66" i="110"/>
  <c r="J65" i="126"/>
  <c r="J43" i="126"/>
  <c r="J30" i="126"/>
  <c r="J62" i="126"/>
  <c r="K66" i="126"/>
  <c r="K39" i="126"/>
  <c r="K60" i="126"/>
  <c r="K45" i="126"/>
  <c r="K41" i="126"/>
  <c r="K61" i="121"/>
  <c r="K62" i="125"/>
  <c r="K33" i="126"/>
  <c r="K52" i="126"/>
  <c r="K67" i="126"/>
  <c r="K24" i="125"/>
  <c r="K23" i="121"/>
  <c r="K59" i="126"/>
  <c r="K40" i="126"/>
  <c r="K22" i="126"/>
  <c r="K57" i="126"/>
  <c r="K44" i="126"/>
  <c r="K25" i="126"/>
  <c r="K43" i="125"/>
  <c r="K42" i="121"/>
  <c r="K36" i="125"/>
  <c r="K35" i="121"/>
  <c r="K58" i="126"/>
  <c r="K54" i="126"/>
  <c r="H32" i="110"/>
  <c r="H21" i="110"/>
  <c r="R22" i="157"/>
  <c r="S22" i="157" s="1"/>
  <c r="L10" i="157"/>
  <c r="G12" i="110"/>
  <c r="G19" i="110"/>
  <c r="H51" i="110"/>
  <c r="H58" i="110"/>
  <c r="H41" i="110"/>
  <c r="R41" i="157"/>
  <c r="S41" i="157" s="1"/>
  <c r="H37" i="110"/>
  <c r="H38" i="110"/>
  <c r="H67" i="110"/>
  <c r="H18" i="125"/>
  <c r="H7" i="121"/>
  <c r="J48" i="126"/>
  <c r="J36" i="126"/>
  <c r="J56" i="126"/>
  <c r="J24" i="126"/>
  <c r="J19" i="125"/>
  <c r="J19" i="126" s="1"/>
  <c r="J8" i="121"/>
  <c r="H16" i="157"/>
  <c r="G18" i="126"/>
  <c r="I8" i="125"/>
  <c r="I8" i="126" s="1"/>
  <c r="I18" i="121"/>
  <c r="I17" i="121" s="1"/>
  <c r="R63" i="157"/>
  <c r="S63" i="157" s="1"/>
  <c r="K55" i="124"/>
  <c r="K35" i="124"/>
  <c r="K11" i="124" s="1"/>
  <c r="K47" i="124"/>
  <c r="K13" i="124" s="1"/>
  <c r="K29" i="124"/>
  <c r="K10" i="124" s="1"/>
  <c r="L51" i="124"/>
  <c r="L49" i="124"/>
  <c r="L57" i="124"/>
  <c r="L48" i="124"/>
  <c r="L58" i="124"/>
  <c r="L34" i="124"/>
  <c r="L40" i="124"/>
  <c r="L20" i="124"/>
  <c r="L67" i="124"/>
  <c r="L56" i="124"/>
  <c r="L45" i="124"/>
  <c r="L31" i="124"/>
  <c r="L26" i="124"/>
  <c r="L36" i="124"/>
  <c r="L41" i="124"/>
  <c r="L46" i="124"/>
  <c r="L25" i="124"/>
  <c r="L32" i="124"/>
  <c r="L62" i="124"/>
  <c r="L39" i="124"/>
  <c r="L65" i="124"/>
  <c r="L21" i="124"/>
  <c r="L37" i="124"/>
  <c r="L24" i="124"/>
  <c r="L59" i="124"/>
  <c r="L60" i="124"/>
  <c r="L33" i="124"/>
  <c r="L63" i="124"/>
  <c r="L30" i="124"/>
  <c r="L53" i="124"/>
  <c r="L52" i="124"/>
  <c r="L38" i="124"/>
  <c r="L44" i="124"/>
  <c r="L54" i="124"/>
  <c r="L66" i="124"/>
  <c r="L27" i="124"/>
  <c r="L50" i="124"/>
  <c r="L28" i="124"/>
  <c r="L43" i="124"/>
  <c r="L22" i="124"/>
  <c r="G16" i="110"/>
  <c r="L14" i="157"/>
  <c r="R28" i="157"/>
  <c r="S28" i="157" s="1"/>
  <c r="H57" i="110"/>
  <c r="H27" i="110"/>
  <c r="H52" i="110"/>
  <c r="H5" i="134"/>
  <c r="F7" i="126"/>
  <c r="I7" i="124"/>
  <c r="I6" i="124" s="1"/>
  <c r="S29" i="127" l="1"/>
  <c r="AM29" i="114"/>
  <c r="AM51" i="114"/>
  <c r="AM4" i="114" s="1"/>
  <c r="D124" i="205"/>
  <c r="D83" i="194"/>
  <c r="S14" i="93"/>
  <c r="S14" i="127" s="1"/>
  <c r="T34" i="127"/>
  <c r="T62" i="127"/>
  <c r="T36" i="127"/>
  <c r="T66" i="127"/>
  <c r="D106" i="194"/>
  <c r="T56" i="127"/>
  <c r="S61" i="127"/>
  <c r="D121" i="205"/>
  <c r="D131" i="205"/>
  <c r="S13" i="93"/>
  <c r="S13" i="127" s="1"/>
  <c r="T39" i="127"/>
  <c r="T65" i="127"/>
  <c r="T38" i="127"/>
  <c r="D111" i="194"/>
  <c r="S35" i="127"/>
  <c r="D94" i="205"/>
  <c r="T46" i="127"/>
  <c r="T42" i="93"/>
  <c r="D86" i="205"/>
  <c r="T19" i="93"/>
  <c r="T19" i="127" s="1"/>
  <c r="D72" i="192"/>
  <c r="D115" i="205"/>
  <c r="S8" i="93"/>
  <c r="S8" i="127" s="1"/>
  <c r="T20" i="127"/>
  <c r="S12" i="93"/>
  <c r="S12" i="127" s="1"/>
  <c r="T48" i="127"/>
  <c r="T64" i="93"/>
  <c r="T43" i="127"/>
  <c r="S23" i="127"/>
  <c r="T49" i="127"/>
  <c r="T54" i="127"/>
  <c r="T35" i="93"/>
  <c r="T11" i="93" s="1"/>
  <c r="T11" i="127" s="1"/>
  <c r="D93" i="194"/>
  <c r="T44" i="127"/>
  <c r="D83" i="192"/>
  <c r="T61" i="93"/>
  <c r="D122" i="205"/>
  <c r="T59" i="127"/>
  <c r="D109" i="205"/>
  <c r="T52" i="127"/>
  <c r="D97" i="205"/>
  <c r="T41" i="127"/>
  <c r="T29" i="93"/>
  <c r="T45" i="127"/>
  <c r="D90" i="194"/>
  <c r="D105" i="205"/>
  <c r="T63" i="127"/>
  <c r="T26" i="127"/>
  <c r="T31" i="127"/>
  <c r="D114" i="205"/>
  <c r="T21" i="127"/>
  <c r="D89" i="205"/>
  <c r="D85" i="205"/>
  <c r="T28" i="127"/>
  <c r="T24" i="127"/>
  <c r="T32" i="127"/>
  <c r="D91" i="205"/>
  <c r="D114" i="194"/>
  <c r="T23" i="93"/>
  <c r="T23" i="127" s="1"/>
  <c r="T47" i="93"/>
  <c r="S64" i="127"/>
  <c r="T53" i="127"/>
  <c r="T55" i="93"/>
  <c r="T14" i="93" s="1"/>
  <c r="T14" i="127" s="1"/>
  <c r="D106" i="192"/>
  <c r="D71" i="189"/>
  <c r="D72" i="189"/>
  <c r="D76" i="192"/>
  <c r="D20" i="211"/>
  <c r="V4" i="188"/>
  <c r="N76" i="121" s="1"/>
  <c r="N76" i="124" s="1"/>
  <c r="D74" i="192"/>
  <c r="D93" i="192"/>
  <c r="D87" i="192"/>
  <c r="D111" i="192"/>
  <c r="D99" i="192"/>
  <c r="G42" i="110"/>
  <c r="D119" i="192"/>
  <c r="D128" i="192"/>
  <c r="R18" i="93"/>
  <c r="R17" i="93" s="1"/>
  <c r="U34" i="93"/>
  <c r="D32" i="207" s="1"/>
  <c r="U38" i="93"/>
  <c r="D36" i="207" s="1"/>
  <c r="U26" i="93"/>
  <c r="U26" i="127" s="1"/>
  <c r="U50" i="93"/>
  <c r="D48" i="207" s="1"/>
  <c r="U33" i="93"/>
  <c r="D31" i="207" s="1"/>
  <c r="U57" i="93"/>
  <c r="D55" i="207" s="1"/>
  <c r="U62" i="93"/>
  <c r="U62" i="127" s="1"/>
  <c r="U52" i="93"/>
  <c r="D50" i="207" s="1"/>
  <c r="U63" i="93"/>
  <c r="D61" i="207" s="1"/>
  <c r="U27" i="93"/>
  <c r="U27" i="127" s="1"/>
  <c r="U22" i="93"/>
  <c r="D20" i="207" s="1"/>
  <c r="U36" i="93"/>
  <c r="D34" i="207" s="1"/>
  <c r="U58" i="93"/>
  <c r="D56" i="207" s="1"/>
  <c r="U54" i="93"/>
  <c r="U60" i="93"/>
  <c r="D58" i="207" s="1"/>
  <c r="U59" i="93"/>
  <c r="D57" i="207" s="1"/>
  <c r="U25" i="93"/>
  <c r="U25" i="127" s="1"/>
  <c r="U51" i="93"/>
  <c r="U51" i="127" s="1"/>
  <c r="U56" i="93"/>
  <c r="D54" i="207" s="1"/>
  <c r="U53" i="93"/>
  <c r="D51" i="207" s="1"/>
  <c r="U24" i="93"/>
  <c r="U24" i="127" s="1"/>
  <c r="U48" i="93"/>
  <c r="D46" i="207" s="1"/>
  <c r="U20" i="93"/>
  <c r="D18" i="207" s="1"/>
  <c r="U21" i="93"/>
  <c r="D19" i="207" s="1"/>
  <c r="U44" i="93"/>
  <c r="D42" i="207" s="1"/>
  <c r="U28" i="93"/>
  <c r="D26" i="207" s="1"/>
  <c r="U49" i="93"/>
  <c r="D47" i="207" s="1"/>
  <c r="U31" i="93"/>
  <c r="D29" i="207" s="1"/>
  <c r="U30" i="93"/>
  <c r="D28" i="207" s="1"/>
  <c r="U39" i="93"/>
  <c r="U39" i="127" s="1"/>
  <c r="U46" i="93"/>
  <c r="D44" i="207" s="1"/>
  <c r="U41" i="93"/>
  <c r="D39" i="207" s="1"/>
  <c r="U37" i="93"/>
  <c r="D35" i="207" s="1"/>
  <c r="U32" i="93"/>
  <c r="U32" i="127" s="1"/>
  <c r="U43" i="93"/>
  <c r="U43" i="127" s="1"/>
  <c r="U67" i="93"/>
  <c r="U67" i="127" s="1"/>
  <c r="U65" i="93"/>
  <c r="D63" i="207" s="1"/>
  <c r="U40" i="93"/>
  <c r="D38" i="207" s="1"/>
  <c r="U66" i="93"/>
  <c r="D64" i="207" s="1"/>
  <c r="V28" i="93"/>
  <c r="V44" i="93"/>
  <c r="V62" i="93"/>
  <c r="V59" i="93"/>
  <c r="V57" i="93"/>
  <c r="V43" i="93"/>
  <c r="V50" i="93"/>
  <c r="V52" i="93"/>
  <c r="V30" i="93"/>
  <c r="V65" i="93"/>
  <c r="V31" i="93"/>
  <c r="V66" i="93"/>
  <c r="V46" i="93"/>
  <c r="V58" i="93"/>
  <c r="V67" i="93"/>
  <c r="V48" i="93"/>
  <c r="V25" i="93"/>
  <c r="V38" i="93"/>
  <c r="V53" i="93"/>
  <c r="V54" i="93"/>
  <c r="V33" i="93"/>
  <c r="V32" i="93"/>
  <c r="V49" i="93"/>
  <c r="V40" i="93"/>
  <c r="V36" i="93"/>
  <c r="V20" i="93"/>
  <c r="V63" i="93"/>
  <c r="V51" i="93"/>
  <c r="V27" i="93"/>
  <c r="V34" i="93"/>
  <c r="V39" i="93"/>
  <c r="V41" i="93"/>
  <c r="V37" i="93"/>
  <c r="V45" i="93"/>
  <c r="V24" i="93"/>
  <c r="V26" i="93"/>
  <c r="V56" i="93"/>
  <c r="V60" i="93"/>
  <c r="V21" i="93"/>
  <c r="V22" i="127"/>
  <c r="F5" i="151"/>
  <c r="K5" i="151" s="1"/>
  <c r="D43" i="207"/>
  <c r="U45" i="127"/>
  <c r="T97" i="121"/>
  <c r="T97" i="124" s="1"/>
  <c r="T136" i="121"/>
  <c r="T136" i="124" s="1"/>
  <c r="D113" i="205"/>
  <c r="D117" i="205"/>
  <c r="D84" i="205"/>
  <c r="D96" i="205"/>
  <c r="T106" i="121"/>
  <c r="T106" i="124" s="1"/>
  <c r="T130" i="121"/>
  <c r="T130" i="124" s="1"/>
  <c r="T116" i="121"/>
  <c r="D118" i="205"/>
  <c r="D90" i="205"/>
  <c r="D103" i="205"/>
  <c r="T110" i="121"/>
  <c r="T110" i="124" s="1"/>
  <c r="D92" i="205"/>
  <c r="D107" i="205"/>
  <c r="D101" i="205"/>
  <c r="D108" i="205"/>
  <c r="T108" i="121"/>
  <c r="T108" i="124" s="1"/>
  <c r="D116" i="205"/>
  <c r="T111" i="121"/>
  <c r="T111" i="124" s="1"/>
  <c r="D129" i="205"/>
  <c r="D112" i="205"/>
  <c r="T132" i="121"/>
  <c r="T132" i="124" s="1"/>
  <c r="D98" i="205"/>
  <c r="D102" i="205"/>
  <c r="T115" i="121"/>
  <c r="T115" i="124" s="1"/>
  <c r="T121" i="121"/>
  <c r="T121" i="124" s="1"/>
  <c r="D110" i="205"/>
  <c r="T128" i="121"/>
  <c r="T128" i="124" s="1"/>
  <c r="T96" i="121"/>
  <c r="T96" i="124" s="1"/>
  <c r="U6" i="191"/>
  <c r="T103" i="121"/>
  <c r="T124" i="121"/>
  <c r="T124" i="124" s="1"/>
  <c r="D100" i="205"/>
  <c r="T102" i="121"/>
  <c r="T102" i="124" s="1"/>
  <c r="T123" i="121"/>
  <c r="T123" i="124" s="1"/>
  <c r="T113" i="121"/>
  <c r="T113" i="124" s="1"/>
  <c r="D130" i="205"/>
  <c r="T92" i="121"/>
  <c r="T92" i="124" s="1"/>
  <c r="T95" i="121"/>
  <c r="T95" i="124" s="1"/>
  <c r="T90" i="121"/>
  <c r="T90" i="124" s="1"/>
  <c r="T122" i="121"/>
  <c r="T122" i="124" s="1"/>
  <c r="T133" i="121"/>
  <c r="T133" i="124" s="1"/>
  <c r="D127" i="205"/>
  <c r="T114" i="121"/>
  <c r="T114" i="124" s="1"/>
  <c r="D120" i="205"/>
  <c r="T126" i="121"/>
  <c r="T126" i="124" s="1"/>
  <c r="T91" i="121"/>
  <c r="T91" i="124" s="1"/>
  <c r="T101" i="121"/>
  <c r="T101" i="124" s="1"/>
  <c r="D95" i="205"/>
  <c r="T119" i="121"/>
  <c r="T119" i="124" s="1"/>
  <c r="T135" i="121"/>
  <c r="T135" i="124" s="1"/>
  <c r="D88" i="205"/>
  <c r="T94" i="121"/>
  <c r="T94" i="124" s="1"/>
  <c r="D126" i="205"/>
  <c r="T129" i="121"/>
  <c r="T129" i="124" s="1"/>
  <c r="D123" i="205"/>
  <c r="T116" i="124"/>
  <c r="T100" i="124"/>
  <c r="T103" i="124"/>
  <c r="T98" i="124"/>
  <c r="T104" i="124"/>
  <c r="T118" i="124"/>
  <c r="T120" i="124"/>
  <c r="T109" i="124"/>
  <c r="T137" i="124"/>
  <c r="T127" i="124"/>
  <c r="T107" i="124"/>
  <c r="G61" i="110"/>
  <c r="D119" i="194"/>
  <c r="S93" i="121"/>
  <c r="S93" i="124" s="1"/>
  <c r="L8" i="157"/>
  <c r="R8" i="157" s="1"/>
  <c r="S8" i="157" s="1"/>
  <c r="G13" i="110"/>
  <c r="G15" i="110"/>
  <c r="L59" i="157"/>
  <c r="R59" i="157" s="1"/>
  <c r="S59" i="157" s="1"/>
  <c r="L40" i="157"/>
  <c r="R40" i="157" s="1"/>
  <c r="S40" i="157" s="1"/>
  <c r="G64" i="110"/>
  <c r="AX64" i="129"/>
  <c r="AX16" i="129" s="1"/>
  <c r="T131" i="121"/>
  <c r="T131" i="124" s="1"/>
  <c r="R82" i="121"/>
  <c r="R82" i="124" s="1"/>
  <c r="U8" i="191"/>
  <c r="Q80" i="121" s="1"/>
  <c r="Q80" i="124" s="1"/>
  <c r="G23" i="110"/>
  <c r="R46" i="157"/>
  <c r="S46" i="157" s="1"/>
  <c r="R21" i="152"/>
  <c r="S21" i="152" s="1"/>
  <c r="R53" i="153"/>
  <c r="S53" i="153" s="1"/>
  <c r="R7" i="152"/>
  <c r="S7" i="152" s="1"/>
  <c r="R10" i="153"/>
  <c r="S10" i="153" s="1"/>
  <c r="G14" i="110"/>
  <c r="R21" i="153"/>
  <c r="S21" i="153" s="1"/>
  <c r="R10" i="134"/>
  <c r="S10" i="134" s="1"/>
  <c r="R9" i="152"/>
  <c r="S9" i="152" s="1"/>
  <c r="G11" i="110"/>
  <c r="R62" i="153"/>
  <c r="S62" i="153" s="1"/>
  <c r="L6" i="134"/>
  <c r="D6" i="126"/>
  <c r="D5" i="126" s="1"/>
  <c r="L12" i="157"/>
  <c r="R12" i="157" s="1"/>
  <c r="S12" i="157" s="1"/>
  <c r="L21" i="157"/>
  <c r="R17" i="152"/>
  <c r="S17" i="152" s="1"/>
  <c r="D8" i="110"/>
  <c r="F8" i="110"/>
  <c r="L6" i="152"/>
  <c r="R6" i="152" s="1"/>
  <c r="S6" i="152" s="1"/>
  <c r="R53" i="157"/>
  <c r="S53" i="157" s="1"/>
  <c r="C23" i="129"/>
  <c r="C9" i="129" s="1"/>
  <c r="BR45" i="129"/>
  <c r="BK45" i="129" s="1"/>
  <c r="BL45" i="129" s="1"/>
  <c r="BR60" i="129"/>
  <c r="BK60" i="129" s="1"/>
  <c r="BL60" i="129" s="1"/>
  <c r="BR22" i="129"/>
  <c r="BK22" i="129" s="1"/>
  <c r="BL22" i="129" s="1"/>
  <c r="BR38" i="129"/>
  <c r="BK38" i="129" s="1"/>
  <c r="BL38" i="129" s="1"/>
  <c r="BR46" i="129"/>
  <c r="BK46" i="129" s="1"/>
  <c r="BL46" i="129" s="1"/>
  <c r="BR67" i="129"/>
  <c r="BK67" i="129" s="1"/>
  <c r="BL67" i="129" s="1"/>
  <c r="BR41" i="129"/>
  <c r="BK41" i="129" s="1"/>
  <c r="BL41" i="129" s="1"/>
  <c r="BR25" i="129"/>
  <c r="BK25" i="129" s="1"/>
  <c r="BL25" i="129" s="1"/>
  <c r="BR66" i="129"/>
  <c r="BK66" i="129" s="1"/>
  <c r="BL66" i="129" s="1"/>
  <c r="BR63" i="129"/>
  <c r="BK63" i="129" s="1"/>
  <c r="BL63" i="129" s="1"/>
  <c r="BR21" i="129"/>
  <c r="BK21" i="129" s="1"/>
  <c r="BL21" i="129" s="1"/>
  <c r="BR58" i="129"/>
  <c r="BK58" i="129" s="1"/>
  <c r="BL58" i="129" s="1"/>
  <c r="BR28" i="129"/>
  <c r="BK28" i="129" s="1"/>
  <c r="BL28" i="129" s="1"/>
  <c r="BR37" i="129"/>
  <c r="BK37" i="129" s="1"/>
  <c r="BL37" i="129" s="1"/>
  <c r="BR32" i="129"/>
  <c r="BK32" i="129" s="1"/>
  <c r="BL32" i="129" s="1"/>
  <c r="BR53" i="129"/>
  <c r="BK53" i="129" s="1"/>
  <c r="BL53" i="129" s="1"/>
  <c r="BR27" i="129"/>
  <c r="BK27" i="129" s="1"/>
  <c r="BL27" i="129" s="1"/>
  <c r="BR52" i="129"/>
  <c r="BK52" i="129" s="1"/>
  <c r="BL52" i="129" s="1"/>
  <c r="I67" i="177"/>
  <c r="I69" i="177" s="1"/>
  <c r="BR39" i="129"/>
  <c r="BK39" i="129" s="1"/>
  <c r="BL39" i="129" s="1"/>
  <c r="BR34" i="129"/>
  <c r="BK34" i="129" s="1"/>
  <c r="BL34" i="129" s="1"/>
  <c r="BR49" i="129"/>
  <c r="BK49" i="129" s="1"/>
  <c r="BL49" i="129" s="1"/>
  <c r="BR44" i="129"/>
  <c r="BK44" i="129" s="1"/>
  <c r="BL44" i="129" s="1"/>
  <c r="BR33" i="129"/>
  <c r="BK33" i="129" s="1"/>
  <c r="BL33" i="129" s="1"/>
  <c r="BR51" i="129"/>
  <c r="BK51" i="129" s="1"/>
  <c r="BL51" i="129" s="1"/>
  <c r="BR31" i="129"/>
  <c r="BK31" i="129" s="1"/>
  <c r="BL31" i="129" s="1"/>
  <c r="BR59" i="129"/>
  <c r="BK59" i="129" s="1"/>
  <c r="BL59" i="129" s="1"/>
  <c r="BR50" i="129"/>
  <c r="BK50" i="129" s="1"/>
  <c r="BL50" i="129" s="1"/>
  <c r="BR26" i="129"/>
  <c r="BK26" i="129" s="1"/>
  <c r="BL26" i="129" s="1"/>
  <c r="BR57" i="129"/>
  <c r="BK57" i="129" s="1"/>
  <c r="BL57" i="129" s="1"/>
  <c r="BR54" i="129"/>
  <c r="BK54" i="129" s="1"/>
  <c r="BL54" i="129" s="1"/>
  <c r="BR40" i="129"/>
  <c r="BK40" i="129" s="1"/>
  <c r="BL40" i="129" s="1"/>
  <c r="F5" i="134"/>
  <c r="K5" i="134" s="1"/>
  <c r="BH65" i="129"/>
  <c r="BA65" i="129" s="1"/>
  <c r="BH36" i="129"/>
  <c r="BA36" i="129" s="1"/>
  <c r="BH30" i="129"/>
  <c r="BA30" i="129" s="1"/>
  <c r="R7" i="157"/>
  <c r="S7" i="157" s="1"/>
  <c r="BH24" i="129"/>
  <c r="BA24" i="129" s="1"/>
  <c r="R33" i="152"/>
  <c r="S33" i="152" s="1"/>
  <c r="R6" i="151"/>
  <c r="S6" i="151" s="1"/>
  <c r="R11" i="153"/>
  <c r="S11" i="153" s="1"/>
  <c r="R59" i="152"/>
  <c r="S59" i="152" s="1"/>
  <c r="BH62" i="129"/>
  <c r="BA62" i="129" s="1"/>
  <c r="R13" i="157"/>
  <c r="S13" i="157" s="1"/>
  <c r="BH56" i="129"/>
  <c r="BA56" i="129" s="1"/>
  <c r="R11" i="157"/>
  <c r="S11" i="157" s="1"/>
  <c r="R9" i="157"/>
  <c r="S9" i="157" s="1"/>
  <c r="R33" i="157"/>
  <c r="S33" i="157" s="1"/>
  <c r="R27" i="157"/>
  <c r="S27" i="157" s="1"/>
  <c r="R10" i="152"/>
  <c r="S10" i="152" s="1"/>
  <c r="C8" i="110"/>
  <c r="L6" i="153"/>
  <c r="R40" i="152"/>
  <c r="S40" i="152" s="1"/>
  <c r="BH43" i="129"/>
  <c r="BA43" i="129" s="1"/>
  <c r="R14" i="157"/>
  <c r="S14" i="157" s="1"/>
  <c r="BH20" i="129"/>
  <c r="BA20" i="129" s="1"/>
  <c r="F4" i="134"/>
  <c r="F67" i="134"/>
  <c r="F69" i="134" s="1"/>
  <c r="F5" i="153"/>
  <c r="F5" i="152"/>
  <c r="R11" i="152"/>
  <c r="S11" i="152" s="1"/>
  <c r="R7" i="153"/>
  <c r="S7" i="153" s="1"/>
  <c r="R12" i="152"/>
  <c r="S12" i="152" s="1"/>
  <c r="R59" i="153"/>
  <c r="S59" i="153" s="1"/>
  <c r="R45" i="152"/>
  <c r="S45" i="152" s="1"/>
  <c r="R33" i="153"/>
  <c r="S33" i="153" s="1"/>
  <c r="R7" i="151"/>
  <c r="S7" i="151" s="1"/>
  <c r="R10" i="157"/>
  <c r="S10" i="157" s="1"/>
  <c r="BH48" i="129"/>
  <c r="BA48" i="129" s="1"/>
  <c r="R45" i="157"/>
  <c r="S45" i="157" s="1"/>
  <c r="F4" i="152"/>
  <c r="K4" i="151"/>
  <c r="R13" i="153"/>
  <c r="S13" i="153" s="1"/>
  <c r="R8" i="153"/>
  <c r="S8" i="153" s="1"/>
  <c r="R8" i="152"/>
  <c r="S8" i="152" s="1"/>
  <c r="R9" i="153"/>
  <c r="S9" i="153" s="1"/>
  <c r="R27" i="152"/>
  <c r="S27" i="152" s="1"/>
  <c r="X47" i="129"/>
  <c r="X13" i="129" s="1"/>
  <c r="D19" i="129"/>
  <c r="D8" i="129" s="1"/>
  <c r="N48" i="129"/>
  <c r="M47" i="129"/>
  <c r="M13" i="129" s="1"/>
  <c r="D23" i="129"/>
  <c r="D9" i="129" s="1"/>
  <c r="R17" i="153"/>
  <c r="S17" i="153" s="1"/>
  <c r="X29" i="129"/>
  <c r="X10" i="129" s="1"/>
  <c r="C61" i="129"/>
  <c r="C15" i="129" s="1"/>
  <c r="D62" i="129"/>
  <c r="C6" i="126"/>
  <c r="C5" i="126" s="1"/>
  <c r="C35" i="129"/>
  <c r="C11" i="129" s="1"/>
  <c r="F67" i="153"/>
  <c r="F69" i="153" s="1"/>
  <c r="K16" i="153"/>
  <c r="D29" i="129"/>
  <c r="D10" i="129" s="1"/>
  <c r="N36" i="129"/>
  <c r="M35" i="129"/>
  <c r="M11" i="129" s="1"/>
  <c r="F4" i="153"/>
  <c r="Q93" i="121"/>
  <c r="Q93" i="124" s="1"/>
  <c r="M29" i="129"/>
  <c r="M10" i="129" s="1"/>
  <c r="N30" i="129"/>
  <c r="D47" i="129"/>
  <c r="D13" i="129" s="1"/>
  <c r="AD18" i="129"/>
  <c r="E18" i="110"/>
  <c r="L16" i="151"/>
  <c r="K67" i="151"/>
  <c r="K69" i="151" s="1"/>
  <c r="D65" i="129"/>
  <c r="C64" i="129"/>
  <c r="C16" i="129" s="1"/>
  <c r="N43" i="129"/>
  <c r="M42" i="129"/>
  <c r="M12" i="129" s="1"/>
  <c r="F67" i="152"/>
  <c r="F69" i="152" s="1"/>
  <c r="K16" i="152"/>
  <c r="D43" i="129"/>
  <c r="C42" i="129"/>
  <c r="C12" i="129" s="1"/>
  <c r="N55" i="129"/>
  <c r="N14" i="129" s="1"/>
  <c r="X23" i="129"/>
  <c r="X9" i="129" s="1"/>
  <c r="D35" i="129"/>
  <c r="D11" i="129" s="1"/>
  <c r="N62" i="129"/>
  <c r="M61" i="129"/>
  <c r="M15" i="129" s="1"/>
  <c r="K16" i="134"/>
  <c r="D125" i="194"/>
  <c r="AQ42" i="129"/>
  <c r="AQ12" i="129" s="1"/>
  <c r="AR43" i="129"/>
  <c r="AQ35" i="129"/>
  <c r="AQ11" i="129" s="1"/>
  <c r="AR36" i="129"/>
  <c r="AH55" i="129"/>
  <c r="AH14" i="129" s="1"/>
  <c r="AH35" i="129"/>
  <c r="AH11" i="129" s="1"/>
  <c r="AQ64" i="129"/>
  <c r="AQ16" i="129" s="1"/>
  <c r="AR65" i="129"/>
  <c r="AR64" i="129" s="1"/>
  <c r="AR16" i="129" s="1"/>
  <c r="AQ29" i="129"/>
  <c r="AQ10" i="129" s="1"/>
  <c r="AR30" i="129"/>
  <c r="AR29" i="129" s="1"/>
  <c r="AR10" i="129" s="1"/>
  <c r="AQ23" i="129"/>
  <c r="AQ9" i="129" s="1"/>
  <c r="AR24" i="129"/>
  <c r="AH23" i="129"/>
  <c r="AH9" i="129" s="1"/>
  <c r="AQ47" i="129"/>
  <c r="AQ13" i="129" s="1"/>
  <c r="AR48" i="129"/>
  <c r="AQ61" i="129"/>
  <c r="AQ15" i="129" s="1"/>
  <c r="AR62" i="129"/>
  <c r="AR61" i="129" s="1"/>
  <c r="AR15" i="129" s="1"/>
  <c r="AH47" i="129"/>
  <c r="AH13" i="129" s="1"/>
  <c r="AH42" i="129"/>
  <c r="AH12" i="129" s="1"/>
  <c r="AH19" i="129"/>
  <c r="AH8" i="129" s="1"/>
  <c r="AQ19" i="129"/>
  <c r="AQ8" i="129" s="1"/>
  <c r="AR20" i="129"/>
  <c r="AQ55" i="129"/>
  <c r="AQ14" i="129" s="1"/>
  <c r="AR56" i="129"/>
  <c r="R81" i="121"/>
  <c r="R81" i="124" s="1"/>
  <c r="F16" i="157"/>
  <c r="H67" i="157"/>
  <c r="H69" i="157" s="1"/>
  <c r="R80" i="121"/>
  <c r="R80" i="124" s="1"/>
  <c r="S125" i="121"/>
  <c r="S125" i="124" s="1"/>
  <c r="S105" i="121"/>
  <c r="S105" i="124" s="1"/>
  <c r="U11" i="191"/>
  <c r="D77" i="192"/>
  <c r="Q117" i="121"/>
  <c r="Q117" i="124" s="1"/>
  <c r="R88" i="121"/>
  <c r="R88" i="124" s="1"/>
  <c r="U7" i="191"/>
  <c r="D73" i="192"/>
  <c r="Q89" i="121"/>
  <c r="Q89" i="124" s="1"/>
  <c r="U14" i="191"/>
  <c r="D80" i="192"/>
  <c r="U13" i="191"/>
  <c r="D79" i="192"/>
  <c r="Q131" i="121"/>
  <c r="Q131" i="124" s="1"/>
  <c r="Q134" i="121"/>
  <c r="Q134" i="124" s="1"/>
  <c r="Q112" i="121"/>
  <c r="Q112" i="124" s="1"/>
  <c r="U10" i="191"/>
  <c r="Q125" i="121"/>
  <c r="Q125" i="124" s="1"/>
  <c r="D78" i="192"/>
  <c r="U12" i="191"/>
  <c r="Q18" i="127"/>
  <c r="Q7" i="93"/>
  <c r="Q105" i="121"/>
  <c r="Q105" i="124" s="1"/>
  <c r="U9" i="191"/>
  <c r="D75" i="192"/>
  <c r="R50" i="170"/>
  <c r="S50" i="170" s="1"/>
  <c r="H65" i="110"/>
  <c r="R25" i="170"/>
  <c r="S25" i="170" s="1"/>
  <c r="R55" i="170"/>
  <c r="S55" i="170" s="1"/>
  <c r="L23" i="124"/>
  <c r="L35" i="124"/>
  <c r="L55" i="124"/>
  <c r="L19" i="124"/>
  <c r="L47" i="124"/>
  <c r="K14" i="124"/>
  <c r="H62" i="110"/>
  <c r="I37" i="110"/>
  <c r="I45" i="110"/>
  <c r="H18" i="126"/>
  <c r="R65" i="170"/>
  <c r="S65" i="170" s="1"/>
  <c r="R35" i="170"/>
  <c r="S35" i="170" s="1"/>
  <c r="H30" i="110"/>
  <c r="R39" i="170"/>
  <c r="S39" i="170" s="1"/>
  <c r="R19" i="170"/>
  <c r="S19" i="170" s="1"/>
  <c r="K36" i="126"/>
  <c r="K43" i="126"/>
  <c r="K24" i="126"/>
  <c r="K61" i="125"/>
  <c r="K15" i="121"/>
  <c r="K15" i="125" s="1"/>
  <c r="H56" i="110"/>
  <c r="I34" i="110"/>
  <c r="R37" i="170"/>
  <c r="S37" i="170" s="1"/>
  <c r="R61" i="170"/>
  <c r="S61" i="170" s="1"/>
  <c r="H20" i="110"/>
  <c r="M54" i="124"/>
  <c r="M51" i="124"/>
  <c r="M26" i="124"/>
  <c r="M45" i="124"/>
  <c r="M40" i="124"/>
  <c r="M44" i="124"/>
  <c r="M65" i="124"/>
  <c r="M20" i="124"/>
  <c r="M56" i="124"/>
  <c r="M57" i="124"/>
  <c r="M41" i="124"/>
  <c r="M28" i="124"/>
  <c r="M38" i="124"/>
  <c r="M48" i="124"/>
  <c r="M36" i="124"/>
  <c r="M66" i="124"/>
  <c r="M67" i="124"/>
  <c r="M59" i="124"/>
  <c r="M62" i="124"/>
  <c r="M32" i="124"/>
  <c r="M52" i="124"/>
  <c r="M49" i="124"/>
  <c r="M60" i="124"/>
  <c r="M33" i="124"/>
  <c r="M31" i="124"/>
  <c r="M34" i="124"/>
  <c r="M46" i="124"/>
  <c r="M58" i="124"/>
  <c r="M53" i="124"/>
  <c r="M63" i="124"/>
  <c r="M30" i="124"/>
  <c r="M24" i="124"/>
  <c r="M27" i="124"/>
  <c r="M43" i="124"/>
  <c r="M50" i="124"/>
  <c r="M22" i="124"/>
  <c r="M39" i="124"/>
  <c r="M37" i="124"/>
  <c r="M25" i="124"/>
  <c r="M21" i="124"/>
  <c r="R52" i="170"/>
  <c r="S52" i="170" s="1"/>
  <c r="R47" i="170"/>
  <c r="S47" i="170" s="1"/>
  <c r="L63" i="126"/>
  <c r="L60" i="126"/>
  <c r="L20" i="125"/>
  <c r="L19" i="121"/>
  <c r="L58" i="126"/>
  <c r="L22" i="126"/>
  <c r="L27" i="126"/>
  <c r="L54" i="126"/>
  <c r="L31" i="126"/>
  <c r="L64" i="121"/>
  <c r="L65" i="125"/>
  <c r="L29" i="121"/>
  <c r="L30" i="125"/>
  <c r="L67" i="126"/>
  <c r="L40" i="126"/>
  <c r="L47" i="121"/>
  <c r="L48" i="125"/>
  <c r="L39" i="126"/>
  <c r="L42" i="121"/>
  <c r="L43" i="125"/>
  <c r="L25" i="126"/>
  <c r="L41" i="126"/>
  <c r="L26" i="126"/>
  <c r="L53" i="126"/>
  <c r="L51" i="126"/>
  <c r="I49" i="110"/>
  <c r="I46" i="110"/>
  <c r="H4" i="157"/>
  <c r="G6" i="126"/>
  <c r="G5" i="126" s="1"/>
  <c r="R26" i="170"/>
  <c r="S26" i="170" s="1"/>
  <c r="R23" i="170"/>
  <c r="S23" i="170" s="1"/>
  <c r="I40" i="110"/>
  <c r="J7" i="124"/>
  <c r="J6" i="124" s="1"/>
  <c r="R51" i="170"/>
  <c r="S51" i="170" s="1"/>
  <c r="R57" i="170"/>
  <c r="S57" i="170" s="1"/>
  <c r="K20" i="126"/>
  <c r="K10" i="121"/>
  <c r="K10" i="125" s="1"/>
  <c r="K10" i="126" s="1"/>
  <c r="K29" i="125"/>
  <c r="K29" i="126" s="1"/>
  <c r="K14" i="121"/>
  <c r="K14" i="125" s="1"/>
  <c r="K55" i="125"/>
  <c r="K65" i="126"/>
  <c r="K13" i="121"/>
  <c r="K13" i="125" s="1"/>
  <c r="K13" i="126" s="1"/>
  <c r="K47" i="125"/>
  <c r="K47" i="126" s="1"/>
  <c r="I51" i="110"/>
  <c r="R29" i="170"/>
  <c r="S29" i="170" s="1"/>
  <c r="I63" i="110"/>
  <c r="I50" i="110"/>
  <c r="I58" i="110"/>
  <c r="R43" i="170"/>
  <c r="S43" i="170" s="1"/>
  <c r="R48" i="170"/>
  <c r="S48" i="170" s="1"/>
  <c r="I28" i="110"/>
  <c r="H43" i="110"/>
  <c r="L42" i="124"/>
  <c r="L29" i="124"/>
  <c r="L64" i="124"/>
  <c r="L61" i="124"/>
  <c r="H36" i="110"/>
  <c r="I18" i="125"/>
  <c r="I7" i="121"/>
  <c r="I39" i="110"/>
  <c r="J18" i="121"/>
  <c r="J17" i="121" s="1"/>
  <c r="J8" i="125"/>
  <c r="J8" i="126" s="1"/>
  <c r="H7" i="125"/>
  <c r="H7" i="126" s="1"/>
  <c r="H6" i="121"/>
  <c r="H6" i="125" s="1"/>
  <c r="H6" i="126" s="1"/>
  <c r="H5" i="126" s="1"/>
  <c r="R36" i="170"/>
  <c r="S36" i="170" s="1"/>
  <c r="R56" i="170"/>
  <c r="S56" i="170" s="1"/>
  <c r="R49" i="170"/>
  <c r="S49" i="170" s="1"/>
  <c r="I32" i="110"/>
  <c r="I26" i="110"/>
  <c r="I60" i="110"/>
  <c r="R30" i="170"/>
  <c r="S30" i="170" s="1"/>
  <c r="K11" i="121"/>
  <c r="K11" i="125" s="1"/>
  <c r="K11" i="126" s="1"/>
  <c r="K35" i="125"/>
  <c r="K35" i="126" s="1"/>
  <c r="K42" i="125"/>
  <c r="K42" i="126" s="1"/>
  <c r="K12" i="121"/>
  <c r="K12" i="125" s="1"/>
  <c r="K12" i="126" s="1"/>
  <c r="K23" i="125"/>
  <c r="K23" i="126" s="1"/>
  <c r="K9" i="121"/>
  <c r="K9" i="125" s="1"/>
  <c r="K9" i="126" s="1"/>
  <c r="K62" i="126"/>
  <c r="I22" i="110"/>
  <c r="L6" i="157"/>
  <c r="G8" i="110"/>
  <c r="R64" i="170"/>
  <c r="S64" i="170" s="1"/>
  <c r="R20" i="170"/>
  <c r="S20" i="170" s="1"/>
  <c r="R32" i="170"/>
  <c r="S32" i="170" s="1"/>
  <c r="I38" i="110"/>
  <c r="R31" i="170"/>
  <c r="S31" i="170" s="1"/>
  <c r="M51" i="121"/>
  <c r="M51" i="125" s="1"/>
  <c r="M54" i="121"/>
  <c r="M54" i="125" s="1"/>
  <c r="M66" i="121"/>
  <c r="M66" i="125" s="1"/>
  <c r="M67" i="121"/>
  <c r="M67" i="125" s="1"/>
  <c r="M43" i="121"/>
  <c r="M32" i="121"/>
  <c r="M32" i="125" s="1"/>
  <c r="M50" i="121"/>
  <c r="M50" i="125" s="1"/>
  <c r="M37" i="121"/>
  <c r="M37" i="125" s="1"/>
  <c r="M25" i="121"/>
  <c r="M25" i="125" s="1"/>
  <c r="M26" i="121"/>
  <c r="M26" i="125" s="1"/>
  <c r="M40" i="121"/>
  <c r="M40" i="125" s="1"/>
  <c r="M31" i="121"/>
  <c r="M31" i="125" s="1"/>
  <c r="M44" i="121"/>
  <c r="M44" i="125" s="1"/>
  <c r="M58" i="121"/>
  <c r="M58" i="125" s="1"/>
  <c r="M53" i="121"/>
  <c r="M53" i="125" s="1"/>
  <c r="M63" i="121"/>
  <c r="M63" i="125" s="1"/>
  <c r="M24" i="121"/>
  <c r="M27" i="121"/>
  <c r="M27" i="125" s="1"/>
  <c r="M59" i="121"/>
  <c r="M59" i="125" s="1"/>
  <c r="M62" i="121"/>
  <c r="M52" i="121"/>
  <c r="M52" i="125" s="1"/>
  <c r="M22" i="121"/>
  <c r="M22" i="125" s="1"/>
  <c r="M39" i="121"/>
  <c r="M39" i="125" s="1"/>
  <c r="M49" i="121"/>
  <c r="M49" i="125" s="1"/>
  <c r="M21" i="121"/>
  <c r="M21" i="125" s="1"/>
  <c r="M60" i="121"/>
  <c r="M60" i="125" s="1"/>
  <c r="M45" i="121"/>
  <c r="M45" i="125" s="1"/>
  <c r="M33" i="121"/>
  <c r="M33" i="125" s="1"/>
  <c r="M34" i="121"/>
  <c r="M34" i="125" s="1"/>
  <c r="M46" i="121"/>
  <c r="M46" i="125" s="1"/>
  <c r="M65" i="121"/>
  <c r="M56" i="121"/>
  <c r="M30" i="121"/>
  <c r="M38" i="121"/>
  <c r="M38" i="125" s="1"/>
  <c r="M36" i="121"/>
  <c r="M20" i="121"/>
  <c r="M57" i="121"/>
  <c r="M57" i="125" s="1"/>
  <c r="M41" i="121"/>
  <c r="M41" i="125" s="1"/>
  <c r="M28" i="121"/>
  <c r="M28" i="125" s="1"/>
  <c r="M48" i="121"/>
  <c r="I57" i="110"/>
  <c r="R44" i="170"/>
  <c r="S44" i="170" s="1"/>
  <c r="L45" i="126"/>
  <c r="L33" i="126"/>
  <c r="L23" i="121"/>
  <c r="L24" i="125"/>
  <c r="L34" i="126"/>
  <c r="L61" i="121"/>
  <c r="L62" i="125"/>
  <c r="L50" i="126"/>
  <c r="L66" i="126"/>
  <c r="L44" i="126"/>
  <c r="L38" i="126"/>
  <c r="L49" i="126"/>
  <c r="L55" i="121"/>
  <c r="L56" i="125"/>
  <c r="L59" i="126"/>
  <c r="L37" i="126"/>
  <c r="L57" i="126"/>
  <c r="L32" i="126"/>
  <c r="L28" i="126"/>
  <c r="L46" i="126"/>
  <c r="L36" i="125"/>
  <c r="L35" i="121"/>
  <c r="L52" i="126"/>
  <c r="L21" i="126"/>
  <c r="K15" i="124"/>
  <c r="K16" i="124"/>
  <c r="R24" i="170"/>
  <c r="S24" i="170" s="1"/>
  <c r="I53" i="110"/>
  <c r="H5" i="157"/>
  <c r="G7" i="126"/>
  <c r="R58" i="170"/>
  <c r="S58" i="170" s="1"/>
  <c r="R42" i="170"/>
  <c r="S42" i="170" s="1"/>
  <c r="I44" i="110"/>
  <c r="I54" i="110"/>
  <c r="I27" i="110"/>
  <c r="K8" i="121"/>
  <c r="K19" i="125"/>
  <c r="K19" i="126" s="1"/>
  <c r="K30" i="126"/>
  <c r="K56" i="126"/>
  <c r="K16" i="121"/>
  <c r="K16" i="125" s="1"/>
  <c r="K64" i="125"/>
  <c r="K48" i="126"/>
  <c r="I67" i="110"/>
  <c r="I33" i="110"/>
  <c r="I41" i="110"/>
  <c r="I25" i="110"/>
  <c r="H48" i="110"/>
  <c r="R38" i="170"/>
  <c r="S38" i="170" s="1"/>
  <c r="O77" i="121"/>
  <c r="O77" i="124" s="1"/>
  <c r="X7" i="126" s="1"/>
  <c r="I66" i="110"/>
  <c r="I31" i="110"/>
  <c r="I59" i="110"/>
  <c r="I21" i="110"/>
  <c r="H24" i="110"/>
  <c r="I52" i="110"/>
  <c r="D79" i="194" l="1"/>
  <c r="W40" i="93"/>
  <c r="W67" i="93"/>
  <c r="W32" i="93"/>
  <c r="W37" i="93"/>
  <c r="W49" i="93"/>
  <c r="W46" i="93"/>
  <c r="W31" i="93"/>
  <c r="W41" i="93"/>
  <c r="W30" i="93"/>
  <c r="W39" i="93"/>
  <c r="W65" i="93"/>
  <c r="W33" i="93"/>
  <c r="W56" i="93"/>
  <c r="W36" i="93"/>
  <c r="W53" i="93"/>
  <c r="W24" i="93"/>
  <c r="W48" i="93"/>
  <c r="W28" i="93"/>
  <c r="W44" i="93"/>
  <c r="W54" i="93"/>
  <c r="W38" i="93"/>
  <c r="W25" i="93"/>
  <c r="W58" i="93"/>
  <c r="W22" i="93"/>
  <c r="W20" i="93"/>
  <c r="W34" i="93"/>
  <c r="W45" i="93"/>
  <c r="W59" i="93"/>
  <c r="W63" i="93"/>
  <c r="W21" i="93"/>
  <c r="W50" i="93"/>
  <c r="W51" i="93"/>
  <c r="W26" i="93"/>
  <c r="W27" i="93"/>
  <c r="W57" i="93"/>
  <c r="W62" i="93"/>
  <c r="W60" i="93"/>
  <c r="W52" i="93"/>
  <c r="W43" i="93"/>
  <c r="W66" i="93"/>
  <c r="T42" i="127"/>
  <c r="T12" i="93"/>
  <c r="T12" i="127" s="1"/>
  <c r="T35" i="127"/>
  <c r="D99" i="205"/>
  <c r="S18" i="93"/>
  <c r="S18" i="127" s="1"/>
  <c r="D76" i="194"/>
  <c r="D74" i="194"/>
  <c r="D128" i="194"/>
  <c r="T8" i="93"/>
  <c r="T8" i="127" s="1"/>
  <c r="D99" i="194"/>
  <c r="D73" i="194"/>
  <c r="D87" i="194"/>
  <c r="T61" i="127"/>
  <c r="T15" i="93"/>
  <c r="T15" i="127" s="1"/>
  <c r="D80" i="194"/>
  <c r="T10" i="93"/>
  <c r="T10" i="127" s="1"/>
  <c r="T29" i="127"/>
  <c r="T13" i="93"/>
  <c r="T13" i="127" s="1"/>
  <c r="T64" i="127"/>
  <c r="T16" i="93"/>
  <c r="T16" i="127" s="1"/>
  <c r="T9" i="93"/>
  <c r="T9" i="127" s="1"/>
  <c r="V4" i="189"/>
  <c r="O76" i="121" s="1"/>
  <c r="O76" i="124" s="1"/>
  <c r="T55" i="127"/>
  <c r="T47" i="127"/>
  <c r="R18" i="127"/>
  <c r="R7" i="93"/>
  <c r="R6" i="93" s="1"/>
  <c r="R6" i="127" s="1"/>
  <c r="R5" i="127" s="1"/>
  <c r="D23" i="207"/>
  <c r="D89" i="207" s="1"/>
  <c r="U34" i="127"/>
  <c r="U38" i="127"/>
  <c r="V33" i="127"/>
  <c r="V46" i="127"/>
  <c r="D24" i="211"/>
  <c r="D49" i="211"/>
  <c r="D115" i="211" s="1"/>
  <c r="D52" i="211"/>
  <c r="K52" i="211" s="1"/>
  <c r="GS54" i="129" s="1"/>
  <c r="D64" i="211"/>
  <c r="K64" i="211" s="1"/>
  <c r="GS66" i="129" s="1"/>
  <c r="D57" i="211"/>
  <c r="D123" i="211" s="1"/>
  <c r="D25" i="211"/>
  <c r="D22" i="211"/>
  <c r="D61" i="211"/>
  <c r="K61" i="211" s="1"/>
  <c r="GS63" i="129" s="1"/>
  <c r="D51" i="211"/>
  <c r="D29" i="211"/>
  <c r="V62" i="127"/>
  <c r="V45" i="127"/>
  <c r="D18" i="211"/>
  <c r="D36" i="211"/>
  <c r="D63" i="211"/>
  <c r="K63" i="211" s="1"/>
  <c r="GS65" i="129" s="1"/>
  <c r="V44" i="127"/>
  <c r="D35" i="211"/>
  <c r="V36" i="127"/>
  <c r="D23" i="211"/>
  <c r="D28" i="211"/>
  <c r="V28" i="127"/>
  <c r="D39" i="211"/>
  <c r="D38" i="211"/>
  <c r="V48" i="127"/>
  <c r="V52" i="127"/>
  <c r="D54" i="211"/>
  <c r="D120" i="211" s="1"/>
  <c r="D55" i="211"/>
  <c r="K55" i="211" s="1"/>
  <c r="GS57" i="129" s="1"/>
  <c r="D19" i="211"/>
  <c r="D37" i="211"/>
  <c r="D47" i="211"/>
  <c r="D113" i="211" s="1"/>
  <c r="D65" i="211"/>
  <c r="D131" i="211" s="1"/>
  <c r="D48" i="211"/>
  <c r="K48" i="211" s="1"/>
  <c r="GS50" i="129" s="1"/>
  <c r="D58" i="211"/>
  <c r="K58" i="211" s="1"/>
  <c r="GS60" i="129" s="1"/>
  <c r="D32" i="211"/>
  <c r="D30" i="211"/>
  <c r="D56" i="211"/>
  <c r="K56" i="211" s="1"/>
  <c r="GS58" i="129" s="1"/>
  <c r="D41" i="211"/>
  <c r="V65" i="127"/>
  <c r="U56" i="127"/>
  <c r="D24" i="207"/>
  <c r="D90" i="207" s="1"/>
  <c r="D41" i="207"/>
  <c r="D107" i="207" s="1"/>
  <c r="U37" i="127"/>
  <c r="U65" i="127"/>
  <c r="D49" i="207"/>
  <c r="V51" i="110" s="1"/>
  <c r="V20" i="127"/>
  <c r="U47" i="93"/>
  <c r="U13" i="93" s="1"/>
  <c r="U13" i="127" s="1"/>
  <c r="V63" i="127"/>
  <c r="D60" i="207"/>
  <c r="V62" i="110" s="1"/>
  <c r="D22" i="207"/>
  <c r="V24" i="110" s="1"/>
  <c r="U48" i="127"/>
  <c r="D30" i="207"/>
  <c r="V32" i="110" s="1"/>
  <c r="U23" i="93"/>
  <c r="D21" i="207" s="1"/>
  <c r="V23" i="110" s="1"/>
  <c r="U33" i="127"/>
  <c r="U49" i="127"/>
  <c r="U28" i="127"/>
  <c r="U44" i="127"/>
  <c r="U57" i="127"/>
  <c r="U60" i="127"/>
  <c r="D25" i="207"/>
  <c r="V27" i="110" s="1"/>
  <c r="U30" i="127"/>
  <c r="U40" i="127"/>
  <c r="V31" i="127"/>
  <c r="V24" i="127"/>
  <c r="V58" i="127"/>
  <c r="V67" i="127"/>
  <c r="V39" i="127"/>
  <c r="V61" i="93"/>
  <c r="D60" i="211"/>
  <c r="K60" i="211" s="1"/>
  <c r="GS62" i="129" s="1"/>
  <c r="V64" i="93"/>
  <c r="D37" i="207"/>
  <c r="D103" i="207" s="1"/>
  <c r="U42" i="93"/>
  <c r="U12" i="93" s="1"/>
  <c r="U12" i="127" s="1"/>
  <c r="V38" i="127"/>
  <c r="D26" i="211"/>
  <c r="U61" i="93"/>
  <c r="U15" i="93" s="1"/>
  <c r="U15" i="127" s="1"/>
  <c r="D43" i="211"/>
  <c r="D42" i="211"/>
  <c r="V21" i="127"/>
  <c r="U58" i="127"/>
  <c r="U63" i="127"/>
  <c r="V47" i="93"/>
  <c r="U54" i="127"/>
  <c r="V49" i="127"/>
  <c r="D52" i="207"/>
  <c r="V54" i="110" s="1"/>
  <c r="V43" i="127"/>
  <c r="V32" i="127"/>
  <c r="U22" i="127"/>
  <c r="V50" i="127"/>
  <c r="U66" i="127"/>
  <c r="V53" i="127"/>
  <c r="D50" i="211"/>
  <c r="K50" i="211" s="1"/>
  <c r="GS52" i="129" s="1"/>
  <c r="V59" i="127"/>
  <c r="U31" i="127"/>
  <c r="U21" i="127"/>
  <c r="D65" i="207"/>
  <c r="D131" i="207" s="1"/>
  <c r="U29" i="93"/>
  <c r="U29" i="127" s="1"/>
  <c r="U59" i="127"/>
  <c r="V25" i="127"/>
  <c r="U35" i="93"/>
  <c r="U35" i="127" s="1"/>
  <c r="U19" i="93"/>
  <c r="D17" i="207" s="1"/>
  <c r="V19" i="110" s="1"/>
  <c r="V41" i="127"/>
  <c r="U52" i="127"/>
  <c r="U53" i="127"/>
  <c r="U50" i="127"/>
  <c r="U64" i="93"/>
  <c r="U16" i="93" s="1"/>
  <c r="U16" i="127" s="1"/>
  <c r="D34" i="211"/>
  <c r="U46" i="127"/>
  <c r="U20" i="127"/>
  <c r="U41" i="127"/>
  <c r="U55" i="93"/>
  <c r="U55" i="127" s="1"/>
  <c r="U36" i="127"/>
  <c r="V66" i="127"/>
  <c r="V51" i="127"/>
  <c r="D31" i="211"/>
  <c r="V42" i="93"/>
  <c r="V34" i="127"/>
  <c r="V19" i="93"/>
  <c r="D44" i="211"/>
  <c r="V30" i="127"/>
  <c r="V56" i="127"/>
  <c r="V27" i="127"/>
  <c r="V29" i="93"/>
  <c r="V23" i="93"/>
  <c r="V57" i="127"/>
  <c r="V55" i="93"/>
  <c r="V37" i="127"/>
  <c r="D46" i="211"/>
  <c r="V40" i="127"/>
  <c r="V54" i="127"/>
  <c r="V35" i="93"/>
  <c r="V26" i="127"/>
  <c r="V60" i="127"/>
  <c r="D108" i="207"/>
  <c r="V44" i="110"/>
  <c r="D124" i="207"/>
  <c r="V60" i="110"/>
  <c r="D104" i="207"/>
  <c r="V40" i="110"/>
  <c r="D85" i="207"/>
  <c r="V21" i="110"/>
  <c r="D115" i="207"/>
  <c r="D98" i="207"/>
  <c r="V34" i="110"/>
  <c r="D95" i="207"/>
  <c r="V31" i="110"/>
  <c r="D123" i="207"/>
  <c r="V59" i="110"/>
  <c r="D130" i="207"/>
  <c r="V66" i="110"/>
  <c r="D92" i="207"/>
  <c r="V28" i="110"/>
  <c r="D121" i="207"/>
  <c r="V57" i="110"/>
  <c r="D97" i="207"/>
  <c r="V33" i="110"/>
  <c r="D117" i="207"/>
  <c r="V53" i="110"/>
  <c r="D114" i="207"/>
  <c r="V50" i="110"/>
  <c r="D120" i="207"/>
  <c r="V56" i="110"/>
  <c r="D113" i="207"/>
  <c r="V49" i="110"/>
  <c r="D110" i="207"/>
  <c r="V46" i="110"/>
  <c r="D116" i="207"/>
  <c r="V52" i="110"/>
  <c r="D94" i="207"/>
  <c r="V30" i="110"/>
  <c r="D84" i="207"/>
  <c r="V20" i="110"/>
  <c r="D127" i="207"/>
  <c r="V63" i="110"/>
  <c r="D109" i="207"/>
  <c r="V45" i="110"/>
  <c r="D129" i="207"/>
  <c r="V65" i="110"/>
  <c r="D105" i="207"/>
  <c r="V41" i="110"/>
  <c r="D101" i="207"/>
  <c r="V37" i="110"/>
  <c r="D102" i="207"/>
  <c r="V38" i="110"/>
  <c r="D122" i="207"/>
  <c r="V58" i="110"/>
  <c r="D112" i="207"/>
  <c r="V48" i="110"/>
  <c r="D100" i="207"/>
  <c r="V36" i="110"/>
  <c r="D86" i="207"/>
  <c r="V22" i="110"/>
  <c r="K20" i="211"/>
  <c r="GS22" i="129" s="1"/>
  <c r="D86" i="211"/>
  <c r="T99" i="121"/>
  <c r="T99" i="124" s="1"/>
  <c r="T89" i="121"/>
  <c r="T89" i="124" s="1"/>
  <c r="D128" i="205"/>
  <c r="T105" i="121"/>
  <c r="T105" i="124" s="1"/>
  <c r="D106" i="205"/>
  <c r="D125" i="205"/>
  <c r="D111" i="205"/>
  <c r="T93" i="121"/>
  <c r="T93" i="124" s="1"/>
  <c r="T134" i="121"/>
  <c r="T134" i="124" s="1"/>
  <c r="T117" i="121"/>
  <c r="T117" i="124" s="1"/>
  <c r="T112" i="121"/>
  <c r="T112" i="124" s="1"/>
  <c r="T125" i="121"/>
  <c r="T125" i="124" s="1"/>
  <c r="S84" i="121"/>
  <c r="S84" i="124" s="1"/>
  <c r="D93" i="205"/>
  <c r="D78" i="194"/>
  <c r="D75" i="194"/>
  <c r="S83" i="121"/>
  <c r="S83" i="124" s="1"/>
  <c r="S81" i="121"/>
  <c r="S81" i="124" s="1"/>
  <c r="S134" i="121"/>
  <c r="S134" i="124" s="1"/>
  <c r="S89" i="121"/>
  <c r="S89" i="124" s="1"/>
  <c r="S117" i="121"/>
  <c r="S117" i="124" s="1"/>
  <c r="S131" i="121"/>
  <c r="S131" i="124" s="1"/>
  <c r="S99" i="121"/>
  <c r="S99" i="124" s="1"/>
  <c r="S112" i="121"/>
  <c r="S112" i="124" s="1"/>
  <c r="T82" i="121"/>
  <c r="T82" i="124" s="1"/>
  <c r="T83" i="121"/>
  <c r="T83" i="124" s="1"/>
  <c r="T79" i="121"/>
  <c r="T79" i="124" s="1"/>
  <c r="D79" i="205"/>
  <c r="T85" i="121"/>
  <c r="T85" i="124" s="1"/>
  <c r="D72" i="194"/>
  <c r="S78" i="121"/>
  <c r="S78" i="124" s="1"/>
  <c r="R6" i="134"/>
  <c r="S6" i="134" s="1"/>
  <c r="R21" i="157"/>
  <c r="S21" i="157" s="1"/>
  <c r="F18" i="110"/>
  <c r="K67" i="134"/>
  <c r="K69" i="134" s="1"/>
  <c r="L4" i="151"/>
  <c r="R4" i="151" s="1"/>
  <c r="S4" i="151" s="1"/>
  <c r="K4" i="134"/>
  <c r="E6" i="110"/>
  <c r="E5" i="110" s="1"/>
  <c r="E7" i="110"/>
  <c r="CB40" i="129"/>
  <c r="BU40" i="129" s="1"/>
  <c r="BV40" i="129" s="1"/>
  <c r="CB52" i="129"/>
  <c r="BU52" i="129" s="1"/>
  <c r="BV52" i="129" s="1"/>
  <c r="BR20" i="129"/>
  <c r="BK20" i="129" s="1"/>
  <c r="BR24" i="129"/>
  <c r="BK24" i="129" s="1"/>
  <c r="CB26" i="129"/>
  <c r="BU26" i="129" s="1"/>
  <c r="BV26" i="129" s="1"/>
  <c r="CB38" i="129"/>
  <c r="BU38" i="129" s="1"/>
  <c r="BV38" i="129" s="1"/>
  <c r="CB21" i="129"/>
  <c r="BU21" i="129" s="1"/>
  <c r="BV21" i="129" s="1"/>
  <c r="CB54" i="129"/>
  <c r="BU54" i="129" s="1"/>
  <c r="BV54" i="129" s="1"/>
  <c r="BR48" i="129"/>
  <c r="BK48" i="129" s="1"/>
  <c r="CB34" i="129"/>
  <c r="BU34" i="129" s="1"/>
  <c r="BV34" i="129" s="1"/>
  <c r="CB57" i="129"/>
  <c r="BU57" i="129" s="1"/>
  <c r="BV57" i="129" s="1"/>
  <c r="CB51" i="129"/>
  <c r="BU51" i="129" s="1"/>
  <c r="BV51" i="129" s="1"/>
  <c r="I67" i="178"/>
  <c r="I69" i="178" s="1"/>
  <c r="CB37" i="129"/>
  <c r="BU37" i="129" s="1"/>
  <c r="BV37" i="129" s="1"/>
  <c r="CB50" i="129"/>
  <c r="BU50" i="129" s="1"/>
  <c r="BV50" i="129" s="1"/>
  <c r="CB59" i="129"/>
  <c r="BU59" i="129" s="1"/>
  <c r="BV59" i="129" s="1"/>
  <c r="CB31" i="129"/>
  <c r="BU31" i="129" s="1"/>
  <c r="BV31" i="129" s="1"/>
  <c r="CB32" i="129"/>
  <c r="BU32" i="129" s="1"/>
  <c r="BV32" i="129" s="1"/>
  <c r="CB22" i="129"/>
  <c r="BU22" i="129" s="1"/>
  <c r="BV22" i="129" s="1"/>
  <c r="BR62" i="129"/>
  <c r="BK62" i="129" s="1"/>
  <c r="BR43" i="129"/>
  <c r="BK43" i="129" s="1"/>
  <c r="CB28" i="129"/>
  <c r="BU28" i="129" s="1"/>
  <c r="BV28" i="129" s="1"/>
  <c r="CB41" i="129"/>
  <c r="BU41" i="129" s="1"/>
  <c r="BV41" i="129" s="1"/>
  <c r="CB27" i="129"/>
  <c r="BU27" i="129" s="1"/>
  <c r="BV27" i="129" s="1"/>
  <c r="CB58" i="129"/>
  <c r="BU58" i="129" s="1"/>
  <c r="BV58" i="129" s="1"/>
  <c r="CB33" i="129"/>
  <c r="BU33" i="129" s="1"/>
  <c r="BV33" i="129" s="1"/>
  <c r="CB25" i="129"/>
  <c r="BU25" i="129" s="1"/>
  <c r="BV25" i="129" s="1"/>
  <c r="CB63" i="129"/>
  <c r="BU63" i="129" s="1"/>
  <c r="BV63" i="129" s="1"/>
  <c r="BR30" i="129"/>
  <c r="BK30" i="129" s="1"/>
  <c r="BR56" i="129"/>
  <c r="BK56" i="129" s="1"/>
  <c r="BR65" i="129"/>
  <c r="BK65" i="129" s="1"/>
  <c r="CB39" i="129"/>
  <c r="BU39" i="129" s="1"/>
  <c r="BV39" i="129" s="1"/>
  <c r="CB46" i="129"/>
  <c r="BU46" i="129" s="1"/>
  <c r="BV46" i="129" s="1"/>
  <c r="CB45" i="129"/>
  <c r="BU45" i="129" s="1"/>
  <c r="BV45" i="129" s="1"/>
  <c r="BR36" i="129"/>
  <c r="BK36" i="129" s="1"/>
  <c r="CB49" i="129"/>
  <c r="BU49" i="129" s="1"/>
  <c r="BV49" i="129" s="1"/>
  <c r="CB44" i="129"/>
  <c r="BU44" i="129" s="1"/>
  <c r="BV44" i="129" s="1"/>
  <c r="CB53" i="129"/>
  <c r="BU53" i="129" s="1"/>
  <c r="BV53" i="129" s="1"/>
  <c r="CB67" i="129"/>
  <c r="BU67" i="129" s="1"/>
  <c r="BV67" i="129" s="1"/>
  <c r="CB66" i="129"/>
  <c r="BU66" i="129" s="1"/>
  <c r="BV66" i="129" s="1"/>
  <c r="CB60" i="129"/>
  <c r="BU60" i="129" s="1"/>
  <c r="BV60" i="129" s="1"/>
  <c r="BH23" i="129"/>
  <c r="BH9" i="129" s="1"/>
  <c r="R6" i="157"/>
  <c r="S6" i="157" s="1"/>
  <c r="BH35" i="129"/>
  <c r="BH11" i="129" s="1"/>
  <c r="H67" i="170"/>
  <c r="H69" i="170" s="1"/>
  <c r="L16" i="134"/>
  <c r="BH61" i="129"/>
  <c r="BH15" i="129" s="1"/>
  <c r="AN18" i="129"/>
  <c r="AG18" i="129" s="1"/>
  <c r="AH18" i="129" s="1"/>
  <c r="K4" i="153"/>
  <c r="K5" i="152"/>
  <c r="BH42" i="129"/>
  <c r="BH12" i="129" s="1"/>
  <c r="BH55" i="129"/>
  <c r="BH14" i="129" s="1"/>
  <c r="BH29" i="129"/>
  <c r="BH10" i="129" s="1"/>
  <c r="F5" i="157"/>
  <c r="K5" i="157" s="1"/>
  <c r="F67" i="157"/>
  <c r="F69" i="157" s="1"/>
  <c r="L5" i="151"/>
  <c r="K4" i="152"/>
  <c r="K5" i="153"/>
  <c r="BH47" i="129"/>
  <c r="BH13" i="129" s="1"/>
  <c r="F4" i="157"/>
  <c r="BH19" i="129"/>
  <c r="BH8" i="129" s="1"/>
  <c r="BH64" i="129"/>
  <c r="BH16" i="129" s="1"/>
  <c r="R6" i="153"/>
  <c r="S6" i="153" s="1"/>
  <c r="T18" i="129"/>
  <c r="L16" i="152"/>
  <c r="D18" i="110"/>
  <c r="K67" i="152"/>
  <c r="K69" i="152" s="1"/>
  <c r="N29" i="129"/>
  <c r="N10" i="129" s="1"/>
  <c r="N35" i="129"/>
  <c r="N11" i="129" s="1"/>
  <c r="C18" i="110"/>
  <c r="L16" i="153"/>
  <c r="J18" i="129"/>
  <c r="K67" i="153"/>
  <c r="K69" i="153" s="1"/>
  <c r="N47" i="129"/>
  <c r="N13" i="129" s="1"/>
  <c r="D64" i="129"/>
  <c r="D16" i="129" s="1"/>
  <c r="W18" i="129"/>
  <c r="AD7" i="129"/>
  <c r="AD6" i="129" s="1"/>
  <c r="N61" i="129"/>
  <c r="N15" i="129" s="1"/>
  <c r="D42" i="129"/>
  <c r="D12" i="129" s="1"/>
  <c r="N42" i="129"/>
  <c r="N12" i="129" s="1"/>
  <c r="L67" i="151"/>
  <c r="L69" i="151" s="1"/>
  <c r="R16" i="151"/>
  <c r="S16" i="151" s="1"/>
  <c r="D61" i="129"/>
  <c r="D15" i="129" s="1"/>
  <c r="S82" i="121"/>
  <c r="S82" i="124" s="1"/>
  <c r="K16" i="157"/>
  <c r="S80" i="121"/>
  <c r="S80" i="124" s="1"/>
  <c r="AR47" i="129"/>
  <c r="AR13" i="129" s="1"/>
  <c r="AR35" i="129"/>
  <c r="AR11" i="129" s="1"/>
  <c r="AR55" i="129"/>
  <c r="AR14" i="129" s="1"/>
  <c r="BA23" i="129"/>
  <c r="BA9" i="129" s="1"/>
  <c r="BB24" i="129"/>
  <c r="BA19" i="129"/>
  <c r="BA8" i="129" s="1"/>
  <c r="BB20" i="129"/>
  <c r="BA42" i="129"/>
  <c r="BA12" i="129" s="1"/>
  <c r="BB43" i="129"/>
  <c r="BA47" i="129"/>
  <c r="BA13" i="129" s="1"/>
  <c r="BB48" i="129"/>
  <c r="BA64" i="129"/>
  <c r="BA16" i="129" s="1"/>
  <c r="BB65" i="129"/>
  <c r="BB64" i="129" s="1"/>
  <c r="BB16" i="129" s="1"/>
  <c r="AR23" i="129"/>
  <c r="AR9" i="129" s="1"/>
  <c r="AR42" i="129"/>
  <c r="AR12" i="129" s="1"/>
  <c r="AR19" i="129"/>
  <c r="AR8" i="129" s="1"/>
  <c r="BA35" i="129"/>
  <c r="BA11" i="129" s="1"/>
  <c r="BB36" i="129"/>
  <c r="BA55" i="129"/>
  <c r="BA14" i="129" s="1"/>
  <c r="BB56" i="129"/>
  <c r="BA29" i="129"/>
  <c r="BA10" i="129" s="1"/>
  <c r="BB30" i="129"/>
  <c r="BB29" i="129" s="1"/>
  <c r="BB10" i="129" s="1"/>
  <c r="BA61" i="129"/>
  <c r="BA15" i="129" s="1"/>
  <c r="BB62" i="129"/>
  <c r="BB61" i="129" s="1"/>
  <c r="BB15" i="129" s="1"/>
  <c r="K16" i="126"/>
  <c r="S86" i="121"/>
  <c r="S86" i="124" s="1"/>
  <c r="S79" i="121"/>
  <c r="S79" i="124" s="1"/>
  <c r="S85" i="121"/>
  <c r="S85" i="124" s="1"/>
  <c r="Q83" i="121"/>
  <c r="Q83" i="124" s="1"/>
  <c r="Q79" i="121"/>
  <c r="Q79" i="124" s="1"/>
  <c r="Q78" i="121"/>
  <c r="Q78" i="124" s="1"/>
  <c r="Q85" i="121"/>
  <c r="Q85" i="124" s="1"/>
  <c r="Q86" i="121"/>
  <c r="Q86" i="124" s="1"/>
  <c r="Q82" i="121"/>
  <c r="Q82" i="124" s="1"/>
  <c r="Q84" i="121"/>
  <c r="Q84" i="124" s="1"/>
  <c r="Q81" i="121"/>
  <c r="Q81" i="124" s="1"/>
  <c r="Q6" i="93"/>
  <c r="Q6" i="127" s="1"/>
  <c r="Q5" i="127" s="1"/>
  <c r="Q72" i="127" s="1"/>
  <c r="Q7" i="127"/>
  <c r="U16" i="191"/>
  <c r="K14" i="126"/>
  <c r="K18" i="124"/>
  <c r="R50" i="177"/>
  <c r="S50" i="177" s="1"/>
  <c r="R22" i="170"/>
  <c r="S22" i="170" s="1"/>
  <c r="R29" i="177"/>
  <c r="S29" i="177" s="1"/>
  <c r="R46" i="170"/>
  <c r="S46" i="170" s="1"/>
  <c r="J40" i="110"/>
  <c r="R23" i="177"/>
  <c r="S23" i="177" s="1"/>
  <c r="R42" i="177"/>
  <c r="S42" i="177" s="1"/>
  <c r="L23" i="125"/>
  <c r="L9" i="121"/>
  <c r="L9" i="125" s="1"/>
  <c r="R55" i="177"/>
  <c r="S55" i="177" s="1"/>
  <c r="M28" i="126"/>
  <c r="M36" i="125"/>
  <c r="M35" i="121"/>
  <c r="M65" i="125"/>
  <c r="M64" i="121"/>
  <c r="M45" i="126"/>
  <c r="M39" i="126"/>
  <c r="M59" i="126"/>
  <c r="M23" i="121"/>
  <c r="M24" i="125"/>
  <c r="M44" i="126"/>
  <c r="M25" i="126"/>
  <c r="M43" i="125"/>
  <c r="M42" i="121"/>
  <c r="M66" i="126"/>
  <c r="I43" i="110"/>
  <c r="H23" i="110"/>
  <c r="R19" i="177"/>
  <c r="S19" i="177" s="1"/>
  <c r="R57" i="177"/>
  <c r="S57" i="177" s="1"/>
  <c r="R64" i="177"/>
  <c r="S64" i="177" s="1"/>
  <c r="H47" i="110"/>
  <c r="J52" i="110"/>
  <c r="R39" i="177"/>
  <c r="S39" i="177" s="1"/>
  <c r="R31" i="177"/>
  <c r="S31" i="177" s="1"/>
  <c r="R65" i="177"/>
  <c r="S65" i="177" s="1"/>
  <c r="I20" i="110"/>
  <c r="I56" i="110"/>
  <c r="K8" i="125"/>
  <c r="K8" i="126" s="1"/>
  <c r="K18" i="121"/>
  <c r="K17" i="121" s="1"/>
  <c r="R52" i="177"/>
  <c r="S52" i="177" s="1"/>
  <c r="J39" i="110"/>
  <c r="J22" i="110"/>
  <c r="I24" i="110"/>
  <c r="L11" i="121"/>
  <c r="L11" i="125" s="1"/>
  <c r="L35" i="125"/>
  <c r="L56" i="126"/>
  <c r="L62" i="126"/>
  <c r="L24" i="126"/>
  <c r="M48" i="125"/>
  <c r="M47" i="121"/>
  <c r="M41" i="126"/>
  <c r="M20" i="125"/>
  <c r="M19" i="121"/>
  <c r="M38" i="126"/>
  <c r="M56" i="125"/>
  <c r="M55" i="121"/>
  <c r="M46" i="126"/>
  <c r="M33" i="126"/>
  <c r="M60" i="126"/>
  <c r="M49" i="126"/>
  <c r="M22" i="126"/>
  <c r="M61" i="121"/>
  <c r="M62" i="125"/>
  <c r="M27" i="126"/>
  <c r="M63" i="126"/>
  <c r="M58" i="126"/>
  <c r="M31" i="126"/>
  <c r="M26" i="126"/>
  <c r="M37" i="126"/>
  <c r="M32" i="126"/>
  <c r="M67" i="126"/>
  <c r="M54" i="126"/>
  <c r="R36" i="177"/>
  <c r="S36" i="177" s="1"/>
  <c r="J57" i="110"/>
  <c r="R58" i="177"/>
  <c r="S58" i="177" s="1"/>
  <c r="R24" i="177"/>
  <c r="S24" i="177" s="1"/>
  <c r="J27" i="110"/>
  <c r="J18" i="125"/>
  <c r="J7" i="121"/>
  <c r="J58" i="110"/>
  <c r="J25" i="110"/>
  <c r="R37" i="177"/>
  <c r="S37" i="177" s="1"/>
  <c r="I7" i="125"/>
  <c r="I7" i="126" s="1"/>
  <c r="I6" i="121"/>
  <c r="I6" i="125" s="1"/>
  <c r="I6" i="126" s="1"/>
  <c r="I5" i="126" s="1"/>
  <c r="R34" i="170"/>
  <c r="S34" i="170" s="1"/>
  <c r="L15" i="124"/>
  <c r="L16" i="124"/>
  <c r="L10" i="124"/>
  <c r="L12" i="124"/>
  <c r="H42" i="110"/>
  <c r="R41" i="170"/>
  <c r="S41" i="170" s="1"/>
  <c r="R26" i="177"/>
  <c r="S26" i="177" s="1"/>
  <c r="R56" i="177"/>
  <c r="S56" i="177" s="1"/>
  <c r="R48" i="177"/>
  <c r="S48" i="177" s="1"/>
  <c r="J49" i="110"/>
  <c r="K55" i="126"/>
  <c r="L43" i="126"/>
  <c r="L48" i="126"/>
  <c r="L30" i="126"/>
  <c r="L65" i="126"/>
  <c r="L19" i="125"/>
  <c r="L8" i="121"/>
  <c r="M29" i="124"/>
  <c r="M61" i="124"/>
  <c r="M35" i="124"/>
  <c r="M55" i="124"/>
  <c r="M64" i="124"/>
  <c r="H19" i="110"/>
  <c r="J37" i="110"/>
  <c r="J53" i="110"/>
  <c r="J50" i="110"/>
  <c r="J67" i="110"/>
  <c r="R32" i="177"/>
  <c r="S32" i="177" s="1"/>
  <c r="K15" i="126"/>
  <c r="N51" i="121"/>
  <c r="N51" i="125" s="1"/>
  <c r="N67" i="121"/>
  <c r="N67" i="125" s="1"/>
  <c r="N34" i="121"/>
  <c r="N34" i="125" s="1"/>
  <c r="N28" i="121"/>
  <c r="N28" i="125" s="1"/>
  <c r="N44" i="121"/>
  <c r="N44" i="125" s="1"/>
  <c r="N37" i="121"/>
  <c r="N37" i="125" s="1"/>
  <c r="N24" i="121"/>
  <c r="N40" i="121"/>
  <c r="N40" i="125" s="1"/>
  <c r="N65" i="121"/>
  <c r="N41" i="121"/>
  <c r="N41" i="125" s="1"/>
  <c r="N36" i="121"/>
  <c r="N32" i="121"/>
  <c r="N32" i="125" s="1"/>
  <c r="N56" i="121"/>
  <c r="N27" i="121"/>
  <c r="N27" i="125" s="1"/>
  <c r="N54" i="121"/>
  <c r="N54" i="125" s="1"/>
  <c r="N59" i="121"/>
  <c r="N59" i="125" s="1"/>
  <c r="N45" i="121"/>
  <c r="N45" i="125" s="1"/>
  <c r="N22" i="121"/>
  <c r="N22" i="125" s="1"/>
  <c r="N57" i="121"/>
  <c r="N57" i="125" s="1"/>
  <c r="N62" i="121"/>
  <c r="N49" i="121"/>
  <c r="N49" i="125" s="1"/>
  <c r="N38" i="121"/>
  <c r="N38" i="125" s="1"/>
  <c r="N46" i="121"/>
  <c r="N46" i="125" s="1"/>
  <c r="N60" i="121"/>
  <c r="N60" i="125" s="1"/>
  <c r="N50" i="121"/>
  <c r="N50" i="125" s="1"/>
  <c r="N52" i="121"/>
  <c r="N52" i="125" s="1"/>
  <c r="N43" i="121"/>
  <c r="N63" i="121"/>
  <c r="N63" i="125" s="1"/>
  <c r="N30" i="121"/>
  <c r="N20" i="121"/>
  <c r="N58" i="121"/>
  <c r="N58" i="125" s="1"/>
  <c r="N66" i="121"/>
  <c r="N66" i="125" s="1"/>
  <c r="N31" i="121"/>
  <c r="N31" i="125" s="1"/>
  <c r="N33" i="121"/>
  <c r="N33" i="125" s="1"/>
  <c r="N21" i="121"/>
  <c r="N21" i="125" s="1"/>
  <c r="N53" i="121"/>
  <c r="N53" i="125" s="1"/>
  <c r="N39" i="121"/>
  <c r="N39" i="125" s="1"/>
  <c r="N26" i="121"/>
  <c r="N26" i="125" s="1"/>
  <c r="N48" i="121"/>
  <c r="N25" i="121"/>
  <c r="N25" i="125" s="1"/>
  <c r="H29" i="110"/>
  <c r="R43" i="177"/>
  <c r="S43" i="177" s="1"/>
  <c r="I48" i="110"/>
  <c r="I30" i="110"/>
  <c r="H61" i="110"/>
  <c r="L13" i="124"/>
  <c r="L8" i="124"/>
  <c r="L14" i="124"/>
  <c r="L11" i="124"/>
  <c r="L5" i="134"/>
  <c r="F7" i="110"/>
  <c r="J28" i="110"/>
  <c r="J41" i="110"/>
  <c r="K64" i="126"/>
  <c r="R25" i="177"/>
  <c r="S25" i="177" s="1"/>
  <c r="I65" i="110"/>
  <c r="J34" i="110"/>
  <c r="I62" i="110"/>
  <c r="R51" i="177"/>
  <c r="S51" i="177" s="1"/>
  <c r="L36" i="126"/>
  <c r="L14" i="121"/>
  <c r="L14" i="125" s="1"/>
  <c r="L55" i="125"/>
  <c r="L61" i="125"/>
  <c r="L15" i="121"/>
  <c r="L15" i="125" s="1"/>
  <c r="M57" i="126"/>
  <c r="M30" i="125"/>
  <c r="M29" i="121"/>
  <c r="M34" i="126"/>
  <c r="M21" i="126"/>
  <c r="M52" i="126"/>
  <c r="M53" i="126"/>
  <c r="M40" i="126"/>
  <c r="M50" i="126"/>
  <c r="M51" i="126"/>
  <c r="J46" i="110"/>
  <c r="J45" i="110"/>
  <c r="R20" i="177"/>
  <c r="S20" i="177" s="1"/>
  <c r="I36" i="110"/>
  <c r="R30" i="177"/>
  <c r="S30" i="177" s="1"/>
  <c r="J26" i="110"/>
  <c r="J33" i="110"/>
  <c r="J38" i="110"/>
  <c r="I18" i="126"/>
  <c r="H35" i="110"/>
  <c r="R61" i="177"/>
  <c r="S61" i="177" s="1"/>
  <c r="J51" i="110"/>
  <c r="R49" i="177"/>
  <c r="S49" i="177" s="1"/>
  <c r="R38" i="177"/>
  <c r="S38" i="177" s="1"/>
  <c r="J44" i="110"/>
  <c r="J21" i="110"/>
  <c r="J63" i="110"/>
  <c r="R44" i="177"/>
  <c r="S44" i="177" s="1"/>
  <c r="R47" i="177"/>
  <c r="S47" i="177" s="1"/>
  <c r="L42" i="125"/>
  <c r="L12" i="121"/>
  <c r="L12" i="125" s="1"/>
  <c r="L47" i="125"/>
  <c r="L13" i="121"/>
  <c r="L13" i="125" s="1"/>
  <c r="L10" i="121"/>
  <c r="L10" i="125" s="1"/>
  <c r="L29" i="125"/>
  <c r="L16" i="121"/>
  <c r="L16" i="125" s="1"/>
  <c r="L64" i="125"/>
  <c r="L20" i="126"/>
  <c r="M42" i="124"/>
  <c r="M23" i="124"/>
  <c r="M47" i="124"/>
  <c r="M19" i="124"/>
  <c r="R18" i="170"/>
  <c r="S18" i="170" s="1"/>
  <c r="J59" i="110"/>
  <c r="J31" i="110"/>
  <c r="J66" i="110"/>
  <c r="R54" i="170"/>
  <c r="S54" i="170" s="1"/>
  <c r="H55" i="110"/>
  <c r="K61" i="126"/>
  <c r="N51" i="124"/>
  <c r="N34" i="124"/>
  <c r="N41" i="124"/>
  <c r="N36" i="124"/>
  <c r="N32" i="124"/>
  <c r="N31" i="124"/>
  <c r="N56" i="124"/>
  <c r="N33" i="124"/>
  <c r="N54" i="124"/>
  <c r="N39" i="124"/>
  <c r="N26" i="124"/>
  <c r="N48" i="124"/>
  <c r="N22" i="124"/>
  <c r="N25" i="124"/>
  <c r="N49" i="124"/>
  <c r="N38" i="124"/>
  <c r="N46" i="124"/>
  <c r="N60" i="124"/>
  <c r="N24" i="124"/>
  <c r="N50" i="124"/>
  <c r="N52" i="124"/>
  <c r="N43" i="124"/>
  <c r="N63" i="124"/>
  <c r="N58" i="124"/>
  <c r="N57" i="124"/>
  <c r="N67" i="124"/>
  <c r="N62" i="124"/>
  <c r="N66" i="124"/>
  <c r="N27" i="124"/>
  <c r="N21" i="124"/>
  <c r="N53" i="124"/>
  <c r="N59" i="124"/>
  <c r="N45" i="124"/>
  <c r="N28" i="124"/>
  <c r="N44" i="124"/>
  <c r="N37" i="124"/>
  <c r="N40" i="124"/>
  <c r="N30" i="124"/>
  <c r="N20" i="124"/>
  <c r="N65" i="124"/>
  <c r="R28" i="170"/>
  <c r="S28" i="170" s="1"/>
  <c r="J54" i="110"/>
  <c r="J32" i="110"/>
  <c r="J60" i="110"/>
  <c r="R35" i="177"/>
  <c r="S35" i="177" s="1"/>
  <c r="R60" i="170"/>
  <c r="S60" i="170" s="1"/>
  <c r="L9" i="124"/>
  <c r="R63" i="170"/>
  <c r="S63" i="170" s="1"/>
  <c r="H64" i="110"/>
  <c r="S7" i="93" l="1"/>
  <c r="S6" i="93" s="1"/>
  <c r="S6" i="127" s="1"/>
  <c r="S5" i="127" s="1"/>
  <c r="D56" i="212"/>
  <c r="W35" i="93"/>
  <c r="D34" i="212"/>
  <c r="D58" i="212"/>
  <c r="D61" i="212"/>
  <c r="D36" i="212"/>
  <c r="W55" i="93"/>
  <c r="D54" i="212"/>
  <c r="D47" i="212"/>
  <c r="T81" i="121"/>
  <c r="T81" i="124" s="1"/>
  <c r="W61" i="93"/>
  <c r="D60" i="212"/>
  <c r="D57" i="212"/>
  <c r="D52" i="212"/>
  <c r="D31" i="212"/>
  <c r="D35" i="212"/>
  <c r="D51" i="212"/>
  <c r="D50" i="212"/>
  <c r="D23" i="212"/>
  <c r="D55" i="212"/>
  <c r="D43" i="212"/>
  <c r="D42" i="212"/>
  <c r="D63" i="212"/>
  <c r="W64" i="93"/>
  <c r="D30" i="212"/>
  <c r="D25" i="212"/>
  <c r="D32" i="212"/>
  <c r="D26" i="212"/>
  <c r="D37" i="212"/>
  <c r="D65" i="212"/>
  <c r="D29" i="212"/>
  <c r="D19" i="212"/>
  <c r="D24" i="212"/>
  <c r="D18" i="212"/>
  <c r="W19" i="93"/>
  <c r="D46" i="212"/>
  <c r="W47" i="93"/>
  <c r="W29" i="93"/>
  <c r="D28" i="212"/>
  <c r="D38" i="212"/>
  <c r="W42" i="93"/>
  <c r="D41" i="212"/>
  <c r="D48" i="212"/>
  <c r="D44" i="212"/>
  <c r="D64" i="212"/>
  <c r="D49" i="212"/>
  <c r="D20" i="212"/>
  <c r="D22" i="212"/>
  <c r="W23" i="93"/>
  <c r="D39" i="212"/>
  <c r="S17" i="93"/>
  <c r="D83" i="205"/>
  <c r="K51" i="211"/>
  <c r="GS53" i="129" s="1"/>
  <c r="D87" i="205"/>
  <c r="D77" i="194"/>
  <c r="D119" i="205"/>
  <c r="D109" i="211"/>
  <c r="K39" i="211"/>
  <c r="K36" i="211"/>
  <c r="D91" i="211"/>
  <c r="K41" i="211"/>
  <c r="K30" i="211"/>
  <c r="GS32" i="129" s="1"/>
  <c r="K37" i="211"/>
  <c r="K18" i="211"/>
  <c r="GS20" i="129" s="1"/>
  <c r="D97" i="211"/>
  <c r="K34" i="211"/>
  <c r="GS36" i="129" s="1"/>
  <c r="K26" i="211"/>
  <c r="GS28" i="129" s="1"/>
  <c r="K32" i="211"/>
  <c r="GS34" i="129" s="1"/>
  <c r="K19" i="211"/>
  <c r="GS21" i="129" s="1"/>
  <c r="K28" i="211"/>
  <c r="GS30" i="129" s="1"/>
  <c r="K44" i="211"/>
  <c r="D89" i="211"/>
  <c r="K22" i="211"/>
  <c r="GS24" i="129" s="1"/>
  <c r="K29" i="211"/>
  <c r="GS31" i="129" s="1"/>
  <c r="D108" i="211"/>
  <c r="K38" i="211"/>
  <c r="D112" i="211"/>
  <c r="D101" i="211"/>
  <c r="K24" i="211"/>
  <c r="GS26" i="129" s="1"/>
  <c r="R7" i="127"/>
  <c r="T18" i="93"/>
  <c r="D104" i="211"/>
  <c r="V25" i="110"/>
  <c r="D82" i="192"/>
  <c r="K65" i="211"/>
  <c r="GS67" i="129" s="1"/>
  <c r="D129" i="211"/>
  <c r="D127" i="211"/>
  <c r="D45" i="207"/>
  <c r="V47" i="110" s="1"/>
  <c r="D114" i="211"/>
  <c r="D130" i="211"/>
  <c r="K23" i="211"/>
  <c r="GS25" i="129" s="1"/>
  <c r="D121" i="211"/>
  <c r="D98" i="211"/>
  <c r="D96" i="211"/>
  <c r="U47" i="127"/>
  <c r="K54" i="211"/>
  <c r="GS56" i="129" s="1"/>
  <c r="D85" i="211"/>
  <c r="D94" i="211"/>
  <c r="D88" i="211"/>
  <c r="D118" i="211"/>
  <c r="D84" i="211"/>
  <c r="D103" i="211"/>
  <c r="K47" i="211"/>
  <c r="GS49" i="129" s="1"/>
  <c r="K25" i="211"/>
  <c r="GS27" i="129" s="1"/>
  <c r="D95" i="211"/>
  <c r="K49" i="211"/>
  <c r="GS51" i="129" s="1"/>
  <c r="D105" i="211"/>
  <c r="K57" i="211"/>
  <c r="GS59" i="129" s="1"/>
  <c r="K35" i="211"/>
  <c r="GS37" i="129" s="1"/>
  <c r="D90" i="211"/>
  <c r="V26" i="110"/>
  <c r="D122" i="211"/>
  <c r="D102" i="211"/>
  <c r="D117" i="211"/>
  <c r="D21" i="211"/>
  <c r="V12" i="93"/>
  <c r="V12" i="127" s="1"/>
  <c r="V11" i="93"/>
  <c r="V11" i="127" s="1"/>
  <c r="V10" i="93"/>
  <c r="V10" i="127" s="1"/>
  <c r="D124" i="211"/>
  <c r="V13" i="93"/>
  <c r="V13" i="127" s="1"/>
  <c r="D107" i="211"/>
  <c r="V64" i="127"/>
  <c r="V15" i="93"/>
  <c r="V15" i="127" s="1"/>
  <c r="V14" i="93"/>
  <c r="V14" i="127" s="1"/>
  <c r="D17" i="211"/>
  <c r="V43" i="110"/>
  <c r="D126" i="207"/>
  <c r="U23" i="127"/>
  <c r="D96" i="207"/>
  <c r="D88" i="207"/>
  <c r="V39" i="110"/>
  <c r="V16" i="93"/>
  <c r="V16" i="127" s="1"/>
  <c r="U9" i="93"/>
  <c r="U9" i="127" s="1"/>
  <c r="D91" i="207"/>
  <c r="D59" i="207"/>
  <c r="V61" i="110" s="1"/>
  <c r="D59" i="211"/>
  <c r="D13" i="211" s="1"/>
  <c r="U61" i="127"/>
  <c r="D53" i="207"/>
  <c r="V55" i="110" s="1"/>
  <c r="U42" i="127"/>
  <c r="D40" i="207"/>
  <c r="V42" i="110" s="1"/>
  <c r="U64" i="127"/>
  <c r="D62" i="211"/>
  <c r="D14" i="211" s="1"/>
  <c r="D62" i="207"/>
  <c r="V64" i="110" s="1"/>
  <c r="D100" i="211"/>
  <c r="V61" i="127"/>
  <c r="D126" i="211"/>
  <c r="K46" i="211"/>
  <c r="K42" i="211"/>
  <c r="V42" i="127"/>
  <c r="K43" i="211"/>
  <c r="D116" i="211"/>
  <c r="D27" i="211"/>
  <c r="D40" i="211"/>
  <c r="D33" i="207"/>
  <c r="V35" i="110" s="1"/>
  <c r="D118" i="207"/>
  <c r="U11" i="93"/>
  <c r="U11" i="127" s="1"/>
  <c r="D53" i="211"/>
  <c r="D12" i="211" s="1"/>
  <c r="V47" i="127"/>
  <c r="V67" i="110"/>
  <c r="D45" i="211"/>
  <c r="K31" i="211"/>
  <c r="GS33" i="129" s="1"/>
  <c r="D92" i="211"/>
  <c r="D27" i="207"/>
  <c r="V29" i="110" s="1"/>
  <c r="V23" i="127"/>
  <c r="U8" i="93"/>
  <c r="U8" i="127" s="1"/>
  <c r="D33" i="211"/>
  <c r="U10" i="93"/>
  <c r="U10" i="127" s="1"/>
  <c r="U19" i="127"/>
  <c r="U14" i="93"/>
  <c r="U14" i="127" s="1"/>
  <c r="D110" i="211"/>
  <c r="V35" i="127"/>
  <c r="V9" i="93"/>
  <c r="V9" i="127" s="1"/>
  <c r="V29" i="127"/>
  <c r="V19" i="127"/>
  <c r="V8" i="93"/>
  <c r="V8" i="127" s="1"/>
  <c r="V55" i="127"/>
  <c r="D76" i="205"/>
  <c r="D77" i="205"/>
  <c r="D73" i="205"/>
  <c r="K59" i="211"/>
  <c r="D83" i="207"/>
  <c r="D6" i="207"/>
  <c r="V8" i="110" s="1"/>
  <c r="D87" i="207"/>
  <c r="D7" i="207"/>
  <c r="V9" i="110" s="1"/>
  <c r="D80" i="205"/>
  <c r="T78" i="121"/>
  <c r="T78" i="124" s="1"/>
  <c r="T86" i="121"/>
  <c r="T86" i="124" s="1"/>
  <c r="D72" i="205"/>
  <c r="T80" i="121"/>
  <c r="T80" i="124" s="1"/>
  <c r="T84" i="121"/>
  <c r="T84" i="124" s="1"/>
  <c r="D75" i="205"/>
  <c r="D74" i="205"/>
  <c r="D78" i="205"/>
  <c r="D82" i="194"/>
  <c r="R16" i="134"/>
  <c r="S16" i="134" s="1"/>
  <c r="AN7" i="129"/>
  <c r="AN6" i="129" s="1"/>
  <c r="AN1" i="129" s="1"/>
  <c r="F6" i="110"/>
  <c r="F5" i="110" s="1"/>
  <c r="L4" i="134"/>
  <c r="R4" i="134" s="1"/>
  <c r="S4" i="134" s="1"/>
  <c r="L16" i="157"/>
  <c r="L67" i="157" s="1"/>
  <c r="L69" i="157" s="1"/>
  <c r="G18" i="110"/>
  <c r="K4" i="157"/>
  <c r="AX18" i="129"/>
  <c r="AQ18" i="129" s="1"/>
  <c r="AR18" i="129" s="1"/>
  <c r="L4" i="153"/>
  <c r="R4" i="153" s="1"/>
  <c r="C6" i="110"/>
  <c r="C5" i="110" s="1"/>
  <c r="I102" i="188"/>
  <c r="I124" i="188"/>
  <c r="I123" i="188"/>
  <c r="I103" i="188"/>
  <c r="I98" i="188"/>
  <c r="I109" i="188"/>
  <c r="I118" i="188"/>
  <c r="I128" i="188"/>
  <c r="I114" i="188"/>
  <c r="I91" i="188"/>
  <c r="I106" i="188"/>
  <c r="BR61" i="129"/>
  <c r="BR15" i="129" s="1"/>
  <c r="BR64" i="129"/>
  <c r="BR16" i="129" s="1"/>
  <c r="BR29" i="129"/>
  <c r="BR10" i="129" s="1"/>
  <c r="CL54" i="129"/>
  <c r="CE54" i="129" s="1"/>
  <c r="CF54" i="129" s="1"/>
  <c r="CB62" i="129"/>
  <c r="BU62" i="129" s="1"/>
  <c r="CL49" i="129"/>
  <c r="CE49" i="129" s="1"/>
  <c r="CF49" i="129" s="1"/>
  <c r="CL31" i="129"/>
  <c r="CE31" i="129" s="1"/>
  <c r="CF31" i="129" s="1"/>
  <c r="CL46" i="129"/>
  <c r="CE46" i="129" s="1"/>
  <c r="CF46" i="129" s="1"/>
  <c r="CL57" i="129"/>
  <c r="CE57" i="129" s="1"/>
  <c r="CF57" i="129" s="1"/>
  <c r="CL67" i="129"/>
  <c r="CE67" i="129" s="1"/>
  <c r="CF67" i="129" s="1"/>
  <c r="CL33" i="129"/>
  <c r="CE33" i="129" s="1"/>
  <c r="CF33" i="129" s="1"/>
  <c r="CL60" i="129"/>
  <c r="CE60" i="129" s="1"/>
  <c r="CF60" i="129" s="1"/>
  <c r="CL38" i="129"/>
  <c r="CE38" i="129" s="1"/>
  <c r="CF38" i="129" s="1"/>
  <c r="BR55" i="129"/>
  <c r="BR14" i="129" s="1"/>
  <c r="I86" i="188"/>
  <c r="I90" i="188"/>
  <c r="I96" i="188"/>
  <c r="CB20" i="129"/>
  <c r="BU20" i="129" s="1"/>
  <c r="CL34" i="129"/>
  <c r="CE34" i="129" s="1"/>
  <c r="CF34" i="129" s="1"/>
  <c r="H67" i="177"/>
  <c r="H69" i="177" s="1"/>
  <c r="CL44" i="129"/>
  <c r="CE44" i="129" s="1"/>
  <c r="CF44" i="129" s="1"/>
  <c r="CL59" i="129"/>
  <c r="CE59" i="129" s="1"/>
  <c r="CF59" i="129" s="1"/>
  <c r="CL39" i="129"/>
  <c r="CE39" i="129" s="1"/>
  <c r="CF39" i="129" s="1"/>
  <c r="CB43" i="129"/>
  <c r="BU43" i="129" s="1"/>
  <c r="CL37" i="129"/>
  <c r="CE37" i="129" s="1"/>
  <c r="CF37" i="129" s="1"/>
  <c r="CB65" i="129"/>
  <c r="BU65" i="129" s="1"/>
  <c r="BR23" i="129"/>
  <c r="BR9" i="129" s="1"/>
  <c r="BR19" i="129"/>
  <c r="BR8" i="129" s="1"/>
  <c r="CL26" i="129"/>
  <c r="CE26" i="129" s="1"/>
  <c r="CF26" i="129" s="1"/>
  <c r="CB36" i="129"/>
  <c r="BU36" i="129" s="1"/>
  <c r="I93" i="188"/>
  <c r="I132" i="188"/>
  <c r="I125" i="188"/>
  <c r="I104" i="188"/>
  <c r="I99" i="188"/>
  <c r="CB56" i="129"/>
  <c r="BU56" i="129" s="1"/>
  <c r="CB48" i="129"/>
  <c r="BU48" i="129" s="1"/>
  <c r="I105" i="188"/>
  <c r="I110" i="188"/>
  <c r="I92" i="188"/>
  <c r="I122" i="188"/>
  <c r="I117" i="188"/>
  <c r="I111" i="188"/>
  <c r="I87" i="188"/>
  <c r="I119" i="188"/>
  <c r="I97" i="188"/>
  <c r="I116" i="188"/>
  <c r="BR35" i="129"/>
  <c r="BR11" i="129" s="1"/>
  <c r="CL41" i="129"/>
  <c r="CE41" i="129" s="1"/>
  <c r="CF41" i="129" s="1"/>
  <c r="BR47" i="129"/>
  <c r="BR13" i="129" s="1"/>
  <c r="CL58" i="129"/>
  <c r="CE58" i="129" s="1"/>
  <c r="CF58" i="129" s="1"/>
  <c r="CB30" i="129"/>
  <c r="BU30" i="129" s="1"/>
  <c r="CL32" i="129"/>
  <c r="CE32" i="129" s="1"/>
  <c r="CF32" i="129" s="1"/>
  <c r="CL22" i="129"/>
  <c r="CE22" i="129" s="1"/>
  <c r="CF22" i="129" s="1"/>
  <c r="CL52" i="129"/>
  <c r="CE52" i="129" s="1"/>
  <c r="CF52" i="129" s="1"/>
  <c r="CL50" i="129"/>
  <c r="CE50" i="129" s="1"/>
  <c r="CF50" i="129" s="1"/>
  <c r="BR42" i="129"/>
  <c r="BR12" i="129" s="1"/>
  <c r="I131" i="188"/>
  <c r="I115" i="188"/>
  <c r="CL51" i="129"/>
  <c r="CE51" i="129" s="1"/>
  <c r="CF51" i="129" s="1"/>
  <c r="CL21" i="129"/>
  <c r="CE21" i="129" s="1"/>
  <c r="CF21" i="129" s="1"/>
  <c r="CL27" i="129"/>
  <c r="CE27" i="129" s="1"/>
  <c r="CF27" i="129" s="1"/>
  <c r="CL28" i="129"/>
  <c r="CE28" i="129" s="1"/>
  <c r="CF28" i="129" s="1"/>
  <c r="CB24" i="129"/>
  <c r="BU24" i="129" s="1"/>
  <c r="CL25" i="129"/>
  <c r="CE25" i="129" s="1"/>
  <c r="CF25" i="129" s="1"/>
  <c r="CL40" i="129"/>
  <c r="CE40" i="129" s="1"/>
  <c r="CF40" i="129" s="1"/>
  <c r="CL45" i="129"/>
  <c r="CE45" i="129" s="1"/>
  <c r="CF45" i="129" s="1"/>
  <c r="CL66" i="129"/>
  <c r="CE66" i="129" s="1"/>
  <c r="CF66" i="129" s="1"/>
  <c r="CL53" i="129"/>
  <c r="CE53" i="129" s="1"/>
  <c r="CF53" i="129" s="1"/>
  <c r="CL63" i="129"/>
  <c r="CE63" i="129" s="1"/>
  <c r="CF63" i="129" s="1"/>
  <c r="K67" i="157"/>
  <c r="K69" i="157" s="1"/>
  <c r="R5" i="134"/>
  <c r="S5" i="134" s="1"/>
  <c r="L4" i="152"/>
  <c r="D6" i="110"/>
  <c r="D5" i="110" s="1"/>
  <c r="F67" i="170"/>
  <c r="F69" i="170" s="1"/>
  <c r="R5" i="151"/>
  <c r="S5" i="151" s="1"/>
  <c r="L5" i="152"/>
  <c r="D7" i="110"/>
  <c r="C7" i="110"/>
  <c r="L5" i="153"/>
  <c r="L67" i="134"/>
  <c r="L69" i="134" s="1"/>
  <c r="AD1" i="129"/>
  <c r="Z31" i="129"/>
  <c r="Z49" i="129"/>
  <c r="Z37" i="129"/>
  <c r="Z36" i="129"/>
  <c r="Z21" i="129"/>
  <c r="Z50" i="129"/>
  <c r="Z54" i="129"/>
  <c r="Z41" i="129"/>
  <c r="Z38" i="129"/>
  <c r="Z52" i="129"/>
  <c r="Z66" i="129"/>
  <c r="Z25" i="129"/>
  <c r="Z40" i="129"/>
  <c r="Z53" i="129"/>
  <c r="Z30" i="129"/>
  <c r="Z22" i="129"/>
  <c r="Z63" i="129"/>
  <c r="Z45" i="129"/>
  <c r="Z34" i="129"/>
  <c r="Z56" i="129"/>
  <c r="Z46" i="129"/>
  <c r="Z67" i="129"/>
  <c r="Z57" i="129"/>
  <c r="Z51" i="129"/>
  <c r="Z20" i="129"/>
  <c r="Z43" i="129"/>
  <c r="Z60" i="129"/>
  <c r="Z65" i="129"/>
  <c r="Z27" i="129"/>
  <c r="Z26" i="129"/>
  <c r="Z44" i="129"/>
  <c r="Z39" i="129"/>
  <c r="Z32" i="129"/>
  <c r="Z58" i="129"/>
  <c r="Z59" i="129"/>
  <c r="Z28" i="129"/>
  <c r="Z62" i="129"/>
  <c r="Z48" i="129"/>
  <c r="Z33" i="129"/>
  <c r="Z24" i="129"/>
  <c r="J7" i="129"/>
  <c r="J6" i="129" s="1"/>
  <c r="C18" i="129"/>
  <c r="X18" i="129"/>
  <c r="W7" i="129"/>
  <c r="W6" i="129" s="1"/>
  <c r="W1" i="129" s="1"/>
  <c r="L67" i="153"/>
  <c r="L69" i="153" s="1"/>
  <c r="R16" i="153"/>
  <c r="S16" i="153" s="1"/>
  <c r="L67" i="152"/>
  <c r="L69" i="152" s="1"/>
  <c r="R16" i="152"/>
  <c r="S16" i="152" s="1"/>
  <c r="T7" i="129"/>
  <c r="T6" i="129" s="1"/>
  <c r="M18" i="129"/>
  <c r="K7" i="124"/>
  <c r="K6" i="124" s="1"/>
  <c r="K17" i="124"/>
  <c r="BK55" i="129"/>
  <c r="BK14" i="129" s="1"/>
  <c r="BL56" i="129"/>
  <c r="BK61" i="129"/>
  <c r="BK15" i="129" s="1"/>
  <c r="BL62" i="129"/>
  <c r="BL61" i="129" s="1"/>
  <c r="BL15" i="129" s="1"/>
  <c r="AG7" i="129"/>
  <c r="AG6" i="129" s="1"/>
  <c r="AG1" i="129" s="1"/>
  <c r="BB55" i="129"/>
  <c r="BB14" i="129" s="1"/>
  <c r="BB47" i="129"/>
  <c r="BB13" i="129" s="1"/>
  <c r="BB23" i="129"/>
  <c r="BB9" i="129" s="1"/>
  <c r="BK23" i="129"/>
  <c r="BK9" i="129" s="1"/>
  <c r="BL24" i="129"/>
  <c r="BK35" i="129"/>
  <c r="BK11" i="129" s="1"/>
  <c r="BL36" i="129"/>
  <c r="BK64" i="129"/>
  <c r="BK16" i="129" s="1"/>
  <c r="BL65" i="129"/>
  <c r="BL64" i="129" s="1"/>
  <c r="BL16" i="129" s="1"/>
  <c r="BK47" i="129"/>
  <c r="BK13" i="129" s="1"/>
  <c r="BL48" i="129"/>
  <c r="BK42" i="129"/>
  <c r="BK12" i="129" s="1"/>
  <c r="BL43" i="129"/>
  <c r="BB35" i="129"/>
  <c r="BB11" i="129" s="1"/>
  <c r="BB42" i="129"/>
  <c r="BB12" i="129" s="1"/>
  <c r="BB19" i="129"/>
  <c r="BB8" i="129" s="1"/>
  <c r="BK29" i="129"/>
  <c r="BK10" i="129" s="1"/>
  <c r="BL30" i="129"/>
  <c r="BL29" i="129" s="1"/>
  <c r="BL10" i="129" s="1"/>
  <c r="BK19" i="129"/>
  <c r="BK8" i="129" s="1"/>
  <c r="BL20" i="129"/>
  <c r="R77" i="121"/>
  <c r="R77" i="124" s="1"/>
  <c r="D71" i="194"/>
  <c r="Q88" i="121"/>
  <c r="Q88" i="124" s="1"/>
  <c r="D71" i="192"/>
  <c r="U5" i="191"/>
  <c r="L13" i="126"/>
  <c r="L16" i="126"/>
  <c r="L10" i="126"/>
  <c r="R76" i="121"/>
  <c r="R76" i="124" s="1"/>
  <c r="L15" i="126"/>
  <c r="L12" i="126"/>
  <c r="L14" i="126"/>
  <c r="R62" i="170"/>
  <c r="S62" i="170" s="1"/>
  <c r="R58" i="178"/>
  <c r="S58" i="178" s="1"/>
  <c r="R30" i="178"/>
  <c r="S30" i="178" s="1"/>
  <c r="R52" i="178"/>
  <c r="S52" i="178" s="1"/>
  <c r="J36" i="110"/>
  <c r="N64" i="124"/>
  <c r="N29" i="124"/>
  <c r="N42" i="124"/>
  <c r="N47" i="124"/>
  <c r="N35" i="124"/>
  <c r="H14" i="110"/>
  <c r="R64" i="178"/>
  <c r="S64" i="178" s="1"/>
  <c r="R57" i="178"/>
  <c r="S57" i="178" s="1"/>
  <c r="M13" i="124"/>
  <c r="M9" i="124"/>
  <c r="M12" i="124"/>
  <c r="L47" i="126"/>
  <c r="L42" i="126"/>
  <c r="R19" i="178"/>
  <c r="S19" i="178" s="1"/>
  <c r="R42" i="178"/>
  <c r="S42" i="178" s="1"/>
  <c r="K34" i="110"/>
  <c r="K27" i="110"/>
  <c r="R49" i="178"/>
  <c r="S49" i="178" s="1"/>
  <c r="R33" i="170"/>
  <c r="S33" i="170" s="1"/>
  <c r="R36" i="178"/>
  <c r="S36" i="178" s="1"/>
  <c r="R31" i="178"/>
  <c r="S31" i="178" s="1"/>
  <c r="R43" i="178"/>
  <c r="S43" i="178" s="1"/>
  <c r="R44" i="178"/>
  <c r="S44" i="178" s="1"/>
  <c r="M10" i="121"/>
  <c r="M10" i="125" s="1"/>
  <c r="M29" i="125"/>
  <c r="L61" i="126"/>
  <c r="R60" i="177"/>
  <c r="S60" i="177" s="1"/>
  <c r="G7" i="110"/>
  <c r="L5" i="157"/>
  <c r="R32" i="178"/>
  <c r="S32" i="178" s="1"/>
  <c r="R39" i="178"/>
  <c r="S39" i="178" s="1"/>
  <c r="R26" i="178"/>
  <c r="S26" i="178" s="1"/>
  <c r="I29" i="110"/>
  <c r="I47" i="110"/>
  <c r="R27" i="170"/>
  <c r="S27" i="170" s="1"/>
  <c r="N48" i="125"/>
  <c r="N47" i="121"/>
  <c r="N39" i="126"/>
  <c r="N21" i="126"/>
  <c r="N31" i="126"/>
  <c r="N58" i="126"/>
  <c r="N29" i="121"/>
  <c r="N30" i="125"/>
  <c r="N43" i="125"/>
  <c r="N42" i="121"/>
  <c r="N50" i="126"/>
  <c r="N46" i="126"/>
  <c r="N49" i="126"/>
  <c r="N57" i="126"/>
  <c r="N45" i="126"/>
  <c r="N54" i="126"/>
  <c r="N56" i="125"/>
  <c r="N55" i="121"/>
  <c r="N35" i="121"/>
  <c r="N36" i="125"/>
  <c r="N64" i="121"/>
  <c r="N65" i="125"/>
  <c r="N23" i="121"/>
  <c r="N24" i="125"/>
  <c r="N44" i="126"/>
  <c r="N34" i="126"/>
  <c r="N51" i="126"/>
  <c r="K25" i="110"/>
  <c r="K44" i="110"/>
  <c r="K59" i="110"/>
  <c r="K45" i="110"/>
  <c r="K66" i="110"/>
  <c r="J62" i="110"/>
  <c r="J43" i="110"/>
  <c r="H8" i="110"/>
  <c r="M16" i="124"/>
  <c r="M14" i="124"/>
  <c r="M11" i="124"/>
  <c r="M15" i="124"/>
  <c r="L8" i="125"/>
  <c r="L8" i="126" s="1"/>
  <c r="L18" i="121"/>
  <c r="L17" i="121" s="1"/>
  <c r="K37" i="110"/>
  <c r="K53" i="110"/>
  <c r="K32" i="110"/>
  <c r="K31" i="110"/>
  <c r="O54" i="121"/>
  <c r="O54" i="125" s="1"/>
  <c r="O51" i="121"/>
  <c r="O51" i="125" s="1"/>
  <c r="O52" i="121"/>
  <c r="O52" i="125" s="1"/>
  <c r="O63" i="121"/>
  <c r="O63" i="125" s="1"/>
  <c r="O22" i="121"/>
  <c r="O22" i="125" s="1"/>
  <c r="O56" i="121"/>
  <c r="O65" i="121"/>
  <c r="O28" i="121"/>
  <c r="O28" i="125" s="1"/>
  <c r="O36" i="121"/>
  <c r="O50" i="121"/>
  <c r="O50" i="125" s="1"/>
  <c r="O44" i="121"/>
  <c r="O44" i="125" s="1"/>
  <c r="O26" i="121"/>
  <c r="O26" i="125" s="1"/>
  <c r="O21" i="121"/>
  <c r="O21" i="125" s="1"/>
  <c r="O66" i="121"/>
  <c r="O66" i="125" s="1"/>
  <c r="O60" i="121"/>
  <c r="O60" i="125" s="1"/>
  <c r="O24" i="121"/>
  <c r="O57" i="121"/>
  <c r="O57" i="125" s="1"/>
  <c r="O39" i="121"/>
  <c r="O39" i="125" s="1"/>
  <c r="O46" i="121"/>
  <c r="O46" i="125" s="1"/>
  <c r="O62" i="121"/>
  <c r="O45" i="121"/>
  <c r="O45" i="125" s="1"/>
  <c r="O49" i="121"/>
  <c r="O49" i="125" s="1"/>
  <c r="O33" i="121"/>
  <c r="O33" i="125" s="1"/>
  <c r="O58" i="121"/>
  <c r="O58" i="125" s="1"/>
  <c r="O37" i="121"/>
  <c r="O37" i="125" s="1"/>
  <c r="O43" i="121"/>
  <c r="O34" i="121"/>
  <c r="O34" i="125" s="1"/>
  <c r="O41" i="121"/>
  <c r="O41" i="125" s="1"/>
  <c r="O25" i="121"/>
  <c r="O25" i="125" s="1"/>
  <c r="O38" i="121"/>
  <c r="O38" i="125" s="1"/>
  <c r="O40" i="121"/>
  <c r="O40" i="125" s="1"/>
  <c r="O32" i="121"/>
  <c r="O32" i="125" s="1"/>
  <c r="O30" i="121"/>
  <c r="O20" i="121"/>
  <c r="O31" i="121"/>
  <c r="O31" i="125" s="1"/>
  <c r="O59" i="121"/>
  <c r="O59" i="125" s="1"/>
  <c r="O27" i="121"/>
  <c r="O27" i="125" s="1"/>
  <c r="O48" i="121"/>
  <c r="O53" i="121"/>
  <c r="O53" i="125" s="1"/>
  <c r="O67" i="121"/>
  <c r="O67" i="125" s="1"/>
  <c r="R40" i="170"/>
  <c r="S40" i="170" s="1"/>
  <c r="J6" i="121"/>
  <c r="J6" i="125" s="1"/>
  <c r="J6" i="126" s="1"/>
  <c r="J5" i="126" s="1"/>
  <c r="J7" i="125"/>
  <c r="J7" i="126" s="1"/>
  <c r="R25" i="178"/>
  <c r="S25" i="178" s="1"/>
  <c r="K57" i="110"/>
  <c r="K22" i="110"/>
  <c r="K52" i="110"/>
  <c r="K33" i="110"/>
  <c r="R55" i="178"/>
  <c r="S55" i="178" s="1"/>
  <c r="M62" i="126"/>
  <c r="M55" i="125"/>
  <c r="M14" i="121"/>
  <c r="M14" i="125" s="1"/>
  <c r="M19" i="125"/>
  <c r="M8" i="121"/>
  <c r="M13" i="121"/>
  <c r="M13" i="125" s="1"/>
  <c r="M47" i="125"/>
  <c r="L35" i="126"/>
  <c r="R20" i="178"/>
  <c r="S20" i="178" s="1"/>
  <c r="R37" i="178"/>
  <c r="S37" i="178" s="1"/>
  <c r="K38" i="110"/>
  <c r="R54" i="177"/>
  <c r="S54" i="177" s="1"/>
  <c r="R18" i="177"/>
  <c r="S18" i="177" s="1"/>
  <c r="H13" i="110"/>
  <c r="R41" i="177"/>
  <c r="S41" i="177" s="1"/>
  <c r="I42" i="110"/>
  <c r="M43" i="126"/>
  <c r="M9" i="121"/>
  <c r="M9" i="125" s="1"/>
  <c r="M23" i="125"/>
  <c r="M65" i="126"/>
  <c r="M36" i="126"/>
  <c r="L23" i="126"/>
  <c r="K63" i="110"/>
  <c r="H16" i="110"/>
  <c r="J56" i="110"/>
  <c r="J48" i="110"/>
  <c r="N19" i="124"/>
  <c r="N61" i="124"/>
  <c r="N23" i="124"/>
  <c r="N55" i="124"/>
  <c r="R53" i="170"/>
  <c r="S53" i="170" s="1"/>
  <c r="R29" i="178"/>
  <c r="S29" i="178" s="1"/>
  <c r="M8" i="124"/>
  <c r="L64" i="126"/>
  <c r="L29" i="126"/>
  <c r="R61" i="178"/>
  <c r="S61" i="178" s="1"/>
  <c r="J20" i="110"/>
  <c r="K51" i="110"/>
  <c r="K21" i="110"/>
  <c r="H11" i="110"/>
  <c r="R24" i="178"/>
  <c r="S24" i="178" s="1"/>
  <c r="I35" i="110"/>
  <c r="R34" i="177"/>
  <c r="S34" i="177" s="1"/>
  <c r="K41" i="110"/>
  <c r="M30" i="126"/>
  <c r="L55" i="126"/>
  <c r="I61" i="110"/>
  <c r="I64" i="110"/>
  <c r="R63" i="177"/>
  <c r="S63" i="177" s="1"/>
  <c r="K28" i="110"/>
  <c r="L18" i="124"/>
  <c r="L17" i="124" s="1"/>
  <c r="H15" i="110"/>
  <c r="R59" i="170"/>
  <c r="S59" i="170" s="1"/>
  <c r="R28" i="177"/>
  <c r="S28" i="177" s="1"/>
  <c r="R46" i="177"/>
  <c r="S46" i="177" s="1"/>
  <c r="J24" i="110"/>
  <c r="H10" i="110"/>
  <c r="N25" i="126"/>
  <c r="N26" i="126"/>
  <c r="N53" i="126"/>
  <c r="N33" i="126"/>
  <c r="N66" i="126"/>
  <c r="N20" i="125"/>
  <c r="N19" i="121"/>
  <c r="N63" i="126"/>
  <c r="N52" i="126"/>
  <c r="N60" i="126"/>
  <c r="N38" i="126"/>
  <c r="N62" i="125"/>
  <c r="N61" i="121"/>
  <c r="N22" i="126"/>
  <c r="N59" i="126"/>
  <c r="N27" i="126"/>
  <c r="N32" i="126"/>
  <c r="N41" i="126"/>
  <c r="N40" i="126"/>
  <c r="N37" i="126"/>
  <c r="N28" i="126"/>
  <c r="N67" i="126"/>
  <c r="K54" i="110"/>
  <c r="K58" i="110"/>
  <c r="K40" i="110"/>
  <c r="K39" i="110"/>
  <c r="R65" i="178"/>
  <c r="S65" i="178" s="1"/>
  <c r="J30" i="110"/>
  <c r="R48" i="178"/>
  <c r="S48" i="178" s="1"/>
  <c r="R51" i="178"/>
  <c r="S51" i="178" s="1"/>
  <c r="R35" i="178"/>
  <c r="S35" i="178" s="1"/>
  <c r="R17" i="170"/>
  <c r="S17" i="170" s="1"/>
  <c r="M10" i="124"/>
  <c r="L19" i="126"/>
  <c r="K49" i="110"/>
  <c r="K46" i="110"/>
  <c r="R47" i="178"/>
  <c r="S47" i="178" s="1"/>
  <c r="O51" i="124"/>
  <c r="O54" i="124"/>
  <c r="O38" i="124"/>
  <c r="O40" i="124"/>
  <c r="O32" i="124"/>
  <c r="O48" i="124"/>
  <c r="O53" i="124"/>
  <c r="O57" i="124"/>
  <c r="O27" i="124"/>
  <c r="O66" i="124"/>
  <c r="O49" i="124"/>
  <c r="O33" i="124"/>
  <c r="O22" i="124"/>
  <c r="O56" i="124"/>
  <c r="O34" i="124"/>
  <c r="O41" i="124"/>
  <c r="O60" i="124"/>
  <c r="O24" i="124"/>
  <c r="O30" i="124"/>
  <c r="O20" i="124"/>
  <c r="O31" i="124"/>
  <c r="O59" i="124"/>
  <c r="O39" i="124"/>
  <c r="O67" i="124"/>
  <c r="O46" i="124"/>
  <c r="O62" i="124"/>
  <c r="O45" i="124"/>
  <c r="O52" i="124"/>
  <c r="O63" i="124"/>
  <c r="O58" i="124"/>
  <c r="O37" i="124"/>
  <c r="O43" i="124"/>
  <c r="O36" i="124"/>
  <c r="O50" i="124"/>
  <c r="O44" i="124"/>
  <c r="O26" i="124"/>
  <c r="O21" i="124"/>
  <c r="O65" i="124"/>
  <c r="O28" i="124"/>
  <c r="O25" i="124"/>
  <c r="H12" i="110"/>
  <c r="R23" i="178"/>
  <c r="S23" i="178" s="1"/>
  <c r="R56" i="178"/>
  <c r="S56" i="178" s="1"/>
  <c r="J18" i="126"/>
  <c r="K67" i="110"/>
  <c r="K60" i="110"/>
  <c r="J65" i="110"/>
  <c r="M15" i="121"/>
  <c r="M15" i="125" s="1"/>
  <c r="M61" i="125"/>
  <c r="M56" i="126"/>
  <c r="M20" i="126"/>
  <c r="M48" i="126"/>
  <c r="L11" i="126"/>
  <c r="I23" i="110"/>
  <c r="R22" i="177"/>
  <c r="S22" i="177" s="1"/>
  <c r="K7" i="121"/>
  <c r="K18" i="125"/>
  <c r="K50" i="110"/>
  <c r="I55" i="110"/>
  <c r="I19" i="110"/>
  <c r="R50" i="178"/>
  <c r="S50" i="178" s="1"/>
  <c r="R45" i="170"/>
  <c r="S45" i="170" s="1"/>
  <c r="R21" i="170"/>
  <c r="S21" i="170" s="1"/>
  <c r="H9" i="110"/>
  <c r="M42" i="125"/>
  <c r="M12" i="121"/>
  <c r="M12" i="125" s="1"/>
  <c r="M24" i="126"/>
  <c r="M64" i="125"/>
  <c r="M16" i="121"/>
  <c r="M16" i="125" s="1"/>
  <c r="M11" i="121"/>
  <c r="M11" i="125" s="1"/>
  <c r="M35" i="125"/>
  <c r="L9" i="126"/>
  <c r="K26" i="110"/>
  <c r="R38" i="178"/>
  <c r="S38" i="178" s="1"/>
  <c r="S7" i="127" l="1"/>
  <c r="K64" i="212"/>
  <c r="D130" i="212"/>
  <c r="K32" i="212"/>
  <c r="D98" i="212"/>
  <c r="K61" i="213"/>
  <c r="D127" i="213"/>
  <c r="K22" i="212"/>
  <c r="D88" i="212"/>
  <c r="K38" i="212"/>
  <c r="D104" i="212"/>
  <c r="K65" i="213"/>
  <c r="D131" i="213"/>
  <c r="K42" i="212"/>
  <c r="D108" i="212"/>
  <c r="K50" i="212"/>
  <c r="D116" i="212"/>
  <c r="K22" i="213"/>
  <c r="D88" i="213"/>
  <c r="K44" i="213"/>
  <c r="D110" i="213"/>
  <c r="K28" i="212"/>
  <c r="D94" i="212"/>
  <c r="K18" i="213"/>
  <c r="D84" i="213"/>
  <c r="K65" i="212"/>
  <c r="D131" i="212"/>
  <c r="K25" i="213"/>
  <c r="D91" i="213"/>
  <c r="K43" i="213"/>
  <c r="D109" i="213"/>
  <c r="K51" i="212"/>
  <c r="D117" i="212"/>
  <c r="K57" i="213"/>
  <c r="D123" i="213"/>
  <c r="K54" i="212"/>
  <c r="D120" i="212"/>
  <c r="K58" i="213"/>
  <c r="D124" i="213"/>
  <c r="K20" i="212"/>
  <c r="D86" i="212"/>
  <c r="K48" i="213"/>
  <c r="D114" i="213"/>
  <c r="W10" i="93"/>
  <c r="D27" i="212"/>
  <c r="K24" i="213"/>
  <c r="D90" i="213"/>
  <c r="K37" i="213"/>
  <c r="D103" i="213"/>
  <c r="K30" i="213"/>
  <c r="D96" i="213"/>
  <c r="K43" i="212"/>
  <c r="D109" i="212"/>
  <c r="K51" i="213"/>
  <c r="D117" i="213"/>
  <c r="K57" i="212"/>
  <c r="D123" i="212"/>
  <c r="W14" i="93"/>
  <c r="D53" i="212"/>
  <c r="K34" i="212"/>
  <c r="D100" i="212"/>
  <c r="D21" i="212"/>
  <c r="W9" i="93"/>
  <c r="K29" i="212"/>
  <c r="D95" i="212"/>
  <c r="K42" i="213"/>
  <c r="D108" i="213"/>
  <c r="K50" i="213"/>
  <c r="D116" i="213"/>
  <c r="K44" i="212"/>
  <c r="D110" i="212"/>
  <c r="K18" i="212"/>
  <c r="D84" i="212"/>
  <c r="K25" i="212"/>
  <c r="D91" i="212"/>
  <c r="K58" i="212"/>
  <c r="D124" i="212"/>
  <c r="K20" i="213"/>
  <c r="D86" i="213"/>
  <c r="K48" i="212"/>
  <c r="D114" i="212"/>
  <c r="K28" i="213"/>
  <c r="D94" i="213"/>
  <c r="K24" i="212"/>
  <c r="D90" i="212"/>
  <c r="K37" i="212"/>
  <c r="D103" i="212"/>
  <c r="K30" i="212"/>
  <c r="D96" i="212"/>
  <c r="K55" i="213"/>
  <c r="D121" i="213"/>
  <c r="K35" i="213"/>
  <c r="D101" i="213"/>
  <c r="K60" i="212"/>
  <c r="D126" i="212"/>
  <c r="K54" i="213"/>
  <c r="D120" i="213"/>
  <c r="D33" i="212"/>
  <c r="W11" i="93"/>
  <c r="K49" i="212"/>
  <c r="D115" i="212"/>
  <c r="K41" i="212"/>
  <c r="D107" i="212"/>
  <c r="W13" i="93"/>
  <c r="D45" i="212"/>
  <c r="K19" i="212"/>
  <c r="D85" i="212"/>
  <c r="K26" i="213"/>
  <c r="D92" i="213"/>
  <c r="W16" i="93"/>
  <c r="D62" i="212"/>
  <c r="K55" i="212"/>
  <c r="D121" i="212"/>
  <c r="K35" i="212"/>
  <c r="D101" i="212"/>
  <c r="D59" i="212"/>
  <c r="W15" i="93"/>
  <c r="K36" i="213"/>
  <c r="D102" i="213"/>
  <c r="K34" i="213"/>
  <c r="D100" i="213"/>
  <c r="K38" i="213"/>
  <c r="D104" i="213"/>
  <c r="K52" i="213"/>
  <c r="D118" i="213"/>
  <c r="K52" i="212"/>
  <c r="D118" i="212"/>
  <c r="K39" i="212"/>
  <c r="D105" i="212"/>
  <c r="K49" i="213"/>
  <c r="D115" i="213"/>
  <c r="D40" i="212"/>
  <c r="W12" i="93"/>
  <c r="K46" i="212"/>
  <c r="D112" i="212"/>
  <c r="K19" i="213"/>
  <c r="D85" i="213"/>
  <c r="K26" i="212"/>
  <c r="D92" i="212"/>
  <c r="K63" i="212"/>
  <c r="D129" i="212"/>
  <c r="K23" i="212"/>
  <c r="D89" i="212"/>
  <c r="K31" i="212"/>
  <c r="D97" i="212"/>
  <c r="K60" i="213"/>
  <c r="D126" i="213"/>
  <c r="K36" i="212"/>
  <c r="D102" i="212"/>
  <c r="K56" i="213"/>
  <c r="D122" i="213"/>
  <c r="W8" i="93"/>
  <c r="D17" i="212"/>
  <c r="K47" i="213"/>
  <c r="D113" i="213"/>
  <c r="K47" i="212"/>
  <c r="D113" i="212"/>
  <c r="K39" i="213"/>
  <c r="D105" i="213"/>
  <c r="K64" i="213"/>
  <c r="D130" i="213"/>
  <c r="K41" i="213"/>
  <c r="D107" i="213"/>
  <c r="K46" i="213"/>
  <c r="D112" i="213"/>
  <c r="K29" i="213"/>
  <c r="D95" i="213"/>
  <c r="K32" i="213"/>
  <c r="D98" i="213"/>
  <c r="K63" i="213"/>
  <c r="D129" i="213"/>
  <c r="K23" i="213"/>
  <c r="D89" i="213"/>
  <c r="K31" i="213"/>
  <c r="D97" i="213"/>
  <c r="K61" i="212"/>
  <c r="D127" i="212"/>
  <c r="K56" i="212"/>
  <c r="D122" i="212"/>
  <c r="K17" i="211"/>
  <c r="K6" i="211" s="1"/>
  <c r="K54" i="200" s="1"/>
  <c r="T7" i="93"/>
  <c r="T6" i="93" s="1"/>
  <c r="T6" i="127" s="1"/>
  <c r="T5" i="127" s="1"/>
  <c r="GS39" i="129"/>
  <c r="GS44" i="129"/>
  <c r="GS38" i="129"/>
  <c r="GS48" i="129"/>
  <c r="D10" i="211"/>
  <c r="D58" i="200" s="1"/>
  <c r="D83" i="211"/>
  <c r="GS40" i="129"/>
  <c r="GS43" i="129"/>
  <c r="GS41" i="129"/>
  <c r="D11" i="211"/>
  <c r="D77" i="211" s="1"/>
  <c r="D93" i="211"/>
  <c r="D11" i="207"/>
  <c r="V13" i="110" s="1"/>
  <c r="D7" i="211"/>
  <c r="D55" i="200" s="1"/>
  <c r="D111" i="207"/>
  <c r="D99" i="211"/>
  <c r="GS45" i="129"/>
  <c r="GS46" i="129"/>
  <c r="T17" i="93"/>
  <c r="T18" i="127"/>
  <c r="K62" i="211"/>
  <c r="K14" i="211" s="1"/>
  <c r="K62" i="200" s="1"/>
  <c r="D12" i="207"/>
  <c r="V14" i="110" s="1"/>
  <c r="K21" i="211"/>
  <c r="K7" i="211" s="1"/>
  <c r="K55" i="200" s="1"/>
  <c r="K33" i="211"/>
  <c r="GS35" i="129" s="1"/>
  <c r="GS11" i="129" s="1"/>
  <c r="D87" i="211"/>
  <c r="D6" i="211"/>
  <c r="D54" i="200" s="1"/>
  <c r="K53" i="211"/>
  <c r="K12" i="211" s="1"/>
  <c r="K60" i="200" s="1"/>
  <c r="D119" i="207"/>
  <c r="D13" i="207"/>
  <c r="V15" i="110" s="1"/>
  <c r="D125" i="211"/>
  <c r="D125" i="207"/>
  <c r="D106" i="207"/>
  <c r="D128" i="211"/>
  <c r="D128" i="207"/>
  <c r="D14" i="207"/>
  <c r="V16" i="110" s="1"/>
  <c r="D10" i="207"/>
  <c r="V12" i="110" s="1"/>
  <c r="D93" i="207"/>
  <c r="D99" i="207"/>
  <c r="D8" i="207"/>
  <c r="V10" i="110" s="1"/>
  <c r="D9" i="207"/>
  <c r="V11" i="110" s="1"/>
  <c r="D8" i="211"/>
  <c r="D56" i="200" s="1"/>
  <c r="K45" i="211"/>
  <c r="D106" i="211"/>
  <c r="K40" i="211"/>
  <c r="D9" i="211"/>
  <c r="D75" i="211" s="1"/>
  <c r="K27" i="211"/>
  <c r="K8" i="211" s="1"/>
  <c r="K56" i="200" s="1"/>
  <c r="D111" i="211"/>
  <c r="D119" i="211"/>
  <c r="K13" i="211"/>
  <c r="K61" i="200" s="1"/>
  <c r="GS61" i="129"/>
  <c r="GS15" i="129" s="1"/>
  <c r="U18" i="93"/>
  <c r="D16" i="207" s="1"/>
  <c r="V18" i="110" s="1"/>
  <c r="V18" i="93"/>
  <c r="D16" i="211" s="1"/>
  <c r="D80" i="211"/>
  <c r="D62" i="200"/>
  <c r="D79" i="211"/>
  <c r="D61" i="200"/>
  <c r="D78" i="211"/>
  <c r="D60" i="200"/>
  <c r="D23" i="200"/>
  <c r="D39" i="200" s="1"/>
  <c r="D73" i="207"/>
  <c r="D22" i="200"/>
  <c r="D38" i="200" s="1"/>
  <c r="D72" i="207"/>
  <c r="T88" i="121"/>
  <c r="T88" i="124" s="1"/>
  <c r="D82" i="205"/>
  <c r="S88" i="121"/>
  <c r="S88" i="124" s="1"/>
  <c r="R16" i="157"/>
  <c r="S16" i="157" s="1"/>
  <c r="AJ39" i="129"/>
  <c r="N37" i="134" s="1"/>
  <c r="AJ30" i="129"/>
  <c r="F29" i="130" s="1"/>
  <c r="AJ54" i="129"/>
  <c r="F53" i="130" s="1"/>
  <c r="AJ50" i="129"/>
  <c r="F49" i="130" s="1"/>
  <c r="AJ22" i="129"/>
  <c r="N20" i="134" s="1"/>
  <c r="AJ60" i="129"/>
  <c r="F59" i="130" s="1"/>
  <c r="AJ36" i="129"/>
  <c r="F35" i="130" s="1"/>
  <c r="AJ66" i="129"/>
  <c r="N64" i="134" s="1"/>
  <c r="AJ37" i="129"/>
  <c r="F36" i="130" s="1"/>
  <c r="AJ34" i="129"/>
  <c r="N32" i="134" s="1"/>
  <c r="AJ32" i="129"/>
  <c r="N30" i="134" s="1"/>
  <c r="AJ38" i="129"/>
  <c r="N36" i="134" s="1"/>
  <c r="AJ43" i="129"/>
  <c r="F42" i="130" s="1"/>
  <c r="AJ28" i="129"/>
  <c r="N26" i="134" s="1"/>
  <c r="AJ45" i="129"/>
  <c r="F44" i="130" s="1"/>
  <c r="AJ51" i="129"/>
  <c r="F50" i="130" s="1"/>
  <c r="AJ21" i="129"/>
  <c r="F20" i="130" s="1"/>
  <c r="AJ40" i="129"/>
  <c r="N38" i="134" s="1"/>
  <c r="AJ62" i="129"/>
  <c r="F61" i="130" s="1"/>
  <c r="AJ67" i="129"/>
  <c r="F66" i="130" s="1"/>
  <c r="AJ41" i="129"/>
  <c r="AJ57" i="129"/>
  <c r="F56" i="130" s="1"/>
  <c r="AJ52" i="129"/>
  <c r="F51" i="130" s="1"/>
  <c r="AJ56" i="129"/>
  <c r="F55" i="130" s="1"/>
  <c r="AJ24" i="129"/>
  <c r="F23" i="130" s="1"/>
  <c r="AJ59" i="129"/>
  <c r="F58" i="130" s="1"/>
  <c r="AJ63" i="129"/>
  <c r="N61" i="134" s="1"/>
  <c r="AJ49" i="129"/>
  <c r="F48" i="130" s="1"/>
  <c r="AJ25" i="129"/>
  <c r="N23" i="134" s="1"/>
  <c r="AJ48" i="129"/>
  <c r="F47" i="130" s="1"/>
  <c r="AJ46" i="129"/>
  <c r="F45" i="130" s="1"/>
  <c r="AJ58" i="129"/>
  <c r="N56" i="134" s="1"/>
  <c r="AJ27" i="129"/>
  <c r="F26" i="130" s="1"/>
  <c r="AJ26" i="129"/>
  <c r="F25" i="130" s="1"/>
  <c r="AJ65" i="129"/>
  <c r="N63" i="134" s="1"/>
  <c r="AJ20" i="129"/>
  <c r="F19" i="130" s="1"/>
  <c r="AJ53" i="129"/>
  <c r="F52" i="130" s="1"/>
  <c r="AJ31" i="129"/>
  <c r="N29" i="134" s="1"/>
  <c r="AJ44" i="129"/>
  <c r="N42" i="134" s="1"/>
  <c r="AJ33" i="129"/>
  <c r="AX7" i="129"/>
  <c r="AX6" i="129" s="1"/>
  <c r="AX1" i="129" s="1"/>
  <c r="S4" i="153"/>
  <c r="G6" i="110"/>
  <c r="G5" i="110" s="1"/>
  <c r="L4" i="157"/>
  <c r="R4" i="157" s="1"/>
  <c r="S4" i="157" s="1"/>
  <c r="M12" i="126"/>
  <c r="CV66" i="129"/>
  <c r="CO66" i="129" s="1"/>
  <c r="CP66" i="129" s="1"/>
  <c r="CL62" i="129"/>
  <c r="CE62" i="129" s="1"/>
  <c r="H67" i="178"/>
  <c r="H69" i="178" s="1"/>
  <c r="I90" i="189"/>
  <c r="I91" i="189"/>
  <c r="I117" i="189"/>
  <c r="I132" i="189"/>
  <c r="I106" i="189"/>
  <c r="I98" i="189"/>
  <c r="I122" i="189"/>
  <c r="I105" i="189"/>
  <c r="CV22" i="129"/>
  <c r="CO22" i="129" s="1"/>
  <c r="CP22" i="129" s="1"/>
  <c r="I89" i="188"/>
  <c r="I85" i="188"/>
  <c r="CB47" i="129"/>
  <c r="CB13" i="129" s="1"/>
  <c r="CB55" i="129"/>
  <c r="CB14" i="129" s="1"/>
  <c r="CV26" i="129"/>
  <c r="CO26" i="129" s="1"/>
  <c r="CP26" i="129" s="1"/>
  <c r="CV27" i="129"/>
  <c r="CO27" i="129" s="1"/>
  <c r="CP27" i="129" s="1"/>
  <c r="CB61" i="129"/>
  <c r="CB15" i="129" s="1"/>
  <c r="CL43" i="129"/>
  <c r="CE43" i="129" s="1"/>
  <c r="F67" i="177"/>
  <c r="F69" i="177" s="1"/>
  <c r="CL65" i="129"/>
  <c r="CE65" i="129" s="1"/>
  <c r="CV53" i="129"/>
  <c r="CO53" i="129" s="1"/>
  <c r="CP53" i="129" s="1"/>
  <c r="CV31" i="129"/>
  <c r="CO31" i="129" s="1"/>
  <c r="CP31" i="129" s="1"/>
  <c r="CV63" i="129"/>
  <c r="CO63" i="129" s="1"/>
  <c r="CP63" i="129" s="1"/>
  <c r="I95" i="188"/>
  <c r="I67" i="185"/>
  <c r="I69" i="185" s="1"/>
  <c r="CV49" i="129"/>
  <c r="CO49" i="129" s="1"/>
  <c r="CP49" i="129" s="1"/>
  <c r="CV45" i="129"/>
  <c r="CO45" i="129" s="1"/>
  <c r="CP45" i="129" s="1"/>
  <c r="I93" i="189"/>
  <c r="I109" i="189"/>
  <c r="I102" i="189"/>
  <c r="I110" i="189"/>
  <c r="I104" i="189"/>
  <c r="I99" i="189"/>
  <c r="I114" i="189"/>
  <c r="I118" i="189"/>
  <c r="I103" i="189"/>
  <c r="CL24" i="129"/>
  <c r="CE24" i="129" s="1"/>
  <c r="CB23" i="129"/>
  <c r="CB9" i="129" s="1"/>
  <c r="CV32" i="129"/>
  <c r="CO32" i="129" s="1"/>
  <c r="CP32" i="129" s="1"/>
  <c r="CV59" i="129"/>
  <c r="CO59" i="129" s="1"/>
  <c r="CP59" i="129" s="1"/>
  <c r="CV38" i="129"/>
  <c r="CO38" i="129" s="1"/>
  <c r="CP38" i="129" s="1"/>
  <c r="CV51" i="129"/>
  <c r="CO51" i="129" s="1"/>
  <c r="CP51" i="129" s="1"/>
  <c r="CV54" i="129"/>
  <c r="CO54" i="129" s="1"/>
  <c r="CP54" i="129" s="1"/>
  <c r="CV21" i="129"/>
  <c r="CO21" i="129" s="1"/>
  <c r="CP21" i="129" s="1"/>
  <c r="CV46" i="129"/>
  <c r="CO46" i="129" s="1"/>
  <c r="CP46" i="129" s="1"/>
  <c r="CL36" i="129"/>
  <c r="CE36" i="129" s="1"/>
  <c r="I113" i="188"/>
  <c r="CV37" i="129"/>
  <c r="CO37" i="129" s="1"/>
  <c r="CP37" i="129" s="1"/>
  <c r="CV34" i="129"/>
  <c r="CO34" i="129" s="1"/>
  <c r="CP34" i="129" s="1"/>
  <c r="CB64" i="129"/>
  <c r="CB16" i="129" s="1"/>
  <c r="I115" i="189"/>
  <c r="I123" i="189"/>
  <c r="I124" i="189"/>
  <c r="I131" i="189"/>
  <c r="I119" i="189"/>
  <c r="CB19" i="129"/>
  <c r="CB8" i="129" s="1"/>
  <c r="I121" i="188"/>
  <c r="I127" i="188"/>
  <c r="CV25" i="129"/>
  <c r="CO25" i="129" s="1"/>
  <c r="CP25" i="129" s="1"/>
  <c r="CL30" i="129"/>
  <c r="CE30" i="129" s="1"/>
  <c r="CV41" i="129"/>
  <c r="CO41" i="129" s="1"/>
  <c r="CP41" i="129" s="1"/>
  <c r="CV39" i="129"/>
  <c r="CO39" i="129" s="1"/>
  <c r="CP39" i="129" s="1"/>
  <c r="CV40" i="129"/>
  <c r="CO40" i="129" s="1"/>
  <c r="CP40" i="129" s="1"/>
  <c r="CV58" i="129"/>
  <c r="CO58" i="129" s="1"/>
  <c r="CP58" i="129" s="1"/>
  <c r="CV60" i="129"/>
  <c r="CO60" i="129" s="1"/>
  <c r="CP60" i="129" s="1"/>
  <c r="CV28" i="129"/>
  <c r="CO28" i="129" s="1"/>
  <c r="CP28" i="129" s="1"/>
  <c r="CV50" i="129"/>
  <c r="CO50" i="129" s="1"/>
  <c r="CP50" i="129" s="1"/>
  <c r="I86" i="189"/>
  <c r="I128" i="189"/>
  <c r="I111" i="189"/>
  <c r="I96" i="189"/>
  <c r="I125" i="189"/>
  <c r="I87" i="189"/>
  <c r="I92" i="189"/>
  <c r="I97" i="189"/>
  <c r="I116" i="189"/>
  <c r="CB29" i="129"/>
  <c r="CB10" i="129" s="1"/>
  <c r="CV57" i="129"/>
  <c r="CO57" i="129" s="1"/>
  <c r="CP57" i="129" s="1"/>
  <c r="CV67" i="129"/>
  <c r="CO67" i="129" s="1"/>
  <c r="CP67" i="129" s="1"/>
  <c r="CL56" i="129"/>
  <c r="CE56" i="129" s="1"/>
  <c r="CV52" i="129"/>
  <c r="CO52" i="129" s="1"/>
  <c r="CP52" i="129" s="1"/>
  <c r="CV33" i="129"/>
  <c r="CO33" i="129" s="1"/>
  <c r="CP33" i="129" s="1"/>
  <c r="CV44" i="129"/>
  <c r="CO44" i="129" s="1"/>
  <c r="CP44" i="129" s="1"/>
  <c r="CL20" i="129"/>
  <c r="CE20" i="129" s="1"/>
  <c r="CB42" i="129"/>
  <c r="CB12" i="129" s="1"/>
  <c r="CL48" i="129"/>
  <c r="CE48" i="129" s="1"/>
  <c r="I101" i="188"/>
  <c r="I108" i="188"/>
  <c r="I130" i="188"/>
  <c r="CB35" i="129"/>
  <c r="CB11" i="129" s="1"/>
  <c r="S3" i="151"/>
  <c r="S3" i="134"/>
  <c r="R4" i="152"/>
  <c r="S4" i="152" s="1"/>
  <c r="R5" i="157"/>
  <c r="S5" i="157" s="1"/>
  <c r="R5" i="153"/>
  <c r="S5" i="153" s="1"/>
  <c r="R5" i="152"/>
  <c r="S5" i="152" s="1"/>
  <c r="T1" i="129"/>
  <c r="P58" i="129"/>
  <c r="P63" i="129"/>
  <c r="P44" i="129"/>
  <c r="P40" i="129"/>
  <c r="P67" i="129"/>
  <c r="P59" i="129"/>
  <c r="P54" i="129"/>
  <c r="P50" i="129"/>
  <c r="P33" i="129"/>
  <c r="P60" i="129"/>
  <c r="P53" i="129"/>
  <c r="P66" i="129"/>
  <c r="P38" i="129"/>
  <c r="P21" i="129"/>
  <c r="P22" i="129"/>
  <c r="P52" i="129"/>
  <c r="P26" i="129"/>
  <c r="P27" i="129"/>
  <c r="P28" i="129"/>
  <c r="P49" i="129"/>
  <c r="P41" i="129"/>
  <c r="P65" i="129"/>
  <c r="P24" i="129"/>
  <c r="P32" i="129"/>
  <c r="P34" i="129"/>
  <c r="P45" i="129"/>
  <c r="P57" i="129"/>
  <c r="P20" i="129"/>
  <c r="P37" i="129"/>
  <c r="P39" i="129"/>
  <c r="P31" i="129"/>
  <c r="P25" i="129"/>
  <c r="P56" i="129"/>
  <c r="P51" i="129"/>
  <c r="P46" i="129"/>
  <c r="P48" i="129"/>
  <c r="P62" i="129"/>
  <c r="P43" i="129"/>
  <c r="P30" i="129"/>
  <c r="P36" i="129"/>
  <c r="N31" i="151"/>
  <c r="E32" i="130"/>
  <c r="E58" i="130"/>
  <c r="N57" i="151"/>
  <c r="N42" i="151"/>
  <c r="E43" i="130"/>
  <c r="N58" i="151"/>
  <c r="E59" i="130"/>
  <c r="N55" i="151"/>
  <c r="E56" i="130"/>
  <c r="N32" i="151"/>
  <c r="E33" i="130"/>
  <c r="N28" i="151"/>
  <c r="E29" i="130"/>
  <c r="Z29" i="129"/>
  <c r="E65" i="130"/>
  <c r="N64" i="151"/>
  <c r="E53" i="130"/>
  <c r="N52" i="151"/>
  <c r="N35" i="151"/>
  <c r="E36" i="130"/>
  <c r="D18" i="129"/>
  <c r="C7" i="129"/>
  <c r="Z47" i="129"/>
  <c r="N46" i="151"/>
  <c r="E47" i="130"/>
  <c r="E57" i="130"/>
  <c r="N56" i="151"/>
  <c r="E25" i="130"/>
  <c r="N24" i="151"/>
  <c r="N41" i="151"/>
  <c r="E42" i="130"/>
  <c r="Z42" i="129"/>
  <c r="N65" i="151"/>
  <c r="E66" i="130"/>
  <c r="E44" i="130"/>
  <c r="N43" i="151"/>
  <c r="N51" i="151"/>
  <c r="E52" i="130"/>
  <c r="N50" i="151"/>
  <c r="E51" i="130"/>
  <c r="E49" i="130"/>
  <c r="N48" i="151"/>
  <c r="N47" i="151"/>
  <c r="E48" i="130"/>
  <c r="J1" i="129"/>
  <c r="F25" i="129"/>
  <c r="F37" i="129"/>
  <c r="F21" i="129"/>
  <c r="F22" i="129"/>
  <c r="F28" i="129"/>
  <c r="F56" i="129"/>
  <c r="F49" i="129"/>
  <c r="F44" i="129"/>
  <c r="F57" i="129"/>
  <c r="F50" i="129"/>
  <c r="F40" i="129"/>
  <c r="F53" i="129"/>
  <c r="F41" i="129"/>
  <c r="F60" i="129"/>
  <c r="F58" i="129"/>
  <c r="F63" i="129"/>
  <c r="F38" i="129"/>
  <c r="F33" i="129"/>
  <c r="F66" i="129"/>
  <c r="F54" i="129"/>
  <c r="F59" i="129"/>
  <c r="F31" i="129"/>
  <c r="F34" i="129"/>
  <c r="F26" i="129"/>
  <c r="F36" i="129"/>
  <c r="F52" i="129"/>
  <c r="F20" i="129"/>
  <c r="F48" i="129"/>
  <c r="F67" i="129"/>
  <c r="F32" i="129"/>
  <c r="F30" i="129"/>
  <c r="F46" i="129"/>
  <c r="F24" i="129"/>
  <c r="F45" i="129"/>
  <c r="F51" i="129"/>
  <c r="F62" i="129"/>
  <c r="F43" i="129"/>
  <c r="F39" i="129"/>
  <c r="F65" i="129"/>
  <c r="F27" i="129"/>
  <c r="N60" i="151"/>
  <c r="E61" i="130"/>
  <c r="Z61" i="129"/>
  <c r="N30" i="151"/>
  <c r="E31" i="130"/>
  <c r="N25" i="151"/>
  <c r="E26" i="130"/>
  <c r="N18" i="151"/>
  <c r="E19" i="130"/>
  <c r="Z19" i="129"/>
  <c r="N44" i="151"/>
  <c r="E45" i="130"/>
  <c r="E62" i="130"/>
  <c r="N61" i="151"/>
  <c r="N38" i="151"/>
  <c r="E39" i="130"/>
  <c r="N36" i="151"/>
  <c r="E37" i="130"/>
  <c r="E20" i="130"/>
  <c r="N19" i="151"/>
  <c r="E30" i="130"/>
  <c r="N29" i="151"/>
  <c r="N18" i="129"/>
  <c r="M7" i="129"/>
  <c r="M6" i="129" s="1"/>
  <c r="M1" i="129" s="1"/>
  <c r="X7" i="129"/>
  <c r="X6" i="129" s="1"/>
  <c r="X1" i="129" s="1"/>
  <c r="E23" i="130"/>
  <c r="N22" i="151"/>
  <c r="Z23" i="129"/>
  <c r="E27" i="130"/>
  <c r="N26" i="151"/>
  <c r="N37" i="151"/>
  <c r="E38" i="130"/>
  <c r="Z64" i="129"/>
  <c r="N63" i="151"/>
  <c r="E64" i="130"/>
  <c r="E50" i="130"/>
  <c r="N49" i="151"/>
  <c r="E55" i="130"/>
  <c r="Z55" i="129"/>
  <c r="N54" i="151"/>
  <c r="E21" i="130"/>
  <c r="N20" i="151"/>
  <c r="N23" i="151"/>
  <c r="E24" i="130"/>
  <c r="E40" i="130"/>
  <c r="N39" i="151"/>
  <c r="Z35" i="129"/>
  <c r="E35" i="130"/>
  <c r="N34" i="151"/>
  <c r="AQ7" i="129"/>
  <c r="AQ6" i="129" s="1"/>
  <c r="AQ1" i="129" s="1"/>
  <c r="BL47" i="129"/>
  <c r="BL13" i="129" s="1"/>
  <c r="BL35" i="129"/>
  <c r="BL11" i="129" s="1"/>
  <c r="BU19" i="129"/>
  <c r="BU8" i="129" s="1"/>
  <c r="BV20" i="129"/>
  <c r="BU42" i="129"/>
  <c r="BU12" i="129" s="1"/>
  <c r="BV43" i="129"/>
  <c r="BU47" i="129"/>
  <c r="BU13" i="129" s="1"/>
  <c r="BV48" i="129"/>
  <c r="BU61" i="129"/>
  <c r="BU15" i="129" s="1"/>
  <c r="BV62" i="129"/>
  <c r="BV61" i="129" s="1"/>
  <c r="BV15" i="129" s="1"/>
  <c r="BU55" i="129"/>
  <c r="BU14" i="129" s="1"/>
  <c r="BV56" i="129"/>
  <c r="BL23" i="129"/>
  <c r="BL9" i="129" s="1"/>
  <c r="BL55" i="129"/>
  <c r="BL14" i="129" s="1"/>
  <c r="K67" i="170"/>
  <c r="K69" i="170" s="1"/>
  <c r="BH18" i="129"/>
  <c r="BL19" i="129"/>
  <c r="BL8" i="129" s="1"/>
  <c r="BL42" i="129"/>
  <c r="BL12" i="129" s="1"/>
  <c r="BU64" i="129"/>
  <c r="BU16" i="129" s="1"/>
  <c r="BV65" i="129"/>
  <c r="BV64" i="129" s="1"/>
  <c r="BV16" i="129" s="1"/>
  <c r="BU29" i="129"/>
  <c r="BU10" i="129" s="1"/>
  <c r="BV30" i="129"/>
  <c r="BV29" i="129" s="1"/>
  <c r="BV10" i="129" s="1"/>
  <c r="BU23" i="129"/>
  <c r="BU9" i="129" s="1"/>
  <c r="BV24" i="129"/>
  <c r="BU35" i="129"/>
  <c r="BU11" i="129" s="1"/>
  <c r="BV36" i="129"/>
  <c r="AH7" i="129"/>
  <c r="AH6" i="129" s="1"/>
  <c r="AH1" i="129" s="1"/>
  <c r="S77" i="121"/>
  <c r="S77" i="124" s="1"/>
  <c r="D70" i="194"/>
  <c r="Q77" i="121"/>
  <c r="Q77" i="124" s="1"/>
  <c r="U4" i="191"/>
  <c r="D70" i="192"/>
  <c r="R22" i="121"/>
  <c r="R22" i="125" s="1"/>
  <c r="R48" i="121"/>
  <c r="R46" i="121"/>
  <c r="R46" i="125" s="1"/>
  <c r="R51" i="121"/>
  <c r="R51" i="125" s="1"/>
  <c r="R50" i="121"/>
  <c r="R50" i="125" s="1"/>
  <c r="R63" i="121"/>
  <c r="R63" i="125" s="1"/>
  <c r="R49" i="121"/>
  <c r="R49" i="125" s="1"/>
  <c r="R26" i="121"/>
  <c r="R26" i="125" s="1"/>
  <c r="R57" i="121"/>
  <c r="R57" i="125" s="1"/>
  <c r="R58" i="121"/>
  <c r="R58" i="125" s="1"/>
  <c r="R30" i="121"/>
  <c r="R32" i="121"/>
  <c r="R32" i="125" s="1"/>
  <c r="R66" i="121"/>
  <c r="R66" i="125" s="1"/>
  <c r="R28" i="121"/>
  <c r="R28" i="125" s="1"/>
  <c r="R21" i="121"/>
  <c r="R21" i="125" s="1"/>
  <c r="R45" i="121"/>
  <c r="R45" i="125" s="1"/>
  <c r="R54" i="121"/>
  <c r="R54" i="125" s="1"/>
  <c r="R43" i="121"/>
  <c r="R53" i="121"/>
  <c r="R53" i="125" s="1"/>
  <c r="R59" i="121"/>
  <c r="R59" i="125" s="1"/>
  <c r="R56" i="121"/>
  <c r="R37" i="121"/>
  <c r="R37" i="125" s="1"/>
  <c r="R44" i="121"/>
  <c r="R44" i="125" s="1"/>
  <c r="R33" i="121"/>
  <c r="R33" i="125" s="1"/>
  <c r="R20" i="121"/>
  <c r="R39" i="121"/>
  <c r="R39" i="125" s="1"/>
  <c r="R36" i="121"/>
  <c r="R34" i="121"/>
  <c r="R34" i="125" s="1"/>
  <c r="R62" i="121"/>
  <c r="R41" i="121"/>
  <c r="R41" i="125" s="1"/>
  <c r="R31" i="121"/>
  <c r="R31" i="125" s="1"/>
  <c r="R40" i="121"/>
  <c r="R40" i="125" s="1"/>
  <c r="R65" i="121"/>
  <c r="R27" i="121"/>
  <c r="R27" i="125" s="1"/>
  <c r="R52" i="121"/>
  <c r="R52" i="125" s="1"/>
  <c r="R24" i="121"/>
  <c r="R67" i="121"/>
  <c r="R67" i="125" s="1"/>
  <c r="R38" i="121"/>
  <c r="R38" i="125" s="1"/>
  <c r="R60" i="121"/>
  <c r="R60" i="125" s="1"/>
  <c r="R25" i="121"/>
  <c r="R25" i="125" s="1"/>
  <c r="M11" i="126"/>
  <c r="M15" i="126"/>
  <c r="M13" i="126"/>
  <c r="R26" i="124"/>
  <c r="R49" i="124"/>
  <c r="R24" i="124"/>
  <c r="R66" i="124"/>
  <c r="R32" i="124"/>
  <c r="R50" i="124"/>
  <c r="R33" i="124"/>
  <c r="R56" i="124"/>
  <c r="R41" i="124"/>
  <c r="R25" i="124"/>
  <c r="R34" i="124"/>
  <c r="R57" i="124"/>
  <c r="R40" i="124"/>
  <c r="R63" i="124"/>
  <c r="R48" i="124"/>
  <c r="R39" i="124"/>
  <c r="R58" i="124"/>
  <c r="R65" i="124"/>
  <c r="R30" i="124"/>
  <c r="R28" i="124"/>
  <c r="R21" i="124"/>
  <c r="R43" i="124"/>
  <c r="R22" i="124"/>
  <c r="R20" i="124"/>
  <c r="R37" i="124"/>
  <c r="R36" i="124"/>
  <c r="R45" i="124"/>
  <c r="R53" i="124"/>
  <c r="R31" i="124"/>
  <c r="R62" i="124"/>
  <c r="R60" i="124"/>
  <c r="R67" i="124"/>
  <c r="R44" i="124"/>
  <c r="R51" i="124"/>
  <c r="R38" i="124"/>
  <c r="R54" i="124"/>
  <c r="R52" i="124"/>
  <c r="R59" i="124"/>
  <c r="R46" i="124"/>
  <c r="R27" i="124"/>
  <c r="M16" i="126"/>
  <c r="M9" i="126"/>
  <c r="M14" i="126"/>
  <c r="R24" i="185"/>
  <c r="S24" i="185" s="1"/>
  <c r="M35" i="126"/>
  <c r="R7" i="170"/>
  <c r="S7" i="170" s="1"/>
  <c r="R17" i="177"/>
  <c r="S17" i="177" s="1"/>
  <c r="R53" i="177"/>
  <c r="S53" i="177" s="1"/>
  <c r="I14" i="110"/>
  <c r="R48" i="185"/>
  <c r="S48" i="185" s="1"/>
  <c r="K6" i="121"/>
  <c r="K6" i="125" s="1"/>
  <c r="K6" i="126" s="1"/>
  <c r="K5" i="126" s="1"/>
  <c r="K7" i="125"/>
  <c r="K7" i="126" s="1"/>
  <c r="I9" i="110"/>
  <c r="L49" i="110"/>
  <c r="L50" i="110"/>
  <c r="R63" i="178"/>
  <c r="S63" i="178" s="1"/>
  <c r="J64" i="110"/>
  <c r="K62" i="110"/>
  <c r="R10" i="170"/>
  <c r="S10" i="170" s="1"/>
  <c r="O35" i="124"/>
  <c r="O29" i="124"/>
  <c r="R44" i="185"/>
  <c r="S44" i="185" s="1"/>
  <c r="L22" i="110"/>
  <c r="R28" i="178"/>
  <c r="S28" i="178" s="1"/>
  <c r="R37" i="185"/>
  <c r="S37" i="185" s="1"/>
  <c r="R38" i="185"/>
  <c r="S38" i="185" s="1"/>
  <c r="R56" i="185"/>
  <c r="S56" i="185" s="1"/>
  <c r="R52" i="185"/>
  <c r="S52" i="185" s="1"/>
  <c r="H132" i="188"/>
  <c r="H93" i="188"/>
  <c r="H105" i="188"/>
  <c r="H97" i="188"/>
  <c r="H92" i="188"/>
  <c r="H87" i="188"/>
  <c r="N15" i="121"/>
  <c r="N15" i="125" s="1"/>
  <c r="N61" i="125"/>
  <c r="H125" i="188"/>
  <c r="H128" i="188"/>
  <c r="N8" i="121"/>
  <c r="N19" i="125"/>
  <c r="H131" i="188"/>
  <c r="H98" i="188"/>
  <c r="H91" i="188"/>
  <c r="R8" i="170"/>
  <c r="S8" i="170" s="1"/>
  <c r="J23" i="110"/>
  <c r="R22" i="178"/>
  <c r="S22" i="178" s="1"/>
  <c r="R13" i="170"/>
  <c r="S13" i="170" s="1"/>
  <c r="L7" i="124"/>
  <c r="L6" i="124" s="1"/>
  <c r="I16" i="110"/>
  <c r="I15" i="110"/>
  <c r="L59" i="110"/>
  <c r="L38" i="110"/>
  <c r="R33" i="177"/>
  <c r="S33" i="177" s="1"/>
  <c r="R49" i="185"/>
  <c r="S49" i="185" s="1"/>
  <c r="J19" i="110"/>
  <c r="L51" i="110"/>
  <c r="L54" i="110"/>
  <c r="M18" i="124"/>
  <c r="M17" i="124" s="1"/>
  <c r="J55" i="110"/>
  <c r="R61" i="185"/>
  <c r="S61" i="185" s="1"/>
  <c r="L33" i="110"/>
  <c r="M23" i="126"/>
  <c r="I12" i="110"/>
  <c r="R40" i="177"/>
  <c r="S40" i="177" s="1"/>
  <c r="R11" i="170"/>
  <c r="S11" i="170" s="1"/>
  <c r="L44" i="110"/>
  <c r="M47" i="126"/>
  <c r="M8" i="125"/>
  <c r="M8" i="126" s="1"/>
  <c r="M18" i="121"/>
  <c r="M17" i="121" s="1"/>
  <c r="R20" i="185"/>
  <c r="S20" i="185" s="1"/>
  <c r="R55" i="185"/>
  <c r="S55" i="185" s="1"/>
  <c r="O67" i="126"/>
  <c r="O47" i="121"/>
  <c r="O48" i="125"/>
  <c r="O59" i="126"/>
  <c r="O19" i="121"/>
  <c r="O20" i="125"/>
  <c r="O32" i="126"/>
  <c r="O38" i="126"/>
  <c r="O41" i="126"/>
  <c r="O42" i="121"/>
  <c r="O43" i="125"/>
  <c r="O58" i="126"/>
  <c r="O49" i="126"/>
  <c r="O61" i="121"/>
  <c r="O62" i="125"/>
  <c r="O39" i="126"/>
  <c r="O23" i="121"/>
  <c r="O24" i="125"/>
  <c r="O66" i="126"/>
  <c r="O26" i="126"/>
  <c r="O50" i="126"/>
  <c r="O28" i="126"/>
  <c r="O55" i="121"/>
  <c r="O56" i="125"/>
  <c r="O63" i="126"/>
  <c r="O51" i="126"/>
  <c r="R29" i="185"/>
  <c r="S29" i="185" s="1"/>
  <c r="K20" i="110"/>
  <c r="R51" i="185"/>
  <c r="S51" i="185" s="1"/>
  <c r="L27" i="110"/>
  <c r="L18" i="125"/>
  <c r="L7" i="121"/>
  <c r="R6" i="170"/>
  <c r="S6" i="170" s="1"/>
  <c r="J42" i="110"/>
  <c r="J61" i="110"/>
  <c r="R43" i="185"/>
  <c r="S43" i="185" s="1"/>
  <c r="R57" i="185"/>
  <c r="S57" i="185" s="1"/>
  <c r="R42" i="185"/>
  <c r="S42" i="185" s="1"/>
  <c r="R23" i="185"/>
  <c r="S23" i="185" s="1"/>
  <c r="H109" i="188"/>
  <c r="N24" i="126"/>
  <c r="N65" i="126"/>
  <c r="N36" i="126"/>
  <c r="N14" i="121"/>
  <c r="N14" i="125" s="1"/>
  <c r="N55" i="125"/>
  <c r="H119" i="188"/>
  <c r="H110" i="188"/>
  <c r="H114" i="188"/>
  <c r="N12" i="121"/>
  <c r="N12" i="125" s="1"/>
  <c r="N42" i="125"/>
  <c r="N30" i="126"/>
  <c r="H96" i="188"/>
  <c r="H86" i="188"/>
  <c r="H104" i="188"/>
  <c r="N47" i="125"/>
  <c r="N13" i="121"/>
  <c r="N13" i="125" s="1"/>
  <c r="I13" i="110"/>
  <c r="K48" i="110"/>
  <c r="M10" i="126"/>
  <c r="R25" i="185"/>
  <c r="S25" i="185" s="1"/>
  <c r="L53" i="110"/>
  <c r="L41" i="110"/>
  <c r="L58" i="110"/>
  <c r="L63" i="110"/>
  <c r="R12" i="170"/>
  <c r="S12" i="170" s="1"/>
  <c r="K36" i="110"/>
  <c r="N10" i="124"/>
  <c r="L66" i="110"/>
  <c r="M64" i="126"/>
  <c r="M42" i="126"/>
  <c r="I8" i="110"/>
  <c r="K18" i="126"/>
  <c r="R21" i="177"/>
  <c r="S21" i="177" s="1"/>
  <c r="L28" i="110"/>
  <c r="L37" i="110"/>
  <c r="L34" i="110"/>
  <c r="L45" i="110"/>
  <c r="M61" i="126"/>
  <c r="R58" i="185"/>
  <c r="S58" i="185" s="1"/>
  <c r="R65" i="185"/>
  <c r="S65" i="185" s="1"/>
  <c r="O64" i="124"/>
  <c r="O42" i="124"/>
  <c r="O61" i="124"/>
  <c r="O19" i="124"/>
  <c r="O23" i="124"/>
  <c r="O55" i="124"/>
  <c r="O47" i="124"/>
  <c r="R47" i="185"/>
  <c r="S47" i="185" s="1"/>
  <c r="J29" i="110"/>
  <c r="K24" i="110"/>
  <c r="H102" i="188"/>
  <c r="H106" i="188"/>
  <c r="H124" i="188"/>
  <c r="N62" i="126"/>
  <c r="H103" i="188"/>
  <c r="H117" i="188"/>
  <c r="N20" i="126"/>
  <c r="H118" i="188"/>
  <c r="H90" i="188"/>
  <c r="H18" i="110"/>
  <c r="R26" i="185"/>
  <c r="S26" i="185" s="1"/>
  <c r="R62" i="177"/>
  <c r="S62" i="177" s="1"/>
  <c r="R59" i="177"/>
  <c r="S59" i="177" s="1"/>
  <c r="L32" i="110"/>
  <c r="L57" i="110"/>
  <c r="R39" i="185"/>
  <c r="S39" i="185" s="1"/>
  <c r="I11" i="110"/>
  <c r="R9" i="170"/>
  <c r="S9" i="170" s="1"/>
  <c r="R19" i="185"/>
  <c r="S19" i="185" s="1"/>
  <c r="R18" i="178"/>
  <c r="S18" i="178" s="1"/>
  <c r="L67" i="110"/>
  <c r="N14" i="124"/>
  <c r="N9" i="124"/>
  <c r="N15" i="124"/>
  <c r="N8" i="124"/>
  <c r="R46" i="178"/>
  <c r="S46" i="178" s="1"/>
  <c r="J47" i="110"/>
  <c r="R54" i="178"/>
  <c r="S54" i="178" s="1"/>
  <c r="R14" i="170"/>
  <c r="S14" i="170" s="1"/>
  <c r="K56" i="110"/>
  <c r="L21" i="110"/>
  <c r="L52" i="110"/>
  <c r="R36" i="185"/>
  <c r="S36" i="185" s="1"/>
  <c r="L46" i="110"/>
  <c r="M19" i="126"/>
  <c r="M55" i="126"/>
  <c r="R31" i="185"/>
  <c r="S31" i="185" s="1"/>
  <c r="R50" i="185"/>
  <c r="S50" i="185" s="1"/>
  <c r="O53" i="126"/>
  <c r="O27" i="126"/>
  <c r="O31" i="126"/>
  <c r="O29" i="121"/>
  <c r="O30" i="125"/>
  <c r="O40" i="126"/>
  <c r="O25" i="126"/>
  <c r="O34" i="126"/>
  <c r="O37" i="126"/>
  <c r="O33" i="126"/>
  <c r="O45" i="126"/>
  <c r="O46" i="126"/>
  <c r="O57" i="126"/>
  <c r="O60" i="126"/>
  <c r="O21" i="126"/>
  <c r="O44" i="126"/>
  <c r="O35" i="121"/>
  <c r="O36" i="125"/>
  <c r="O64" i="121"/>
  <c r="O65" i="125"/>
  <c r="O22" i="126"/>
  <c r="O52" i="126"/>
  <c r="O54" i="126"/>
  <c r="R30" i="185"/>
  <c r="S30" i="185" s="1"/>
  <c r="R35" i="185"/>
  <c r="S35" i="185" s="1"/>
  <c r="L26" i="110"/>
  <c r="L25" i="110"/>
  <c r="R41" i="178"/>
  <c r="S41" i="178" s="1"/>
  <c r="R60" i="178"/>
  <c r="S60" i="178" s="1"/>
  <c r="R64" i="185"/>
  <c r="S64" i="185" s="1"/>
  <c r="K43" i="110"/>
  <c r="H116" i="188"/>
  <c r="H99" i="188"/>
  <c r="N9" i="121"/>
  <c r="N9" i="125" s="1"/>
  <c r="N23" i="125"/>
  <c r="N16" i="121"/>
  <c r="N16" i="125" s="1"/>
  <c r="N64" i="125"/>
  <c r="N11" i="121"/>
  <c r="N11" i="125" s="1"/>
  <c r="N35" i="125"/>
  <c r="N56" i="126"/>
  <c r="H122" i="188"/>
  <c r="H111" i="188"/>
  <c r="H115" i="188"/>
  <c r="N43" i="126"/>
  <c r="N10" i="121"/>
  <c r="N10" i="125" s="1"/>
  <c r="N29" i="125"/>
  <c r="H123" i="188"/>
  <c r="N48" i="126"/>
  <c r="R45" i="177"/>
  <c r="S45" i="177" s="1"/>
  <c r="I10" i="110"/>
  <c r="R27" i="177"/>
  <c r="S27" i="177" s="1"/>
  <c r="K30" i="110"/>
  <c r="M29" i="126"/>
  <c r="K65" i="110"/>
  <c r="R32" i="185"/>
  <c r="S32" i="185" s="1"/>
  <c r="L39" i="110"/>
  <c r="L40" i="110"/>
  <c r="L31" i="110"/>
  <c r="L60" i="110"/>
  <c r="N11" i="124"/>
  <c r="N13" i="124"/>
  <c r="N12" i="124"/>
  <c r="N16" i="124"/>
  <c r="R34" i="178"/>
  <c r="S34" i="178" s="1"/>
  <c r="J35" i="110"/>
  <c r="K62" i="212" l="1"/>
  <c r="K14" i="212" s="1"/>
  <c r="K94" i="200" s="1"/>
  <c r="K40" i="213"/>
  <c r="K10" i="213" s="1"/>
  <c r="K122" i="200" s="1"/>
  <c r="K59" i="213"/>
  <c r="K13" i="213" s="1"/>
  <c r="K125" i="200" s="1"/>
  <c r="K40" i="212"/>
  <c r="D6" i="213"/>
  <c r="D83" i="213"/>
  <c r="K45" i="212"/>
  <c r="D11" i="212"/>
  <c r="D111" i="212"/>
  <c r="D9" i="212"/>
  <c r="D99" i="212"/>
  <c r="K33" i="212"/>
  <c r="K9" i="212" s="1"/>
  <c r="K89" i="200" s="1"/>
  <c r="D8" i="212"/>
  <c r="D93" i="212"/>
  <c r="K45" i="213"/>
  <c r="K11" i="213" s="1"/>
  <c r="K123" i="200" s="1"/>
  <c r="D14" i="212"/>
  <c r="D128" i="212"/>
  <c r="D9" i="213"/>
  <c r="D99" i="213"/>
  <c r="K27" i="213"/>
  <c r="K8" i="213" s="1"/>
  <c r="K120" i="200" s="1"/>
  <c r="D12" i="212"/>
  <c r="D119" i="212"/>
  <c r="K27" i="212"/>
  <c r="K8" i="212" s="1"/>
  <c r="K88" i="200" s="1"/>
  <c r="K33" i="213"/>
  <c r="K9" i="213" s="1"/>
  <c r="K121" i="200" s="1"/>
  <c r="K17" i="213"/>
  <c r="K6" i="213" s="1"/>
  <c r="K118" i="200" s="1"/>
  <c r="T7" i="127"/>
  <c r="D8" i="213"/>
  <c r="D93" i="213"/>
  <c r="K62" i="213"/>
  <c r="K14" i="213" s="1"/>
  <c r="K126" i="200" s="1"/>
  <c r="D10" i="213"/>
  <c r="D106" i="213"/>
  <c r="D13" i="212"/>
  <c r="D125" i="212"/>
  <c r="D14" i="213"/>
  <c r="D128" i="213"/>
  <c r="K53" i="213"/>
  <c r="K12" i="213" s="1"/>
  <c r="K124" i="200" s="1"/>
  <c r="K17" i="212"/>
  <c r="K6" i="212" s="1"/>
  <c r="K86" i="200" s="1"/>
  <c r="D12" i="213"/>
  <c r="D119" i="213"/>
  <c r="K53" i="212"/>
  <c r="K12" i="212" s="1"/>
  <c r="K92" i="200" s="1"/>
  <c r="D7" i="213"/>
  <c r="D87" i="213"/>
  <c r="K21" i="212"/>
  <c r="K7" i="212" s="1"/>
  <c r="K87" i="200" s="1"/>
  <c r="D11" i="213"/>
  <c r="D111" i="213"/>
  <c r="D6" i="212"/>
  <c r="D83" i="212"/>
  <c r="D13" i="213"/>
  <c r="D125" i="213"/>
  <c r="D10" i="212"/>
  <c r="D106" i="212"/>
  <c r="W18" i="93"/>
  <c r="K59" i="212"/>
  <c r="K13" i="212" s="1"/>
  <c r="K93" i="200" s="1"/>
  <c r="D7" i="212"/>
  <c r="D87" i="212"/>
  <c r="K21" i="213"/>
  <c r="K7" i="213" s="1"/>
  <c r="K119" i="200" s="1"/>
  <c r="F30" i="130"/>
  <c r="GS19" i="129"/>
  <c r="GS8" i="129" s="1"/>
  <c r="D76" i="211"/>
  <c r="D73" i="211"/>
  <c r="D27" i="200"/>
  <c r="D43" i="200" s="1"/>
  <c r="D78" i="207"/>
  <c r="GS47" i="129"/>
  <c r="GS13" i="129" s="1"/>
  <c r="D28" i="200"/>
  <c r="D44" i="200" s="1"/>
  <c r="D59" i="200"/>
  <c r="K10" i="211"/>
  <c r="K58" i="200" s="1"/>
  <c r="D77" i="207"/>
  <c r="GS64" i="129"/>
  <c r="GS16" i="129" s="1"/>
  <c r="D72" i="211"/>
  <c r="K9" i="211"/>
  <c r="K57" i="200" s="1"/>
  <c r="GS23" i="129"/>
  <c r="GS9" i="129" s="1"/>
  <c r="GS55" i="129"/>
  <c r="GS14" i="129" s="1"/>
  <c r="D79" i="207"/>
  <c r="D29" i="200"/>
  <c r="D45" i="200" s="1"/>
  <c r="V18" i="127"/>
  <c r="D74" i="207"/>
  <c r="AT54" i="129"/>
  <c r="G53" i="130" s="1"/>
  <c r="N34" i="134"/>
  <c r="D76" i="207"/>
  <c r="D74" i="211"/>
  <c r="D24" i="200"/>
  <c r="D40" i="200" s="1"/>
  <c r="K11" i="211"/>
  <c r="K59" i="200" s="1"/>
  <c r="N55" i="134"/>
  <c r="D25" i="200"/>
  <c r="D41" i="200" s="1"/>
  <c r="N58" i="134"/>
  <c r="D26" i="200"/>
  <c r="D42" i="200" s="1"/>
  <c r="D80" i="207"/>
  <c r="D30" i="200"/>
  <c r="D46" i="200" s="1"/>
  <c r="D57" i="200"/>
  <c r="GS42" i="129"/>
  <c r="GS12" i="129" s="1"/>
  <c r="GS29" i="129"/>
  <c r="GS10" i="129" s="1"/>
  <c r="D75" i="207"/>
  <c r="U7" i="93"/>
  <c r="U6" i="93" s="1"/>
  <c r="U6" i="127" s="1"/>
  <c r="U5" i="127" s="1"/>
  <c r="V7" i="93"/>
  <c r="V6" i="93" s="1"/>
  <c r="V6" i="127" s="1"/>
  <c r="V5" i="127" s="1"/>
  <c r="K16" i="211"/>
  <c r="U18" i="127"/>
  <c r="U17" i="93"/>
  <c r="V17" i="93"/>
  <c r="N52" i="134"/>
  <c r="F31" i="130"/>
  <c r="N43" i="134"/>
  <c r="N46" i="134"/>
  <c r="D71" i="200"/>
  <c r="D70" i="200"/>
  <c r="D82" i="207"/>
  <c r="D5" i="207"/>
  <c r="V7" i="110" s="1"/>
  <c r="F62" i="130"/>
  <c r="F43" i="130"/>
  <c r="N44" i="134"/>
  <c r="N50" i="134"/>
  <c r="N60" i="134"/>
  <c r="AT60" i="129"/>
  <c r="N58" i="157" s="1"/>
  <c r="AT49" i="129"/>
  <c r="N47" i="157" s="1"/>
  <c r="F39" i="130"/>
  <c r="N24" i="134"/>
  <c r="AT50" i="129"/>
  <c r="G49" i="130" s="1"/>
  <c r="AT62" i="129"/>
  <c r="G61" i="130" s="1"/>
  <c r="F33" i="130"/>
  <c r="N57" i="134"/>
  <c r="AJ61" i="129"/>
  <c r="AJ15" i="129" s="1"/>
  <c r="F64" i="130"/>
  <c r="N22" i="134"/>
  <c r="N25" i="134"/>
  <c r="N35" i="134"/>
  <c r="F21" i="130"/>
  <c r="N19" i="134"/>
  <c r="F38" i="130"/>
  <c r="F27" i="130"/>
  <c r="T77" i="121"/>
  <c r="T77" i="124" s="1"/>
  <c r="D71" i="205"/>
  <c r="N41" i="134"/>
  <c r="F24" i="130"/>
  <c r="AT48" i="129"/>
  <c r="N46" i="157" s="1"/>
  <c r="AT32" i="129"/>
  <c r="N30" i="157" s="1"/>
  <c r="AT26" i="129"/>
  <c r="N24" i="157" s="1"/>
  <c r="AT28" i="129"/>
  <c r="G27" i="130" s="1"/>
  <c r="AT33" i="129"/>
  <c r="N31" i="157" s="1"/>
  <c r="N47" i="134"/>
  <c r="N65" i="134"/>
  <c r="AT20" i="129"/>
  <c r="AT27" i="129"/>
  <c r="G26" i="130" s="1"/>
  <c r="AT21" i="129"/>
  <c r="N19" i="157" s="1"/>
  <c r="AT57" i="129"/>
  <c r="N55" i="157" s="1"/>
  <c r="AT31" i="129"/>
  <c r="G30" i="130" s="1"/>
  <c r="AT56" i="129"/>
  <c r="AT46" i="129"/>
  <c r="N44" i="157" s="1"/>
  <c r="AT40" i="129"/>
  <c r="N38" i="157" s="1"/>
  <c r="AT22" i="129"/>
  <c r="G21" i="130" s="1"/>
  <c r="AT59" i="129"/>
  <c r="G58" i="130" s="1"/>
  <c r="N18" i="134"/>
  <c r="AT43" i="129"/>
  <c r="G42" i="130" s="1"/>
  <c r="AT51" i="129"/>
  <c r="G50" i="130" s="1"/>
  <c r="AT41" i="129"/>
  <c r="N39" i="157" s="1"/>
  <c r="AT45" i="129"/>
  <c r="G44" i="130" s="1"/>
  <c r="AT67" i="129"/>
  <c r="N48" i="134"/>
  <c r="N28" i="134"/>
  <c r="AT65" i="129"/>
  <c r="G64" i="130" s="1"/>
  <c r="AT36" i="129"/>
  <c r="N34" i="157" s="1"/>
  <c r="AT34" i="129"/>
  <c r="N32" i="157" s="1"/>
  <c r="AT25" i="129"/>
  <c r="G24" i="130" s="1"/>
  <c r="AT44" i="129"/>
  <c r="F37" i="130"/>
  <c r="AT30" i="129"/>
  <c r="G29" i="130" s="1"/>
  <c r="AT38" i="129"/>
  <c r="N36" i="157" s="1"/>
  <c r="AT66" i="129"/>
  <c r="N64" i="157" s="1"/>
  <c r="AT39" i="129"/>
  <c r="N37" i="157" s="1"/>
  <c r="AT58" i="129"/>
  <c r="N56" i="157" s="1"/>
  <c r="AT24" i="129"/>
  <c r="N22" i="157" s="1"/>
  <c r="AT63" i="129"/>
  <c r="G62" i="130" s="1"/>
  <c r="AT52" i="129"/>
  <c r="N50" i="157" s="1"/>
  <c r="AT53" i="129"/>
  <c r="G52" i="130" s="1"/>
  <c r="AT37" i="129"/>
  <c r="N35" i="157" s="1"/>
  <c r="AJ35" i="129"/>
  <c r="AJ11" i="129" s="1"/>
  <c r="N51" i="134"/>
  <c r="N39" i="134"/>
  <c r="AJ23" i="129"/>
  <c r="F22" i="130" s="1"/>
  <c r="F40" i="130"/>
  <c r="AJ19" i="129"/>
  <c r="F18" i="130" s="1"/>
  <c r="AJ29" i="129"/>
  <c r="AJ10" i="129" s="1"/>
  <c r="AJ42" i="129"/>
  <c r="AJ12" i="129" s="1"/>
  <c r="F65" i="130"/>
  <c r="AJ64" i="129"/>
  <c r="N62" i="134" s="1"/>
  <c r="N54" i="134"/>
  <c r="AJ47" i="129"/>
  <c r="F46" i="130" s="1"/>
  <c r="AJ55" i="129"/>
  <c r="AJ14" i="129" s="1"/>
  <c r="N31" i="134"/>
  <c r="F32" i="130"/>
  <c r="F57" i="130"/>
  <c r="N49" i="134"/>
  <c r="N9" i="126"/>
  <c r="DF21" i="129"/>
  <c r="CY21" i="129" s="1"/>
  <c r="CZ21" i="129" s="1"/>
  <c r="CV36" i="129"/>
  <c r="CO36" i="129" s="1"/>
  <c r="CL64" i="129"/>
  <c r="CL16" i="129" s="1"/>
  <c r="CL29" i="129"/>
  <c r="CL10" i="129" s="1"/>
  <c r="CL42" i="129"/>
  <c r="CL12" i="129" s="1"/>
  <c r="CL55" i="129"/>
  <c r="CL14" i="129" s="1"/>
  <c r="DF34" i="129"/>
  <c r="CY34" i="129" s="1"/>
  <c r="CZ34" i="129" s="1"/>
  <c r="I113" i="189"/>
  <c r="I89" i="189"/>
  <c r="I127" i="189"/>
  <c r="I130" i="189"/>
  <c r="DF54" i="129"/>
  <c r="CY54" i="129" s="1"/>
  <c r="CZ54" i="129" s="1"/>
  <c r="DF32" i="129"/>
  <c r="CY32" i="129" s="1"/>
  <c r="CZ32" i="129" s="1"/>
  <c r="DF26" i="129"/>
  <c r="CY26" i="129" s="1"/>
  <c r="CZ26" i="129" s="1"/>
  <c r="DF58" i="129"/>
  <c r="CY58" i="129" s="1"/>
  <c r="CZ58" i="129" s="1"/>
  <c r="DF27" i="129"/>
  <c r="CY27" i="129" s="1"/>
  <c r="CZ27" i="129" s="1"/>
  <c r="DF22" i="129"/>
  <c r="CY22" i="129" s="1"/>
  <c r="CZ22" i="129" s="1"/>
  <c r="DF60" i="129"/>
  <c r="CY60" i="129" s="1"/>
  <c r="CZ60" i="129" s="1"/>
  <c r="DF46" i="129"/>
  <c r="CY46" i="129" s="1"/>
  <c r="CZ46" i="129" s="1"/>
  <c r="DF41" i="129"/>
  <c r="CY41" i="129" s="1"/>
  <c r="CZ41" i="129" s="1"/>
  <c r="CL19" i="129"/>
  <c r="CL8" i="129" s="1"/>
  <c r="DF25" i="129"/>
  <c r="CY25" i="129" s="1"/>
  <c r="CZ25" i="129" s="1"/>
  <c r="DF39" i="129"/>
  <c r="CY39" i="129" s="1"/>
  <c r="CZ39" i="129" s="1"/>
  <c r="DF28" i="129"/>
  <c r="CY28" i="129" s="1"/>
  <c r="CZ28" i="129" s="1"/>
  <c r="CV65" i="129"/>
  <c r="CO65" i="129" s="1"/>
  <c r="CV48" i="129"/>
  <c r="CO48" i="129" s="1"/>
  <c r="DF51" i="129"/>
  <c r="CY51" i="129" s="1"/>
  <c r="CZ51" i="129" s="1"/>
  <c r="DF40" i="129"/>
  <c r="CY40" i="129" s="1"/>
  <c r="CZ40" i="129" s="1"/>
  <c r="DF52" i="129"/>
  <c r="CY52" i="129" s="1"/>
  <c r="CZ52" i="129" s="1"/>
  <c r="I108" i="189"/>
  <c r="CV24" i="129"/>
  <c r="CO24" i="129" s="1"/>
  <c r="CV20" i="129"/>
  <c r="CO20" i="129" s="1"/>
  <c r="CV30" i="129"/>
  <c r="CO30" i="129" s="1"/>
  <c r="I67" i="186"/>
  <c r="I69" i="186" s="1"/>
  <c r="I95" i="189"/>
  <c r="CL61" i="129"/>
  <c r="CL15" i="129" s="1"/>
  <c r="CV62" i="129"/>
  <c r="CO62" i="129" s="1"/>
  <c r="DF57" i="129"/>
  <c r="CY57" i="129" s="1"/>
  <c r="CZ57" i="129" s="1"/>
  <c r="CL23" i="129"/>
  <c r="CL9" i="129" s="1"/>
  <c r="I121" i="189"/>
  <c r="I85" i="189"/>
  <c r="DF67" i="129"/>
  <c r="CY67" i="129" s="1"/>
  <c r="CZ67" i="129" s="1"/>
  <c r="DF37" i="129"/>
  <c r="CY37" i="129" s="1"/>
  <c r="CZ37" i="129" s="1"/>
  <c r="DF31" i="129"/>
  <c r="CY31" i="129" s="1"/>
  <c r="CZ31" i="129" s="1"/>
  <c r="DF63" i="129"/>
  <c r="CY63" i="129" s="1"/>
  <c r="CZ63" i="129" s="1"/>
  <c r="DF49" i="129"/>
  <c r="CY49" i="129" s="1"/>
  <c r="CZ49" i="129" s="1"/>
  <c r="DF33" i="129"/>
  <c r="CY33" i="129" s="1"/>
  <c r="CZ33" i="129" s="1"/>
  <c r="DF38" i="129"/>
  <c r="CY38" i="129" s="1"/>
  <c r="CZ38" i="129" s="1"/>
  <c r="DF66" i="129"/>
  <c r="CY66" i="129" s="1"/>
  <c r="CZ66" i="129" s="1"/>
  <c r="DF44" i="129"/>
  <c r="CY44" i="129" s="1"/>
  <c r="CZ44" i="129" s="1"/>
  <c r="DF59" i="129"/>
  <c r="CY59" i="129" s="1"/>
  <c r="CZ59" i="129" s="1"/>
  <c r="DF45" i="129"/>
  <c r="CY45" i="129" s="1"/>
  <c r="CZ45" i="129" s="1"/>
  <c r="F67" i="178"/>
  <c r="F69" i="178" s="1"/>
  <c r="DF50" i="129"/>
  <c r="CY50" i="129" s="1"/>
  <c r="CZ50" i="129" s="1"/>
  <c r="DF53" i="129"/>
  <c r="CY53" i="129" s="1"/>
  <c r="CZ53" i="129" s="1"/>
  <c r="CV56" i="129"/>
  <c r="CO56" i="129" s="1"/>
  <c r="H67" i="185"/>
  <c r="H69" i="185" s="1"/>
  <c r="CL35" i="129"/>
  <c r="CL11" i="129" s="1"/>
  <c r="CL47" i="129"/>
  <c r="CL13" i="129" s="1"/>
  <c r="CV43" i="129"/>
  <c r="CO43" i="129" s="1"/>
  <c r="I101" i="189"/>
  <c r="S3" i="157"/>
  <c r="S3" i="152"/>
  <c r="S3" i="153"/>
  <c r="L67" i="170"/>
  <c r="L69" i="170" s="1"/>
  <c r="M34" i="151"/>
  <c r="E35" i="131"/>
  <c r="E35" i="132" s="1"/>
  <c r="E40" i="131"/>
  <c r="E40" i="132" s="1"/>
  <c r="M39" i="151"/>
  <c r="E64" i="131"/>
  <c r="E64" i="132" s="1"/>
  <c r="M63" i="151"/>
  <c r="M37" i="151"/>
  <c r="E38" i="131"/>
  <c r="E38" i="132" s="1"/>
  <c r="M29" i="151"/>
  <c r="E30" i="131"/>
  <c r="E30" i="132" s="1"/>
  <c r="M61" i="151"/>
  <c r="E62" i="131"/>
  <c r="E62" i="132" s="1"/>
  <c r="E61" i="131"/>
  <c r="E61" i="132" s="1"/>
  <c r="M60" i="151"/>
  <c r="C26" i="130"/>
  <c r="N25" i="153"/>
  <c r="N60" i="153"/>
  <c r="F61" i="129"/>
  <c r="C61" i="130"/>
  <c r="N44" i="153"/>
  <c r="C45" i="130"/>
  <c r="N46" i="153"/>
  <c r="C47" i="130"/>
  <c r="F47" i="129"/>
  <c r="C25" i="130"/>
  <c r="N24" i="153"/>
  <c r="C53" i="130"/>
  <c r="N52" i="153"/>
  <c r="N61" i="153"/>
  <c r="C62" i="130"/>
  <c r="N51" i="153"/>
  <c r="C52" i="130"/>
  <c r="N42" i="153"/>
  <c r="C43" i="130"/>
  <c r="C21" i="130"/>
  <c r="N20" i="153"/>
  <c r="E51" i="131"/>
  <c r="E51" i="132" s="1"/>
  <c r="M50" i="151"/>
  <c r="E42" i="131"/>
  <c r="E42" i="132" s="1"/>
  <c r="M41" i="151"/>
  <c r="M24" i="151"/>
  <c r="E25" i="131"/>
  <c r="E25" i="132" s="1"/>
  <c r="E36" i="131"/>
  <c r="E36" i="132" s="1"/>
  <c r="M35" i="151"/>
  <c r="E56" i="131"/>
  <c r="E56" i="132" s="1"/>
  <c r="M55" i="151"/>
  <c r="E32" i="131"/>
  <c r="E32" i="132" s="1"/>
  <c r="M31" i="151"/>
  <c r="P29" i="129"/>
  <c r="D29" i="130"/>
  <c r="N28" i="152"/>
  <c r="N44" i="152"/>
  <c r="D45" i="130"/>
  <c r="D30" i="130"/>
  <c r="N29" i="152"/>
  <c r="N55" i="152"/>
  <c r="D56" i="130"/>
  <c r="N22" i="152"/>
  <c r="P23" i="129"/>
  <c r="D23" i="130"/>
  <c r="D27" i="130"/>
  <c r="N26" i="152"/>
  <c r="D21" i="130"/>
  <c r="N20" i="152"/>
  <c r="D52" i="130"/>
  <c r="N51" i="152"/>
  <c r="D53" i="130"/>
  <c r="N52" i="152"/>
  <c r="N42" i="152"/>
  <c r="D43" i="130"/>
  <c r="E55" i="131"/>
  <c r="E55" i="132" s="1"/>
  <c r="M54" i="151"/>
  <c r="E50" i="131"/>
  <c r="E50" i="132" s="1"/>
  <c r="M49" i="151"/>
  <c r="N7" i="129"/>
  <c r="N6" i="129" s="1"/>
  <c r="N1" i="129" s="1"/>
  <c r="M38" i="151"/>
  <c r="E39" i="131"/>
  <c r="E39" i="132" s="1"/>
  <c r="M30" i="151"/>
  <c r="E31" i="131"/>
  <c r="E31" i="132" s="1"/>
  <c r="Z15" i="129"/>
  <c r="E14" i="130" s="1"/>
  <c r="N59" i="151"/>
  <c r="E60" i="130"/>
  <c r="N63" i="153"/>
  <c r="C64" i="130"/>
  <c r="F64" i="129"/>
  <c r="C50" i="130"/>
  <c r="N49" i="153"/>
  <c r="N28" i="153"/>
  <c r="F29" i="129"/>
  <c r="C29" i="130"/>
  <c r="N18" i="153"/>
  <c r="F19" i="129"/>
  <c r="C19" i="130"/>
  <c r="C33" i="130"/>
  <c r="N32" i="153"/>
  <c r="N64" i="153"/>
  <c r="C65" i="130"/>
  <c r="N56" i="153"/>
  <c r="C57" i="130"/>
  <c r="N38" i="153"/>
  <c r="C39" i="130"/>
  <c r="N47" i="153"/>
  <c r="C48" i="130"/>
  <c r="C20" i="130"/>
  <c r="N19" i="153"/>
  <c r="M48" i="151"/>
  <c r="E49" i="131"/>
  <c r="E49" i="132" s="1"/>
  <c r="M65" i="151"/>
  <c r="E66" i="131"/>
  <c r="E66" i="132" s="1"/>
  <c r="N40" i="151"/>
  <c r="E41" i="130"/>
  <c r="Z12" i="129"/>
  <c r="E11" i="130" s="1"/>
  <c r="E46" i="130"/>
  <c r="N45" i="151"/>
  <c r="Z13" i="129"/>
  <c r="E12" i="130" s="1"/>
  <c r="M28" i="151"/>
  <c r="E29" i="131"/>
  <c r="E29" i="132" s="1"/>
  <c r="M32" i="151"/>
  <c r="E33" i="131"/>
  <c r="E33" i="132" s="1"/>
  <c r="E58" i="131"/>
  <c r="E58" i="132" s="1"/>
  <c r="M57" i="151"/>
  <c r="D42" i="130"/>
  <c r="P42" i="129"/>
  <c r="N41" i="152"/>
  <c r="N49" i="152"/>
  <c r="D50" i="130"/>
  <c r="N37" i="152"/>
  <c r="D38" i="130"/>
  <c r="D44" i="130"/>
  <c r="N43" i="152"/>
  <c r="N63" i="152"/>
  <c r="D64" i="130"/>
  <c r="P64" i="129"/>
  <c r="D26" i="130"/>
  <c r="N25" i="152"/>
  <c r="D20" i="130"/>
  <c r="N19" i="152"/>
  <c r="D59" i="130"/>
  <c r="N58" i="152"/>
  <c r="D58" i="130"/>
  <c r="N57" i="152"/>
  <c r="N61" i="152"/>
  <c r="D62" i="130"/>
  <c r="M20" i="151"/>
  <c r="E21" i="131"/>
  <c r="E21" i="132" s="1"/>
  <c r="M22" i="151"/>
  <c r="E23" i="131"/>
  <c r="E23" i="132" s="1"/>
  <c r="M36" i="151"/>
  <c r="E37" i="131"/>
  <c r="E37" i="132" s="1"/>
  <c r="E19" i="131"/>
  <c r="E19" i="132" s="1"/>
  <c r="M18" i="151"/>
  <c r="M25" i="151"/>
  <c r="E26" i="131"/>
  <c r="E26" i="132" s="1"/>
  <c r="N37" i="153"/>
  <c r="C38" i="130"/>
  <c r="C44" i="130"/>
  <c r="N43" i="153"/>
  <c r="C31" i="130"/>
  <c r="N30" i="153"/>
  <c r="C51" i="130"/>
  <c r="N50" i="153"/>
  <c r="N29" i="153"/>
  <c r="C30" i="130"/>
  <c r="C32" i="130"/>
  <c r="N31" i="153"/>
  <c r="N58" i="153"/>
  <c r="C59" i="130"/>
  <c r="N48" i="153"/>
  <c r="C49" i="130"/>
  <c r="N54" i="153"/>
  <c r="C55" i="130"/>
  <c r="F55" i="129"/>
  <c r="N35" i="153"/>
  <c r="C36" i="130"/>
  <c r="E48" i="131"/>
  <c r="E48" i="132" s="1"/>
  <c r="M47" i="151"/>
  <c r="M43" i="151"/>
  <c r="E44" i="131"/>
  <c r="E44" i="132" s="1"/>
  <c r="M46" i="151"/>
  <c r="E47" i="131"/>
  <c r="E47" i="132" s="1"/>
  <c r="M64" i="151"/>
  <c r="E65" i="131"/>
  <c r="E65" i="132" s="1"/>
  <c r="E28" i="130"/>
  <c r="N27" i="151"/>
  <c r="Z10" i="129"/>
  <c r="E9" i="130" s="1"/>
  <c r="E43" i="131"/>
  <c r="E43" i="132" s="1"/>
  <c r="M42" i="151"/>
  <c r="D61" i="130"/>
  <c r="N60" i="152"/>
  <c r="P61" i="129"/>
  <c r="P55" i="129"/>
  <c r="N54" i="152"/>
  <c r="D55" i="130"/>
  <c r="N35" i="152"/>
  <c r="D36" i="130"/>
  <c r="D33" i="130"/>
  <c r="N32" i="152"/>
  <c r="N39" i="152"/>
  <c r="D40" i="130"/>
  <c r="D25" i="130"/>
  <c r="N24" i="152"/>
  <c r="D37" i="130"/>
  <c r="N36" i="152"/>
  <c r="N31" i="152"/>
  <c r="D32" i="130"/>
  <c r="D66" i="130"/>
  <c r="N65" i="152"/>
  <c r="N56" i="152"/>
  <c r="D57" i="130"/>
  <c r="N33" i="151"/>
  <c r="E34" i="130"/>
  <c r="Z11" i="129"/>
  <c r="E10" i="130" s="1"/>
  <c r="M23" i="151"/>
  <c r="E24" i="131"/>
  <c r="E24" i="132" s="1"/>
  <c r="E54" i="130"/>
  <c r="N53" i="151"/>
  <c r="Z14" i="129"/>
  <c r="E13" i="130" s="1"/>
  <c r="Z16" i="129"/>
  <c r="E15" i="130" s="1"/>
  <c r="E63" i="130"/>
  <c r="N62" i="151"/>
  <c r="M26" i="151"/>
  <c r="E27" i="131"/>
  <c r="E27" i="132" s="1"/>
  <c r="E22" i="130"/>
  <c r="N21" i="151"/>
  <c r="Z9" i="129"/>
  <c r="E8" i="130" s="1"/>
  <c r="M19" i="151"/>
  <c r="E20" i="131"/>
  <c r="E20" i="132" s="1"/>
  <c r="M44" i="151"/>
  <c r="E45" i="131"/>
  <c r="E45" i="132" s="1"/>
  <c r="E18" i="130"/>
  <c r="N17" i="151"/>
  <c r="Z8" i="129"/>
  <c r="N41" i="153"/>
  <c r="F42" i="129"/>
  <c r="C42" i="130"/>
  <c r="N22" i="153"/>
  <c r="C23" i="130"/>
  <c r="F23" i="129"/>
  <c r="C66" i="130"/>
  <c r="N65" i="153"/>
  <c r="N34" i="153"/>
  <c r="C35" i="130"/>
  <c r="F35" i="129"/>
  <c r="N57" i="153"/>
  <c r="C58" i="130"/>
  <c r="C37" i="130"/>
  <c r="N36" i="153"/>
  <c r="N39" i="153"/>
  <c r="C40" i="130"/>
  <c r="N55" i="153"/>
  <c r="C56" i="130"/>
  <c r="N26" i="153"/>
  <c r="C27" i="130"/>
  <c r="N23" i="153"/>
  <c r="C24" i="130"/>
  <c r="E52" i="131"/>
  <c r="E52" i="132" s="1"/>
  <c r="M51" i="151"/>
  <c r="M56" i="151"/>
  <c r="E57" i="131"/>
  <c r="E57" i="132" s="1"/>
  <c r="D7" i="129"/>
  <c r="D6" i="129" s="1"/>
  <c r="D1" i="129" s="1"/>
  <c r="M52" i="151"/>
  <c r="E53" i="131"/>
  <c r="E53" i="132" s="1"/>
  <c r="E59" i="131"/>
  <c r="E59" i="132" s="1"/>
  <c r="M58" i="151"/>
  <c r="P35" i="129"/>
  <c r="D35" i="130"/>
  <c r="N34" i="152"/>
  <c r="N46" i="152"/>
  <c r="D47" i="130"/>
  <c r="P47" i="129"/>
  <c r="D24" i="130"/>
  <c r="N23" i="152"/>
  <c r="D19" i="130"/>
  <c r="N18" i="152"/>
  <c r="P19" i="129"/>
  <c r="D31" i="130"/>
  <c r="N30" i="152"/>
  <c r="D48" i="130"/>
  <c r="N47" i="152"/>
  <c r="N50" i="152"/>
  <c r="D51" i="130"/>
  <c r="D65" i="130"/>
  <c r="N64" i="152"/>
  <c r="D49" i="130"/>
  <c r="N48" i="152"/>
  <c r="D39" i="130"/>
  <c r="N38" i="152"/>
  <c r="BA18" i="129"/>
  <c r="BB18" i="129" s="1"/>
  <c r="AS9" i="129"/>
  <c r="AS14" i="129"/>
  <c r="M24" i="134"/>
  <c r="F25" i="131"/>
  <c r="F25" i="132" s="1"/>
  <c r="M56" i="134"/>
  <c r="F57" i="131"/>
  <c r="CE42" i="129"/>
  <c r="CE12" i="129" s="1"/>
  <c r="CF43" i="129"/>
  <c r="M47" i="134"/>
  <c r="F48" i="131"/>
  <c r="F48" i="132" s="1"/>
  <c r="M61" i="134"/>
  <c r="F62" i="131"/>
  <c r="M57" i="134"/>
  <c r="F58" i="131"/>
  <c r="F58" i="132" s="1"/>
  <c r="M22" i="134"/>
  <c r="F23" i="131"/>
  <c r="F23" i="132" s="1"/>
  <c r="F55" i="131"/>
  <c r="F55" i="132" s="1"/>
  <c r="M54" i="134"/>
  <c r="M37" i="134"/>
  <c r="F38" i="131"/>
  <c r="M36" i="134"/>
  <c r="F37" i="131"/>
  <c r="CE23" i="129"/>
  <c r="CE9" i="129" s="1"/>
  <c r="CF24" i="129"/>
  <c r="M31" i="134"/>
  <c r="F32" i="131"/>
  <c r="CE35" i="129"/>
  <c r="CE11" i="129" s="1"/>
  <c r="CF36" i="129"/>
  <c r="AS13" i="129"/>
  <c r="AS12" i="129"/>
  <c r="M30" i="134"/>
  <c r="F31" i="131"/>
  <c r="M35" i="134"/>
  <c r="F36" i="131"/>
  <c r="F36" i="132" s="1"/>
  <c r="BV35" i="129"/>
  <c r="BV11" i="129" s="1"/>
  <c r="M58" i="134"/>
  <c r="F59" i="131"/>
  <c r="F59" i="132" s="1"/>
  <c r="M48" i="134"/>
  <c r="F49" i="131"/>
  <c r="F49" i="132" s="1"/>
  <c r="BV55" i="129"/>
  <c r="BV14" i="129" s="1"/>
  <c r="M50" i="134"/>
  <c r="F51" i="131"/>
  <c r="F51" i="132" s="1"/>
  <c r="M39" i="134"/>
  <c r="F40" i="131"/>
  <c r="M65" i="134"/>
  <c r="F66" i="131"/>
  <c r="F66" i="132" s="1"/>
  <c r="BV47" i="129"/>
  <c r="BV13" i="129" s="1"/>
  <c r="AR7" i="129"/>
  <c r="AR6" i="129" s="1"/>
  <c r="AR1" i="129" s="1"/>
  <c r="M19" i="134"/>
  <c r="F20" i="131"/>
  <c r="F20" i="132" s="1"/>
  <c r="M43" i="134"/>
  <c r="F44" i="131"/>
  <c r="F44" i="132" s="1"/>
  <c r="K67" i="177"/>
  <c r="K69" i="177" s="1"/>
  <c r="BR18" i="129"/>
  <c r="AS16" i="129"/>
  <c r="AS15" i="129"/>
  <c r="AS11" i="129"/>
  <c r="M25" i="134"/>
  <c r="F26" i="131"/>
  <c r="F26" i="132" s="1"/>
  <c r="M44" i="134"/>
  <c r="F45" i="131"/>
  <c r="F45" i="132" s="1"/>
  <c r="CE64" i="129"/>
  <c r="CE16" i="129" s="1"/>
  <c r="CF65" i="129"/>
  <c r="CF64" i="129" s="1"/>
  <c r="CF16" i="129" s="1"/>
  <c r="BH7" i="129"/>
  <c r="BH6" i="129" s="1"/>
  <c r="BH1" i="129" s="1"/>
  <c r="M23" i="134"/>
  <c r="F24" i="131"/>
  <c r="M38" i="134"/>
  <c r="F39" i="131"/>
  <c r="M60" i="134"/>
  <c r="F61" i="131"/>
  <c r="F61" i="132" s="1"/>
  <c r="M63" i="134"/>
  <c r="F64" i="131"/>
  <c r="CE29" i="129"/>
  <c r="CE10" i="129" s="1"/>
  <c r="CF30" i="129"/>
  <c r="CF29" i="129" s="1"/>
  <c r="CF10" i="129" s="1"/>
  <c r="CE55" i="129"/>
  <c r="CE14" i="129" s="1"/>
  <c r="CF56" i="129"/>
  <c r="CE61" i="129"/>
  <c r="CE15" i="129" s="1"/>
  <c r="CF62" i="129"/>
  <c r="CF61" i="129" s="1"/>
  <c r="CF15" i="129" s="1"/>
  <c r="M42" i="134"/>
  <c r="F43" i="131"/>
  <c r="M29" i="134"/>
  <c r="F30" i="131"/>
  <c r="M51" i="134"/>
  <c r="F52" i="131"/>
  <c r="F52" i="132" s="1"/>
  <c r="AS10" i="129"/>
  <c r="AS8" i="129"/>
  <c r="M32" i="134"/>
  <c r="F33" i="131"/>
  <c r="M64" i="134"/>
  <c r="F65" i="131"/>
  <c r="M34" i="134"/>
  <c r="F35" i="131"/>
  <c r="F35" i="132" s="1"/>
  <c r="F47" i="131"/>
  <c r="F47" i="132" s="1"/>
  <c r="M46" i="134"/>
  <c r="BV23" i="129"/>
  <c r="BV9" i="129" s="1"/>
  <c r="M20" i="134"/>
  <c r="F21" i="131"/>
  <c r="M52" i="134"/>
  <c r="F53" i="131"/>
  <c r="F53" i="132" s="1"/>
  <c r="M28" i="134"/>
  <c r="F29" i="131"/>
  <c r="F29" i="132" s="1"/>
  <c r="CE47" i="129"/>
  <c r="CE13" i="129" s="1"/>
  <c r="CF48" i="129"/>
  <c r="CE19" i="129"/>
  <c r="CE8" i="129" s="1"/>
  <c r="CF20" i="129"/>
  <c r="M55" i="134"/>
  <c r="F56" i="131"/>
  <c r="F56" i="132" s="1"/>
  <c r="BV42" i="129"/>
  <c r="BV12" i="129" s="1"/>
  <c r="BV19" i="129"/>
  <c r="BV8" i="129" s="1"/>
  <c r="M49" i="134"/>
  <c r="F50" i="131"/>
  <c r="F50" i="132" s="1"/>
  <c r="M26" i="134"/>
  <c r="F27" i="131"/>
  <c r="F42" i="131"/>
  <c r="F42" i="132" s="1"/>
  <c r="M41" i="134"/>
  <c r="F19" i="131"/>
  <c r="F19" i="132" s="1"/>
  <c r="M18" i="134"/>
  <c r="S76" i="121"/>
  <c r="S76" i="124" s="1"/>
  <c r="Q76" i="121"/>
  <c r="Q76" i="124" s="1"/>
  <c r="R25" i="126"/>
  <c r="R23" i="121"/>
  <c r="R24" i="125"/>
  <c r="R40" i="126"/>
  <c r="R34" i="126"/>
  <c r="R33" i="126"/>
  <c r="R59" i="126"/>
  <c r="R45" i="126"/>
  <c r="R32" i="126"/>
  <c r="R26" i="126"/>
  <c r="R51" i="126"/>
  <c r="R60" i="126"/>
  <c r="R52" i="126"/>
  <c r="R31" i="126"/>
  <c r="R35" i="121"/>
  <c r="R36" i="125"/>
  <c r="R44" i="126"/>
  <c r="R53" i="126"/>
  <c r="R21" i="126"/>
  <c r="R29" i="121"/>
  <c r="R30" i="125"/>
  <c r="R49" i="126"/>
  <c r="R46" i="126"/>
  <c r="R38" i="126"/>
  <c r="R27" i="126"/>
  <c r="R41" i="126"/>
  <c r="R39" i="126"/>
  <c r="R37" i="126"/>
  <c r="R42" i="121"/>
  <c r="R43" i="125"/>
  <c r="R28" i="126"/>
  <c r="R58" i="126"/>
  <c r="R63" i="126"/>
  <c r="R47" i="121"/>
  <c r="R48" i="125"/>
  <c r="R67" i="126"/>
  <c r="R64" i="121"/>
  <c r="R65" i="125"/>
  <c r="R61" i="121"/>
  <c r="R62" i="125"/>
  <c r="R19" i="121"/>
  <c r="R20" i="125"/>
  <c r="R55" i="121"/>
  <c r="R56" i="125"/>
  <c r="R54" i="126"/>
  <c r="R66" i="126"/>
  <c r="R57" i="126"/>
  <c r="R50" i="126"/>
  <c r="R22" i="126"/>
  <c r="R61" i="124"/>
  <c r="R19" i="124"/>
  <c r="R29" i="124"/>
  <c r="R55" i="124"/>
  <c r="R42" i="124"/>
  <c r="R47" i="124"/>
  <c r="R23" i="124"/>
  <c r="R35" i="124"/>
  <c r="R64" i="124"/>
  <c r="N10" i="126"/>
  <c r="I129" i="188"/>
  <c r="R38" i="186"/>
  <c r="S38" i="186" s="1"/>
  <c r="R63" i="185"/>
  <c r="S63" i="185" s="1"/>
  <c r="L36" i="110"/>
  <c r="K29" i="110"/>
  <c r="R8" i="177"/>
  <c r="S8" i="177" s="1"/>
  <c r="H108" i="188"/>
  <c r="H121" i="188"/>
  <c r="N11" i="126"/>
  <c r="N16" i="126"/>
  <c r="K42" i="110"/>
  <c r="L48" i="110"/>
  <c r="R24" i="186"/>
  <c r="S24" i="186" s="1"/>
  <c r="H117" i="189"/>
  <c r="O65" i="126"/>
  <c r="O36" i="126"/>
  <c r="H111" i="189"/>
  <c r="H110" i="189"/>
  <c r="H102" i="189"/>
  <c r="H90" i="189"/>
  <c r="O30" i="126"/>
  <c r="H96" i="189"/>
  <c r="H118" i="189"/>
  <c r="R50" i="186"/>
  <c r="S50" i="186" s="1"/>
  <c r="R19" i="186"/>
  <c r="S19" i="186" s="1"/>
  <c r="R54" i="185"/>
  <c r="S54" i="185" s="1"/>
  <c r="J13" i="110"/>
  <c r="N18" i="124"/>
  <c r="N17" i="124" s="1"/>
  <c r="I126" i="188"/>
  <c r="I120" i="188"/>
  <c r="M51" i="110"/>
  <c r="M52" i="110"/>
  <c r="M34" i="110"/>
  <c r="M57" i="110"/>
  <c r="R55" i="186"/>
  <c r="S55" i="186" s="1"/>
  <c r="R30" i="186"/>
  <c r="S30" i="186" s="1"/>
  <c r="H7" i="110"/>
  <c r="F90" i="188"/>
  <c r="H85" i="188"/>
  <c r="H127" i="188"/>
  <c r="F124" i="188"/>
  <c r="F102" i="188"/>
  <c r="O12" i="124"/>
  <c r="M54" i="110"/>
  <c r="M67" i="110"/>
  <c r="M32" i="110"/>
  <c r="M26" i="110"/>
  <c r="M58" i="110"/>
  <c r="M63" i="110"/>
  <c r="M49" i="110"/>
  <c r="M60" i="110"/>
  <c r="M33" i="110"/>
  <c r="M38" i="110"/>
  <c r="R43" i="186"/>
  <c r="S43" i="186" s="1"/>
  <c r="L24" i="110"/>
  <c r="R32" i="186"/>
  <c r="S32" i="186" s="1"/>
  <c r="L56" i="110"/>
  <c r="R35" i="186"/>
  <c r="S35" i="186" s="1"/>
  <c r="I94" i="188"/>
  <c r="R61" i="186"/>
  <c r="S61" i="186" s="1"/>
  <c r="R39" i="186"/>
  <c r="S39" i="186" s="1"/>
  <c r="N47" i="126"/>
  <c r="F86" i="188"/>
  <c r="F96" i="188"/>
  <c r="N12" i="126"/>
  <c r="F114" i="188"/>
  <c r="N14" i="126"/>
  <c r="H101" i="188"/>
  <c r="H130" i="188"/>
  <c r="J15" i="110"/>
  <c r="L6" i="121"/>
  <c r="L6" i="125" s="1"/>
  <c r="L6" i="126" s="1"/>
  <c r="L5" i="126" s="1"/>
  <c r="L7" i="125"/>
  <c r="L7" i="126" s="1"/>
  <c r="R25" i="186"/>
  <c r="S25" i="186" s="1"/>
  <c r="K19" i="110"/>
  <c r="H116" i="189"/>
  <c r="H128" i="189"/>
  <c r="O56" i="126"/>
  <c r="H91" i="189"/>
  <c r="H131" i="189"/>
  <c r="O24" i="126"/>
  <c r="O62" i="126"/>
  <c r="H123" i="189"/>
  <c r="O43" i="126"/>
  <c r="H97" i="189"/>
  <c r="O20" i="126"/>
  <c r="H124" i="189"/>
  <c r="O48" i="126"/>
  <c r="M66" i="110"/>
  <c r="M25" i="110"/>
  <c r="R31" i="186"/>
  <c r="S31" i="186" s="1"/>
  <c r="J14" i="110"/>
  <c r="M7" i="124"/>
  <c r="M6" i="124" s="1"/>
  <c r="R49" i="186"/>
  <c r="S49" i="186" s="1"/>
  <c r="R9" i="177"/>
  <c r="S9" i="177" s="1"/>
  <c r="R36" i="186"/>
  <c r="S36" i="186" s="1"/>
  <c r="R57" i="186"/>
  <c r="S57" i="186" s="1"/>
  <c r="J9" i="110"/>
  <c r="N19" i="126"/>
  <c r="F125" i="188"/>
  <c r="N61" i="126"/>
  <c r="F92" i="188"/>
  <c r="F132" i="188"/>
  <c r="R27" i="178"/>
  <c r="S27" i="178" s="1"/>
  <c r="L43" i="110"/>
  <c r="O10" i="124"/>
  <c r="O11" i="124"/>
  <c r="R60" i="185"/>
  <c r="S60" i="185" s="1"/>
  <c r="R62" i="178"/>
  <c r="S62" i="178" s="1"/>
  <c r="R48" i="186"/>
  <c r="S48" i="186" s="1"/>
  <c r="R12" i="177"/>
  <c r="S12" i="177" s="1"/>
  <c r="R33" i="178"/>
  <c r="S33" i="178" s="1"/>
  <c r="R58" i="186"/>
  <c r="S58" i="186" s="1"/>
  <c r="J11" i="110"/>
  <c r="I107" i="188"/>
  <c r="I112" i="188"/>
  <c r="I100" i="188"/>
  <c r="R29" i="186"/>
  <c r="S29" i="186" s="1"/>
  <c r="R37" i="186"/>
  <c r="S37" i="186" s="1"/>
  <c r="K64" i="110"/>
  <c r="R28" i="185"/>
  <c r="S28" i="185" s="1"/>
  <c r="R11" i="177"/>
  <c r="S11" i="177" s="1"/>
  <c r="H113" i="188"/>
  <c r="F123" i="188"/>
  <c r="N29" i="126"/>
  <c r="F115" i="188"/>
  <c r="F111" i="188"/>
  <c r="F122" i="188"/>
  <c r="N35" i="126"/>
  <c r="N64" i="126"/>
  <c r="N23" i="126"/>
  <c r="F99" i="188"/>
  <c r="F116" i="188"/>
  <c r="R41" i="185"/>
  <c r="S41" i="185" s="1"/>
  <c r="R59" i="178"/>
  <c r="S59" i="178" s="1"/>
  <c r="R40" i="178"/>
  <c r="S40" i="178" s="1"/>
  <c r="R23" i="186"/>
  <c r="S23" i="186" s="1"/>
  <c r="H119" i="189"/>
  <c r="H87" i="189"/>
  <c r="O16" i="121"/>
  <c r="O16" i="125" s="1"/>
  <c r="O16" i="126" s="1"/>
  <c r="O64" i="125"/>
  <c r="O11" i="121"/>
  <c r="O11" i="125" s="1"/>
  <c r="O11" i="126" s="1"/>
  <c r="O35" i="125"/>
  <c r="H109" i="189"/>
  <c r="H86" i="189"/>
  <c r="H125" i="189"/>
  <c r="H122" i="189"/>
  <c r="H98" i="189"/>
  <c r="H99" i="189"/>
  <c r="H105" i="189"/>
  <c r="O10" i="121"/>
  <c r="O10" i="125" s="1"/>
  <c r="O10" i="126" s="1"/>
  <c r="O29" i="125"/>
  <c r="H92" i="189"/>
  <c r="L62" i="110"/>
  <c r="R44" i="186"/>
  <c r="S44" i="186" s="1"/>
  <c r="K55" i="110"/>
  <c r="R53" i="178"/>
  <c r="S53" i="178" s="1"/>
  <c r="R45" i="178"/>
  <c r="S45" i="178" s="1"/>
  <c r="I84" i="188"/>
  <c r="I88" i="188"/>
  <c r="R65" i="186"/>
  <c r="S65" i="186" s="1"/>
  <c r="R17" i="178"/>
  <c r="S17" i="178" s="1"/>
  <c r="M50" i="110"/>
  <c r="M40" i="110"/>
  <c r="M53" i="110"/>
  <c r="M21" i="110"/>
  <c r="R13" i="177"/>
  <c r="S13" i="177" s="1"/>
  <c r="R14" i="177"/>
  <c r="S14" i="177" s="1"/>
  <c r="R16" i="170"/>
  <c r="S16" i="170" s="1"/>
  <c r="F118" i="188"/>
  <c r="F117" i="188"/>
  <c r="F103" i="188"/>
  <c r="F106" i="188"/>
  <c r="K23" i="110"/>
  <c r="R22" i="185"/>
  <c r="S22" i="185" s="1"/>
  <c r="J10" i="110"/>
  <c r="O13" i="124"/>
  <c r="O14" i="124"/>
  <c r="O9" i="124"/>
  <c r="O8" i="124"/>
  <c r="O15" i="124"/>
  <c r="O16" i="124"/>
  <c r="M37" i="110"/>
  <c r="M31" i="110"/>
  <c r="M27" i="110"/>
  <c r="M22" i="110"/>
  <c r="M46" i="110"/>
  <c r="M41" i="110"/>
  <c r="R26" i="186"/>
  <c r="S26" i="186" s="1"/>
  <c r="R7" i="177"/>
  <c r="S7" i="177" s="1"/>
  <c r="R64" i="186"/>
  <c r="S64" i="186" s="1"/>
  <c r="K35" i="110"/>
  <c r="R34" i="185"/>
  <c r="S34" i="185" s="1"/>
  <c r="L20" i="110"/>
  <c r="R56" i="186"/>
  <c r="S56" i="186" s="1"/>
  <c r="R51" i="186"/>
  <c r="S51" i="186" s="1"/>
  <c r="I18" i="110"/>
  <c r="K47" i="110"/>
  <c r="R46" i="185"/>
  <c r="S46" i="185" s="1"/>
  <c r="N13" i="126"/>
  <c r="F104" i="188"/>
  <c r="H95" i="188"/>
  <c r="N42" i="126"/>
  <c r="F110" i="188"/>
  <c r="F119" i="188"/>
  <c r="N55" i="126"/>
  <c r="H89" i="188"/>
  <c r="F109" i="188"/>
  <c r="J12" i="110"/>
  <c r="L18" i="126"/>
  <c r="L30" i="110"/>
  <c r="R18" i="185"/>
  <c r="S18" i="185" s="1"/>
  <c r="O14" i="121"/>
  <c r="O14" i="125" s="1"/>
  <c r="O14" i="126" s="1"/>
  <c r="O55" i="125"/>
  <c r="H93" i="189"/>
  <c r="H115" i="189"/>
  <c r="O9" i="121"/>
  <c r="O9" i="125" s="1"/>
  <c r="O9" i="126" s="1"/>
  <c r="O23" i="125"/>
  <c r="H104" i="189"/>
  <c r="O15" i="121"/>
  <c r="O15" i="125" s="1"/>
  <c r="O15" i="126" s="1"/>
  <c r="O61" i="125"/>
  <c r="H114" i="189"/>
  <c r="O12" i="121"/>
  <c r="O12" i="125" s="1"/>
  <c r="O12" i="126" s="1"/>
  <c r="O42" i="125"/>
  <c r="H106" i="189"/>
  <c r="H103" i="189"/>
  <c r="O8" i="121"/>
  <c r="O19" i="125"/>
  <c r="O13" i="121"/>
  <c r="O13" i="125" s="1"/>
  <c r="O13" i="126" s="1"/>
  <c r="O47" i="125"/>
  <c r="H132" i="189"/>
  <c r="M18" i="125"/>
  <c r="M7" i="121"/>
  <c r="R42" i="186"/>
  <c r="S42" i="186" s="1"/>
  <c r="R10" i="177"/>
  <c r="S10" i="177" s="1"/>
  <c r="M44" i="110"/>
  <c r="M59" i="110"/>
  <c r="M39" i="110"/>
  <c r="M45" i="110"/>
  <c r="M28" i="110"/>
  <c r="R52" i="186"/>
  <c r="S52" i="186" s="1"/>
  <c r="J8" i="110"/>
  <c r="R21" i="178"/>
  <c r="S21" i="178" s="1"/>
  <c r="F91" i="188"/>
  <c r="F98" i="188"/>
  <c r="F131" i="188"/>
  <c r="N8" i="125"/>
  <c r="N8" i="126" s="1"/>
  <c r="N18" i="121"/>
  <c r="N17" i="121" s="1"/>
  <c r="F128" i="188"/>
  <c r="N15" i="126"/>
  <c r="F87" i="188"/>
  <c r="F97" i="188"/>
  <c r="F105" i="188"/>
  <c r="F93" i="188"/>
  <c r="R20" i="186"/>
  <c r="S20" i="186" s="1"/>
  <c r="L65" i="110"/>
  <c r="K61" i="110"/>
  <c r="J16" i="110"/>
  <c r="R47" i="186"/>
  <c r="S47" i="186" s="1"/>
  <c r="R6" i="177"/>
  <c r="S6" i="177" s="1"/>
  <c r="D79" i="213" l="1"/>
  <c r="D125" i="200"/>
  <c r="D78" i="213"/>
  <c r="D124" i="200"/>
  <c r="D76" i="213"/>
  <c r="D122" i="200"/>
  <c r="D72" i="213"/>
  <c r="D118" i="200"/>
  <c r="D77" i="213"/>
  <c r="D123" i="200"/>
  <c r="D74" i="213"/>
  <c r="D120" i="200"/>
  <c r="D80" i="213"/>
  <c r="D126" i="200"/>
  <c r="D75" i="213"/>
  <c r="D121" i="200"/>
  <c r="D73" i="213"/>
  <c r="D119" i="200"/>
  <c r="K137" i="200"/>
  <c r="K10" i="212"/>
  <c r="K90" i="200" s="1"/>
  <c r="K138" i="200" s="1"/>
  <c r="K136" i="200"/>
  <c r="K11" i="212"/>
  <c r="K91" i="200" s="1"/>
  <c r="K139" i="200" s="1"/>
  <c r="K141" i="200"/>
  <c r="K108" i="200"/>
  <c r="K140" i="200"/>
  <c r="K109" i="200"/>
  <c r="K103" i="200"/>
  <c r="K135" i="200"/>
  <c r="K104" i="200"/>
  <c r="K102" i="200"/>
  <c r="K134" i="200"/>
  <c r="K110" i="200"/>
  <c r="K142" i="200"/>
  <c r="F30" i="132"/>
  <c r="K105" i="200"/>
  <c r="D94" i="200"/>
  <c r="D80" i="212"/>
  <c r="D89" i="200"/>
  <c r="D75" i="212"/>
  <c r="D16" i="212"/>
  <c r="W7" i="93"/>
  <c r="W6" i="93" s="1"/>
  <c r="W17" i="93"/>
  <c r="D86" i="200"/>
  <c r="D72" i="212"/>
  <c r="D87" i="200"/>
  <c r="D73" i="212"/>
  <c r="D93" i="200"/>
  <c r="D79" i="212"/>
  <c r="D92" i="200"/>
  <c r="D78" i="212"/>
  <c r="D91" i="200"/>
  <c r="D77" i="212"/>
  <c r="D90" i="200"/>
  <c r="D76" i="212"/>
  <c r="D88" i="200"/>
  <c r="D74" i="212"/>
  <c r="D75" i="200"/>
  <c r="D77" i="200"/>
  <c r="D76" i="200"/>
  <c r="F43" i="132"/>
  <c r="D74" i="200"/>
  <c r="D73" i="200"/>
  <c r="G38" i="130"/>
  <c r="F60" i="130"/>
  <c r="N59" i="134"/>
  <c r="N13" i="134" s="1"/>
  <c r="G25" i="130"/>
  <c r="N52" i="157"/>
  <c r="N41" i="157"/>
  <c r="F63" i="130"/>
  <c r="N60" i="157"/>
  <c r="G39" i="130"/>
  <c r="F31" i="132"/>
  <c r="N48" i="157"/>
  <c r="G33" i="130"/>
  <c r="D78" i="200"/>
  <c r="D72" i="200"/>
  <c r="N49" i="157"/>
  <c r="U7" i="127"/>
  <c r="D82" i="211"/>
  <c r="D5" i="211"/>
  <c r="D53" i="200" s="1"/>
  <c r="V7" i="127"/>
  <c r="G56" i="130"/>
  <c r="G48" i="130"/>
  <c r="G59" i="130"/>
  <c r="F27" i="132"/>
  <c r="G35" i="130"/>
  <c r="F64" i="132"/>
  <c r="F62" i="132"/>
  <c r="K5" i="211"/>
  <c r="K4" i="211" s="1"/>
  <c r="K52" i="200" s="1"/>
  <c r="GS18" i="129"/>
  <c r="GS7" i="129" s="1"/>
  <c r="GS6" i="129" s="1"/>
  <c r="D21" i="200"/>
  <c r="D37" i="200" s="1"/>
  <c r="D4" i="207"/>
  <c r="V6" i="110" s="1"/>
  <c r="V5" i="110" s="1"/>
  <c r="D71" i="207"/>
  <c r="F34" i="130"/>
  <c r="G20" i="130"/>
  <c r="G65" i="130"/>
  <c r="N33" i="134"/>
  <c r="N9" i="134" s="1"/>
  <c r="G31" i="130"/>
  <c r="F39" i="132"/>
  <c r="AJ16" i="129"/>
  <c r="F15" i="130" s="1"/>
  <c r="F38" i="132"/>
  <c r="N63" i="157"/>
  <c r="F33" i="132"/>
  <c r="F40" i="132"/>
  <c r="N61" i="157"/>
  <c r="F41" i="130"/>
  <c r="N23" i="157"/>
  <c r="N57" i="157"/>
  <c r="N26" i="157"/>
  <c r="G57" i="130"/>
  <c r="N29" i="157"/>
  <c r="F21" i="132"/>
  <c r="AT55" i="129"/>
  <c r="AT14" i="129" s="1"/>
  <c r="G40" i="130"/>
  <c r="G47" i="130"/>
  <c r="AJ9" i="129"/>
  <c r="F8" i="130" s="1"/>
  <c r="G23" i="130"/>
  <c r="G32" i="130"/>
  <c r="G37" i="130"/>
  <c r="N54" i="157"/>
  <c r="AT23" i="129"/>
  <c r="AT9" i="129" s="1"/>
  <c r="G36" i="130"/>
  <c r="N25" i="157"/>
  <c r="N21" i="134"/>
  <c r="N7" i="134" s="1"/>
  <c r="G55" i="130"/>
  <c r="N40" i="134"/>
  <c r="N10" i="134" s="1"/>
  <c r="AT42" i="129"/>
  <c r="AT12" i="129" s="1"/>
  <c r="T76" i="121"/>
  <c r="D70" i="205"/>
  <c r="F24" i="132"/>
  <c r="G43" i="130"/>
  <c r="G45" i="130"/>
  <c r="N43" i="157"/>
  <c r="N42" i="157"/>
  <c r="AJ8" i="129"/>
  <c r="F7" i="130" s="1"/>
  <c r="AT61" i="129"/>
  <c r="AT15" i="129" s="1"/>
  <c r="AT19" i="129"/>
  <c r="AT8" i="129" s="1"/>
  <c r="AT47" i="129"/>
  <c r="AT13" i="129" s="1"/>
  <c r="AT64" i="129"/>
  <c r="AT16" i="129" s="1"/>
  <c r="AT29" i="129"/>
  <c r="AT10" i="129" s="1"/>
  <c r="G51" i="130"/>
  <c r="N28" i="157"/>
  <c r="N51" i="157"/>
  <c r="G66" i="130"/>
  <c r="N20" i="157"/>
  <c r="AT35" i="129"/>
  <c r="AT11" i="129" s="1"/>
  <c r="N65" i="157"/>
  <c r="F37" i="132"/>
  <c r="G19" i="130"/>
  <c r="N18" i="157"/>
  <c r="F54" i="130"/>
  <c r="N53" i="134"/>
  <c r="N12" i="134" s="1"/>
  <c r="N17" i="134"/>
  <c r="N6" i="134" s="1"/>
  <c r="N45" i="134"/>
  <c r="N11" i="134" s="1"/>
  <c r="F28" i="130"/>
  <c r="N27" i="134"/>
  <c r="N8" i="134" s="1"/>
  <c r="AJ13" i="129"/>
  <c r="F12" i="130" s="1"/>
  <c r="F65" i="132"/>
  <c r="F32" i="132"/>
  <c r="F57" i="132"/>
  <c r="AS18" i="129"/>
  <c r="AS17" i="129" s="1"/>
  <c r="DP33" i="129"/>
  <c r="DI33" i="129" s="1"/>
  <c r="DJ33" i="129" s="1"/>
  <c r="DF56" i="129"/>
  <c r="CY56" i="129" s="1"/>
  <c r="DP28" i="129"/>
  <c r="DI28" i="129" s="1"/>
  <c r="DJ28" i="129" s="1"/>
  <c r="DP32" i="129"/>
  <c r="DI32" i="129" s="1"/>
  <c r="DJ32" i="129" s="1"/>
  <c r="H67" i="186"/>
  <c r="H69" i="186" s="1"/>
  <c r="DP44" i="129"/>
  <c r="DI44" i="129" s="1"/>
  <c r="DJ44" i="129" s="1"/>
  <c r="DP45" i="129"/>
  <c r="DI45" i="129" s="1"/>
  <c r="DJ45" i="129" s="1"/>
  <c r="L67" i="177"/>
  <c r="L69" i="177" s="1"/>
  <c r="DP49" i="129"/>
  <c r="DI49" i="129" s="1"/>
  <c r="DJ49" i="129" s="1"/>
  <c r="DP59" i="129"/>
  <c r="DI59" i="129" s="1"/>
  <c r="DJ59" i="129" s="1"/>
  <c r="DF43" i="129"/>
  <c r="CY43" i="129" s="1"/>
  <c r="CV47" i="129"/>
  <c r="CV13" i="129" s="1"/>
  <c r="DF20" i="129"/>
  <c r="CY20" i="129" s="1"/>
  <c r="DP63" i="129"/>
  <c r="DI63" i="129" s="1"/>
  <c r="DJ63" i="129" s="1"/>
  <c r="DP26" i="129"/>
  <c r="DI26" i="129" s="1"/>
  <c r="DJ26" i="129" s="1"/>
  <c r="CV29" i="129"/>
  <c r="CV10" i="129" s="1"/>
  <c r="DP38" i="129"/>
  <c r="DI38" i="129" s="1"/>
  <c r="DJ38" i="129" s="1"/>
  <c r="DP53" i="129"/>
  <c r="DI53" i="129" s="1"/>
  <c r="DJ53" i="129" s="1"/>
  <c r="I73" i="188"/>
  <c r="CV61" i="129"/>
  <c r="CV15" i="129" s="1"/>
  <c r="DP51" i="129"/>
  <c r="DI51" i="129" s="1"/>
  <c r="DJ51" i="129" s="1"/>
  <c r="DP46" i="129"/>
  <c r="DI46" i="129" s="1"/>
  <c r="DJ46" i="129" s="1"/>
  <c r="I78" i="188"/>
  <c r="DP27" i="129"/>
  <c r="DI27" i="129" s="1"/>
  <c r="DJ27" i="129" s="1"/>
  <c r="DP60" i="129"/>
  <c r="DI60" i="129" s="1"/>
  <c r="DJ60" i="129" s="1"/>
  <c r="CV55" i="129"/>
  <c r="CV14" i="129" s="1"/>
  <c r="CV23" i="129"/>
  <c r="CV9" i="129" s="1"/>
  <c r="I79" i="188"/>
  <c r="DF65" i="129"/>
  <c r="CY65" i="129" s="1"/>
  <c r="CV35" i="129"/>
  <c r="CV11" i="129" s="1"/>
  <c r="I81" i="188"/>
  <c r="DP66" i="129"/>
  <c r="DI66" i="129" s="1"/>
  <c r="DJ66" i="129" s="1"/>
  <c r="DF48" i="129"/>
  <c r="CY48" i="129" s="1"/>
  <c r="CV64" i="129"/>
  <c r="CV16" i="129" s="1"/>
  <c r="DP40" i="129"/>
  <c r="DI40" i="129" s="1"/>
  <c r="DJ40" i="129" s="1"/>
  <c r="DP22" i="129"/>
  <c r="DI22" i="129" s="1"/>
  <c r="DJ22" i="129" s="1"/>
  <c r="DF30" i="129"/>
  <c r="CY30" i="129" s="1"/>
  <c r="DP54" i="129"/>
  <c r="DI54" i="129" s="1"/>
  <c r="DJ54" i="129" s="1"/>
  <c r="DP39" i="129"/>
  <c r="DI39" i="129" s="1"/>
  <c r="DJ39" i="129" s="1"/>
  <c r="CV19" i="129"/>
  <c r="CV8" i="129" s="1"/>
  <c r="I74" i="188"/>
  <c r="I77" i="188"/>
  <c r="CV42" i="129"/>
  <c r="CV12" i="129" s="1"/>
  <c r="I75" i="188"/>
  <c r="F67" i="185"/>
  <c r="F69" i="185" s="1"/>
  <c r="DP37" i="129"/>
  <c r="DI37" i="129" s="1"/>
  <c r="DJ37" i="129" s="1"/>
  <c r="DP25" i="129"/>
  <c r="DI25" i="129" s="1"/>
  <c r="DJ25" i="129" s="1"/>
  <c r="DF36" i="129"/>
  <c r="CY36" i="129" s="1"/>
  <c r="DP41" i="129"/>
  <c r="DI41" i="129" s="1"/>
  <c r="DJ41" i="129" s="1"/>
  <c r="DP52" i="129"/>
  <c r="DI52" i="129" s="1"/>
  <c r="DJ52" i="129" s="1"/>
  <c r="DF62" i="129"/>
  <c r="CY62" i="129" s="1"/>
  <c r="DP34" i="129"/>
  <c r="DI34" i="129" s="1"/>
  <c r="DJ34" i="129" s="1"/>
  <c r="DP57" i="129"/>
  <c r="DI57" i="129" s="1"/>
  <c r="DJ57" i="129" s="1"/>
  <c r="DP50" i="129"/>
  <c r="DI50" i="129" s="1"/>
  <c r="DJ50" i="129" s="1"/>
  <c r="DP58" i="129"/>
  <c r="DI58" i="129" s="1"/>
  <c r="DJ58" i="129" s="1"/>
  <c r="I76" i="188"/>
  <c r="DP67" i="129"/>
  <c r="DI67" i="129" s="1"/>
  <c r="DJ67" i="129" s="1"/>
  <c r="DP31" i="129"/>
  <c r="DI31" i="129" s="1"/>
  <c r="DJ31" i="129" s="1"/>
  <c r="DF24" i="129"/>
  <c r="CY24" i="129" s="1"/>
  <c r="I80" i="188"/>
  <c r="DP21" i="129"/>
  <c r="DI21" i="129" s="1"/>
  <c r="DJ21" i="129" s="1"/>
  <c r="O41" i="134"/>
  <c r="O26" i="134"/>
  <c r="O20" i="134"/>
  <c r="O32" i="134"/>
  <c r="O29" i="134"/>
  <c r="O60" i="134"/>
  <c r="O23" i="134"/>
  <c r="O43" i="134"/>
  <c r="O39" i="134"/>
  <c r="O35" i="134"/>
  <c r="O37" i="134"/>
  <c r="O24" i="134"/>
  <c r="O26" i="151"/>
  <c r="O23" i="151"/>
  <c r="O42" i="151"/>
  <c r="O47" i="151"/>
  <c r="O18" i="151"/>
  <c r="O20" i="151"/>
  <c r="O32" i="151"/>
  <c r="N13" i="151"/>
  <c r="O31" i="151"/>
  <c r="O35" i="151"/>
  <c r="O41" i="151"/>
  <c r="O18" i="134"/>
  <c r="O25" i="134"/>
  <c r="O65" i="134"/>
  <c r="O48" i="134"/>
  <c r="O57" i="134"/>
  <c r="O56" i="151"/>
  <c r="O44" i="151"/>
  <c r="N7" i="151"/>
  <c r="N14" i="151"/>
  <c r="N12" i="151"/>
  <c r="O46" i="151"/>
  <c r="O22" i="151"/>
  <c r="O57" i="151"/>
  <c r="N11" i="151"/>
  <c r="N10" i="151"/>
  <c r="O48" i="151"/>
  <c r="O38" i="151"/>
  <c r="O54" i="151"/>
  <c r="O61" i="151"/>
  <c r="O37" i="151"/>
  <c r="O39" i="151"/>
  <c r="O34" i="151"/>
  <c r="O49" i="134"/>
  <c r="O55" i="134"/>
  <c r="O52" i="134"/>
  <c r="O64" i="134"/>
  <c r="O51" i="134"/>
  <c r="O42" i="134"/>
  <c r="O63" i="134"/>
  <c r="O38" i="134"/>
  <c r="O19" i="134"/>
  <c r="N14" i="134"/>
  <c r="O50" i="134"/>
  <c r="O30" i="134"/>
  <c r="O36" i="134"/>
  <c r="O54" i="134"/>
  <c r="O22" i="134"/>
  <c r="O47" i="134"/>
  <c r="O56" i="134"/>
  <c r="O52" i="151"/>
  <c r="O51" i="151"/>
  <c r="O64" i="151"/>
  <c r="O25" i="151"/>
  <c r="O55" i="151"/>
  <c r="O60" i="151"/>
  <c r="O63" i="151"/>
  <c r="O28" i="134"/>
  <c r="O46" i="134"/>
  <c r="O34" i="134"/>
  <c r="O44" i="134"/>
  <c r="O58" i="134"/>
  <c r="O31" i="134"/>
  <c r="O61" i="134"/>
  <c r="O58" i="151"/>
  <c r="O19" i="151"/>
  <c r="N9" i="151"/>
  <c r="N8" i="151"/>
  <c r="O43" i="151"/>
  <c r="O36" i="151"/>
  <c r="O28" i="151"/>
  <c r="O65" i="151"/>
  <c r="O30" i="151"/>
  <c r="O49" i="151"/>
  <c r="O24" i="151"/>
  <c r="O50" i="151"/>
  <c r="O29" i="151"/>
  <c r="M64" i="152"/>
  <c r="D65" i="131"/>
  <c r="D65" i="132" s="1"/>
  <c r="M18" i="152"/>
  <c r="D19" i="131"/>
  <c r="D19" i="132" s="1"/>
  <c r="M23" i="152"/>
  <c r="D24" i="131"/>
  <c r="D24" i="132" s="1"/>
  <c r="N45" i="152"/>
  <c r="D46" i="130"/>
  <c r="P13" i="129"/>
  <c r="D12" i="130" s="1"/>
  <c r="C40" i="131"/>
  <c r="C40" i="132" s="1"/>
  <c r="M39" i="153"/>
  <c r="F11" i="129"/>
  <c r="C10" i="130" s="1"/>
  <c r="N33" i="153"/>
  <c r="C34" i="130"/>
  <c r="F12" i="129"/>
  <c r="C11" i="130" s="1"/>
  <c r="N40" i="153"/>
  <c r="C41" i="130"/>
  <c r="D66" i="131"/>
  <c r="D66" i="132" s="1"/>
  <c r="M65" i="152"/>
  <c r="D40" i="131"/>
  <c r="D40" i="132" s="1"/>
  <c r="M39" i="152"/>
  <c r="D54" i="130"/>
  <c r="P14" i="129"/>
  <c r="D13" i="130" s="1"/>
  <c r="N53" i="152"/>
  <c r="Y13" i="129"/>
  <c r="E12" i="131" s="1"/>
  <c r="E12" i="132" s="1"/>
  <c r="M45" i="151"/>
  <c r="E46" i="131"/>
  <c r="E46" i="132" s="1"/>
  <c r="C49" i="131"/>
  <c r="C49" i="132" s="1"/>
  <c r="M48" i="153"/>
  <c r="M50" i="153"/>
  <c r="C51" i="131"/>
  <c r="C51" i="132" s="1"/>
  <c r="M17" i="151"/>
  <c r="E18" i="131"/>
  <c r="E18" i="132" s="1"/>
  <c r="Y8" i="129"/>
  <c r="M58" i="152"/>
  <c r="D59" i="131"/>
  <c r="D59" i="132" s="1"/>
  <c r="D38" i="131"/>
  <c r="D38" i="132" s="1"/>
  <c r="M37" i="152"/>
  <c r="P12" i="129"/>
  <c r="D11" i="130" s="1"/>
  <c r="N40" i="152"/>
  <c r="D41" i="130"/>
  <c r="M47" i="153"/>
  <c r="C48" i="131"/>
  <c r="C48" i="132" s="1"/>
  <c r="C33" i="131"/>
  <c r="C33" i="132" s="1"/>
  <c r="M32" i="153"/>
  <c r="C64" i="131"/>
  <c r="C64" i="132" s="1"/>
  <c r="M63" i="153"/>
  <c r="D52" i="131"/>
  <c r="D52" i="132" s="1"/>
  <c r="M51" i="152"/>
  <c r="D30" i="131"/>
  <c r="D30" i="132" s="1"/>
  <c r="M29" i="152"/>
  <c r="M42" i="153"/>
  <c r="C43" i="131"/>
  <c r="C43" i="132" s="1"/>
  <c r="M24" i="153"/>
  <c r="C25" i="131"/>
  <c r="C25" i="132" s="1"/>
  <c r="M60" i="153"/>
  <c r="C61" i="131"/>
  <c r="C61" i="132" s="1"/>
  <c r="D49" i="131"/>
  <c r="D49" i="132" s="1"/>
  <c r="M48" i="152"/>
  <c r="D31" i="131"/>
  <c r="D31" i="132" s="1"/>
  <c r="M30" i="152"/>
  <c r="N17" i="152"/>
  <c r="D18" i="130"/>
  <c r="P8" i="129"/>
  <c r="C56" i="131"/>
  <c r="C56" i="132" s="1"/>
  <c r="M55" i="153"/>
  <c r="C66" i="131"/>
  <c r="C66" i="132" s="1"/>
  <c r="M65" i="153"/>
  <c r="D57" i="131"/>
  <c r="D57" i="132" s="1"/>
  <c r="M56" i="152"/>
  <c r="D25" i="131"/>
  <c r="D25" i="132" s="1"/>
  <c r="M24" i="152"/>
  <c r="M54" i="152"/>
  <c r="D55" i="131"/>
  <c r="D55" i="132" s="1"/>
  <c r="D61" i="131"/>
  <c r="D61" i="132" s="1"/>
  <c r="M60" i="152"/>
  <c r="M35" i="153"/>
  <c r="C36" i="131"/>
  <c r="C36" i="132" s="1"/>
  <c r="M29" i="153"/>
  <c r="C30" i="131"/>
  <c r="C30" i="132" s="1"/>
  <c r="C38" i="131"/>
  <c r="C38" i="132" s="1"/>
  <c r="M37" i="153"/>
  <c r="D58" i="131"/>
  <c r="D58" i="132" s="1"/>
  <c r="M57" i="152"/>
  <c r="M63" i="152"/>
  <c r="D64" i="131"/>
  <c r="D64" i="132" s="1"/>
  <c r="M43" i="152"/>
  <c r="D44" i="131"/>
  <c r="D44" i="132" s="1"/>
  <c r="C20" i="131"/>
  <c r="C20" i="132" s="1"/>
  <c r="M19" i="153"/>
  <c r="M64" i="153"/>
  <c r="C65" i="131"/>
  <c r="C65" i="132" s="1"/>
  <c r="M18" i="153"/>
  <c r="C19" i="131"/>
  <c r="C19" i="132" s="1"/>
  <c r="E29" i="129"/>
  <c r="M28" i="153"/>
  <c r="C29" i="131"/>
  <c r="C29" i="132" s="1"/>
  <c r="F16" i="129"/>
  <c r="C15" i="130" s="1"/>
  <c r="N62" i="153"/>
  <c r="C63" i="130"/>
  <c r="Y14" i="129"/>
  <c r="E13" i="131" s="1"/>
  <c r="E13" i="132" s="1"/>
  <c r="M53" i="151"/>
  <c r="E54" i="131"/>
  <c r="E54" i="132" s="1"/>
  <c r="M52" i="152"/>
  <c r="D53" i="131"/>
  <c r="D53" i="132" s="1"/>
  <c r="D23" i="131"/>
  <c r="D23" i="132" s="1"/>
  <c r="M22" i="152"/>
  <c r="M55" i="152"/>
  <c r="D56" i="131"/>
  <c r="D56" i="132" s="1"/>
  <c r="P10" i="129"/>
  <c r="D9" i="130" s="1"/>
  <c r="D28" i="130"/>
  <c r="N27" i="152"/>
  <c r="M20" i="153"/>
  <c r="C21" i="131"/>
  <c r="C21" i="132" s="1"/>
  <c r="M52" i="153"/>
  <c r="C53" i="131"/>
  <c r="C53" i="132" s="1"/>
  <c r="C47" i="131"/>
  <c r="C47" i="132" s="1"/>
  <c r="M46" i="153"/>
  <c r="M38" i="152"/>
  <c r="D39" i="131"/>
  <c r="D39" i="132" s="1"/>
  <c r="M47" i="152"/>
  <c r="D48" i="131"/>
  <c r="D48" i="132" s="1"/>
  <c r="P11" i="129"/>
  <c r="D10" i="130" s="1"/>
  <c r="N33" i="152"/>
  <c r="D34" i="130"/>
  <c r="M26" i="153"/>
  <c r="C27" i="131"/>
  <c r="C27" i="132" s="1"/>
  <c r="M57" i="153"/>
  <c r="C58" i="131"/>
  <c r="C58" i="132" s="1"/>
  <c r="M22" i="153"/>
  <c r="C23" i="131"/>
  <c r="C23" i="132" s="1"/>
  <c r="M41" i="153"/>
  <c r="C42" i="131"/>
  <c r="C42" i="132" s="1"/>
  <c r="Z18" i="129"/>
  <c r="E7" i="130"/>
  <c r="D37" i="131"/>
  <c r="D37" i="132" s="1"/>
  <c r="M36" i="152"/>
  <c r="D36" i="131"/>
  <c r="D36" i="132" s="1"/>
  <c r="M35" i="152"/>
  <c r="N59" i="152"/>
  <c r="D60" i="130"/>
  <c r="P15" i="129"/>
  <c r="D14" i="130" s="1"/>
  <c r="M54" i="153"/>
  <c r="C55" i="131"/>
  <c r="C55" i="132" s="1"/>
  <c r="M31" i="153"/>
  <c r="C32" i="131"/>
  <c r="C32" i="132" s="1"/>
  <c r="M43" i="153"/>
  <c r="C44" i="131"/>
  <c r="C44" i="132" s="1"/>
  <c r="M61" i="152"/>
  <c r="D62" i="131"/>
  <c r="D62" i="132" s="1"/>
  <c r="M25" i="152"/>
  <c r="D26" i="131"/>
  <c r="D26" i="132" s="1"/>
  <c r="D63" i="130"/>
  <c r="P16" i="129"/>
  <c r="D15" i="130" s="1"/>
  <c r="N62" i="152"/>
  <c r="D42" i="131"/>
  <c r="D42" i="132" s="1"/>
  <c r="M41" i="152"/>
  <c r="M56" i="153"/>
  <c r="C57" i="131"/>
  <c r="C57" i="132" s="1"/>
  <c r="D43" i="131"/>
  <c r="D43" i="132" s="1"/>
  <c r="M42" i="152"/>
  <c r="D27" i="131"/>
  <c r="D27" i="132" s="1"/>
  <c r="M26" i="152"/>
  <c r="D29" i="131"/>
  <c r="D29" i="132" s="1"/>
  <c r="M28" i="152"/>
  <c r="M61" i="153"/>
  <c r="C62" i="131"/>
  <c r="C62" i="132" s="1"/>
  <c r="F13" i="129"/>
  <c r="C12" i="130" s="1"/>
  <c r="C46" i="130"/>
  <c r="N45" i="153"/>
  <c r="F15" i="129"/>
  <c r="C14" i="130" s="1"/>
  <c r="N59" i="153"/>
  <c r="C60" i="130"/>
  <c r="C26" i="131"/>
  <c r="C26" i="132" s="1"/>
  <c r="M25" i="153"/>
  <c r="M62" i="151"/>
  <c r="E63" i="131"/>
  <c r="E63" i="132" s="1"/>
  <c r="Y16" i="129"/>
  <c r="E15" i="131" s="1"/>
  <c r="E15" i="132" s="1"/>
  <c r="Y11" i="129"/>
  <c r="E10" i="131" s="1"/>
  <c r="E10" i="132" s="1"/>
  <c r="M33" i="151"/>
  <c r="E34" i="131"/>
  <c r="E34" i="132" s="1"/>
  <c r="D51" i="131"/>
  <c r="D51" i="132" s="1"/>
  <c r="M50" i="152"/>
  <c r="D47" i="131"/>
  <c r="D47" i="132" s="1"/>
  <c r="M46" i="152"/>
  <c r="D35" i="131"/>
  <c r="D35" i="132" s="1"/>
  <c r="M34" i="152"/>
  <c r="M23" i="153"/>
  <c r="C24" i="131"/>
  <c r="C24" i="132" s="1"/>
  <c r="M36" i="153"/>
  <c r="C37" i="131"/>
  <c r="C37" i="132" s="1"/>
  <c r="E35" i="129"/>
  <c r="C35" i="131"/>
  <c r="C35" i="132" s="1"/>
  <c r="M34" i="153"/>
  <c r="F9" i="129"/>
  <c r="C8" i="130" s="1"/>
  <c r="C22" i="130"/>
  <c r="N21" i="153"/>
  <c r="N6" i="151"/>
  <c r="D32" i="131"/>
  <c r="D32" i="132" s="1"/>
  <c r="M31" i="152"/>
  <c r="M32" i="152"/>
  <c r="D33" i="131"/>
  <c r="D33" i="132" s="1"/>
  <c r="F14" i="129"/>
  <c r="C13" i="130" s="1"/>
  <c r="N53" i="153"/>
  <c r="C54" i="130"/>
  <c r="M58" i="153"/>
  <c r="C59" i="131"/>
  <c r="C59" i="132" s="1"/>
  <c r="M30" i="153"/>
  <c r="C31" i="131"/>
  <c r="C31" i="132" s="1"/>
  <c r="M21" i="151"/>
  <c r="E22" i="131"/>
  <c r="E22" i="132" s="1"/>
  <c r="Y9" i="129"/>
  <c r="E8" i="131" s="1"/>
  <c r="E8" i="132" s="1"/>
  <c r="M19" i="152"/>
  <c r="D20" i="131"/>
  <c r="D20" i="132" s="1"/>
  <c r="M49" i="152"/>
  <c r="D50" i="131"/>
  <c r="D50" i="132" s="1"/>
  <c r="M27" i="151"/>
  <c r="E28" i="131"/>
  <c r="E28" i="132" s="1"/>
  <c r="Y10" i="129"/>
  <c r="E9" i="131" s="1"/>
  <c r="E9" i="132" s="1"/>
  <c r="C39" i="131"/>
  <c r="C39" i="132" s="1"/>
  <c r="M38" i="153"/>
  <c r="F8" i="129"/>
  <c r="N17" i="153"/>
  <c r="C18" i="130"/>
  <c r="F10" i="129"/>
  <c r="C9" i="130" s="1"/>
  <c r="N27" i="153"/>
  <c r="C28" i="130"/>
  <c r="M49" i="153"/>
  <c r="C50" i="131"/>
  <c r="C50" i="132" s="1"/>
  <c r="M20" i="152"/>
  <c r="D21" i="131"/>
  <c r="D21" i="132" s="1"/>
  <c r="D22" i="130"/>
  <c r="N21" i="152"/>
  <c r="P9" i="129"/>
  <c r="D8" i="130" s="1"/>
  <c r="M44" i="152"/>
  <c r="D45" i="131"/>
  <c r="D45" i="132" s="1"/>
  <c r="M40" i="151"/>
  <c r="Y12" i="129"/>
  <c r="E11" i="131" s="1"/>
  <c r="E11" i="132" s="1"/>
  <c r="E41" i="131"/>
  <c r="E41" i="132" s="1"/>
  <c r="M51" i="153"/>
  <c r="C52" i="131"/>
  <c r="C52" i="132" s="1"/>
  <c r="C45" i="131"/>
  <c r="C45" i="132" s="1"/>
  <c r="M44" i="153"/>
  <c r="E60" i="131"/>
  <c r="E60" i="132" s="1"/>
  <c r="M59" i="151"/>
  <c r="Y15" i="129"/>
  <c r="E14" i="131" s="1"/>
  <c r="E14" i="132" s="1"/>
  <c r="BK18" i="129"/>
  <c r="BL18" i="129" s="1"/>
  <c r="K67" i="178"/>
  <c r="K69" i="178" s="1"/>
  <c r="CB18" i="129"/>
  <c r="CF19" i="129"/>
  <c r="CF8" i="129" s="1"/>
  <c r="AI13" i="129"/>
  <c r="M45" i="134"/>
  <c r="F46" i="131"/>
  <c r="F46" i="132" s="1"/>
  <c r="CO29" i="129"/>
  <c r="CO10" i="129" s="1"/>
  <c r="CP30" i="129"/>
  <c r="CP29" i="129" s="1"/>
  <c r="CP10" i="129" s="1"/>
  <c r="CO55" i="129"/>
  <c r="CO14" i="129" s="1"/>
  <c r="CP56" i="129"/>
  <c r="BR7" i="129"/>
  <c r="BR6" i="129" s="1"/>
  <c r="BR1" i="129" s="1"/>
  <c r="F10" i="130"/>
  <c r="CF35" i="129"/>
  <c r="CF11" i="129" s="1"/>
  <c r="CF23" i="129"/>
  <c r="CF9" i="129" s="1"/>
  <c r="AI12" i="129"/>
  <c r="M40" i="134"/>
  <c r="F41" i="131"/>
  <c r="AI10" i="129"/>
  <c r="M27" i="134"/>
  <c r="F28" i="131"/>
  <c r="F11" i="130"/>
  <c r="F14" i="130"/>
  <c r="AI9" i="129"/>
  <c r="M21" i="134"/>
  <c r="F22" i="131"/>
  <c r="F22" i="132" s="1"/>
  <c r="CF42" i="129"/>
  <c r="CF12" i="129" s="1"/>
  <c r="CO23" i="129"/>
  <c r="CO9" i="129" s="1"/>
  <c r="CP24" i="129"/>
  <c r="AI8" i="129"/>
  <c r="M17" i="134"/>
  <c r="F18" i="131"/>
  <c r="F18" i="132" s="1"/>
  <c r="CF47" i="129"/>
  <c r="CF13" i="129" s="1"/>
  <c r="F13" i="130"/>
  <c r="CO19" i="129"/>
  <c r="CO8" i="129" s="1"/>
  <c r="CP20" i="129"/>
  <c r="CO35" i="129"/>
  <c r="CO11" i="129" s="1"/>
  <c r="CP36" i="129"/>
  <c r="CF55" i="129"/>
  <c r="CF14" i="129" s="1"/>
  <c r="BD22" i="129"/>
  <c r="BD53" i="129"/>
  <c r="BD26" i="129"/>
  <c r="BD66" i="129"/>
  <c r="BD25" i="129"/>
  <c r="BD44" i="129"/>
  <c r="BD28" i="129"/>
  <c r="BD57" i="129"/>
  <c r="BD52" i="129"/>
  <c r="BD63" i="129"/>
  <c r="BD59" i="129"/>
  <c r="BD33" i="129"/>
  <c r="BD58" i="129"/>
  <c r="BD60" i="129"/>
  <c r="BD49" i="129"/>
  <c r="BD54" i="129"/>
  <c r="BD50" i="129"/>
  <c r="BD45" i="129"/>
  <c r="BD32" i="129"/>
  <c r="BD34" i="129"/>
  <c r="BD41" i="129"/>
  <c r="BD38" i="129"/>
  <c r="BD27" i="129"/>
  <c r="BD39" i="129"/>
  <c r="BD21" i="129"/>
  <c r="BD40" i="129"/>
  <c r="BD31" i="129"/>
  <c r="BD51" i="129"/>
  <c r="BD37" i="129"/>
  <c r="BD67" i="129"/>
  <c r="BD46" i="129"/>
  <c r="BD62" i="129"/>
  <c r="BD30" i="129"/>
  <c r="BD56" i="129"/>
  <c r="BD36" i="129"/>
  <c r="BD65" i="129"/>
  <c r="BD48" i="129"/>
  <c r="BD43" i="129"/>
  <c r="BD20" i="129"/>
  <c r="BD24" i="129"/>
  <c r="AI16" i="129"/>
  <c r="M62" i="134"/>
  <c r="F63" i="131"/>
  <c r="AI14" i="129"/>
  <c r="M53" i="134"/>
  <c r="F54" i="131"/>
  <c r="AI15" i="129"/>
  <c r="M59" i="134"/>
  <c r="F60" i="131"/>
  <c r="AI11" i="129"/>
  <c r="M33" i="134"/>
  <c r="F34" i="131"/>
  <c r="BA7" i="129"/>
  <c r="BA6" i="129" s="1"/>
  <c r="BA1" i="129" s="1"/>
  <c r="F9" i="130"/>
  <c r="CO64" i="129"/>
  <c r="CO16" i="129" s="1"/>
  <c r="CP65" i="129"/>
  <c r="CP64" i="129" s="1"/>
  <c r="CP16" i="129" s="1"/>
  <c r="CO47" i="129"/>
  <c r="CO13" i="129" s="1"/>
  <c r="CP48" i="129"/>
  <c r="CO42" i="129"/>
  <c r="CO12" i="129" s="1"/>
  <c r="CP43" i="129"/>
  <c r="CO61" i="129"/>
  <c r="CO15" i="129" s="1"/>
  <c r="CP62" i="129"/>
  <c r="CP61" i="129" s="1"/>
  <c r="CP15" i="129" s="1"/>
  <c r="M61" i="157"/>
  <c r="G62" i="131"/>
  <c r="G62" i="132" s="1"/>
  <c r="M35" i="157"/>
  <c r="G36" i="131"/>
  <c r="M55" i="157"/>
  <c r="G56" i="131"/>
  <c r="M65" i="157"/>
  <c r="G66" i="131"/>
  <c r="M42" i="157"/>
  <c r="G43" i="131"/>
  <c r="M44" i="157"/>
  <c r="G45" i="131"/>
  <c r="M41" i="157"/>
  <c r="G42" i="131"/>
  <c r="G42" i="132" s="1"/>
  <c r="M49" i="157"/>
  <c r="G50" i="131"/>
  <c r="G50" i="132" s="1"/>
  <c r="M43" i="157"/>
  <c r="G44" i="131"/>
  <c r="G44" i="132" s="1"/>
  <c r="M52" i="157"/>
  <c r="G53" i="131"/>
  <c r="G53" i="132" s="1"/>
  <c r="M56" i="157"/>
  <c r="G57" i="131"/>
  <c r="M23" i="157"/>
  <c r="G24" i="131"/>
  <c r="G24" i="132" s="1"/>
  <c r="M22" i="157"/>
  <c r="G23" i="131"/>
  <c r="M58" i="157"/>
  <c r="G59" i="131"/>
  <c r="M47" i="157"/>
  <c r="G48" i="131"/>
  <c r="M24" i="157"/>
  <c r="G25" i="131"/>
  <c r="M34" i="157"/>
  <c r="G35" i="131"/>
  <c r="M46" i="157"/>
  <c r="G47" i="131"/>
  <c r="M26" i="157"/>
  <c r="G27" i="131"/>
  <c r="G27" i="132" s="1"/>
  <c r="M64" i="157"/>
  <c r="G65" i="131"/>
  <c r="M50" i="157"/>
  <c r="G51" i="131"/>
  <c r="M54" i="157"/>
  <c r="G55" i="131"/>
  <c r="M18" i="157"/>
  <c r="G19" i="131"/>
  <c r="M57" i="157"/>
  <c r="G58" i="131"/>
  <c r="G58" i="132" s="1"/>
  <c r="M30" i="157"/>
  <c r="G31" i="131"/>
  <c r="M39" i="157"/>
  <c r="G40" i="131"/>
  <c r="M38" i="157"/>
  <c r="G39" i="131"/>
  <c r="M60" i="157"/>
  <c r="G61" i="131"/>
  <c r="G61" i="132" s="1"/>
  <c r="M28" i="157"/>
  <c r="G29" i="131"/>
  <c r="G29" i="132" s="1"/>
  <c r="M19" i="157"/>
  <c r="G20" i="131"/>
  <c r="M48" i="157"/>
  <c r="G49" i="131"/>
  <c r="G49" i="132" s="1"/>
  <c r="M36" i="157"/>
  <c r="G37" i="131"/>
  <c r="M32" i="157"/>
  <c r="G33" i="131"/>
  <c r="M51" i="157"/>
  <c r="G52" i="131"/>
  <c r="G52" i="132" s="1"/>
  <c r="M63" i="157"/>
  <c r="G64" i="131"/>
  <c r="G64" i="132" s="1"/>
  <c r="M31" i="157"/>
  <c r="G32" i="131"/>
  <c r="M29" i="157"/>
  <c r="G30" i="131"/>
  <c r="G30" i="132" s="1"/>
  <c r="M37" i="157"/>
  <c r="G38" i="131"/>
  <c r="M25" i="157"/>
  <c r="G26" i="131"/>
  <c r="G26" i="132" s="1"/>
  <c r="M20" i="157"/>
  <c r="G21" i="131"/>
  <c r="G21" i="132" s="1"/>
  <c r="S21" i="121"/>
  <c r="S21" i="125" s="1"/>
  <c r="S67" i="121"/>
  <c r="S67" i="125" s="1"/>
  <c r="S50" i="121"/>
  <c r="S50" i="125" s="1"/>
  <c r="S39" i="121"/>
  <c r="S39" i="125" s="1"/>
  <c r="S41" i="121"/>
  <c r="S41" i="125" s="1"/>
  <c r="S56" i="121"/>
  <c r="S28" i="121"/>
  <c r="S28" i="125" s="1"/>
  <c r="S52" i="121"/>
  <c r="S52" i="125" s="1"/>
  <c r="S40" i="121"/>
  <c r="S40" i="125" s="1"/>
  <c r="S58" i="121"/>
  <c r="S58" i="125" s="1"/>
  <c r="S44" i="121"/>
  <c r="S44" i="125" s="1"/>
  <c r="S30" i="121"/>
  <c r="S57" i="121"/>
  <c r="S57" i="125" s="1"/>
  <c r="S49" i="121"/>
  <c r="S49" i="125" s="1"/>
  <c r="S63" i="121"/>
  <c r="S63" i="125" s="1"/>
  <c r="S34" i="121"/>
  <c r="S34" i="125" s="1"/>
  <c r="S24" i="121"/>
  <c r="S53" i="121"/>
  <c r="S53" i="125" s="1"/>
  <c r="S22" i="121"/>
  <c r="S22" i="125" s="1"/>
  <c r="S45" i="121"/>
  <c r="S45" i="125" s="1"/>
  <c r="S66" i="121"/>
  <c r="S66" i="125" s="1"/>
  <c r="S60" i="121"/>
  <c r="S60" i="125" s="1"/>
  <c r="S31" i="121"/>
  <c r="S31" i="125" s="1"/>
  <c r="S25" i="121"/>
  <c r="S25" i="125" s="1"/>
  <c r="S43" i="121"/>
  <c r="S54" i="121"/>
  <c r="S54" i="125" s="1"/>
  <c r="S37" i="121"/>
  <c r="S37" i="125" s="1"/>
  <c r="S26" i="121"/>
  <c r="S26" i="125" s="1"/>
  <c r="S59" i="121"/>
  <c r="S59" i="125" s="1"/>
  <c r="S65" i="121"/>
  <c r="S46" i="121"/>
  <c r="S46" i="125" s="1"/>
  <c r="S38" i="121"/>
  <c r="S38" i="125" s="1"/>
  <c r="S36" i="121"/>
  <c r="S32" i="121"/>
  <c r="S32" i="125" s="1"/>
  <c r="S48" i="121"/>
  <c r="S62" i="121"/>
  <c r="S27" i="121"/>
  <c r="S27" i="125" s="1"/>
  <c r="S51" i="121"/>
  <c r="S51" i="125" s="1"/>
  <c r="S33" i="121"/>
  <c r="S33" i="125" s="1"/>
  <c r="S20" i="121"/>
  <c r="S22" i="124"/>
  <c r="S46" i="124"/>
  <c r="S66" i="124"/>
  <c r="S49" i="124"/>
  <c r="S24" i="124"/>
  <c r="S63" i="124"/>
  <c r="S52" i="124"/>
  <c r="S37" i="124"/>
  <c r="S41" i="124"/>
  <c r="S67" i="124"/>
  <c r="S26" i="124"/>
  <c r="S27" i="124"/>
  <c r="S60" i="124"/>
  <c r="S51" i="124"/>
  <c r="S32" i="124"/>
  <c r="S38" i="124"/>
  <c r="S62" i="124"/>
  <c r="S34" i="124"/>
  <c r="S33" i="124"/>
  <c r="S59" i="124"/>
  <c r="S65" i="124"/>
  <c r="S36" i="124"/>
  <c r="S44" i="124"/>
  <c r="S21" i="124"/>
  <c r="S43" i="124"/>
  <c r="S40" i="124"/>
  <c r="S25" i="124"/>
  <c r="S57" i="124"/>
  <c r="S28" i="124"/>
  <c r="S58" i="124"/>
  <c r="S30" i="124"/>
  <c r="S54" i="124"/>
  <c r="S56" i="124"/>
  <c r="S31" i="124"/>
  <c r="S45" i="124"/>
  <c r="S20" i="124"/>
  <c r="S39" i="124"/>
  <c r="S48" i="124"/>
  <c r="S53" i="124"/>
  <c r="S50" i="124"/>
  <c r="Q57" i="124"/>
  <c r="Q60" i="124"/>
  <c r="Q40" i="124"/>
  <c r="Q66" i="124"/>
  <c r="Q28" i="124"/>
  <c r="Q44" i="124"/>
  <c r="Q21" i="124"/>
  <c r="Q30" i="124"/>
  <c r="Q34" i="124"/>
  <c r="Q53" i="124"/>
  <c r="Q38" i="124"/>
  <c r="Q51" i="124"/>
  <c r="Q36" i="124"/>
  <c r="Q31" i="124"/>
  <c r="Q50" i="124"/>
  <c r="Q58" i="124"/>
  <c r="Q25" i="124"/>
  <c r="Q24" i="124"/>
  <c r="Q48" i="124"/>
  <c r="Q46" i="124"/>
  <c r="Q33" i="124"/>
  <c r="Q65" i="124"/>
  <c r="Q26" i="124"/>
  <c r="Q67" i="124"/>
  <c r="Q49" i="124"/>
  <c r="Q27" i="124"/>
  <c r="Q43" i="124"/>
  <c r="Q59" i="124"/>
  <c r="Q32" i="124"/>
  <c r="Q56" i="124"/>
  <c r="Q52" i="124"/>
  <c r="Q37" i="124"/>
  <c r="Q63" i="124"/>
  <c r="Q20" i="124"/>
  <c r="Q39" i="124"/>
  <c r="Q22" i="124"/>
  <c r="Q62" i="124"/>
  <c r="Q41" i="124"/>
  <c r="Q45" i="124"/>
  <c r="Q54" i="124"/>
  <c r="Q58" i="121"/>
  <c r="Q58" i="125" s="1"/>
  <c r="Q41" i="121"/>
  <c r="Q41" i="125" s="1"/>
  <c r="Q20" i="121"/>
  <c r="Q60" i="121"/>
  <c r="Q60" i="125" s="1"/>
  <c r="Q39" i="121"/>
  <c r="Q39" i="125" s="1"/>
  <c r="Q52" i="121"/>
  <c r="Q52" i="125" s="1"/>
  <c r="Q48" i="121"/>
  <c r="Q54" i="121"/>
  <c r="Q54" i="125" s="1"/>
  <c r="Q44" i="121"/>
  <c r="Q44" i="125" s="1"/>
  <c r="Q22" i="121"/>
  <c r="Q22" i="125" s="1"/>
  <c r="Q33" i="121"/>
  <c r="Q33" i="125" s="1"/>
  <c r="Q45" i="121"/>
  <c r="Q45" i="125" s="1"/>
  <c r="Q57" i="121"/>
  <c r="Q57" i="125" s="1"/>
  <c r="Q26" i="121"/>
  <c r="Q26" i="125" s="1"/>
  <c r="Q38" i="121"/>
  <c r="Q38" i="125" s="1"/>
  <c r="Q31" i="121"/>
  <c r="Q31" i="125" s="1"/>
  <c r="Q32" i="121"/>
  <c r="Q32" i="125" s="1"/>
  <c r="Q37" i="121"/>
  <c r="Q37" i="125" s="1"/>
  <c r="Q43" i="121"/>
  <c r="Q25" i="121"/>
  <c r="Q25" i="125" s="1"/>
  <c r="Q24" i="121"/>
  <c r="Q53" i="121"/>
  <c r="Q53" i="125" s="1"/>
  <c r="Q50" i="121"/>
  <c r="Q50" i="125" s="1"/>
  <c r="Q40" i="121"/>
  <c r="Q40" i="125" s="1"/>
  <c r="Q66" i="121"/>
  <c r="Q66" i="125" s="1"/>
  <c r="Q67" i="121"/>
  <c r="Q67" i="125" s="1"/>
  <c r="Q34" i="121"/>
  <c r="Q34" i="125" s="1"/>
  <c r="Q28" i="121"/>
  <c r="Q28" i="125" s="1"/>
  <c r="Q27" i="121"/>
  <c r="Q27" i="125" s="1"/>
  <c r="Q62" i="121"/>
  <c r="Q51" i="121"/>
  <c r="Q51" i="125" s="1"/>
  <c r="Q59" i="121"/>
  <c r="Q59" i="125" s="1"/>
  <c r="Q46" i="121"/>
  <c r="Q46" i="125" s="1"/>
  <c r="Q49" i="121"/>
  <c r="Q49" i="125" s="1"/>
  <c r="Q65" i="121"/>
  <c r="Q21" i="121"/>
  <c r="Q21" i="125" s="1"/>
  <c r="Q30" i="121"/>
  <c r="Q56" i="121"/>
  <c r="Q36" i="121"/>
  <c r="Q63" i="121"/>
  <c r="Q63" i="125" s="1"/>
  <c r="R14" i="121"/>
  <c r="R14" i="125" s="1"/>
  <c r="R14" i="126" s="1"/>
  <c r="R55" i="125"/>
  <c r="R15" i="121"/>
  <c r="R15" i="125" s="1"/>
  <c r="R15" i="126" s="1"/>
  <c r="R61" i="125"/>
  <c r="R30" i="126"/>
  <c r="R36" i="126"/>
  <c r="R20" i="126"/>
  <c r="R65" i="126"/>
  <c r="R10" i="121"/>
  <c r="R10" i="125" s="1"/>
  <c r="R10" i="126" s="1"/>
  <c r="R29" i="125"/>
  <c r="R11" i="121"/>
  <c r="R11" i="125" s="1"/>
  <c r="R11" i="126" s="1"/>
  <c r="R35" i="125"/>
  <c r="R8" i="121"/>
  <c r="R19" i="125"/>
  <c r="R16" i="121"/>
  <c r="R16" i="125" s="1"/>
  <c r="R16" i="126" s="1"/>
  <c r="R64" i="125"/>
  <c r="R48" i="126"/>
  <c r="R43" i="126"/>
  <c r="R24" i="126"/>
  <c r="R56" i="126"/>
  <c r="R62" i="126"/>
  <c r="R13" i="121"/>
  <c r="R13" i="125" s="1"/>
  <c r="R13" i="126" s="1"/>
  <c r="R47" i="125"/>
  <c r="R12" i="121"/>
  <c r="R12" i="125" s="1"/>
  <c r="R12" i="126" s="1"/>
  <c r="R42" i="125"/>
  <c r="R9" i="121"/>
  <c r="R9" i="125" s="1"/>
  <c r="R9" i="126" s="1"/>
  <c r="R23" i="125"/>
  <c r="R9" i="124"/>
  <c r="R15" i="124"/>
  <c r="R13" i="124"/>
  <c r="R12" i="124"/>
  <c r="R14" i="124"/>
  <c r="R10" i="124"/>
  <c r="R16" i="124"/>
  <c r="R11" i="124"/>
  <c r="R8" i="124"/>
  <c r="M48" i="110"/>
  <c r="R63" i="186"/>
  <c r="S63" i="186" s="1"/>
  <c r="N40" i="110"/>
  <c r="K105" i="188"/>
  <c r="N7" i="121"/>
  <c r="N18" i="125"/>
  <c r="N33" i="110"/>
  <c r="K98" i="188"/>
  <c r="F132" i="189"/>
  <c r="O47" i="126"/>
  <c r="O19" i="126"/>
  <c r="O42" i="126"/>
  <c r="O61" i="126"/>
  <c r="F104" i="189"/>
  <c r="F115" i="189"/>
  <c r="M56" i="110"/>
  <c r="K15" i="110"/>
  <c r="L64" i="110"/>
  <c r="K97" i="188"/>
  <c r="N32" i="110"/>
  <c r="K87" i="188"/>
  <c r="N22" i="110"/>
  <c r="N63" i="110"/>
  <c r="K128" i="188"/>
  <c r="N66" i="110"/>
  <c r="K131" i="188"/>
  <c r="N26" i="110"/>
  <c r="K91" i="188"/>
  <c r="R7" i="178"/>
  <c r="S7" i="178" s="1"/>
  <c r="M30" i="110"/>
  <c r="M18" i="126"/>
  <c r="O18" i="121"/>
  <c r="O17" i="121" s="1"/>
  <c r="O8" i="125"/>
  <c r="O8" i="126" s="1"/>
  <c r="F103" i="189"/>
  <c r="F93" i="189"/>
  <c r="R28" i="186"/>
  <c r="S28" i="186" s="1"/>
  <c r="N44" i="110"/>
  <c r="K109" i="188"/>
  <c r="H120" i="188"/>
  <c r="H107" i="188"/>
  <c r="R45" i="185"/>
  <c r="S45" i="185" s="1"/>
  <c r="I7" i="110"/>
  <c r="R18" i="186"/>
  <c r="S18" i="186" s="1"/>
  <c r="L19" i="110"/>
  <c r="K11" i="110"/>
  <c r="I126" i="189"/>
  <c r="I84" i="189"/>
  <c r="I88" i="189"/>
  <c r="I120" i="189"/>
  <c r="I112" i="189"/>
  <c r="K9" i="110"/>
  <c r="N38" i="110"/>
  <c r="K103" i="188"/>
  <c r="N52" i="110"/>
  <c r="K117" i="188"/>
  <c r="K118" i="188"/>
  <c r="N53" i="110"/>
  <c r="R11" i="178"/>
  <c r="S11" i="178" s="1"/>
  <c r="L61" i="110"/>
  <c r="M62" i="110"/>
  <c r="F105" i="189"/>
  <c r="F109" i="189"/>
  <c r="R10" i="178"/>
  <c r="S10" i="178" s="1"/>
  <c r="R40" i="185"/>
  <c r="S40" i="185" s="1"/>
  <c r="K99" i="188"/>
  <c r="N34" i="110"/>
  <c r="H129" i="188"/>
  <c r="K115" i="188"/>
  <c r="N50" i="110"/>
  <c r="F113" i="188"/>
  <c r="R59" i="185"/>
  <c r="S59" i="185" s="1"/>
  <c r="I100" i="189"/>
  <c r="R41" i="186"/>
  <c r="S41" i="186" s="1"/>
  <c r="R8" i="178"/>
  <c r="S8" i="178" s="1"/>
  <c r="K132" i="188"/>
  <c r="N67" i="110"/>
  <c r="N27" i="110"/>
  <c r="K92" i="188"/>
  <c r="N60" i="110"/>
  <c r="K125" i="188"/>
  <c r="H84" i="188"/>
  <c r="H85" i="189"/>
  <c r="H127" i="189"/>
  <c r="H89" i="189"/>
  <c r="H121" i="189"/>
  <c r="F116" i="189"/>
  <c r="F130" i="188"/>
  <c r="F101" i="188"/>
  <c r="K114" i="188"/>
  <c r="N49" i="110"/>
  <c r="N31" i="110"/>
  <c r="K96" i="188"/>
  <c r="N21" i="110"/>
  <c r="K86" i="188"/>
  <c r="H112" i="188"/>
  <c r="M24" i="110"/>
  <c r="R54" i="186"/>
  <c r="S54" i="186" s="1"/>
  <c r="R22" i="186"/>
  <c r="S22" i="186" s="1"/>
  <c r="F85" i="188"/>
  <c r="H6" i="110"/>
  <c r="H5" i="110" s="1"/>
  <c r="R53" i="185"/>
  <c r="S53" i="185" s="1"/>
  <c r="M36" i="110"/>
  <c r="F118" i="189"/>
  <c r="F90" i="189"/>
  <c r="F102" i="189"/>
  <c r="H130" i="189"/>
  <c r="R46" i="186"/>
  <c r="S46" i="186" s="1"/>
  <c r="L47" i="110"/>
  <c r="K10" i="110"/>
  <c r="L35" i="110"/>
  <c r="R62" i="185"/>
  <c r="S62" i="185" s="1"/>
  <c r="M20" i="110"/>
  <c r="N28" i="110"/>
  <c r="K93" i="188"/>
  <c r="M7" i="125"/>
  <c r="M7" i="126" s="1"/>
  <c r="M6" i="121"/>
  <c r="M6" i="125" s="1"/>
  <c r="M6" i="126" s="1"/>
  <c r="M5" i="126" s="1"/>
  <c r="F106" i="189"/>
  <c r="F114" i="189"/>
  <c r="O23" i="126"/>
  <c r="O55" i="126"/>
  <c r="R17" i="185"/>
  <c r="S17" i="185" s="1"/>
  <c r="L29" i="110"/>
  <c r="F89" i="188"/>
  <c r="N54" i="110"/>
  <c r="K119" i="188"/>
  <c r="N45" i="110"/>
  <c r="K110" i="188"/>
  <c r="F95" i="188"/>
  <c r="K104" i="188"/>
  <c r="N39" i="110"/>
  <c r="K13" i="110"/>
  <c r="R16" i="177"/>
  <c r="S16" i="177" s="1"/>
  <c r="R33" i="185"/>
  <c r="S33" i="185" s="1"/>
  <c r="I129" i="189"/>
  <c r="O18" i="124"/>
  <c r="O17" i="124" s="1"/>
  <c r="R21" i="185"/>
  <c r="S21" i="185" s="1"/>
  <c r="K106" i="188"/>
  <c r="N41" i="110"/>
  <c r="R6" i="178"/>
  <c r="S6" i="178" s="1"/>
  <c r="R12" i="178"/>
  <c r="S12" i="178" s="1"/>
  <c r="K14" i="110"/>
  <c r="R60" i="186"/>
  <c r="S60" i="186" s="1"/>
  <c r="F92" i="189"/>
  <c r="O29" i="126"/>
  <c r="F99" i="189"/>
  <c r="F98" i="189"/>
  <c r="F122" i="189"/>
  <c r="F125" i="189"/>
  <c r="F86" i="189"/>
  <c r="O35" i="126"/>
  <c r="O64" i="126"/>
  <c r="F87" i="189"/>
  <c r="F119" i="189"/>
  <c r="R13" i="178"/>
  <c r="S13" i="178" s="1"/>
  <c r="K116" i="188"/>
  <c r="N51" i="110"/>
  <c r="H88" i="188"/>
  <c r="H100" i="188"/>
  <c r="K122" i="188"/>
  <c r="N57" i="110"/>
  <c r="N46" i="110"/>
  <c r="K111" i="188"/>
  <c r="H94" i="188"/>
  <c r="K123" i="188"/>
  <c r="N58" i="110"/>
  <c r="R27" i="185"/>
  <c r="S27" i="185" s="1"/>
  <c r="K16" i="110"/>
  <c r="R9" i="178"/>
  <c r="S9" i="178" s="1"/>
  <c r="R14" i="178"/>
  <c r="S14" i="178" s="1"/>
  <c r="J18" i="110"/>
  <c r="I94" i="189"/>
  <c r="L42" i="110"/>
  <c r="H126" i="188"/>
  <c r="H113" i="189"/>
  <c r="F124" i="189"/>
  <c r="F97" i="189"/>
  <c r="H108" i="189"/>
  <c r="F123" i="189"/>
  <c r="F131" i="189"/>
  <c r="F91" i="189"/>
  <c r="F128" i="189"/>
  <c r="K8" i="110"/>
  <c r="L55" i="110"/>
  <c r="L23" i="110"/>
  <c r="I107" i="189"/>
  <c r="K102" i="188"/>
  <c r="N37" i="110"/>
  <c r="K124" i="188"/>
  <c r="N59" i="110"/>
  <c r="F127" i="188"/>
  <c r="K90" i="188"/>
  <c r="N25" i="110"/>
  <c r="R5" i="170"/>
  <c r="S5" i="170" s="1"/>
  <c r="N7" i="124"/>
  <c r="N6" i="124" s="1"/>
  <c r="M65" i="110"/>
  <c r="M43" i="110"/>
  <c r="F96" i="189"/>
  <c r="H95" i="189"/>
  <c r="F110" i="189"/>
  <c r="F111" i="189"/>
  <c r="H101" i="189"/>
  <c r="F117" i="189"/>
  <c r="K12" i="110"/>
  <c r="F121" i="188"/>
  <c r="F108" i="188"/>
  <c r="R34" i="186"/>
  <c r="S34" i="186" s="1"/>
  <c r="K106" i="200" l="1"/>
  <c r="K107" i="200"/>
  <c r="D106" i="200"/>
  <c r="D138" i="200"/>
  <c r="D103" i="200"/>
  <c r="D135" i="200"/>
  <c r="D105" i="200"/>
  <c r="D137" i="200"/>
  <c r="D104" i="200"/>
  <c r="D136" i="200"/>
  <c r="D108" i="200"/>
  <c r="D140" i="200"/>
  <c r="D109" i="200"/>
  <c r="D141" i="200"/>
  <c r="D107" i="200"/>
  <c r="D139" i="200"/>
  <c r="D102" i="200"/>
  <c r="D134" i="200"/>
  <c r="D110" i="200"/>
  <c r="D142" i="200"/>
  <c r="D5" i="212"/>
  <c r="K16" i="212"/>
  <c r="K5" i="212" s="1"/>
  <c r="D82" i="212"/>
  <c r="D5" i="213"/>
  <c r="D117" i="200" s="1"/>
  <c r="K16" i="213"/>
  <c r="K5" i="213" s="1"/>
  <c r="D82" i="213"/>
  <c r="I90" i="212"/>
  <c r="I90" i="213"/>
  <c r="I96" i="212"/>
  <c r="I96" i="213"/>
  <c r="I97" i="212"/>
  <c r="I97" i="213"/>
  <c r="I92" i="212"/>
  <c r="I92" i="213"/>
  <c r="I85" i="212"/>
  <c r="I85" i="213"/>
  <c r="I105" i="212"/>
  <c r="I105" i="213"/>
  <c r="I86" i="212"/>
  <c r="I86" i="213"/>
  <c r="I123" i="212"/>
  <c r="I123" i="213"/>
  <c r="I110" i="212"/>
  <c r="I110" i="213"/>
  <c r="I115" i="212"/>
  <c r="I115" i="213"/>
  <c r="I130" i="212"/>
  <c r="I130" i="213"/>
  <c r="I116" i="212"/>
  <c r="I116" i="213"/>
  <c r="I103" i="212"/>
  <c r="I103" i="213"/>
  <c r="I102" i="212"/>
  <c r="I102" i="213"/>
  <c r="I104" i="212"/>
  <c r="I104" i="213"/>
  <c r="I109" i="212"/>
  <c r="I109" i="213"/>
  <c r="I91" i="212"/>
  <c r="I91" i="213"/>
  <c r="I117" i="212"/>
  <c r="I117" i="213"/>
  <c r="I124" i="212"/>
  <c r="I124" i="213"/>
  <c r="I114" i="212"/>
  <c r="I114" i="213"/>
  <c r="I108" i="212"/>
  <c r="I108" i="213"/>
  <c r="I127" i="212"/>
  <c r="I127" i="213"/>
  <c r="I113" i="212"/>
  <c r="I113" i="213"/>
  <c r="I89" i="212"/>
  <c r="I89" i="213"/>
  <c r="I98" i="212"/>
  <c r="I98" i="213"/>
  <c r="I121" i="212"/>
  <c r="I121" i="213"/>
  <c r="I95" i="212"/>
  <c r="I95" i="213"/>
  <c r="I118" i="212"/>
  <c r="I118" i="213"/>
  <c r="I101" i="212"/>
  <c r="I101" i="213"/>
  <c r="I131" i="212"/>
  <c r="I131" i="213"/>
  <c r="I122" i="212"/>
  <c r="I122" i="213"/>
  <c r="G38" i="132"/>
  <c r="G39" i="132"/>
  <c r="G25" i="132"/>
  <c r="F60" i="132"/>
  <c r="G20" i="132"/>
  <c r="G33" i="132"/>
  <c r="F63" i="132"/>
  <c r="I121" i="211"/>
  <c r="I101" i="211"/>
  <c r="I109" i="211"/>
  <c r="I85" i="211"/>
  <c r="I96" i="211"/>
  <c r="I97" i="211"/>
  <c r="I92" i="211"/>
  <c r="I118" i="211"/>
  <c r="I90" i="211"/>
  <c r="I95" i="211"/>
  <c r="I86" i="211"/>
  <c r="I123" i="211"/>
  <c r="I110" i="211"/>
  <c r="I115" i="211"/>
  <c r="I130" i="211"/>
  <c r="I113" i="211"/>
  <c r="I131" i="211"/>
  <c r="I116" i="211"/>
  <c r="I108" i="211"/>
  <c r="I103" i="211"/>
  <c r="I102" i="211"/>
  <c r="I104" i="211"/>
  <c r="I127" i="211"/>
  <c r="I98" i="211"/>
  <c r="I122" i="211"/>
  <c r="I114" i="211"/>
  <c r="I91" i="211"/>
  <c r="I117" i="211"/>
  <c r="I124" i="211"/>
  <c r="N53" i="157"/>
  <c r="N12" i="157" s="1"/>
  <c r="G48" i="132"/>
  <c r="G56" i="132"/>
  <c r="G66" i="132"/>
  <c r="G31" i="132"/>
  <c r="G35" i="132"/>
  <c r="D4" i="211"/>
  <c r="D70" i="211" s="1"/>
  <c r="G34" i="130"/>
  <c r="G57" i="132"/>
  <c r="G59" i="132"/>
  <c r="F34" i="132"/>
  <c r="G40" i="132"/>
  <c r="G55" i="132"/>
  <c r="D71" i="211"/>
  <c r="K53" i="200"/>
  <c r="N17" i="157"/>
  <c r="N6" i="157" s="1"/>
  <c r="N21" i="157"/>
  <c r="N7" i="157" s="1"/>
  <c r="G22" i="130"/>
  <c r="G54" i="130"/>
  <c r="G46" i="130"/>
  <c r="F41" i="132"/>
  <c r="GO28" i="129"/>
  <c r="GO21" i="129"/>
  <c r="GO34" i="129"/>
  <c r="GO46" i="129"/>
  <c r="GO37" i="129"/>
  <c r="GO27" i="129"/>
  <c r="GO43" i="129"/>
  <c r="GO25" i="129"/>
  <c r="GO26" i="129"/>
  <c r="GO66" i="129"/>
  <c r="GO24" i="129"/>
  <c r="GO49" i="129"/>
  <c r="GO65" i="129"/>
  <c r="GO38" i="129"/>
  <c r="GO44" i="129"/>
  <c r="GO22" i="129"/>
  <c r="GO32" i="129"/>
  <c r="GO60" i="129"/>
  <c r="GO57" i="129"/>
  <c r="GO20" i="129"/>
  <c r="GO50" i="129"/>
  <c r="GO51" i="129"/>
  <c r="GO48" i="129"/>
  <c r="GO59" i="129"/>
  <c r="GO45" i="129"/>
  <c r="GO58" i="129"/>
  <c r="GO40" i="129"/>
  <c r="GO39" i="129"/>
  <c r="GO52" i="129"/>
  <c r="GO56" i="129"/>
  <c r="GO31" i="129"/>
  <c r="GO63" i="129"/>
  <c r="GO53" i="129"/>
  <c r="GO62" i="129"/>
  <c r="GO36" i="129"/>
  <c r="GO30" i="129"/>
  <c r="GO67" i="129"/>
  <c r="GO54" i="129"/>
  <c r="GO41" i="129"/>
  <c r="GO33" i="129"/>
  <c r="G32" i="132"/>
  <c r="N45" i="157"/>
  <c r="N11" i="157" s="1"/>
  <c r="G18" i="130"/>
  <c r="G60" i="130"/>
  <c r="D69" i="200"/>
  <c r="G65" i="132"/>
  <c r="D20" i="200"/>
  <c r="D36" i="200" s="1"/>
  <c r="D70" i="207"/>
  <c r="I105" i="192"/>
  <c r="I105" i="211"/>
  <c r="I89" i="192"/>
  <c r="I89" i="211"/>
  <c r="G41" i="130"/>
  <c r="G23" i="132"/>
  <c r="G63" i="130"/>
  <c r="G45" i="132"/>
  <c r="G37" i="132"/>
  <c r="G47" i="132"/>
  <c r="N62" i="157"/>
  <c r="N14" i="157" s="1"/>
  <c r="F28" i="132"/>
  <c r="G43" i="132"/>
  <c r="N40" i="157"/>
  <c r="N10" i="157" s="1"/>
  <c r="G28" i="130"/>
  <c r="N27" i="157"/>
  <c r="N8" i="157" s="1"/>
  <c r="N59" i="157"/>
  <c r="N13" i="157" s="1"/>
  <c r="G36" i="132"/>
  <c r="N33" i="157"/>
  <c r="N9" i="157" s="1"/>
  <c r="G19" i="132"/>
  <c r="AJ18" i="129"/>
  <c r="AJ17" i="129" s="1"/>
  <c r="T63" i="121"/>
  <c r="T63" i="125" s="1"/>
  <c r="T41" i="121"/>
  <c r="T41" i="125" s="1"/>
  <c r="T33" i="121"/>
  <c r="T33" i="125" s="1"/>
  <c r="T65" i="121"/>
  <c r="T43" i="121"/>
  <c r="T31" i="121"/>
  <c r="T31" i="125" s="1"/>
  <c r="T34" i="121"/>
  <c r="T34" i="125" s="1"/>
  <c r="T54" i="121"/>
  <c r="T54" i="125" s="1"/>
  <c r="T46" i="121"/>
  <c r="T46" i="125" s="1"/>
  <c r="T45" i="121"/>
  <c r="T45" i="125" s="1"/>
  <c r="T24" i="121"/>
  <c r="T48" i="121"/>
  <c r="T28" i="121"/>
  <c r="T28" i="125" s="1"/>
  <c r="T27" i="121"/>
  <c r="T27" i="125" s="1"/>
  <c r="T30" i="121"/>
  <c r="T21" i="121"/>
  <c r="T21" i="125" s="1"/>
  <c r="T62" i="121"/>
  <c r="T32" i="121"/>
  <c r="T32" i="125" s="1"/>
  <c r="T51" i="121"/>
  <c r="T51" i="125" s="1"/>
  <c r="T60" i="121"/>
  <c r="T60" i="125" s="1"/>
  <c r="T59" i="121"/>
  <c r="T59" i="125" s="1"/>
  <c r="T53" i="121"/>
  <c r="T53" i="125" s="1"/>
  <c r="T44" i="121"/>
  <c r="T44" i="125" s="1"/>
  <c r="T25" i="121"/>
  <c r="T25" i="125" s="1"/>
  <c r="T39" i="121"/>
  <c r="T39" i="125" s="1"/>
  <c r="T38" i="121"/>
  <c r="T38" i="125" s="1"/>
  <c r="T57" i="121"/>
  <c r="T57" i="125" s="1"/>
  <c r="T20" i="121"/>
  <c r="T76" i="124"/>
  <c r="T22" i="121"/>
  <c r="T22" i="125" s="1"/>
  <c r="T52" i="121"/>
  <c r="T52" i="125" s="1"/>
  <c r="T67" i="121"/>
  <c r="T67" i="125" s="1"/>
  <c r="T50" i="121"/>
  <c r="T50" i="125" s="1"/>
  <c r="T66" i="121"/>
  <c r="T66" i="125" s="1"/>
  <c r="T40" i="121"/>
  <c r="T40" i="125" s="1"/>
  <c r="T58" i="121"/>
  <c r="T58" i="125" s="1"/>
  <c r="T56" i="121"/>
  <c r="T26" i="121"/>
  <c r="T26" i="125" s="1"/>
  <c r="T36" i="121"/>
  <c r="T49" i="121"/>
  <c r="T49" i="125" s="1"/>
  <c r="T37" i="121"/>
  <c r="T37" i="125" s="1"/>
  <c r="G51" i="132"/>
  <c r="AT18" i="129"/>
  <c r="AT7" i="129" s="1"/>
  <c r="AT6" i="129" s="1"/>
  <c r="AT1" i="129" s="1"/>
  <c r="F54" i="132"/>
  <c r="DZ21" i="129"/>
  <c r="DS21" i="129" s="1"/>
  <c r="DT21" i="129" s="1"/>
  <c r="I103" i="194"/>
  <c r="I92" i="194"/>
  <c r="I124" i="194"/>
  <c r="I105" i="194"/>
  <c r="I86" i="194"/>
  <c r="I114" i="194"/>
  <c r="I118" i="194"/>
  <c r="I121" i="194"/>
  <c r="I85" i="194"/>
  <c r="I123" i="194"/>
  <c r="I102" i="194"/>
  <c r="I91" i="194"/>
  <c r="I101" i="194"/>
  <c r="I113" i="194"/>
  <c r="I117" i="194"/>
  <c r="I109" i="194"/>
  <c r="I89" i="194"/>
  <c r="I108" i="194"/>
  <c r="I97" i="194"/>
  <c r="I96" i="194"/>
  <c r="I90" i="194"/>
  <c r="I116" i="194"/>
  <c r="I130" i="194"/>
  <c r="I95" i="194"/>
  <c r="I122" i="194"/>
  <c r="I104" i="194"/>
  <c r="I98" i="194"/>
  <c r="I115" i="194"/>
  <c r="I131" i="194"/>
  <c r="I127" i="194"/>
  <c r="I110" i="194"/>
  <c r="AI18" i="129"/>
  <c r="AI17" i="129" s="1"/>
  <c r="E7" i="131"/>
  <c r="E7" i="132" s="1"/>
  <c r="Y18" i="129"/>
  <c r="Y17" i="129" s="1"/>
  <c r="DP43" i="129"/>
  <c r="DI43" i="129" s="1"/>
  <c r="DP62" i="129"/>
  <c r="DI62" i="129" s="1"/>
  <c r="H75" i="188"/>
  <c r="H76" i="188"/>
  <c r="DP30" i="129"/>
  <c r="DI30" i="129" s="1"/>
  <c r="H79" i="188"/>
  <c r="F67" i="186"/>
  <c r="F69" i="186" s="1"/>
  <c r="DF55" i="129"/>
  <c r="DF14" i="129" s="1"/>
  <c r="DF64" i="129"/>
  <c r="DF16" i="129" s="1"/>
  <c r="H80" i="188"/>
  <c r="DF19" i="129"/>
  <c r="DF8" i="129" s="1"/>
  <c r="DF35" i="129"/>
  <c r="DF11" i="129" s="1"/>
  <c r="H78" i="188"/>
  <c r="H77" i="188"/>
  <c r="DF47" i="129"/>
  <c r="DF13" i="129" s="1"/>
  <c r="DP56" i="129"/>
  <c r="DI56" i="129" s="1"/>
  <c r="DF42" i="129"/>
  <c r="DF12" i="129" s="1"/>
  <c r="H74" i="188"/>
  <c r="DF23" i="129"/>
  <c r="DF9" i="129" s="1"/>
  <c r="DP65" i="129"/>
  <c r="DI65" i="129" s="1"/>
  <c r="H73" i="188"/>
  <c r="H81" i="188"/>
  <c r="DF61" i="129"/>
  <c r="DF15" i="129" s="1"/>
  <c r="DF29" i="129"/>
  <c r="DF10" i="129" s="1"/>
  <c r="I67" i="188"/>
  <c r="I69" i="188" s="1"/>
  <c r="L67" i="178"/>
  <c r="L69" i="178" s="1"/>
  <c r="DP36" i="129"/>
  <c r="DI36" i="129" s="1"/>
  <c r="DP48" i="129"/>
  <c r="DI48" i="129" s="1"/>
  <c r="O25" i="157"/>
  <c r="O29" i="157"/>
  <c r="O63" i="157"/>
  <c r="O32" i="157"/>
  <c r="O48" i="157"/>
  <c r="O28" i="157"/>
  <c r="O38" i="157"/>
  <c r="O30" i="157"/>
  <c r="O18" i="157"/>
  <c r="O50" i="157"/>
  <c r="O26" i="157"/>
  <c r="O34" i="157"/>
  <c r="O47" i="157"/>
  <c r="O22" i="157"/>
  <c r="O56" i="157"/>
  <c r="O43" i="157"/>
  <c r="O41" i="157"/>
  <c r="O42" i="157"/>
  <c r="O55" i="157"/>
  <c r="O61" i="157"/>
  <c r="O51" i="153"/>
  <c r="O49" i="153"/>
  <c r="O30" i="153"/>
  <c r="N12" i="153"/>
  <c r="O31" i="152"/>
  <c r="O23" i="153"/>
  <c r="O46" i="152"/>
  <c r="N11" i="153"/>
  <c r="O61" i="153"/>
  <c r="O26" i="152"/>
  <c r="O36" i="152"/>
  <c r="O22" i="153"/>
  <c r="O38" i="152"/>
  <c r="N8" i="152"/>
  <c r="O55" i="152"/>
  <c r="O18" i="153"/>
  <c r="O19" i="153"/>
  <c r="O29" i="153"/>
  <c r="O30" i="152"/>
  <c r="O24" i="153"/>
  <c r="O58" i="152"/>
  <c r="O65" i="152"/>
  <c r="O39" i="153"/>
  <c r="N11" i="152"/>
  <c r="O44" i="153"/>
  <c r="O44" i="152"/>
  <c r="O49" i="152"/>
  <c r="O34" i="152"/>
  <c r="O28" i="152"/>
  <c r="O56" i="153"/>
  <c r="N14" i="152"/>
  <c r="O25" i="152"/>
  <c r="O43" i="153"/>
  <c r="O54" i="153"/>
  <c r="N13" i="152"/>
  <c r="O41" i="153"/>
  <c r="O26" i="153"/>
  <c r="O46" i="153"/>
  <c r="O52" i="153"/>
  <c r="O22" i="152"/>
  <c r="O52" i="152"/>
  <c r="O28" i="153"/>
  <c r="O63" i="152"/>
  <c r="O37" i="153"/>
  <c r="O24" i="152"/>
  <c r="O65" i="153"/>
  <c r="O60" i="153"/>
  <c r="O51" i="152"/>
  <c r="O47" i="153"/>
  <c r="O37" i="152"/>
  <c r="O50" i="153"/>
  <c r="O18" i="152"/>
  <c r="O20" i="157"/>
  <c r="O37" i="157"/>
  <c r="O31" i="157"/>
  <c r="O51" i="157"/>
  <c r="O36" i="157"/>
  <c r="O19" i="157"/>
  <c r="O60" i="157"/>
  <c r="O39" i="157"/>
  <c r="O57" i="157"/>
  <c r="O54" i="157"/>
  <c r="O64" i="157"/>
  <c r="O46" i="157"/>
  <c r="O24" i="157"/>
  <c r="O58" i="157"/>
  <c r="O23" i="157"/>
  <c r="O52" i="157"/>
  <c r="O49" i="157"/>
  <c r="O44" i="157"/>
  <c r="O65" i="157"/>
  <c r="O35" i="157"/>
  <c r="O20" i="152"/>
  <c r="N8" i="153"/>
  <c r="O58" i="153"/>
  <c r="O34" i="153"/>
  <c r="O36" i="153"/>
  <c r="N13" i="153"/>
  <c r="O42" i="152"/>
  <c r="O41" i="152"/>
  <c r="O35" i="152"/>
  <c r="O47" i="152"/>
  <c r="N14" i="153"/>
  <c r="O35" i="153"/>
  <c r="O48" i="152"/>
  <c r="O42" i="153"/>
  <c r="O32" i="153"/>
  <c r="O48" i="153"/>
  <c r="O39" i="152"/>
  <c r="N9" i="153"/>
  <c r="O23" i="152"/>
  <c r="N7" i="152"/>
  <c r="O38" i="153"/>
  <c r="O19" i="152"/>
  <c r="O32" i="152"/>
  <c r="N7" i="153"/>
  <c r="O50" i="152"/>
  <c r="O25" i="153"/>
  <c r="O61" i="152"/>
  <c r="O31" i="153"/>
  <c r="O57" i="153"/>
  <c r="N9" i="152"/>
  <c r="O20" i="153"/>
  <c r="O64" i="153"/>
  <c r="O43" i="152"/>
  <c r="O57" i="152"/>
  <c r="O60" i="152"/>
  <c r="O54" i="152"/>
  <c r="O56" i="152"/>
  <c r="O55" i="153"/>
  <c r="O29" i="152"/>
  <c r="O63" i="153"/>
  <c r="N10" i="152"/>
  <c r="N12" i="152"/>
  <c r="N10" i="153"/>
  <c r="O64" i="152"/>
  <c r="F18" i="129"/>
  <c r="F17" i="129" s="1"/>
  <c r="C7" i="130"/>
  <c r="M7" i="151"/>
  <c r="O21" i="151"/>
  <c r="E9" i="129"/>
  <c r="C8" i="131" s="1"/>
  <c r="C8" i="132" s="1"/>
  <c r="C22" i="131"/>
  <c r="C22" i="132" s="1"/>
  <c r="M21" i="153"/>
  <c r="E8" i="129"/>
  <c r="C18" i="131"/>
  <c r="C18" i="132" s="1"/>
  <c r="M17" i="153"/>
  <c r="M59" i="152"/>
  <c r="D60" i="131"/>
  <c r="D60" i="132" s="1"/>
  <c r="O15" i="129"/>
  <c r="D14" i="131" s="1"/>
  <c r="D14" i="132" s="1"/>
  <c r="P18" i="129"/>
  <c r="D7" i="130"/>
  <c r="E16" i="129"/>
  <c r="C15" i="131" s="1"/>
  <c r="C15" i="132" s="1"/>
  <c r="M62" i="153"/>
  <c r="C63" i="131"/>
  <c r="C63" i="132" s="1"/>
  <c r="M11" i="151"/>
  <c r="O45" i="151"/>
  <c r="M13" i="151"/>
  <c r="O59" i="151"/>
  <c r="M10" i="151"/>
  <c r="O40" i="151"/>
  <c r="M8" i="151"/>
  <c r="O27" i="151"/>
  <c r="D46" i="131"/>
  <c r="D46" i="132" s="1"/>
  <c r="M45" i="152"/>
  <c r="O13" i="129"/>
  <c r="D12" i="131" s="1"/>
  <c r="D12" i="132" s="1"/>
  <c r="M9" i="151"/>
  <c r="O33" i="151"/>
  <c r="O62" i="151"/>
  <c r="M14" i="151"/>
  <c r="E14" i="129"/>
  <c r="C13" i="131" s="1"/>
  <c r="C13" i="132" s="1"/>
  <c r="M53" i="153"/>
  <c r="C54" i="131"/>
  <c r="C54" i="132" s="1"/>
  <c r="E12" i="129"/>
  <c r="C11" i="131" s="1"/>
  <c r="C11" i="132" s="1"/>
  <c r="M40" i="153"/>
  <c r="C41" i="131"/>
  <c r="C41" i="132" s="1"/>
  <c r="O9" i="129"/>
  <c r="D8" i="131" s="1"/>
  <c r="D8" i="132" s="1"/>
  <c r="M21" i="152"/>
  <c r="D22" i="131"/>
  <c r="D22" i="132" s="1"/>
  <c r="E10" i="129"/>
  <c r="C9" i="131" s="1"/>
  <c r="C9" i="132" s="1"/>
  <c r="C28" i="131"/>
  <c r="C28" i="132" s="1"/>
  <c r="M27" i="153"/>
  <c r="O16" i="129"/>
  <c r="D15" i="131" s="1"/>
  <c r="D15" i="132" s="1"/>
  <c r="D63" i="131"/>
  <c r="D63" i="132" s="1"/>
  <c r="M62" i="152"/>
  <c r="E15" i="129"/>
  <c r="C14" i="131" s="1"/>
  <c r="C14" i="132" s="1"/>
  <c r="M59" i="153"/>
  <c r="C60" i="131"/>
  <c r="C60" i="132" s="1"/>
  <c r="M33" i="152"/>
  <c r="D34" i="131"/>
  <c r="D34" i="132" s="1"/>
  <c r="O11" i="129"/>
  <c r="D10" i="131" s="1"/>
  <c r="D10" i="132" s="1"/>
  <c r="O10" i="129"/>
  <c r="D9" i="131" s="1"/>
  <c r="D9" i="132" s="1"/>
  <c r="D28" i="131"/>
  <c r="D28" i="132" s="1"/>
  <c r="M27" i="152"/>
  <c r="O12" i="129"/>
  <c r="D11" i="131" s="1"/>
  <c r="D11" i="132" s="1"/>
  <c r="D41" i="131"/>
  <c r="D41" i="132" s="1"/>
  <c r="M40" i="152"/>
  <c r="Z7" i="129"/>
  <c r="N16" i="151"/>
  <c r="E17" i="130"/>
  <c r="Z17" i="129"/>
  <c r="E13" i="129"/>
  <c r="C12" i="131" s="1"/>
  <c r="C12" i="132" s="1"/>
  <c r="C46" i="131"/>
  <c r="C46" i="132" s="1"/>
  <c r="M45" i="153"/>
  <c r="M12" i="151"/>
  <c r="O53" i="151"/>
  <c r="N6" i="152"/>
  <c r="M6" i="151"/>
  <c r="O17" i="151"/>
  <c r="N6" i="153"/>
  <c r="E11" i="129"/>
  <c r="C10" i="131" s="1"/>
  <c r="C10" i="132" s="1"/>
  <c r="C34" i="131"/>
  <c r="C34" i="132" s="1"/>
  <c r="M33" i="153"/>
  <c r="M53" i="152"/>
  <c r="D54" i="131"/>
  <c r="D54" i="132" s="1"/>
  <c r="O14" i="129"/>
  <c r="D13" i="131" s="1"/>
  <c r="D13" i="132" s="1"/>
  <c r="O8" i="129"/>
  <c r="M17" i="152"/>
  <c r="D18" i="131"/>
  <c r="D18" i="132" s="1"/>
  <c r="AS7" i="129"/>
  <c r="AS6" i="129" s="1"/>
  <c r="AS1" i="129" s="1"/>
  <c r="BU18" i="129"/>
  <c r="BV18" i="129" s="1"/>
  <c r="O62" i="134"/>
  <c r="M14" i="134"/>
  <c r="O59" i="134"/>
  <c r="M13" i="134"/>
  <c r="O53" i="134"/>
  <c r="M12" i="134"/>
  <c r="O45" i="134"/>
  <c r="M11" i="134"/>
  <c r="O40" i="134"/>
  <c r="M10" i="134"/>
  <c r="O33" i="134"/>
  <c r="M9" i="134"/>
  <c r="O27" i="134"/>
  <c r="M8" i="134"/>
  <c r="O21" i="134"/>
  <c r="M7" i="134"/>
  <c r="O17" i="134"/>
  <c r="M6" i="134"/>
  <c r="DZ26" i="129"/>
  <c r="DZ58" i="129"/>
  <c r="DZ32" i="129"/>
  <c r="DZ22" i="129"/>
  <c r="DZ37" i="129"/>
  <c r="DZ53" i="129"/>
  <c r="DP20" i="129"/>
  <c r="DZ40" i="129"/>
  <c r="DZ28" i="129"/>
  <c r="DZ39" i="129"/>
  <c r="CP42" i="129"/>
  <c r="CP12" i="129" s="1"/>
  <c r="F14" i="131"/>
  <c r="F14" i="132" s="1"/>
  <c r="BD42" i="129"/>
  <c r="BD12" i="129" s="1"/>
  <c r="BC12" i="129"/>
  <c r="BD55" i="129"/>
  <c r="BD14" i="129" s="1"/>
  <c r="BC14" i="129"/>
  <c r="CP55" i="129"/>
  <c r="CP14" i="129" s="1"/>
  <c r="DZ52" i="129"/>
  <c r="DZ45" i="129"/>
  <c r="DZ31" i="129"/>
  <c r="DZ57" i="129"/>
  <c r="DZ34" i="129"/>
  <c r="DZ27" i="129"/>
  <c r="DP24" i="129"/>
  <c r="DZ41" i="129"/>
  <c r="CY23" i="129"/>
  <c r="CY9" i="129" s="1"/>
  <c r="CZ24" i="129"/>
  <c r="CY55" i="129"/>
  <c r="CY14" i="129" s="1"/>
  <c r="CZ56" i="129"/>
  <c r="BD47" i="129"/>
  <c r="BD13" i="129" s="1"/>
  <c r="BC13" i="129"/>
  <c r="BC10" i="129"/>
  <c r="BD29" i="129"/>
  <c r="BD10" i="129" s="1"/>
  <c r="CP35" i="129"/>
  <c r="CP11" i="129" s="1"/>
  <c r="CY35" i="129"/>
  <c r="CY11" i="129" s="1"/>
  <c r="CZ36" i="129"/>
  <c r="CP23" i="129"/>
  <c r="CP9" i="129" s="1"/>
  <c r="F11" i="131"/>
  <c r="F11" i="132" s="1"/>
  <c r="CY29" i="129"/>
  <c r="CY10" i="129" s="1"/>
  <c r="CZ30" i="129"/>
  <c r="CZ29" i="129" s="1"/>
  <c r="CZ10" i="129" s="1"/>
  <c r="BN22" i="129"/>
  <c r="BN27" i="129"/>
  <c r="BN41" i="129"/>
  <c r="BN31" i="129"/>
  <c r="BN50" i="129"/>
  <c r="BN37" i="129"/>
  <c r="BN57" i="129"/>
  <c r="BN44" i="129"/>
  <c r="BN39" i="129"/>
  <c r="BN54" i="129"/>
  <c r="BN33" i="129"/>
  <c r="BN66" i="129"/>
  <c r="BN21" i="129"/>
  <c r="BN26" i="129"/>
  <c r="BN46" i="129"/>
  <c r="BN28" i="129"/>
  <c r="BN45" i="129"/>
  <c r="BN60" i="129"/>
  <c r="BN53" i="129"/>
  <c r="BN67" i="129"/>
  <c r="BN25" i="129"/>
  <c r="BN59" i="129"/>
  <c r="BN52" i="129"/>
  <c r="BN32" i="129"/>
  <c r="BN38" i="129"/>
  <c r="BN49" i="129"/>
  <c r="BN34" i="129"/>
  <c r="BN40" i="129"/>
  <c r="BN51" i="129"/>
  <c r="BN63" i="129"/>
  <c r="BN58" i="129"/>
  <c r="BN62" i="129"/>
  <c r="BN56" i="129"/>
  <c r="BN20" i="129"/>
  <c r="BN30" i="129"/>
  <c r="BN43" i="129"/>
  <c r="BN48" i="129"/>
  <c r="BN65" i="129"/>
  <c r="BN36" i="129"/>
  <c r="BN24" i="129"/>
  <c r="K67" i="185"/>
  <c r="K69" i="185" s="1"/>
  <c r="CL18" i="129"/>
  <c r="DZ63" i="129"/>
  <c r="DZ66" i="129"/>
  <c r="DZ59" i="129"/>
  <c r="DZ54" i="129"/>
  <c r="DZ25" i="129"/>
  <c r="DZ51" i="129"/>
  <c r="DZ44" i="129"/>
  <c r="DZ38" i="129"/>
  <c r="DZ50" i="129"/>
  <c r="DZ67" i="129"/>
  <c r="CP47" i="129"/>
  <c r="CP13" i="129" s="1"/>
  <c r="BB7" i="129"/>
  <c r="BB6" i="129" s="1"/>
  <c r="BB1" i="129" s="1"/>
  <c r="F10" i="131"/>
  <c r="F10" i="132" s="1"/>
  <c r="F15" i="131"/>
  <c r="F15" i="132" s="1"/>
  <c r="BD23" i="129"/>
  <c r="BD9" i="129" s="1"/>
  <c r="BC9" i="129"/>
  <c r="BC16" i="129"/>
  <c r="BD64" i="129"/>
  <c r="BD16" i="129" s="1"/>
  <c r="BC15" i="129"/>
  <c r="BD61" i="129"/>
  <c r="BD15" i="129" s="1"/>
  <c r="F9" i="131"/>
  <c r="F9" i="132" s="1"/>
  <c r="BK7" i="129"/>
  <c r="BK6" i="129" s="1"/>
  <c r="BK1" i="129" s="1"/>
  <c r="F12" i="131"/>
  <c r="F12" i="132" s="1"/>
  <c r="CY42" i="129"/>
  <c r="CY12" i="129" s="1"/>
  <c r="CZ43" i="129"/>
  <c r="CY61" i="129"/>
  <c r="CY15" i="129" s="1"/>
  <c r="CZ62" i="129"/>
  <c r="CZ61" i="129" s="1"/>
  <c r="CZ15" i="129" s="1"/>
  <c r="CY19" i="129"/>
  <c r="CY8" i="129" s="1"/>
  <c r="CZ20" i="129"/>
  <c r="DZ46" i="129"/>
  <c r="DZ60" i="129"/>
  <c r="DZ33" i="129"/>
  <c r="DZ49" i="129"/>
  <c r="F13" i="131"/>
  <c r="F13" i="132" s="1"/>
  <c r="BD19" i="129"/>
  <c r="BD8" i="129" s="1"/>
  <c r="BC8" i="129"/>
  <c r="BD35" i="129"/>
  <c r="BD11" i="129" s="1"/>
  <c r="BC11" i="129"/>
  <c r="CP19" i="129"/>
  <c r="CP8" i="129" s="1"/>
  <c r="F7" i="131"/>
  <c r="F7" i="132" s="1"/>
  <c r="F8" i="131"/>
  <c r="F8" i="132" s="1"/>
  <c r="CY64" i="129"/>
  <c r="CY16" i="129" s="1"/>
  <c r="CZ65" i="129"/>
  <c r="CZ64" i="129" s="1"/>
  <c r="CZ16" i="129" s="1"/>
  <c r="CY47" i="129"/>
  <c r="CY13" i="129" s="1"/>
  <c r="CZ48" i="129"/>
  <c r="CB7" i="129"/>
  <c r="CB6" i="129" s="1"/>
  <c r="CB1" i="129" s="1"/>
  <c r="M62" i="157"/>
  <c r="G63" i="131"/>
  <c r="M40" i="157"/>
  <c r="G41" i="131"/>
  <c r="M21" i="157"/>
  <c r="G22" i="131"/>
  <c r="M53" i="157"/>
  <c r="G54" i="131"/>
  <c r="M17" i="157"/>
  <c r="G18" i="131"/>
  <c r="M45" i="157"/>
  <c r="G46" i="131"/>
  <c r="M27" i="157"/>
  <c r="G28" i="131"/>
  <c r="M33" i="157"/>
  <c r="G34" i="131"/>
  <c r="M59" i="157"/>
  <c r="G60" i="131"/>
  <c r="I95" i="192"/>
  <c r="I108" i="192"/>
  <c r="I124" i="192"/>
  <c r="I85" i="192"/>
  <c r="I103" i="192"/>
  <c r="S19" i="124"/>
  <c r="S20" i="125"/>
  <c r="S19" i="121"/>
  <c r="S62" i="125"/>
  <c r="S61" i="121"/>
  <c r="S38" i="126"/>
  <c r="S26" i="126"/>
  <c r="S25" i="126"/>
  <c r="S45" i="126"/>
  <c r="S34" i="126"/>
  <c r="S30" i="125"/>
  <c r="S29" i="121"/>
  <c r="S52" i="126"/>
  <c r="S39" i="126"/>
  <c r="S29" i="124"/>
  <c r="S33" i="126"/>
  <c r="S47" i="121"/>
  <c r="S48" i="125"/>
  <c r="S46" i="126"/>
  <c r="S37" i="126"/>
  <c r="S31" i="126"/>
  <c r="S22" i="126"/>
  <c r="S63" i="126"/>
  <c r="S44" i="126"/>
  <c r="S28" i="126"/>
  <c r="S50" i="126"/>
  <c r="S47" i="124"/>
  <c r="S35" i="124"/>
  <c r="S51" i="126"/>
  <c r="S32" i="126"/>
  <c r="S65" i="125"/>
  <c r="S64" i="121"/>
  <c r="S54" i="126"/>
  <c r="S60" i="126"/>
  <c r="S53" i="126"/>
  <c r="S49" i="126"/>
  <c r="S58" i="126"/>
  <c r="S56" i="125"/>
  <c r="S55" i="121"/>
  <c r="S67" i="126"/>
  <c r="S55" i="124"/>
  <c r="S42" i="124"/>
  <c r="S64" i="124"/>
  <c r="S61" i="124"/>
  <c r="S23" i="124"/>
  <c r="S27" i="126"/>
  <c r="S36" i="125"/>
  <c r="S35" i="121"/>
  <c r="S59" i="126"/>
  <c r="S42" i="121"/>
  <c r="S43" i="125"/>
  <c r="S66" i="126"/>
  <c r="S24" i="125"/>
  <c r="S23" i="121"/>
  <c r="S57" i="126"/>
  <c r="S40" i="126"/>
  <c r="S41" i="126"/>
  <c r="S21" i="126"/>
  <c r="I109" i="192"/>
  <c r="I96" i="192"/>
  <c r="I97" i="192"/>
  <c r="I121" i="192"/>
  <c r="I92" i="192"/>
  <c r="I113" i="192"/>
  <c r="I98" i="192"/>
  <c r="I102" i="192"/>
  <c r="I116" i="192"/>
  <c r="I90" i="192"/>
  <c r="I91" i="192"/>
  <c r="I114" i="192"/>
  <c r="I117" i="192"/>
  <c r="I104" i="192"/>
  <c r="I110" i="192"/>
  <c r="I122" i="192"/>
  <c r="I123" i="192"/>
  <c r="I118" i="192"/>
  <c r="I86" i="192"/>
  <c r="I115" i="192"/>
  <c r="I131" i="192"/>
  <c r="I101" i="192"/>
  <c r="I130" i="192"/>
  <c r="I127" i="192"/>
  <c r="Q63" i="126"/>
  <c r="Q21" i="126"/>
  <c r="Q59" i="126"/>
  <c r="Q28" i="126"/>
  <c r="Q40" i="126"/>
  <c r="Q25" i="126"/>
  <c r="Q31" i="126"/>
  <c r="Q45" i="126"/>
  <c r="Q54" i="126"/>
  <c r="Q60" i="126"/>
  <c r="Q29" i="124"/>
  <c r="Q35" i="121"/>
  <c r="Q36" i="125"/>
  <c r="Q64" i="121"/>
  <c r="Q65" i="125"/>
  <c r="Q51" i="126"/>
  <c r="Q34" i="126"/>
  <c r="Q50" i="126"/>
  <c r="Q42" i="121"/>
  <c r="Q43" i="125"/>
  <c r="Q38" i="126"/>
  <c r="Q33" i="126"/>
  <c r="Q47" i="121"/>
  <c r="Q48" i="125"/>
  <c r="Q19" i="121"/>
  <c r="Q20" i="125"/>
  <c r="Q42" i="124"/>
  <c r="Q47" i="124"/>
  <c r="Q55" i="121"/>
  <c r="Q56" i="125"/>
  <c r="Q49" i="126"/>
  <c r="Q62" i="125"/>
  <c r="Q61" i="121"/>
  <c r="Q67" i="126"/>
  <c r="Q53" i="126"/>
  <c r="Q37" i="126"/>
  <c r="Q26" i="126"/>
  <c r="Q22" i="126"/>
  <c r="Q52" i="126"/>
  <c r="Q41" i="126"/>
  <c r="Q19" i="124"/>
  <c r="Q55" i="124"/>
  <c r="Q64" i="124"/>
  <c r="Q23" i="124"/>
  <c r="Q29" i="121"/>
  <c r="Q30" i="125"/>
  <c r="Q46" i="126"/>
  <c r="Q27" i="126"/>
  <c r="Q66" i="126"/>
  <c r="Q24" i="125"/>
  <c r="Q23" i="121"/>
  <c r="Q32" i="126"/>
  <c r="Q57" i="126"/>
  <c r="Q44" i="126"/>
  <c r="Q39" i="126"/>
  <c r="Q58" i="126"/>
  <c r="Q61" i="124"/>
  <c r="Q35" i="124"/>
  <c r="R35" i="126"/>
  <c r="R23" i="126"/>
  <c r="R19" i="126"/>
  <c r="R61" i="126"/>
  <c r="R47" i="126"/>
  <c r="R18" i="121"/>
  <c r="R8" i="125"/>
  <c r="R8" i="126" s="1"/>
  <c r="R42" i="126"/>
  <c r="R64" i="126"/>
  <c r="R29" i="126"/>
  <c r="R55" i="126"/>
  <c r="R18" i="124"/>
  <c r="R17" i="124" s="1"/>
  <c r="F120" i="188"/>
  <c r="L90" i="188"/>
  <c r="R23" i="188"/>
  <c r="S23" i="188" s="1"/>
  <c r="L124" i="188"/>
  <c r="R57" i="188"/>
  <c r="S57" i="188" s="1"/>
  <c r="L102" i="188"/>
  <c r="R35" i="188"/>
  <c r="S35" i="188" s="1"/>
  <c r="K18" i="110"/>
  <c r="G7" i="131"/>
  <c r="G13" i="130"/>
  <c r="G9" i="130"/>
  <c r="G11" i="131"/>
  <c r="G11" i="130"/>
  <c r="G12" i="130"/>
  <c r="G10" i="130"/>
  <c r="R33" i="186"/>
  <c r="S33" i="186" s="1"/>
  <c r="F107" i="188"/>
  <c r="N56" i="110"/>
  <c r="K121" i="188"/>
  <c r="K117" i="189"/>
  <c r="O52" i="110"/>
  <c r="F101" i="189"/>
  <c r="O46" i="110"/>
  <c r="K111" i="189"/>
  <c r="K110" i="189"/>
  <c r="O45" i="110"/>
  <c r="M42" i="110"/>
  <c r="M64" i="110"/>
  <c r="I83" i="188"/>
  <c r="K127" i="188"/>
  <c r="N62" i="110"/>
  <c r="F126" i="188"/>
  <c r="I77" i="189"/>
  <c r="L9" i="110"/>
  <c r="L14" i="110"/>
  <c r="O63" i="110"/>
  <c r="K128" i="189"/>
  <c r="K91" i="189"/>
  <c r="O26" i="110"/>
  <c r="K123" i="189"/>
  <c r="O58" i="110"/>
  <c r="O32" i="110"/>
  <c r="K97" i="189"/>
  <c r="K124" i="189"/>
  <c r="O59" i="110"/>
  <c r="F113" i="189"/>
  <c r="I75" i="189"/>
  <c r="R16" i="178"/>
  <c r="S16" i="178" s="1"/>
  <c r="G15" i="130"/>
  <c r="G8" i="131"/>
  <c r="L123" i="188"/>
  <c r="R56" i="188"/>
  <c r="S56" i="188" s="1"/>
  <c r="L116" i="188"/>
  <c r="R49" i="188"/>
  <c r="S49" i="188" s="1"/>
  <c r="O22" i="110"/>
  <c r="K87" i="189"/>
  <c r="H129" i="189"/>
  <c r="H100" i="189"/>
  <c r="O21" i="110"/>
  <c r="K86" i="189"/>
  <c r="O60" i="110"/>
  <c r="K125" i="189"/>
  <c r="O57" i="110"/>
  <c r="K122" i="189"/>
  <c r="O33" i="110"/>
  <c r="K98" i="189"/>
  <c r="K99" i="189"/>
  <c r="O34" i="110"/>
  <c r="H94" i="189"/>
  <c r="K92" i="189"/>
  <c r="O27" i="110"/>
  <c r="R7" i="185"/>
  <c r="S7" i="185" s="1"/>
  <c r="O7" i="124"/>
  <c r="O6" i="124" s="1"/>
  <c r="R9" i="185"/>
  <c r="S9" i="185" s="1"/>
  <c r="R5" i="177"/>
  <c r="S5" i="177" s="1"/>
  <c r="L104" i="188"/>
  <c r="R37" i="188"/>
  <c r="S37" i="188" s="1"/>
  <c r="F94" i="188"/>
  <c r="L119" i="188"/>
  <c r="R52" i="188"/>
  <c r="S52" i="188" s="1"/>
  <c r="K89" i="188"/>
  <c r="N24" i="110"/>
  <c r="K114" i="189"/>
  <c r="O49" i="110"/>
  <c r="O41" i="110"/>
  <c r="K106" i="189"/>
  <c r="M19" i="110"/>
  <c r="G12" i="131"/>
  <c r="L11" i="110"/>
  <c r="O25" i="110"/>
  <c r="K90" i="189"/>
  <c r="M35" i="110"/>
  <c r="R12" i="185"/>
  <c r="S12" i="185" s="1"/>
  <c r="R4" i="170"/>
  <c r="S4" i="170" s="1"/>
  <c r="N20" i="110"/>
  <c r="K85" i="188"/>
  <c r="F84" i="188"/>
  <c r="R21" i="186"/>
  <c r="S21" i="186" s="1"/>
  <c r="R53" i="186"/>
  <c r="S53" i="186" s="1"/>
  <c r="L86" i="188"/>
  <c r="R19" i="188"/>
  <c r="S19" i="188" s="1"/>
  <c r="L96" i="188"/>
  <c r="R29" i="188"/>
  <c r="S29" i="188" s="1"/>
  <c r="L114" i="188"/>
  <c r="R47" i="188"/>
  <c r="S47" i="188" s="1"/>
  <c r="K101" i="188"/>
  <c r="N36" i="110"/>
  <c r="N65" i="110"/>
  <c r="K130" i="188"/>
  <c r="F129" i="188"/>
  <c r="F121" i="189"/>
  <c r="F89" i="189"/>
  <c r="F127" i="189"/>
  <c r="L125" i="188"/>
  <c r="R58" i="188"/>
  <c r="S58" i="188" s="1"/>
  <c r="L92" i="188"/>
  <c r="R25" i="188"/>
  <c r="S25" i="188" s="1"/>
  <c r="L132" i="188"/>
  <c r="R65" i="188"/>
  <c r="S65" i="188" s="1"/>
  <c r="I76" i="189"/>
  <c r="R13" i="185"/>
  <c r="S13" i="185" s="1"/>
  <c r="G8" i="130"/>
  <c r="G13" i="131"/>
  <c r="L115" i="188"/>
  <c r="R48" i="188"/>
  <c r="S48" i="188" s="1"/>
  <c r="O44" i="110"/>
  <c r="K109" i="189"/>
  <c r="O40" i="110"/>
  <c r="K105" i="189"/>
  <c r="M61" i="110"/>
  <c r="L15" i="110"/>
  <c r="L103" i="188"/>
  <c r="R36" i="188"/>
  <c r="S36" i="188" s="1"/>
  <c r="I78" i="189"/>
  <c r="I79" i="189"/>
  <c r="I74" i="189"/>
  <c r="I73" i="189"/>
  <c r="R27" i="186"/>
  <c r="S27" i="186" s="1"/>
  <c r="M29" i="110"/>
  <c r="L91" i="188"/>
  <c r="R24" i="188"/>
  <c r="S24" i="188" s="1"/>
  <c r="L131" i="188"/>
  <c r="R64" i="188"/>
  <c r="S64" i="188" s="1"/>
  <c r="L87" i="188"/>
  <c r="R20" i="188"/>
  <c r="S20" i="188" s="1"/>
  <c r="L97" i="188"/>
  <c r="R30" i="188"/>
  <c r="S30" i="188" s="1"/>
  <c r="K115" i="189"/>
  <c r="O50" i="110"/>
  <c r="H107" i="189"/>
  <c r="L98" i="188"/>
  <c r="R31" i="188"/>
  <c r="S31" i="188" s="1"/>
  <c r="N7" i="125"/>
  <c r="N7" i="126" s="1"/>
  <c r="N6" i="121"/>
  <c r="N6" i="125" s="1"/>
  <c r="N6" i="126" s="1"/>
  <c r="N5" i="126" s="1"/>
  <c r="R62" i="186"/>
  <c r="S62" i="186" s="1"/>
  <c r="M47" i="110"/>
  <c r="K108" i="188"/>
  <c r="N43" i="110"/>
  <c r="F95" i="189"/>
  <c r="K96" i="189"/>
  <c r="O31" i="110"/>
  <c r="O66" i="110"/>
  <c r="K131" i="189"/>
  <c r="F108" i="189"/>
  <c r="L12" i="110"/>
  <c r="J7" i="110"/>
  <c r="G7" i="130"/>
  <c r="R8" i="185"/>
  <c r="S8" i="185" s="1"/>
  <c r="L111" i="188"/>
  <c r="R44" i="188"/>
  <c r="S44" i="188" s="1"/>
  <c r="L122" i="188"/>
  <c r="R55" i="188"/>
  <c r="S55" i="188" s="1"/>
  <c r="K119" i="189"/>
  <c r="O54" i="110"/>
  <c r="R59" i="186"/>
  <c r="S59" i="186" s="1"/>
  <c r="L106" i="188"/>
  <c r="R39" i="188"/>
  <c r="S39" i="188" s="1"/>
  <c r="I81" i="189"/>
  <c r="N30" i="110"/>
  <c r="K95" i="188"/>
  <c r="L110" i="188"/>
  <c r="R43" i="188"/>
  <c r="S43" i="188" s="1"/>
  <c r="F88" i="188"/>
  <c r="L10" i="110"/>
  <c r="R6" i="185"/>
  <c r="S6" i="185" s="1"/>
  <c r="H120" i="189"/>
  <c r="H88" i="189"/>
  <c r="L93" i="188"/>
  <c r="R26" i="188"/>
  <c r="S26" i="188" s="1"/>
  <c r="G9" i="131"/>
  <c r="G10" i="131"/>
  <c r="G14" i="130"/>
  <c r="G14" i="131"/>
  <c r="R14" i="185"/>
  <c r="S14" i="185" s="1"/>
  <c r="L13" i="110"/>
  <c r="R45" i="186"/>
  <c r="S45" i="186" s="1"/>
  <c r="F130" i="189"/>
  <c r="O37" i="110"/>
  <c r="K102" i="189"/>
  <c r="O53" i="110"/>
  <c r="K118" i="189"/>
  <c r="M23" i="110"/>
  <c r="F100" i="188"/>
  <c r="O51" i="110"/>
  <c r="K116" i="189"/>
  <c r="F85" i="189"/>
  <c r="R40" i="186"/>
  <c r="S40" i="186" s="1"/>
  <c r="G15" i="131"/>
  <c r="K113" i="188"/>
  <c r="N48" i="110"/>
  <c r="F112" i="188"/>
  <c r="L99" i="188"/>
  <c r="R32" i="188"/>
  <c r="S32" i="188" s="1"/>
  <c r="R10" i="185"/>
  <c r="S10" i="185" s="1"/>
  <c r="L118" i="188"/>
  <c r="R51" i="188"/>
  <c r="S51" i="188" s="1"/>
  <c r="L117" i="188"/>
  <c r="R50" i="188"/>
  <c r="S50" i="188" s="1"/>
  <c r="I80" i="189"/>
  <c r="L8" i="110"/>
  <c r="R17" i="186"/>
  <c r="S17" i="186" s="1"/>
  <c r="I6" i="110"/>
  <c r="I5" i="110" s="1"/>
  <c r="R11" i="185"/>
  <c r="S11" i="185" s="1"/>
  <c r="L109" i="188"/>
  <c r="R42" i="188"/>
  <c r="S42" i="188" s="1"/>
  <c r="O28" i="110"/>
  <c r="K93" i="189"/>
  <c r="O38" i="110"/>
  <c r="K103" i="189"/>
  <c r="O7" i="121"/>
  <c r="O18" i="125"/>
  <c r="L128" i="188"/>
  <c r="R61" i="188"/>
  <c r="S61" i="188" s="1"/>
  <c r="L16" i="110"/>
  <c r="M55" i="110"/>
  <c r="O39" i="110"/>
  <c r="K104" i="189"/>
  <c r="H126" i="189"/>
  <c r="H84" i="189"/>
  <c r="H112" i="189"/>
  <c r="O67" i="110"/>
  <c r="K132" i="189"/>
  <c r="N18" i="126"/>
  <c r="L105" i="188"/>
  <c r="R38" i="188"/>
  <c r="S38" i="188" s="1"/>
  <c r="K4" i="213" l="1"/>
  <c r="K116" i="200" s="1"/>
  <c r="K117" i="200"/>
  <c r="D4" i="213"/>
  <c r="D71" i="213"/>
  <c r="K4" i="212"/>
  <c r="K84" i="200" s="1"/>
  <c r="K85" i="200"/>
  <c r="D4" i="212"/>
  <c r="D85" i="200"/>
  <c r="D71" i="212"/>
  <c r="H117" i="212"/>
  <c r="H117" i="213"/>
  <c r="H116" i="212"/>
  <c r="H116" i="213"/>
  <c r="H122" i="212"/>
  <c r="H122" i="213"/>
  <c r="H96" i="212"/>
  <c r="H96" i="213"/>
  <c r="H110" i="212"/>
  <c r="H110" i="213"/>
  <c r="I120" i="212"/>
  <c r="I120" i="213"/>
  <c r="H86" i="212"/>
  <c r="H86" i="213"/>
  <c r="H97" i="212"/>
  <c r="H97" i="213"/>
  <c r="H95" i="212"/>
  <c r="H95" i="213"/>
  <c r="H123" i="212"/>
  <c r="H123" i="213"/>
  <c r="H98" i="212"/>
  <c r="H98" i="213"/>
  <c r="I94" i="212"/>
  <c r="I94" i="213"/>
  <c r="H131" i="212"/>
  <c r="H131" i="213"/>
  <c r="H103" i="212"/>
  <c r="H103" i="213"/>
  <c r="I84" i="212"/>
  <c r="I84" i="213"/>
  <c r="H90" i="212"/>
  <c r="H90" i="213"/>
  <c r="I107" i="212"/>
  <c r="I107" i="213"/>
  <c r="H102" i="212"/>
  <c r="H102" i="213"/>
  <c r="H115" i="212"/>
  <c r="H115" i="213"/>
  <c r="H124" i="212"/>
  <c r="H124" i="213"/>
  <c r="H89" i="212"/>
  <c r="H89" i="213"/>
  <c r="H85" i="212"/>
  <c r="H85" i="213"/>
  <c r="I126" i="212"/>
  <c r="I126" i="213"/>
  <c r="I129" i="212"/>
  <c r="I129" i="213"/>
  <c r="H109" i="212"/>
  <c r="H109" i="213"/>
  <c r="H130" i="212"/>
  <c r="H130" i="213"/>
  <c r="H104" i="212"/>
  <c r="H104" i="213"/>
  <c r="H91" i="212"/>
  <c r="H91" i="213"/>
  <c r="H114" i="212"/>
  <c r="H114" i="213"/>
  <c r="H92" i="212"/>
  <c r="H92" i="213"/>
  <c r="H121" i="212"/>
  <c r="H121" i="213"/>
  <c r="I112" i="212"/>
  <c r="I112" i="213"/>
  <c r="I100" i="212"/>
  <c r="I100" i="213"/>
  <c r="H108" i="212"/>
  <c r="H108" i="213"/>
  <c r="I88" i="212"/>
  <c r="I88" i="213"/>
  <c r="H105" i="212"/>
  <c r="H105" i="213"/>
  <c r="H101" i="212"/>
  <c r="H101" i="213"/>
  <c r="H113" i="212"/>
  <c r="H113" i="213"/>
  <c r="H118" i="212"/>
  <c r="H118" i="213"/>
  <c r="H127" i="212"/>
  <c r="H127" i="213"/>
  <c r="G28" i="132"/>
  <c r="G54" i="132"/>
  <c r="V29" i="130"/>
  <c r="V38" i="130"/>
  <c r="V19" i="130"/>
  <c r="V48" i="130"/>
  <c r="V45" i="130"/>
  <c r="V62" i="130"/>
  <c r="V24" i="130"/>
  <c r="V47" i="130"/>
  <c r="V53" i="130"/>
  <c r="V50" i="130"/>
  <c r="V26" i="130"/>
  <c r="V66" i="130"/>
  <c r="V49" i="130"/>
  <c r="V36" i="130"/>
  <c r="V35" i="130"/>
  <c r="V39" i="130"/>
  <c r="V56" i="130"/>
  <c r="V23" i="130"/>
  <c r="V33" i="130"/>
  <c r="V32" i="130"/>
  <c r="V21" i="130"/>
  <c r="V40" i="130"/>
  <c r="V43" i="130"/>
  <c r="V37" i="130"/>
  <c r="V51" i="130"/>
  <c r="V64" i="130"/>
  <c r="V61" i="130"/>
  <c r="V57" i="130"/>
  <c r="V59" i="130"/>
  <c r="V65" i="130"/>
  <c r="V20" i="130"/>
  <c r="V58" i="130"/>
  <c r="V30" i="130"/>
  <c r="V42" i="130"/>
  <c r="V55" i="130"/>
  <c r="V52" i="130"/>
  <c r="V44" i="130"/>
  <c r="V31" i="130"/>
  <c r="V25" i="130"/>
  <c r="V27" i="130"/>
  <c r="H108" i="211"/>
  <c r="H101" i="211"/>
  <c r="H118" i="211"/>
  <c r="H127" i="211"/>
  <c r="H91" i="211"/>
  <c r="H92" i="211"/>
  <c r="H121" i="211"/>
  <c r="H116" i="211"/>
  <c r="H109" i="211"/>
  <c r="H131" i="211"/>
  <c r="I112" i="211"/>
  <c r="H98" i="211"/>
  <c r="I94" i="211"/>
  <c r="H130" i="211"/>
  <c r="H104" i="211"/>
  <c r="H113" i="211"/>
  <c r="H117" i="211"/>
  <c r="I126" i="211"/>
  <c r="H122" i="211"/>
  <c r="H96" i="211"/>
  <c r="H110" i="211"/>
  <c r="I120" i="211"/>
  <c r="H86" i="211"/>
  <c r="H97" i="211"/>
  <c r="H95" i="211"/>
  <c r="H123" i="211"/>
  <c r="I100" i="211"/>
  <c r="H105" i="211"/>
  <c r="H114" i="211"/>
  <c r="I129" i="211"/>
  <c r="I88" i="211"/>
  <c r="H103" i="211"/>
  <c r="I84" i="211"/>
  <c r="H90" i="211"/>
  <c r="I107" i="211"/>
  <c r="H102" i="211"/>
  <c r="H115" i="211"/>
  <c r="H124" i="211"/>
  <c r="H89" i="211"/>
  <c r="H85" i="211"/>
  <c r="G46" i="132"/>
  <c r="G34" i="132"/>
  <c r="G60" i="132"/>
  <c r="G18" i="132"/>
  <c r="D52" i="200"/>
  <c r="G22" i="132"/>
  <c r="N57" i="211"/>
  <c r="GM59" i="129"/>
  <c r="N56" i="211"/>
  <c r="GM58" i="129"/>
  <c r="N64" i="211"/>
  <c r="GM66" i="129"/>
  <c r="N31" i="211"/>
  <c r="GM33" i="129"/>
  <c r="N43" i="211"/>
  <c r="GM45" i="129"/>
  <c r="N24" i="211"/>
  <c r="GM26" i="129"/>
  <c r="N65" i="211"/>
  <c r="GM67" i="129"/>
  <c r="N48" i="211"/>
  <c r="GM50" i="129"/>
  <c r="N35" i="211"/>
  <c r="GM37" i="129"/>
  <c r="GM43" i="129"/>
  <c r="N41" i="211"/>
  <c r="GO42" i="129"/>
  <c r="GO29" i="129"/>
  <c r="N28" i="211"/>
  <c r="GM30" i="129"/>
  <c r="GO19" i="129"/>
  <c r="N18" i="211"/>
  <c r="GM20" i="129"/>
  <c r="N44" i="211"/>
  <c r="GM46" i="129"/>
  <c r="N34" i="211"/>
  <c r="GM36" i="129"/>
  <c r="GO35" i="129"/>
  <c r="N55" i="211"/>
  <c r="GM57" i="129"/>
  <c r="N32" i="211"/>
  <c r="GM34" i="129"/>
  <c r="GO61" i="129"/>
  <c r="GM62" i="129"/>
  <c r="N60" i="211"/>
  <c r="N58" i="211"/>
  <c r="GM60" i="129"/>
  <c r="N19" i="211"/>
  <c r="GM21" i="129"/>
  <c r="N51" i="211"/>
  <c r="GM53" i="129"/>
  <c r="N30" i="211"/>
  <c r="GM32" i="129"/>
  <c r="N26" i="211"/>
  <c r="GM28" i="129"/>
  <c r="N49" i="211"/>
  <c r="GM51" i="129"/>
  <c r="N61" i="211"/>
  <c r="GM63" i="129"/>
  <c r="N20" i="211"/>
  <c r="GM22" i="129"/>
  <c r="N42" i="211"/>
  <c r="GM44" i="129"/>
  <c r="N23" i="211"/>
  <c r="GM25" i="129"/>
  <c r="GO47" i="129"/>
  <c r="N46" i="211"/>
  <c r="GM48" i="129"/>
  <c r="N25" i="211"/>
  <c r="GM27" i="129"/>
  <c r="GM56" i="129"/>
  <c r="N54" i="211"/>
  <c r="GO55" i="129"/>
  <c r="N36" i="211"/>
  <c r="GM38" i="129"/>
  <c r="N39" i="211"/>
  <c r="GM41" i="129"/>
  <c r="N52" i="211"/>
  <c r="GM54" i="129"/>
  <c r="N29" i="211"/>
  <c r="GM31" i="129"/>
  <c r="N50" i="211"/>
  <c r="GM52" i="129"/>
  <c r="N63" i="211"/>
  <c r="GO64" i="129"/>
  <c r="GM65" i="129"/>
  <c r="G63" i="132"/>
  <c r="N37" i="211"/>
  <c r="GM39" i="129"/>
  <c r="N47" i="211"/>
  <c r="GM49" i="129"/>
  <c r="N38" i="211"/>
  <c r="GM40" i="129"/>
  <c r="GO23" i="129"/>
  <c r="GM24" i="129"/>
  <c r="N22" i="211"/>
  <c r="FN38" i="129"/>
  <c r="N16" i="134"/>
  <c r="N67" i="134" s="1"/>
  <c r="N69" i="134" s="1"/>
  <c r="G41" i="132"/>
  <c r="AT17" i="129"/>
  <c r="FD32" i="129"/>
  <c r="FD67" i="129"/>
  <c r="FD37" i="129"/>
  <c r="FD51" i="129"/>
  <c r="FD25" i="129"/>
  <c r="FD26" i="129"/>
  <c r="FD27" i="129"/>
  <c r="FD58" i="129"/>
  <c r="FD50" i="129"/>
  <c r="FD54" i="129"/>
  <c r="FD52" i="129"/>
  <c r="FD59" i="129"/>
  <c r="FD33" i="129"/>
  <c r="FD21" i="129"/>
  <c r="FD53" i="129"/>
  <c r="FD63" i="129"/>
  <c r="FD40" i="129"/>
  <c r="FD44" i="129"/>
  <c r="FD46" i="129"/>
  <c r="FD45" i="129"/>
  <c r="FD41" i="129"/>
  <c r="FD38" i="129"/>
  <c r="FD34" i="129"/>
  <c r="FD60" i="129"/>
  <c r="FD66" i="129"/>
  <c r="FD22" i="129"/>
  <c r="FD49" i="129"/>
  <c r="FD57" i="129"/>
  <c r="FD31" i="129"/>
  <c r="FD28" i="129"/>
  <c r="FD39" i="129"/>
  <c r="H104" i="207"/>
  <c r="H116" i="207"/>
  <c r="H121" i="207"/>
  <c r="H108" i="207"/>
  <c r="H115" i="207"/>
  <c r="H98" i="207"/>
  <c r="H97" i="207"/>
  <c r="H90" i="207"/>
  <c r="H130" i="207"/>
  <c r="H86" i="207"/>
  <c r="H102" i="207"/>
  <c r="H117" i="207"/>
  <c r="H96" i="207"/>
  <c r="H91" i="207"/>
  <c r="H109" i="207"/>
  <c r="H95" i="207"/>
  <c r="H105" i="207"/>
  <c r="H101" i="207"/>
  <c r="H114" i="207"/>
  <c r="H103" i="207"/>
  <c r="H123" i="207"/>
  <c r="H92" i="207"/>
  <c r="H110" i="207"/>
  <c r="H127" i="207"/>
  <c r="H113" i="207"/>
  <c r="H122" i="207"/>
  <c r="H131" i="207"/>
  <c r="H89" i="207"/>
  <c r="H124" i="207"/>
  <c r="H85" i="207"/>
  <c r="H118" i="207"/>
  <c r="FN49" i="129"/>
  <c r="FN28" i="129"/>
  <c r="F17" i="130"/>
  <c r="AJ7" i="129"/>
  <c r="AJ6" i="129" s="1"/>
  <c r="FN67" i="129"/>
  <c r="FN66" i="129"/>
  <c r="FN54" i="129"/>
  <c r="T26" i="126"/>
  <c r="H86" i="205"/>
  <c r="T22" i="126"/>
  <c r="H117" i="205"/>
  <c r="T53" i="126"/>
  <c r="H91" i="205"/>
  <c r="T27" i="126"/>
  <c r="H95" i="205"/>
  <c r="T31" i="126"/>
  <c r="T55" i="121"/>
  <c r="T56" i="125"/>
  <c r="T63" i="124"/>
  <c r="T50" i="124"/>
  <c r="T33" i="124"/>
  <c r="T28" i="124"/>
  <c r="T43" i="124"/>
  <c r="I107" i="207" s="1"/>
  <c r="T65" i="124"/>
  <c r="I129" i="207" s="1"/>
  <c r="T53" i="124"/>
  <c r="T44" i="124"/>
  <c r="T37" i="124"/>
  <c r="T52" i="124"/>
  <c r="T49" i="124"/>
  <c r="T21" i="124"/>
  <c r="T67" i="124"/>
  <c r="T27" i="124"/>
  <c r="T60" i="124"/>
  <c r="T62" i="124"/>
  <c r="I126" i="207" s="1"/>
  <c r="T56" i="124"/>
  <c r="I120" i="207" s="1"/>
  <c r="T32" i="124"/>
  <c r="T41" i="124"/>
  <c r="T58" i="124"/>
  <c r="T54" i="124"/>
  <c r="T24" i="124"/>
  <c r="I88" i="207" s="1"/>
  <c r="T20" i="124"/>
  <c r="I84" i="207" s="1"/>
  <c r="T46" i="124"/>
  <c r="T48" i="124"/>
  <c r="I112" i="207" s="1"/>
  <c r="T25" i="124"/>
  <c r="T45" i="124"/>
  <c r="T22" i="124"/>
  <c r="T38" i="124"/>
  <c r="T51" i="124"/>
  <c r="T36" i="124"/>
  <c r="I100" i="207" s="1"/>
  <c r="T59" i="124"/>
  <c r="T34" i="124"/>
  <c r="T57" i="124"/>
  <c r="T31" i="124"/>
  <c r="T30" i="124"/>
  <c r="I94" i="207" s="1"/>
  <c r="T40" i="124"/>
  <c r="T39" i="124"/>
  <c r="T26" i="124"/>
  <c r="T66" i="124"/>
  <c r="H123" i="205"/>
  <c r="T59" i="126"/>
  <c r="H122" i="205"/>
  <c r="T58" i="126"/>
  <c r="T19" i="121"/>
  <c r="T20" i="125"/>
  <c r="H124" i="205"/>
  <c r="T60" i="126"/>
  <c r="T47" i="121"/>
  <c r="T48" i="125"/>
  <c r="T65" i="125"/>
  <c r="T64" i="121"/>
  <c r="T43" i="125"/>
  <c r="T42" i="121"/>
  <c r="H104" i="205"/>
  <c r="T40" i="126"/>
  <c r="H121" i="205"/>
  <c r="T57" i="126"/>
  <c r="H115" i="205"/>
  <c r="T51" i="126"/>
  <c r="T23" i="121"/>
  <c r="T24" i="125"/>
  <c r="H97" i="205"/>
  <c r="T33" i="126"/>
  <c r="H92" i="205"/>
  <c r="T28" i="126"/>
  <c r="H130" i="205"/>
  <c r="T66" i="126"/>
  <c r="H102" i="205"/>
  <c r="T38" i="126"/>
  <c r="H96" i="205"/>
  <c r="T32" i="126"/>
  <c r="H109" i="205"/>
  <c r="T45" i="126"/>
  <c r="H105" i="205"/>
  <c r="T41" i="126"/>
  <c r="T37" i="126"/>
  <c r="H114" i="205"/>
  <c r="T50" i="126"/>
  <c r="T39" i="126"/>
  <c r="T61" i="121"/>
  <c r="T62" i="125"/>
  <c r="H110" i="205"/>
  <c r="T46" i="126"/>
  <c r="H127" i="205"/>
  <c r="T63" i="126"/>
  <c r="H113" i="205"/>
  <c r="T49" i="126"/>
  <c r="T67" i="126"/>
  <c r="H89" i="205"/>
  <c r="T25" i="126"/>
  <c r="H85" i="205"/>
  <c r="T21" i="126"/>
  <c r="H118" i="205"/>
  <c r="T54" i="126"/>
  <c r="T35" i="121"/>
  <c r="T36" i="125"/>
  <c r="H116" i="205"/>
  <c r="T52" i="126"/>
  <c r="H108" i="205"/>
  <c r="T44" i="126"/>
  <c r="T30" i="125"/>
  <c r="T29" i="121"/>
  <c r="H98" i="205"/>
  <c r="T34" i="126"/>
  <c r="FN21" i="129"/>
  <c r="FN58" i="129"/>
  <c r="FN37" i="129"/>
  <c r="FN39" i="129"/>
  <c r="FN59" i="129"/>
  <c r="FN50" i="129"/>
  <c r="FN34" i="129"/>
  <c r="FN46" i="129"/>
  <c r="FN40" i="129"/>
  <c r="FN63" i="129"/>
  <c r="FN53" i="129"/>
  <c r="FN60" i="129"/>
  <c r="FN51" i="129"/>
  <c r="FN31" i="129"/>
  <c r="FN33" i="129"/>
  <c r="FN41" i="129"/>
  <c r="FN27" i="129"/>
  <c r="FN57" i="129"/>
  <c r="FN32" i="129"/>
  <c r="FN52" i="129"/>
  <c r="FN25" i="129"/>
  <c r="FN26" i="129"/>
  <c r="FN44" i="129"/>
  <c r="FN45" i="129"/>
  <c r="BC18" i="129"/>
  <c r="BC17" i="129" s="1"/>
  <c r="D7" i="131"/>
  <c r="D7" i="132" s="1"/>
  <c r="O18" i="129"/>
  <c r="O17" i="129" s="1"/>
  <c r="C7" i="131"/>
  <c r="C7" i="132" s="1"/>
  <c r="E18" i="129"/>
  <c r="E17" i="129" s="1"/>
  <c r="H122" i="194"/>
  <c r="H108" i="194"/>
  <c r="H96" i="194"/>
  <c r="H86" i="194"/>
  <c r="H101" i="194"/>
  <c r="H91" i="194"/>
  <c r="H117" i="194"/>
  <c r="H114" i="194"/>
  <c r="DP29" i="129"/>
  <c r="DP10" i="129" s="1"/>
  <c r="DZ24" i="129"/>
  <c r="DS24" i="129" s="1"/>
  <c r="DP64" i="129"/>
  <c r="DP16" i="129" s="1"/>
  <c r="DP47" i="129"/>
  <c r="DP13" i="129" s="1"/>
  <c r="DP35" i="129"/>
  <c r="DP11" i="129" s="1"/>
  <c r="DP61" i="129"/>
  <c r="DP15" i="129" s="1"/>
  <c r="DP19" i="129"/>
  <c r="DP8" i="129" s="1"/>
  <c r="DP55" i="129"/>
  <c r="DP14" i="129" s="1"/>
  <c r="L67" i="185"/>
  <c r="L69" i="185" s="1"/>
  <c r="DP23" i="129"/>
  <c r="DP9" i="129" s="1"/>
  <c r="H67" i="188"/>
  <c r="H69" i="188" s="1"/>
  <c r="DP42" i="129"/>
  <c r="DP12" i="129" s="1"/>
  <c r="I67" i="189"/>
  <c r="I69" i="189" s="1"/>
  <c r="S3" i="170"/>
  <c r="O6" i="134"/>
  <c r="O8" i="134"/>
  <c r="O10" i="134"/>
  <c r="O12" i="134"/>
  <c r="O14" i="134"/>
  <c r="O14" i="151"/>
  <c r="O10" i="151"/>
  <c r="O11" i="151"/>
  <c r="O9" i="151"/>
  <c r="O7" i="151"/>
  <c r="O7" i="134"/>
  <c r="O9" i="134"/>
  <c r="O11" i="134"/>
  <c r="O13" i="134"/>
  <c r="O12" i="151"/>
  <c r="O8" i="151"/>
  <c r="O13" i="151"/>
  <c r="M12" i="153"/>
  <c r="O53" i="153"/>
  <c r="O6" i="151"/>
  <c r="N5" i="151"/>
  <c r="N67" i="151"/>
  <c r="N69" i="151" s="1"/>
  <c r="M13" i="153"/>
  <c r="O59" i="153"/>
  <c r="M10" i="153"/>
  <c r="O40" i="153"/>
  <c r="M13" i="152"/>
  <c r="O59" i="152"/>
  <c r="M7" i="153"/>
  <c r="O21" i="153"/>
  <c r="M6" i="152"/>
  <c r="O17" i="152"/>
  <c r="M12" i="152"/>
  <c r="O53" i="152"/>
  <c r="Y7" i="129"/>
  <c r="M16" i="151"/>
  <c r="E17" i="131"/>
  <c r="E17" i="132" s="1"/>
  <c r="E6" i="130"/>
  <c r="Z6" i="129"/>
  <c r="M8" i="152"/>
  <c r="O27" i="152"/>
  <c r="M8" i="153"/>
  <c r="O27" i="153"/>
  <c r="M7" i="152"/>
  <c r="O21" i="152"/>
  <c r="N16" i="152"/>
  <c r="D17" i="130"/>
  <c r="P7" i="129"/>
  <c r="P17" i="129"/>
  <c r="M6" i="153"/>
  <c r="O17" i="153"/>
  <c r="M9" i="153"/>
  <c r="O33" i="153"/>
  <c r="M11" i="153"/>
  <c r="O45" i="153"/>
  <c r="M10" i="152"/>
  <c r="O40" i="152"/>
  <c r="M9" i="152"/>
  <c r="O33" i="152"/>
  <c r="M14" i="152"/>
  <c r="O62" i="152"/>
  <c r="M11" i="152"/>
  <c r="O45" i="152"/>
  <c r="M14" i="153"/>
  <c r="O62" i="153"/>
  <c r="F7" i="129"/>
  <c r="N16" i="153"/>
  <c r="C17" i="130"/>
  <c r="O59" i="157"/>
  <c r="M13" i="157"/>
  <c r="O27" i="157"/>
  <c r="M8" i="157"/>
  <c r="O17" i="157"/>
  <c r="M6" i="157"/>
  <c r="O21" i="157"/>
  <c r="M7" i="157"/>
  <c r="O62" i="157"/>
  <c r="M14" i="157"/>
  <c r="CE18" i="129"/>
  <c r="CF18" i="129" s="1"/>
  <c r="O33" i="157"/>
  <c r="M9" i="157"/>
  <c r="O45" i="157"/>
  <c r="M11" i="157"/>
  <c r="O53" i="157"/>
  <c r="M12" i="157"/>
  <c r="O40" i="157"/>
  <c r="M10" i="157"/>
  <c r="BD18" i="129"/>
  <c r="AI7" i="129"/>
  <c r="F17" i="131"/>
  <c r="M16" i="134"/>
  <c r="I88" i="194"/>
  <c r="I120" i="194"/>
  <c r="H121" i="194"/>
  <c r="H116" i="194"/>
  <c r="I107" i="194"/>
  <c r="H102" i="194"/>
  <c r="H89" i="194"/>
  <c r="H130" i="194"/>
  <c r="H131" i="194"/>
  <c r="H98" i="194"/>
  <c r="H105" i="194"/>
  <c r="H118" i="194"/>
  <c r="H123" i="194"/>
  <c r="DZ48" i="129"/>
  <c r="DZ36" i="129"/>
  <c r="DS33" i="129"/>
  <c r="DT33" i="129" s="1"/>
  <c r="DS46" i="129"/>
  <c r="DT46" i="129" s="1"/>
  <c r="CZ19" i="129"/>
  <c r="CZ8" i="129" s="1"/>
  <c r="CZ42" i="129"/>
  <c r="CZ12" i="129" s="1"/>
  <c r="BL7" i="129"/>
  <c r="BL6" i="129" s="1"/>
  <c r="BL1" i="129" s="1"/>
  <c r="DI29" i="129"/>
  <c r="DI10" i="129" s="1"/>
  <c r="DJ30" i="129"/>
  <c r="DI55" i="129"/>
  <c r="DI14" i="129" s="1"/>
  <c r="DJ56" i="129"/>
  <c r="BN47" i="129"/>
  <c r="BN13" i="129" s="1"/>
  <c r="BM13" i="129"/>
  <c r="BN55" i="129"/>
  <c r="BN14" i="129" s="1"/>
  <c r="BM14" i="129"/>
  <c r="DS28" i="129"/>
  <c r="DT28" i="129" s="1"/>
  <c r="DI20" i="129"/>
  <c r="DS37" i="129"/>
  <c r="DT37" i="129" s="1"/>
  <c r="DS32" i="129"/>
  <c r="DT32" i="129" s="1"/>
  <c r="DS26" i="129"/>
  <c r="DT26" i="129" s="1"/>
  <c r="DZ56" i="129"/>
  <c r="BX34" i="129"/>
  <c r="BX51" i="129"/>
  <c r="BX50" i="129"/>
  <c r="BX31" i="129"/>
  <c r="BX28" i="129"/>
  <c r="BX27" i="129"/>
  <c r="BX33" i="129"/>
  <c r="BX63" i="129"/>
  <c r="BX39" i="129"/>
  <c r="BX45" i="129"/>
  <c r="BX49" i="129"/>
  <c r="BX53" i="129"/>
  <c r="BX66" i="129"/>
  <c r="BX40" i="129"/>
  <c r="BX26" i="129"/>
  <c r="BX21" i="129"/>
  <c r="BX22" i="129"/>
  <c r="BX57" i="129"/>
  <c r="BX37" i="129"/>
  <c r="BX59" i="129"/>
  <c r="BX54" i="129"/>
  <c r="BX41" i="129"/>
  <c r="BX58" i="129"/>
  <c r="BX25" i="129"/>
  <c r="BX32" i="129"/>
  <c r="BX46" i="129"/>
  <c r="BX44" i="129"/>
  <c r="BX67" i="129"/>
  <c r="BX52" i="129"/>
  <c r="BX38" i="129"/>
  <c r="BX60" i="129"/>
  <c r="BX48" i="129"/>
  <c r="BX43" i="129"/>
  <c r="BX20" i="129"/>
  <c r="BX36" i="129"/>
  <c r="BX24" i="129"/>
  <c r="BX30" i="129"/>
  <c r="BX65" i="129"/>
  <c r="BX56" i="129"/>
  <c r="BX62" i="129"/>
  <c r="CZ47" i="129"/>
  <c r="CZ13" i="129" s="1"/>
  <c r="DI64" i="129"/>
  <c r="DI16" i="129" s="1"/>
  <c r="DJ65" i="129"/>
  <c r="DJ64" i="129" s="1"/>
  <c r="DJ16" i="129" s="1"/>
  <c r="DS50" i="129"/>
  <c r="DT50" i="129" s="1"/>
  <c r="DS44" i="129"/>
  <c r="DT44" i="129" s="1"/>
  <c r="DS25" i="129"/>
  <c r="DT25" i="129" s="1"/>
  <c r="DS54" i="129"/>
  <c r="DT54" i="129" s="1"/>
  <c r="DS66" i="129"/>
  <c r="DT66" i="129" s="1"/>
  <c r="CL7" i="129"/>
  <c r="CL6" i="129" s="1"/>
  <c r="CL1" i="129" s="1"/>
  <c r="BN23" i="129"/>
  <c r="BN9" i="129" s="1"/>
  <c r="BM9" i="129"/>
  <c r="BN42" i="129"/>
  <c r="BN12" i="129" s="1"/>
  <c r="BM12" i="129"/>
  <c r="BM15" i="129"/>
  <c r="BN61" i="129"/>
  <c r="BN15" i="129" s="1"/>
  <c r="CZ35" i="129"/>
  <c r="CZ11" i="129" s="1"/>
  <c r="CZ55" i="129"/>
  <c r="CZ14" i="129" s="1"/>
  <c r="DS41" i="129"/>
  <c r="DT41" i="129" s="1"/>
  <c r="DS27" i="129"/>
  <c r="DT27" i="129" s="1"/>
  <c r="DS57" i="129"/>
  <c r="DT57" i="129" s="1"/>
  <c r="DS45" i="129"/>
  <c r="DT45" i="129" s="1"/>
  <c r="DI47" i="129"/>
  <c r="DI13" i="129" s="1"/>
  <c r="DJ48" i="129"/>
  <c r="DZ65" i="129"/>
  <c r="BU7" i="129"/>
  <c r="BU6" i="129" s="1"/>
  <c r="BU1" i="129" s="1"/>
  <c r="DS49" i="129"/>
  <c r="DT49" i="129" s="1"/>
  <c r="DS60" i="129"/>
  <c r="DT60" i="129" s="1"/>
  <c r="BN35" i="129"/>
  <c r="BN11" i="129" s="1"/>
  <c r="BM11" i="129"/>
  <c r="BM10" i="129"/>
  <c r="BN29" i="129"/>
  <c r="BN10" i="129" s="1"/>
  <c r="DS39" i="129"/>
  <c r="DT39" i="129" s="1"/>
  <c r="DS40" i="129"/>
  <c r="DT40" i="129" s="1"/>
  <c r="DS53" i="129"/>
  <c r="DT53" i="129" s="1"/>
  <c r="DS22" i="129"/>
  <c r="DT22" i="129" s="1"/>
  <c r="DS58" i="129"/>
  <c r="DT58" i="129" s="1"/>
  <c r="DZ20" i="129"/>
  <c r="DZ43" i="129"/>
  <c r="DZ30" i="129"/>
  <c r="K67" i="186"/>
  <c r="K69" i="186" s="1"/>
  <c r="CV18" i="129"/>
  <c r="DZ62" i="129"/>
  <c r="DI42" i="129"/>
  <c r="DI12" i="129" s="1"/>
  <c r="DJ43" i="129"/>
  <c r="DJ42" i="129" s="1"/>
  <c r="DJ12" i="129" s="1"/>
  <c r="DS67" i="129"/>
  <c r="DT67" i="129" s="1"/>
  <c r="DS38" i="129"/>
  <c r="DT38" i="129" s="1"/>
  <c r="DS51" i="129"/>
  <c r="DT51" i="129" s="1"/>
  <c r="DS59" i="129"/>
  <c r="DT59" i="129" s="1"/>
  <c r="DS63" i="129"/>
  <c r="DT63" i="129" s="1"/>
  <c r="BM16" i="129"/>
  <c r="BN64" i="129"/>
  <c r="BN16" i="129" s="1"/>
  <c r="BN19" i="129"/>
  <c r="BN8" i="129" s="1"/>
  <c r="BM8" i="129"/>
  <c r="CZ23" i="129"/>
  <c r="CZ9" i="129" s="1"/>
  <c r="DI24" i="129"/>
  <c r="DS34" i="129"/>
  <c r="DT34" i="129" s="1"/>
  <c r="DS31" i="129"/>
  <c r="DT31" i="129" s="1"/>
  <c r="DS52" i="129"/>
  <c r="DT52" i="129" s="1"/>
  <c r="DI35" i="129"/>
  <c r="DI11" i="129" s="1"/>
  <c r="DJ36" i="129"/>
  <c r="DI61" i="129"/>
  <c r="DI15" i="129" s="1"/>
  <c r="DJ62" i="129"/>
  <c r="I129" i="194"/>
  <c r="I84" i="194"/>
  <c r="I100" i="194"/>
  <c r="H92" i="194"/>
  <c r="H103" i="194"/>
  <c r="H90" i="194"/>
  <c r="H115" i="194"/>
  <c r="H124" i="194"/>
  <c r="H109" i="194"/>
  <c r="H85" i="194"/>
  <c r="I112" i="194"/>
  <c r="H104" i="194"/>
  <c r="H110" i="194"/>
  <c r="H113" i="194"/>
  <c r="H97" i="194"/>
  <c r="H95" i="194"/>
  <c r="H127" i="194"/>
  <c r="I126" i="194"/>
  <c r="I94" i="194"/>
  <c r="S15" i="124"/>
  <c r="S11" i="124"/>
  <c r="S48" i="126"/>
  <c r="S10" i="124"/>
  <c r="S19" i="125"/>
  <c r="S8" i="121"/>
  <c r="S12" i="124"/>
  <c r="S47" i="125"/>
  <c r="S13" i="121"/>
  <c r="S13" i="125" s="1"/>
  <c r="S13" i="126" s="1"/>
  <c r="S20" i="126"/>
  <c r="S23" i="125"/>
  <c r="S9" i="121"/>
  <c r="S9" i="125" s="1"/>
  <c r="S9" i="126" s="1"/>
  <c r="S43" i="126"/>
  <c r="S35" i="125"/>
  <c r="S11" i="121"/>
  <c r="S11" i="125" s="1"/>
  <c r="S11" i="126" s="1"/>
  <c r="S9" i="124"/>
  <c r="S16" i="124"/>
  <c r="S14" i="124"/>
  <c r="S14" i="121"/>
  <c r="S14" i="125" s="1"/>
  <c r="S14" i="126" s="1"/>
  <c r="S55" i="125"/>
  <c r="S16" i="121"/>
  <c r="S16" i="125" s="1"/>
  <c r="S16" i="126" s="1"/>
  <c r="S64" i="125"/>
  <c r="S29" i="125"/>
  <c r="S10" i="121"/>
  <c r="S10" i="125" s="1"/>
  <c r="S10" i="126" s="1"/>
  <c r="S15" i="121"/>
  <c r="S15" i="125" s="1"/>
  <c r="S15" i="126" s="1"/>
  <c r="S61" i="125"/>
  <c r="S8" i="124"/>
  <c r="S24" i="126"/>
  <c r="S42" i="125"/>
  <c r="S12" i="121"/>
  <c r="S12" i="125" s="1"/>
  <c r="S12" i="126" s="1"/>
  <c r="S36" i="126"/>
  <c r="S56" i="126"/>
  <c r="S65" i="126"/>
  <c r="S13" i="124"/>
  <c r="S30" i="126"/>
  <c r="S62" i="126"/>
  <c r="I126" i="192"/>
  <c r="H103" i="192"/>
  <c r="H121" i="192"/>
  <c r="Q24" i="126"/>
  <c r="Q29" i="125"/>
  <c r="Q10" i="121"/>
  <c r="Q10" i="125" s="1"/>
  <c r="Q10" i="126" s="1"/>
  <c r="I129" i="192"/>
  <c r="I84" i="192"/>
  <c r="H116" i="192"/>
  <c r="H90" i="192"/>
  <c r="Q62" i="126"/>
  <c r="Q14" i="121"/>
  <c r="Q14" i="125" s="1"/>
  <c r="Q14" i="126" s="1"/>
  <c r="Q55" i="125"/>
  <c r="I107" i="192"/>
  <c r="Q13" i="121"/>
  <c r="Q13" i="125" s="1"/>
  <c r="Q13" i="126" s="1"/>
  <c r="Q47" i="125"/>
  <c r="H102" i="192"/>
  <c r="H115" i="192"/>
  <c r="Q11" i="121"/>
  <c r="Q11" i="125" s="1"/>
  <c r="Q11" i="126" s="1"/>
  <c r="Q35" i="125"/>
  <c r="H124" i="192"/>
  <c r="H109" i="192"/>
  <c r="H89" i="192"/>
  <c r="H85" i="192"/>
  <c r="Q11" i="124"/>
  <c r="H130" i="192"/>
  <c r="Q9" i="124"/>
  <c r="Q14" i="124"/>
  <c r="H131" i="192"/>
  <c r="I112" i="192"/>
  <c r="Q20" i="126"/>
  <c r="Q43" i="126"/>
  <c r="H98" i="192"/>
  <c r="Q65" i="126"/>
  <c r="I94" i="192"/>
  <c r="H104" i="192"/>
  <c r="I100" i="192"/>
  <c r="H122" i="192"/>
  <c r="H108" i="192"/>
  <c r="H96" i="192"/>
  <c r="H110" i="192"/>
  <c r="I88" i="192"/>
  <c r="I120" i="192"/>
  <c r="H105" i="192"/>
  <c r="H86" i="192"/>
  <c r="H101" i="192"/>
  <c r="H113" i="192"/>
  <c r="Q13" i="124"/>
  <c r="Q8" i="121"/>
  <c r="Q19" i="125"/>
  <c r="H97" i="192"/>
  <c r="Q42" i="125"/>
  <c r="Q12" i="121"/>
  <c r="Q12" i="125" s="1"/>
  <c r="Q12" i="126" s="1"/>
  <c r="Q16" i="121"/>
  <c r="Q16" i="125" s="1"/>
  <c r="Q16" i="126" s="1"/>
  <c r="Q64" i="125"/>
  <c r="Q10" i="124"/>
  <c r="H118" i="192"/>
  <c r="H95" i="192"/>
  <c r="H123" i="192"/>
  <c r="H127" i="192"/>
  <c r="Q15" i="124"/>
  <c r="Q9" i="121"/>
  <c r="Q9" i="125" s="1"/>
  <c r="Q9" i="126" s="1"/>
  <c r="Q23" i="125"/>
  <c r="H91" i="192"/>
  <c r="Q30" i="126"/>
  <c r="Q16" i="124"/>
  <c r="Q8" i="124"/>
  <c r="H117" i="192"/>
  <c r="Q15" i="121"/>
  <c r="Q15" i="125" s="1"/>
  <c r="Q15" i="126" s="1"/>
  <c r="Q61" i="125"/>
  <c r="Q56" i="126"/>
  <c r="Q12" i="124"/>
  <c r="Q48" i="126"/>
  <c r="H114" i="192"/>
  <c r="Q36" i="126"/>
  <c r="H92" i="192"/>
  <c r="R7" i="121"/>
  <c r="R18" i="125"/>
  <c r="R7" i="124"/>
  <c r="R6" i="124" s="1"/>
  <c r="R52" i="110"/>
  <c r="R59" i="110"/>
  <c r="R46" i="110"/>
  <c r="R49" i="110"/>
  <c r="R38" i="110"/>
  <c r="R31" i="110"/>
  <c r="R60" i="110"/>
  <c r="R63" i="110"/>
  <c r="R25" i="110"/>
  <c r="R21" i="110"/>
  <c r="R41" i="110"/>
  <c r="R34" i="110"/>
  <c r="R28" i="110"/>
  <c r="R27" i="110"/>
  <c r="R32" i="110"/>
  <c r="R54" i="110"/>
  <c r="R44" i="110"/>
  <c r="R22" i="110"/>
  <c r="R51" i="110"/>
  <c r="R33" i="110"/>
  <c r="R45" i="110"/>
  <c r="R57" i="110"/>
  <c r="R26" i="110"/>
  <c r="R39" i="110"/>
  <c r="R50" i="110"/>
  <c r="R40" i="110"/>
  <c r="R66" i="110"/>
  <c r="R67" i="110"/>
  <c r="R37" i="110"/>
  <c r="R58" i="110"/>
  <c r="R53" i="110"/>
  <c r="H83" i="188"/>
  <c r="H78" i="189"/>
  <c r="H80" i="189"/>
  <c r="M14" i="110"/>
  <c r="O6" i="121"/>
  <c r="O6" i="125" s="1"/>
  <c r="O6" i="126" s="1"/>
  <c r="O5" i="126" s="1"/>
  <c r="O7" i="125"/>
  <c r="O7" i="126" s="1"/>
  <c r="R6" i="186"/>
  <c r="S6" i="186" s="1"/>
  <c r="N47" i="110"/>
  <c r="K112" i="188"/>
  <c r="M9" i="110"/>
  <c r="H55" i="130"/>
  <c r="H42" i="130"/>
  <c r="H47" i="130"/>
  <c r="H61" i="130"/>
  <c r="H52" i="130"/>
  <c r="H52" i="131"/>
  <c r="H43" i="131"/>
  <c r="H43" i="130"/>
  <c r="H25" i="131"/>
  <c r="H25" i="130"/>
  <c r="H62" i="130"/>
  <c r="H62" i="131"/>
  <c r="H40" i="131"/>
  <c r="H40" i="130"/>
  <c r="H51" i="131"/>
  <c r="H51" i="130"/>
  <c r="H30" i="131"/>
  <c r="H30" i="130"/>
  <c r="H45" i="131"/>
  <c r="H45" i="130"/>
  <c r="H31" i="131"/>
  <c r="H31" i="130"/>
  <c r="H26" i="131"/>
  <c r="H26" i="130"/>
  <c r="H33" i="130"/>
  <c r="H33" i="131"/>
  <c r="H50" i="130"/>
  <c r="H50" i="131"/>
  <c r="H49" i="131"/>
  <c r="H49" i="130"/>
  <c r="H24" i="130"/>
  <c r="H24" i="131"/>
  <c r="H65" i="131"/>
  <c r="H65" i="130"/>
  <c r="H37" i="130"/>
  <c r="H37" i="131"/>
  <c r="R11" i="186"/>
  <c r="S11" i="186" s="1"/>
  <c r="G14" i="132"/>
  <c r="G10" i="132"/>
  <c r="H74" i="189"/>
  <c r="H79" i="189"/>
  <c r="F74" i="188"/>
  <c r="L95" i="188"/>
  <c r="R28" i="188"/>
  <c r="S28" i="188" s="1"/>
  <c r="N16" i="157"/>
  <c r="G17" i="130"/>
  <c r="O30" i="110"/>
  <c r="K95" i="189"/>
  <c r="F94" i="189"/>
  <c r="M13" i="110"/>
  <c r="R14" i="186"/>
  <c r="S14" i="186" s="1"/>
  <c r="H77" i="189"/>
  <c r="M10" i="110"/>
  <c r="R8" i="186"/>
  <c r="S8" i="186" s="1"/>
  <c r="G13" i="132"/>
  <c r="O62" i="110"/>
  <c r="K127" i="189"/>
  <c r="F126" i="189"/>
  <c r="F120" i="189"/>
  <c r="L130" i="188"/>
  <c r="R63" i="188"/>
  <c r="S63" i="188" s="1"/>
  <c r="N35" i="110"/>
  <c r="K100" i="188"/>
  <c r="L101" i="188"/>
  <c r="R34" i="188"/>
  <c r="S34" i="188" s="1"/>
  <c r="R12" i="186"/>
  <c r="S12" i="186" s="1"/>
  <c r="R7" i="186"/>
  <c r="S7" i="186" s="1"/>
  <c r="L85" i="188"/>
  <c r="R18" i="188"/>
  <c r="S18" i="188" s="1"/>
  <c r="N19" i="110"/>
  <c r="K84" i="188"/>
  <c r="G12" i="132"/>
  <c r="N23" i="110"/>
  <c r="K88" i="188"/>
  <c r="R4" i="177"/>
  <c r="S4" i="177" s="1"/>
  <c r="I83" i="189"/>
  <c r="H75" i="189"/>
  <c r="H76" i="189"/>
  <c r="G8" i="132"/>
  <c r="R5" i="178"/>
  <c r="S5" i="178" s="1"/>
  <c r="F112" i="189"/>
  <c r="L127" i="188"/>
  <c r="R60" i="188"/>
  <c r="S60" i="188" s="1"/>
  <c r="M12" i="110"/>
  <c r="F100" i="189"/>
  <c r="L121" i="188"/>
  <c r="R54" i="188"/>
  <c r="S54" i="188" s="1"/>
  <c r="R9" i="186"/>
  <c r="S9" i="186" s="1"/>
  <c r="K7" i="110"/>
  <c r="H73" i="189"/>
  <c r="O18" i="126"/>
  <c r="F78" i="188"/>
  <c r="L113" i="188"/>
  <c r="R46" i="188"/>
  <c r="S46" i="188" s="1"/>
  <c r="G15" i="132"/>
  <c r="R10" i="186"/>
  <c r="S10" i="186" s="1"/>
  <c r="O20" i="110"/>
  <c r="K85" i="189"/>
  <c r="F84" i="189"/>
  <c r="F76" i="188"/>
  <c r="H29" i="130"/>
  <c r="H19" i="130"/>
  <c r="H64" i="130"/>
  <c r="H35" i="130"/>
  <c r="H23" i="130"/>
  <c r="H53" i="130"/>
  <c r="H53" i="131"/>
  <c r="H27" i="131"/>
  <c r="H27" i="130"/>
  <c r="H48" i="131"/>
  <c r="H48" i="130"/>
  <c r="H20" i="130"/>
  <c r="H20" i="131"/>
  <c r="H56" i="131"/>
  <c r="H56" i="130"/>
  <c r="H39" i="131"/>
  <c r="H39" i="130"/>
  <c r="H58" i="130"/>
  <c r="H58" i="131"/>
  <c r="H21" i="130"/>
  <c r="H21" i="131"/>
  <c r="H66" i="131"/>
  <c r="H66" i="130"/>
  <c r="H59" i="130"/>
  <c r="H59" i="131"/>
  <c r="H38" i="130"/>
  <c r="H38" i="131"/>
  <c r="H36" i="131"/>
  <c r="H36" i="130"/>
  <c r="H44" i="131"/>
  <c r="H44" i="130"/>
  <c r="H32" i="131"/>
  <c r="H32" i="130"/>
  <c r="H57" i="131"/>
  <c r="H57" i="130"/>
  <c r="O65" i="110"/>
  <c r="K130" i="189"/>
  <c r="F129" i="189"/>
  <c r="G9" i="132"/>
  <c r="K94" i="188"/>
  <c r="N29" i="110"/>
  <c r="R13" i="186"/>
  <c r="S13" i="186" s="1"/>
  <c r="J6" i="110"/>
  <c r="J5" i="110" s="1"/>
  <c r="K108" i="189"/>
  <c r="O43" i="110"/>
  <c r="F107" i="189"/>
  <c r="L108" i="188"/>
  <c r="R41" i="188"/>
  <c r="S41" i="188" s="1"/>
  <c r="K107" i="188"/>
  <c r="N42" i="110"/>
  <c r="L18" i="110"/>
  <c r="M15" i="110"/>
  <c r="O24" i="110"/>
  <c r="K89" i="189"/>
  <c r="F88" i="189"/>
  <c r="K121" i="189"/>
  <c r="O56" i="110"/>
  <c r="F81" i="188"/>
  <c r="N64" i="110"/>
  <c r="K129" i="188"/>
  <c r="F73" i="188"/>
  <c r="M11" i="110"/>
  <c r="M8" i="110"/>
  <c r="L89" i="188"/>
  <c r="R22" i="188"/>
  <c r="S22" i="188" s="1"/>
  <c r="F75" i="188"/>
  <c r="H81" i="189"/>
  <c r="O48" i="110"/>
  <c r="K113" i="189"/>
  <c r="F80" i="188"/>
  <c r="N61" i="110"/>
  <c r="K126" i="188"/>
  <c r="I72" i="188"/>
  <c r="M16" i="110"/>
  <c r="O36" i="110"/>
  <c r="K101" i="189"/>
  <c r="N55" i="110"/>
  <c r="K120" i="188"/>
  <c r="F77" i="188"/>
  <c r="G11" i="132"/>
  <c r="G7" i="132"/>
  <c r="R16" i="185"/>
  <c r="S16" i="185" s="1"/>
  <c r="F79" i="188"/>
  <c r="D70" i="213" l="1"/>
  <c r="D116" i="200"/>
  <c r="K101" i="200"/>
  <c r="K133" i="200"/>
  <c r="K100" i="200"/>
  <c r="K132" i="200"/>
  <c r="D101" i="200"/>
  <c r="D133" i="200"/>
  <c r="D84" i="200"/>
  <c r="D132" i="200" s="1"/>
  <c r="D70" i="212"/>
  <c r="I128" i="212"/>
  <c r="I128" i="213"/>
  <c r="F101" i="212"/>
  <c r="F101" i="213"/>
  <c r="F114" i="212"/>
  <c r="F114" i="213"/>
  <c r="H94" i="212"/>
  <c r="H94" i="213"/>
  <c r="I93" i="212"/>
  <c r="I93" i="213"/>
  <c r="F86" i="212"/>
  <c r="F86" i="213"/>
  <c r="F96" i="212"/>
  <c r="F96" i="213"/>
  <c r="I87" i="212"/>
  <c r="I87" i="213"/>
  <c r="F115" i="212"/>
  <c r="F115" i="213"/>
  <c r="I125" i="212"/>
  <c r="I125" i="213"/>
  <c r="F127" i="212"/>
  <c r="F127" i="213"/>
  <c r="H84" i="212"/>
  <c r="H84" i="213"/>
  <c r="F130" i="212"/>
  <c r="F130" i="213"/>
  <c r="F109" i="212"/>
  <c r="F109" i="213"/>
  <c r="H126" i="212"/>
  <c r="H126" i="213"/>
  <c r="F97" i="212"/>
  <c r="F97" i="213"/>
  <c r="H107" i="212"/>
  <c r="H107" i="213"/>
  <c r="F118" i="212"/>
  <c r="F118" i="213"/>
  <c r="F117" i="212"/>
  <c r="F117" i="213"/>
  <c r="F91" i="212"/>
  <c r="F91" i="213"/>
  <c r="I111" i="212"/>
  <c r="I111" i="213"/>
  <c r="F105" i="212"/>
  <c r="F105" i="213"/>
  <c r="F108" i="212"/>
  <c r="F108" i="213"/>
  <c r="F102" i="212"/>
  <c r="F102" i="213"/>
  <c r="F90" i="212"/>
  <c r="F90" i="213"/>
  <c r="H120" i="212"/>
  <c r="H120" i="213"/>
  <c r="F103" i="212"/>
  <c r="F103" i="213"/>
  <c r="H112" i="212"/>
  <c r="H112" i="213"/>
  <c r="F123" i="212"/>
  <c r="F123" i="213"/>
  <c r="H129" i="212"/>
  <c r="H129" i="213"/>
  <c r="I99" i="212"/>
  <c r="I99" i="213"/>
  <c r="F124" i="212"/>
  <c r="F124" i="213"/>
  <c r="H88" i="212"/>
  <c r="H88" i="213"/>
  <c r="F110" i="212"/>
  <c r="F110" i="213"/>
  <c r="H100" i="212"/>
  <c r="H100" i="213"/>
  <c r="F92" i="212"/>
  <c r="F92" i="213"/>
  <c r="I83" i="212"/>
  <c r="I83" i="213"/>
  <c r="F113" i="212"/>
  <c r="F113" i="213"/>
  <c r="F122" i="212"/>
  <c r="F122" i="213"/>
  <c r="F98" i="212"/>
  <c r="F98" i="213"/>
  <c r="F131" i="212"/>
  <c r="F131" i="213"/>
  <c r="F116" i="212"/>
  <c r="F116" i="213"/>
  <c r="F121" i="212"/>
  <c r="F121" i="213"/>
  <c r="F104" i="212"/>
  <c r="F104" i="213"/>
  <c r="F89" i="212"/>
  <c r="F89" i="213"/>
  <c r="I106" i="212"/>
  <c r="I106" i="213"/>
  <c r="F95" i="212"/>
  <c r="F95" i="213"/>
  <c r="I119" i="212"/>
  <c r="I119" i="213"/>
  <c r="F85" i="212"/>
  <c r="F85" i="213"/>
  <c r="N7" i="212"/>
  <c r="N14" i="212"/>
  <c r="N8" i="212"/>
  <c r="N13" i="212"/>
  <c r="N12" i="212"/>
  <c r="N9" i="212"/>
  <c r="N6" i="212"/>
  <c r="V34" i="130"/>
  <c r="D68" i="200"/>
  <c r="V54" i="130"/>
  <c r="V22" i="130"/>
  <c r="V63" i="130"/>
  <c r="V28" i="130"/>
  <c r="V60" i="130"/>
  <c r="V41" i="130"/>
  <c r="V46" i="130"/>
  <c r="V18" i="130"/>
  <c r="F92" i="211"/>
  <c r="F95" i="211"/>
  <c r="F85" i="211"/>
  <c r="F97" i="211"/>
  <c r="F110" i="211"/>
  <c r="H107" i="211"/>
  <c r="F108" i="211"/>
  <c r="I99" i="211"/>
  <c r="I83" i="211"/>
  <c r="F122" i="211"/>
  <c r="F98" i="211"/>
  <c r="F116" i="211"/>
  <c r="H100" i="211"/>
  <c r="H120" i="211"/>
  <c r="I128" i="211"/>
  <c r="I125" i="211"/>
  <c r="F118" i="211"/>
  <c r="F101" i="211"/>
  <c r="F104" i="211"/>
  <c r="F89" i="211"/>
  <c r="F103" i="211"/>
  <c r="F91" i="211"/>
  <c r="F105" i="211"/>
  <c r="F90" i="211"/>
  <c r="H112" i="211"/>
  <c r="F123" i="211"/>
  <c r="H129" i="211"/>
  <c r="F124" i="211"/>
  <c r="H88" i="211"/>
  <c r="I119" i="211"/>
  <c r="F114" i="211"/>
  <c r="H94" i="211"/>
  <c r="I93" i="211"/>
  <c r="F86" i="211"/>
  <c r="F96" i="211"/>
  <c r="I87" i="211"/>
  <c r="F115" i="211"/>
  <c r="F117" i="211"/>
  <c r="I111" i="211"/>
  <c r="F121" i="211"/>
  <c r="I106" i="211"/>
  <c r="F127" i="211"/>
  <c r="H84" i="211"/>
  <c r="F109" i="211"/>
  <c r="H126" i="211"/>
  <c r="F6" i="130"/>
  <c r="S38" i="110"/>
  <c r="GM35" i="129"/>
  <c r="GM11" i="129" s="1"/>
  <c r="GM64" i="129"/>
  <c r="GM16" i="129" s="1"/>
  <c r="GM61" i="129"/>
  <c r="GM15" i="129" s="1"/>
  <c r="N33" i="211"/>
  <c r="GO11" i="129"/>
  <c r="V10" i="130" s="1"/>
  <c r="GM47" i="129"/>
  <c r="GM13" i="129" s="1"/>
  <c r="N62" i="211"/>
  <c r="GO16" i="129"/>
  <c r="V15" i="130" s="1"/>
  <c r="GO13" i="129"/>
  <c r="V12" i="130" s="1"/>
  <c r="N45" i="211"/>
  <c r="GM19" i="129"/>
  <c r="GM8" i="129" s="1"/>
  <c r="GM23" i="129"/>
  <c r="GM9" i="129" s="1"/>
  <c r="GO8" i="129"/>
  <c r="V7" i="130" s="1"/>
  <c r="N17" i="211"/>
  <c r="N21" i="211"/>
  <c r="GO9" i="129"/>
  <c r="V8" i="130" s="1"/>
  <c r="GM29" i="129"/>
  <c r="GM10" i="129" s="1"/>
  <c r="GO10" i="129"/>
  <c r="V9" i="130" s="1"/>
  <c r="N27" i="211"/>
  <c r="N5" i="134"/>
  <c r="N4" i="134" s="1"/>
  <c r="F17" i="132"/>
  <c r="N53" i="211"/>
  <c r="GO14" i="129"/>
  <c r="V13" i="130" s="1"/>
  <c r="GM42" i="129"/>
  <c r="GM12" i="129" s="1"/>
  <c r="GO12" i="129"/>
  <c r="V11" i="130" s="1"/>
  <c r="N40" i="211"/>
  <c r="N59" i="211"/>
  <c r="GO15" i="129"/>
  <c r="V14" i="130" s="1"/>
  <c r="GM55" i="129"/>
  <c r="GM14" i="129" s="1"/>
  <c r="F130" i="194"/>
  <c r="F130" i="211"/>
  <c r="F102" i="194"/>
  <c r="F102" i="211"/>
  <c r="F113" i="194"/>
  <c r="F113" i="211"/>
  <c r="F131" i="194"/>
  <c r="F131" i="211"/>
  <c r="FD62" i="129"/>
  <c r="FD20" i="129"/>
  <c r="FD65" i="129"/>
  <c r="FD43" i="129"/>
  <c r="FD24" i="129"/>
  <c r="FD30" i="129"/>
  <c r="FD36" i="129"/>
  <c r="FD48" i="129"/>
  <c r="FD56" i="129"/>
  <c r="S28" i="110"/>
  <c r="S66" i="110"/>
  <c r="S49" i="110"/>
  <c r="S67" i="110"/>
  <c r="H126" i="207"/>
  <c r="F60" i="207"/>
  <c r="X62" i="110" s="1"/>
  <c r="H88" i="207"/>
  <c r="F22" i="207"/>
  <c r="X24" i="110" s="1"/>
  <c r="H112" i="207"/>
  <c r="F46" i="207"/>
  <c r="X48" i="110" s="1"/>
  <c r="H84" i="207"/>
  <c r="F18" i="207"/>
  <c r="X20" i="110" s="1"/>
  <c r="I103" i="205"/>
  <c r="I121" i="205"/>
  <c r="I115" i="205"/>
  <c r="I89" i="205"/>
  <c r="I96" i="205"/>
  <c r="I91" i="205"/>
  <c r="I116" i="205"/>
  <c r="I114" i="205"/>
  <c r="H94" i="207"/>
  <c r="F28" i="207"/>
  <c r="X30" i="110" s="1"/>
  <c r="F41" i="207"/>
  <c r="X43" i="110" s="1"/>
  <c r="H107" i="207"/>
  <c r="I104" i="205"/>
  <c r="I98" i="205"/>
  <c r="I102" i="205"/>
  <c r="I118" i="205"/>
  <c r="I131" i="205"/>
  <c r="I101" i="205"/>
  <c r="I127" i="205"/>
  <c r="H100" i="207"/>
  <c r="F34" i="207"/>
  <c r="X36" i="110" s="1"/>
  <c r="I130" i="205"/>
  <c r="I123" i="205"/>
  <c r="I86" i="205"/>
  <c r="I110" i="205"/>
  <c r="I122" i="205"/>
  <c r="I85" i="205"/>
  <c r="I108" i="205"/>
  <c r="I92" i="205"/>
  <c r="H120" i="207"/>
  <c r="F54" i="207"/>
  <c r="X56" i="110" s="1"/>
  <c r="H129" i="207"/>
  <c r="F63" i="207"/>
  <c r="X65" i="110" s="1"/>
  <c r="I90" i="205"/>
  <c r="I95" i="205"/>
  <c r="I109" i="205"/>
  <c r="I105" i="205"/>
  <c r="I124" i="205"/>
  <c r="I113" i="205"/>
  <c r="I117" i="205"/>
  <c r="I97" i="205"/>
  <c r="F92" i="194"/>
  <c r="F114" i="194"/>
  <c r="F86" i="194"/>
  <c r="S41" i="110"/>
  <c r="F105" i="194"/>
  <c r="S53" i="110"/>
  <c r="S54" i="110"/>
  <c r="FN22" i="129"/>
  <c r="S22" i="110"/>
  <c r="F123" i="194"/>
  <c r="F118" i="194"/>
  <c r="H103" i="205"/>
  <c r="F108" i="194"/>
  <c r="T55" i="124"/>
  <c r="I120" i="205"/>
  <c r="I112" i="205"/>
  <c r="T47" i="124"/>
  <c r="H100" i="205"/>
  <c r="T36" i="126"/>
  <c r="T9" i="121"/>
  <c r="T9" i="125" s="1"/>
  <c r="T9" i="126" s="1"/>
  <c r="T23" i="125"/>
  <c r="T43" i="126"/>
  <c r="H84" i="205"/>
  <c r="T20" i="126"/>
  <c r="T61" i="124"/>
  <c r="I126" i="205"/>
  <c r="T56" i="126"/>
  <c r="T11" i="121"/>
  <c r="T11" i="125" s="1"/>
  <c r="T11" i="126" s="1"/>
  <c r="T35" i="125"/>
  <c r="H131" i="205"/>
  <c r="T62" i="126"/>
  <c r="T8" i="121"/>
  <c r="T19" i="125"/>
  <c r="I100" i="205"/>
  <c r="T35" i="124"/>
  <c r="T19" i="124"/>
  <c r="I84" i="205"/>
  <c r="T14" i="121"/>
  <c r="T14" i="125" s="1"/>
  <c r="T14" i="126" s="1"/>
  <c r="T55" i="125"/>
  <c r="H88" i="205"/>
  <c r="T24" i="126"/>
  <c r="T29" i="125"/>
  <c r="T10" i="121"/>
  <c r="T10" i="125" s="1"/>
  <c r="T10" i="126" s="1"/>
  <c r="T15" i="121"/>
  <c r="T15" i="125" s="1"/>
  <c r="T15" i="126" s="1"/>
  <c r="T61" i="125"/>
  <c r="H101" i="205"/>
  <c r="T16" i="121"/>
  <c r="T16" i="125" s="1"/>
  <c r="T16" i="126" s="1"/>
  <c r="T64" i="125"/>
  <c r="I88" i="205"/>
  <c r="T23" i="124"/>
  <c r="T64" i="124"/>
  <c r="I129" i="205"/>
  <c r="H90" i="205"/>
  <c r="H94" i="205"/>
  <c r="T30" i="126"/>
  <c r="H129" i="205"/>
  <c r="T65" i="126"/>
  <c r="I107" i="205"/>
  <c r="T42" i="124"/>
  <c r="T48" i="126"/>
  <c r="T29" i="124"/>
  <c r="I94" i="205"/>
  <c r="T42" i="125"/>
  <c r="T12" i="121"/>
  <c r="T12" i="125" s="1"/>
  <c r="T12" i="126" s="1"/>
  <c r="T13" i="121"/>
  <c r="T13" i="125" s="1"/>
  <c r="T13" i="126" s="1"/>
  <c r="T47" i="125"/>
  <c r="F85" i="194"/>
  <c r="F101" i="194"/>
  <c r="S21" i="110"/>
  <c r="S39" i="110"/>
  <c r="S37" i="110"/>
  <c r="F98" i="194"/>
  <c r="F103" i="194"/>
  <c r="F96" i="194"/>
  <c r="S50" i="110"/>
  <c r="F117" i="194"/>
  <c r="S34" i="110"/>
  <c r="S58" i="110"/>
  <c r="S46" i="110"/>
  <c r="F122" i="194"/>
  <c r="F116" i="194"/>
  <c r="S60" i="110"/>
  <c r="F124" i="194"/>
  <c r="S59" i="110"/>
  <c r="S32" i="110"/>
  <c r="F110" i="194"/>
  <c r="F97" i="194"/>
  <c r="F115" i="194"/>
  <c r="S51" i="110"/>
  <c r="F104" i="194"/>
  <c r="S40" i="110"/>
  <c r="F91" i="194"/>
  <c r="S27" i="110"/>
  <c r="F89" i="194"/>
  <c r="S44" i="110"/>
  <c r="S33" i="110"/>
  <c r="S25" i="110"/>
  <c r="F127" i="194"/>
  <c r="S52" i="110"/>
  <c r="S57" i="110"/>
  <c r="F121" i="194"/>
  <c r="S63" i="110"/>
  <c r="S31" i="110"/>
  <c r="F90" i="194"/>
  <c r="S26" i="110"/>
  <c r="F95" i="194"/>
  <c r="S45" i="110"/>
  <c r="F109" i="194"/>
  <c r="O7" i="129"/>
  <c r="O6" i="129" s="1"/>
  <c r="O1" i="129" s="1"/>
  <c r="BM18" i="129"/>
  <c r="BM17" i="129" s="1"/>
  <c r="H100" i="194"/>
  <c r="H129" i="194"/>
  <c r="I99" i="194"/>
  <c r="L67" i="186"/>
  <c r="L69" i="186" s="1"/>
  <c r="DZ61" i="129"/>
  <c r="DZ15" i="129" s="1"/>
  <c r="DZ29" i="129"/>
  <c r="DZ10" i="129" s="1"/>
  <c r="F67" i="188"/>
  <c r="F69" i="188" s="1"/>
  <c r="DZ35" i="129"/>
  <c r="DZ11" i="129" s="1"/>
  <c r="DZ47" i="129"/>
  <c r="DZ13" i="129" s="1"/>
  <c r="DZ55" i="129"/>
  <c r="DZ14" i="129" s="1"/>
  <c r="DZ23" i="129"/>
  <c r="DZ9" i="129" s="1"/>
  <c r="DZ42" i="129"/>
  <c r="DZ12" i="129" s="1"/>
  <c r="S3" i="177"/>
  <c r="I71" i="188"/>
  <c r="DZ64" i="129"/>
  <c r="DZ16" i="129" s="1"/>
  <c r="DZ19" i="129"/>
  <c r="DZ8" i="129" s="1"/>
  <c r="H67" i="189"/>
  <c r="H69" i="189" s="1"/>
  <c r="O7" i="157"/>
  <c r="O8" i="157"/>
  <c r="O14" i="153"/>
  <c r="O14" i="152"/>
  <c r="O10" i="152"/>
  <c r="O9" i="153"/>
  <c r="O12" i="152"/>
  <c r="O7" i="153"/>
  <c r="O10" i="153"/>
  <c r="O10" i="157"/>
  <c r="O12" i="157"/>
  <c r="O9" i="157"/>
  <c r="O7" i="152"/>
  <c r="O8" i="152"/>
  <c r="N4" i="151"/>
  <c r="O11" i="157"/>
  <c r="O14" i="157"/>
  <c r="O6" i="157"/>
  <c r="O13" i="157"/>
  <c r="O11" i="152"/>
  <c r="O9" i="152"/>
  <c r="O11" i="153"/>
  <c r="O6" i="152"/>
  <c r="O13" i="152"/>
  <c r="O13" i="153"/>
  <c r="O8" i="153"/>
  <c r="O12" i="153"/>
  <c r="E7" i="129"/>
  <c r="M16" i="153"/>
  <c r="C17" i="131"/>
  <c r="C17" i="132" s="1"/>
  <c r="F6" i="129"/>
  <c r="C6" i="130"/>
  <c r="P6" i="129"/>
  <c r="D6" i="130"/>
  <c r="M5" i="151"/>
  <c r="O16" i="151"/>
  <c r="M67" i="151"/>
  <c r="M69" i="151" s="1"/>
  <c r="E5" i="130"/>
  <c r="Z1" i="129"/>
  <c r="E6" i="131"/>
  <c r="E6" i="132" s="1"/>
  <c r="Y6" i="129"/>
  <c r="N5" i="152"/>
  <c r="N67" i="152"/>
  <c r="N69" i="152" s="1"/>
  <c r="N5" i="153"/>
  <c r="N67" i="153"/>
  <c r="N69" i="153" s="1"/>
  <c r="O6" i="153"/>
  <c r="F5" i="130"/>
  <c r="AJ1" i="129"/>
  <c r="CO18" i="129"/>
  <c r="CP18" i="129" s="1"/>
  <c r="M5" i="134"/>
  <c r="O16" i="134"/>
  <c r="M67" i="134"/>
  <c r="M69" i="134" s="1"/>
  <c r="BN18" i="129"/>
  <c r="F6" i="131"/>
  <c r="AI6" i="129"/>
  <c r="AI1" i="129" s="1"/>
  <c r="BD17" i="129"/>
  <c r="BD7" i="129"/>
  <c r="BD6" i="129" s="1"/>
  <c r="BD1" i="129" s="1"/>
  <c r="BC7" i="129"/>
  <c r="BC6" i="129" s="1"/>
  <c r="BC1" i="129" s="1"/>
  <c r="N67" i="157"/>
  <c r="N69" i="157" s="1"/>
  <c r="N5" i="157"/>
  <c r="H94" i="194"/>
  <c r="I106" i="194"/>
  <c r="I128" i="194"/>
  <c r="DJ61" i="129"/>
  <c r="DJ15" i="129" s="1"/>
  <c r="CH21" i="129"/>
  <c r="CH41" i="129"/>
  <c r="CH59" i="129"/>
  <c r="CH63" i="129"/>
  <c r="CH28" i="129"/>
  <c r="CH58" i="129"/>
  <c r="CH32" i="129"/>
  <c r="CH67" i="129"/>
  <c r="CH60" i="129"/>
  <c r="CH25" i="129"/>
  <c r="CH45" i="129"/>
  <c r="CH53" i="129"/>
  <c r="CH26" i="129"/>
  <c r="CH54" i="129"/>
  <c r="CH49" i="129"/>
  <c r="CH46" i="129"/>
  <c r="CH52" i="129"/>
  <c r="CH51" i="129"/>
  <c r="CH27" i="129"/>
  <c r="CH44" i="129"/>
  <c r="CH39" i="129"/>
  <c r="CH37" i="129"/>
  <c r="CH57" i="129"/>
  <c r="CH33" i="129"/>
  <c r="CH38" i="129"/>
  <c r="CH34" i="129"/>
  <c r="CH40" i="129"/>
  <c r="CH66" i="129"/>
  <c r="CH31" i="129"/>
  <c r="CH22" i="129"/>
  <c r="CH50" i="129"/>
  <c r="CH36" i="129"/>
  <c r="CH24" i="129"/>
  <c r="CH43" i="129"/>
  <c r="CH20" i="129"/>
  <c r="CH48" i="129"/>
  <c r="CH62" i="129"/>
  <c r="CH56" i="129"/>
  <c r="CH30" i="129"/>
  <c r="CH65" i="129"/>
  <c r="BW15" i="129"/>
  <c r="BX61" i="129"/>
  <c r="BX15" i="129" s="1"/>
  <c r="BX23" i="129"/>
  <c r="BX9" i="129" s="1"/>
  <c r="BW9" i="129"/>
  <c r="BX47" i="129"/>
  <c r="BX13" i="129" s="1"/>
  <c r="BW13" i="129"/>
  <c r="DS36" i="129"/>
  <c r="CV7" i="129"/>
  <c r="CV6" i="129" s="1"/>
  <c r="CV1" i="129" s="1"/>
  <c r="DS43" i="129"/>
  <c r="DJ47" i="129"/>
  <c r="DJ13" i="129" s="1"/>
  <c r="CE7" i="129"/>
  <c r="CE6" i="129" s="1"/>
  <c r="CE1" i="129" s="1"/>
  <c r="BX55" i="129"/>
  <c r="BX14" i="129" s="1"/>
  <c r="BW14" i="129"/>
  <c r="BX35" i="129"/>
  <c r="BX11" i="129" s="1"/>
  <c r="BW11" i="129"/>
  <c r="DS56" i="129"/>
  <c r="DJ55" i="129"/>
  <c r="DJ14" i="129" s="1"/>
  <c r="DF18" i="129"/>
  <c r="DJ35" i="129"/>
  <c r="DJ11" i="129" s="1"/>
  <c r="DS23" i="129"/>
  <c r="DS9" i="129" s="1"/>
  <c r="DT24" i="129"/>
  <c r="DT23" i="129" s="1"/>
  <c r="DT9" i="129" s="1"/>
  <c r="BW16" i="129"/>
  <c r="BX64" i="129"/>
  <c r="BX16" i="129" s="1"/>
  <c r="BX19" i="129"/>
  <c r="BX8" i="129" s="1"/>
  <c r="BW8" i="129"/>
  <c r="DI19" i="129"/>
  <c r="DI8" i="129" s="1"/>
  <c r="DJ20" i="129"/>
  <c r="DS48" i="129"/>
  <c r="DI23" i="129"/>
  <c r="DI9" i="129" s="1"/>
  <c r="DJ24" i="129"/>
  <c r="DS62" i="129"/>
  <c r="DS30" i="129"/>
  <c r="DS20" i="129"/>
  <c r="BV7" i="129"/>
  <c r="BV6" i="129" s="1"/>
  <c r="BV1" i="129" s="1"/>
  <c r="DS65" i="129"/>
  <c r="BW10" i="129"/>
  <c r="BX29" i="129"/>
  <c r="BX10" i="129" s="1"/>
  <c r="BX42" i="129"/>
  <c r="BX12" i="129" s="1"/>
  <c r="BW12" i="129"/>
  <c r="DJ29" i="129"/>
  <c r="DJ10" i="129" s="1"/>
  <c r="H23" i="131"/>
  <c r="M16" i="157"/>
  <c r="G17" i="131"/>
  <c r="G17" i="132" s="1"/>
  <c r="H64" i="131"/>
  <c r="H61" i="131"/>
  <c r="H47" i="131"/>
  <c r="H55" i="131"/>
  <c r="H35" i="131"/>
  <c r="H19" i="131"/>
  <c r="H29" i="131"/>
  <c r="H42" i="131"/>
  <c r="H126" i="194"/>
  <c r="I83" i="194"/>
  <c r="I111" i="194"/>
  <c r="H112" i="194"/>
  <c r="H120" i="194"/>
  <c r="I93" i="194"/>
  <c r="H84" i="194"/>
  <c r="H88" i="194"/>
  <c r="I119" i="194"/>
  <c r="I125" i="194"/>
  <c r="H107" i="194"/>
  <c r="I87" i="194"/>
  <c r="FN24" i="129"/>
  <c r="S61" i="126"/>
  <c r="S64" i="126"/>
  <c r="FN43" i="129"/>
  <c r="FN20" i="129"/>
  <c r="FN30" i="129"/>
  <c r="FN65" i="129"/>
  <c r="FN36" i="129"/>
  <c r="FN62" i="129"/>
  <c r="S18" i="124"/>
  <c r="S55" i="126"/>
  <c r="S8" i="125"/>
  <c r="S8" i="126" s="1"/>
  <c r="S18" i="121"/>
  <c r="FN56" i="129"/>
  <c r="S42" i="126"/>
  <c r="S29" i="126"/>
  <c r="S35" i="126"/>
  <c r="S23" i="126"/>
  <c r="S47" i="126"/>
  <c r="S19" i="126"/>
  <c r="FN48" i="129"/>
  <c r="H100" i="192"/>
  <c r="F117" i="192"/>
  <c r="Q18" i="124"/>
  <c r="Q17" i="124" s="1"/>
  <c r="Q23" i="126"/>
  <c r="Q64" i="126"/>
  <c r="F97" i="192"/>
  <c r="Q18" i="121"/>
  <c r="Q8" i="125"/>
  <c r="Q8" i="126" s="1"/>
  <c r="F105" i="192"/>
  <c r="F122" i="192"/>
  <c r="F98" i="192"/>
  <c r="I119" i="192"/>
  <c r="F130" i="192"/>
  <c r="F89" i="192"/>
  <c r="F102" i="192"/>
  <c r="H126" i="192"/>
  <c r="F116" i="192"/>
  <c r="Q29" i="126"/>
  <c r="F121" i="192"/>
  <c r="F92" i="192"/>
  <c r="F114" i="192"/>
  <c r="H112" i="192"/>
  <c r="H120" i="192"/>
  <c r="F91" i="192"/>
  <c r="F95" i="192"/>
  <c r="F118" i="192"/>
  <c r="I111" i="192"/>
  <c r="F86" i="192"/>
  <c r="F108" i="192"/>
  <c r="F104" i="192"/>
  <c r="F85" i="192"/>
  <c r="Q35" i="126"/>
  <c r="F115" i="192"/>
  <c r="Q47" i="126"/>
  <c r="Q55" i="126"/>
  <c r="F90" i="192"/>
  <c r="Q61" i="126"/>
  <c r="I128" i="192"/>
  <c r="F123" i="192"/>
  <c r="I93" i="192"/>
  <c r="H84" i="192"/>
  <c r="F131" i="192"/>
  <c r="F124" i="192"/>
  <c r="H88" i="192"/>
  <c r="I106" i="192"/>
  <c r="I83" i="192"/>
  <c r="H94" i="192"/>
  <c r="I125" i="192"/>
  <c r="F127" i="192"/>
  <c r="Q42" i="126"/>
  <c r="Q19" i="126"/>
  <c r="F113" i="192"/>
  <c r="F101" i="192"/>
  <c r="F110" i="192"/>
  <c r="F96" i="192"/>
  <c r="H129" i="192"/>
  <c r="H107" i="192"/>
  <c r="I87" i="192"/>
  <c r="I99" i="192"/>
  <c r="F109" i="192"/>
  <c r="F103" i="192"/>
  <c r="R18" i="126"/>
  <c r="R6" i="121"/>
  <c r="R6" i="125" s="1"/>
  <c r="R6" i="126" s="1"/>
  <c r="R5" i="126" s="1"/>
  <c r="R7" i="125"/>
  <c r="R7" i="126" s="1"/>
  <c r="R62" i="110"/>
  <c r="R65" i="110"/>
  <c r="R24" i="110"/>
  <c r="R36" i="110"/>
  <c r="R43" i="110"/>
  <c r="R48" i="110"/>
  <c r="R56" i="110"/>
  <c r="R30" i="110"/>
  <c r="R20" i="110"/>
  <c r="R5" i="185"/>
  <c r="S5" i="185" s="1"/>
  <c r="K80" i="188"/>
  <c r="N15" i="110"/>
  <c r="G6" i="131"/>
  <c r="O35" i="110"/>
  <c r="K100" i="189"/>
  <c r="O47" i="110"/>
  <c r="K112" i="189"/>
  <c r="FD47" i="129"/>
  <c r="FD13" i="129" s="1"/>
  <c r="L88" i="188"/>
  <c r="R21" i="188"/>
  <c r="S21" i="188" s="1"/>
  <c r="N16" i="110"/>
  <c r="K81" i="188"/>
  <c r="O23" i="110"/>
  <c r="K88" i="189"/>
  <c r="L7" i="110"/>
  <c r="R16" i="186"/>
  <c r="S16" i="186" s="1"/>
  <c r="F77" i="189"/>
  <c r="F81" i="189"/>
  <c r="H38" i="132"/>
  <c r="H59" i="132"/>
  <c r="H21" i="132"/>
  <c r="H58" i="132"/>
  <c r="H20" i="132"/>
  <c r="H53" i="132"/>
  <c r="H10" i="130"/>
  <c r="H34" i="130"/>
  <c r="H63" i="130"/>
  <c r="H15" i="130"/>
  <c r="H9" i="130"/>
  <c r="H28" i="130"/>
  <c r="O19" i="110"/>
  <c r="K84" i="189"/>
  <c r="I19" i="130"/>
  <c r="I23" i="130"/>
  <c r="I61" i="130"/>
  <c r="I64" i="130"/>
  <c r="I50" i="130"/>
  <c r="I38" i="130"/>
  <c r="I32" i="130"/>
  <c r="I36" i="130"/>
  <c r="I27" i="130"/>
  <c r="I59" i="130"/>
  <c r="I26" i="130"/>
  <c r="I37" i="130"/>
  <c r="I44" i="130"/>
  <c r="I39" i="130"/>
  <c r="I25" i="130"/>
  <c r="I40" i="130"/>
  <c r="I49" i="130"/>
  <c r="I43" i="130"/>
  <c r="I58" i="130"/>
  <c r="I24" i="130"/>
  <c r="K6" i="110"/>
  <c r="K5" i="110" s="1"/>
  <c r="FD61" i="129"/>
  <c r="FD15" i="129" s="1"/>
  <c r="L120" i="188"/>
  <c r="R53" i="188"/>
  <c r="S53" i="188" s="1"/>
  <c r="I72" i="189"/>
  <c r="FD64" i="129"/>
  <c r="FD16" i="129" s="1"/>
  <c r="N8" i="110"/>
  <c r="K73" i="188"/>
  <c r="L129" i="188"/>
  <c r="R62" i="188"/>
  <c r="S62" i="188" s="1"/>
  <c r="F79" i="189"/>
  <c r="F80" i="189"/>
  <c r="O61" i="110"/>
  <c r="K126" i="189"/>
  <c r="F75" i="189"/>
  <c r="G6" i="130"/>
  <c r="L94" i="188"/>
  <c r="R27" i="188"/>
  <c r="S27" i="188" s="1"/>
  <c r="H37" i="132"/>
  <c r="H24" i="132"/>
  <c r="H50" i="132"/>
  <c r="H33" i="132"/>
  <c r="H62" i="132"/>
  <c r="H52" i="132"/>
  <c r="H14" i="130"/>
  <c r="H60" i="130"/>
  <c r="H11" i="130"/>
  <c r="H41" i="130"/>
  <c r="FD19" i="129"/>
  <c r="FD8" i="129" s="1"/>
  <c r="FD42" i="129"/>
  <c r="FD12" i="129" s="1"/>
  <c r="F83" i="188"/>
  <c r="K79" i="188"/>
  <c r="N14" i="110"/>
  <c r="O55" i="110"/>
  <c r="K120" i="189"/>
  <c r="F74" i="189"/>
  <c r="FD23" i="129"/>
  <c r="FD9" i="129" s="1"/>
  <c r="N12" i="110"/>
  <c r="K77" i="188"/>
  <c r="L107" i="188"/>
  <c r="R40" i="188"/>
  <c r="S40" i="188" s="1"/>
  <c r="K107" i="189"/>
  <c r="O42" i="110"/>
  <c r="N10" i="110"/>
  <c r="K75" i="188"/>
  <c r="FD55" i="129"/>
  <c r="FD14" i="129" s="1"/>
  <c r="O64" i="110"/>
  <c r="K129" i="189"/>
  <c r="H57" i="132"/>
  <c r="H32" i="132"/>
  <c r="H44" i="132"/>
  <c r="H36" i="132"/>
  <c r="H66" i="132"/>
  <c r="H39" i="132"/>
  <c r="H56" i="132"/>
  <c r="H48" i="132"/>
  <c r="H27" i="132"/>
  <c r="H8" i="130"/>
  <c r="H22" i="130"/>
  <c r="H18" i="130"/>
  <c r="F73" i="189"/>
  <c r="L112" i="188"/>
  <c r="R45" i="188"/>
  <c r="S45" i="188" s="1"/>
  <c r="I42" i="130"/>
  <c r="I55" i="130"/>
  <c r="I47" i="130"/>
  <c r="I29" i="130"/>
  <c r="I35" i="130"/>
  <c r="I57" i="130"/>
  <c r="I56" i="130"/>
  <c r="I65" i="130"/>
  <c r="I48" i="130"/>
  <c r="I31" i="130"/>
  <c r="I52" i="130"/>
  <c r="I30" i="130"/>
  <c r="I20" i="130"/>
  <c r="I33" i="130"/>
  <c r="I62" i="130"/>
  <c r="I66" i="130"/>
  <c r="I45" i="130"/>
  <c r="I21" i="130"/>
  <c r="I53" i="130"/>
  <c r="I51" i="130"/>
  <c r="H83" i="189"/>
  <c r="FD29" i="129"/>
  <c r="FD10" i="129" s="1"/>
  <c r="F76" i="189"/>
  <c r="L126" i="188"/>
  <c r="R59" i="188"/>
  <c r="S59" i="188" s="1"/>
  <c r="F78" i="189"/>
  <c r="R4" i="178"/>
  <c r="S4" i="178" s="1"/>
  <c r="K74" i="188"/>
  <c r="N9" i="110"/>
  <c r="L84" i="188"/>
  <c r="R17" i="188"/>
  <c r="S17" i="188" s="1"/>
  <c r="L100" i="188"/>
  <c r="R33" i="188"/>
  <c r="S33" i="188" s="1"/>
  <c r="K76" i="188"/>
  <c r="N11" i="110"/>
  <c r="FD35" i="129"/>
  <c r="FD11" i="129" s="1"/>
  <c r="K94" i="189"/>
  <c r="O29" i="110"/>
  <c r="H65" i="132"/>
  <c r="H49" i="132"/>
  <c r="H26" i="132"/>
  <c r="H31" i="132"/>
  <c r="H45" i="132"/>
  <c r="H30" i="132"/>
  <c r="H51" i="132"/>
  <c r="H40" i="132"/>
  <c r="H25" i="132"/>
  <c r="H43" i="132"/>
  <c r="H12" i="130"/>
  <c r="H46" i="130"/>
  <c r="H13" i="130"/>
  <c r="H54" i="130"/>
  <c r="K78" i="188"/>
  <c r="N13" i="110"/>
  <c r="M18" i="110"/>
  <c r="H72" i="188"/>
  <c r="N10" i="212" l="1"/>
  <c r="N11" i="212"/>
  <c r="D100" i="200"/>
  <c r="H119" i="212"/>
  <c r="H119" i="213"/>
  <c r="K110" i="212"/>
  <c r="K110" i="213"/>
  <c r="I73" i="212"/>
  <c r="I73" i="213"/>
  <c r="H106" i="212"/>
  <c r="H106" i="213"/>
  <c r="H111" i="212"/>
  <c r="H111" i="213"/>
  <c r="F112" i="212"/>
  <c r="F112" i="213"/>
  <c r="H93" i="212"/>
  <c r="H93" i="213"/>
  <c r="H128" i="212"/>
  <c r="H128" i="213"/>
  <c r="I75" i="212"/>
  <c r="I75" i="213"/>
  <c r="K123" i="212"/>
  <c r="K123" i="213"/>
  <c r="K98" i="212"/>
  <c r="K98" i="213"/>
  <c r="K103" i="212"/>
  <c r="K103" i="213"/>
  <c r="F107" i="212"/>
  <c r="F107" i="213"/>
  <c r="K101" i="212"/>
  <c r="K101" i="213"/>
  <c r="K127" i="212"/>
  <c r="K127" i="213"/>
  <c r="I76" i="212"/>
  <c r="I76" i="213"/>
  <c r="F84" i="212"/>
  <c r="F84" i="213"/>
  <c r="K114" i="212"/>
  <c r="K114" i="213"/>
  <c r="K105" i="212"/>
  <c r="K105" i="213"/>
  <c r="K85" i="212"/>
  <c r="K85" i="213"/>
  <c r="K97" i="212"/>
  <c r="K97" i="213"/>
  <c r="I72" i="212"/>
  <c r="I72" i="213"/>
  <c r="K104" i="212"/>
  <c r="K104" i="213"/>
  <c r="K89" i="212"/>
  <c r="K89" i="213"/>
  <c r="H125" i="212"/>
  <c r="H125" i="213"/>
  <c r="K115" i="212"/>
  <c r="K115" i="213"/>
  <c r="K108" i="212"/>
  <c r="K108" i="213"/>
  <c r="K95" i="212"/>
  <c r="K95" i="213"/>
  <c r="K116" i="212"/>
  <c r="K116" i="213"/>
  <c r="K130" i="212"/>
  <c r="K130" i="213"/>
  <c r="H87" i="212"/>
  <c r="H87" i="213"/>
  <c r="K131" i="212"/>
  <c r="K131" i="213"/>
  <c r="K118" i="212"/>
  <c r="K118" i="213"/>
  <c r="K122" i="212"/>
  <c r="K122" i="213"/>
  <c r="K109" i="212"/>
  <c r="K109" i="213"/>
  <c r="F129" i="212"/>
  <c r="F129" i="213"/>
  <c r="K113" i="212"/>
  <c r="K113" i="213"/>
  <c r="I74" i="212"/>
  <c r="I74" i="213"/>
  <c r="K90" i="212"/>
  <c r="K90" i="213"/>
  <c r="K86" i="212"/>
  <c r="K86" i="213"/>
  <c r="K91" i="212"/>
  <c r="K91" i="213"/>
  <c r="K92" i="212"/>
  <c r="K92" i="213"/>
  <c r="F126" i="212"/>
  <c r="F126" i="213"/>
  <c r="K102" i="212"/>
  <c r="K102" i="213"/>
  <c r="F100" i="212"/>
  <c r="F100" i="213"/>
  <c r="I80" i="212"/>
  <c r="I80" i="213"/>
  <c r="I79" i="212"/>
  <c r="I79" i="213"/>
  <c r="F88" i="212"/>
  <c r="F88" i="213"/>
  <c r="H99" i="212"/>
  <c r="H99" i="213"/>
  <c r="I78" i="212"/>
  <c r="I78" i="213"/>
  <c r="K124" i="212"/>
  <c r="K124" i="213"/>
  <c r="K96" i="212"/>
  <c r="K96" i="213"/>
  <c r="H83" i="212"/>
  <c r="H83" i="213"/>
  <c r="F94" i="212"/>
  <c r="F94" i="213"/>
  <c r="I77" i="212"/>
  <c r="I77" i="213"/>
  <c r="F120" i="212"/>
  <c r="F120" i="213"/>
  <c r="K121" i="212"/>
  <c r="K121" i="213"/>
  <c r="K117" i="212"/>
  <c r="K117" i="213"/>
  <c r="N8" i="213"/>
  <c r="N120" i="200" s="1"/>
  <c r="N10" i="213"/>
  <c r="N122" i="200" s="1"/>
  <c r="N14" i="213"/>
  <c r="N126" i="200" s="1"/>
  <c r="N13" i="213"/>
  <c r="N125" i="200" s="1"/>
  <c r="N12" i="213"/>
  <c r="N124" i="200" s="1"/>
  <c r="N6" i="213"/>
  <c r="N118" i="200" s="1"/>
  <c r="N11" i="213"/>
  <c r="N123" i="200" s="1"/>
  <c r="N7" i="213"/>
  <c r="N119" i="200" s="1"/>
  <c r="N9" i="213"/>
  <c r="N121" i="200" s="1"/>
  <c r="F6" i="132"/>
  <c r="N94" i="200"/>
  <c r="N142" i="200" s="1"/>
  <c r="N86" i="200"/>
  <c r="N91" i="200"/>
  <c r="N89" i="200"/>
  <c r="N90" i="200"/>
  <c r="N138" i="200" s="1"/>
  <c r="N88" i="200"/>
  <c r="N93" i="200"/>
  <c r="N92" i="200"/>
  <c r="N87" i="200"/>
  <c r="H93" i="211"/>
  <c r="H128" i="211"/>
  <c r="K127" i="211"/>
  <c r="K114" i="211"/>
  <c r="K115" i="211"/>
  <c r="K116" i="211"/>
  <c r="K130" i="211"/>
  <c r="H87" i="211"/>
  <c r="K109" i="211"/>
  <c r="K113" i="211"/>
  <c r="K90" i="211"/>
  <c r="K91" i="211"/>
  <c r="K92" i="211"/>
  <c r="H106" i="211"/>
  <c r="H125" i="211"/>
  <c r="K108" i="211"/>
  <c r="K95" i="211"/>
  <c r="H99" i="211"/>
  <c r="H111" i="211"/>
  <c r="K103" i="211"/>
  <c r="K101" i="211"/>
  <c r="F84" i="211"/>
  <c r="K105" i="211"/>
  <c r="K124" i="211"/>
  <c r="K123" i="211"/>
  <c r="H119" i="211"/>
  <c r="K85" i="211"/>
  <c r="K102" i="211"/>
  <c r="K98" i="211"/>
  <c r="K97" i="211"/>
  <c r="K96" i="211"/>
  <c r="H83" i="211"/>
  <c r="K121" i="211"/>
  <c r="K117" i="211"/>
  <c r="K110" i="211"/>
  <c r="K131" i="211"/>
  <c r="K104" i="211"/>
  <c r="K118" i="211"/>
  <c r="K89" i="211"/>
  <c r="K122" i="211"/>
  <c r="F127" i="205"/>
  <c r="K103" i="205"/>
  <c r="GO18" i="129"/>
  <c r="FY49" i="129"/>
  <c r="GM18" i="129"/>
  <c r="GM7" i="129" s="1"/>
  <c r="GM6" i="129" s="1"/>
  <c r="T54" i="110"/>
  <c r="T28" i="110"/>
  <c r="T40" i="110"/>
  <c r="FY32" i="129"/>
  <c r="K90" i="205"/>
  <c r="F107" i="194"/>
  <c r="F107" i="211"/>
  <c r="F94" i="194"/>
  <c r="F94" i="211"/>
  <c r="I76" i="211"/>
  <c r="I77" i="211"/>
  <c r="F120" i="194"/>
  <c r="F120" i="211"/>
  <c r="I75" i="211"/>
  <c r="F100" i="194"/>
  <c r="F100" i="211"/>
  <c r="F129" i="194"/>
  <c r="F129" i="211"/>
  <c r="I72" i="211"/>
  <c r="I74" i="211"/>
  <c r="I80" i="211"/>
  <c r="K86" i="211"/>
  <c r="F126" i="194"/>
  <c r="F126" i="211"/>
  <c r="I73" i="211"/>
  <c r="I79" i="211"/>
  <c r="F88" i="194"/>
  <c r="F88" i="211"/>
  <c r="F112" i="194"/>
  <c r="F112" i="211"/>
  <c r="I78" i="211"/>
  <c r="F110" i="205"/>
  <c r="F89" i="205"/>
  <c r="T44" i="110"/>
  <c r="FY22" i="129"/>
  <c r="F130" i="205"/>
  <c r="F98" i="205"/>
  <c r="F109" i="205"/>
  <c r="FY53" i="129"/>
  <c r="FY50" i="129"/>
  <c r="FY21" i="129"/>
  <c r="K115" i="205"/>
  <c r="T57" i="110"/>
  <c r="T60" i="110"/>
  <c r="F116" i="205"/>
  <c r="FY39" i="129"/>
  <c r="T33" i="110"/>
  <c r="FY31" i="129"/>
  <c r="I106" i="207"/>
  <c r="I10" i="207"/>
  <c r="H128" i="207"/>
  <c r="H14" i="207"/>
  <c r="H30" i="200" s="1"/>
  <c r="H78" i="200" s="1"/>
  <c r="I117" i="207"/>
  <c r="F51" i="207"/>
  <c r="X53" i="110" s="1"/>
  <c r="I124" i="207"/>
  <c r="F58" i="207"/>
  <c r="X60" i="110" s="1"/>
  <c r="I109" i="207"/>
  <c r="F43" i="207"/>
  <c r="X45" i="110" s="1"/>
  <c r="I90" i="207"/>
  <c r="F24" i="207"/>
  <c r="X26" i="110" s="1"/>
  <c r="F107" i="207"/>
  <c r="K41" i="207"/>
  <c r="GI43" i="129" s="1"/>
  <c r="I114" i="207"/>
  <c r="F48" i="207"/>
  <c r="X50" i="110" s="1"/>
  <c r="I91" i="207"/>
  <c r="F25" i="207"/>
  <c r="X27" i="110" s="1"/>
  <c r="I89" i="207"/>
  <c r="F23" i="207"/>
  <c r="X25" i="110" s="1"/>
  <c r="I121" i="207"/>
  <c r="F55" i="207"/>
  <c r="X57" i="110" s="1"/>
  <c r="F84" i="207"/>
  <c r="K18" i="207"/>
  <c r="GI20" i="129" s="1"/>
  <c r="F88" i="207"/>
  <c r="K22" i="207"/>
  <c r="GI24" i="129" s="1"/>
  <c r="I93" i="207"/>
  <c r="I8" i="207"/>
  <c r="I128" i="207"/>
  <c r="I14" i="207"/>
  <c r="H6" i="207"/>
  <c r="H22" i="200" s="1"/>
  <c r="H70" i="200" s="1"/>
  <c r="H83" i="207"/>
  <c r="I125" i="207"/>
  <c r="I13" i="207"/>
  <c r="I119" i="207"/>
  <c r="I12" i="207"/>
  <c r="F120" i="207"/>
  <c r="K54" i="207"/>
  <c r="GI56" i="129" s="1"/>
  <c r="I108" i="207"/>
  <c r="F42" i="207"/>
  <c r="X44" i="110" s="1"/>
  <c r="I122" i="207"/>
  <c r="F56" i="207"/>
  <c r="X58" i="110" s="1"/>
  <c r="I86" i="207"/>
  <c r="F20" i="207"/>
  <c r="X22" i="110" s="1"/>
  <c r="I130" i="207"/>
  <c r="F64" i="207"/>
  <c r="X66" i="110" s="1"/>
  <c r="I127" i="207"/>
  <c r="F61" i="207"/>
  <c r="I131" i="207"/>
  <c r="F65" i="207"/>
  <c r="X67" i="110" s="1"/>
  <c r="I102" i="207"/>
  <c r="F36" i="207"/>
  <c r="X38" i="110" s="1"/>
  <c r="I104" i="207"/>
  <c r="F38" i="207"/>
  <c r="X40" i="110" s="1"/>
  <c r="I87" i="207"/>
  <c r="I7" i="207"/>
  <c r="H93" i="207"/>
  <c r="H8" i="207"/>
  <c r="H24" i="200" s="1"/>
  <c r="H72" i="200" s="1"/>
  <c r="I83" i="207"/>
  <c r="I6" i="207"/>
  <c r="H99" i="207"/>
  <c r="H9" i="207"/>
  <c r="H25" i="200" s="1"/>
  <c r="H73" i="200" s="1"/>
  <c r="H87" i="207"/>
  <c r="H7" i="207"/>
  <c r="H23" i="200" s="1"/>
  <c r="H71" i="200" s="1"/>
  <c r="I97" i="207"/>
  <c r="F31" i="207"/>
  <c r="X33" i="110" s="1"/>
  <c r="I113" i="207"/>
  <c r="F47" i="207"/>
  <c r="X49" i="110" s="1"/>
  <c r="I105" i="207"/>
  <c r="F39" i="207"/>
  <c r="X41" i="110" s="1"/>
  <c r="I95" i="207"/>
  <c r="F29" i="207"/>
  <c r="X31" i="110" s="1"/>
  <c r="F129" i="207"/>
  <c r="K63" i="207"/>
  <c r="GI65" i="129" s="1"/>
  <c r="K28" i="207"/>
  <c r="GI30" i="129" s="1"/>
  <c r="F94" i="207"/>
  <c r="I116" i="207"/>
  <c r="F50" i="207"/>
  <c r="X52" i="110" s="1"/>
  <c r="I96" i="207"/>
  <c r="F30" i="207"/>
  <c r="X32" i="110" s="1"/>
  <c r="I115" i="207"/>
  <c r="F49" i="207"/>
  <c r="X51" i="110" s="1"/>
  <c r="I103" i="207"/>
  <c r="F37" i="207"/>
  <c r="X39" i="110" s="1"/>
  <c r="F112" i="207"/>
  <c r="K46" i="207"/>
  <c r="GI48" i="129" s="1"/>
  <c r="F126" i="207"/>
  <c r="K60" i="207"/>
  <c r="GI62" i="129" s="1"/>
  <c r="H111" i="207"/>
  <c r="H11" i="207"/>
  <c r="H27" i="200" s="1"/>
  <c r="H75" i="200" s="1"/>
  <c r="H106" i="207"/>
  <c r="H10" i="207"/>
  <c r="H26" i="200" s="1"/>
  <c r="H74" i="200" s="1"/>
  <c r="H125" i="207"/>
  <c r="H13" i="207"/>
  <c r="H29" i="200" s="1"/>
  <c r="H77" i="200" s="1"/>
  <c r="H119" i="207"/>
  <c r="H12" i="207"/>
  <c r="H28" i="200" s="1"/>
  <c r="H76" i="200" s="1"/>
  <c r="I99" i="207"/>
  <c r="I9" i="207"/>
  <c r="I111" i="207"/>
  <c r="I11" i="207"/>
  <c r="I92" i="207"/>
  <c r="F26" i="207"/>
  <c r="X28" i="110" s="1"/>
  <c r="I85" i="207"/>
  <c r="F19" i="207"/>
  <c r="X21" i="110" s="1"/>
  <c r="I110" i="207"/>
  <c r="F44" i="207"/>
  <c r="X46" i="110" s="1"/>
  <c r="I123" i="207"/>
  <c r="F57" i="207"/>
  <c r="X59" i="110" s="1"/>
  <c r="K34" i="207"/>
  <c r="GI36" i="129" s="1"/>
  <c r="F100" i="207"/>
  <c r="I101" i="207"/>
  <c r="F35" i="207"/>
  <c r="X37" i="110" s="1"/>
  <c r="I118" i="207"/>
  <c r="F52" i="207"/>
  <c r="X54" i="110" s="1"/>
  <c r="I98" i="207"/>
  <c r="F32" i="207"/>
  <c r="X34" i="110" s="1"/>
  <c r="F103" i="205"/>
  <c r="ET60" i="129"/>
  <c r="EM60" i="129" s="1"/>
  <c r="ET59" i="129"/>
  <c r="EM59" i="129" s="1"/>
  <c r="ET51" i="129"/>
  <c r="EM51" i="129" s="1"/>
  <c r="ET21" i="129"/>
  <c r="EM21" i="129" s="1"/>
  <c r="ET44" i="129"/>
  <c r="EM44" i="129" s="1"/>
  <c r="ET31" i="129"/>
  <c r="EM31" i="129" s="1"/>
  <c r="ET52" i="129"/>
  <c r="EM52" i="129" s="1"/>
  <c r="ET38" i="129"/>
  <c r="EM38" i="129" s="1"/>
  <c r="ET66" i="129"/>
  <c r="EM66" i="129" s="1"/>
  <c r="ET34" i="129"/>
  <c r="EM34" i="129" s="1"/>
  <c r="ET33" i="129"/>
  <c r="EM33" i="129" s="1"/>
  <c r="ET45" i="129"/>
  <c r="EM45" i="129" s="1"/>
  <c r="ET46" i="129"/>
  <c r="EM46" i="129" s="1"/>
  <c r="ET49" i="129"/>
  <c r="EM49" i="129" s="1"/>
  <c r="ET67" i="129"/>
  <c r="EM67" i="129" s="1"/>
  <c r="ET26" i="129"/>
  <c r="EM26" i="129" s="1"/>
  <c r="ET40" i="129"/>
  <c r="EM40" i="129" s="1"/>
  <c r="ET54" i="129"/>
  <c r="EM54" i="129" s="1"/>
  <c r="ET27" i="129"/>
  <c r="EM27" i="129" s="1"/>
  <c r="ET28" i="129"/>
  <c r="EM28" i="129" s="1"/>
  <c r="ET25" i="129"/>
  <c r="EM25" i="129" s="1"/>
  <c r="ET58" i="129"/>
  <c r="EM58" i="129" s="1"/>
  <c r="ET39" i="129"/>
  <c r="EM39" i="129" s="1"/>
  <c r="ET32" i="129"/>
  <c r="EM32" i="129" s="1"/>
  <c r="ET37" i="129"/>
  <c r="EM37" i="129" s="1"/>
  <c r="ET63" i="129"/>
  <c r="EM63" i="129" s="1"/>
  <c r="F84" i="194"/>
  <c r="ET50" i="129"/>
  <c r="EM50" i="129" s="1"/>
  <c r="ET57" i="129"/>
  <c r="EM57" i="129" s="1"/>
  <c r="ET41" i="129"/>
  <c r="EM41" i="129" s="1"/>
  <c r="ET53" i="129"/>
  <c r="EM53" i="129" s="1"/>
  <c r="ET22" i="129"/>
  <c r="EM22" i="129" s="1"/>
  <c r="F90" i="205"/>
  <c r="FY56" i="129"/>
  <c r="F126" i="205"/>
  <c r="F107" i="205"/>
  <c r="H126" i="205"/>
  <c r="F84" i="205"/>
  <c r="T8" i="124"/>
  <c r="F94" i="205"/>
  <c r="T64" i="126"/>
  <c r="T23" i="126"/>
  <c r="T11" i="124"/>
  <c r="T42" i="126"/>
  <c r="T12" i="124"/>
  <c r="T61" i="126"/>
  <c r="T15" i="124"/>
  <c r="F100" i="205"/>
  <c r="H107" i="205"/>
  <c r="T19" i="126"/>
  <c r="T16" i="124"/>
  <c r="F88" i="205"/>
  <c r="T18" i="121"/>
  <c r="T8" i="125"/>
  <c r="T8" i="126" s="1"/>
  <c r="H112" i="205"/>
  <c r="T35" i="126"/>
  <c r="T47" i="126"/>
  <c r="T10" i="124"/>
  <c r="T9" i="124"/>
  <c r="T29" i="126"/>
  <c r="T55" i="126"/>
  <c r="H120" i="205"/>
  <c r="T13" i="124"/>
  <c r="T14" i="124"/>
  <c r="S17" i="124"/>
  <c r="H106" i="194"/>
  <c r="H111" i="194"/>
  <c r="H99" i="194"/>
  <c r="BW18" i="129"/>
  <c r="BW17" i="129" s="1"/>
  <c r="H71" i="188"/>
  <c r="S3" i="178"/>
  <c r="F67" i="189"/>
  <c r="F69" i="189" s="1"/>
  <c r="M4" i="151"/>
  <c r="M4" i="134"/>
  <c r="N4" i="152"/>
  <c r="O16" i="157"/>
  <c r="N4" i="157"/>
  <c r="N4" i="153"/>
  <c r="K124" i="194"/>
  <c r="K123" i="194"/>
  <c r="K95" i="194"/>
  <c r="K116" i="194"/>
  <c r="K130" i="194"/>
  <c r="K98" i="194"/>
  <c r="K97" i="194"/>
  <c r="K109" i="194"/>
  <c r="K110" i="194"/>
  <c r="K113" i="194"/>
  <c r="K131" i="194"/>
  <c r="K104" i="194"/>
  <c r="K89" i="194"/>
  <c r="K101" i="194"/>
  <c r="K127" i="194"/>
  <c r="K114" i="194"/>
  <c r="F1" i="129"/>
  <c r="C5" i="130"/>
  <c r="Y1" i="129"/>
  <c r="E5" i="131"/>
  <c r="E5" i="132" s="1"/>
  <c r="D5" i="130"/>
  <c r="P1" i="129"/>
  <c r="M5" i="153"/>
  <c r="O16" i="153"/>
  <c r="M67" i="153"/>
  <c r="M69" i="153" s="1"/>
  <c r="O5" i="151"/>
  <c r="O67" i="151"/>
  <c r="O69" i="151" s="1"/>
  <c r="S2" i="151" s="1"/>
  <c r="E6" i="129"/>
  <c r="C6" i="131"/>
  <c r="C6" i="132" s="1"/>
  <c r="BX18" i="129"/>
  <c r="F5" i="131"/>
  <c r="F5" i="132" s="1"/>
  <c r="CY18" i="129"/>
  <c r="CZ18" i="129" s="1"/>
  <c r="BM7" i="129"/>
  <c r="BM6" i="129" s="1"/>
  <c r="BM1" i="129" s="1"/>
  <c r="BN17" i="129"/>
  <c r="BN7" i="129"/>
  <c r="BN6" i="129" s="1"/>
  <c r="BN1" i="129" s="1"/>
  <c r="O5" i="134"/>
  <c r="O67" i="134"/>
  <c r="O69" i="134" s="1"/>
  <c r="S2" i="134" s="1"/>
  <c r="M67" i="157"/>
  <c r="M69" i="157" s="1"/>
  <c r="M5" i="157"/>
  <c r="H125" i="194"/>
  <c r="DS64" i="129"/>
  <c r="DS16" i="129" s="1"/>
  <c r="DT65" i="129"/>
  <c r="DT64" i="129" s="1"/>
  <c r="DT16" i="129" s="1"/>
  <c r="DS19" i="129"/>
  <c r="DS8" i="129" s="1"/>
  <c r="DT20" i="129"/>
  <c r="DS61" i="129"/>
  <c r="DS15" i="129" s="1"/>
  <c r="DT62" i="129"/>
  <c r="DT61" i="129" s="1"/>
  <c r="DT15" i="129" s="1"/>
  <c r="CF7" i="129"/>
  <c r="CF6" i="129" s="1"/>
  <c r="CF1" i="129" s="1"/>
  <c r="CG10" i="129"/>
  <c r="CH29" i="129"/>
  <c r="CH10" i="129" s="1"/>
  <c r="CH19" i="129"/>
  <c r="CH8" i="129" s="1"/>
  <c r="CG8" i="129"/>
  <c r="K67" i="188"/>
  <c r="K69" i="188" s="1"/>
  <c r="DP18" i="129"/>
  <c r="DJ23" i="129"/>
  <c r="DJ9" i="129" s="1"/>
  <c r="DS47" i="129"/>
  <c r="DS13" i="129" s="1"/>
  <c r="DT48" i="129"/>
  <c r="DF7" i="129"/>
  <c r="DF6" i="129" s="1"/>
  <c r="DF1" i="129" s="1"/>
  <c r="DS42" i="129"/>
  <c r="DS12" i="129" s="1"/>
  <c r="DT43" i="129"/>
  <c r="CH55" i="129"/>
  <c r="CH14" i="129" s="1"/>
  <c r="CG14" i="129"/>
  <c r="CH42" i="129"/>
  <c r="CH12" i="129" s="1"/>
  <c r="CG12" i="129"/>
  <c r="DS29" i="129"/>
  <c r="DS10" i="129" s="1"/>
  <c r="DT30" i="129"/>
  <c r="DT29" i="129" s="1"/>
  <c r="DT10" i="129" s="1"/>
  <c r="DJ19" i="129"/>
  <c r="DJ8" i="129" s="1"/>
  <c r="CR50" i="129"/>
  <c r="CR66" i="129"/>
  <c r="CR67" i="129"/>
  <c r="CR52" i="129"/>
  <c r="CR25" i="129"/>
  <c r="CR41" i="129"/>
  <c r="CR40" i="129"/>
  <c r="CR60" i="129"/>
  <c r="CR22" i="129"/>
  <c r="CR59" i="129"/>
  <c r="CR54" i="129"/>
  <c r="CR26" i="129"/>
  <c r="CR53" i="129"/>
  <c r="CR63" i="129"/>
  <c r="CR37" i="129"/>
  <c r="CR34" i="129"/>
  <c r="CR28" i="129"/>
  <c r="CR46" i="129"/>
  <c r="CR57" i="129"/>
  <c r="CR33" i="129"/>
  <c r="CR39" i="129"/>
  <c r="CR58" i="129"/>
  <c r="CR32" i="129"/>
  <c r="CR38" i="129"/>
  <c r="CR51" i="129"/>
  <c r="CR21" i="129"/>
  <c r="CR27" i="129"/>
  <c r="CR31" i="129"/>
  <c r="CR49" i="129"/>
  <c r="CR45" i="129"/>
  <c r="CR44" i="129"/>
  <c r="CR56" i="129"/>
  <c r="CR30" i="129"/>
  <c r="CR62" i="129"/>
  <c r="CR43" i="129"/>
  <c r="CR48" i="129"/>
  <c r="CR65" i="129"/>
  <c r="CR36" i="129"/>
  <c r="CR20" i="129"/>
  <c r="CR24" i="129"/>
  <c r="DS35" i="129"/>
  <c r="DS11" i="129" s="1"/>
  <c r="DT36" i="129"/>
  <c r="CG15" i="129"/>
  <c r="CH61" i="129"/>
  <c r="CH15" i="129" s="1"/>
  <c r="CH23" i="129"/>
  <c r="CH9" i="129" s="1"/>
  <c r="CG9" i="129"/>
  <c r="DS55" i="129"/>
  <c r="DS14" i="129" s="1"/>
  <c r="DT56" i="129"/>
  <c r="CO7" i="129"/>
  <c r="CO6" i="129" s="1"/>
  <c r="CO1" i="129" s="1"/>
  <c r="CG16" i="129"/>
  <c r="CH64" i="129"/>
  <c r="CH16" i="129" s="1"/>
  <c r="CH47" i="129"/>
  <c r="CH13" i="129" s="1"/>
  <c r="CG13" i="129"/>
  <c r="CH35" i="129"/>
  <c r="CH11" i="129" s="1"/>
  <c r="CG11" i="129"/>
  <c r="I33" i="131"/>
  <c r="I33" i="132" s="1"/>
  <c r="I52" i="131"/>
  <c r="I52" i="132" s="1"/>
  <c r="H28" i="131"/>
  <c r="H28" i="132" s="1"/>
  <c r="H63" i="131"/>
  <c r="H63" i="132" s="1"/>
  <c r="I43" i="131"/>
  <c r="I43" i="132" s="1"/>
  <c r="I49" i="131"/>
  <c r="I49" i="132" s="1"/>
  <c r="I39" i="131"/>
  <c r="I39" i="132" s="1"/>
  <c r="I38" i="131"/>
  <c r="I38" i="132" s="1"/>
  <c r="I53" i="131"/>
  <c r="I53" i="132" s="1"/>
  <c r="I66" i="131"/>
  <c r="I66" i="132" s="1"/>
  <c r="I30" i="131"/>
  <c r="I30" i="132" s="1"/>
  <c r="I57" i="131"/>
  <c r="I57" i="132" s="1"/>
  <c r="H34" i="131"/>
  <c r="H34" i="132" s="1"/>
  <c r="I59" i="131"/>
  <c r="I59" i="132" s="1"/>
  <c r="I32" i="131"/>
  <c r="I32" i="132" s="1"/>
  <c r="I64" i="131"/>
  <c r="I64" i="132" s="1"/>
  <c r="I19" i="131"/>
  <c r="I19" i="132" s="1"/>
  <c r="H60" i="131"/>
  <c r="H60" i="132" s="1"/>
  <c r="I62" i="131"/>
  <c r="I62" i="132" s="1"/>
  <c r="I20" i="131"/>
  <c r="I20" i="132" s="1"/>
  <c r="I48" i="131"/>
  <c r="I48" i="132" s="1"/>
  <c r="I65" i="131"/>
  <c r="I65" i="132" s="1"/>
  <c r="I56" i="131"/>
  <c r="I56" i="132" s="1"/>
  <c r="I35" i="131"/>
  <c r="I35" i="132" s="1"/>
  <c r="I29" i="131"/>
  <c r="I29" i="132" s="1"/>
  <c r="I47" i="131"/>
  <c r="I47" i="132" s="1"/>
  <c r="I58" i="131"/>
  <c r="I58" i="132" s="1"/>
  <c r="I40" i="131"/>
  <c r="I40" i="132" s="1"/>
  <c r="I25" i="131"/>
  <c r="I25" i="132" s="1"/>
  <c r="I37" i="131"/>
  <c r="I37" i="132" s="1"/>
  <c r="I26" i="131"/>
  <c r="I26" i="132" s="1"/>
  <c r="I50" i="131"/>
  <c r="I50" i="132" s="1"/>
  <c r="I61" i="131"/>
  <c r="I61" i="132" s="1"/>
  <c r="I23" i="131"/>
  <c r="I23" i="132" s="1"/>
  <c r="H22" i="131"/>
  <c r="H22" i="132" s="1"/>
  <c r="H54" i="131"/>
  <c r="H54" i="132" s="1"/>
  <c r="H41" i="131"/>
  <c r="H41" i="132" s="1"/>
  <c r="H46" i="131"/>
  <c r="H46" i="132" s="1"/>
  <c r="I51" i="131"/>
  <c r="I51" i="132" s="1"/>
  <c r="I21" i="131"/>
  <c r="I21" i="132" s="1"/>
  <c r="I45" i="131"/>
  <c r="I45" i="132" s="1"/>
  <c r="I31" i="131"/>
  <c r="I31" i="132" s="1"/>
  <c r="I55" i="131"/>
  <c r="I55" i="132" s="1"/>
  <c r="I42" i="131"/>
  <c r="I42" i="132" s="1"/>
  <c r="H18" i="131"/>
  <c r="H18" i="132" s="1"/>
  <c r="I24" i="131"/>
  <c r="I24" i="132" s="1"/>
  <c r="I44" i="131"/>
  <c r="I44" i="132" s="1"/>
  <c r="I27" i="131"/>
  <c r="I27" i="132" s="1"/>
  <c r="I36" i="131"/>
  <c r="I36" i="132" s="1"/>
  <c r="H87" i="194"/>
  <c r="H83" i="194"/>
  <c r="H119" i="194"/>
  <c r="H93" i="194"/>
  <c r="H128" i="194"/>
  <c r="S36" i="110"/>
  <c r="FN35" i="129"/>
  <c r="FN11" i="129" s="1"/>
  <c r="FN29" i="129"/>
  <c r="FN10" i="129" s="1"/>
  <c r="S30" i="110"/>
  <c r="S43" i="110"/>
  <c r="FN42" i="129"/>
  <c r="FN12" i="129" s="1"/>
  <c r="S18" i="125"/>
  <c r="S7" i="121"/>
  <c r="S7" i="124"/>
  <c r="S6" i="124" s="1"/>
  <c r="S48" i="110"/>
  <c r="FN47" i="129"/>
  <c r="FN13" i="129" s="1"/>
  <c r="S62" i="110"/>
  <c r="FN61" i="129"/>
  <c r="FN15" i="129" s="1"/>
  <c r="S56" i="110"/>
  <c r="FN55" i="129"/>
  <c r="FN14" i="129" s="1"/>
  <c r="FN64" i="129"/>
  <c r="FN16" i="129" s="1"/>
  <c r="S65" i="110"/>
  <c r="S20" i="110"/>
  <c r="FN19" i="129"/>
  <c r="FN8" i="129" s="1"/>
  <c r="S24" i="110"/>
  <c r="FN23" i="129"/>
  <c r="FN9" i="129" s="1"/>
  <c r="I79" i="194"/>
  <c r="I74" i="194"/>
  <c r="I77" i="194"/>
  <c r="I75" i="194"/>
  <c r="I73" i="194"/>
  <c r="I72" i="194"/>
  <c r="I76" i="194"/>
  <c r="I80" i="194"/>
  <c r="I78" i="194"/>
  <c r="K103" i="194"/>
  <c r="K117" i="194"/>
  <c r="K108" i="194"/>
  <c r="K118" i="194"/>
  <c r="K121" i="194"/>
  <c r="K102" i="194"/>
  <c r="K105" i="194"/>
  <c r="K96" i="194"/>
  <c r="K90" i="194"/>
  <c r="K115" i="194"/>
  <c r="K122" i="194"/>
  <c r="K85" i="194"/>
  <c r="K86" i="194"/>
  <c r="K91" i="194"/>
  <c r="K92" i="194"/>
  <c r="K109" i="192"/>
  <c r="Q45" i="110"/>
  <c r="I75" i="192"/>
  <c r="I73" i="192"/>
  <c r="F129" i="192"/>
  <c r="I72" i="192"/>
  <c r="I76" i="192"/>
  <c r="F84" i="192"/>
  <c r="K123" i="192"/>
  <c r="Q59" i="110"/>
  <c r="H111" i="192"/>
  <c r="K116" i="192"/>
  <c r="Q52" i="110"/>
  <c r="K103" i="192"/>
  <c r="Q39" i="110"/>
  <c r="F107" i="192"/>
  <c r="K101" i="192"/>
  <c r="Q37" i="110"/>
  <c r="K113" i="192"/>
  <c r="Q49" i="110"/>
  <c r="F94" i="192"/>
  <c r="F88" i="192"/>
  <c r="K131" i="192"/>
  <c r="Q67" i="110"/>
  <c r="I80" i="192"/>
  <c r="H125" i="192"/>
  <c r="H99" i="192"/>
  <c r="K104" i="192"/>
  <c r="Q40" i="110"/>
  <c r="K108" i="192"/>
  <c r="Q44" i="110"/>
  <c r="Q54" i="110"/>
  <c r="K118" i="192"/>
  <c r="K95" i="192"/>
  <c r="Q31" i="110"/>
  <c r="K114" i="192"/>
  <c r="Q50" i="110"/>
  <c r="H93" i="192"/>
  <c r="F126" i="192"/>
  <c r="Q33" i="110"/>
  <c r="K97" i="192"/>
  <c r="H87" i="192"/>
  <c r="Q53" i="110"/>
  <c r="K117" i="192"/>
  <c r="K110" i="192"/>
  <c r="Q46" i="110"/>
  <c r="H106" i="192"/>
  <c r="K90" i="192"/>
  <c r="Q26" i="110"/>
  <c r="H119" i="192"/>
  <c r="K115" i="192"/>
  <c r="Q51" i="110"/>
  <c r="I77" i="192"/>
  <c r="F120" i="192"/>
  <c r="Q57" i="110"/>
  <c r="K121" i="192"/>
  <c r="K102" i="192"/>
  <c r="Q38" i="110"/>
  <c r="I78" i="192"/>
  <c r="K98" i="192"/>
  <c r="Q34" i="110"/>
  <c r="Q41" i="110"/>
  <c r="K105" i="192"/>
  <c r="Q18" i="125"/>
  <c r="Q7" i="121"/>
  <c r="Q7" i="124"/>
  <c r="Q6" i="124" s="1"/>
  <c r="F100" i="192"/>
  <c r="K96" i="192"/>
  <c r="Q32" i="110"/>
  <c r="H83" i="192"/>
  <c r="K127" i="192"/>
  <c r="Q63" i="110"/>
  <c r="I79" i="192"/>
  <c r="K124" i="192"/>
  <c r="Q60" i="110"/>
  <c r="I74" i="192"/>
  <c r="K85" i="192"/>
  <c r="Q21" i="110"/>
  <c r="K86" i="192"/>
  <c r="Q22" i="110"/>
  <c r="K91" i="192"/>
  <c r="Q27" i="110"/>
  <c r="F112" i="192"/>
  <c r="Q28" i="110"/>
  <c r="K92" i="192"/>
  <c r="K89" i="192"/>
  <c r="Q25" i="110"/>
  <c r="K130" i="192"/>
  <c r="Q66" i="110"/>
  <c r="K122" i="192"/>
  <c r="Q58" i="110"/>
  <c r="H128" i="192"/>
  <c r="R29" i="110"/>
  <c r="R23" i="110"/>
  <c r="R47" i="110"/>
  <c r="R35" i="110"/>
  <c r="R55" i="110"/>
  <c r="R19" i="110"/>
  <c r="R64" i="110"/>
  <c r="R61" i="110"/>
  <c r="R42" i="110"/>
  <c r="M7" i="110"/>
  <c r="H55" i="132"/>
  <c r="H42" i="132"/>
  <c r="H47" i="132"/>
  <c r="O10" i="110"/>
  <c r="K75" i="189"/>
  <c r="L76" i="188"/>
  <c r="R9" i="188"/>
  <c r="S9" i="188" s="1"/>
  <c r="L80" i="188"/>
  <c r="R13" i="188"/>
  <c r="S13" i="188" s="1"/>
  <c r="F83" i="189"/>
  <c r="H72" i="189"/>
  <c r="I13" i="130"/>
  <c r="I54" i="130"/>
  <c r="I11" i="130"/>
  <c r="I41" i="130"/>
  <c r="L78" i="188"/>
  <c r="R11" i="188"/>
  <c r="S11" i="188" s="1"/>
  <c r="H7" i="131"/>
  <c r="H64" i="132"/>
  <c r="K77" i="189"/>
  <c r="O12" i="110"/>
  <c r="L77" i="188"/>
  <c r="R10" i="188"/>
  <c r="S10" i="188" s="1"/>
  <c r="O14" i="110"/>
  <c r="K79" i="189"/>
  <c r="K83" i="188"/>
  <c r="N18" i="110"/>
  <c r="F72" i="188"/>
  <c r="G5" i="130"/>
  <c r="O15" i="110"/>
  <c r="K80" i="189"/>
  <c r="L79" i="188"/>
  <c r="R12" i="188"/>
  <c r="S12" i="188" s="1"/>
  <c r="I63" i="130"/>
  <c r="I15" i="130"/>
  <c r="I8" i="130"/>
  <c r="I22" i="130"/>
  <c r="I18" i="130"/>
  <c r="J55" i="130"/>
  <c r="J19" i="130"/>
  <c r="J42" i="130"/>
  <c r="J64" i="130"/>
  <c r="J47" i="130"/>
  <c r="J33" i="130"/>
  <c r="J43" i="130"/>
  <c r="J58" i="130"/>
  <c r="J39" i="130"/>
  <c r="J48" i="130"/>
  <c r="J66" i="130"/>
  <c r="J30" i="130"/>
  <c r="J21" i="130"/>
  <c r="J36" i="130"/>
  <c r="J44" i="130"/>
  <c r="J50" i="130"/>
  <c r="J51" i="130"/>
  <c r="J24" i="130"/>
  <c r="J45" i="130"/>
  <c r="J65" i="130"/>
  <c r="L6" i="110"/>
  <c r="L5" i="110" s="1"/>
  <c r="K74" i="189"/>
  <c r="O9" i="110"/>
  <c r="L74" i="188"/>
  <c r="R7" i="188"/>
  <c r="S7" i="188" s="1"/>
  <c r="O13" i="110"/>
  <c r="K78" i="189"/>
  <c r="O11" i="110"/>
  <c r="K76" i="189"/>
  <c r="H61" i="132"/>
  <c r="L73" i="188"/>
  <c r="R6" i="188"/>
  <c r="S6" i="188" s="1"/>
  <c r="I10" i="130"/>
  <c r="I34" i="130"/>
  <c r="I28" i="130"/>
  <c r="I9" i="130"/>
  <c r="I12" i="130"/>
  <c r="I46" i="130"/>
  <c r="H29" i="132"/>
  <c r="H7" i="130"/>
  <c r="H19" i="132"/>
  <c r="H35" i="132"/>
  <c r="O16" i="110"/>
  <c r="K81" i="189"/>
  <c r="L75" i="188"/>
  <c r="R8" i="188"/>
  <c r="S8" i="188" s="1"/>
  <c r="L81" i="188"/>
  <c r="R14" i="188"/>
  <c r="S14" i="188" s="1"/>
  <c r="I71" i="189"/>
  <c r="I14" i="130"/>
  <c r="I60" i="130"/>
  <c r="O8" i="110"/>
  <c r="K73" i="189"/>
  <c r="H23" i="132"/>
  <c r="J29" i="130"/>
  <c r="J61" i="130"/>
  <c r="J23" i="130"/>
  <c r="J35" i="130"/>
  <c r="J26" i="130"/>
  <c r="J37" i="130"/>
  <c r="J62" i="130"/>
  <c r="J59" i="130"/>
  <c r="J57" i="130"/>
  <c r="J52" i="130"/>
  <c r="J40" i="130"/>
  <c r="J53" i="130"/>
  <c r="J56" i="130"/>
  <c r="J27" i="130"/>
  <c r="J32" i="130"/>
  <c r="J20" i="130"/>
  <c r="J38" i="130"/>
  <c r="J49" i="130"/>
  <c r="J25" i="130"/>
  <c r="J31" i="130"/>
  <c r="R5" i="186"/>
  <c r="S5" i="186" s="1"/>
  <c r="G5" i="131"/>
  <c r="G6" i="132"/>
  <c r="R4" i="185"/>
  <c r="S4" i="185" s="1"/>
  <c r="N135" i="200" l="1"/>
  <c r="N140" i="200"/>
  <c r="N136" i="200"/>
  <c r="N137" i="200"/>
  <c r="N139" i="200"/>
  <c r="N134" i="200"/>
  <c r="F59" i="207"/>
  <c r="X61" i="110" s="1"/>
  <c r="X63" i="110"/>
  <c r="N141" i="200"/>
  <c r="H73" i="212"/>
  <c r="H73" i="213"/>
  <c r="K100" i="212"/>
  <c r="K100" i="213"/>
  <c r="F119" i="212"/>
  <c r="F119" i="213"/>
  <c r="H76" i="212"/>
  <c r="H76" i="213"/>
  <c r="H75" i="212"/>
  <c r="H75" i="213"/>
  <c r="K88" i="212"/>
  <c r="K88" i="213"/>
  <c r="H77" i="212"/>
  <c r="H77" i="213"/>
  <c r="H80" i="212"/>
  <c r="H80" i="213"/>
  <c r="H72" i="212"/>
  <c r="H72" i="213"/>
  <c r="I82" i="212"/>
  <c r="I82" i="213"/>
  <c r="K126" i="212"/>
  <c r="K126" i="213"/>
  <c r="F87" i="212"/>
  <c r="F87" i="213"/>
  <c r="F106" i="212"/>
  <c r="F106" i="213"/>
  <c r="K129" i="212"/>
  <c r="K129" i="213"/>
  <c r="F99" i="212"/>
  <c r="F99" i="213"/>
  <c r="K84" i="212"/>
  <c r="K84" i="213"/>
  <c r="F125" i="212"/>
  <c r="F125" i="213"/>
  <c r="H79" i="212"/>
  <c r="H79" i="213"/>
  <c r="F93" i="212"/>
  <c r="F93" i="213"/>
  <c r="F128" i="212"/>
  <c r="F128" i="213"/>
  <c r="H74" i="212"/>
  <c r="H74" i="213"/>
  <c r="K112" i="212"/>
  <c r="K112" i="213"/>
  <c r="H78" i="212"/>
  <c r="H78" i="213"/>
  <c r="K107" i="212"/>
  <c r="K107" i="213"/>
  <c r="K120" i="212"/>
  <c r="K120" i="213"/>
  <c r="F111" i="212"/>
  <c r="F111" i="213"/>
  <c r="K94" i="212"/>
  <c r="K94" i="213"/>
  <c r="F83" i="212"/>
  <c r="F83" i="213"/>
  <c r="N5" i="212"/>
  <c r="N85" i="200" s="1"/>
  <c r="V17" i="130"/>
  <c r="K112" i="211"/>
  <c r="K107" i="211"/>
  <c r="T39" i="110"/>
  <c r="K126" i="211"/>
  <c r="K129" i="211"/>
  <c r="K94" i="211"/>
  <c r="I82" i="211"/>
  <c r="K120" i="211"/>
  <c r="K84" i="211"/>
  <c r="K88" i="211"/>
  <c r="K100" i="211"/>
  <c r="FY63" i="129"/>
  <c r="T49" i="110"/>
  <c r="K96" i="205"/>
  <c r="K104" i="205"/>
  <c r="F112" i="205"/>
  <c r="FY26" i="129"/>
  <c r="T26" i="110"/>
  <c r="F96" i="205"/>
  <c r="F104" i="205"/>
  <c r="F118" i="205"/>
  <c r="K113" i="205"/>
  <c r="FY28" i="129"/>
  <c r="K118" i="205"/>
  <c r="FY54" i="129"/>
  <c r="F113" i="205"/>
  <c r="F62" i="207"/>
  <c r="FY40" i="129"/>
  <c r="K114" i="205"/>
  <c r="F92" i="205"/>
  <c r="K92" i="205"/>
  <c r="N16" i="211"/>
  <c r="GO7" i="129"/>
  <c r="T32" i="110"/>
  <c r="FY46" i="129"/>
  <c r="F114" i="205"/>
  <c r="T66" i="110"/>
  <c r="H78" i="211"/>
  <c r="F111" i="194"/>
  <c r="F111" i="211"/>
  <c r="H76" i="211"/>
  <c r="H75" i="211"/>
  <c r="H77" i="211"/>
  <c r="F83" i="194"/>
  <c r="F83" i="211"/>
  <c r="H80" i="211"/>
  <c r="H72" i="211"/>
  <c r="F99" i="194"/>
  <c r="F99" i="211"/>
  <c r="H74" i="211"/>
  <c r="F87" i="194"/>
  <c r="F87" i="211"/>
  <c r="F106" i="194"/>
  <c r="F106" i="211"/>
  <c r="F119" i="194"/>
  <c r="F119" i="211"/>
  <c r="H73" i="211"/>
  <c r="F125" i="194"/>
  <c r="F125" i="211"/>
  <c r="H79" i="211"/>
  <c r="F93" i="194"/>
  <c r="F93" i="211"/>
  <c r="F128" i="194"/>
  <c r="F128" i="211"/>
  <c r="FY25" i="129"/>
  <c r="T34" i="110"/>
  <c r="K108" i="205"/>
  <c r="K109" i="205"/>
  <c r="T52" i="110"/>
  <c r="F17" i="207"/>
  <c r="FY44" i="129"/>
  <c r="F108" i="205"/>
  <c r="K86" i="205"/>
  <c r="F121" i="205"/>
  <c r="T53" i="110"/>
  <c r="F117" i="205"/>
  <c r="F95" i="205"/>
  <c r="T50" i="110"/>
  <c r="K117" i="205"/>
  <c r="F97" i="205"/>
  <c r="F86" i="205"/>
  <c r="T22" i="110"/>
  <c r="F115" i="205"/>
  <c r="K97" i="205"/>
  <c r="K121" i="205"/>
  <c r="FY57" i="129"/>
  <c r="K95" i="205"/>
  <c r="T31" i="110"/>
  <c r="FY33" i="129"/>
  <c r="F85" i="205"/>
  <c r="T21" i="110"/>
  <c r="F101" i="205"/>
  <c r="K85" i="205"/>
  <c r="F91" i="205"/>
  <c r="T51" i="110"/>
  <c r="FY51" i="129"/>
  <c r="F102" i="205"/>
  <c r="K124" i="205"/>
  <c r="FY60" i="129"/>
  <c r="F124" i="205"/>
  <c r="F123" i="205"/>
  <c r="I75" i="207"/>
  <c r="I25" i="200"/>
  <c r="I73" i="200" s="1"/>
  <c r="H45" i="200"/>
  <c r="H43" i="200"/>
  <c r="H39" i="200"/>
  <c r="I72" i="207"/>
  <c r="I22" i="200"/>
  <c r="I70" i="200" s="1"/>
  <c r="I73" i="207"/>
  <c r="I23" i="200"/>
  <c r="I71" i="200" s="1"/>
  <c r="I76" i="207"/>
  <c r="I26" i="200"/>
  <c r="I74" i="200" s="1"/>
  <c r="I78" i="207"/>
  <c r="I28" i="200"/>
  <c r="I76" i="200" s="1"/>
  <c r="I74" i="207"/>
  <c r="I24" i="200"/>
  <c r="I72" i="200" s="1"/>
  <c r="I77" i="207"/>
  <c r="I27" i="200"/>
  <c r="I75" i="200" s="1"/>
  <c r="H44" i="200"/>
  <c r="H42" i="200"/>
  <c r="H41" i="200"/>
  <c r="H40" i="200"/>
  <c r="H38" i="200"/>
  <c r="H46" i="200"/>
  <c r="I79" i="207"/>
  <c r="I29" i="200"/>
  <c r="I77" i="200" s="1"/>
  <c r="I80" i="207"/>
  <c r="I30" i="200"/>
  <c r="I78" i="200" s="1"/>
  <c r="T41" i="110"/>
  <c r="T48" i="110"/>
  <c r="K105" i="205"/>
  <c r="FY41" i="129"/>
  <c r="F105" i="205"/>
  <c r="F45" i="207"/>
  <c r="F40" i="207"/>
  <c r="F21" i="207"/>
  <c r="F98" i="207"/>
  <c r="K32" i="207"/>
  <c r="GI34" i="129" s="1"/>
  <c r="F101" i="207"/>
  <c r="K35" i="207"/>
  <c r="GI37" i="129" s="1"/>
  <c r="F33" i="207"/>
  <c r="X35" i="110" s="1"/>
  <c r="F110" i="207"/>
  <c r="K44" i="207"/>
  <c r="GI46" i="129" s="1"/>
  <c r="F92" i="207"/>
  <c r="K26" i="207"/>
  <c r="GI28" i="129" s="1"/>
  <c r="H79" i="207"/>
  <c r="H77" i="207"/>
  <c r="F125" i="207"/>
  <c r="F13" i="207"/>
  <c r="F115" i="207"/>
  <c r="K49" i="207"/>
  <c r="GI51" i="129" s="1"/>
  <c r="F116" i="207"/>
  <c r="K50" i="207"/>
  <c r="GI52" i="129" s="1"/>
  <c r="F105" i="207"/>
  <c r="K39" i="207"/>
  <c r="GI41" i="129" s="1"/>
  <c r="F97" i="207"/>
  <c r="K31" i="207"/>
  <c r="GI33" i="129" s="1"/>
  <c r="H75" i="207"/>
  <c r="H74" i="207"/>
  <c r="F131" i="205"/>
  <c r="K88" i="207"/>
  <c r="K84" i="207"/>
  <c r="K107" i="207"/>
  <c r="H80" i="207"/>
  <c r="K100" i="207"/>
  <c r="K94" i="207"/>
  <c r="F104" i="207"/>
  <c r="K38" i="207"/>
  <c r="GI40" i="129" s="1"/>
  <c r="F131" i="207"/>
  <c r="K65" i="207"/>
  <c r="GI67" i="129" s="1"/>
  <c r="F130" i="207"/>
  <c r="K64" i="207"/>
  <c r="GI66" i="129" s="1"/>
  <c r="F122" i="207"/>
  <c r="K56" i="207"/>
  <c r="GI58" i="129" s="1"/>
  <c r="F89" i="207"/>
  <c r="K23" i="207"/>
  <c r="GI25" i="129" s="1"/>
  <c r="F114" i="207"/>
  <c r="K48" i="207"/>
  <c r="GI50" i="129" s="1"/>
  <c r="F109" i="207"/>
  <c r="K43" i="207"/>
  <c r="GI45" i="129" s="1"/>
  <c r="K51" i="207"/>
  <c r="GI53" i="129" s="1"/>
  <c r="F117" i="207"/>
  <c r="F118" i="207"/>
  <c r="K52" i="207"/>
  <c r="GI54" i="129" s="1"/>
  <c r="F123" i="207"/>
  <c r="K57" i="207"/>
  <c r="GI59" i="129" s="1"/>
  <c r="F85" i="207"/>
  <c r="K19" i="207"/>
  <c r="GI21" i="129" s="1"/>
  <c r="H78" i="207"/>
  <c r="H76" i="207"/>
  <c r="K126" i="207"/>
  <c r="K112" i="207"/>
  <c r="F103" i="207"/>
  <c r="K37" i="207"/>
  <c r="GI39" i="129" s="1"/>
  <c r="F96" i="207"/>
  <c r="K30" i="207"/>
  <c r="GI32" i="129" s="1"/>
  <c r="K129" i="207"/>
  <c r="F95" i="207"/>
  <c r="K29" i="207"/>
  <c r="GI31" i="129" s="1"/>
  <c r="F113" i="207"/>
  <c r="K47" i="207"/>
  <c r="GI49" i="129" s="1"/>
  <c r="H73" i="207"/>
  <c r="K120" i="207"/>
  <c r="H72" i="207"/>
  <c r="F27" i="207"/>
  <c r="X29" i="110" s="1"/>
  <c r="F102" i="207"/>
  <c r="K36" i="207"/>
  <c r="GI38" i="129" s="1"/>
  <c r="F127" i="207"/>
  <c r="K61" i="207"/>
  <c r="GI63" i="129" s="1"/>
  <c r="F86" i="207"/>
  <c r="K20" i="207"/>
  <c r="GI22" i="129" s="1"/>
  <c r="F108" i="207"/>
  <c r="K42" i="207"/>
  <c r="GI44" i="129" s="1"/>
  <c r="F53" i="207"/>
  <c r="X55" i="110" s="1"/>
  <c r="F121" i="207"/>
  <c r="K55" i="207"/>
  <c r="GI57" i="129" s="1"/>
  <c r="F91" i="207"/>
  <c r="K25" i="207"/>
  <c r="GI27" i="129" s="1"/>
  <c r="F90" i="207"/>
  <c r="K24" i="207"/>
  <c r="GI26" i="129" s="1"/>
  <c r="F124" i="207"/>
  <c r="K58" i="207"/>
  <c r="GI60" i="129" s="1"/>
  <c r="F122" i="205"/>
  <c r="ET24" i="129"/>
  <c r="EM24" i="129" s="1"/>
  <c r="EM23" i="129" s="1"/>
  <c r="ET30" i="129"/>
  <c r="ET29" i="129" s="1"/>
  <c r="ET56" i="129"/>
  <c r="ET55" i="129" s="1"/>
  <c r="ET62" i="129"/>
  <c r="ET61" i="129" s="1"/>
  <c r="ET20" i="129"/>
  <c r="ET19" i="129" s="1"/>
  <c r="ET65" i="129"/>
  <c r="ET64" i="129" s="1"/>
  <c r="ET48" i="129"/>
  <c r="ET47" i="129" s="1"/>
  <c r="ET36" i="129"/>
  <c r="ET35" i="129" s="1"/>
  <c r="ET43" i="129"/>
  <c r="ET42" i="129" s="1"/>
  <c r="FY48" i="129"/>
  <c r="F120" i="205"/>
  <c r="H128" i="205"/>
  <c r="H87" i="205"/>
  <c r="H125" i="205"/>
  <c r="K126" i="205"/>
  <c r="H83" i="205"/>
  <c r="K84" i="205"/>
  <c r="H119" i="205"/>
  <c r="H111" i="205"/>
  <c r="I111" i="205"/>
  <c r="I87" i="205"/>
  <c r="H93" i="205"/>
  <c r="I125" i="205"/>
  <c r="K129" i="205"/>
  <c r="F129" i="205"/>
  <c r="I93" i="205"/>
  <c r="H106" i="205"/>
  <c r="H99" i="205"/>
  <c r="I106" i="205"/>
  <c r="I99" i="205"/>
  <c r="K94" i="205"/>
  <c r="T56" i="110"/>
  <c r="I119" i="205"/>
  <c r="T7" i="121"/>
  <c r="T18" i="125"/>
  <c r="K88" i="205"/>
  <c r="T18" i="124"/>
  <c r="I128" i="205"/>
  <c r="K100" i="205"/>
  <c r="I83" i="205"/>
  <c r="H75" i="205"/>
  <c r="K120" i="205"/>
  <c r="H80" i="205"/>
  <c r="H73" i="205"/>
  <c r="H77" i="205"/>
  <c r="H78" i="205"/>
  <c r="K112" i="205"/>
  <c r="H72" i="205"/>
  <c r="H74" i="205"/>
  <c r="H76" i="205"/>
  <c r="H79" i="205"/>
  <c r="I82" i="194"/>
  <c r="CG18" i="129"/>
  <c r="CG17" i="129" s="1"/>
  <c r="O67" i="157"/>
  <c r="O69" i="157" s="1"/>
  <c r="S2" i="157" s="1"/>
  <c r="O5" i="157"/>
  <c r="S3" i="185"/>
  <c r="L67" i="188"/>
  <c r="L69" i="188" s="1"/>
  <c r="O4" i="151"/>
  <c r="O4" i="134"/>
  <c r="M4" i="157"/>
  <c r="M4" i="153"/>
  <c r="K120" i="194"/>
  <c r="K84" i="194"/>
  <c r="K129" i="194"/>
  <c r="K112" i="194"/>
  <c r="K100" i="194"/>
  <c r="K88" i="194"/>
  <c r="K94" i="194"/>
  <c r="E1" i="129"/>
  <c r="C5" i="131"/>
  <c r="C5" i="132" s="1"/>
  <c r="O5" i="153"/>
  <c r="O67" i="153"/>
  <c r="O69" i="153" s="1"/>
  <c r="S2" i="153" s="1"/>
  <c r="DI18" i="129"/>
  <c r="DJ18" i="129" s="1"/>
  <c r="CH18" i="129"/>
  <c r="BX17" i="129"/>
  <c r="BX7" i="129"/>
  <c r="BX6" i="129" s="1"/>
  <c r="BX1" i="129" s="1"/>
  <c r="K67" i="189"/>
  <c r="K69" i="189" s="1"/>
  <c r="DZ18" i="129"/>
  <c r="CR19" i="129"/>
  <c r="CR8" i="129" s="1"/>
  <c r="CQ8" i="129"/>
  <c r="CR42" i="129"/>
  <c r="CR12" i="129" s="1"/>
  <c r="CQ12" i="129"/>
  <c r="DT42" i="129"/>
  <c r="DT12" i="129" s="1"/>
  <c r="DP7" i="129"/>
  <c r="DP6" i="129" s="1"/>
  <c r="DP1" i="129" s="1"/>
  <c r="CP7" i="129"/>
  <c r="CP6" i="129" s="1"/>
  <c r="CP1" i="129" s="1"/>
  <c r="DT35" i="129"/>
  <c r="DT11" i="129" s="1"/>
  <c r="CR35" i="129"/>
  <c r="CR11" i="129" s="1"/>
  <c r="CQ11" i="129"/>
  <c r="CQ15" i="129"/>
  <c r="CR61" i="129"/>
  <c r="CR15" i="129" s="1"/>
  <c r="CQ16" i="129"/>
  <c r="CR64" i="129"/>
  <c r="CR16" i="129" s="1"/>
  <c r="CQ10" i="129"/>
  <c r="CR29" i="129"/>
  <c r="CR10" i="129" s="1"/>
  <c r="DB50" i="129"/>
  <c r="DB39" i="129"/>
  <c r="DB67" i="129"/>
  <c r="DB31" i="129"/>
  <c r="DB49" i="129"/>
  <c r="DB38" i="129"/>
  <c r="DB40" i="129"/>
  <c r="DB66" i="129"/>
  <c r="M65" i="130" s="1"/>
  <c r="DB59" i="129"/>
  <c r="DB54" i="129"/>
  <c r="DB26" i="129"/>
  <c r="DB27" i="129"/>
  <c r="DB60" i="129"/>
  <c r="M59" i="130" s="1"/>
  <c r="DB41" i="129"/>
  <c r="DB53" i="129"/>
  <c r="DB25" i="129"/>
  <c r="DB28" i="129"/>
  <c r="DB34" i="129"/>
  <c r="DB37" i="129"/>
  <c r="DB63" i="129"/>
  <c r="DB33" i="129"/>
  <c r="DB51" i="129"/>
  <c r="DB52" i="129"/>
  <c r="DB44" i="129"/>
  <c r="M43" i="130" s="1"/>
  <c r="DB45" i="129"/>
  <c r="DB57" i="129"/>
  <c r="DB32" i="129"/>
  <c r="DB58" i="129"/>
  <c r="DB22" i="129"/>
  <c r="DB46" i="129"/>
  <c r="DB21" i="129"/>
  <c r="M20" i="130" s="1"/>
  <c r="DB48" i="129"/>
  <c r="DB65" i="129"/>
  <c r="DB20" i="129"/>
  <c r="DB62" i="129"/>
  <c r="DB43" i="129"/>
  <c r="DB30" i="129"/>
  <c r="DB36" i="129"/>
  <c r="M35" i="130" s="1"/>
  <c r="DB56" i="129"/>
  <c r="DB24" i="129"/>
  <c r="DT55" i="129"/>
  <c r="DT14" i="129" s="1"/>
  <c r="CR23" i="129"/>
  <c r="CR9" i="129" s="1"/>
  <c r="CQ9" i="129"/>
  <c r="CR47" i="129"/>
  <c r="CR13" i="129" s="1"/>
  <c r="CQ13" i="129"/>
  <c r="CR55" i="129"/>
  <c r="CR14" i="129" s="1"/>
  <c r="CQ14" i="129"/>
  <c r="CY7" i="129"/>
  <c r="CY6" i="129" s="1"/>
  <c r="CY1" i="129" s="1"/>
  <c r="DT47" i="129"/>
  <c r="DT13" i="129" s="1"/>
  <c r="DT19" i="129"/>
  <c r="DT8" i="129" s="1"/>
  <c r="K29" i="131"/>
  <c r="K42" i="131"/>
  <c r="K64" i="131"/>
  <c r="K31" i="131"/>
  <c r="K38" i="131"/>
  <c r="K37" i="131"/>
  <c r="K43" i="131"/>
  <c r="K50" i="131"/>
  <c r="K25" i="131"/>
  <c r="K27" i="131"/>
  <c r="K47" i="131"/>
  <c r="K35" i="131"/>
  <c r="K24" i="131"/>
  <c r="K56" i="131"/>
  <c r="K45" i="131"/>
  <c r="K62" i="131"/>
  <c r="K44" i="131"/>
  <c r="K40" i="131"/>
  <c r="K33" i="131"/>
  <c r="K57" i="131"/>
  <c r="K61" i="131"/>
  <c r="K23" i="131"/>
  <c r="K58" i="131"/>
  <c r="K32" i="131"/>
  <c r="K52" i="131"/>
  <c r="K53" i="131"/>
  <c r="K30" i="131"/>
  <c r="K39" i="131"/>
  <c r="K26" i="131"/>
  <c r="K48" i="131"/>
  <c r="K19" i="131"/>
  <c r="K55" i="131"/>
  <c r="K65" i="131"/>
  <c r="K20" i="131"/>
  <c r="K51" i="131"/>
  <c r="K59" i="131"/>
  <c r="K21" i="131"/>
  <c r="K66" i="131"/>
  <c r="K36" i="131"/>
  <c r="K49" i="131"/>
  <c r="J65" i="131"/>
  <c r="J65" i="132" s="1"/>
  <c r="J50" i="131"/>
  <c r="J50" i="132" s="1"/>
  <c r="J30" i="131"/>
  <c r="J30" i="132" s="1"/>
  <c r="J58" i="131"/>
  <c r="J58" i="132" s="1"/>
  <c r="J64" i="131"/>
  <c r="J64" i="132" s="1"/>
  <c r="J25" i="131"/>
  <c r="J25" i="132" s="1"/>
  <c r="J32" i="131"/>
  <c r="J32" i="132" s="1"/>
  <c r="J57" i="131"/>
  <c r="J57" i="132" s="1"/>
  <c r="J26" i="131"/>
  <c r="J26" i="132" s="1"/>
  <c r="J29" i="131"/>
  <c r="J29" i="132" s="1"/>
  <c r="J56" i="131"/>
  <c r="J56" i="132" s="1"/>
  <c r="J51" i="131"/>
  <c r="J51" i="132" s="1"/>
  <c r="J21" i="131"/>
  <c r="J21" i="132" s="1"/>
  <c r="J39" i="131"/>
  <c r="J39" i="132" s="1"/>
  <c r="J47" i="131"/>
  <c r="J47" i="132" s="1"/>
  <c r="J55" i="131"/>
  <c r="J55" i="132" s="1"/>
  <c r="J49" i="131"/>
  <c r="J49" i="132" s="1"/>
  <c r="J27" i="131"/>
  <c r="J27" i="132" s="1"/>
  <c r="J59" i="131"/>
  <c r="J59" i="132" s="1"/>
  <c r="J35" i="131"/>
  <c r="J35" i="132" s="1"/>
  <c r="J24" i="131"/>
  <c r="J24" i="132" s="1"/>
  <c r="J36" i="131"/>
  <c r="J36" i="132" s="1"/>
  <c r="J48" i="131"/>
  <c r="J48" i="132" s="1"/>
  <c r="J33" i="131"/>
  <c r="J33" i="132" s="1"/>
  <c r="J19" i="131"/>
  <c r="J19" i="132" s="1"/>
  <c r="J38" i="131"/>
  <c r="J38" i="132" s="1"/>
  <c r="J40" i="131"/>
  <c r="J40" i="132" s="1"/>
  <c r="J62" i="131"/>
  <c r="J62" i="132" s="1"/>
  <c r="J23" i="131"/>
  <c r="J23" i="132" s="1"/>
  <c r="J45" i="131"/>
  <c r="J45" i="132" s="1"/>
  <c r="J44" i="131"/>
  <c r="J44" i="132" s="1"/>
  <c r="J66" i="131"/>
  <c r="J66" i="132" s="1"/>
  <c r="J43" i="131"/>
  <c r="J43" i="132" s="1"/>
  <c r="J42" i="131"/>
  <c r="J42" i="132" s="1"/>
  <c r="J31" i="131"/>
  <c r="J31" i="132" s="1"/>
  <c r="J20" i="131"/>
  <c r="J20" i="132" s="1"/>
  <c r="J52" i="131"/>
  <c r="J52" i="132" s="1"/>
  <c r="J37" i="131"/>
  <c r="J37" i="132" s="1"/>
  <c r="J61" i="131"/>
  <c r="J61" i="132" s="1"/>
  <c r="J53" i="131"/>
  <c r="J53" i="132" s="1"/>
  <c r="H10" i="131"/>
  <c r="H10" i="132" s="1"/>
  <c r="I28" i="131"/>
  <c r="I28" i="132" s="1"/>
  <c r="H15" i="131"/>
  <c r="H15" i="132" s="1"/>
  <c r="H13" i="131"/>
  <c r="H13" i="132" s="1"/>
  <c r="H8" i="131"/>
  <c r="H8" i="132" s="1"/>
  <c r="I22" i="131"/>
  <c r="I22" i="132" s="1"/>
  <c r="I46" i="131"/>
  <c r="I46" i="132" s="1"/>
  <c r="I34" i="131"/>
  <c r="I34" i="132" s="1"/>
  <c r="H11" i="131"/>
  <c r="H11" i="132" s="1"/>
  <c r="I63" i="131"/>
  <c r="I63" i="132" s="1"/>
  <c r="I54" i="131"/>
  <c r="I54" i="132" s="1"/>
  <c r="I60" i="131"/>
  <c r="I60" i="132" s="1"/>
  <c r="H9" i="131"/>
  <c r="H9" i="132" s="1"/>
  <c r="I18" i="131"/>
  <c r="I18" i="132" s="1"/>
  <c r="I41" i="131"/>
  <c r="I41" i="132" s="1"/>
  <c r="H12" i="131"/>
  <c r="H12" i="132" s="1"/>
  <c r="H14" i="131"/>
  <c r="H14" i="132" s="1"/>
  <c r="S19" i="110"/>
  <c r="S29" i="110"/>
  <c r="S64" i="110"/>
  <c r="S61" i="110"/>
  <c r="S47" i="110"/>
  <c r="S7" i="125"/>
  <c r="S7" i="126" s="1"/>
  <c r="S6" i="121"/>
  <c r="S6" i="125" s="1"/>
  <c r="S6" i="126" s="1"/>
  <c r="S5" i="126" s="1"/>
  <c r="S35" i="110"/>
  <c r="S23" i="110"/>
  <c r="S18" i="126"/>
  <c r="S55" i="110"/>
  <c r="S42" i="110"/>
  <c r="H78" i="194"/>
  <c r="H75" i="194"/>
  <c r="H73" i="194"/>
  <c r="H74" i="194"/>
  <c r="H77" i="194"/>
  <c r="H80" i="194"/>
  <c r="H72" i="194"/>
  <c r="H76" i="194"/>
  <c r="H79" i="194"/>
  <c r="K107" i="194"/>
  <c r="K126" i="194"/>
  <c r="K112" i="192"/>
  <c r="Q48" i="110"/>
  <c r="Q6" i="121"/>
  <c r="Q6" i="125" s="1"/>
  <c r="Q6" i="126" s="1"/>
  <c r="Q5" i="126" s="1"/>
  <c r="Q7" i="125"/>
  <c r="Q7" i="126" s="1"/>
  <c r="F119" i="192"/>
  <c r="K126" i="192"/>
  <c r="Q62" i="110"/>
  <c r="K94" i="192"/>
  <c r="Q30" i="110"/>
  <c r="K84" i="192"/>
  <c r="Q20" i="110"/>
  <c r="K129" i="192"/>
  <c r="Q65" i="110"/>
  <c r="F111" i="192"/>
  <c r="H72" i="192"/>
  <c r="Q36" i="110"/>
  <c r="K100" i="192"/>
  <c r="Q18" i="126"/>
  <c r="H78" i="192"/>
  <c r="F125" i="192"/>
  <c r="H75" i="192"/>
  <c r="F93" i="192"/>
  <c r="F106" i="192"/>
  <c r="F128" i="192"/>
  <c r="F99" i="192"/>
  <c r="H73" i="192"/>
  <c r="H74" i="192"/>
  <c r="K88" i="192"/>
  <c r="Q24" i="110"/>
  <c r="F83" i="192"/>
  <c r="H80" i="192"/>
  <c r="I82" i="192"/>
  <c r="K120" i="192"/>
  <c r="Q56" i="110"/>
  <c r="H76" i="192"/>
  <c r="H79" i="192"/>
  <c r="F87" i="192"/>
  <c r="K107" i="192"/>
  <c r="Q43" i="110"/>
  <c r="H77" i="192"/>
  <c r="R13" i="110"/>
  <c r="R8" i="110"/>
  <c r="R16" i="110"/>
  <c r="R12" i="110"/>
  <c r="R10" i="110"/>
  <c r="R11" i="110"/>
  <c r="R15" i="110"/>
  <c r="R9" i="110"/>
  <c r="R14" i="110"/>
  <c r="J34" i="130"/>
  <c r="J10" i="130"/>
  <c r="J9" i="130"/>
  <c r="J28" i="130"/>
  <c r="I7" i="131"/>
  <c r="K19" i="130"/>
  <c r="K55" i="130"/>
  <c r="K65" i="130"/>
  <c r="K20" i="130"/>
  <c r="K51" i="130"/>
  <c r="K59" i="130"/>
  <c r="K21" i="130"/>
  <c r="K40" i="130"/>
  <c r="K33" i="130"/>
  <c r="K57" i="130"/>
  <c r="G5" i="132"/>
  <c r="R4" i="186"/>
  <c r="S4" i="186" s="1"/>
  <c r="J8" i="130"/>
  <c r="J22" i="130"/>
  <c r="J60" i="130"/>
  <c r="J14" i="130"/>
  <c r="K29" i="130"/>
  <c r="K61" i="130"/>
  <c r="K42" i="130"/>
  <c r="K23" i="130"/>
  <c r="K64" i="130"/>
  <c r="K58" i="130"/>
  <c r="K31" i="130"/>
  <c r="K32" i="130"/>
  <c r="K38" i="130"/>
  <c r="K52" i="130"/>
  <c r="K37" i="130"/>
  <c r="K53" i="130"/>
  <c r="K43" i="130"/>
  <c r="K30" i="130"/>
  <c r="K50" i="130"/>
  <c r="K39" i="130"/>
  <c r="K25" i="130"/>
  <c r="K26" i="130"/>
  <c r="K27" i="130"/>
  <c r="K48" i="130"/>
  <c r="H17" i="130"/>
  <c r="J46" i="130"/>
  <c r="J12" i="130"/>
  <c r="J63" i="130"/>
  <c r="J15" i="130"/>
  <c r="J54" i="130"/>
  <c r="J13" i="130"/>
  <c r="N7" i="110"/>
  <c r="K72" i="188"/>
  <c r="L83" i="188"/>
  <c r="R16" i="188"/>
  <c r="S16" i="188" s="1"/>
  <c r="H7" i="132"/>
  <c r="K83" i="189"/>
  <c r="O18" i="110"/>
  <c r="M6" i="110"/>
  <c r="M5" i="110" s="1"/>
  <c r="K47" i="130"/>
  <c r="K35" i="130"/>
  <c r="K24" i="130"/>
  <c r="K56" i="130"/>
  <c r="K45" i="130"/>
  <c r="K62" i="130"/>
  <c r="K44" i="130"/>
  <c r="K66" i="130"/>
  <c r="K36" i="130"/>
  <c r="K49" i="130"/>
  <c r="J41" i="130"/>
  <c r="J11" i="130"/>
  <c r="J18" i="130"/>
  <c r="I7" i="130"/>
  <c r="F71" i="188"/>
  <c r="H71" i="189"/>
  <c r="F72" i="189"/>
  <c r="F128" i="207" l="1"/>
  <c r="X64" i="110"/>
  <c r="F106" i="207"/>
  <c r="X42" i="110"/>
  <c r="F11" i="207"/>
  <c r="F77" i="207" s="1"/>
  <c r="X47" i="110"/>
  <c r="F6" i="207"/>
  <c r="F72" i="207" s="1"/>
  <c r="X19" i="110"/>
  <c r="F29" i="200"/>
  <c r="F77" i="200" s="1"/>
  <c r="X15" i="110"/>
  <c r="F7" i="207"/>
  <c r="X23" i="110"/>
  <c r="F80" i="212"/>
  <c r="F80" i="213"/>
  <c r="K119" i="212"/>
  <c r="K119" i="213"/>
  <c r="K87" i="212"/>
  <c r="K87" i="213"/>
  <c r="F77" i="212"/>
  <c r="F77" i="213"/>
  <c r="F79" i="212"/>
  <c r="F79" i="213"/>
  <c r="K106" i="212"/>
  <c r="K106" i="213"/>
  <c r="K93" i="212"/>
  <c r="K93" i="213"/>
  <c r="K111" i="212"/>
  <c r="K111" i="213"/>
  <c r="F76" i="212"/>
  <c r="F76" i="213"/>
  <c r="H82" i="212"/>
  <c r="H82" i="213"/>
  <c r="I71" i="212"/>
  <c r="I71" i="213"/>
  <c r="F74" i="212"/>
  <c r="F74" i="213"/>
  <c r="K128" i="212"/>
  <c r="K128" i="213"/>
  <c r="K83" i="212"/>
  <c r="K83" i="213"/>
  <c r="K125" i="212"/>
  <c r="K125" i="213"/>
  <c r="F72" i="212"/>
  <c r="F72" i="213"/>
  <c r="F73" i="212"/>
  <c r="F73" i="213"/>
  <c r="F75" i="212"/>
  <c r="F75" i="213"/>
  <c r="K99" i="212"/>
  <c r="K99" i="213"/>
  <c r="F78" i="212"/>
  <c r="F78" i="213"/>
  <c r="N5" i="213"/>
  <c r="N117" i="200" s="1"/>
  <c r="N133" i="200" s="1"/>
  <c r="N4" i="212"/>
  <c r="GO6" i="129"/>
  <c r="V5" i="130" s="1"/>
  <c r="V6" i="130"/>
  <c r="K119" i="211"/>
  <c r="K106" i="211"/>
  <c r="K93" i="211"/>
  <c r="H82" i="211"/>
  <c r="K128" i="211"/>
  <c r="K87" i="211"/>
  <c r="K111" i="211"/>
  <c r="K83" i="211"/>
  <c r="K125" i="211"/>
  <c r="K127" i="205"/>
  <c r="K99" i="211"/>
  <c r="T63" i="110"/>
  <c r="F14" i="207"/>
  <c r="M51" i="130"/>
  <c r="K110" i="205"/>
  <c r="T46" i="110"/>
  <c r="M52" i="130"/>
  <c r="F111" i="205"/>
  <c r="K130" i="205"/>
  <c r="FY66" i="129"/>
  <c r="T25" i="110"/>
  <c r="K89" i="205"/>
  <c r="K98" i="205"/>
  <c r="FY34" i="129"/>
  <c r="F83" i="207"/>
  <c r="F73" i="211"/>
  <c r="F75" i="211"/>
  <c r="F78" i="211"/>
  <c r="F72" i="211"/>
  <c r="F76" i="211"/>
  <c r="I71" i="211"/>
  <c r="F80" i="211"/>
  <c r="F74" i="211"/>
  <c r="F79" i="211"/>
  <c r="F77" i="211"/>
  <c r="T45" i="110"/>
  <c r="FY45" i="129"/>
  <c r="FD18" i="129"/>
  <c r="FD7" i="129" s="1"/>
  <c r="FD6" i="129" s="1"/>
  <c r="EZ46" i="129" s="1"/>
  <c r="T47" i="110"/>
  <c r="K116" i="205"/>
  <c r="FY52" i="129"/>
  <c r="F87" i="207"/>
  <c r="FY55" i="129"/>
  <c r="FY14" i="129" s="1"/>
  <c r="EM56" i="129"/>
  <c r="EM55" i="129" s="1"/>
  <c r="ET23" i="129"/>
  <c r="ET9" i="129" s="1"/>
  <c r="EM43" i="129"/>
  <c r="EM42" i="129" s="1"/>
  <c r="EM20" i="129"/>
  <c r="EM19" i="129" s="1"/>
  <c r="T59" i="110"/>
  <c r="FY59" i="129"/>
  <c r="K123" i="205"/>
  <c r="T37" i="110"/>
  <c r="FY37" i="129"/>
  <c r="K101" i="205"/>
  <c r="T38" i="110"/>
  <c r="FY38" i="129"/>
  <c r="K102" i="205"/>
  <c r="T27" i="110"/>
  <c r="FY27" i="129"/>
  <c r="K91" i="205"/>
  <c r="F10" i="207"/>
  <c r="F45" i="200"/>
  <c r="F125" i="205"/>
  <c r="F111" i="207"/>
  <c r="K62" i="207"/>
  <c r="K33" i="207"/>
  <c r="K90" i="207"/>
  <c r="F119" i="207"/>
  <c r="F12" i="207"/>
  <c r="K86" i="207"/>
  <c r="K127" i="207"/>
  <c r="K113" i="207"/>
  <c r="K96" i="207"/>
  <c r="K103" i="207"/>
  <c r="K118" i="207"/>
  <c r="K89" i="207"/>
  <c r="K122" i="207"/>
  <c r="K104" i="207"/>
  <c r="T67" i="110"/>
  <c r="FY67" i="129"/>
  <c r="K131" i="205"/>
  <c r="K116" i="207"/>
  <c r="K124" i="207"/>
  <c r="K121" i="207"/>
  <c r="K108" i="207"/>
  <c r="F93" i="207"/>
  <c r="F8" i="207"/>
  <c r="K117" i="207"/>
  <c r="K114" i="207"/>
  <c r="F9" i="207"/>
  <c r="F99" i="207"/>
  <c r="K98" i="207"/>
  <c r="H5" i="207"/>
  <c r="H21" i="200" s="1"/>
  <c r="H69" i="200" s="1"/>
  <c r="H82" i="207"/>
  <c r="F16" i="207"/>
  <c r="X18" i="110" s="1"/>
  <c r="K95" i="207"/>
  <c r="K45" i="207"/>
  <c r="GI47" i="129" s="1"/>
  <c r="GI13" i="129" s="1"/>
  <c r="K59" i="207"/>
  <c r="GI61" i="129" s="1"/>
  <c r="GI15" i="129" s="1"/>
  <c r="K85" i="207"/>
  <c r="K123" i="207"/>
  <c r="K109" i="207"/>
  <c r="K130" i="207"/>
  <c r="K131" i="207"/>
  <c r="K40" i="207"/>
  <c r="GI42" i="129" s="1"/>
  <c r="GI12" i="129" s="1"/>
  <c r="K21" i="207"/>
  <c r="GI23" i="129" s="1"/>
  <c r="GI9" i="129" s="1"/>
  <c r="K105" i="207"/>
  <c r="K110" i="207"/>
  <c r="F73" i="207"/>
  <c r="I82" i="207"/>
  <c r="I5" i="207"/>
  <c r="I21" i="200" s="1"/>
  <c r="I69" i="200" s="1"/>
  <c r="FY58" i="129"/>
  <c r="T58" i="110"/>
  <c r="K122" i="205"/>
  <c r="K91" i="207"/>
  <c r="K102" i="207"/>
  <c r="K53" i="207"/>
  <c r="GI55" i="129" s="1"/>
  <c r="GI14" i="129" s="1"/>
  <c r="K27" i="207"/>
  <c r="GI29" i="129" s="1"/>
  <c r="GI10" i="129" s="1"/>
  <c r="K17" i="207"/>
  <c r="GI19" i="129" s="1"/>
  <c r="GI8" i="129" s="1"/>
  <c r="K97" i="207"/>
  <c r="K115" i="207"/>
  <c r="F79" i="207"/>
  <c r="K92" i="207"/>
  <c r="K101" i="207"/>
  <c r="EM48" i="129"/>
  <c r="EM47" i="129" s="1"/>
  <c r="EM36" i="129"/>
  <c r="EM35" i="129" s="1"/>
  <c r="EM65" i="129"/>
  <c r="EM64" i="129" s="1"/>
  <c r="EM62" i="129"/>
  <c r="EM61" i="129" s="1"/>
  <c r="EM30" i="129"/>
  <c r="EM29" i="129" s="1"/>
  <c r="F83" i="205"/>
  <c r="F119" i="205"/>
  <c r="R18" i="191"/>
  <c r="K45" i="132"/>
  <c r="K25" i="132"/>
  <c r="K29" i="132"/>
  <c r="F106" i="205"/>
  <c r="I76" i="205"/>
  <c r="I74" i="205"/>
  <c r="I73" i="205"/>
  <c r="I78" i="205"/>
  <c r="I79" i="205"/>
  <c r="I72" i="205"/>
  <c r="I80" i="205"/>
  <c r="I75" i="205"/>
  <c r="I77" i="205"/>
  <c r="F87" i="205"/>
  <c r="T62" i="110"/>
  <c r="FY62" i="129"/>
  <c r="FY43" i="129"/>
  <c r="T43" i="110"/>
  <c r="F93" i="205"/>
  <c r="K107" i="205"/>
  <c r="F99" i="205"/>
  <c r="FY20" i="129"/>
  <c r="T20" i="110"/>
  <c r="K43" i="132"/>
  <c r="T7" i="124"/>
  <c r="T6" i="124" s="1"/>
  <c r="T17" i="124"/>
  <c r="FY30" i="129"/>
  <c r="K93" i="205"/>
  <c r="T30" i="110"/>
  <c r="F128" i="205"/>
  <c r="T24" i="110"/>
  <c r="K87" i="205"/>
  <c r="FY24" i="129"/>
  <c r="T18" i="126"/>
  <c r="H82" i="205"/>
  <c r="FY65" i="129"/>
  <c r="T65" i="110"/>
  <c r="FY36" i="129"/>
  <c r="T36" i="110"/>
  <c r="T7" i="125"/>
  <c r="T7" i="126" s="1"/>
  <c r="T6" i="121"/>
  <c r="T6" i="125" s="1"/>
  <c r="M39" i="130"/>
  <c r="M55" i="130"/>
  <c r="M47" i="130"/>
  <c r="M31" i="130"/>
  <c r="M66" i="130"/>
  <c r="M61" i="130"/>
  <c r="M36" i="130"/>
  <c r="M25" i="130"/>
  <c r="F75" i="205"/>
  <c r="F73" i="205"/>
  <c r="F72" i="205"/>
  <c r="F78" i="205"/>
  <c r="F74" i="205"/>
  <c r="F80" i="205"/>
  <c r="F79" i="205"/>
  <c r="F77" i="205"/>
  <c r="F76" i="205"/>
  <c r="M29" i="130"/>
  <c r="ET16" i="129"/>
  <c r="ET10" i="129"/>
  <c r="ET13" i="129"/>
  <c r="ET8" i="129"/>
  <c r="ET15" i="129"/>
  <c r="ET12" i="129"/>
  <c r="ET14" i="129"/>
  <c r="ET11" i="129"/>
  <c r="K106" i="194"/>
  <c r="K99" i="194"/>
  <c r="K93" i="194"/>
  <c r="K111" i="194"/>
  <c r="K128" i="194"/>
  <c r="K119" i="194"/>
  <c r="K87" i="194"/>
  <c r="K83" i="194"/>
  <c r="K125" i="194"/>
  <c r="K66" i="132"/>
  <c r="K55" i="132"/>
  <c r="K32" i="132"/>
  <c r="CQ18" i="129"/>
  <c r="CQ17" i="129" s="1"/>
  <c r="O4" i="157"/>
  <c r="M23" i="130"/>
  <c r="M30" i="130"/>
  <c r="M62" i="130"/>
  <c r="M26" i="130"/>
  <c r="M42" i="130"/>
  <c r="M24" i="130"/>
  <c r="M57" i="130"/>
  <c r="K59" i="132"/>
  <c r="K20" i="132"/>
  <c r="L67" i="189"/>
  <c r="L69" i="189" s="1"/>
  <c r="S3" i="186"/>
  <c r="N67" i="170"/>
  <c r="N69" i="170" s="1"/>
  <c r="O4" i="153"/>
  <c r="K53" i="132"/>
  <c r="K35" i="132"/>
  <c r="M58" i="130"/>
  <c r="K48" i="132"/>
  <c r="K23" i="132"/>
  <c r="M27" i="130"/>
  <c r="M48" i="130"/>
  <c r="K49" i="132"/>
  <c r="K62" i="132"/>
  <c r="M44" i="130"/>
  <c r="K42" i="132"/>
  <c r="M32" i="130"/>
  <c r="K56" i="132"/>
  <c r="M64" i="130"/>
  <c r="K39" i="132"/>
  <c r="M21" i="130"/>
  <c r="M49" i="130"/>
  <c r="CR18" i="129"/>
  <c r="DS18" i="129"/>
  <c r="DT18" i="129" s="1"/>
  <c r="BW7" i="129"/>
  <c r="J17" i="131"/>
  <c r="CH17" i="129"/>
  <c r="CH7" i="129"/>
  <c r="CH6" i="129" s="1"/>
  <c r="CH1" i="129" s="1"/>
  <c r="K52" i="132"/>
  <c r="K57" i="132"/>
  <c r="K50" i="132"/>
  <c r="K37" i="132"/>
  <c r="K40" i="132"/>
  <c r="K27" i="132"/>
  <c r="K31" i="132"/>
  <c r="K21" i="132"/>
  <c r="K51" i="132"/>
  <c r="M56" i="130"/>
  <c r="K26" i="132"/>
  <c r="K61" i="132"/>
  <c r="K65" i="132"/>
  <c r="M19" i="130"/>
  <c r="M50" i="130"/>
  <c r="M37" i="130"/>
  <c r="M33" i="130"/>
  <c r="M53" i="130"/>
  <c r="M38" i="130"/>
  <c r="M45" i="130"/>
  <c r="K33" i="132"/>
  <c r="K19" i="132"/>
  <c r="K30" i="132"/>
  <c r="K58" i="132"/>
  <c r="K36" i="132"/>
  <c r="K24" i="132"/>
  <c r="K44" i="132"/>
  <c r="K47" i="132"/>
  <c r="M40" i="130"/>
  <c r="K38" i="132"/>
  <c r="K64" i="132"/>
  <c r="DB35" i="129"/>
  <c r="DB11" i="129" s="1"/>
  <c r="M10" i="130" s="1"/>
  <c r="DA11" i="129"/>
  <c r="DB19" i="129"/>
  <c r="DB8" i="129" s="1"/>
  <c r="DA8" i="129"/>
  <c r="DI7" i="129"/>
  <c r="DI6" i="129" s="1"/>
  <c r="DI1" i="129" s="1"/>
  <c r="DB29" i="129"/>
  <c r="DB10" i="129" s="1"/>
  <c r="M9" i="130" s="1"/>
  <c r="DA16" i="129"/>
  <c r="DB64" i="129"/>
  <c r="DB16" i="129" s="1"/>
  <c r="M15" i="130" s="1"/>
  <c r="DZ7" i="129"/>
  <c r="DZ6" i="129" s="1"/>
  <c r="DZ1" i="129" s="1"/>
  <c r="DB23" i="129"/>
  <c r="DB9" i="129" s="1"/>
  <c r="M8" i="130" s="1"/>
  <c r="DA9" i="129"/>
  <c r="DB42" i="129"/>
  <c r="DB12" i="129" s="1"/>
  <c r="M11" i="130" s="1"/>
  <c r="DA12" i="129"/>
  <c r="DB47" i="129"/>
  <c r="DB13" i="129" s="1"/>
  <c r="M12" i="130" s="1"/>
  <c r="DA13" i="129"/>
  <c r="CZ7" i="129"/>
  <c r="CZ6" i="129" s="1"/>
  <c r="CZ1" i="129" s="1"/>
  <c r="DB55" i="129"/>
  <c r="DB14" i="129" s="1"/>
  <c r="M13" i="130" s="1"/>
  <c r="DA14" i="129"/>
  <c r="DA15" i="129"/>
  <c r="DB61" i="129"/>
  <c r="DB15" i="129" s="1"/>
  <c r="M14" i="130" s="1"/>
  <c r="DL21" i="129"/>
  <c r="DL63" i="129"/>
  <c r="DL26" i="129"/>
  <c r="DL34" i="129"/>
  <c r="DL50" i="129"/>
  <c r="DL59" i="129"/>
  <c r="DL22" i="129"/>
  <c r="N21" i="130" s="1"/>
  <c r="DL44" i="129"/>
  <c r="N43" i="130" s="1"/>
  <c r="DL38" i="129"/>
  <c r="N37" i="130" s="1"/>
  <c r="DL33" i="129"/>
  <c r="N32" i="130" s="1"/>
  <c r="DL46" i="129"/>
  <c r="DL25" i="129"/>
  <c r="N24" i="130" s="1"/>
  <c r="DL28" i="129"/>
  <c r="DL54" i="129"/>
  <c r="N53" i="130" s="1"/>
  <c r="DL41" i="129"/>
  <c r="DL27" i="129"/>
  <c r="DL31" i="129"/>
  <c r="DL66" i="129"/>
  <c r="N65" i="130" s="1"/>
  <c r="DL57" i="129"/>
  <c r="DL58" i="129"/>
  <c r="N57" i="130" s="1"/>
  <c r="DL49" i="129"/>
  <c r="DL40" i="129"/>
  <c r="N39" i="130" s="1"/>
  <c r="DL45" i="129"/>
  <c r="DL53" i="129"/>
  <c r="N52" i="130" s="1"/>
  <c r="DL67" i="129"/>
  <c r="DL51" i="129"/>
  <c r="N50" i="130" s="1"/>
  <c r="DL37" i="129"/>
  <c r="DL32" i="129"/>
  <c r="N31" i="130" s="1"/>
  <c r="DL39" i="129"/>
  <c r="DL52" i="129"/>
  <c r="N51" i="130" s="1"/>
  <c r="DL60" i="129"/>
  <c r="DL56" i="129"/>
  <c r="DL30" i="129"/>
  <c r="DL62" i="129"/>
  <c r="DL36" i="129"/>
  <c r="DL43" i="129"/>
  <c r="DL48" i="129"/>
  <c r="DL65" i="129"/>
  <c r="DL24" i="129"/>
  <c r="DL20" i="129"/>
  <c r="M27" i="131"/>
  <c r="M51" i="131"/>
  <c r="M52" i="131"/>
  <c r="M37" i="131"/>
  <c r="M58" i="131"/>
  <c r="M40" i="131"/>
  <c r="M24" i="131"/>
  <c r="M62" i="131"/>
  <c r="M64" i="131"/>
  <c r="M32" i="131"/>
  <c r="M38" i="131"/>
  <c r="M45" i="131"/>
  <c r="M66" i="131"/>
  <c r="M36" i="131"/>
  <c r="M39" i="131"/>
  <c r="M33" i="131"/>
  <c r="M53" i="131"/>
  <c r="M20" i="131"/>
  <c r="M20" i="132" s="1"/>
  <c r="M59" i="131"/>
  <c r="M59" i="132" s="1"/>
  <c r="M50" i="131"/>
  <c r="M56" i="131"/>
  <c r="M49" i="131"/>
  <c r="M44" i="131"/>
  <c r="M43" i="131"/>
  <c r="M43" i="132" s="1"/>
  <c r="M57" i="131"/>
  <c r="M26" i="131"/>
  <c r="M21" i="131"/>
  <c r="M48" i="131"/>
  <c r="M31" i="131"/>
  <c r="M25" i="131"/>
  <c r="M30" i="131"/>
  <c r="M65" i="131"/>
  <c r="M65" i="132" s="1"/>
  <c r="K8" i="131"/>
  <c r="K22" i="131"/>
  <c r="K46" i="131"/>
  <c r="K12" i="131"/>
  <c r="K15" i="131"/>
  <c r="K63" i="131"/>
  <c r="K60" i="131"/>
  <c r="K14" i="131"/>
  <c r="K9" i="131"/>
  <c r="K28" i="131"/>
  <c r="K18" i="131"/>
  <c r="K34" i="131"/>
  <c r="K10" i="131"/>
  <c r="K11" i="131"/>
  <c r="K41" i="131"/>
  <c r="K13" i="131"/>
  <c r="K54" i="131"/>
  <c r="J18" i="131"/>
  <c r="J18" i="132" s="1"/>
  <c r="J54" i="131"/>
  <c r="J54" i="132" s="1"/>
  <c r="J13" i="131"/>
  <c r="J13" i="132" s="1"/>
  <c r="J12" i="131"/>
  <c r="J12" i="132" s="1"/>
  <c r="J46" i="131"/>
  <c r="J46" i="132" s="1"/>
  <c r="J14" i="131"/>
  <c r="J14" i="132" s="1"/>
  <c r="J60" i="131"/>
  <c r="J60" i="132" s="1"/>
  <c r="J15" i="131"/>
  <c r="J15" i="132" s="1"/>
  <c r="J63" i="131"/>
  <c r="J63" i="132" s="1"/>
  <c r="J28" i="131"/>
  <c r="J28" i="132" s="1"/>
  <c r="J9" i="131"/>
  <c r="J9" i="132" s="1"/>
  <c r="J41" i="131"/>
  <c r="J41" i="132" s="1"/>
  <c r="J11" i="131"/>
  <c r="J11" i="132" s="1"/>
  <c r="J8" i="131"/>
  <c r="J8" i="132" s="1"/>
  <c r="J22" i="131"/>
  <c r="J22" i="132" s="1"/>
  <c r="J34" i="131"/>
  <c r="J34" i="132" s="1"/>
  <c r="J10" i="131"/>
  <c r="J10" i="132" s="1"/>
  <c r="I14" i="131"/>
  <c r="I14" i="132" s="1"/>
  <c r="I11" i="131"/>
  <c r="I11" i="132" s="1"/>
  <c r="I9" i="131"/>
  <c r="I9" i="132" s="1"/>
  <c r="I12" i="131"/>
  <c r="I12" i="132" s="1"/>
  <c r="I8" i="131"/>
  <c r="I8" i="132" s="1"/>
  <c r="I15" i="131"/>
  <c r="I15" i="132" s="1"/>
  <c r="I10" i="131"/>
  <c r="I10" i="132" s="1"/>
  <c r="I13" i="131"/>
  <c r="I13" i="132" s="1"/>
  <c r="H17" i="131"/>
  <c r="H82" i="194"/>
  <c r="S11" i="110"/>
  <c r="S16" i="110"/>
  <c r="S10" i="110"/>
  <c r="S12" i="110"/>
  <c r="S14" i="110"/>
  <c r="S9" i="110"/>
  <c r="S15" i="110"/>
  <c r="S8" i="110"/>
  <c r="S13" i="110"/>
  <c r="F72" i="194"/>
  <c r="F79" i="194"/>
  <c r="F75" i="194"/>
  <c r="F76" i="194"/>
  <c r="F73" i="194"/>
  <c r="I71" i="194"/>
  <c r="F80" i="194"/>
  <c r="F74" i="194"/>
  <c r="F77" i="194"/>
  <c r="F78" i="194"/>
  <c r="F73" i="192"/>
  <c r="F72" i="192"/>
  <c r="F75" i="192"/>
  <c r="F76" i="192"/>
  <c r="F79" i="192"/>
  <c r="H82" i="192"/>
  <c r="F77" i="192"/>
  <c r="F78" i="192"/>
  <c r="K106" i="192"/>
  <c r="Q42" i="110"/>
  <c r="K119" i="192"/>
  <c r="Q55" i="110"/>
  <c r="F80" i="192"/>
  <c r="F74" i="192"/>
  <c r="Q35" i="110"/>
  <c r="K99" i="192"/>
  <c r="Q47" i="110"/>
  <c r="K111" i="192"/>
  <c r="I71" i="192"/>
  <c r="K83" i="192"/>
  <c r="Q19" i="110"/>
  <c r="Q29" i="110"/>
  <c r="K93" i="192"/>
  <c r="K125" i="192"/>
  <c r="Q61" i="110"/>
  <c r="Q23" i="110"/>
  <c r="K87" i="192"/>
  <c r="K128" i="192"/>
  <c r="Q64" i="110"/>
  <c r="R18" i="110"/>
  <c r="F71" i="189"/>
  <c r="I17" i="130"/>
  <c r="K10" i="130"/>
  <c r="K34" i="130"/>
  <c r="O7" i="110"/>
  <c r="K72" i="189"/>
  <c r="N6" i="110"/>
  <c r="N5" i="110" s="1"/>
  <c r="K71" i="188"/>
  <c r="L35" i="130"/>
  <c r="L19" i="130"/>
  <c r="L23" i="130"/>
  <c r="L42" i="130"/>
  <c r="L29" i="130"/>
  <c r="L37" i="130"/>
  <c r="L26" i="130"/>
  <c r="L44" i="130"/>
  <c r="L20" i="130"/>
  <c r="L59" i="130"/>
  <c r="L21" i="130"/>
  <c r="L52" i="130"/>
  <c r="L31" i="130"/>
  <c r="L24" i="130"/>
  <c r="L32" i="130"/>
  <c r="L62" i="130"/>
  <c r="L33" i="130"/>
  <c r="L30" i="130"/>
  <c r="L57" i="130"/>
  <c r="L25" i="130"/>
  <c r="H5" i="130"/>
  <c r="H6" i="130"/>
  <c r="K41" i="130"/>
  <c r="K11" i="130"/>
  <c r="K18" i="130"/>
  <c r="I7" i="132"/>
  <c r="J7" i="130"/>
  <c r="K46" i="130"/>
  <c r="K12" i="130"/>
  <c r="H6" i="131"/>
  <c r="L72" i="188"/>
  <c r="R5" i="188"/>
  <c r="S5" i="188" s="1"/>
  <c r="L47" i="130"/>
  <c r="L64" i="130"/>
  <c r="L55" i="130"/>
  <c r="L61" i="130"/>
  <c r="L48" i="130"/>
  <c r="L50" i="130"/>
  <c r="L27" i="130"/>
  <c r="L66" i="130"/>
  <c r="L39" i="130"/>
  <c r="L49" i="130"/>
  <c r="L43" i="130"/>
  <c r="L65" i="130"/>
  <c r="L45" i="130"/>
  <c r="L58" i="130"/>
  <c r="L40" i="130"/>
  <c r="L36" i="130"/>
  <c r="L51" i="130"/>
  <c r="L53" i="130"/>
  <c r="L56" i="130"/>
  <c r="L38" i="130"/>
  <c r="K15" i="130"/>
  <c r="K63" i="130"/>
  <c r="K22" i="130"/>
  <c r="K8" i="130"/>
  <c r="K60" i="130"/>
  <c r="K14" i="130"/>
  <c r="K28" i="130"/>
  <c r="K9" i="130"/>
  <c r="K54" i="130"/>
  <c r="K13" i="130"/>
  <c r="F27" i="200" l="1"/>
  <c r="X13" i="110"/>
  <c r="F25" i="200"/>
  <c r="X11" i="110"/>
  <c r="F24" i="200"/>
  <c r="F72" i="200" s="1"/>
  <c r="X10" i="110"/>
  <c r="F23" i="200"/>
  <c r="X9" i="110"/>
  <c r="F30" i="200"/>
  <c r="F78" i="200" s="1"/>
  <c r="X16" i="110"/>
  <c r="F28" i="200"/>
  <c r="F44" i="200" s="1"/>
  <c r="X14" i="110"/>
  <c r="F22" i="200"/>
  <c r="X8" i="110"/>
  <c r="F26" i="200"/>
  <c r="F42" i="200" s="1"/>
  <c r="X12" i="110"/>
  <c r="K77" i="212"/>
  <c r="K77" i="213"/>
  <c r="K78" i="212"/>
  <c r="K78" i="213"/>
  <c r="H71" i="212"/>
  <c r="H71" i="213"/>
  <c r="F82" i="212"/>
  <c r="F82" i="213"/>
  <c r="K72" i="212"/>
  <c r="K72" i="213"/>
  <c r="K75" i="212"/>
  <c r="K75" i="213"/>
  <c r="K76" i="212"/>
  <c r="K76" i="213"/>
  <c r="K73" i="212"/>
  <c r="K73" i="213"/>
  <c r="K79" i="212"/>
  <c r="K79" i="213"/>
  <c r="K74" i="212"/>
  <c r="K74" i="213"/>
  <c r="I70" i="212"/>
  <c r="I70" i="213"/>
  <c r="K80" i="212"/>
  <c r="K80" i="213"/>
  <c r="N4" i="213"/>
  <c r="N116" i="200" s="1"/>
  <c r="N84" i="200"/>
  <c r="N132" i="200" s="1"/>
  <c r="M51" i="132"/>
  <c r="EZ48" i="129"/>
  <c r="F46" i="200"/>
  <c r="EZ26" i="129"/>
  <c r="M52" i="132"/>
  <c r="EZ25" i="129"/>
  <c r="F80" i="207"/>
  <c r="EZ51" i="129"/>
  <c r="EZ37" i="129"/>
  <c r="F82" i="211"/>
  <c r="M24" i="132"/>
  <c r="F41" i="200"/>
  <c r="F73" i="200"/>
  <c r="F40" i="200"/>
  <c r="M31" i="132"/>
  <c r="K111" i="205"/>
  <c r="T13" i="110"/>
  <c r="EZ20" i="129"/>
  <c r="EZ67" i="129"/>
  <c r="EZ32" i="129"/>
  <c r="EZ22" i="129"/>
  <c r="EZ57" i="129"/>
  <c r="EZ30" i="129"/>
  <c r="EZ38" i="129"/>
  <c r="EZ41" i="129"/>
  <c r="EZ45" i="129"/>
  <c r="EZ59" i="129"/>
  <c r="EZ43" i="129"/>
  <c r="EZ44" i="129"/>
  <c r="EZ40" i="129"/>
  <c r="EZ63" i="129"/>
  <c r="EZ53" i="129"/>
  <c r="M36" i="132"/>
  <c r="K80" i="211"/>
  <c r="K73" i="211"/>
  <c r="K74" i="211"/>
  <c r="K77" i="211"/>
  <c r="K79" i="211"/>
  <c r="I70" i="211"/>
  <c r="K78" i="211"/>
  <c r="H71" i="211"/>
  <c r="K72" i="211"/>
  <c r="K75" i="211"/>
  <c r="K76" i="211"/>
  <c r="FY47" i="129"/>
  <c r="FY13" i="129" s="1"/>
  <c r="EZ36" i="129"/>
  <c r="EZ56" i="129"/>
  <c r="EZ39" i="129"/>
  <c r="EZ50" i="129"/>
  <c r="EZ28" i="129"/>
  <c r="EZ33" i="129"/>
  <c r="EZ31" i="129"/>
  <c r="EZ52" i="129"/>
  <c r="EZ34" i="129"/>
  <c r="EZ54" i="129"/>
  <c r="EZ65" i="129"/>
  <c r="EZ62" i="129"/>
  <c r="EZ24" i="129"/>
  <c r="EZ49" i="129"/>
  <c r="EZ21" i="129"/>
  <c r="EZ66" i="129"/>
  <c r="EZ58" i="129"/>
  <c r="EZ60" i="129"/>
  <c r="EZ27" i="129"/>
  <c r="F76" i="207"/>
  <c r="M39" i="132"/>
  <c r="K119" i="205"/>
  <c r="T55" i="110"/>
  <c r="I43" i="200"/>
  <c r="I40" i="200"/>
  <c r="I45" i="200"/>
  <c r="I46" i="200"/>
  <c r="I39" i="200"/>
  <c r="I38" i="200"/>
  <c r="I44" i="200"/>
  <c r="I41" i="200"/>
  <c r="I42" i="200"/>
  <c r="K99" i="207"/>
  <c r="GI35" i="129"/>
  <c r="GI11" i="129" s="1"/>
  <c r="K14" i="207"/>
  <c r="K30" i="200" s="1"/>
  <c r="K78" i="200" s="1"/>
  <c r="GI64" i="129"/>
  <c r="GI16" i="129" s="1"/>
  <c r="K128" i="207"/>
  <c r="K106" i="205"/>
  <c r="K9" i="207"/>
  <c r="K93" i="207"/>
  <c r="K8" i="207"/>
  <c r="K106" i="207"/>
  <c r="K10" i="207"/>
  <c r="K111" i="207"/>
  <c r="K11" i="207"/>
  <c r="F74" i="207"/>
  <c r="K119" i="207"/>
  <c r="K12" i="207"/>
  <c r="I71" i="207"/>
  <c r="I4" i="207"/>
  <c r="F5" i="207"/>
  <c r="F82" i="207"/>
  <c r="K16" i="207"/>
  <c r="GI18" i="129" s="1"/>
  <c r="GI7" i="129" s="1"/>
  <c r="F75" i="207"/>
  <c r="F78" i="207"/>
  <c r="K83" i="207"/>
  <c r="K6" i="207"/>
  <c r="K87" i="207"/>
  <c r="K7" i="207"/>
  <c r="K13" i="207"/>
  <c r="K125" i="207"/>
  <c r="H71" i="207"/>
  <c r="H4" i="207"/>
  <c r="H20" i="200" s="1"/>
  <c r="H68" i="200" s="1"/>
  <c r="T61" i="110"/>
  <c r="FY61" i="129"/>
  <c r="FY15" i="129" s="1"/>
  <c r="K125" i="205"/>
  <c r="FY19" i="129"/>
  <c r="FY8" i="129" s="1"/>
  <c r="T19" i="110"/>
  <c r="K83" i="205"/>
  <c r="FY42" i="129"/>
  <c r="FY12" i="129" s="1"/>
  <c r="T42" i="110"/>
  <c r="M66" i="132"/>
  <c r="T35" i="110"/>
  <c r="FY35" i="129"/>
  <c r="FY11" i="129" s="1"/>
  <c r="K99" i="205"/>
  <c r="I82" i="205"/>
  <c r="FY23" i="129"/>
  <c r="FY9" i="129" s="1"/>
  <c r="T23" i="110"/>
  <c r="FY64" i="129"/>
  <c r="FY16" i="129" s="1"/>
  <c r="T64" i="110"/>
  <c r="K128" i="205"/>
  <c r="T6" i="126"/>
  <c r="T5" i="126" s="1"/>
  <c r="F82" i="205"/>
  <c r="T29" i="110"/>
  <c r="FY29" i="129"/>
  <c r="FY10" i="129" s="1"/>
  <c r="N42" i="130"/>
  <c r="M25" i="132"/>
  <c r="K13" i="132"/>
  <c r="K15" i="132"/>
  <c r="M64" i="132"/>
  <c r="M60" i="130"/>
  <c r="M54" i="130"/>
  <c r="M49" i="132"/>
  <c r="N36" i="130"/>
  <c r="M26" i="132"/>
  <c r="M57" i="132"/>
  <c r="M27" i="132"/>
  <c r="K14" i="132"/>
  <c r="M22" i="130"/>
  <c r="K8" i="132"/>
  <c r="N55" i="130"/>
  <c r="M33" i="132"/>
  <c r="K54" i="132"/>
  <c r="K9" i="132"/>
  <c r="M41" i="130"/>
  <c r="N19" i="130"/>
  <c r="M30" i="132"/>
  <c r="M32" i="132"/>
  <c r="M58" i="132"/>
  <c r="K60" i="132"/>
  <c r="M63" i="130"/>
  <c r="M48" i="132"/>
  <c r="M56" i="132"/>
  <c r="N47" i="130"/>
  <c r="M50" i="132"/>
  <c r="N62" i="130"/>
  <c r="M34" i="130"/>
  <c r="N64" i="130"/>
  <c r="K28" i="132"/>
  <c r="M46" i="130"/>
  <c r="N61" i="130"/>
  <c r="M53" i="132"/>
  <c r="M45" i="132"/>
  <c r="K11" i="132"/>
  <c r="M21" i="132"/>
  <c r="M44" i="132"/>
  <c r="K12" i="132"/>
  <c r="N58" i="130"/>
  <c r="M62" i="132"/>
  <c r="K34" i="132"/>
  <c r="N56" i="130"/>
  <c r="N23" i="130"/>
  <c r="M35" i="131"/>
  <c r="M35" i="132" s="1"/>
  <c r="M23" i="131"/>
  <c r="M23" i="132" s="1"/>
  <c r="N91" i="188"/>
  <c r="N111" i="188"/>
  <c r="N25" i="130"/>
  <c r="N40" i="130"/>
  <c r="N35" i="130"/>
  <c r="N122" i="188"/>
  <c r="N125" i="188"/>
  <c r="N59" i="130"/>
  <c r="K22" i="132"/>
  <c r="N45" i="130"/>
  <c r="N44" i="130"/>
  <c r="M47" i="131"/>
  <c r="M47" i="132" s="1"/>
  <c r="N110" i="188"/>
  <c r="N87" i="188"/>
  <c r="N117" i="188"/>
  <c r="N119" i="188"/>
  <c r="N105" i="188"/>
  <c r="N104" i="188"/>
  <c r="N67" i="177"/>
  <c r="N69" i="177" s="1"/>
  <c r="M67" i="170"/>
  <c r="M69" i="170" s="1"/>
  <c r="DA10" i="129"/>
  <c r="DA18" i="129" s="1"/>
  <c r="DA17" i="129" s="1"/>
  <c r="DB18" i="129"/>
  <c r="CG7" i="129"/>
  <c r="K17" i="131"/>
  <c r="M67" i="185"/>
  <c r="M69" i="185" s="1"/>
  <c r="BW6" i="129"/>
  <c r="BW1" i="129" s="1"/>
  <c r="J6" i="131"/>
  <c r="CR7" i="129"/>
  <c r="CR6" i="129" s="1"/>
  <c r="CR1" i="129" s="1"/>
  <c r="CR17" i="129"/>
  <c r="N131" i="188"/>
  <c r="M28" i="130"/>
  <c r="M37" i="132"/>
  <c r="M18" i="130"/>
  <c r="N66" i="130"/>
  <c r="N38" i="130"/>
  <c r="K10" i="132"/>
  <c r="M38" i="132"/>
  <c r="K46" i="132"/>
  <c r="N29" i="130"/>
  <c r="N30" i="130"/>
  <c r="K63" i="132"/>
  <c r="N20" i="130"/>
  <c r="N48" i="130"/>
  <c r="K18" i="132"/>
  <c r="N27" i="130"/>
  <c r="N49" i="130"/>
  <c r="N86" i="188"/>
  <c r="N90" i="188"/>
  <c r="N33" i="130"/>
  <c r="N99" i="188"/>
  <c r="N26" i="130"/>
  <c r="N123" i="188"/>
  <c r="N118" i="188"/>
  <c r="K41" i="132"/>
  <c r="M29" i="131"/>
  <c r="M29" i="132" s="1"/>
  <c r="M19" i="131"/>
  <c r="M19" i="132" s="1"/>
  <c r="M40" i="132"/>
  <c r="N116" i="188"/>
  <c r="N92" i="188"/>
  <c r="N98" i="188"/>
  <c r="M61" i="131"/>
  <c r="M61" i="132" s="1"/>
  <c r="N93" i="188"/>
  <c r="M42" i="131"/>
  <c r="M42" i="132" s="1"/>
  <c r="N96" i="188"/>
  <c r="N132" i="188"/>
  <c r="M55" i="131"/>
  <c r="M55" i="132" s="1"/>
  <c r="N115" i="188"/>
  <c r="DK16" i="129"/>
  <c r="DL64" i="129"/>
  <c r="DL16" i="129" s="1"/>
  <c r="N15" i="130" s="1"/>
  <c r="DL61" i="129"/>
  <c r="DL15" i="129" s="1"/>
  <c r="N14" i="130" s="1"/>
  <c r="DK15" i="129"/>
  <c r="DL47" i="129"/>
  <c r="DL13" i="129" s="1"/>
  <c r="N12" i="130" s="1"/>
  <c r="DK13" i="129"/>
  <c r="DL29" i="129"/>
  <c r="DL10" i="129" s="1"/>
  <c r="N9" i="130" s="1"/>
  <c r="DK10" i="129"/>
  <c r="DJ7" i="129"/>
  <c r="DJ6" i="129" s="1"/>
  <c r="DJ1" i="129" s="1"/>
  <c r="DL19" i="129"/>
  <c r="DL8" i="129" s="1"/>
  <c r="DK8" i="129"/>
  <c r="DK12" i="129"/>
  <c r="DL42" i="129"/>
  <c r="DL12" i="129" s="1"/>
  <c r="N11" i="130" s="1"/>
  <c r="DL55" i="129"/>
  <c r="DL14" i="129" s="1"/>
  <c r="N13" i="130" s="1"/>
  <c r="DK14" i="129"/>
  <c r="DV21" i="129"/>
  <c r="DV46" i="129"/>
  <c r="O45" i="131" s="1"/>
  <c r="DV28" i="129"/>
  <c r="O27" i="131" s="1"/>
  <c r="DV37" i="129"/>
  <c r="DV26" i="129"/>
  <c r="O25" i="131" s="1"/>
  <c r="DV27" i="129"/>
  <c r="DV45" i="129"/>
  <c r="DV60" i="129"/>
  <c r="O59" i="131" s="1"/>
  <c r="DV40" i="129"/>
  <c r="DV22" i="129"/>
  <c r="O21" i="131" s="1"/>
  <c r="DV67" i="129"/>
  <c r="O66" i="131" s="1"/>
  <c r="DV51" i="129"/>
  <c r="DV63" i="129"/>
  <c r="DV50" i="129"/>
  <c r="O49" i="131" s="1"/>
  <c r="DV25" i="129"/>
  <c r="O24" i="131" s="1"/>
  <c r="DV66" i="129"/>
  <c r="DV31" i="129"/>
  <c r="DV33" i="129"/>
  <c r="O32" i="131" s="1"/>
  <c r="DV32" i="129"/>
  <c r="O31" i="131" s="1"/>
  <c r="DV41" i="129"/>
  <c r="DV57" i="129"/>
  <c r="O56" i="131" s="1"/>
  <c r="DV24" i="129"/>
  <c r="DV49" i="129"/>
  <c r="DV39" i="129"/>
  <c r="DV53" i="129"/>
  <c r="DV58" i="129"/>
  <c r="O57" i="131" s="1"/>
  <c r="DV38" i="129"/>
  <c r="O37" i="131" s="1"/>
  <c r="DV59" i="129"/>
  <c r="DV44" i="129"/>
  <c r="DV54" i="129"/>
  <c r="DV34" i="129"/>
  <c r="O33" i="131" s="1"/>
  <c r="DV52" i="129"/>
  <c r="DV62" i="129"/>
  <c r="DV20" i="129"/>
  <c r="DV65" i="129"/>
  <c r="O64" i="130" s="1"/>
  <c r="DV56" i="129"/>
  <c r="O55" i="130" s="1"/>
  <c r="DV36" i="129"/>
  <c r="O35" i="130" s="1"/>
  <c r="DV30" i="129"/>
  <c r="DV43" i="129"/>
  <c r="O42" i="130" s="1"/>
  <c r="DV48" i="129"/>
  <c r="O47" i="130" s="1"/>
  <c r="DL23" i="129"/>
  <c r="DL9" i="129" s="1"/>
  <c r="N8" i="130" s="1"/>
  <c r="DK9" i="129"/>
  <c r="DL35" i="129"/>
  <c r="DL11" i="129" s="1"/>
  <c r="N10" i="130" s="1"/>
  <c r="DK11" i="129"/>
  <c r="DS7" i="129"/>
  <c r="DS6" i="129" s="1"/>
  <c r="DS1" i="129" s="1"/>
  <c r="O48" i="131"/>
  <c r="N20" i="131"/>
  <c r="N65" i="131"/>
  <c r="N65" i="132" s="1"/>
  <c r="N48" i="131"/>
  <c r="N51" i="131"/>
  <c r="N51" i="132" s="1"/>
  <c r="N30" i="131"/>
  <c r="N37" i="131"/>
  <c r="N37" i="132" s="1"/>
  <c r="N21" i="131"/>
  <c r="N21" i="132" s="1"/>
  <c r="N26" i="131"/>
  <c r="N43" i="131"/>
  <c r="N43" i="132" s="1"/>
  <c r="N24" i="131"/>
  <c r="N24" i="132" s="1"/>
  <c r="N52" i="131"/>
  <c r="N52" i="132" s="1"/>
  <c r="N31" i="131"/>
  <c r="N31" i="132" s="1"/>
  <c r="N39" i="131"/>
  <c r="N39" i="132" s="1"/>
  <c r="N25" i="131"/>
  <c r="N58" i="131"/>
  <c r="N33" i="131"/>
  <c r="N36" i="131"/>
  <c r="N45" i="131"/>
  <c r="N56" i="131"/>
  <c r="N19" i="131"/>
  <c r="N47" i="131"/>
  <c r="N50" i="131"/>
  <c r="N50" i="132" s="1"/>
  <c r="N57" i="131"/>
  <c r="N57" i="132" s="1"/>
  <c r="N40" i="131"/>
  <c r="N62" i="131"/>
  <c r="N53" i="131"/>
  <c r="N53" i="132" s="1"/>
  <c r="N66" i="131"/>
  <c r="N38" i="131"/>
  <c r="N59" i="131"/>
  <c r="N32" i="131"/>
  <c r="N32" i="132" s="1"/>
  <c r="N27" i="131"/>
  <c r="N49" i="131"/>
  <c r="N44" i="131"/>
  <c r="M18" i="131"/>
  <c r="M8" i="131"/>
  <c r="M8" i="132" s="1"/>
  <c r="M22" i="131"/>
  <c r="M13" i="131"/>
  <c r="M13" i="132" s="1"/>
  <c r="M54" i="131"/>
  <c r="M60" i="131"/>
  <c r="M14" i="131"/>
  <c r="M14" i="132" s="1"/>
  <c r="M41" i="131"/>
  <c r="M11" i="131"/>
  <c r="M11" i="132" s="1"/>
  <c r="M12" i="131"/>
  <c r="M12" i="132" s="1"/>
  <c r="M46" i="131"/>
  <c r="M10" i="131"/>
  <c r="M10" i="132" s="1"/>
  <c r="M34" i="131"/>
  <c r="M63" i="131"/>
  <c r="M15" i="131"/>
  <c r="M15" i="132" s="1"/>
  <c r="L25" i="131"/>
  <c r="L25" i="132" s="1"/>
  <c r="L62" i="131"/>
  <c r="L62" i="132" s="1"/>
  <c r="L52" i="131"/>
  <c r="L52" i="132" s="1"/>
  <c r="L44" i="131"/>
  <c r="L44" i="132" s="1"/>
  <c r="L42" i="131"/>
  <c r="L42" i="132" s="1"/>
  <c r="L56" i="131"/>
  <c r="L56" i="132" s="1"/>
  <c r="L40" i="131"/>
  <c r="L40" i="132" s="1"/>
  <c r="L43" i="131"/>
  <c r="L43" i="132" s="1"/>
  <c r="L27" i="131"/>
  <c r="L27" i="132" s="1"/>
  <c r="L55" i="131"/>
  <c r="L55" i="132" s="1"/>
  <c r="L33" i="131"/>
  <c r="L33" i="132" s="1"/>
  <c r="L31" i="131"/>
  <c r="L31" i="132" s="1"/>
  <c r="L20" i="131"/>
  <c r="L20" i="132" s="1"/>
  <c r="L29" i="131"/>
  <c r="L29" i="132" s="1"/>
  <c r="L35" i="131"/>
  <c r="L35" i="132" s="1"/>
  <c r="L53" i="131"/>
  <c r="L53" i="132" s="1"/>
  <c r="L58" i="131"/>
  <c r="L58" i="132" s="1"/>
  <c r="L49" i="131"/>
  <c r="L49" i="132" s="1"/>
  <c r="L50" i="131"/>
  <c r="L50" i="132" s="1"/>
  <c r="L64" i="131"/>
  <c r="L64" i="132" s="1"/>
  <c r="L30" i="131"/>
  <c r="L30" i="132" s="1"/>
  <c r="L24" i="131"/>
  <c r="L24" i="132" s="1"/>
  <c r="L59" i="131"/>
  <c r="L59" i="132" s="1"/>
  <c r="L37" i="131"/>
  <c r="L37" i="132" s="1"/>
  <c r="L19" i="131"/>
  <c r="L19" i="132" s="1"/>
  <c r="L51" i="131"/>
  <c r="L51" i="132" s="1"/>
  <c r="L45" i="131"/>
  <c r="L45" i="132" s="1"/>
  <c r="L39" i="131"/>
  <c r="L39" i="132" s="1"/>
  <c r="L48" i="131"/>
  <c r="L48" i="132" s="1"/>
  <c r="L47" i="131"/>
  <c r="L47" i="132" s="1"/>
  <c r="L57" i="131"/>
  <c r="L57" i="132" s="1"/>
  <c r="L32" i="131"/>
  <c r="L32" i="132" s="1"/>
  <c r="L21" i="131"/>
  <c r="L21" i="132" s="1"/>
  <c r="L26" i="131"/>
  <c r="L26" i="132" s="1"/>
  <c r="L23" i="131"/>
  <c r="L23" i="132" s="1"/>
  <c r="L38" i="131"/>
  <c r="L38" i="132" s="1"/>
  <c r="L36" i="131"/>
  <c r="L36" i="132" s="1"/>
  <c r="L65" i="131"/>
  <c r="L65" i="132" s="1"/>
  <c r="L66" i="131"/>
  <c r="L66" i="132" s="1"/>
  <c r="L61" i="131"/>
  <c r="L61" i="132" s="1"/>
  <c r="K7" i="131"/>
  <c r="M67" i="178"/>
  <c r="M69" i="178" s="1"/>
  <c r="J7" i="131"/>
  <c r="J7" i="132" s="1"/>
  <c r="I17" i="131"/>
  <c r="I17" i="132" s="1"/>
  <c r="F82" i="194"/>
  <c r="FN18" i="129"/>
  <c r="FN7" i="129" s="1"/>
  <c r="FN6" i="129" s="1"/>
  <c r="K72" i="194"/>
  <c r="K77" i="194"/>
  <c r="K75" i="194"/>
  <c r="I70" i="194"/>
  <c r="K73" i="194"/>
  <c r="K79" i="194"/>
  <c r="H71" i="194"/>
  <c r="K80" i="194"/>
  <c r="K74" i="194"/>
  <c r="K78" i="194"/>
  <c r="K76" i="194"/>
  <c r="Q8" i="110"/>
  <c r="K72" i="192"/>
  <c r="K77" i="192"/>
  <c r="Q13" i="110"/>
  <c r="K75" i="192"/>
  <c r="Q11" i="110"/>
  <c r="K73" i="192"/>
  <c r="Q9" i="110"/>
  <c r="K79" i="192"/>
  <c r="Q15" i="110"/>
  <c r="I70" i="192"/>
  <c r="K78" i="192"/>
  <c r="Q14" i="110"/>
  <c r="K76" i="192"/>
  <c r="Q12" i="110"/>
  <c r="F82" i="192"/>
  <c r="Q16" i="110"/>
  <c r="K80" i="192"/>
  <c r="K74" i="192"/>
  <c r="Q10" i="110"/>
  <c r="H71" i="192"/>
  <c r="R7" i="110"/>
  <c r="L13" i="130"/>
  <c r="L54" i="130"/>
  <c r="L71" i="188"/>
  <c r="R4" i="188"/>
  <c r="S4" i="188" s="1"/>
  <c r="H6" i="132"/>
  <c r="N102" i="188"/>
  <c r="N108" i="188"/>
  <c r="N130" i="188"/>
  <c r="N121" i="188"/>
  <c r="N85" i="188"/>
  <c r="I6" i="131"/>
  <c r="K7" i="130"/>
  <c r="L22" i="130"/>
  <c r="L8" i="130"/>
  <c r="L18" i="130"/>
  <c r="L10" i="130"/>
  <c r="L34" i="130"/>
  <c r="N124" i="188"/>
  <c r="N106" i="188"/>
  <c r="N113" i="188"/>
  <c r="N127" i="188"/>
  <c r="N89" i="188"/>
  <c r="M7" i="130"/>
  <c r="L14" i="130"/>
  <c r="L60" i="130"/>
  <c r="L63" i="130"/>
  <c r="L15" i="130"/>
  <c r="L12" i="130"/>
  <c r="L46" i="130"/>
  <c r="H17" i="132"/>
  <c r="J17" i="130"/>
  <c r="J17" i="132" s="1"/>
  <c r="N95" i="188"/>
  <c r="L9" i="130"/>
  <c r="L28" i="130"/>
  <c r="L11" i="130"/>
  <c r="L41" i="130"/>
  <c r="K71" i="189"/>
  <c r="O6" i="110"/>
  <c r="O5" i="110" s="1"/>
  <c r="I5" i="130"/>
  <c r="I6" i="130"/>
  <c r="N128" i="188"/>
  <c r="N101" i="188"/>
  <c r="F76" i="200" l="1"/>
  <c r="F21" i="200"/>
  <c r="F69" i="200" s="1"/>
  <c r="X7" i="110"/>
  <c r="F70" i="200"/>
  <c r="F38" i="200"/>
  <c r="F71" i="200"/>
  <c r="F39" i="200"/>
  <c r="F74" i="200"/>
  <c r="F43" i="200"/>
  <c r="F75" i="200"/>
  <c r="H70" i="212"/>
  <c r="H70" i="213"/>
  <c r="K82" i="212"/>
  <c r="K82" i="213"/>
  <c r="F71" i="212"/>
  <c r="F71" i="213"/>
  <c r="N36" i="132"/>
  <c r="K82" i="211"/>
  <c r="EZ42" i="129"/>
  <c r="J5" i="131"/>
  <c r="M60" i="132"/>
  <c r="EZ19" i="129"/>
  <c r="EZ61" i="129"/>
  <c r="K77" i="205"/>
  <c r="EZ29" i="129"/>
  <c r="N40" i="132"/>
  <c r="N58" i="132"/>
  <c r="EZ23" i="129"/>
  <c r="EZ55" i="129"/>
  <c r="F71" i="211"/>
  <c r="H70" i="211"/>
  <c r="EZ47" i="129"/>
  <c r="EZ64" i="129"/>
  <c r="EZ35" i="129"/>
  <c r="T14" i="110"/>
  <c r="K78" i="205"/>
  <c r="GI6" i="129"/>
  <c r="GE20" i="129" s="1"/>
  <c r="K80" i="207"/>
  <c r="I37" i="200"/>
  <c r="I70" i="207"/>
  <c r="I20" i="200"/>
  <c r="I68" i="200" s="1"/>
  <c r="K72" i="207"/>
  <c r="K22" i="200"/>
  <c r="K70" i="200" s="1"/>
  <c r="K79" i="207"/>
  <c r="K29" i="200"/>
  <c r="K77" i="200" s="1"/>
  <c r="K77" i="207"/>
  <c r="K27" i="200"/>
  <c r="K74" i="207"/>
  <c r="K24" i="200"/>
  <c r="K72" i="200" s="1"/>
  <c r="K73" i="207"/>
  <c r="K23" i="200"/>
  <c r="K71" i="200" s="1"/>
  <c r="K78" i="207"/>
  <c r="K28" i="200"/>
  <c r="K76" i="207"/>
  <c r="K26" i="200"/>
  <c r="K74" i="200" s="1"/>
  <c r="K75" i="207"/>
  <c r="K25" i="200"/>
  <c r="K73" i="200" s="1"/>
  <c r="N56" i="132"/>
  <c r="K5" i="207"/>
  <c r="K21" i="200" s="1"/>
  <c r="K69" i="200" s="1"/>
  <c r="K82" i="207"/>
  <c r="H70" i="207"/>
  <c r="F71" i="207"/>
  <c r="F4" i="207"/>
  <c r="ET18" i="129"/>
  <c r="EM18" i="129" s="1"/>
  <c r="T10" i="110"/>
  <c r="T11" i="110"/>
  <c r="T12" i="110"/>
  <c r="T9" i="110"/>
  <c r="T8" i="110"/>
  <c r="T16" i="110"/>
  <c r="T15" i="110"/>
  <c r="H71" i="205"/>
  <c r="K75" i="205"/>
  <c r="K74" i="205"/>
  <c r="K79" i="205"/>
  <c r="K76" i="205"/>
  <c r="K72" i="205"/>
  <c r="K73" i="205"/>
  <c r="K80" i="205"/>
  <c r="I71" i="205"/>
  <c r="K82" i="205"/>
  <c r="N87" i="189"/>
  <c r="M46" i="132"/>
  <c r="O43" i="130"/>
  <c r="M63" i="132"/>
  <c r="M54" i="132"/>
  <c r="N60" i="130"/>
  <c r="N124" i="189"/>
  <c r="N45" i="132"/>
  <c r="O53" i="130"/>
  <c r="O23" i="130"/>
  <c r="N115" i="189"/>
  <c r="N44" i="132"/>
  <c r="N41" i="130"/>
  <c r="O26" i="130"/>
  <c r="N25" i="132"/>
  <c r="N98" i="189"/>
  <c r="O19" i="130"/>
  <c r="O32" i="130"/>
  <c r="O32" i="132" s="1"/>
  <c r="N46" i="130"/>
  <c r="O57" i="130"/>
  <c r="O57" i="132" s="1"/>
  <c r="O49" i="130"/>
  <c r="O49" i="132" s="1"/>
  <c r="N30" i="132"/>
  <c r="N123" i="189"/>
  <c r="O45" i="130"/>
  <c r="O45" i="132" s="1"/>
  <c r="N119" i="189"/>
  <c r="O21" i="130"/>
  <c r="O21" i="132" s="1"/>
  <c r="N59" i="132"/>
  <c r="O29" i="130"/>
  <c r="O65" i="130"/>
  <c r="N28" i="130"/>
  <c r="N47" i="132"/>
  <c r="N94" i="188"/>
  <c r="M22" i="132"/>
  <c r="N62" i="132"/>
  <c r="N19" i="132"/>
  <c r="N108" i="189"/>
  <c r="N34" i="130"/>
  <c r="N22" i="130"/>
  <c r="N90" i="189"/>
  <c r="O66" i="130"/>
  <c r="O66" i="132" s="1"/>
  <c r="N49" i="132"/>
  <c r="O39" i="130"/>
  <c r="O30" i="130"/>
  <c r="M34" i="132"/>
  <c r="FJ59" i="129"/>
  <c r="FJ53" i="129"/>
  <c r="FJ44" i="129"/>
  <c r="FJ34" i="129"/>
  <c r="FJ21" i="129"/>
  <c r="FJ51" i="129"/>
  <c r="FJ46" i="129"/>
  <c r="FJ26" i="129"/>
  <c r="FJ41" i="129"/>
  <c r="FJ27" i="129"/>
  <c r="FJ54" i="129"/>
  <c r="FJ22" i="129"/>
  <c r="FJ25" i="129"/>
  <c r="FJ40" i="129"/>
  <c r="FJ28" i="129"/>
  <c r="FJ33" i="129"/>
  <c r="FJ57" i="129"/>
  <c r="FJ67" i="129"/>
  <c r="FJ32" i="129"/>
  <c r="FJ37" i="129"/>
  <c r="FJ38" i="129"/>
  <c r="FJ49" i="129"/>
  <c r="FJ63" i="129"/>
  <c r="FJ39" i="129"/>
  <c r="FJ66" i="129"/>
  <c r="FJ58" i="129"/>
  <c r="FJ50" i="129"/>
  <c r="FJ52" i="129"/>
  <c r="FJ60" i="129"/>
  <c r="FJ31" i="129"/>
  <c r="FJ45" i="129"/>
  <c r="FJ36" i="129"/>
  <c r="FJ65" i="129"/>
  <c r="FJ30" i="129"/>
  <c r="FJ48" i="129"/>
  <c r="FJ20" i="129"/>
  <c r="FJ43" i="129"/>
  <c r="FJ62" i="129"/>
  <c r="FJ24" i="129"/>
  <c r="FJ56" i="129"/>
  <c r="N132" i="189"/>
  <c r="N93" i="189"/>
  <c r="O33" i="130"/>
  <c r="O33" i="132" s="1"/>
  <c r="O31" i="130"/>
  <c r="O31" i="132" s="1"/>
  <c r="N63" i="130"/>
  <c r="O37" i="130"/>
  <c r="O37" i="132" s="1"/>
  <c r="O24" i="130"/>
  <c r="O24" i="132" s="1"/>
  <c r="O48" i="130"/>
  <c r="O48" i="132" s="1"/>
  <c r="N130" i="189"/>
  <c r="M9" i="131"/>
  <c r="M9" i="132" s="1"/>
  <c r="O27" i="130"/>
  <c r="O27" i="132" s="1"/>
  <c r="N99" i="189"/>
  <c r="N97" i="189"/>
  <c r="N54" i="130"/>
  <c r="N18" i="130"/>
  <c r="O44" i="130"/>
  <c r="M41" i="132"/>
  <c r="N122" i="189"/>
  <c r="N38" i="132"/>
  <c r="N84" i="188"/>
  <c r="O25" i="130"/>
  <c r="O25" i="132" s="1"/>
  <c r="N101" i="189"/>
  <c r="M18" i="132"/>
  <c r="N66" i="132"/>
  <c r="N100" i="188"/>
  <c r="DK18" i="129"/>
  <c r="DK17" i="129" s="1"/>
  <c r="O92" i="188"/>
  <c r="M28" i="131"/>
  <c r="M28" i="132" s="1"/>
  <c r="M103" i="188"/>
  <c r="O58" i="131"/>
  <c r="M132" i="188"/>
  <c r="O128" i="188"/>
  <c r="O123" i="188"/>
  <c r="M131" i="188"/>
  <c r="M111" i="189"/>
  <c r="O87" i="188"/>
  <c r="O114" i="188"/>
  <c r="M86" i="188"/>
  <c r="S3" i="188"/>
  <c r="M67" i="177"/>
  <c r="M69" i="177" s="1"/>
  <c r="O99" i="188"/>
  <c r="M96" i="188"/>
  <c r="N114" i="188"/>
  <c r="N67" i="178"/>
  <c r="N69" i="178" s="1"/>
  <c r="M92" i="188"/>
  <c r="O117" i="188"/>
  <c r="N103" i="188"/>
  <c r="N109" i="188"/>
  <c r="N97" i="188"/>
  <c r="O67" i="170"/>
  <c r="O69" i="170" s="1"/>
  <c r="S2" i="170" s="1"/>
  <c r="CG6" i="129"/>
  <c r="CG1" i="129" s="1"/>
  <c r="K6" i="131"/>
  <c r="DL18" i="129"/>
  <c r="CQ7" i="129"/>
  <c r="L17" i="131"/>
  <c r="DB7" i="129"/>
  <c r="DB6" i="129" s="1"/>
  <c r="DB1" i="129" s="1"/>
  <c r="DB17" i="129"/>
  <c r="M117" i="188"/>
  <c r="M97" i="189"/>
  <c r="O44" i="131"/>
  <c r="O51" i="130"/>
  <c r="N113" i="189"/>
  <c r="N117" i="189"/>
  <c r="O61" i="130"/>
  <c r="O56" i="130"/>
  <c r="O56" i="132" s="1"/>
  <c r="N96" i="189"/>
  <c r="N91" i="189"/>
  <c r="N48" i="132"/>
  <c r="O62" i="130"/>
  <c r="O52" i="130"/>
  <c r="O20" i="130"/>
  <c r="N27" i="132"/>
  <c r="O62" i="131"/>
  <c r="N128" i="189"/>
  <c r="N118" i="189"/>
  <c r="M87" i="188"/>
  <c r="O52" i="131"/>
  <c r="O38" i="130"/>
  <c r="N125" i="189"/>
  <c r="N121" i="189"/>
  <c r="N33" i="132"/>
  <c r="N64" i="131"/>
  <c r="N64" i="132" s="1"/>
  <c r="N20" i="132"/>
  <c r="O40" i="131"/>
  <c r="O36" i="130"/>
  <c r="O40" i="130"/>
  <c r="O58" i="130"/>
  <c r="O50" i="130"/>
  <c r="O59" i="130"/>
  <c r="O59" i="132" s="1"/>
  <c r="N61" i="131"/>
  <c r="N61" i="132" s="1"/>
  <c r="N35" i="131"/>
  <c r="N35" i="132" s="1"/>
  <c r="N26" i="132"/>
  <c r="O51" i="131"/>
  <c r="O65" i="131"/>
  <c r="O50" i="131"/>
  <c r="M101" i="188"/>
  <c r="N42" i="131"/>
  <c r="N42" i="132" s="1"/>
  <c r="N29" i="131"/>
  <c r="N29" i="132" s="1"/>
  <c r="O38" i="131"/>
  <c r="O36" i="131"/>
  <c r="N55" i="131"/>
  <c r="N55" i="132" s="1"/>
  <c r="O20" i="131"/>
  <c r="M110" i="189"/>
  <c r="N107" i="188"/>
  <c r="O30" i="131"/>
  <c r="M105" i="189"/>
  <c r="O26" i="131"/>
  <c r="M105" i="188"/>
  <c r="N120" i="188"/>
  <c r="O39" i="131"/>
  <c r="O43" i="131"/>
  <c r="O53" i="131"/>
  <c r="M132" i="189"/>
  <c r="M113" i="188"/>
  <c r="M118" i="189"/>
  <c r="M109" i="189"/>
  <c r="M114" i="189"/>
  <c r="N23" i="131"/>
  <c r="N23" i="132" s="1"/>
  <c r="M117" i="189"/>
  <c r="M104" i="189"/>
  <c r="M106" i="189"/>
  <c r="M116" i="189"/>
  <c r="M102" i="189"/>
  <c r="M92" i="189"/>
  <c r="M124" i="189"/>
  <c r="DV35" i="129"/>
  <c r="DV11" i="129" s="1"/>
  <c r="O10" i="130" s="1"/>
  <c r="DV61" i="129"/>
  <c r="DV15" i="129" s="1"/>
  <c r="O14" i="130" s="1"/>
  <c r="M86" i="189"/>
  <c r="DV47" i="129"/>
  <c r="DV13" i="129" s="1"/>
  <c r="O12" i="130" s="1"/>
  <c r="DV55" i="129"/>
  <c r="DV14" i="129" s="1"/>
  <c r="O13" i="130" s="1"/>
  <c r="DV42" i="129"/>
  <c r="DV12" i="129" s="1"/>
  <c r="O11" i="130" s="1"/>
  <c r="DV64" i="129"/>
  <c r="DV16" i="129" s="1"/>
  <c r="O15" i="130" s="1"/>
  <c r="M119" i="189"/>
  <c r="DT7" i="129"/>
  <c r="DT6" i="129" s="1"/>
  <c r="DT1" i="129" s="1"/>
  <c r="DU10" i="129"/>
  <c r="DV29" i="129"/>
  <c r="DV10" i="129" s="1"/>
  <c r="O9" i="130" s="1"/>
  <c r="DV19" i="129"/>
  <c r="DV8" i="129" s="1"/>
  <c r="DV23" i="129"/>
  <c r="DV9" i="129" s="1"/>
  <c r="O8" i="130" s="1"/>
  <c r="M91" i="188"/>
  <c r="K7" i="132"/>
  <c r="M90" i="188"/>
  <c r="O119" i="188"/>
  <c r="M124" i="188"/>
  <c r="M119" i="188"/>
  <c r="M103" i="189"/>
  <c r="O125" i="188"/>
  <c r="M128" i="189"/>
  <c r="O109" i="188"/>
  <c r="M93" i="188"/>
  <c r="M111" i="188"/>
  <c r="M96" i="189"/>
  <c r="M131" i="189"/>
  <c r="O104" i="188"/>
  <c r="O106" i="188"/>
  <c r="O102" i="188"/>
  <c r="M104" i="188"/>
  <c r="M122" i="188"/>
  <c r="M116" i="188"/>
  <c r="M97" i="188"/>
  <c r="N13" i="131"/>
  <c r="N13" i="132" s="1"/>
  <c r="N54" i="131"/>
  <c r="O90" i="188"/>
  <c r="M106" i="188"/>
  <c r="M128" i="188"/>
  <c r="M115" i="188"/>
  <c r="N8" i="131"/>
  <c r="N8" i="132" s="1"/>
  <c r="N22" i="131"/>
  <c r="N34" i="131"/>
  <c r="N10" i="131"/>
  <c r="N10" i="132" s="1"/>
  <c r="N18" i="131"/>
  <c r="M98" i="188"/>
  <c r="M109" i="188"/>
  <c r="M110" i="188"/>
  <c r="N11" i="131"/>
  <c r="N11" i="132" s="1"/>
  <c r="N41" i="131"/>
  <c r="M118" i="188"/>
  <c r="M102" i="188"/>
  <c r="M123" i="188"/>
  <c r="M114" i="188"/>
  <c r="N46" i="131"/>
  <c r="N12" i="131"/>
  <c r="N12" i="132" s="1"/>
  <c r="N9" i="131"/>
  <c r="N9" i="132" s="1"/>
  <c r="N28" i="131"/>
  <c r="N14" i="131"/>
  <c r="N14" i="132" s="1"/>
  <c r="N60" i="131"/>
  <c r="N63" i="131"/>
  <c r="N15" i="131"/>
  <c r="N15" i="132" s="1"/>
  <c r="M99" i="188"/>
  <c r="M125" i="188"/>
  <c r="M7" i="131"/>
  <c r="M7" i="132" s="1"/>
  <c r="L28" i="131"/>
  <c r="L28" i="132" s="1"/>
  <c r="L9" i="131"/>
  <c r="L9" i="132" s="1"/>
  <c r="L12" i="131"/>
  <c r="L12" i="132" s="1"/>
  <c r="L46" i="131"/>
  <c r="L46" i="132" s="1"/>
  <c r="L60" i="131"/>
  <c r="L60" i="132" s="1"/>
  <c r="L14" i="131"/>
  <c r="L14" i="132" s="1"/>
  <c r="L63" i="131"/>
  <c r="L63" i="132" s="1"/>
  <c r="L15" i="131"/>
  <c r="L15" i="132" s="1"/>
  <c r="L34" i="131"/>
  <c r="L34" i="132" s="1"/>
  <c r="L10" i="131"/>
  <c r="L10" i="132" s="1"/>
  <c r="L41" i="131"/>
  <c r="L41" i="132" s="1"/>
  <c r="L11" i="131"/>
  <c r="L11" i="132" s="1"/>
  <c r="L54" i="131"/>
  <c r="L54" i="132" s="1"/>
  <c r="L13" i="131"/>
  <c r="L13" i="132" s="1"/>
  <c r="L22" i="131"/>
  <c r="L22" i="132" s="1"/>
  <c r="L8" i="131"/>
  <c r="L8" i="132" s="1"/>
  <c r="L18" i="131"/>
  <c r="L18" i="132" s="1"/>
  <c r="H5" i="131"/>
  <c r="H5" i="132" s="1"/>
  <c r="K82" i="194"/>
  <c r="S18" i="110"/>
  <c r="F71" i="194"/>
  <c r="H70" i="194"/>
  <c r="H70" i="192"/>
  <c r="K82" i="192"/>
  <c r="Q18" i="110"/>
  <c r="F71" i="192"/>
  <c r="R6" i="110"/>
  <c r="R5" i="110" s="1"/>
  <c r="N7" i="130"/>
  <c r="N127" i="189"/>
  <c r="N89" i="189"/>
  <c r="I6" i="132"/>
  <c r="J6" i="130"/>
  <c r="J6" i="132" s="1"/>
  <c r="J5" i="130"/>
  <c r="M17" i="130"/>
  <c r="L7" i="130"/>
  <c r="K17" i="130"/>
  <c r="K17" i="132" s="1"/>
  <c r="N95" i="189"/>
  <c r="N85" i="189"/>
  <c r="F20" i="200" l="1"/>
  <c r="F68" i="200" s="1"/>
  <c r="X6" i="110"/>
  <c r="X5" i="110" s="1"/>
  <c r="K71" i="212"/>
  <c r="K71" i="213"/>
  <c r="F70" i="212"/>
  <c r="F70" i="213"/>
  <c r="J5" i="132"/>
  <c r="N102" i="189"/>
  <c r="N114" i="189"/>
  <c r="N129" i="188"/>
  <c r="K44" i="200"/>
  <c r="K76" i="200"/>
  <c r="K43" i="200"/>
  <c r="K75" i="200"/>
  <c r="F70" i="211"/>
  <c r="K71" i="211"/>
  <c r="N103" i="189"/>
  <c r="GE30" i="129"/>
  <c r="GE53" i="129"/>
  <c r="GE63" i="129"/>
  <c r="GE59" i="129"/>
  <c r="GE46" i="129"/>
  <c r="GE58" i="129"/>
  <c r="GE31" i="129"/>
  <c r="GE22" i="129"/>
  <c r="GE51" i="129"/>
  <c r="GE40" i="129"/>
  <c r="GE25" i="129"/>
  <c r="GE67" i="129"/>
  <c r="GE50" i="129"/>
  <c r="GE34" i="129"/>
  <c r="GE24" i="129"/>
  <c r="GE65" i="129"/>
  <c r="GE38" i="129"/>
  <c r="GE66" i="129"/>
  <c r="GE56" i="129"/>
  <c r="GE33" i="129"/>
  <c r="GE54" i="129"/>
  <c r="GE21" i="129"/>
  <c r="GE32" i="129"/>
  <c r="GE48" i="129"/>
  <c r="GE45" i="129"/>
  <c r="GE26" i="129"/>
  <c r="GE37" i="129"/>
  <c r="GE49" i="129"/>
  <c r="GE62" i="129"/>
  <c r="GE57" i="129"/>
  <c r="GE44" i="129"/>
  <c r="GE28" i="129"/>
  <c r="GE52" i="129"/>
  <c r="GE36" i="129"/>
  <c r="GE43" i="129"/>
  <c r="GE41" i="129"/>
  <c r="GE39" i="129"/>
  <c r="GE27" i="129"/>
  <c r="GE60" i="129"/>
  <c r="H37" i="200"/>
  <c r="H36" i="200"/>
  <c r="N18" i="207"/>
  <c r="GC20" i="129"/>
  <c r="U19" i="130"/>
  <c r="U19" i="132" s="1"/>
  <c r="K45" i="200"/>
  <c r="K46" i="200"/>
  <c r="K39" i="200"/>
  <c r="K41" i="200"/>
  <c r="K38" i="200"/>
  <c r="K42" i="200"/>
  <c r="K40" i="200"/>
  <c r="F70" i="207"/>
  <c r="K71" i="207"/>
  <c r="K4" i="207"/>
  <c r="K20" i="200" s="1"/>
  <c r="K68" i="200" s="1"/>
  <c r="O43" i="132"/>
  <c r="H70" i="205"/>
  <c r="I70" i="205"/>
  <c r="F71" i="205"/>
  <c r="N75" i="188"/>
  <c r="T18" i="110"/>
  <c r="FY18" i="129"/>
  <c r="FY7" i="129" s="1"/>
  <c r="FY6" i="129" s="1"/>
  <c r="K37" i="200"/>
  <c r="N110" i="189"/>
  <c r="N60" i="132"/>
  <c r="N106" i="189"/>
  <c r="N41" i="132"/>
  <c r="N34" i="132"/>
  <c r="O26" i="132"/>
  <c r="N22" i="132"/>
  <c r="N111" i="189"/>
  <c r="O39" i="132"/>
  <c r="M89" i="188"/>
  <c r="O53" i="132"/>
  <c r="N46" i="132"/>
  <c r="N18" i="132"/>
  <c r="O65" i="132"/>
  <c r="N73" i="188"/>
  <c r="N28" i="132"/>
  <c r="O44" i="132"/>
  <c r="N92" i="189"/>
  <c r="O30" i="132"/>
  <c r="O20" i="132"/>
  <c r="N104" i="189"/>
  <c r="N105" i="189"/>
  <c r="N79" i="188"/>
  <c r="N77" i="188"/>
  <c r="N63" i="132"/>
  <c r="FJ64" i="129"/>
  <c r="FJ55" i="129"/>
  <c r="FJ35" i="129"/>
  <c r="FJ61" i="129"/>
  <c r="FJ19" i="129"/>
  <c r="FJ23" i="129"/>
  <c r="FJ47" i="129"/>
  <c r="FJ29" i="129"/>
  <c r="FJ42" i="129"/>
  <c r="M121" i="188"/>
  <c r="O18" i="130"/>
  <c r="O54" i="130"/>
  <c r="N100" i="189"/>
  <c r="N54" i="132"/>
  <c r="N76" i="188"/>
  <c r="N126" i="188"/>
  <c r="N131" i="189"/>
  <c r="O51" i="132"/>
  <c r="N129" i="189"/>
  <c r="M108" i="188"/>
  <c r="N86" i="189"/>
  <c r="M99" i="189"/>
  <c r="M93" i="189"/>
  <c r="N88" i="188"/>
  <c r="O58" i="132"/>
  <c r="O89" i="188"/>
  <c r="N112" i="188"/>
  <c r="O103" i="188"/>
  <c r="O98" i="188"/>
  <c r="O63" i="130"/>
  <c r="N109" i="189"/>
  <c r="O111" i="188"/>
  <c r="M91" i="189"/>
  <c r="O34" i="130"/>
  <c r="O86" i="188"/>
  <c r="N81" i="188"/>
  <c r="O67" i="178"/>
  <c r="O69" i="178" s="1"/>
  <c r="S2" i="178" s="1"/>
  <c r="M84" i="188"/>
  <c r="O105" i="188"/>
  <c r="O67" i="177"/>
  <c r="O69" i="177" s="1"/>
  <c r="S2" i="177" s="1"/>
  <c r="O129" i="188"/>
  <c r="O126" i="188"/>
  <c r="O97" i="188"/>
  <c r="O91" i="188"/>
  <c r="O118" i="188"/>
  <c r="M98" i="189"/>
  <c r="M87" i="189"/>
  <c r="N67" i="185"/>
  <c r="N69" i="185" s="1"/>
  <c r="O115" i="188"/>
  <c r="O131" i="188"/>
  <c r="M107" i="188"/>
  <c r="O122" i="188"/>
  <c r="O110" i="188"/>
  <c r="O121" i="188"/>
  <c r="O124" i="188"/>
  <c r="M125" i="189"/>
  <c r="M130" i="188"/>
  <c r="M127" i="188"/>
  <c r="N80" i="188"/>
  <c r="O93" i="188"/>
  <c r="O96" i="188"/>
  <c r="O116" i="188"/>
  <c r="O132" i="188"/>
  <c r="M95" i="188"/>
  <c r="CQ6" i="129"/>
  <c r="CQ1" i="129" s="1"/>
  <c r="L6" i="131"/>
  <c r="DV18" i="129"/>
  <c r="DA7" i="129"/>
  <c r="M17" i="131"/>
  <c r="M17" i="132" s="1"/>
  <c r="DL7" i="129"/>
  <c r="DL6" i="129" s="1"/>
  <c r="DL1" i="129" s="1"/>
  <c r="DL17" i="129"/>
  <c r="K5" i="131"/>
  <c r="M90" i="189"/>
  <c r="M85" i="188"/>
  <c r="M123" i="189"/>
  <c r="O46" i="130"/>
  <c r="O62" i="132"/>
  <c r="O50" i="132"/>
  <c r="O52" i="132"/>
  <c r="N116" i="189"/>
  <c r="M115" i="189"/>
  <c r="O36" i="132"/>
  <c r="O38" i="132"/>
  <c r="O40" i="132"/>
  <c r="M100" i="188"/>
  <c r="M122" i="189"/>
  <c r="O28" i="130"/>
  <c r="O60" i="130"/>
  <c r="M120" i="188"/>
  <c r="O22" i="130"/>
  <c r="O41" i="130"/>
  <c r="N88" i="189"/>
  <c r="M88" i="188"/>
  <c r="DU8" i="129"/>
  <c r="O19" i="131"/>
  <c r="O19" i="132" s="1"/>
  <c r="DU13" i="129"/>
  <c r="O47" i="131"/>
  <c r="O47" i="132" s="1"/>
  <c r="DU9" i="129"/>
  <c r="O23" i="131"/>
  <c r="O23" i="132" s="1"/>
  <c r="DU16" i="129"/>
  <c r="O64" i="131"/>
  <c r="O64" i="132" s="1"/>
  <c r="DU14" i="129"/>
  <c r="O55" i="131"/>
  <c r="O55" i="132" s="1"/>
  <c r="DU15" i="129"/>
  <c r="O61" i="131"/>
  <c r="O61" i="132" s="1"/>
  <c r="O29" i="131"/>
  <c r="O29" i="132" s="1"/>
  <c r="DU12" i="129"/>
  <c r="O42" i="131"/>
  <c r="O42" i="132" s="1"/>
  <c r="DU11" i="129"/>
  <c r="O35" i="131"/>
  <c r="O35" i="132" s="1"/>
  <c r="M94" i="188"/>
  <c r="M126" i="188"/>
  <c r="M112" i="188"/>
  <c r="M129" i="188"/>
  <c r="N7" i="131"/>
  <c r="N7" i="132" s="1"/>
  <c r="L7" i="131"/>
  <c r="L7" i="132" s="1"/>
  <c r="M67" i="186"/>
  <c r="M69" i="186" s="1"/>
  <c r="I5" i="131"/>
  <c r="I5" i="132" s="1"/>
  <c r="S7" i="110"/>
  <c r="F70" i="194"/>
  <c r="K71" i="194"/>
  <c r="F70" i="192"/>
  <c r="Q7" i="110"/>
  <c r="K71" i="192"/>
  <c r="O7" i="130"/>
  <c r="K6" i="130"/>
  <c r="K6" i="132" s="1"/>
  <c r="K5" i="130"/>
  <c r="L17" i="130"/>
  <c r="L17" i="132" s="1"/>
  <c r="M6" i="130"/>
  <c r="M5" i="130"/>
  <c r="EL14" i="129"/>
  <c r="EL12" i="129"/>
  <c r="EL9" i="129"/>
  <c r="EL10" i="129"/>
  <c r="EL11" i="129"/>
  <c r="EL13" i="129"/>
  <c r="EL8" i="129"/>
  <c r="EL15" i="129"/>
  <c r="N17" i="130"/>
  <c r="K70" i="212" l="1"/>
  <c r="K70" i="213"/>
  <c r="HD20" i="129"/>
  <c r="HD65" i="129"/>
  <c r="HD62" i="129"/>
  <c r="HD43" i="129"/>
  <c r="HD30" i="129"/>
  <c r="HD36" i="129"/>
  <c r="HD56" i="129"/>
  <c r="HD24" i="129"/>
  <c r="HD48" i="129"/>
  <c r="N94" i="189"/>
  <c r="K70" i="211"/>
  <c r="GC60" i="129"/>
  <c r="N41" i="207"/>
  <c r="N42" i="207"/>
  <c r="U36" i="130"/>
  <c r="U36" i="132" s="1"/>
  <c r="N30" i="207"/>
  <c r="N54" i="207"/>
  <c r="U23" i="130"/>
  <c r="U23" i="132" s="1"/>
  <c r="GC25" i="129"/>
  <c r="GC31" i="129"/>
  <c r="GC63" i="129"/>
  <c r="U26" i="130"/>
  <c r="U26" i="132" s="1"/>
  <c r="N34" i="207"/>
  <c r="N55" i="207"/>
  <c r="U25" i="130"/>
  <c r="U25" i="132" s="1"/>
  <c r="N19" i="207"/>
  <c r="U33" i="130"/>
  <c r="U33" i="132" s="1"/>
  <c r="U39" i="130"/>
  <c r="U39" i="132" s="1"/>
  <c r="U57" i="130"/>
  <c r="U57" i="132" s="1"/>
  <c r="N51" i="207"/>
  <c r="U38" i="130"/>
  <c r="U38" i="132" s="1"/>
  <c r="U51" i="130"/>
  <c r="U51" i="132" s="1"/>
  <c r="N60" i="207"/>
  <c r="N43" i="207"/>
  <c r="GC54" i="129"/>
  <c r="N36" i="207"/>
  <c r="N48" i="207"/>
  <c r="U50" i="130"/>
  <c r="U50" i="132" s="1"/>
  <c r="U45" i="130"/>
  <c r="U45" i="132" s="1"/>
  <c r="N28" i="207"/>
  <c r="GC41" i="129"/>
  <c r="N26" i="207"/>
  <c r="N47" i="207"/>
  <c r="N46" i="207"/>
  <c r="GC33" i="129"/>
  <c r="N63" i="207"/>
  <c r="U66" i="130"/>
  <c r="U66" i="132" s="1"/>
  <c r="U21" i="130"/>
  <c r="U21" i="132" s="1"/>
  <c r="U58" i="130"/>
  <c r="U58" i="132" s="1"/>
  <c r="N31" i="207"/>
  <c r="GC67" i="129"/>
  <c r="GC53" i="129"/>
  <c r="U52" i="130"/>
  <c r="U52" i="132" s="1"/>
  <c r="N44" i="207"/>
  <c r="U56" i="130"/>
  <c r="U56" i="132" s="1"/>
  <c r="GC30" i="129"/>
  <c r="U40" i="130"/>
  <c r="U40" i="132" s="1"/>
  <c r="GC49" i="129"/>
  <c r="N29" i="207"/>
  <c r="U30" i="130"/>
  <c r="U30" i="132" s="1"/>
  <c r="N37" i="207"/>
  <c r="GC21" i="129"/>
  <c r="GC57" i="129"/>
  <c r="U20" i="130"/>
  <c r="U20" i="132" s="1"/>
  <c r="GC58" i="129"/>
  <c r="GC34" i="129"/>
  <c r="N25" i="207"/>
  <c r="N56" i="207"/>
  <c r="N32" i="207"/>
  <c r="GC27" i="129"/>
  <c r="N65" i="207"/>
  <c r="N39" i="207"/>
  <c r="U32" i="130"/>
  <c r="U32" i="132" s="1"/>
  <c r="U29" i="130"/>
  <c r="U29" i="132" s="1"/>
  <c r="GC59" i="129"/>
  <c r="U31" i="130"/>
  <c r="U31" i="132" s="1"/>
  <c r="U49" i="130"/>
  <c r="U49" i="132" s="1"/>
  <c r="GE29" i="129"/>
  <c r="U47" i="130"/>
  <c r="U47" i="132" s="1"/>
  <c r="GC48" i="129"/>
  <c r="GC28" i="129"/>
  <c r="U27" i="130"/>
  <c r="U27" i="132" s="1"/>
  <c r="GC22" i="129"/>
  <c r="U64" i="130"/>
  <c r="U64" i="132" s="1"/>
  <c r="N20" i="207"/>
  <c r="U48" i="130"/>
  <c r="U48" i="132" s="1"/>
  <c r="N57" i="207"/>
  <c r="GE19" i="129"/>
  <c r="GC65" i="129"/>
  <c r="GE64" i="129"/>
  <c r="N58" i="207"/>
  <c r="GC24" i="129"/>
  <c r="GE61" i="129"/>
  <c r="N61" i="207"/>
  <c r="GC39" i="129"/>
  <c r="U55" i="130"/>
  <c r="U55" i="132" s="1"/>
  <c r="U53" i="130"/>
  <c r="U53" i="132" s="1"/>
  <c r="N50" i="207"/>
  <c r="GC45" i="129"/>
  <c r="GC40" i="129"/>
  <c r="U62" i="130"/>
  <c r="U62" i="132" s="1"/>
  <c r="GE55" i="129"/>
  <c r="U61" i="130"/>
  <c r="U61" i="132" s="1"/>
  <c r="N23" i="207"/>
  <c r="N52" i="207"/>
  <c r="GC46" i="129"/>
  <c r="GC62" i="129"/>
  <c r="U24" i="130"/>
  <c r="U24" i="132" s="1"/>
  <c r="U44" i="130"/>
  <c r="U44" i="132" s="1"/>
  <c r="GC56" i="129"/>
  <c r="GC50" i="129"/>
  <c r="N49" i="207"/>
  <c r="N22" i="207"/>
  <c r="U59" i="130"/>
  <c r="U59" i="132" s="1"/>
  <c r="GC66" i="129"/>
  <c r="GC52" i="129"/>
  <c r="U37" i="130"/>
  <c r="U37" i="132" s="1"/>
  <c r="GC32" i="129"/>
  <c r="N64" i="207"/>
  <c r="GC51" i="129"/>
  <c r="GC44" i="129"/>
  <c r="GE47" i="129"/>
  <c r="U65" i="130"/>
  <c r="U65" i="132" s="1"/>
  <c r="U43" i="130"/>
  <c r="U43" i="132" s="1"/>
  <c r="N38" i="207"/>
  <c r="GC38" i="129"/>
  <c r="GE35" i="129"/>
  <c r="GE42" i="129"/>
  <c r="GC36" i="129"/>
  <c r="GE23" i="129"/>
  <c r="GC26" i="129"/>
  <c r="U42" i="130"/>
  <c r="U42" i="132" s="1"/>
  <c r="U35" i="130"/>
  <c r="U35" i="132" s="1"/>
  <c r="N24" i="207"/>
  <c r="GC43" i="129"/>
  <c r="GC37" i="129"/>
  <c r="N35" i="207"/>
  <c r="I36" i="200"/>
  <c r="F36" i="200"/>
  <c r="F37" i="200"/>
  <c r="K70" i="207"/>
  <c r="F70" i="205"/>
  <c r="T7" i="110"/>
  <c r="FU27" i="129"/>
  <c r="FU40" i="129"/>
  <c r="FU41" i="129"/>
  <c r="FU48" i="129"/>
  <c r="FU43" i="129"/>
  <c r="FU22" i="129"/>
  <c r="FU39" i="129"/>
  <c r="FU50" i="129"/>
  <c r="FU24" i="129"/>
  <c r="FU25" i="129"/>
  <c r="FU57" i="129"/>
  <c r="FU53" i="129"/>
  <c r="FU59" i="129"/>
  <c r="FU46" i="129"/>
  <c r="FU56" i="129"/>
  <c r="FU51" i="129"/>
  <c r="FU31" i="129"/>
  <c r="FU32" i="129"/>
  <c r="FU34" i="129"/>
  <c r="FU45" i="129"/>
  <c r="FU21" i="129"/>
  <c r="FU38" i="129"/>
  <c r="FU49" i="129"/>
  <c r="FU62" i="129"/>
  <c r="FU26" i="129"/>
  <c r="FU63" i="129"/>
  <c r="FU58" i="129"/>
  <c r="FU37" i="129"/>
  <c r="FU54" i="129"/>
  <c r="FU60" i="129"/>
  <c r="FU20" i="129"/>
  <c r="FU65" i="129"/>
  <c r="FU33" i="129"/>
  <c r="FU36" i="129"/>
  <c r="FU66" i="129"/>
  <c r="FU28" i="129"/>
  <c r="FU44" i="129"/>
  <c r="FU67" i="129"/>
  <c r="FU52" i="129"/>
  <c r="FU30" i="129"/>
  <c r="K71" i="205"/>
  <c r="N76" i="189"/>
  <c r="N84" i="189"/>
  <c r="N81" i="189"/>
  <c r="R21" i="130"/>
  <c r="R33" i="130"/>
  <c r="R24" i="130"/>
  <c r="R20" i="130"/>
  <c r="R31" i="130"/>
  <c r="R59" i="130"/>
  <c r="R25" i="130"/>
  <c r="R32" i="130"/>
  <c r="R27" i="130"/>
  <c r="R40" i="130"/>
  <c r="R36" i="130"/>
  <c r="R58" i="130"/>
  <c r="R38" i="130"/>
  <c r="R37" i="130"/>
  <c r="R50" i="130"/>
  <c r="R51" i="130"/>
  <c r="R56" i="130"/>
  <c r="R43" i="130"/>
  <c r="R45" i="130"/>
  <c r="R49" i="130"/>
  <c r="R30" i="130"/>
  <c r="R39" i="130"/>
  <c r="R66" i="130"/>
  <c r="R26" i="130"/>
  <c r="R65" i="130"/>
  <c r="R62" i="130"/>
  <c r="R52" i="130"/>
  <c r="R57" i="130"/>
  <c r="R48" i="130"/>
  <c r="R53" i="130"/>
  <c r="R44" i="130"/>
  <c r="R19" i="130"/>
  <c r="R23" i="130"/>
  <c r="R61" i="130"/>
  <c r="R64" i="130"/>
  <c r="R47" i="130"/>
  <c r="R29" i="130"/>
  <c r="R35" i="130"/>
  <c r="R42" i="130"/>
  <c r="R55" i="130"/>
  <c r="DU18" i="129"/>
  <c r="DU17" i="129" s="1"/>
  <c r="O94" i="188"/>
  <c r="K5" i="132"/>
  <c r="O100" i="188"/>
  <c r="O120" i="188"/>
  <c r="N74" i="189"/>
  <c r="N77" i="189"/>
  <c r="O88" i="188"/>
  <c r="N78" i="188"/>
  <c r="O107" i="188"/>
  <c r="O112" i="188"/>
  <c r="L5" i="131"/>
  <c r="O108" i="188"/>
  <c r="M73" i="188"/>
  <c r="N78" i="189"/>
  <c r="O76" i="188"/>
  <c r="O75" i="188"/>
  <c r="O79" i="188"/>
  <c r="N107" i="189"/>
  <c r="O127" i="188"/>
  <c r="O95" i="188"/>
  <c r="O113" i="188"/>
  <c r="O85" i="188"/>
  <c r="N67" i="188"/>
  <c r="N69" i="188" s="1"/>
  <c r="N67" i="186"/>
  <c r="N69" i="186" s="1"/>
  <c r="O67" i="185"/>
  <c r="O69" i="185" s="1"/>
  <c r="S2" i="185" s="1"/>
  <c r="M76" i="188"/>
  <c r="O130" i="188"/>
  <c r="N120" i="189"/>
  <c r="O74" i="188"/>
  <c r="O101" i="188"/>
  <c r="N74" i="188"/>
  <c r="DV17" i="129"/>
  <c r="DV7" i="129"/>
  <c r="DV6" i="129" s="1"/>
  <c r="DV1" i="129" s="1"/>
  <c r="N126" i="189"/>
  <c r="DK7" i="129"/>
  <c r="N17" i="131"/>
  <c r="N17" i="132" s="1"/>
  <c r="M6" i="131"/>
  <c r="M6" i="132" s="1"/>
  <c r="DA6" i="129"/>
  <c r="DA1" i="129" s="1"/>
  <c r="N112" i="189"/>
  <c r="M108" i="189"/>
  <c r="M127" i="189"/>
  <c r="M121" i="189"/>
  <c r="M113" i="189"/>
  <c r="M89" i="189"/>
  <c r="M85" i="189"/>
  <c r="M101" i="189"/>
  <c r="M95" i="189"/>
  <c r="M130" i="189"/>
  <c r="O84" i="188"/>
  <c r="M78" i="188"/>
  <c r="M81" i="188"/>
  <c r="M80" i="188"/>
  <c r="M74" i="188"/>
  <c r="M79" i="188"/>
  <c r="M75" i="188"/>
  <c r="M77" i="188"/>
  <c r="EL16" i="129"/>
  <c r="EL7" i="129" s="1"/>
  <c r="EL6" i="129" s="1"/>
  <c r="S6" i="110"/>
  <c r="S5" i="110" s="1"/>
  <c r="K70" i="194"/>
  <c r="K70" i="192"/>
  <c r="Q6" i="110"/>
  <c r="Q5" i="110" s="1"/>
  <c r="N83" i="188"/>
  <c r="N5" i="130"/>
  <c r="N6" i="130"/>
  <c r="N73" i="189"/>
  <c r="L6" i="130"/>
  <c r="L6" i="132" s="1"/>
  <c r="L5" i="130"/>
  <c r="O17" i="130"/>
  <c r="N75" i="189"/>
  <c r="N79" i="189"/>
  <c r="HD39" i="129" l="1"/>
  <c r="HD59" i="129"/>
  <c r="HD66" i="129"/>
  <c r="HD32" i="129"/>
  <c r="HD50" i="129"/>
  <c r="HD21" i="129"/>
  <c r="HD45" i="129"/>
  <c r="HD53" i="129"/>
  <c r="HD67" i="129"/>
  <c r="HD46" i="129"/>
  <c r="HD51" i="129"/>
  <c r="HD37" i="129"/>
  <c r="HD26" i="129"/>
  <c r="HD25" i="129"/>
  <c r="HD31" i="129"/>
  <c r="HD22" i="129"/>
  <c r="HD27" i="129"/>
  <c r="HD57" i="129"/>
  <c r="HD58" i="129"/>
  <c r="HD33" i="129"/>
  <c r="HD40" i="129"/>
  <c r="HD44" i="129"/>
  <c r="HD38" i="129"/>
  <c r="HD41" i="129"/>
  <c r="HD60" i="129"/>
  <c r="HD49" i="129"/>
  <c r="HD28" i="129"/>
  <c r="HD52" i="129"/>
  <c r="HD63" i="129"/>
  <c r="HD34" i="129"/>
  <c r="HD54" i="129"/>
  <c r="GC61" i="129"/>
  <c r="GC15" i="129" s="1"/>
  <c r="N59" i="207"/>
  <c r="GE12" i="129"/>
  <c r="U11" i="130" s="1"/>
  <c r="U11" i="132" s="1"/>
  <c r="GE8" i="129"/>
  <c r="U7" i="130" s="1"/>
  <c r="U7" i="132" s="1"/>
  <c r="N33" i="207"/>
  <c r="N21" i="207"/>
  <c r="N45" i="207"/>
  <c r="N53" i="207"/>
  <c r="GE16" i="129"/>
  <c r="U15" i="130" s="1"/>
  <c r="U15" i="132" s="1"/>
  <c r="U28" i="130"/>
  <c r="U28" i="132" s="1"/>
  <c r="U18" i="130"/>
  <c r="U18" i="132" s="1"/>
  <c r="U63" i="130"/>
  <c r="U63" i="132" s="1"/>
  <c r="N17" i="207"/>
  <c r="GC55" i="129"/>
  <c r="GE10" i="129"/>
  <c r="U9" i="130" s="1"/>
  <c r="U9" i="132" s="1"/>
  <c r="N27" i="207"/>
  <c r="GC19" i="129"/>
  <c r="GC8" i="129" s="1"/>
  <c r="N62" i="207"/>
  <c r="U41" i="130"/>
  <c r="U41" i="132" s="1"/>
  <c r="GE14" i="129"/>
  <c r="U13" i="130" s="1"/>
  <c r="U13" i="132" s="1"/>
  <c r="N40" i="207"/>
  <c r="U54" i="130"/>
  <c r="U54" i="132" s="1"/>
  <c r="U60" i="130"/>
  <c r="U60" i="132" s="1"/>
  <c r="GE15" i="129"/>
  <c r="U14" i="130" s="1"/>
  <c r="U14" i="132" s="1"/>
  <c r="GC47" i="129"/>
  <c r="GC13" i="129" s="1"/>
  <c r="U22" i="130"/>
  <c r="U22" i="132" s="1"/>
  <c r="GE9" i="129"/>
  <c r="U8" i="130" s="1"/>
  <c r="U8" i="132" s="1"/>
  <c r="U46" i="130"/>
  <c r="U46" i="132" s="1"/>
  <c r="GC64" i="129"/>
  <c r="GC16" i="129" s="1"/>
  <c r="GE13" i="129"/>
  <c r="U12" i="130" s="1"/>
  <c r="U12" i="132" s="1"/>
  <c r="GC29" i="129"/>
  <c r="GC10" i="129" s="1"/>
  <c r="GC35" i="129"/>
  <c r="GC11" i="129" s="1"/>
  <c r="GC42" i="129"/>
  <c r="GC12" i="129" s="1"/>
  <c r="GE11" i="129"/>
  <c r="U10" i="130" s="1"/>
  <c r="U10" i="132" s="1"/>
  <c r="U34" i="130"/>
  <c r="U34" i="132" s="1"/>
  <c r="GC23" i="129"/>
  <c r="GC9" i="129" s="1"/>
  <c r="T6" i="110"/>
  <c r="T5" i="110" s="1"/>
  <c r="K70" i="205"/>
  <c r="FS44" i="129"/>
  <c r="T43" i="130"/>
  <c r="T43" i="132" s="1"/>
  <c r="FS54" i="129"/>
  <c r="T53" i="130"/>
  <c r="T53" i="132" s="1"/>
  <c r="FS21" i="129"/>
  <c r="T20" i="130"/>
  <c r="T20" i="132" s="1"/>
  <c r="FS59" i="129"/>
  <c r="T58" i="130"/>
  <c r="T58" i="132" s="1"/>
  <c r="T42" i="130"/>
  <c r="T42" i="132" s="1"/>
  <c r="FS43" i="129"/>
  <c r="FU42" i="129"/>
  <c r="FS28" i="129"/>
  <c r="T27" i="130"/>
  <c r="T27" i="132" s="1"/>
  <c r="FS37" i="129"/>
  <c r="T36" i="130"/>
  <c r="T36" i="132" s="1"/>
  <c r="FS45" i="129"/>
  <c r="T44" i="130"/>
  <c r="T44" i="132" s="1"/>
  <c r="FS53" i="129"/>
  <c r="T52" i="130"/>
  <c r="T52" i="132" s="1"/>
  <c r="T47" i="130"/>
  <c r="T47" i="132" s="1"/>
  <c r="FS48" i="129"/>
  <c r="FU47" i="129"/>
  <c r="FS66" i="129"/>
  <c r="T65" i="130"/>
  <c r="T65" i="132" s="1"/>
  <c r="T57" i="130"/>
  <c r="T57" i="132" s="1"/>
  <c r="FS58" i="129"/>
  <c r="T33" i="130"/>
  <c r="T33" i="132" s="1"/>
  <c r="FS34" i="129"/>
  <c r="T56" i="130"/>
  <c r="T56" i="132" s="1"/>
  <c r="FS57" i="129"/>
  <c r="FS41" i="129"/>
  <c r="T40" i="130"/>
  <c r="T40" i="132" s="1"/>
  <c r="T35" i="130"/>
  <c r="T35" i="132" s="1"/>
  <c r="FU35" i="129"/>
  <c r="FS36" i="129"/>
  <c r="T62" i="130"/>
  <c r="T62" i="132" s="1"/>
  <c r="FS63" i="129"/>
  <c r="T31" i="130"/>
  <c r="T31" i="132" s="1"/>
  <c r="FS32" i="129"/>
  <c r="FS25" i="129"/>
  <c r="T24" i="130"/>
  <c r="T24" i="132" s="1"/>
  <c r="T39" i="130"/>
  <c r="T39" i="132" s="1"/>
  <c r="FS40" i="129"/>
  <c r="T32" i="130"/>
  <c r="T32" i="132" s="1"/>
  <c r="FS33" i="129"/>
  <c r="FS26" i="129"/>
  <c r="T25" i="130"/>
  <c r="T25" i="132" s="1"/>
  <c r="T30" i="130"/>
  <c r="T30" i="132" s="1"/>
  <c r="FS31" i="129"/>
  <c r="FU23" i="129"/>
  <c r="T23" i="130"/>
  <c r="T23" i="132" s="1"/>
  <c r="FS24" i="129"/>
  <c r="FS27" i="129"/>
  <c r="T26" i="130"/>
  <c r="T26" i="132" s="1"/>
  <c r="FS30" i="129"/>
  <c r="FU29" i="129"/>
  <c r="T29" i="130"/>
  <c r="T29" i="132" s="1"/>
  <c r="T64" i="130"/>
  <c r="T64" i="132" s="1"/>
  <c r="FU64" i="129"/>
  <c r="FS65" i="129"/>
  <c r="FU61" i="129"/>
  <c r="FS62" i="129"/>
  <c r="T61" i="130"/>
  <c r="T61" i="132" s="1"/>
  <c r="FS51" i="129"/>
  <c r="T50" i="130"/>
  <c r="T50" i="132" s="1"/>
  <c r="T49" i="130"/>
  <c r="T49" i="132" s="1"/>
  <c r="FS50" i="129"/>
  <c r="FS52" i="129"/>
  <c r="T51" i="130"/>
  <c r="T51" i="132" s="1"/>
  <c r="FS20" i="129"/>
  <c r="T19" i="130"/>
  <c r="T19" i="132" s="1"/>
  <c r="FU19" i="129"/>
  <c r="T48" i="130"/>
  <c r="T48" i="132" s="1"/>
  <c r="FS49" i="129"/>
  <c r="FU55" i="129"/>
  <c r="FS56" i="129"/>
  <c r="T55" i="130"/>
  <c r="T55" i="132" s="1"/>
  <c r="T38" i="130"/>
  <c r="T38" i="132" s="1"/>
  <c r="FS39" i="129"/>
  <c r="T66" i="130"/>
  <c r="T66" i="132" s="1"/>
  <c r="FS67" i="129"/>
  <c r="FS60" i="129"/>
  <c r="T59" i="130"/>
  <c r="T59" i="132" s="1"/>
  <c r="FS38" i="129"/>
  <c r="T37" i="130"/>
  <c r="T37" i="132" s="1"/>
  <c r="FS46" i="129"/>
  <c r="T45" i="130"/>
  <c r="T45" i="132" s="1"/>
  <c r="T21" i="130"/>
  <c r="T21" i="132" s="1"/>
  <c r="FS22" i="129"/>
  <c r="L5" i="132"/>
  <c r="EZ12" i="129"/>
  <c r="R11" i="130" s="1"/>
  <c r="R41" i="130"/>
  <c r="EZ10" i="129"/>
  <c r="R9" i="130" s="1"/>
  <c r="R28" i="130"/>
  <c r="EZ9" i="129"/>
  <c r="R22" i="130"/>
  <c r="EZ16" i="129"/>
  <c r="R15" i="130" s="1"/>
  <c r="R63" i="130"/>
  <c r="EZ14" i="129"/>
  <c r="R13" i="130" s="1"/>
  <c r="R54" i="130"/>
  <c r="EZ11" i="129"/>
  <c r="R10" i="130" s="1"/>
  <c r="R34" i="130"/>
  <c r="EZ13" i="129"/>
  <c r="R12" i="130" s="1"/>
  <c r="R46" i="130"/>
  <c r="EZ15" i="129"/>
  <c r="R14" i="130" s="1"/>
  <c r="R60" i="130"/>
  <c r="EZ8" i="129"/>
  <c r="R18" i="130"/>
  <c r="EE40" i="129"/>
  <c r="EE20" i="129"/>
  <c r="EE32" i="129"/>
  <c r="EE38" i="129"/>
  <c r="EE26" i="129"/>
  <c r="EE59" i="129"/>
  <c r="EE28" i="129"/>
  <c r="EE63" i="129"/>
  <c r="EE41" i="129"/>
  <c r="EE34" i="129"/>
  <c r="EE52" i="129"/>
  <c r="EE22" i="129"/>
  <c r="EE53" i="129"/>
  <c r="EE62" i="129"/>
  <c r="EE58" i="129"/>
  <c r="EE67" i="129"/>
  <c r="EE45" i="129"/>
  <c r="EE27" i="129"/>
  <c r="EE65" i="129"/>
  <c r="EE43" i="129"/>
  <c r="EE33" i="129"/>
  <c r="EE56" i="129"/>
  <c r="EE49" i="129"/>
  <c r="EE37" i="129"/>
  <c r="EE30" i="129"/>
  <c r="EE50" i="129"/>
  <c r="EE21" i="129"/>
  <c r="EE54" i="129"/>
  <c r="EE31" i="129"/>
  <c r="EE60" i="129"/>
  <c r="EE48" i="129"/>
  <c r="EE44" i="129"/>
  <c r="EE39" i="129"/>
  <c r="EE66" i="129"/>
  <c r="EE46" i="129"/>
  <c r="EE24" i="129"/>
  <c r="EE51" i="129"/>
  <c r="EE36" i="129"/>
  <c r="EE57" i="129"/>
  <c r="EE25" i="129"/>
  <c r="N80" i="189"/>
  <c r="N67" i="189"/>
  <c r="N69" i="189" s="1"/>
  <c r="O67" i="186"/>
  <c r="O69" i="186" s="1"/>
  <c r="S2" i="186" s="1"/>
  <c r="O73" i="188"/>
  <c r="O77" i="188"/>
  <c r="O80" i="188"/>
  <c r="O67" i="188"/>
  <c r="O69" i="188" s="1"/>
  <c r="O78" i="188"/>
  <c r="O81" i="188"/>
  <c r="EI26" i="129"/>
  <c r="EG26" i="129"/>
  <c r="EL1" i="129"/>
  <c r="EI20" i="129"/>
  <c r="N6" i="131"/>
  <c r="N6" i="132" s="1"/>
  <c r="DK6" i="129"/>
  <c r="DK1" i="129" s="1"/>
  <c r="DU7" i="129"/>
  <c r="O17" i="131"/>
  <c r="O17" i="132" s="1"/>
  <c r="M5" i="131"/>
  <c r="M5" i="132" s="1"/>
  <c r="M83" i="188"/>
  <c r="M67" i="188"/>
  <c r="M69" i="188" s="1"/>
  <c r="EI48" i="129"/>
  <c r="EG62" i="129"/>
  <c r="EI57" i="129"/>
  <c r="EG44" i="129"/>
  <c r="EI41" i="129"/>
  <c r="EG56" i="129"/>
  <c r="EI28" i="129"/>
  <c r="EG58" i="129"/>
  <c r="EI34" i="129"/>
  <c r="EG32" i="129"/>
  <c r="EG52" i="129"/>
  <c r="EI49" i="129"/>
  <c r="EG39" i="129"/>
  <c r="EI27" i="129"/>
  <c r="EI40" i="129"/>
  <c r="EG46" i="129"/>
  <c r="EI50" i="129"/>
  <c r="EG53" i="129"/>
  <c r="EI36" i="129"/>
  <c r="EG48" i="129"/>
  <c r="EI63" i="129"/>
  <c r="EG57" i="129"/>
  <c r="EI33" i="129"/>
  <c r="EG41" i="129"/>
  <c r="EI38" i="129"/>
  <c r="EG28" i="129"/>
  <c r="EI54" i="129"/>
  <c r="EG34" i="129"/>
  <c r="EI65" i="129"/>
  <c r="EG20" i="129"/>
  <c r="EI66" i="129"/>
  <c r="EG49" i="129"/>
  <c r="EI21" i="129"/>
  <c r="EG27" i="129"/>
  <c r="EI30" i="129"/>
  <c r="EG40" i="129"/>
  <c r="EI45" i="129"/>
  <c r="EG50" i="129"/>
  <c r="EG36" i="129"/>
  <c r="EI25" i="129"/>
  <c r="EG63" i="129"/>
  <c r="EI67" i="129"/>
  <c r="EG33" i="129"/>
  <c r="EI24" i="129"/>
  <c r="EG38" i="129"/>
  <c r="EI59" i="129"/>
  <c r="EG54" i="129"/>
  <c r="EI37" i="129"/>
  <c r="EG65" i="129"/>
  <c r="EI60" i="129"/>
  <c r="EG66" i="129"/>
  <c r="EI22" i="129"/>
  <c r="EG21" i="129"/>
  <c r="EI43" i="129"/>
  <c r="EG30" i="129"/>
  <c r="EI51" i="129"/>
  <c r="EG45" i="129"/>
  <c r="EI31" i="129"/>
  <c r="EI62" i="129"/>
  <c r="EG25" i="129"/>
  <c r="EI44" i="129"/>
  <c r="EG67" i="129"/>
  <c r="EI56" i="129"/>
  <c r="EG24" i="129"/>
  <c r="EI58" i="129"/>
  <c r="EG59" i="129"/>
  <c r="EI32" i="129"/>
  <c r="EG37" i="129"/>
  <c r="EI52" i="129"/>
  <c r="EG60" i="129"/>
  <c r="EI39" i="129"/>
  <c r="EG22" i="129"/>
  <c r="EG43" i="129"/>
  <c r="EI46" i="129"/>
  <c r="EG51" i="129"/>
  <c r="EI53" i="129"/>
  <c r="EG31" i="129"/>
  <c r="O83" i="188"/>
  <c r="O5" i="130"/>
  <c r="O6" i="130"/>
  <c r="N83" i="189"/>
  <c r="N72" i="188"/>
  <c r="HD42" i="129" l="1"/>
  <c r="HD23" i="129"/>
  <c r="HD35" i="129"/>
  <c r="HD19" i="129"/>
  <c r="O11" i="212"/>
  <c r="O8" i="212"/>
  <c r="O13" i="212"/>
  <c r="O14" i="212"/>
  <c r="O7" i="212"/>
  <c r="O9" i="212"/>
  <c r="HD55" i="129"/>
  <c r="O12" i="212"/>
  <c r="HD64" i="129"/>
  <c r="N14" i="211"/>
  <c r="N11" i="211"/>
  <c r="N9" i="211"/>
  <c r="N10" i="211"/>
  <c r="N8" i="211"/>
  <c r="N12" i="211"/>
  <c r="N7" i="211"/>
  <c r="N6" i="211"/>
  <c r="N13" i="211"/>
  <c r="GC14" i="129"/>
  <c r="GC18" i="129" s="1"/>
  <c r="GC7" i="129" s="1"/>
  <c r="GC6" i="129" s="1"/>
  <c r="GE18" i="129"/>
  <c r="Y23" i="131"/>
  <c r="Y23" i="130"/>
  <c r="Y21" i="131"/>
  <c r="Y21" i="130"/>
  <c r="Y55" i="131"/>
  <c r="Y55" i="130"/>
  <c r="Y19" i="131"/>
  <c r="Y19" i="130"/>
  <c r="Y26" i="131"/>
  <c r="Y26" i="130"/>
  <c r="Y30" i="131"/>
  <c r="Y30" i="130"/>
  <c r="Y40" i="131"/>
  <c r="Y40" i="130"/>
  <c r="Y33" i="131"/>
  <c r="Y33" i="130"/>
  <c r="Y59" i="131"/>
  <c r="Y59" i="130"/>
  <c r="Y32" i="131"/>
  <c r="Y32" i="130"/>
  <c r="Y45" i="131"/>
  <c r="Y45" i="130"/>
  <c r="Y50" i="131"/>
  <c r="Y50" i="130"/>
  <c r="Y47" i="131"/>
  <c r="Y47" i="130"/>
  <c r="Y36" i="131"/>
  <c r="Y36" i="130"/>
  <c r="Y42" i="131"/>
  <c r="Y42" i="130"/>
  <c r="Y53" i="131"/>
  <c r="Y53" i="130"/>
  <c r="Y66" i="131"/>
  <c r="Y66" i="130"/>
  <c r="Y49" i="131"/>
  <c r="Y49" i="130"/>
  <c r="Y44" i="131"/>
  <c r="Y44" i="130"/>
  <c r="Y64" i="131"/>
  <c r="Y64" i="130"/>
  <c r="Y25" i="131"/>
  <c r="Y25" i="130"/>
  <c r="Y39" i="131"/>
  <c r="Y39" i="130"/>
  <c r="Y57" i="131"/>
  <c r="Y57" i="130"/>
  <c r="Y29" i="131"/>
  <c r="Y29" i="130"/>
  <c r="Y48" i="131"/>
  <c r="Y48" i="130"/>
  <c r="Y31" i="131"/>
  <c r="Y31" i="130"/>
  <c r="Y51" i="131"/>
  <c r="Y51" i="130"/>
  <c r="Y24" i="131"/>
  <c r="Y24" i="130"/>
  <c r="Y62" i="131"/>
  <c r="Y62" i="130"/>
  <c r="Y52" i="131"/>
  <c r="Y52" i="130"/>
  <c r="Y58" i="131"/>
  <c r="Y58" i="130"/>
  <c r="Y61" i="131"/>
  <c r="Y61" i="130"/>
  <c r="Y56" i="131"/>
  <c r="Y56" i="130"/>
  <c r="Y65" i="131"/>
  <c r="Y65" i="130"/>
  <c r="Y27" i="131"/>
  <c r="Y27" i="130"/>
  <c r="Y43" i="131"/>
  <c r="Y43" i="130"/>
  <c r="Y37" i="131"/>
  <c r="Y37" i="130"/>
  <c r="Y38" i="131"/>
  <c r="Y38" i="130"/>
  <c r="Y35" i="131"/>
  <c r="Y35" i="130"/>
  <c r="Y20" i="131"/>
  <c r="Y20" i="130"/>
  <c r="K36" i="200"/>
  <c r="N13" i="207"/>
  <c r="N29" i="200" s="1"/>
  <c r="N7" i="207"/>
  <c r="N23" i="200" s="1"/>
  <c r="N12" i="207"/>
  <c r="N28" i="200" s="1"/>
  <c r="N6" i="207"/>
  <c r="N22" i="200" s="1"/>
  <c r="N11" i="207"/>
  <c r="N27" i="200" s="1"/>
  <c r="N10" i="207"/>
  <c r="N26" i="200" s="1"/>
  <c r="N14" i="207"/>
  <c r="N30" i="200" s="1"/>
  <c r="N8" i="207"/>
  <c r="N24" i="200" s="1"/>
  <c r="N9" i="207"/>
  <c r="N25" i="200" s="1"/>
  <c r="FU8" i="129"/>
  <c r="T18" i="130"/>
  <c r="T18" i="132" s="1"/>
  <c r="T46" i="130"/>
  <c r="T46" i="132" s="1"/>
  <c r="FU13" i="129"/>
  <c r="T12" i="130" s="1"/>
  <c r="T12" i="132" s="1"/>
  <c r="FU12" i="129"/>
  <c r="T11" i="130" s="1"/>
  <c r="T11" i="132" s="1"/>
  <c r="T41" i="130"/>
  <c r="T41" i="132" s="1"/>
  <c r="FS64" i="129"/>
  <c r="FS47" i="129"/>
  <c r="FS42" i="129"/>
  <c r="FS19" i="129"/>
  <c r="FU16" i="129"/>
  <c r="T15" i="130" s="1"/>
  <c r="T15" i="132" s="1"/>
  <c r="T63" i="130"/>
  <c r="T63" i="132" s="1"/>
  <c r="FS55" i="129"/>
  <c r="FU14" i="129"/>
  <c r="T13" i="130" s="1"/>
  <c r="T13" i="132" s="1"/>
  <c r="T54" i="130"/>
  <c r="T54" i="132" s="1"/>
  <c r="FS23" i="129"/>
  <c r="FS35" i="129"/>
  <c r="FS61" i="129"/>
  <c r="T28" i="130"/>
  <c r="T28" i="132" s="1"/>
  <c r="FU10" i="129"/>
  <c r="T9" i="130" s="1"/>
  <c r="T9" i="132" s="1"/>
  <c r="T34" i="130"/>
  <c r="T34" i="132" s="1"/>
  <c r="FU11" i="129"/>
  <c r="T10" i="130" s="1"/>
  <c r="T10" i="132" s="1"/>
  <c r="T60" i="130"/>
  <c r="T60" i="132" s="1"/>
  <c r="FU15" i="129"/>
  <c r="T14" i="130" s="1"/>
  <c r="T14" i="132" s="1"/>
  <c r="FS29" i="129"/>
  <c r="T22" i="130"/>
  <c r="T22" i="132" s="1"/>
  <c r="FU9" i="129"/>
  <c r="T8" i="130" s="1"/>
  <c r="T8" i="132" s="1"/>
  <c r="EZ18" i="129"/>
  <c r="R7" i="130"/>
  <c r="R8" i="130"/>
  <c r="FJ10" i="129"/>
  <c r="S9" i="130" s="1"/>
  <c r="S28" i="130"/>
  <c r="S63" i="130"/>
  <c r="FJ16" i="129"/>
  <c r="S15" i="130" s="1"/>
  <c r="S61" i="130"/>
  <c r="S55" i="130"/>
  <c r="S38" i="130"/>
  <c r="S65" i="130"/>
  <c r="S52" i="130"/>
  <c r="S30" i="130"/>
  <c r="S43" i="130"/>
  <c r="S45" i="130"/>
  <c r="S20" i="130"/>
  <c r="S40" i="130"/>
  <c r="FJ14" i="129"/>
  <c r="S13" i="130" s="1"/>
  <c r="S54" i="130"/>
  <c r="FJ11" i="129"/>
  <c r="S10" i="130" s="1"/>
  <c r="S34" i="130"/>
  <c r="S29" i="130"/>
  <c r="S42" i="130"/>
  <c r="S47" i="130"/>
  <c r="S66" i="130"/>
  <c r="S53" i="130"/>
  <c r="S37" i="130"/>
  <c r="S27" i="130"/>
  <c r="S31" i="130"/>
  <c r="S62" i="130"/>
  <c r="S21" i="130"/>
  <c r="FJ12" i="129"/>
  <c r="S11" i="130" s="1"/>
  <c r="S41" i="130"/>
  <c r="FJ9" i="129"/>
  <c r="S8" i="130" s="1"/>
  <c r="S22" i="130"/>
  <c r="S23" i="130"/>
  <c r="S35" i="130"/>
  <c r="S57" i="130"/>
  <c r="S36" i="130"/>
  <c r="S24" i="130"/>
  <c r="S44" i="130"/>
  <c r="S59" i="130"/>
  <c r="S58" i="130"/>
  <c r="S50" i="130"/>
  <c r="S49" i="130"/>
  <c r="FJ15" i="129"/>
  <c r="S14" i="130" s="1"/>
  <c r="S60" i="130"/>
  <c r="FJ13" i="129"/>
  <c r="S12" i="130" s="1"/>
  <c r="S46" i="130"/>
  <c r="S64" i="130"/>
  <c r="S19" i="130"/>
  <c r="S51" i="130"/>
  <c r="S39" i="130"/>
  <c r="S25" i="130"/>
  <c r="S32" i="130"/>
  <c r="S33" i="130"/>
  <c r="S56" i="130"/>
  <c r="S48" i="130"/>
  <c r="S26" i="130"/>
  <c r="S2" i="188"/>
  <c r="EE35" i="129"/>
  <c r="EE61" i="129"/>
  <c r="EE23" i="129"/>
  <c r="EE42" i="129"/>
  <c r="EE47" i="129"/>
  <c r="EE64" i="129"/>
  <c r="EE55" i="129"/>
  <c r="EE19" i="129"/>
  <c r="EE29" i="129"/>
  <c r="EG23" i="129"/>
  <c r="EG9" i="129" s="1"/>
  <c r="N71" i="188"/>
  <c r="M83" i="189"/>
  <c r="O6" i="131"/>
  <c r="O6" i="132" s="1"/>
  <c r="DU6" i="129"/>
  <c r="DU1" i="129" s="1"/>
  <c r="M72" i="188"/>
  <c r="N5" i="131"/>
  <c r="N5" i="132" s="1"/>
  <c r="EI61" i="129"/>
  <c r="EI15" i="129" s="1"/>
  <c r="EI35" i="129"/>
  <c r="EI11" i="129" s="1"/>
  <c r="EI47" i="129"/>
  <c r="EI13" i="129" s="1"/>
  <c r="EI19" i="129"/>
  <c r="EI8" i="129" s="1"/>
  <c r="EG35" i="129"/>
  <c r="EG11" i="129" s="1"/>
  <c r="EG47" i="129"/>
  <c r="EG13" i="129" s="1"/>
  <c r="EG29" i="129"/>
  <c r="EG10" i="129" s="1"/>
  <c r="EG55" i="129"/>
  <c r="EG14" i="129" s="1"/>
  <c r="EG61" i="129"/>
  <c r="EG15" i="129" s="1"/>
  <c r="EI55" i="129"/>
  <c r="EI14" i="129" s="1"/>
  <c r="EI42" i="129"/>
  <c r="EI12" i="129" s="1"/>
  <c r="EI23" i="129"/>
  <c r="EI9" i="129" s="1"/>
  <c r="EI29" i="129"/>
  <c r="EI10" i="129" s="1"/>
  <c r="EI64" i="129"/>
  <c r="EI16" i="129" s="1"/>
  <c r="EG64" i="129"/>
  <c r="EG16" i="129" s="1"/>
  <c r="EG19" i="129"/>
  <c r="EG8" i="129" s="1"/>
  <c r="EG42" i="129"/>
  <c r="EG12" i="129" s="1"/>
  <c r="O72" i="188"/>
  <c r="N72" i="189"/>
  <c r="HD61" i="129" l="1"/>
  <c r="HD15" i="129" s="1"/>
  <c r="HD29" i="129"/>
  <c r="HD10" i="129" s="1"/>
  <c r="O11" i="213"/>
  <c r="HD47" i="129"/>
  <c r="HD13" i="129" s="1"/>
  <c r="O14" i="213"/>
  <c r="O10" i="212"/>
  <c r="O90" i="200" s="1"/>
  <c r="O138" i="200" s="1"/>
  <c r="O9" i="213"/>
  <c r="O13" i="213"/>
  <c r="O6" i="212"/>
  <c r="O86" i="200" s="1"/>
  <c r="O134" i="200" s="1"/>
  <c r="O12" i="213"/>
  <c r="O7" i="213"/>
  <c r="O8" i="213"/>
  <c r="O10" i="213"/>
  <c r="O6" i="213"/>
  <c r="O89" i="200"/>
  <c r="O137" i="200" s="1"/>
  <c r="O94" i="200"/>
  <c r="O142" i="200" s="1"/>
  <c r="O88" i="200"/>
  <c r="O136" i="200" s="1"/>
  <c r="O93" i="200"/>
  <c r="O141" i="200" s="1"/>
  <c r="O92" i="200"/>
  <c r="O140" i="200" s="1"/>
  <c r="O91" i="200"/>
  <c r="O139" i="200" s="1"/>
  <c r="O87" i="200"/>
  <c r="O135" i="200" s="1"/>
  <c r="O10" i="211"/>
  <c r="O58" i="200" s="1"/>
  <c r="HD12" i="129"/>
  <c r="O6" i="211"/>
  <c r="O54" i="200" s="1"/>
  <c r="HD8" i="129"/>
  <c r="O8" i="211"/>
  <c r="O56" i="200" s="1"/>
  <c r="O13" i="211"/>
  <c r="O61" i="200" s="1"/>
  <c r="O7" i="211"/>
  <c r="O55" i="200" s="1"/>
  <c r="HD9" i="129"/>
  <c r="O9" i="211"/>
  <c r="O57" i="200" s="1"/>
  <c r="HD11" i="129"/>
  <c r="O12" i="211"/>
  <c r="O60" i="200" s="1"/>
  <c r="HD14" i="129"/>
  <c r="O11" i="211"/>
  <c r="O59" i="200" s="1"/>
  <c r="O14" i="211"/>
  <c r="O62" i="200" s="1"/>
  <c r="HD16" i="129"/>
  <c r="N46" i="200"/>
  <c r="N55" i="200"/>
  <c r="N57" i="200"/>
  <c r="N60" i="200"/>
  <c r="N59" i="200"/>
  <c r="N61" i="200"/>
  <c r="N56" i="200"/>
  <c r="N62" i="200"/>
  <c r="N54" i="200"/>
  <c r="N58" i="200"/>
  <c r="N16" i="207"/>
  <c r="N44" i="200"/>
  <c r="U17" i="130"/>
  <c r="U17" i="132" s="1"/>
  <c r="GE7" i="129"/>
  <c r="U6" i="130" s="1"/>
  <c r="U6" i="132" s="1"/>
  <c r="N39" i="200"/>
  <c r="Y63" i="131"/>
  <c r="Y63" i="130"/>
  <c r="Y15" i="131"/>
  <c r="Y15" i="130"/>
  <c r="Y12" i="131"/>
  <c r="Y12" i="130"/>
  <c r="Y14" i="131"/>
  <c r="Y14" i="130"/>
  <c r="Y60" i="131"/>
  <c r="Y60" i="130"/>
  <c r="Y10" i="131"/>
  <c r="Y10" i="130"/>
  <c r="Y46" i="131"/>
  <c r="Y46" i="130"/>
  <c r="Y8" i="131"/>
  <c r="Y8" i="130"/>
  <c r="N41" i="200"/>
  <c r="Y54" i="131"/>
  <c r="Y54" i="130"/>
  <c r="Y22" i="131"/>
  <c r="Y22" i="130"/>
  <c r="Y34" i="131"/>
  <c r="Y34" i="130"/>
  <c r="Y13" i="131"/>
  <c r="Y13" i="130"/>
  <c r="Y18" i="131"/>
  <c r="Y18" i="130"/>
  <c r="Y41" i="131"/>
  <c r="Y41" i="130"/>
  <c r="Y11" i="131"/>
  <c r="Y11" i="130"/>
  <c r="Y9" i="131"/>
  <c r="Y9" i="130"/>
  <c r="Y28" i="131"/>
  <c r="Y28" i="130"/>
  <c r="N38" i="200"/>
  <c r="N43" i="200"/>
  <c r="N45" i="200"/>
  <c r="N42" i="200"/>
  <c r="N40" i="200"/>
  <c r="FS14" i="129"/>
  <c r="FS12" i="129"/>
  <c r="FS15" i="129"/>
  <c r="FS11" i="129"/>
  <c r="FS13" i="129"/>
  <c r="FS9" i="129"/>
  <c r="FS16" i="129"/>
  <c r="FU18" i="129"/>
  <c r="T7" i="130"/>
  <c r="T7" i="132" s="1"/>
  <c r="FS10" i="129"/>
  <c r="FS8" i="129"/>
  <c r="EZ7" i="129"/>
  <c r="R17" i="130"/>
  <c r="FJ8" i="129"/>
  <c r="FJ18" i="129" s="1"/>
  <c r="S18" i="130"/>
  <c r="M71" i="188"/>
  <c r="EG18" i="129"/>
  <c r="EI18" i="129"/>
  <c r="M72" i="189"/>
  <c r="N71" i="189"/>
  <c r="O71" i="188"/>
  <c r="O106" i="200" l="1"/>
  <c r="O105" i="200"/>
  <c r="O102" i="200"/>
  <c r="O108" i="200"/>
  <c r="O110" i="200"/>
  <c r="O103" i="200"/>
  <c r="O107" i="200"/>
  <c r="O104" i="200"/>
  <c r="O109" i="200"/>
  <c r="N73" i="200"/>
  <c r="N105" i="200"/>
  <c r="N77" i="200"/>
  <c r="N109" i="200"/>
  <c r="N76" i="200"/>
  <c r="N108" i="200"/>
  <c r="N74" i="200"/>
  <c r="N106" i="200"/>
  <c r="N71" i="200"/>
  <c r="N103" i="200"/>
  <c r="N70" i="200"/>
  <c r="N102" i="200"/>
  <c r="N72" i="200"/>
  <c r="N104" i="200"/>
  <c r="N75" i="200"/>
  <c r="N107" i="200"/>
  <c r="N78" i="200"/>
  <c r="N110" i="200"/>
  <c r="N5" i="211"/>
  <c r="GE6" i="129"/>
  <c r="U5" i="130" s="1"/>
  <c r="U5" i="132" s="1"/>
  <c r="Y7" i="131"/>
  <c r="Y7" i="130"/>
  <c r="N5" i="207"/>
  <c r="N21" i="200" s="1"/>
  <c r="FS18" i="129"/>
  <c r="T17" i="130"/>
  <c r="T17" i="132" s="1"/>
  <c r="FU7" i="129"/>
  <c r="EZ6" i="129"/>
  <c r="R5" i="130" s="1"/>
  <c r="R6" i="130"/>
  <c r="S7" i="130"/>
  <c r="EI17" i="129"/>
  <c r="EI7" i="129"/>
  <c r="EI6" i="129" s="1"/>
  <c r="EI1" i="129" s="1"/>
  <c r="EG17" i="129"/>
  <c r="EG7" i="129"/>
  <c r="EG6" i="129" s="1"/>
  <c r="EG1" i="129" s="1"/>
  <c r="N53" i="200" l="1"/>
  <c r="N4" i="211"/>
  <c r="Y17" i="131"/>
  <c r="Y17" i="130"/>
  <c r="N37" i="200"/>
  <c r="N4" i="207"/>
  <c r="N20" i="200" s="1"/>
  <c r="FS7" i="129"/>
  <c r="FS6" i="129" s="1"/>
  <c r="FU6" i="129"/>
  <c r="T5" i="130" s="1"/>
  <c r="T5" i="132" s="1"/>
  <c r="T6" i="130"/>
  <c r="T6" i="132" s="1"/>
  <c r="FJ7" i="129"/>
  <c r="S17" i="130"/>
  <c r="N69" i="200" l="1"/>
  <c r="N101" i="200"/>
  <c r="N52" i="200"/>
  <c r="Y6" i="131"/>
  <c r="Y6" i="130"/>
  <c r="Y5" i="131"/>
  <c r="Y5" i="130"/>
  <c r="N36" i="200"/>
  <c r="FJ6" i="129"/>
  <c r="S5" i="130" s="1"/>
  <c r="S6" i="130"/>
  <c r="N68" i="200" l="1"/>
  <c r="N100" i="200"/>
  <c r="Q7" i="165"/>
  <c r="O121" i="189" l="1"/>
  <c r="O85" i="189"/>
  <c r="O130" i="189"/>
  <c r="O108" i="189"/>
  <c r="O72" i="189"/>
  <c r="O127" i="189"/>
  <c r="O95" i="189"/>
  <c r="O101" i="189"/>
  <c r="O89" i="189"/>
  <c r="O83" i="189"/>
  <c r="O113" i="189"/>
  <c r="O92" i="189"/>
  <c r="O131" i="189"/>
  <c r="O97" i="189"/>
  <c r="O118" i="189"/>
  <c r="O90" i="189"/>
  <c r="O86" i="189"/>
  <c r="R30" i="189"/>
  <c r="S30" i="189" s="1"/>
  <c r="R23" i="189"/>
  <c r="S23" i="189" s="1"/>
  <c r="O99" i="189"/>
  <c r="O124" i="189"/>
  <c r="L124" i="189"/>
  <c r="O91" i="189"/>
  <c r="R24" i="189"/>
  <c r="S24" i="189" s="1"/>
  <c r="O122" i="189"/>
  <c r="O111" i="189"/>
  <c r="O102" i="189"/>
  <c r="R35" i="189"/>
  <c r="S35" i="189" s="1"/>
  <c r="O119" i="189"/>
  <c r="L119" i="189"/>
  <c r="O128" i="189"/>
  <c r="O98" i="189"/>
  <c r="L98" i="189"/>
  <c r="O110" i="189"/>
  <c r="L110" i="189"/>
  <c r="O115" i="189"/>
  <c r="O116" i="189"/>
  <c r="L116" i="189"/>
  <c r="O105" i="189"/>
  <c r="O106" i="189"/>
  <c r="L106" i="189"/>
  <c r="O103" i="189"/>
  <c r="O109" i="189"/>
  <c r="L109" i="189"/>
  <c r="O114" i="189"/>
  <c r="O117" i="189"/>
  <c r="L117" i="189"/>
  <c r="O123" i="189"/>
  <c r="O125" i="189"/>
  <c r="O93" i="189"/>
  <c r="L93" i="189"/>
  <c r="O104" i="189"/>
  <c r="L104" i="189"/>
  <c r="O132" i="189"/>
  <c r="L132" i="189"/>
  <c r="O96" i="189"/>
  <c r="L96" i="189"/>
  <c r="O87" i="189"/>
  <c r="L129" i="189" l="1"/>
  <c r="R62" i="189"/>
  <c r="S62" i="189" s="1"/>
  <c r="R54" i="189"/>
  <c r="S54" i="189" s="1"/>
  <c r="L121" i="189"/>
  <c r="R16" i="189"/>
  <c r="S16" i="189" s="1"/>
  <c r="L83" i="189"/>
  <c r="L85" i="189"/>
  <c r="R18" i="189"/>
  <c r="S18" i="189" s="1"/>
  <c r="R46" i="189"/>
  <c r="S46" i="189" s="1"/>
  <c r="L113" i="189"/>
  <c r="L108" i="189"/>
  <c r="R41" i="189"/>
  <c r="S41" i="189" s="1"/>
  <c r="L89" i="189"/>
  <c r="R22" i="189"/>
  <c r="S22" i="189" s="1"/>
  <c r="L95" i="189"/>
  <c r="R28" i="189"/>
  <c r="S28" i="189" s="1"/>
  <c r="L101" i="189"/>
  <c r="R34" i="189"/>
  <c r="S34" i="189" s="1"/>
  <c r="L127" i="189"/>
  <c r="R60" i="189"/>
  <c r="S60" i="189" s="1"/>
  <c r="L130" i="189"/>
  <c r="R63" i="189"/>
  <c r="S63" i="189" s="1"/>
  <c r="R38" i="189"/>
  <c r="S38" i="189" s="1"/>
  <c r="R39" i="189"/>
  <c r="S39" i="189" s="1"/>
  <c r="R29" i="189"/>
  <c r="S29" i="189" s="1"/>
  <c r="R43" i="189"/>
  <c r="S43" i="189" s="1"/>
  <c r="L122" i="189"/>
  <c r="R57" i="189"/>
  <c r="S57" i="189" s="1"/>
  <c r="L90" i="189"/>
  <c r="L114" i="189"/>
  <c r="L97" i="189"/>
  <c r="L91" i="189"/>
  <c r="L131" i="189"/>
  <c r="L128" i="189"/>
  <c r="R51" i="189"/>
  <c r="S51" i="189" s="1"/>
  <c r="R50" i="189"/>
  <c r="S50" i="189" s="1"/>
  <c r="R55" i="189"/>
  <c r="S55" i="189" s="1"/>
  <c r="R32" i="189"/>
  <c r="S32" i="189" s="1"/>
  <c r="R36" i="189"/>
  <c r="S36" i="189" s="1"/>
  <c r="R48" i="189"/>
  <c r="S48" i="189" s="1"/>
  <c r="R26" i="189"/>
  <c r="S26" i="189" s="1"/>
  <c r="L105" i="189"/>
  <c r="L86" i="189"/>
  <c r="L87" i="189"/>
  <c r="L111" i="189"/>
  <c r="L92" i="189"/>
  <c r="R49" i="189"/>
  <c r="S49" i="189" s="1"/>
  <c r="R31" i="189"/>
  <c r="S31" i="189" s="1"/>
  <c r="R47" i="189"/>
  <c r="S47" i="189" s="1"/>
  <c r="R20" i="189"/>
  <c r="S20" i="189" s="1"/>
  <c r="R56" i="189"/>
  <c r="S56" i="189" s="1"/>
  <c r="R64" i="189"/>
  <c r="S64" i="189" s="1"/>
  <c r="R37" i="189"/>
  <c r="S37" i="189" s="1"/>
  <c r="R61" i="189"/>
  <c r="S61" i="189" s="1"/>
  <c r="R19" i="189"/>
  <c r="S19" i="189" s="1"/>
  <c r="L102" i="189"/>
  <c r="L99" i="189"/>
  <c r="R52" i="189"/>
  <c r="S52" i="189" s="1"/>
  <c r="R65" i="189"/>
  <c r="S65" i="189" s="1"/>
  <c r="L118" i="189"/>
  <c r="L125" i="189"/>
  <c r="L103" i="189"/>
  <c r="L115" i="189"/>
  <c r="L123" i="189"/>
  <c r="R25" i="189"/>
  <c r="S25" i="189" s="1"/>
  <c r="R42" i="189"/>
  <c r="S42" i="189" s="1"/>
  <c r="R58" i="189"/>
  <c r="S58" i="189" s="1"/>
  <c r="R44" i="189"/>
  <c r="S44" i="189" s="1"/>
  <c r="R33" i="189" l="1"/>
  <c r="S33" i="189" s="1"/>
  <c r="L100" i="189"/>
  <c r="R40" i="189"/>
  <c r="S40" i="189" s="1"/>
  <c r="L107" i="189"/>
  <c r="L112" i="189"/>
  <c r="R45" i="189"/>
  <c r="S45" i="189" s="1"/>
  <c r="L120" i="189"/>
  <c r="R53" i="189"/>
  <c r="S53" i="189" s="1"/>
  <c r="L72" i="189"/>
  <c r="R5" i="189"/>
  <c r="S5" i="189" s="1"/>
  <c r="R14" i="189"/>
  <c r="S14" i="189" s="1"/>
  <c r="L81" i="189"/>
  <c r="L84" i="189"/>
  <c r="R17" i="189"/>
  <c r="S17" i="189" s="1"/>
  <c r="L94" i="189"/>
  <c r="R27" i="189"/>
  <c r="S27" i="189" s="1"/>
  <c r="L88" i="189"/>
  <c r="R21" i="189"/>
  <c r="S21" i="189" s="1"/>
  <c r="L126" i="189"/>
  <c r="R59" i="189"/>
  <c r="S59" i="189" s="1"/>
  <c r="L71" i="189" l="1"/>
  <c r="R4" i="189"/>
  <c r="S4" i="189" s="1"/>
  <c r="L75" i="189"/>
  <c r="R8" i="189"/>
  <c r="S8" i="189" s="1"/>
  <c r="L78" i="189"/>
  <c r="R11" i="189"/>
  <c r="S11" i="189" s="1"/>
  <c r="L74" i="189"/>
  <c r="R7" i="189"/>
  <c r="S7" i="189" s="1"/>
  <c r="L73" i="189"/>
  <c r="R6" i="189"/>
  <c r="S6" i="189" s="1"/>
  <c r="R12" i="189"/>
  <c r="S12" i="189" s="1"/>
  <c r="L79" i="189"/>
  <c r="L76" i="189"/>
  <c r="R9" i="189"/>
  <c r="S9" i="189" s="1"/>
  <c r="L80" i="189"/>
  <c r="R13" i="189"/>
  <c r="S13" i="189" s="1"/>
  <c r="L77" i="189"/>
  <c r="R10" i="189"/>
  <c r="S10" i="189" s="1"/>
  <c r="S3" i="189" l="1"/>
  <c r="O60" i="131"/>
  <c r="O60" i="132" s="1"/>
  <c r="O14" i="131"/>
  <c r="O14" i="132" s="1"/>
  <c r="O18" i="131"/>
  <c r="O18" i="132" s="1"/>
  <c r="O7" i="131" l="1"/>
  <c r="O7" i="132" s="1"/>
  <c r="M126" i="189"/>
  <c r="O13" i="131"/>
  <c r="O13" i="132" s="1"/>
  <c r="O54" i="131"/>
  <c r="O54" i="132" s="1"/>
  <c r="M84" i="189"/>
  <c r="O41" i="131"/>
  <c r="O41" i="132" s="1"/>
  <c r="O11" i="131"/>
  <c r="O11" i="132" s="1"/>
  <c r="O63" i="131"/>
  <c r="O63" i="132" s="1"/>
  <c r="O15" i="131"/>
  <c r="O15" i="132" s="1"/>
  <c r="O34" i="131"/>
  <c r="O34" i="132" s="1"/>
  <c r="O10" i="131"/>
  <c r="O10" i="132" s="1"/>
  <c r="O22" i="131"/>
  <c r="O22" i="132" s="1"/>
  <c r="O8" i="131"/>
  <c r="O8" i="132" s="1"/>
  <c r="O46" i="131"/>
  <c r="O46" i="132" s="1"/>
  <c r="O12" i="131"/>
  <c r="O12" i="132" s="1"/>
  <c r="O9" i="131"/>
  <c r="O9" i="132" s="1"/>
  <c r="O28" i="131"/>
  <c r="O28" i="132" s="1"/>
  <c r="C114" i="190"/>
  <c r="P66" i="158"/>
  <c r="P46" i="158"/>
  <c r="P53" i="158"/>
  <c r="P40" i="158"/>
  <c r="P54" i="158"/>
  <c r="P22" i="158"/>
  <c r="P44" i="158"/>
  <c r="P57" i="158"/>
  <c r="P58" i="158"/>
  <c r="P32" i="158"/>
  <c r="P51" i="158"/>
  <c r="P59" i="158"/>
  <c r="P31" i="158"/>
  <c r="P33" i="158"/>
  <c r="P26" i="158"/>
  <c r="P45" i="158"/>
  <c r="P48" i="158"/>
  <c r="P30" i="158"/>
  <c r="P36" i="158"/>
  <c r="P65" i="158"/>
  <c r="C89" i="190"/>
  <c r="P24" i="158"/>
  <c r="P20" i="158"/>
  <c r="M129" i="189" l="1"/>
  <c r="O126" i="189"/>
  <c r="M112" i="189"/>
  <c r="M88" i="189"/>
  <c r="M67" i="189"/>
  <c r="M69" i="189" s="1"/>
  <c r="M120" i="189"/>
  <c r="M80" i="189"/>
  <c r="M107" i="189"/>
  <c r="O84" i="189"/>
  <c r="O5" i="131"/>
  <c r="O5" i="132" s="1"/>
  <c r="M94" i="189"/>
  <c r="M100" i="189"/>
  <c r="M73" i="189"/>
  <c r="P43" i="158"/>
  <c r="P21" i="158"/>
  <c r="P38" i="158"/>
  <c r="C131" i="190"/>
  <c r="P41" i="158"/>
  <c r="P49" i="158"/>
  <c r="C107" i="190"/>
  <c r="P42" i="158"/>
  <c r="C99" i="190"/>
  <c r="P34" i="158"/>
  <c r="C83" i="190"/>
  <c r="C127" i="190"/>
  <c r="P62" i="158"/>
  <c r="C125" i="190"/>
  <c r="P60" i="158"/>
  <c r="C121" i="190"/>
  <c r="P18" i="158"/>
  <c r="P56" i="158"/>
  <c r="C115" i="190"/>
  <c r="P50" i="158"/>
  <c r="C100" i="190"/>
  <c r="P35" i="158"/>
  <c r="C108" i="190"/>
  <c r="C130" i="190"/>
  <c r="C106" i="190"/>
  <c r="C95" i="190"/>
  <c r="C110" i="190"/>
  <c r="C98" i="190"/>
  <c r="P27" i="158"/>
  <c r="C124" i="190"/>
  <c r="P39" i="158"/>
  <c r="C104" i="190"/>
  <c r="C113" i="190"/>
  <c r="C92" i="190"/>
  <c r="C128" i="190"/>
  <c r="P63" i="158"/>
  <c r="C102" i="190"/>
  <c r="P37" i="158"/>
  <c r="C85" i="190"/>
  <c r="C101" i="190"/>
  <c r="C91" i="190"/>
  <c r="C96" i="190"/>
  <c r="C97" i="190"/>
  <c r="C93" i="190"/>
  <c r="P28" i="158"/>
  <c r="C132" i="190"/>
  <c r="P67" i="158"/>
  <c r="C109" i="190"/>
  <c r="C87" i="190"/>
  <c r="C119" i="190"/>
  <c r="P52" i="158"/>
  <c r="C117" i="190"/>
  <c r="C116" i="190"/>
  <c r="C105" i="190"/>
  <c r="C86" i="190"/>
  <c r="C103" i="190"/>
  <c r="C111" i="190"/>
  <c r="C123" i="190"/>
  <c r="C122" i="190"/>
  <c r="C118" i="190"/>
  <c r="O94" i="189" l="1"/>
  <c r="O107" i="189"/>
  <c r="O80" i="189"/>
  <c r="O100" i="189"/>
  <c r="M75" i="189"/>
  <c r="O67" i="189"/>
  <c r="O69" i="189" s="1"/>
  <c r="S2" i="189" s="1"/>
  <c r="M77" i="189"/>
  <c r="O120" i="189"/>
  <c r="O88" i="189"/>
  <c r="M78" i="189"/>
  <c r="O129" i="189"/>
  <c r="M76" i="189"/>
  <c r="O73" i="189"/>
  <c r="M79" i="189"/>
  <c r="M74" i="189"/>
  <c r="O112" i="189"/>
  <c r="M81" i="189"/>
  <c r="C72" i="190"/>
  <c r="C77" i="190"/>
  <c r="C84" i="190"/>
  <c r="P19" i="158"/>
  <c r="C112" i="190"/>
  <c r="P47" i="158"/>
  <c r="P7" i="158"/>
  <c r="V23" i="199" s="1"/>
  <c r="C120" i="190"/>
  <c r="P55" i="158"/>
  <c r="C126" i="190"/>
  <c r="P61" i="158"/>
  <c r="C129" i="190"/>
  <c r="P64" i="158"/>
  <c r="P12" i="158"/>
  <c r="V28" i="199" s="1"/>
  <c r="C94" i="190"/>
  <c r="P29" i="158"/>
  <c r="C76" i="190"/>
  <c r="P11" i="158"/>
  <c r="V27" i="199" s="1"/>
  <c r="U61" i="199" l="1"/>
  <c r="U62" i="199"/>
  <c r="U57" i="199"/>
  <c r="U55" i="199"/>
  <c r="M71" i="189"/>
  <c r="O77" i="189"/>
  <c r="O81" i="189"/>
  <c r="O79" i="189"/>
  <c r="O76" i="189"/>
  <c r="O78" i="189"/>
  <c r="O74" i="189"/>
  <c r="O75" i="189"/>
  <c r="C73" i="190"/>
  <c r="C81" i="190"/>
  <c r="C79" i="190"/>
  <c r="C78" i="190"/>
  <c r="C75" i="190"/>
  <c r="P15" i="158"/>
  <c r="V31" i="199" s="1"/>
  <c r="P13" i="158"/>
  <c r="V29" i="199" s="1"/>
  <c r="P10" i="158"/>
  <c r="V26" i="199" s="1"/>
  <c r="P16" i="158"/>
  <c r="V32" i="199" s="1"/>
  <c r="C80" i="190"/>
  <c r="P14" i="158"/>
  <c r="V30" i="199" s="1"/>
  <c r="P8" i="158"/>
  <c r="V24" i="199" s="1"/>
  <c r="U58" i="199" l="1"/>
  <c r="U64" i="199"/>
  <c r="U63" i="199"/>
  <c r="U60" i="199"/>
  <c r="O71" i="189"/>
  <c r="C90" i="190" l="1"/>
  <c r="P25" i="158"/>
  <c r="P23" i="158" l="1"/>
  <c r="C88" i="190"/>
  <c r="P69" i="158"/>
  <c r="P9" i="158" l="1"/>
  <c r="V25" i="199" s="1"/>
  <c r="C74" i="190"/>
  <c r="U59" i="199" l="1"/>
  <c r="C71" i="190"/>
  <c r="P6" i="158"/>
  <c r="V22" i="199" l="1"/>
  <c r="U54" i="199" s="1"/>
  <c r="U56" i="199" l="1"/>
  <c r="P45" i="93"/>
  <c r="P54" i="93"/>
  <c r="P60" i="93"/>
  <c r="P44" i="93"/>
  <c r="P28" i="93"/>
  <c r="P52" i="93"/>
  <c r="P32" i="93"/>
  <c r="P34" i="93"/>
  <c r="P58" i="93"/>
  <c r="P66" i="93"/>
  <c r="P40" i="93"/>
  <c r="P37" i="93"/>
  <c r="P59" i="93"/>
  <c r="P50" i="93"/>
  <c r="P38" i="93"/>
  <c r="P26" i="93"/>
  <c r="P48" i="93"/>
  <c r="P25" i="93"/>
  <c r="P53" i="93"/>
  <c r="P27" i="93"/>
  <c r="P41" i="93"/>
  <c r="P46" i="93"/>
  <c r="P31" i="93"/>
  <c r="P67" i="93"/>
  <c r="P51" i="93"/>
  <c r="P57" i="93"/>
  <c r="P49" i="93"/>
  <c r="P33" i="93"/>
  <c r="P21" i="93"/>
  <c r="P22" i="93"/>
  <c r="P63" i="93"/>
  <c r="P39" i="93"/>
  <c r="P24" i="93"/>
  <c r="P62" i="93"/>
  <c r="P65" i="93"/>
  <c r="P56" i="93"/>
  <c r="P36" i="93"/>
  <c r="P43" i="93"/>
  <c r="P30" i="93"/>
  <c r="P20" i="93"/>
  <c r="D108" i="190" l="1"/>
  <c r="D107" i="191"/>
  <c r="V41" i="190"/>
  <c r="D112" i="191"/>
  <c r="D113" i="190"/>
  <c r="V46" i="190"/>
  <c r="D124" i="191"/>
  <c r="D125" i="190"/>
  <c r="V58" i="190"/>
  <c r="D117" i="191"/>
  <c r="D118" i="190"/>
  <c r="V51" i="190"/>
  <c r="D91" i="190"/>
  <c r="D90" i="191"/>
  <c r="V24" i="190"/>
  <c r="D116" i="191"/>
  <c r="D117" i="190"/>
  <c r="V50" i="190"/>
  <c r="D93" i="190"/>
  <c r="D92" i="191"/>
  <c r="V26" i="190"/>
  <c r="D87" i="190"/>
  <c r="D86" i="191"/>
  <c r="V20" i="190"/>
  <c r="D130" i="190"/>
  <c r="D129" i="191"/>
  <c r="V63" i="190"/>
  <c r="D132" i="190"/>
  <c r="D131" i="191"/>
  <c r="V65" i="190"/>
  <c r="D99" i="190"/>
  <c r="D98" i="191"/>
  <c r="V32" i="190"/>
  <c r="D126" i="191"/>
  <c r="D127" i="190"/>
  <c r="V60" i="190"/>
  <c r="D109" i="190"/>
  <c r="D108" i="191"/>
  <c r="V42" i="190"/>
  <c r="P30" i="127"/>
  <c r="P29" i="93"/>
  <c r="P39" i="127"/>
  <c r="D128" i="190"/>
  <c r="D127" i="191"/>
  <c r="V61" i="190"/>
  <c r="P49" i="127"/>
  <c r="D122" i="190"/>
  <c r="D121" i="191"/>
  <c r="V55" i="190"/>
  <c r="P51" i="127"/>
  <c r="P31" i="127"/>
  <c r="P41" i="127"/>
  <c r="D91" i="191"/>
  <c r="D92" i="190"/>
  <c r="V25" i="190"/>
  <c r="D90" i="190"/>
  <c r="D89" i="191"/>
  <c r="V23" i="190"/>
  <c r="D102" i="191"/>
  <c r="D103" i="190"/>
  <c r="V36" i="190"/>
  <c r="P59" i="127"/>
  <c r="D101" i="191"/>
  <c r="D102" i="190"/>
  <c r="V35" i="190"/>
  <c r="P40" i="127"/>
  <c r="D122" i="191"/>
  <c r="D123" i="190"/>
  <c r="V56" i="190"/>
  <c r="D96" i="191"/>
  <c r="D97" i="190"/>
  <c r="V30" i="190"/>
  <c r="P63" i="127"/>
  <c r="P57" i="127"/>
  <c r="P27" i="127"/>
  <c r="P25" i="127"/>
  <c r="P38" i="127"/>
  <c r="P37" i="127"/>
  <c r="P58" i="127"/>
  <c r="P32" i="127"/>
  <c r="P43" i="127"/>
  <c r="P42" i="93"/>
  <c r="D101" i="190"/>
  <c r="D100" i="191"/>
  <c r="V34" i="190"/>
  <c r="D121" i="190"/>
  <c r="D120" i="191"/>
  <c r="V54" i="190"/>
  <c r="P65" i="127"/>
  <c r="P64" i="93"/>
  <c r="P62" i="127"/>
  <c r="P61" i="93"/>
  <c r="D89" i="190"/>
  <c r="D88" i="191"/>
  <c r="V22" i="190"/>
  <c r="P22" i="127"/>
  <c r="D85" i="191"/>
  <c r="D86" i="190"/>
  <c r="V19" i="190"/>
  <c r="D98" i="190"/>
  <c r="D97" i="191"/>
  <c r="V31" i="190"/>
  <c r="P67" i="127"/>
  <c r="D110" i="191"/>
  <c r="D111" i="190"/>
  <c r="V44" i="190"/>
  <c r="P53" i="127"/>
  <c r="P48" i="127"/>
  <c r="P47" i="93"/>
  <c r="P26" i="127"/>
  <c r="D114" i="191"/>
  <c r="D115" i="190"/>
  <c r="V48" i="190"/>
  <c r="D131" i="190"/>
  <c r="D130" i="191"/>
  <c r="V64" i="190"/>
  <c r="P34" i="127"/>
  <c r="P52" i="127"/>
  <c r="P28" i="127"/>
  <c r="P44" i="127"/>
  <c r="D85" i="190"/>
  <c r="D84" i="191"/>
  <c r="V18" i="190"/>
  <c r="P20" i="127"/>
  <c r="P19" i="93"/>
  <c r="P36" i="127"/>
  <c r="P35" i="93"/>
  <c r="P56" i="127"/>
  <c r="P55" i="93"/>
  <c r="P24" i="127"/>
  <c r="P23" i="93"/>
  <c r="P21" i="127"/>
  <c r="P33" i="127"/>
  <c r="P46" i="127"/>
  <c r="P50" i="127"/>
  <c r="P66" i="127"/>
  <c r="P60" i="127"/>
  <c r="P54" i="127"/>
  <c r="P45" i="127"/>
  <c r="P47" i="127" l="1"/>
  <c r="P13" i="93"/>
  <c r="P13" i="127" s="1"/>
  <c r="P116" i="121"/>
  <c r="P116" i="124" s="1"/>
  <c r="P94" i="121"/>
  <c r="P94" i="124" s="1"/>
  <c r="P64" i="127"/>
  <c r="P16" i="93"/>
  <c r="P16" i="127" s="1"/>
  <c r="P29" i="127"/>
  <c r="P10" i="93"/>
  <c r="P10" i="127" s="1"/>
  <c r="P132" i="121"/>
  <c r="P132" i="124" s="1"/>
  <c r="P135" i="121"/>
  <c r="P135" i="124" s="1"/>
  <c r="P122" i="121"/>
  <c r="P122" i="124" s="1"/>
  <c r="P113" i="121"/>
  <c r="P113" i="124" s="1"/>
  <c r="D110" i="190"/>
  <c r="D109" i="191"/>
  <c r="V43" i="190"/>
  <c r="D104" i="191"/>
  <c r="D105" i="190"/>
  <c r="V38" i="190"/>
  <c r="D119" i="190"/>
  <c r="D118" i="191"/>
  <c r="V52" i="190"/>
  <c r="D123" i="191"/>
  <c r="D124" i="190"/>
  <c r="V57" i="190"/>
  <c r="D114" i="190"/>
  <c r="D113" i="191"/>
  <c r="V47" i="190"/>
  <c r="P23" i="127"/>
  <c r="P9" i="93"/>
  <c r="P9" i="127" s="1"/>
  <c r="D95" i="190"/>
  <c r="D94" i="191"/>
  <c r="V28" i="190"/>
  <c r="P90" i="121"/>
  <c r="P90" i="124" s="1"/>
  <c r="P136" i="121"/>
  <c r="P136" i="124" s="1"/>
  <c r="P120" i="121"/>
  <c r="P120" i="124" s="1"/>
  <c r="P15" i="93"/>
  <c r="P15" i="127" s="1"/>
  <c r="P61" i="127"/>
  <c r="P102" i="121"/>
  <c r="P102" i="124" s="1"/>
  <c r="P128" i="121"/>
  <c r="P128" i="124" s="1"/>
  <c r="P108" i="121"/>
  <c r="P108" i="124" s="1"/>
  <c r="P95" i="121"/>
  <c r="P95" i="124" s="1"/>
  <c r="P97" i="121"/>
  <c r="P97" i="124" s="1"/>
  <c r="P133" i="121"/>
  <c r="P133" i="124" s="1"/>
  <c r="P104" i="121"/>
  <c r="P104" i="124" s="1"/>
  <c r="P96" i="121"/>
  <c r="P96" i="124" s="1"/>
  <c r="P118" i="121"/>
  <c r="P118" i="124" s="1"/>
  <c r="D96" i="190"/>
  <c r="D95" i="191"/>
  <c r="V29" i="190"/>
  <c r="P35" i="127"/>
  <c r="P11" i="93"/>
  <c r="P11" i="127" s="1"/>
  <c r="P103" i="121"/>
  <c r="P103" i="124" s="1"/>
  <c r="P91" i="121"/>
  <c r="P91" i="124" s="1"/>
  <c r="P126" i="121"/>
  <c r="P126" i="124" s="1"/>
  <c r="P106" i="121"/>
  <c r="P106" i="124" s="1"/>
  <c r="P42" i="127"/>
  <c r="P12" i="93"/>
  <c r="P12" i="127" s="1"/>
  <c r="P92" i="121"/>
  <c r="P92" i="124" s="1"/>
  <c r="P123" i="121"/>
  <c r="P123" i="124" s="1"/>
  <c r="D106" i="190"/>
  <c r="D105" i="191"/>
  <c r="V39" i="190"/>
  <c r="D116" i="190"/>
  <c r="D115" i="191"/>
  <c r="V49" i="190"/>
  <c r="D104" i="190"/>
  <c r="D103" i="191"/>
  <c r="V37" i="190"/>
  <c r="P14" i="93"/>
  <c r="P14" i="127" s="1"/>
  <c r="P55" i="127"/>
  <c r="P19" i="127"/>
  <c r="P8" i="93"/>
  <c r="P107" i="121"/>
  <c r="P107" i="124" s="1"/>
  <c r="P127" i="121"/>
  <c r="P127" i="124" s="1"/>
  <c r="P114" i="121"/>
  <c r="P114" i="124" s="1"/>
  <c r="P137" i="121"/>
  <c r="P137" i="124" s="1"/>
  <c r="P98" i="121"/>
  <c r="P98" i="124" s="1"/>
  <c r="P130" i="121"/>
  <c r="P130" i="124" s="1"/>
  <c r="P121" i="121" l="1"/>
  <c r="P121" i="124" s="1"/>
  <c r="D87" i="191"/>
  <c r="D88" i="190"/>
  <c r="V21" i="190"/>
  <c r="P119" i="121"/>
  <c r="P119" i="124" s="1"/>
  <c r="P115" i="121"/>
  <c r="P115" i="124" s="1"/>
  <c r="P111" i="121"/>
  <c r="P111" i="124" s="1"/>
  <c r="D125" i="191"/>
  <c r="D126" i="190"/>
  <c r="V59" i="190"/>
  <c r="P129" i="121"/>
  <c r="P129" i="124" s="1"/>
  <c r="D93" i="191"/>
  <c r="D94" i="190"/>
  <c r="V27" i="190"/>
  <c r="D129" i="190"/>
  <c r="D128" i="191"/>
  <c r="V62" i="190"/>
  <c r="D112" i="190"/>
  <c r="V45" i="190"/>
  <c r="D111" i="191"/>
  <c r="P8" i="127"/>
  <c r="P18" i="93"/>
  <c r="P17" i="93" s="1"/>
  <c r="D107" i="190"/>
  <c r="D106" i="191"/>
  <c r="V40" i="190"/>
  <c r="D99" i="191"/>
  <c r="D100" i="190"/>
  <c r="V33" i="190"/>
  <c r="P101" i="121"/>
  <c r="P101" i="124" s="1"/>
  <c r="P124" i="121"/>
  <c r="P124" i="124" s="1"/>
  <c r="D83" i="191"/>
  <c r="D84" i="190"/>
  <c r="V17" i="190"/>
  <c r="D120" i="190"/>
  <c r="D119" i="191"/>
  <c r="V53" i="190"/>
  <c r="P109" i="121"/>
  <c r="P109" i="124" s="1"/>
  <c r="P100" i="121"/>
  <c r="P100" i="124" s="1"/>
  <c r="P110" i="121"/>
  <c r="P110" i="124" s="1"/>
  <c r="P125" i="121" l="1"/>
  <c r="P125" i="124" s="1"/>
  <c r="V6" i="190"/>
  <c r="D72" i="191"/>
  <c r="D73" i="190"/>
  <c r="D76" i="190"/>
  <c r="D75" i="191"/>
  <c r="V9" i="190"/>
  <c r="P18" i="127"/>
  <c r="P7" i="93"/>
  <c r="D77" i="191"/>
  <c r="D78" i="190"/>
  <c r="V11" i="190"/>
  <c r="P134" i="121"/>
  <c r="P134" i="124" s="1"/>
  <c r="P99" i="121"/>
  <c r="P99" i="124" s="1"/>
  <c r="P131" i="121"/>
  <c r="P131" i="124" s="1"/>
  <c r="D74" i="190"/>
  <c r="D73" i="191"/>
  <c r="V7" i="190"/>
  <c r="D79" i="190"/>
  <c r="D78" i="191"/>
  <c r="V12" i="190"/>
  <c r="P89" i="121"/>
  <c r="P89" i="124" s="1"/>
  <c r="P93" i="121"/>
  <c r="P93" i="124" s="1"/>
  <c r="D77" i="190"/>
  <c r="D76" i="191"/>
  <c r="V10" i="190"/>
  <c r="D80" i="191"/>
  <c r="D81" i="190"/>
  <c r="V14" i="190"/>
  <c r="D80" i="190"/>
  <c r="D79" i="191"/>
  <c r="V13" i="190"/>
  <c r="P105" i="121"/>
  <c r="P105" i="124" s="1"/>
  <c r="P112" i="121"/>
  <c r="P112" i="124" s="1"/>
  <c r="P117" i="121"/>
  <c r="P117" i="124" s="1"/>
  <c r="V8" i="190"/>
  <c r="D74" i="191"/>
  <c r="D75" i="190"/>
  <c r="D67" i="190" l="1"/>
  <c r="D69" i="190" s="1"/>
  <c r="P84" i="121"/>
  <c r="P84" i="124" s="1"/>
  <c r="P83" i="121"/>
  <c r="P83" i="124" s="1"/>
  <c r="P85" i="121"/>
  <c r="P85" i="124" s="1"/>
  <c r="P79" i="121"/>
  <c r="P79" i="124" s="1"/>
  <c r="V16" i="190"/>
  <c r="D82" i="191"/>
  <c r="D83" i="190"/>
  <c r="P78" i="121"/>
  <c r="P78" i="124" s="1"/>
  <c r="P86" i="121"/>
  <c r="P86" i="124" s="1"/>
  <c r="P81" i="121"/>
  <c r="P81" i="124" s="1"/>
  <c r="P80" i="121"/>
  <c r="P80" i="124" s="1"/>
  <c r="P82" i="121"/>
  <c r="P82" i="124" s="1"/>
  <c r="P7" i="127"/>
  <c r="P6" i="93"/>
  <c r="P6" i="127" s="1"/>
  <c r="P5" i="127" s="1"/>
  <c r="P72" i="127" s="1"/>
  <c r="ET7" i="129" l="1"/>
  <c r="ET6" i="129" s="1"/>
  <c r="D72" i="190"/>
  <c r="D71" i="191"/>
  <c r="V5" i="190"/>
  <c r="P88" i="121"/>
  <c r="EP21" i="129" l="1"/>
  <c r="Q20" i="130" s="1"/>
  <c r="EP33" i="129"/>
  <c r="Q32" i="130" s="1"/>
  <c r="EP37" i="129"/>
  <c r="Q36" i="130" s="1"/>
  <c r="EP25" i="129"/>
  <c r="Q24" i="130" s="1"/>
  <c r="EP31" i="129"/>
  <c r="Q30" i="130" s="1"/>
  <c r="EP27" i="129"/>
  <c r="Q26" i="130" s="1"/>
  <c r="EP40" i="129"/>
  <c r="Q39" i="130" s="1"/>
  <c r="EP60" i="129"/>
  <c r="Q59" i="130" s="1"/>
  <c r="EP53" i="129"/>
  <c r="Q52" i="130" s="1"/>
  <c r="EP58" i="129"/>
  <c r="Q57" i="130" s="1"/>
  <c r="EP52" i="129"/>
  <c r="Q51" i="130" s="1"/>
  <c r="EP26" i="129"/>
  <c r="Q25" i="130" s="1"/>
  <c r="EP22" i="129"/>
  <c r="Q21" i="130" s="1"/>
  <c r="EP59" i="129"/>
  <c r="Q58" i="130" s="1"/>
  <c r="EP38" i="129"/>
  <c r="Q37" i="130" s="1"/>
  <c r="EP46" i="129"/>
  <c r="Q45" i="130" s="1"/>
  <c r="EP50" i="129"/>
  <c r="Q49" i="130" s="1"/>
  <c r="EP67" i="129"/>
  <c r="Q66" i="130" s="1"/>
  <c r="EP32" i="129"/>
  <c r="Q31" i="130" s="1"/>
  <c r="EP44" i="129"/>
  <c r="Q43" i="130" s="1"/>
  <c r="EP54" i="129"/>
  <c r="Q53" i="130" s="1"/>
  <c r="EP51" i="129"/>
  <c r="Q50" i="130" s="1"/>
  <c r="EP45" i="129"/>
  <c r="Q44" i="130" s="1"/>
  <c r="EP49" i="129"/>
  <c r="Q48" i="130" s="1"/>
  <c r="EP57" i="129"/>
  <c r="Q56" i="130" s="1"/>
  <c r="EP63" i="129"/>
  <c r="Q62" i="130" s="1"/>
  <c r="EP66" i="129"/>
  <c r="Q65" i="130" s="1"/>
  <c r="EP39" i="129"/>
  <c r="Q38" i="130" s="1"/>
  <c r="EP41" i="129"/>
  <c r="Q40" i="130" s="1"/>
  <c r="EP34" i="129"/>
  <c r="Q33" i="130" s="1"/>
  <c r="EP28" i="129"/>
  <c r="Q27" i="130" s="1"/>
  <c r="EP48" i="129"/>
  <c r="Q47" i="130" s="1"/>
  <c r="EP30" i="129"/>
  <c r="Q29" i="130" s="1"/>
  <c r="EP56" i="129"/>
  <c r="Q55" i="130" s="1"/>
  <c r="EP20" i="129"/>
  <c r="Q19" i="130" s="1"/>
  <c r="EP62" i="129"/>
  <c r="Q61" i="130" s="1"/>
  <c r="EP36" i="129"/>
  <c r="Q35" i="130" s="1"/>
  <c r="EP24" i="129"/>
  <c r="Q23" i="130" s="1"/>
  <c r="EP43" i="129"/>
  <c r="Q42" i="130" s="1"/>
  <c r="EP65" i="129"/>
  <c r="Q64" i="130" s="1"/>
  <c r="EM7" i="129"/>
  <c r="P88" i="124"/>
  <c r="D71" i="190"/>
  <c r="D70" i="191"/>
  <c r="V4" i="190"/>
  <c r="P77" i="121"/>
  <c r="P77" i="124" s="1"/>
  <c r="EP19" i="129" l="1"/>
  <c r="Q18" i="130" s="1"/>
  <c r="EP47" i="129"/>
  <c r="Q46" i="130" s="1"/>
  <c r="EP23" i="129"/>
  <c r="Q22" i="130" s="1"/>
  <c r="EP55" i="129"/>
  <c r="Q54" i="130" s="1"/>
  <c r="EP42" i="129"/>
  <c r="Q41" i="130" s="1"/>
  <c r="EP35" i="129"/>
  <c r="Q34" i="130" s="1"/>
  <c r="EP61" i="129"/>
  <c r="Q60" i="130" s="1"/>
  <c r="EP64" i="129"/>
  <c r="Q63" i="130" s="1"/>
  <c r="EP29" i="129"/>
  <c r="Q28" i="130" s="1"/>
  <c r="P76" i="121"/>
  <c r="N130" i="212" l="1"/>
  <c r="N130" i="213"/>
  <c r="N118" i="212"/>
  <c r="N118" i="213"/>
  <c r="N124" i="212"/>
  <c r="N124" i="213"/>
  <c r="N131" i="212"/>
  <c r="N131" i="213"/>
  <c r="N115" i="212"/>
  <c r="N115" i="213"/>
  <c r="N112" i="212"/>
  <c r="N112" i="213"/>
  <c r="N120" i="212"/>
  <c r="N120" i="213"/>
  <c r="N127" i="212"/>
  <c r="N127" i="213"/>
  <c r="N101" i="212"/>
  <c r="N101" i="213"/>
  <c r="N85" i="212"/>
  <c r="N85" i="213"/>
  <c r="N129" i="212"/>
  <c r="N129" i="213"/>
  <c r="N107" i="212"/>
  <c r="N107" i="213"/>
  <c r="N110" i="212"/>
  <c r="N110" i="213"/>
  <c r="N96" i="212"/>
  <c r="N96" i="213"/>
  <c r="N126" i="212"/>
  <c r="N126" i="213"/>
  <c r="N117" i="212"/>
  <c r="N117" i="213"/>
  <c r="N88" i="212"/>
  <c r="N88" i="213"/>
  <c r="N103" i="212"/>
  <c r="N103" i="213"/>
  <c r="N89" i="212"/>
  <c r="N89" i="213"/>
  <c r="N113" i="212"/>
  <c r="N113" i="213"/>
  <c r="N105" i="212"/>
  <c r="N105" i="213"/>
  <c r="N108" i="212"/>
  <c r="N108" i="213"/>
  <c r="N86" i="212"/>
  <c r="N86" i="213"/>
  <c r="N116" i="212"/>
  <c r="N116" i="213"/>
  <c r="N123" i="212"/>
  <c r="N123" i="213"/>
  <c r="N94" i="212"/>
  <c r="N94" i="213"/>
  <c r="N92" i="212"/>
  <c r="N92" i="213"/>
  <c r="N109" i="212"/>
  <c r="N109" i="213"/>
  <c r="N114" i="212"/>
  <c r="N114" i="213"/>
  <c r="N95" i="212"/>
  <c r="N95" i="213"/>
  <c r="N91" i="212"/>
  <c r="N91" i="213"/>
  <c r="N100" i="212"/>
  <c r="N100" i="213"/>
  <c r="N84" i="212"/>
  <c r="N84" i="213"/>
  <c r="N102" i="212"/>
  <c r="N102" i="213"/>
  <c r="N122" i="212"/>
  <c r="N122" i="213"/>
  <c r="N98" i="212"/>
  <c r="N98" i="213"/>
  <c r="N90" i="212"/>
  <c r="N90" i="213"/>
  <c r="N121" i="212"/>
  <c r="N121" i="213"/>
  <c r="N97" i="212"/>
  <c r="N97" i="213"/>
  <c r="N104" i="212"/>
  <c r="N104" i="213"/>
  <c r="N126" i="207"/>
  <c r="N126" i="211"/>
  <c r="N118" i="207"/>
  <c r="N118" i="211"/>
  <c r="N85" i="207"/>
  <c r="N85" i="211"/>
  <c r="N95" i="207"/>
  <c r="N95" i="211"/>
  <c r="N129" i="207"/>
  <c r="N129" i="211"/>
  <c r="N130" i="207"/>
  <c r="N130" i="211"/>
  <c r="N107" i="207"/>
  <c r="N107" i="211"/>
  <c r="N131" i="207"/>
  <c r="N131" i="211"/>
  <c r="N110" i="207"/>
  <c r="N110" i="211"/>
  <c r="N105" i="207"/>
  <c r="N105" i="211"/>
  <c r="N96" i="207"/>
  <c r="N96" i="211"/>
  <c r="N98" i="207"/>
  <c r="N98" i="211"/>
  <c r="N91" i="207"/>
  <c r="N91" i="211"/>
  <c r="N115" i="207"/>
  <c r="N115" i="211"/>
  <c r="N88" i="207"/>
  <c r="N88" i="211"/>
  <c r="N112" i="207"/>
  <c r="N112" i="211"/>
  <c r="N103" i="207"/>
  <c r="N103" i="211"/>
  <c r="N108" i="207"/>
  <c r="N108" i="211"/>
  <c r="N89" i="207"/>
  <c r="N89" i="211"/>
  <c r="N100" i="207"/>
  <c r="N100" i="211"/>
  <c r="N113" i="207"/>
  <c r="N113" i="211"/>
  <c r="N117" i="207"/>
  <c r="N117" i="211"/>
  <c r="N84" i="207"/>
  <c r="N84" i="211"/>
  <c r="N123" i="207"/>
  <c r="N123" i="211"/>
  <c r="N120" i="207"/>
  <c r="N120" i="211"/>
  <c r="N94" i="207"/>
  <c r="N94" i="211"/>
  <c r="N86" i="207"/>
  <c r="N86" i="211"/>
  <c r="N92" i="207"/>
  <c r="N92" i="211"/>
  <c r="N102" i="207"/>
  <c r="N102" i="211"/>
  <c r="N109" i="207"/>
  <c r="N109" i="211"/>
  <c r="N127" i="207"/>
  <c r="N127" i="211"/>
  <c r="N114" i="207"/>
  <c r="N114" i="211"/>
  <c r="N124" i="207"/>
  <c r="N124" i="211"/>
  <c r="N90" i="207"/>
  <c r="N90" i="211"/>
  <c r="N121" i="207"/>
  <c r="N121" i="211"/>
  <c r="N101" i="207"/>
  <c r="N101" i="211"/>
  <c r="N97" i="207"/>
  <c r="N97" i="211"/>
  <c r="N116" i="207"/>
  <c r="N116" i="211"/>
  <c r="N104" i="207"/>
  <c r="N104" i="211"/>
  <c r="N122" i="207"/>
  <c r="N122" i="211"/>
  <c r="N98" i="194"/>
  <c r="N98" i="205"/>
  <c r="N91" i="194"/>
  <c r="N91" i="205"/>
  <c r="N90" i="194"/>
  <c r="N90" i="205"/>
  <c r="N115" i="194"/>
  <c r="N115" i="205"/>
  <c r="N126" i="194"/>
  <c r="N126" i="205"/>
  <c r="N103" i="194"/>
  <c r="N103" i="205"/>
  <c r="N122" i="194"/>
  <c r="N122" i="205"/>
  <c r="N124" i="194"/>
  <c r="N124" i="205"/>
  <c r="N117" i="194"/>
  <c r="N117" i="205"/>
  <c r="N88" i="194"/>
  <c r="N88" i="205"/>
  <c r="N121" i="194"/>
  <c r="N121" i="205"/>
  <c r="N112" i="194"/>
  <c r="N112" i="205"/>
  <c r="N101" i="194"/>
  <c r="N101" i="205"/>
  <c r="N97" i="194"/>
  <c r="N97" i="205"/>
  <c r="N108" i="194"/>
  <c r="N108" i="205"/>
  <c r="N116" i="194"/>
  <c r="N116" i="205"/>
  <c r="N89" i="194"/>
  <c r="N89" i="205"/>
  <c r="N104" i="194"/>
  <c r="N104" i="205"/>
  <c r="N100" i="194"/>
  <c r="N100" i="205"/>
  <c r="N113" i="194"/>
  <c r="N113" i="205"/>
  <c r="N118" i="194"/>
  <c r="N118" i="205"/>
  <c r="N123" i="194"/>
  <c r="N123" i="205"/>
  <c r="N95" i="194"/>
  <c r="N95" i="205"/>
  <c r="N94" i="194"/>
  <c r="N94" i="205"/>
  <c r="N130" i="194"/>
  <c r="N130" i="205"/>
  <c r="N86" i="194"/>
  <c r="N86" i="205"/>
  <c r="N107" i="194"/>
  <c r="N107" i="205"/>
  <c r="N131" i="194"/>
  <c r="N131" i="205"/>
  <c r="N102" i="194"/>
  <c r="N102" i="205"/>
  <c r="N110" i="194"/>
  <c r="N110" i="205"/>
  <c r="N127" i="194"/>
  <c r="N127" i="205"/>
  <c r="N114" i="194"/>
  <c r="N114" i="205"/>
  <c r="N84" i="194"/>
  <c r="N84" i="205"/>
  <c r="N85" i="194"/>
  <c r="N85" i="205"/>
  <c r="N120" i="194"/>
  <c r="N120" i="205"/>
  <c r="N129" i="194"/>
  <c r="N129" i="205"/>
  <c r="N92" i="194"/>
  <c r="N92" i="205"/>
  <c r="N109" i="194"/>
  <c r="N109" i="205"/>
  <c r="N105" i="194"/>
  <c r="N105" i="205"/>
  <c r="N96" i="194"/>
  <c r="N96" i="205"/>
  <c r="N117" i="192"/>
  <c r="N126" i="192"/>
  <c r="N113" i="192"/>
  <c r="N112" i="192"/>
  <c r="N92" i="192"/>
  <c r="N103" i="192"/>
  <c r="N89" i="192"/>
  <c r="N114" i="192"/>
  <c r="N127" i="192"/>
  <c r="N100" i="192"/>
  <c r="N98" i="192"/>
  <c r="N84" i="192"/>
  <c r="N90" i="192"/>
  <c r="N120" i="192"/>
  <c r="N88" i="192"/>
  <c r="N108" i="192"/>
  <c r="N109" i="192"/>
  <c r="N91" i="192"/>
  <c r="N115" i="192"/>
  <c r="N101" i="192"/>
  <c r="N97" i="192"/>
  <c r="N116" i="192"/>
  <c r="N129" i="192"/>
  <c r="N124" i="192"/>
  <c r="N121" i="192"/>
  <c r="N102" i="192"/>
  <c r="N110" i="192"/>
  <c r="N104" i="192"/>
  <c r="N122" i="192"/>
  <c r="EP16" i="129"/>
  <c r="Q15" i="130" s="1"/>
  <c r="EP8" i="129"/>
  <c r="Q7" i="130" s="1"/>
  <c r="EP9" i="129"/>
  <c r="Q8" i="130" s="1"/>
  <c r="N123" i="192"/>
  <c r="N94" i="192"/>
  <c r="N86" i="192"/>
  <c r="EP10" i="129"/>
  <c r="Q9" i="130" s="1"/>
  <c r="EP11" i="129"/>
  <c r="Q10" i="130" s="1"/>
  <c r="EP14" i="129"/>
  <c r="Q13" i="130" s="1"/>
  <c r="EP12" i="129"/>
  <c r="Q11" i="130" s="1"/>
  <c r="EP15" i="129"/>
  <c r="Q14" i="130" s="1"/>
  <c r="EP13" i="129"/>
  <c r="Q12" i="130" s="1"/>
  <c r="N118" i="192"/>
  <c r="N85" i="192"/>
  <c r="N95" i="192"/>
  <c r="N130" i="192"/>
  <c r="N107" i="192"/>
  <c r="N131" i="192"/>
  <c r="N105" i="192"/>
  <c r="N96" i="192"/>
  <c r="P76" i="124"/>
  <c r="P60" i="124" s="1"/>
  <c r="P57" i="121"/>
  <c r="P57" i="125" s="1"/>
  <c r="P58" i="121"/>
  <c r="P58" i="125" s="1"/>
  <c r="P43" i="121"/>
  <c r="P60" i="121"/>
  <c r="P60" i="125" s="1"/>
  <c r="P34" i="121"/>
  <c r="P34" i="125" s="1"/>
  <c r="P66" i="121"/>
  <c r="P66" i="125" s="1"/>
  <c r="P62" i="121"/>
  <c r="P56" i="121"/>
  <c r="P33" i="121"/>
  <c r="P33" i="125" s="1"/>
  <c r="P28" i="121"/>
  <c r="P28" i="125" s="1"/>
  <c r="P26" i="121"/>
  <c r="P26" i="125" s="1"/>
  <c r="P50" i="121"/>
  <c r="P50" i="125" s="1"/>
  <c r="P65" i="121"/>
  <c r="P27" i="121"/>
  <c r="P27" i="125" s="1"/>
  <c r="P46" i="121"/>
  <c r="P46" i="125" s="1"/>
  <c r="P44" i="121"/>
  <c r="P44" i="125" s="1"/>
  <c r="P63" i="121"/>
  <c r="P63" i="125" s="1"/>
  <c r="P24" i="121"/>
  <c r="P53" i="121"/>
  <c r="P53" i="125" s="1"/>
  <c r="P38" i="121"/>
  <c r="P38" i="125" s="1"/>
  <c r="P37" i="121"/>
  <c r="P37" i="125" s="1"/>
  <c r="P25" i="121"/>
  <c r="P25" i="125" s="1"/>
  <c r="P67" i="121"/>
  <c r="P67" i="125" s="1"/>
  <c r="P36" i="121"/>
  <c r="P20" i="121"/>
  <c r="P21" i="121"/>
  <c r="P21" i="125" s="1"/>
  <c r="P48" i="121"/>
  <c r="P32" i="121"/>
  <c r="P32" i="125" s="1"/>
  <c r="P52" i="121"/>
  <c r="P52" i="125" s="1"/>
  <c r="P22" i="121"/>
  <c r="P22" i="125" s="1"/>
  <c r="P40" i="121"/>
  <c r="P40" i="125" s="1"/>
  <c r="P51" i="121"/>
  <c r="P51" i="125" s="1"/>
  <c r="P41" i="121"/>
  <c r="P41" i="125" s="1"/>
  <c r="P54" i="121"/>
  <c r="P54" i="125" s="1"/>
  <c r="P30" i="121"/>
  <c r="P59" i="121"/>
  <c r="P59" i="125" s="1"/>
  <c r="P45" i="121"/>
  <c r="P45" i="125" s="1"/>
  <c r="P39" i="121"/>
  <c r="P39" i="125" s="1"/>
  <c r="P31" i="121"/>
  <c r="P31" i="125" s="1"/>
  <c r="P49" i="121"/>
  <c r="P49" i="125" s="1"/>
  <c r="N93" i="212" l="1"/>
  <c r="N93" i="213"/>
  <c r="N106" i="212"/>
  <c r="N106" i="213"/>
  <c r="N128" i="212"/>
  <c r="N128" i="213"/>
  <c r="N119" i="212"/>
  <c r="N119" i="213"/>
  <c r="N87" i="212"/>
  <c r="N87" i="213"/>
  <c r="N111" i="212"/>
  <c r="N111" i="213"/>
  <c r="N99" i="212"/>
  <c r="N99" i="213"/>
  <c r="N125" i="212"/>
  <c r="N125" i="213"/>
  <c r="N83" i="212"/>
  <c r="N83" i="213"/>
  <c r="N93" i="211"/>
  <c r="N119" i="211"/>
  <c r="N87" i="211"/>
  <c r="N128" i="211"/>
  <c r="N106" i="211"/>
  <c r="N111" i="211"/>
  <c r="N99" i="211"/>
  <c r="N125" i="211"/>
  <c r="N83" i="211"/>
  <c r="P49" i="124"/>
  <c r="P40" i="124"/>
  <c r="P28" i="124"/>
  <c r="P37" i="124"/>
  <c r="P43" i="124"/>
  <c r="N125" i="205"/>
  <c r="N125" i="207"/>
  <c r="N119" i="205"/>
  <c r="N119" i="207"/>
  <c r="N93" i="205"/>
  <c r="N93" i="207"/>
  <c r="N87" i="205"/>
  <c r="N87" i="207"/>
  <c r="N128" i="205"/>
  <c r="N128" i="207"/>
  <c r="N111" i="205"/>
  <c r="N111" i="207"/>
  <c r="N106" i="205"/>
  <c r="N106" i="207"/>
  <c r="N99" i="205"/>
  <c r="N99" i="207"/>
  <c r="N83" i="205"/>
  <c r="N83" i="207"/>
  <c r="P48" i="124"/>
  <c r="P27" i="124"/>
  <c r="P66" i="124"/>
  <c r="P20" i="124"/>
  <c r="P30" i="124"/>
  <c r="P67" i="124"/>
  <c r="P22" i="124"/>
  <c r="P51" i="124"/>
  <c r="P39" i="124"/>
  <c r="P31" i="124"/>
  <c r="P65" i="124"/>
  <c r="P46" i="124"/>
  <c r="P36" i="124"/>
  <c r="P63" i="124"/>
  <c r="P57" i="124"/>
  <c r="P38" i="124"/>
  <c r="P58" i="124"/>
  <c r="P41" i="124"/>
  <c r="P34" i="124"/>
  <c r="P56" i="124"/>
  <c r="P50" i="124"/>
  <c r="P62" i="124"/>
  <c r="P53" i="124"/>
  <c r="P59" i="124"/>
  <c r="P45" i="124"/>
  <c r="P54" i="124"/>
  <c r="P25" i="124"/>
  <c r="P32" i="124"/>
  <c r="P24" i="124"/>
  <c r="P44" i="124"/>
  <c r="P26" i="124"/>
  <c r="P52" i="124"/>
  <c r="P33" i="124"/>
  <c r="EP18" i="129"/>
  <c r="N111" i="194"/>
  <c r="N106" i="194"/>
  <c r="N119" i="194"/>
  <c r="N99" i="194"/>
  <c r="N128" i="194"/>
  <c r="N125" i="194"/>
  <c r="N93" i="194"/>
  <c r="N87" i="192"/>
  <c r="N83" i="192"/>
  <c r="N128" i="192"/>
  <c r="N111" i="192"/>
  <c r="N125" i="192"/>
  <c r="N106" i="192"/>
  <c r="N119" i="192"/>
  <c r="N99" i="192"/>
  <c r="N93" i="192"/>
  <c r="N87" i="194"/>
  <c r="N83" i="194"/>
  <c r="P21" i="124"/>
  <c r="P49" i="126"/>
  <c r="P59" i="126"/>
  <c r="P51" i="126"/>
  <c r="P32" i="126"/>
  <c r="P35" i="121"/>
  <c r="P36" i="125"/>
  <c r="P38" i="126"/>
  <c r="P44" i="126"/>
  <c r="P50" i="126"/>
  <c r="P56" i="125"/>
  <c r="P55" i="121"/>
  <c r="P60" i="126"/>
  <c r="P31" i="126"/>
  <c r="P29" i="121"/>
  <c r="P30" i="125"/>
  <c r="P40" i="126"/>
  <c r="P47" i="121"/>
  <c r="P48" i="125"/>
  <c r="P67" i="126"/>
  <c r="P53" i="126"/>
  <c r="P46" i="126"/>
  <c r="P26" i="126"/>
  <c r="P61" i="121"/>
  <c r="P62" i="125"/>
  <c r="P42" i="121"/>
  <c r="P43" i="125"/>
  <c r="P39" i="126"/>
  <c r="P54" i="126"/>
  <c r="P22" i="126"/>
  <c r="P21" i="126"/>
  <c r="P25" i="126"/>
  <c r="P24" i="125"/>
  <c r="P23" i="121"/>
  <c r="P27" i="126"/>
  <c r="P28" i="126"/>
  <c r="P66" i="126"/>
  <c r="P58" i="126"/>
  <c r="P45" i="126"/>
  <c r="P41" i="126"/>
  <c r="P52" i="126"/>
  <c r="P20" i="125"/>
  <c r="P19" i="121"/>
  <c r="P37" i="126"/>
  <c r="P63" i="126"/>
  <c r="P64" i="121"/>
  <c r="P65" i="125"/>
  <c r="P33" i="126"/>
  <c r="P34" i="126"/>
  <c r="P57" i="126"/>
  <c r="N73" i="212" l="1"/>
  <c r="N73" i="213"/>
  <c r="N80" i="212"/>
  <c r="N80" i="213"/>
  <c r="N77" i="212"/>
  <c r="N77" i="213"/>
  <c r="N79" i="212"/>
  <c r="N79" i="213"/>
  <c r="N75" i="212"/>
  <c r="N75" i="213"/>
  <c r="N82" i="212"/>
  <c r="N82" i="213"/>
  <c r="N76" i="212"/>
  <c r="N76" i="213"/>
  <c r="N74" i="212"/>
  <c r="N74" i="213"/>
  <c r="N78" i="212"/>
  <c r="N78" i="213"/>
  <c r="N72" i="212"/>
  <c r="N72" i="213"/>
  <c r="N79" i="211"/>
  <c r="N75" i="211"/>
  <c r="N76" i="211"/>
  <c r="N82" i="207"/>
  <c r="N82" i="211"/>
  <c r="N72" i="211"/>
  <c r="N73" i="211"/>
  <c r="N74" i="211"/>
  <c r="N80" i="211"/>
  <c r="N78" i="211"/>
  <c r="N77" i="211"/>
  <c r="P23" i="124"/>
  <c r="P9" i="124" s="1"/>
  <c r="I91" i="191"/>
  <c r="P61" i="124"/>
  <c r="P15" i="124" s="1"/>
  <c r="P64" i="124"/>
  <c r="P16" i="124" s="1"/>
  <c r="P29" i="124"/>
  <c r="P10" i="124" s="1"/>
  <c r="N79" i="205"/>
  <c r="N79" i="207"/>
  <c r="N75" i="205"/>
  <c r="N75" i="207"/>
  <c r="N76" i="205"/>
  <c r="N76" i="207"/>
  <c r="N72" i="205"/>
  <c r="N72" i="207"/>
  <c r="N73" i="205"/>
  <c r="N73" i="207"/>
  <c r="N74" i="205"/>
  <c r="N74" i="207"/>
  <c r="N80" i="205"/>
  <c r="N80" i="207"/>
  <c r="N78" i="205"/>
  <c r="N78" i="207"/>
  <c r="N77" i="205"/>
  <c r="N77" i="207"/>
  <c r="P42" i="124"/>
  <c r="P12" i="124" s="1"/>
  <c r="P35" i="124"/>
  <c r="P19" i="124"/>
  <c r="P55" i="124"/>
  <c r="P14" i="124" s="1"/>
  <c r="I96" i="191"/>
  <c r="N82" i="205"/>
  <c r="Q17" i="130"/>
  <c r="P47" i="124"/>
  <c r="P13" i="124" s="1"/>
  <c r="EP17" i="129"/>
  <c r="EP7" i="129"/>
  <c r="Q6" i="130" s="1"/>
  <c r="N75" i="194"/>
  <c r="N76" i="194"/>
  <c r="N74" i="192"/>
  <c r="N78" i="192"/>
  <c r="N79" i="192"/>
  <c r="N80" i="192"/>
  <c r="N73" i="192"/>
  <c r="N79" i="194"/>
  <c r="N82" i="194"/>
  <c r="N72" i="194"/>
  <c r="N80" i="194"/>
  <c r="N78" i="194"/>
  <c r="N77" i="194"/>
  <c r="N73" i="194"/>
  <c r="N75" i="192"/>
  <c r="N76" i="192"/>
  <c r="N77" i="192"/>
  <c r="N72" i="192"/>
  <c r="N74" i="194"/>
  <c r="N82" i="192"/>
  <c r="H98" i="190"/>
  <c r="H97" i="191"/>
  <c r="H102" i="190"/>
  <c r="H101" i="191"/>
  <c r="H116" i="191"/>
  <c r="H117" i="190"/>
  <c r="H99" i="190"/>
  <c r="H98" i="191"/>
  <c r="H127" i="191"/>
  <c r="H128" i="190"/>
  <c r="H106" i="190"/>
  <c r="H105" i="191"/>
  <c r="I99" i="190"/>
  <c r="I98" i="191"/>
  <c r="I114" i="190"/>
  <c r="I113" i="191"/>
  <c r="H91" i="191"/>
  <c r="H92" i="190"/>
  <c r="H85" i="191"/>
  <c r="H86" i="190"/>
  <c r="I113" i="190"/>
  <c r="I112" i="191"/>
  <c r="I130" i="191"/>
  <c r="I131" i="190"/>
  <c r="P62" i="126"/>
  <c r="H90" i="191"/>
  <c r="H91" i="190"/>
  <c r="P10" i="121"/>
  <c r="P10" i="125" s="1"/>
  <c r="P10" i="126" s="1"/>
  <c r="P29" i="125"/>
  <c r="I122" i="191"/>
  <c r="I123" i="190"/>
  <c r="I90" i="191"/>
  <c r="I91" i="190"/>
  <c r="H124" i="191"/>
  <c r="H125" i="190"/>
  <c r="H108" i="191"/>
  <c r="H109" i="190"/>
  <c r="H96" i="191"/>
  <c r="H97" i="190"/>
  <c r="I100" i="191"/>
  <c r="I101" i="190"/>
  <c r="P65" i="126"/>
  <c r="P19" i="125"/>
  <c r="P8" i="121"/>
  <c r="I126" i="191"/>
  <c r="I127" i="190"/>
  <c r="I115" i="190"/>
  <c r="I114" i="191"/>
  <c r="H92" i="191"/>
  <c r="H93" i="190"/>
  <c r="H89" i="191"/>
  <c r="H90" i="190"/>
  <c r="H103" i="191"/>
  <c r="H104" i="190"/>
  <c r="I108" i="190"/>
  <c r="I107" i="191"/>
  <c r="P15" i="121"/>
  <c r="P15" i="125" s="1"/>
  <c r="P15" i="126" s="1"/>
  <c r="P61" i="125"/>
  <c r="H118" i="190"/>
  <c r="H117" i="191"/>
  <c r="H132" i="190"/>
  <c r="H131" i="191"/>
  <c r="H104" i="191"/>
  <c r="H105" i="190"/>
  <c r="H96" i="190"/>
  <c r="H95" i="191"/>
  <c r="I89" i="190"/>
  <c r="I88" i="191"/>
  <c r="P36" i="126"/>
  <c r="H123" i="191"/>
  <c r="H124" i="190"/>
  <c r="H113" i="191"/>
  <c r="H114" i="190"/>
  <c r="I103" i="190"/>
  <c r="I102" i="191"/>
  <c r="I128" i="190"/>
  <c r="I127" i="191"/>
  <c r="I104" i="190"/>
  <c r="I103" i="191"/>
  <c r="I104" i="191"/>
  <c r="I105" i="190"/>
  <c r="H122" i="190"/>
  <c r="H121" i="191"/>
  <c r="I98" i="190"/>
  <c r="I97" i="191"/>
  <c r="P16" i="121"/>
  <c r="P16" i="125" s="1"/>
  <c r="P16" i="126" s="1"/>
  <c r="P64" i="125"/>
  <c r="P20" i="126"/>
  <c r="H110" i="190"/>
  <c r="H109" i="191"/>
  <c r="I117" i="191"/>
  <c r="I118" i="190"/>
  <c r="I121" i="190"/>
  <c r="I120" i="191"/>
  <c r="I106" i="190"/>
  <c r="I105" i="191"/>
  <c r="H123" i="190"/>
  <c r="H122" i="191"/>
  <c r="P9" i="121"/>
  <c r="P9" i="125" s="1"/>
  <c r="P9" i="126" s="1"/>
  <c r="P23" i="125"/>
  <c r="H86" i="191"/>
  <c r="H87" i="190"/>
  <c r="H118" i="191"/>
  <c r="H119" i="190"/>
  <c r="I85" i="190"/>
  <c r="I84" i="191"/>
  <c r="I102" i="190"/>
  <c r="I101" i="191"/>
  <c r="P43" i="126"/>
  <c r="H110" i="191"/>
  <c r="H111" i="190"/>
  <c r="P48" i="126"/>
  <c r="I116" i="191"/>
  <c r="I117" i="190"/>
  <c r="I108" i="191"/>
  <c r="I109" i="190"/>
  <c r="I89" i="191"/>
  <c r="I90" i="190"/>
  <c r="I109" i="191"/>
  <c r="I110" i="190"/>
  <c r="P14" i="121"/>
  <c r="P14" i="125" s="1"/>
  <c r="P14" i="126" s="1"/>
  <c r="P55" i="125"/>
  <c r="H115" i="190"/>
  <c r="H114" i="191"/>
  <c r="P11" i="121"/>
  <c r="P11" i="125" s="1"/>
  <c r="P11" i="126" s="1"/>
  <c r="P35" i="125"/>
  <c r="I111" i="190"/>
  <c r="I110" i="191"/>
  <c r="I129" i="191"/>
  <c r="I130" i="190"/>
  <c r="I95" i="190"/>
  <c r="I94" i="191"/>
  <c r="I123" i="191"/>
  <c r="I124" i="190"/>
  <c r="I87" i="190"/>
  <c r="I86" i="191"/>
  <c r="I132" i="190"/>
  <c r="I131" i="191"/>
  <c r="H131" i="190"/>
  <c r="H130" i="191"/>
  <c r="P24" i="126"/>
  <c r="I92" i="191"/>
  <c r="I93" i="190"/>
  <c r="P12" i="121"/>
  <c r="P12" i="125" s="1"/>
  <c r="P12" i="126" s="1"/>
  <c r="P42" i="125"/>
  <c r="P13" i="121"/>
  <c r="P13" i="125" s="1"/>
  <c r="P13" i="126" s="1"/>
  <c r="P47" i="125"/>
  <c r="P30" i="126"/>
  <c r="I119" i="190"/>
  <c r="I118" i="191"/>
  <c r="P56" i="126"/>
  <c r="H102" i="191"/>
  <c r="H103" i="190"/>
  <c r="H116" i="190"/>
  <c r="H115" i="191"/>
  <c r="I125" i="190"/>
  <c r="I124" i="191"/>
  <c r="I122" i="190"/>
  <c r="I121" i="191"/>
  <c r="I96" i="190"/>
  <c r="I95" i="191"/>
  <c r="I116" i="190"/>
  <c r="I115" i="191"/>
  <c r="N71" i="212" l="1"/>
  <c r="N71" i="213"/>
  <c r="I92" i="190"/>
  <c r="I94" i="190"/>
  <c r="P8" i="124"/>
  <c r="P11" i="124"/>
  <c r="I107" i="190"/>
  <c r="I129" i="190"/>
  <c r="F96" i="191"/>
  <c r="I97" i="190"/>
  <c r="N71" i="211"/>
  <c r="I111" i="191"/>
  <c r="N71" i="205"/>
  <c r="N71" i="207"/>
  <c r="I85" i="191"/>
  <c r="I86" i="190"/>
  <c r="EP6" i="129"/>
  <c r="N71" i="192"/>
  <c r="N71" i="194"/>
  <c r="I100" i="190"/>
  <c r="I99" i="191"/>
  <c r="F103" i="190"/>
  <c r="F102" i="191"/>
  <c r="F115" i="191"/>
  <c r="F116" i="190"/>
  <c r="P47" i="126"/>
  <c r="P42" i="126"/>
  <c r="P55" i="126"/>
  <c r="F87" i="190"/>
  <c r="F86" i="191"/>
  <c r="H85" i="190"/>
  <c r="H84" i="191"/>
  <c r="P64" i="126"/>
  <c r="F114" i="190"/>
  <c r="F113" i="191"/>
  <c r="F118" i="190"/>
  <c r="F117" i="191"/>
  <c r="F93" i="190"/>
  <c r="F92" i="191"/>
  <c r="F91" i="190"/>
  <c r="F90" i="191"/>
  <c r="H126" i="191"/>
  <c r="H127" i="190"/>
  <c r="F92" i="190"/>
  <c r="F91" i="191"/>
  <c r="F105" i="191"/>
  <c r="F106" i="190"/>
  <c r="F98" i="191"/>
  <c r="F99" i="190"/>
  <c r="F101" i="191"/>
  <c r="F102" i="190"/>
  <c r="P35" i="126"/>
  <c r="H113" i="190"/>
  <c r="H112" i="191"/>
  <c r="H108" i="190"/>
  <c r="H107" i="191"/>
  <c r="F119" i="190"/>
  <c r="F118" i="191"/>
  <c r="F123" i="190"/>
  <c r="F122" i="191"/>
  <c r="F132" i="190"/>
  <c r="F131" i="191"/>
  <c r="P61" i="126"/>
  <c r="F104" i="190"/>
  <c r="F103" i="191"/>
  <c r="F90" i="190"/>
  <c r="F89" i="191"/>
  <c r="H129" i="191"/>
  <c r="H130" i="190"/>
  <c r="F108" i="191"/>
  <c r="F109" i="190"/>
  <c r="I125" i="191"/>
  <c r="I126" i="190"/>
  <c r="F116" i="191"/>
  <c r="F117" i="190"/>
  <c r="F98" i="190"/>
  <c r="F97" i="191"/>
  <c r="H94" i="191"/>
  <c r="H95" i="190"/>
  <c r="H88" i="191"/>
  <c r="H89" i="190"/>
  <c r="F131" i="190"/>
  <c r="F130" i="191"/>
  <c r="F115" i="190"/>
  <c r="F114" i="191"/>
  <c r="F110" i="190"/>
  <c r="F109" i="191"/>
  <c r="F122" i="190"/>
  <c r="F121" i="191"/>
  <c r="F105" i="190"/>
  <c r="F104" i="191"/>
  <c r="I84" i="190"/>
  <c r="I83" i="191"/>
  <c r="P8" i="125"/>
  <c r="P8" i="126" s="1"/>
  <c r="P18" i="121"/>
  <c r="P17" i="121" s="1"/>
  <c r="P29" i="126"/>
  <c r="F127" i="191"/>
  <c r="F128" i="190"/>
  <c r="H121" i="190"/>
  <c r="H120" i="191"/>
  <c r="F110" i="191"/>
  <c r="F111" i="190"/>
  <c r="P23" i="126"/>
  <c r="F123" i="191"/>
  <c r="F124" i="190"/>
  <c r="H101" i="190"/>
  <c r="H100" i="191"/>
  <c r="F96" i="190"/>
  <c r="F95" i="191"/>
  <c r="P19" i="126"/>
  <c r="F125" i="190"/>
  <c r="F124" i="191"/>
  <c r="I87" i="191"/>
  <c r="I88" i="190"/>
  <c r="F85" i="191"/>
  <c r="F86" i="190"/>
  <c r="I93" i="191" l="1"/>
  <c r="N70" i="212"/>
  <c r="N70" i="213"/>
  <c r="I75" i="190"/>
  <c r="P18" i="124"/>
  <c r="P17" i="124" s="1"/>
  <c r="I128" i="191"/>
  <c r="I106" i="191"/>
  <c r="K97" i="190"/>
  <c r="F97" i="190"/>
  <c r="I112" i="190"/>
  <c r="I78" i="190"/>
  <c r="I119" i="191"/>
  <c r="I81" i="190"/>
  <c r="I77" i="190"/>
  <c r="I120" i="190"/>
  <c r="N70" i="211"/>
  <c r="N70" i="205"/>
  <c r="N70" i="207"/>
  <c r="EP1" i="129"/>
  <c r="Q5" i="130"/>
  <c r="N70" i="192"/>
  <c r="N70" i="194"/>
  <c r="EJ60" i="129"/>
  <c r="EC60" i="129" s="1"/>
  <c r="ED60" i="129" s="1"/>
  <c r="EJ45" i="129"/>
  <c r="EC45" i="129" s="1"/>
  <c r="ED45" i="129" s="1"/>
  <c r="EJ25" i="129"/>
  <c r="EC25" i="129" s="1"/>
  <c r="ED25" i="129" s="1"/>
  <c r="EJ58" i="129"/>
  <c r="EC58" i="129" s="1"/>
  <c r="ED58" i="129" s="1"/>
  <c r="EJ41" i="129"/>
  <c r="EC41" i="129" s="1"/>
  <c r="ED41" i="129" s="1"/>
  <c r="EJ28" i="129"/>
  <c r="EC28" i="129" s="1"/>
  <c r="ED28" i="129" s="1"/>
  <c r="EJ21" i="129"/>
  <c r="EC21" i="129" s="1"/>
  <c r="ED21" i="129" s="1"/>
  <c r="EJ31" i="129"/>
  <c r="EC31" i="129" s="1"/>
  <c r="ED31" i="129" s="1"/>
  <c r="EJ63" i="129"/>
  <c r="EC63" i="129" s="1"/>
  <c r="ED63" i="129" s="1"/>
  <c r="EJ57" i="129"/>
  <c r="EC57" i="129" s="1"/>
  <c r="ED57" i="129" s="1"/>
  <c r="EJ52" i="129"/>
  <c r="EC52" i="129" s="1"/>
  <c r="ED52" i="129" s="1"/>
  <c r="EJ67" i="129"/>
  <c r="EC67" i="129" s="1"/>
  <c r="ED67" i="129" s="1"/>
  <c r="EJ34" i="129"/>
  <c r="EC34" i="129" s="1"/>
  <c r="ED34" i="129" s="1"/>
  <c r="EJ26" i="129"/>
  <c r="EC26" i="129" s="1"/>
  <c r="ED26" i="129" s="1"/>
  <c r="EJ40" i="129"/>
  <c r="EC40" i="129" s="1"/>
  <c r="ED40" i="129" s="1"/>
  <c r="EJ66" i="129"/>
  <c r="EC66" i="129" s="1"/>
  <c r="ED66" i="129" s="1"/>
  <c r="EJ33" i="129"/>
  <c r="EC33" i="129" s="1"/>
  <c r="ED33" i="129" s="1"/>
  <c r="EJ37" i="129"/>
  <c r="EC37" i="129" s="1"/>
  <c r="ED37" i="129" s="1"/>
  <c r="EJ49" i="129"/>
  <c r="EC49" i="129" s="1"/>
  <c r="ED49" i="129" s="1"/>
  <c r="EJ22" i="129"/>
  <c r="EC22" i="129" s="1"/>
  <c r="ED22" i="129" s="1"/>
  <c r="EJ38" i="129"/>
  <c r="EC38" i="129" s="1"/>
  <c r="ED38" i="129" s="1"/>
  <c r="EJ59" i="129"/>
  <c r="EC59" i="129" s="1"/>
  <c r="ED59" i="129" s="1"/>
  <c r="EJ46" i="129"/>
  <c r="EC46" i="129" s="1"/>
  <c r="ED46" i="129" s="1"/>
  <c r="EJ50" i="129"/>
  <c r="EC50" i="129" s="1"/>
  <c r="ED50" i="129" s="1"/>
  <c r="EJ44" i="129"/>
  <c r="EC44" i="129" s="1"/>
  <c r="ED44" i="129" s="1"/>
  <c r="EJ39" i="129"/>
  <c r="EC39" i="129" s="1"/>
  <c r="ED39" i="129" s="1"/>
  <c r="EJ54" i="129"/>
  <c r="EC54" i="129" s="1"/>
  <c r="ED54" i="129" s="1"/>
  <c r="EJ27" i="129"/>
  <c r="EC27" i="129" s="1"/>
  <c r="ED27" i="129" s="1"/>
  <c r="EJ53" i="129"/>
  <c r="EC53" i="129" s="1"/>
  <c r="ED53" i="129" s="1"/>
  <c r="EJ51" i="129"/>
  <c r="EC51" i="129" s="1"/>
  <c r="ED51" i="129" s="1"/>
  <c r="P59" i="110"/>
  <c r="K124" i="190"/>
  <c r="K123" i="191"/>
  <c r="P33" i="110"/>
  <c r="K98" i="190"/>
  <c r="K97" i="191"/>
  <c r="P52" i="110"/>
  <c r="K116" i="191"/>
  <c r="K117" i="190"/>
  <c r="I79" i="191"/>
  <c r="I80" i="190"/>
  <c r="K109" i="190"/>
  <c r="P44" i="110"/>
  <c r="K108" i="191"/>
  <c r="F112" i="191"/>
  <c r="F113" i="190"/>
  <c r="H99" i="191"/>
  <c r="H100" i="190"/>
  <c r="K90" i="191"/>
  <c r="K91" i="190"/>
  <c r="P26" i="110"/>
  <c r="H106" i="191"/>
  <c r="H107" i="190"/>
  <c r="I73" i="191"/>
  <c r="I74" i="190"/>
  <c r="P60" i="110"/>
  <c r="K125" i="190"/>
  <c r="K124" i="191"/>
  <c r="F100" i="191"/>
  <c r="F101" i="190"/>
  <c r="H88" i="190"/>
  <c r="H87" i="191"/>
  <c r="P46" i="110"/>
  <c r="K110" i="191"/>
  <c r="K111" i="190"/>
  <c r="K128" i="190"/>
  <c r="K127" i="191"/>
  <c r="P63" i="110"/>
  <c r="K109" i="191"/>
  <c r="K110" i="190"/>
  <c r="P45" i="110"/>
  <c r="K103" i="191"/>
  <c r="K104" i="190"/>
  <c r="P39" i="110"/>
  <c r="K123" i="190"/>
  <c r="P58" i="110"/>
  <c r="K122" i="191"/>
  <c r="K119" i="190"/>
  <c r="P54" i="110"/>
  <c r="K118" i="191"/>
  <c r="F108" i="190"/>
  <c r="F107" i="191"/>
  <c r="K105" i="191"/>
  <c r="P41" i="110"/>
  <c r="K106" i="190"/>
  <c r="P27" i="110"/>
  <c r="K91" i="191"/>
  <c r="K92" i="190"/>
  <c r="F127" i="190"/>
  <c r="F126" i="191"/>
  <c r="H128" i="191"/>
  <c r="H129" i="190"/>
  <c r="K102" i="191"/>
  <c r="K103" i="190"/>
  <c r="P38" i="110"/>
  <c r="I75" i="191"/>
  <c r="I76" i="190"/>
  <c r="K85" i="191"/>
  <c r="P21" i="110"/>
  <c r="K86" i="190"/>
  <c r="K96" i="190"/>
  <c r="P31" i="110"/>
  <c r="K95" i="191"/>
  <c r="F120" i="191"/>
  <c r="F121" i="190"/>
  <c r="P7" i="121"/>
  <c r="P18" i="125"/>
  <c r="K104" i="191"/>
  <c r="K105" i="190"/>
  <c r="P40" i="110"/>
  <c r="F89" i="190"/>
  <c r="F88" i="191"/>
  <c r="I79" i="190"/>
  <c r="I78" i="191"/>
  <c r="K89" i="191"/>
  <c r="K90" i="190"/>
  <c r="P25" i="110"/>
  <c r="H126" i="190"/>
  <c r="H125" i="191"/>
  <c r="K132" i="190"/>
  <c r="P67" i="110"/>
  <c r="K131" i="191"/>
  <c r="K102" i="190"/>
  <c r="K101" i="191"/>
  <c r="P37" i="110"/>
  <c r="K99" i="190"/>
  <c r="K98" i="191"/>
  <c r="P34" i="110"/>
  <c r="P53" i="110"/>
  <c r="K118" i="190"/>
  <c r="K117" i="191"/>
  <c r="P22" i="110"/>
  <c r="K87" i="190"/>
  <c r="K86" i="191"/>
  <c r="K116" i="190"/>
  <c r="K115" i="191"/>
  <c r="P51" i="110"/>
  <c r="H84" i="190"/>
  <c r="H83" i="191"/>
  <c r="H93" i="191"/>
  <c r="H94" i="190"/>
  <c r="I72" i="191"/>
  <c r="I73" i="190"/>
  <c r="P57" i="110"/>
  <c r="K122" i="190"/>
  <c r="K121" i="191"/>
  <c r="K115" i="190"/>
  <c r="P50" i="110"/>
  <c r="K114" i="191"/>
  <c r="K130" i="191"/>
  <c r="P66" i="110"/>
  <c r="K131" i="190"/>
  <c r="F94" i="191"/>
  <c r="F95" i="190"/>
  <c r="F130" i="190"/>
  <c r="F129" i="191"/>
  <c r="K93" i="190"/>
  <c r="K92" i="191"/>
  <c r="P28" i="110"/>
  <c r="K113" i="191"/>
  <c r="K114" i="190"/>
  <c r="P49" i="110"/>
  <c r="F85" i="190"/>
  <c r="F84" i="191"/>
  <c r="H119" i="191"/>
  <c r="H120" i="190"/>
  <c r="H111" i="191"/>
  <c r="H112" i="190"/>
  <c r="I82" i="191" l="1"/>
  <c r="I74" i="191"/>
  <c r="EJ32" i="129"/>
  <c r="EC32" i="129" s="1"/>
  <c r="ED32" i="129" s="1"/>
  <c r="P7" i="124"/>
  <c r="P6" i="124" s="1"/>
  <c r="P32" i="110"/>
  <c r="I80" i="191"/>
  <c r="K96" i="191"/>
  <c r="I77" i="191"/>
  <c r="I76" i="191"/>
  <c r="EJ65" i="129"/>
  <c r="EC65" i="129" s="1"/>
  <c r="EJ30" i="129"/>
  <c r="EC30" i="129" s="1"/>
  <c r="EJ62" i="129"/>
  <c r="EC62" i="129" s="1"/>
  <c r="EJ43" i="129"/>
  <c r="EC43" i="129" s="1"/>
  <c r="EJ24" i="129"/>
  <c r="EC24" i="129" s="1"/>
  <c r="EJ36" i="129"/>
  <c r="EC36" i="129" s="1"/>
  <c r="EJ56" i="129"/>
  <c r="EC56" i="129" s="1"/>
  <c r="EJ48" i="129"/>
  <c r="EC48" i="129" s="1"/>
  <c r="EJ20" i="129"/>
  <c r="EC20" i="129" s="1"/>
  <c r="H78" i="191"/>
  <c r="H79" i="190"/>
  <c r="F83" i="191"/>
  <c r="F84" i="190"/>
  <c r="L114" i="190"/>
  <c r="R47" i="190"/>
  <c r="S47" i="190" s="1"/>
  <c r="L131" i="190"/>
  <c r="R64" i="190"/>
  <c r="S64" i="190" s="1"/>
  <c r="H75" i="190"/>
  <c r="H74" i="191"/>
  <c r="L87" i="190"/>
  <c r="R20" i="190"/>
  <c r="S20" i="190" s="1"/>
  <c r="L102" i="190"/>
  <c r="R35" i="190"/>
  <c r="S35" i="190" s="1"/>
  <c r="L105" i="190"/>
  <c r="R38" i="190"/>
  <c r="S38" i="190" s="1"/>
  <c r="P18" i="126"/>
  <c r="K108" i="190"/>
  <c r="K107" i="191"/>
  <c r="P43" i="110"/>
  <c r="P36" i="110"/>
  <c r="K101" i="190"/>
  <c r="K100" i="191"/>
  <c r="L91" i="190"/>
  <c r="R24" i="190"/>
  <c r="S24" i="190" s="1"/>
  <c r="H76" i="190"/>
  <c r="H75" i="191"/>
  <c r="L98" i="190"/>
  <c r="R31" i="190"/>
  <c r="S31" i="190" s="1"/>
  <c r="L124" i="190"/>
  <c r="R57" i="190"/>
  <c r="S57" i="190" s="1"/>
  <c r="F128" i="191"/>
  <c r="F129" i="190"/>
  <c r="K85" i="190"/>
  <c r="K84" i="191"/>
  <c r="P20" i="110"/>
  <c r="K129" i="191"/>
  <c r="P65" i="110"/>
  <c r="K130" i="190"/>
  <c r="K95" i="190"/>
  <c r="P30" i="110"/>
  <c r="K94" i="191"/>
  <c r="H73" i="190"/>
  <c r="H72" i="191"/>
  <c r="L132" i="190"/>
  <c r="R65" i="190"/>
  <c r="S65" i="190" s="1"/>
  <c r="P6" i="121"/>
  <c r="P6" i="125" s="1"/>
  <c r="P7" i="125"/>
  <c r="P7" i="126" s="1"/>
  <c r="F119" i="191"/>
  <c r="F120" i="190"/>
  <c r="L96" i="190"/>
  <c r="R29" i="190"/>
  <c r="S29" i="190" s="1"/>
  <c r="L103" i="190"/>
  <c r="R36" i="190"/>
  <c r="S36" i="190" s="1"/>
  <c r="F125" i="191"/>
  <c r="F126" i="190"/>
  <c r="L92" i="190"/>
  <c r="R25" i="190"/>
  <c r="S25" i="190" s="1"/>
  <c r="F106" i="191"/>
  <c r="F107" i="190"/>
  <c r="L119" i="190"/>
  <c r="R52" i="190"/>
  <c r="S52" i="190" s="1"/>
  <c r="L104" i="190"/>
  <c r="R37" i="190"/>
  <c r="S37" i="190" s="1"/>
  <c r="L111" i="190"/>
  <c r="R44" i="190"/>
  <c r="S44" i="190" s="1"/>
  <c r="H74" i="190"/>
  <c r="H73" i="191"/>
  <c r="L125" i="190"/>
  <c r="R58" i="190"/>
  <c r="S58" i="190" s="1"/>
  <c r="F112" i="190"/>
  <c r="F111" i="191"/>
  <c r="L93" i="190"/>
  <c r="R26" i="190"/>
  <c r="S26" i="190" s="1"/>
  <c r="L115" i="190"/>
  <c r="R48" i="190"/>
  <c r="S48" i="190" s="1"/>
  <c r="L122" i="190"/>
  <c r="R55" i="190"/>
  <c r="S55" i="190" s="1"/>
  <c r="L118" i="190"/>
  <c r="R51" i="190"/>
  <c r="S51" i="190" s="1"/>
  <c r="L99" i="190"/>
  <c r="R32" i="190"/>
  <c r="S32" i="190" s="1"/>
  <c r="K88" i="191"/>
  <c r="P24" i="110"/>
  <c r="K89" i="190"/>
  <c r="K120" i="191"/>
  <c r="K121" i="190"/>
  <c r="P56" i="110"/>
  <c r="L109" i="190"/>
  <c r="R42" i="190"/>
  <c r="S42" i="190" s="1"/>
  <c r="L117" i="190"/>
  <c r="R50" i="190"/>
  <c r="S50" i="190" s="1"/>
  <c r="H77" i="191"/>
  <c r="H78" i="190"/>
  <c r="F94" i="190"/>
  <c r="F93" i="191"/>
  <c r="L116" i="190"/>
  <c r="R49" i="190"/>
  <c r="S49" i="190" s="1"/>
  <c r="H79" i="191"/>
  <c r="H80" i="190"/>
  <c r="L90" i="190"/>
  <c r="R23" i="190"/>
  <c r="S23" i="190" s="1"/>
  <c r="F87" i="191"/>
  <c r="F88" i="190"/>
  <c r="L86" i="190"/>
  <c r="R19" i="190"/>
  <c r="S19" i="190" s="1"/>
  <c r="H80" i="191"/>
  <c r="H81" i="190"/>
  <c r="K127" i="190"/>
  <c r="P62" i="110"/>
  <c r="K126" i="191"/>
  <c r="L106" i="190"/>
  <c r="R39" i="190"/>
  <c r="S39" i="190" s="1"/>
  <c r="L123" i="190"/>
  <c r="R56" i="190"/>
  <c r="S56" i="190" s="1"/>
  <c r="L110" i="190"/>
  <c r="R43" i="190"/>
  <c r="S43" i="190" s="1"/>
  <c r="L128" i="190"/>
  <c r="R61" i="190"/>
  <c r="S61" i="190" s="1"/>
  <c r="F99" i="191"/>
  <c r="F100" i="190"/>
  <c r="H76" i="191"/>
  <c r="H77" i="190"/>
  <c r="K112" i="191"/>
  <c r="P48" i="110"/>
  <c r="K113" i="190"/>
  <c r="L97" i="190"/>
  <c r="R30" i="190"/>
  <c r="S30" i="190" s="1"/>
  <c r="P6" i="126" l="1"/>
  <c r="P5" i="126" s="1"/>
  <c r="I67" i="190"/>
  <c r="I69" i="190" s="1"/>
  <c r="I83" i="190"/>
  <c r="EJ64" i="129"/>
  <c r="EJ16" i="129" s="1"/>
  <c r="EJ19" i="129"/>
  <c r="EJ8" i="129" s="1"/>
  <c r="EJ35" i="129"/>
  <c r="EJ11" i="129" s="1"/>
  <c r="EJ47" i="129"/>
  <c r="EJ13" i="129" s="1"/>
  <c r="EJ42" i="129"/>
  <c r="EJ12" i="129" s="1"/>
  <c r="H67" i="190"/>
  <c r="H69" i="190" s="1"/>
  <c r="EJ55" i="129"/>
  <c r="EJ14" i="129" s="1"/>
  <c r="EJ61" i="129"/>
  <c r="EJ15" i="129" s="1"/>
  <c r="EJ23" i="129"/>
  <c r="EJ9" i="129" s="1"/>
  <c r="EJ29" i="129"/>
  <c r="EJ10" i="129" s="1"/>
  <c r="EC47" i="129"/>
  <c r="EC13" i="129" s="1"/>
  <c r="ED48" i="129"/>
  <c r="EC29" i="129"/>
  <c r="EC10" i="129" s="1"/>
  <c r="ED30" i="129"/>
  <c r="ED29" i="129" s="1"/>
  <c r="ED10" i="129" s="1"/>
  <c r="EC64" i="129"/>
  <c r="EC16" i="129" s="1"/>
  <c r="ED65" i="129"/>
  <c r="ED64" i="129" s="1"/>
  <c r="ED16" i="129" s="1"/>
  <c r="EC61" i="129"/>
  <c r="EC15" i="129" s="1"/>
  <c r="ED62" i="129"/>
  <c r="ED61" i="129" s="1"/>
  <c r="ED15" i="129" s="1"/>
  <c r="EC23" i="129"/>
  <c r="EC9" i="129" s="1"/>
  <c r="ED24" i="129"/>
  <c r="EC35" i="129"/>
  <c r="EC11" i="129" s="1"/>
  <c r="ED36" i="129"/>
  <c r="EC42" i="129"/>
  <c r="EC12" i="129" s="1"/>
  <c r="ED43" i="129"/>
  <c r="EC55" i="129"/>
  <c r="EC14" i="129" s="1"/>
  <c r="ED56" i="129"/>
  <c r="EC19" i="129"/>
  <c r="EC8" i="129" s="1"/>
  <c r="ED20" i="129"/>
  <c r="P47" i="110"/>
  <c r="K111" i="191"/>
  <c r="K112" i="190"/>
  <c r="P29" i="110"/>
  <c r="K93" i="191"/>
  <c r="K94" i="190"/>
  <c r="H83" i="190"/>
  <c r="H82" i="191"/>
  <c r="F72" i="191"/>
  <c r="F73" i="190"/>
  <c r="P55" i="110"/>
  <c r="K119" i="191"/>
  <c r="K120" i="190"/>
  <c r="I72" i="190"/>
  <c r="I71" i="191"/>
  <c r="L108" i="190"/>
  <c r="R41" i="190"/>
  <c r="S41" i="190" s="1"/>
  <c r="L127" i="190"/>
  <c r="R60" i="190"/>
  <c r="S60" i="190" s="1"/>
  <c r="L89" i="190"/>
  <c r="R22" i="190"/>
  <c r="S22" i="190" s="1"/>
  <c r="F76" i="191"/>
  <c r="F77" i="190"/>
  <c r="F80" i="190"/>
  <c r="F79" i="191"/>
  <c r="L130" i="190"/>
  <c r="R63" i="190"/>
  <c r="S63" i="190" s="1"/>
  <c r="L85" i="190"/>
  <c r="R18" i="190"/>
  <c r="S18" i="190" s="1"/>
  <c r="F80" i="191"/>
  <c r="F81" i="190"/>
  <c r="L101" i="190"/>
  <c r="R34" i="190"/>
  <c r="S34" i="190" s="1"/>
  <c r="K106" i="191"/>
  <c r="K107" i="190"/>
  <c r="P42" i="110"/>
  <c r="L113" i="190"/>
  <c r="R46" i="190"/>
  <c r="S46" i="190" s="1"/>
  <c r="F75" i="191"/>
  <c r="F76" i="190"/>
  <c r="P61" i="110"/>
  <c r="K125" i="191"/>
  <c r="K126" i="190"/>
  <c r="F74" i="190"/>
  <c r="F73" i="191"/>
  <c r="F75" i="190"/>
  <c r="F74" i="191"/>
  <c r="L121" i="190"/>
  <c r="R54" i="190"/>
  <c r="S54" i="190" s="1"/>
  <c r="K88" i="190"/>
  <c r="K87" i="191"/>
  <c r="P23" i="110"/>
  <c r="F77" i="191"/>
  <c r="F78" i="190"/>
  <c r="F78" i="191"/>
  <c r="F79" i="190"/>
  <c r="L95" i="190"/>
  <c r="R28" i="190"/>
  <c r="S28" i="190" s="1"/>
  <c r="K129" i="190"/>
  <c r="K128" i="191"/>
  <c r="P64" i="110"/>
  <c r="K84" i="190"/>
  <c r="P19" i="110"/>
  <c r="K83" i="191"/>
  <c r="P35" i="110"/>
  <c r="K100" i="190"/>
  <c r="K99" i="191"/>
  <c r="R17" i="190" l="1"/>
  <c r="S17" i="190" s="1"/>
  <c r="F67" i="190"/>
  <c r="F69" i="190" s="1"/>
  <c r="ED55" i="129"/>
  <c r="ED14" i="129" s="1"/>
  <c r="ED35" i="129"/>
  <c r="ED11" i="129" s="1"/>
  <c r="ED47" i="129"/>
  <c r="ED13" i="129" s="1"/>
  <c r="ED19" i="129"/>
  <c r="ED8" i="129" s="1"/>
  <c r="ED42" i="129"/>
  <c r="ED12" i="129" s="1"/>
  <c r="ED23" i="129"/>
  <c r="ED9" i="129" s="1"/>
  <c r="P11" i="110"/>
  <c r="K76" i="190"/>
  <c r="K75" i="191"/>
  <c r="P8" i="110"/>
  <c r="K73" i="190"/>
  <c r="K72" i="191"/>
  <c r="K74" i="190"/>
  <c r="K73" i="191"/>
  <c r="P9" i="110"/>
  <c r="L112" i="190"/>
  <c r="R45" i="190"/>
  <c r="S45" i="190" s="1"/>
  <c r="L126" i="190"/>
  <c r="R59" i="190"/>
  <c r="S59" i="190" s="1"/>
  <c r="K78" i="190"/>
  <c r="K77" i="191"/>
  <c r="P13" i="110"/>
  <c r="P16" i="110"/>
  <c r="K80" i="191"/>
  <c r="K81" i="190"/>
  <c r="L120" i="190"/>
  <c r="R53" i="190"/>
  <c r="S53" i="190" s="1"/>
  <c r="L84" i="190"/>
  <c r="L107" i="190"/>
  <c r="R40" i="190"/>
  <c r="S40" i="190" s="1"/>
  <c r="H72" i="190"/>
  <c r="H71" i="191"/>
  <c r="P15" i="110"/>
  <c r="K79" i="191"/>
  <c r="K80" i="190"/>
  <c r="K76" i="191"/>
  <c r="P12" i="110"/>
  <c r="K77" i="190"/>
  <c r="L129" i="190"/>
  <c r="R62" i="190"/>
  <c r="S62" i="190" s="1"/>
  <c r="L88" i="190"/>
  <c r="R21" i="190"/>
  <c r="S21" i="190" s="1"/>
  <c r="I71" i="190"/>
  <c r="I70" i="191"/>
  <c r="F82" i="191"/>
  <c r="F83" i="190"/>
  <c r="K75" i="190"/>
  <c r="K74" i="191"/>
  <c r="P10" i="110"/>
  <c r="L94" i="190"/>
  <c r="R27" i="190"/>
  <c r="S27" i="190" s="1"/>
  <c r="L100" i="190"/>
  <c r="R33" i="190"/>
  <c r="S33" i="190" s="1"/>
  <c r="K78" i="191"/>
  <c r="P14" i="110"/>
  <c r="K79" i="190"/>
  <c r="K67" i="190" l="1"/>
  <c r="K69" i="190" s="1"/>
  <c r="EJ18" i="129"/>
  <c r="L76" i="190"/>
  <c r="R9" i="190"/>
  <c r="S9" i="190" s="1"/>
  <c r="F71" i="191"/>
  <c r="F72" i="190"/>
  <c r="H71" i="190"/>
  <c r="H70" i="191"/>
  <c r="L79" i="190"/>
  <c r="R12" i="190"/>
  <c r="S12" i="190" s="1"/>
  <c r="L80" i="190"/>
  <c r="R13" i="190"/>
  <c r="S13" i="190" s="1"/>
  <c r="L78" i="190"/>
  <c r="R11" i="190"/>
  <c r="S11" i="190" s="1"/>
  <c r="P18" i="110"/>
  <c r="K83" i="190"/>
  <c r="K82" i="191"/>
  <c r="L77" i="190"/>
  <c r="R10" i="190"/>
  <c r="S10" i="190" s="1"/>
  <c r="L75" i="190"/>
  <c r="R8" i="190"/>
  <c r="S8" i="190" s="1"/>
  <c r="L74" i="190"/>
  <c r="R7" i="190"/>
  <c r="S7" i="190" s="1"/>
  <c r="L73" i="190"/>
  <c r="R6" i="190"/>
  <c r="S6" i="190" s="1"/>
  <c r="L81" i="190"/>
  <c r="R14" i="190"/>
  <c r="S14" i="190" s="1"/>
  <c r="L67" i="190" l="1"/>
  <c r="L69" i="190" s="1"/>
  <c r="EC18" i="129"/>
  <c r="ED18" i="129" s="1"/>
  <c r="EJ7" i="129"/>
  <c r="EJ6" i="129" s="1"/>
  <c r="P7" i="110"/>
  <c r="K71" i="191"/>
  <c r="K72" i="190"/>
  <c r="L83" i="190"/>
  <c r="R16" i="190"/>
  <c r="S16" i="190" s="1"/>
  <c r="F71" i="190"/>
  <c r="F70" i="191"/>
  <c r="EJ1" i="129" l="1"/>
  <c r="EF26" i="129"/>
  <c r="P25" i="131" s="1"/>
  <c r="EC7" i="129"/>
  <c r="EC6" i="129" s="1"/>
  <c r="EC1" i="129" s="1"/>
  <c r="EF46" i="129"/>
  <c r="EF45" i="129"/>
  <c r="P44" i="131" s="1"/>
  <c r="EF25" i="129"/>
  <c r="EF54" i="129"/>
  <c r="EF37" i="129"/>
  <c r="EF41" i="129"/>
  <c r="P40" i="131" s="1"/>
  <c r="EF49" i="129"/>
  <c r="EF21" i="129"/>
  <c r="EF59" i="129"/>
  <c r="EF52" i="129"/>
  <c r="P51" i="131" s="1"/>
  <c r="EF58" i="129"/>
  <c r="EF53" i="129"/>
  <c r="EF32" i="129"/>
  <c r="EF63" i="129"/>
  <c r="EF40" i="129"/>
  <c r="P39" i="130" s="1"/>
  <c r="EF66" i="129"/>
  <c r="P65" i="131" s="1"/>
  <c r="EF33" i="129"/>
  <c r="EF67" i="129"/>
  <c r="EF28" i="129"/>
  <c r="EF38" i="129"/>
  <c r="EF60" i="129"/>
  <c r="EF31" i="129"/>
  <c r="EF57" i="129"/>
  <c r="EF50" i="129"/>
  <c r="EF44" i="129"/>
  <c r="EF39" i="129"/>
  <c r="P38" i="131" s="1"/>
  <c r="EF34" i="129"/>
  <c r="EF27" i="129"/>
  <c r="P26" i="131" s="1"/>
  <c r="EF22" i="129"/>
  <c r="EF51" i="129"/>
  <c r="P50" i="131" s="1"/>
  <c r="EF65" i="129"/>
  <c r="EF30" i="129"/>
  <c r="EF48" i="129"/>
  <c r="EF20" i="129"/>
  <c r="EF56" i="129"/>
  <c r="EF43" i="129"/>
  <c r="P42" i="130" s="1"/>
  <c r="EF36" i="129"/>
  <c r="P35" i="130" s="1"/>
  <c r="EF24" i="129"/>
  <c r="EF62" i="129"/>
  <c r="P61" i="130" s="1"/>
  <c r="P59" i="131"/>
  <c r="P20" i="131"/>
  <c r="P48" i="131"/>
  <c r="P39" i="131"/>
  <c r="P57" i="131"/>
  <c r="P24" i="131"/>
  <c r="P53" i="131"/>
  <c r="P31" i="131"/>
  <c r="L72" i="190"/>
  <c r="R5" i="190"/>
  <c r="S5" i="190" s="1"/>
  <c r="K70" i="191"/>
  <c r="K71" i="190"/>
  <c r="P6" i="110"/>
  <c r="P5" i="110" s="1"/>
  <c r="N121" i="191" l="1"/>
  <c r="N90" i="190"/>
  <c r="P48" i="130"/>
  <c r="P48" i="132" s="1"/>
  <c r="N122" i="191"/>
  <c r="P20" i="130"/>
  <c r="P20" i="132" s="1"/>
  <c r="P53" i="130"/>
  <c r="P53" i="132" s="1"/>
  <c r="N92" i="191"/>
  <c r="N126" i="191"/>
  <c r="P55" i="130"/>
  <c r="P33" i="130"/>
  <c r="N86" i="191"/>
  <c r="P64" i="130"/>
  <c r="P62" i="130"/>
  <c r="M117" i="190"/>
  <c r="P51" i="130"/>
  <c r="P51" i="132" s="1"/>
  <c r="N117" i="190"/>
  <c r="N128" i="190"/>
  <c r="N109" i="191"/>
  <c r="P40" i="130"/>
  <c r="P40" i="132" s="1"/>
  <c r="P19" i="130"/>
  <c r="P43" i="130"/>
  <c r="P44" i="130"/>
  <c r="P44" i="132" s="1"/>
  <c r="P43" i="131"/>
  <c r="P38" i="130"/>
  <c r="P38" i="132" s="1"/>
  <c r="P32" i="130"/>
  <c r="N90" i="191"/>
  <c r="P32" i="131"/>
  <c r="P56" i="131"/>
  <c r="P47" i="130"/>
  <c r="P21" i="131"/>
  <c r="P21" i="130"/>
  <c r="P24" i="130"/>
  <c r="P24" i="132" s="1"/>
  <c r="P31" i="130"/>
  <c r="P31" i="132" s="1"/>
  <c r="N108" i="191"/>
  <c r="P57" i="130"/>
  <c r="P57" i="132" s="1"/>
  <c r="N105" i="190"/>
  <c r="P33" i="131"/>
  <c r="P56" i="130"/>
  <c r="P59" i="130"/>
  <c r="P59" i="132" s="1"/>
  <c r="P27" i="130"/>
  <c r="N114" i="190"/>
  <c r="P25" i="130"/>
  <c r="P25" i="132" s="1"/>
  <c r="P27" i="131"/>
  <c r="M97" i="190"/>
  <c r="M90" i="190"/>
  <c r="M86" i="190"/>
  <c r="M87" i="190"/>
  <c r="M98" i="190"/>
  <c r="M103" i="190"/>
  <c r="M118" i="190"/>
  <c r="M102" i="190"/>
  <c r="M111" i="190"/>
  <c r="M109" i="190"/>
  <c r="M99" i="190"/>
  <c r="M122" i="190"/>
  <c r="M93" i="190"/>
  <c r="M119" i="190"/>
  <c r="M123" i="190"/>
  <c r="M114" i="190"/>
  <c r="M125" i="190"/>
  <c r="M96" i="190"/>
  <c r="M132" i="190"/>
  <c r="M128" i="190"/>
  <c r="P50" i="130"/>
  <c r="P50" i="132" s="1"/>
  <c r="P23" i="130"/>
  <c r="P66" i="130"/>
  <c r="P30" i="130"/>
  <c r="P30" i="131"/>
  <c r="P62" i="131"/>
  <c r="P66" i="131"/>
  <c r="N103" i="190"/>
  <c r="P36" i="130"/>
  <c r="P29" i="130"/>
  <c r="P26" i="130"/>
  <c r="P26" i="132" s="1"/>
  <c r="P49" i="131"/>
  <c r="P58" i="131"/>
  <c r="P45" i="130"/>
  <c r="P52" i="130"/>
  <c r="P65" i="130"/>
  <c r="P65" i="132" s="1"/>
  <c r="P49" i="130"/>
  <c r="P58" i="130"/>
  <c r="P37" i="130"/>
  <c r="P36" i="131"/>
  <c r="P45" i="131"/>
  <c r="P52" i="131"/>
  <c r="P37" i="131"/>
  <c r="EF42" i="129"/>
  <c r="EF12" i="129" s="1"/>
  <c r="P11" i="130" s="1"/>
  <c r="EE10" i="129"/>
  <c r="P9" i="131" s="1"/>
  <c r="EF29" i="129"/>
  <c r="EF10" i="129" s="1"/>
  <c r="P9" i="130" s="1"/>
  <c r="ED7" i="129"/>
  <c r="ED6" i="129" s="1"/>
  <c r="ED1" i="129" s="1"/>
  <c r="EF61" i="129"/>
  <c r="EF15" i="129" s="1"/>
  <c r="P14" i="130" s="1"/>
  <c r="EF55" i="129"/>
  <c r="EF14" i="129" s="1"/>
  <c r="P13" i="130" s="1"/>
  <c r="EF64" i="129"/>
  <c r="EF16" i="129" s="1"/>
  <c r="P15" i="130" s="1"/>
  <c r="EF23" i="129"/>
  <c r="EF9" i="129" s="1"/>
  <c r="P8" i="130" s="1"/>
  <c r="EF19" i="129"/>
  <c r="EF8" i="129" s="1"/>
  <c r="EF35" i="129"/>
  <c r="EF11" i="129" s="1"/>
  <c r="P10" i="130" s="1"/>
  <c r="EF47" i="129"/>
  <c r="EF13" i="129" s="1"/>
  <c r="P12" i="130" s="1"/>
  <c r="P39" i="132"/>
  <c r="L71" i="190"/>
  <c r="R4" i="190"/>
  <c r="S4" i="190" s="1"/>
  <c r="N85" i="191"/>
  <c r="N86" i="190"/>
  <c r="N85" i="190"/>
  <c r="N84" i="191"/>
  <c r="N88" i="191"/>
  <c r="N89" i="190"/>
  <c r="N121" i="190"/>
  <c r="N120" i="191"/>
  <c r="N129" i="191"/>
  <c r="N130" i="190"/>
  <c r="N112" i="191"/>
  <c r="N113" i="190"/>
  <c r="O122" i="190" l="1"/>
  <c r="N109" i="190"/>
  <c r="N87" i="190"/>
  <c r="N119" i="190"/>
  <c r="N122" i="190"/>
  <c r="N113" i="191"/>
  <c r="N89" i="191"/>
  <c r="N110" i="190"/>
  <c r="O109" i="190"/>
  <c r="O90" i="190"/>
  <c r="N126" i="190"/>
  <c r="N124" i="191"/>
  <c r="N125" i="190"/>
  <c r="P62" i="132"/>
  <c r="P43" i="132"/>
  <c r="N116" i="191"/>
  <c r="N93" i="190"/>
  <c r="N118" i="191"/>
  <c r="O87" i="190"/>
  <c r="O93" i="190"/>
  <c r="O105" i="190"/>
  <c r="N104" i="191"/>
  <c r="N127" i="190"/>
  <c r="N91" i="190"/>
  <c r="N123" i="190"/>
  <c r="O117" i="190"/>
  <c r="O110" i="190"/>
  <c r="N99" i="190"/>
  <c r="P33" i="132"/>
  <c r="O128" i="190"/>
  <c r="N127" i="191"/>
  <c r="N95" i="191"/>
  <c r="O123" i="190"/>
  <c r="N96" i="190"/>
  <c r="N98" i="191"/>
  <c r="M110" i="190"/>
  <c r="N92" i="190"/>
  <c r="N130" i="191"/>
  <c r="M106" i="190"/>
  <c r="N115" i="190"/>
  <c r="N116" i="190"/>
  <c r="O118" i="190"/>
  <c r="P56" i="132"/>
  <c r="N98" i="190"/>
  <c r="N97" i="190"/>
  <c r="N107" i="191"/>
  <c r="N100" i="191"/>
  <c r="N128" i="191"/>
  <c r="N105" i="191"/>
  <c r="P60" i="130"/>
  <c r="N101" i="190"/>
  <c r="O98" i="190"/>
  <c r="O97" i="190"/>
  <c r="N106" i="190"/>
  <c r="P32" i="132"/>
  <c r="P46" i="130"/>
  <c r="N97" i="191"/>
  <c r="N96" i="191"/>
  <c r="P27" i="132"/>
  <c r="P21" i="132"/>
  <c r="P41" i="130"/>
  <c r="N117" i="191"/>
  <c r="N93" i="191"/>
  <c r="N108" i="190"/>
  <c r="N102" i="191"/>
  <c r="O92" i="190"/>
  <c r="P28" i="130"/>
  <c r="N124" i="190"/>
  <c r="N103" i="191"/>
  <c r="M116" i="190"/>
  <c r="N131" i="191"/>
  <c r="N114" i="191"/>
  <c r="N91" i="191"/>
  <c r="N131" i="190"/>
  <c r="N115" i="191"/>
  <c r="M91" i="190"/>
  <c r="M131" i="190"/>
  <c r="N101" i="191"/>
  <c r="N95" i="190"/>
  <c r="N111" i="190"/>
  <c r="M92" i="190"/>
  <c r="M105" i="190"/>
  <c r="S3" i="190"/>
  <c r="M124" i="190"/>
  <c r="M115" i="190"/>
  <c r="N118" i="190"/>
  <c r="M104" i="190"/>
  <c r="EF18" i="129"/>
  <c r="N104" i="190"/>
  <c r="P63" i="130"/>
  <c r="N94" i="191"/>
  <c r="P34" i="130"/>
  <c r="P58" i="132"/>
  <c r="O131" i="190"/>
  <c r="P54" i="130"/>
  <c r="N110" i="191"/>
  <c r="N132" i="190"/>
  <c r="P22" i="130"/>
  <c r="N123" i="191"/>
  <c r="P36" i="132"/>
  <c r="P37" i="132"/>
  <c r="P30" i="132"/>
  <c r="P66" i="132"/>
  <c r="P49" i="132"/>
  <c r="P45" i="132"/>
  <c r="P52" i="132"/>
  <c r="N102" i="190"/>
  <c r="P18" i="130"/>
  <c r="P28" i="131"/>
  <c r="P35" i="131"/>
  <c r="P35" i="132" s="1"/>
  <c r="P42" i="131"/>
  <c r="P42" i="132" s="1"/>
  <c r="P23" i="131"/>
  <c r="P23" i="132" s="1"/>
  <c r="P47" i="131"/>
  <c r="P47" i="132" s="1"/>
  <c r="P64" i="131"/>
  <c r="P64" i="132" s="1"/>
  <c r="P61" i="131"/>
  <c r="P61" i="132" s="1"/>
  <c r="P19" i="131"/>
  <c r="P19" i="132" s="1"/>
  <c r="P55" i="131"/>
  <c r="P55" i="132" s="1"/>
  <c r="P29" i="131"/>
  <c r="P29" i="132" s="1"/>
  <c r="P9" i="132"/>
  <c r="P7" i="130"/>
  <c r="O99" i="190"/>
  <c r="O125" i="190"/>
  <c r="O96" i="190"/>
  <c r="O114" i="190"/>
  <c r="O119" i="190"/>
  <c r="O86" i="190"/>
  <c r="N79" i="191" l="1"/>
  <c r="N125" i="191"/>
  <c r="O132" i="190"/>
  <c r="N83" i="191"/>
  <c r="N84" i="190"/>
  <c r="O106" i="190"/>
  <c r="O111" i="190"/>
  <c r="O94" i="190"/>
  <c r="N129" i="190"/>
  <c r="N94" i="190"/>
  <c r="O103" i="190"/>
  <c r="N81" i="190"/>
  <c r="N75" i="190"/>
  <c r="O104" i="190"/>
  <c r="O115" i="190"/>
  <c r="N87" i="191"/>
  <c r="P28" i="132"/>
  <c r="N88" i="190"/>
  <c r="N74" i="190"/>
  <c r="O116" i="190"/>
  <c r="N106" i="191"/>
  <c r="N119" i="191"/>
  <c r="N99" i="191"/>
  <c r="N112" i="190"/>
  <c r="O124" i="190"/>
  <c r="O102" i="190"/>
  <c r="N76" i="191"/>
  <c r="O91" i="190"/>
  <c r="N107" i="190"/>
  <c r="M94" i="190"/>
  <c r="EF7" i="129"/>
  <c r="EF6" i="129" s="1"/>
  <c r="EF1" i="129" s="1"/>
  <c r="EF17" i="129"/>
  <c r="N100" i="190"/>
  <c r="N78" i="191"/>
  <c r="N111" i="191"/>
  <c r="N120" i="190"/>
  <c r="M95" i="190"/>
  <c r="EE14" i="129"/>
  <c r="P13" i="131" s="1"/>
  <c r="P13" i="132" s="1"/>
  <c r="P54" i="131"/>
  <c r="P54" i="132" s="1"/>
  <c r="EE8" i="129"/>
  <c r="P18" i="131"/>
  <c r="P18" i="132" s="1"/>
  <c r="M127" i="190"/>
  <c r="M130" i="190"/>
  <c r="EE13" i="129"/>
  <c r="P12" i="131" s="1"/>
  <c r="P12" i="132" s="1"/>
  <c r="P46" i="131"/>
  <c r="P46" i="132" s="1"/>
  <c r="M89" i="190"/>
  <c r="EE11" i="129"/>
  <c r="P10" i="131" s="1"/>
  <c r="P10" i="132" s="1"/>
  <c r="P34" i="131"/>
  <c r="P34" i="132" s="1"/>
  <c r="EE15" i="129"/>
  <c r="P14" i="131" s="1"/>
  <c r="P14" i="132" s="1"/>
  <c r="P60" i="131"/>
  <c r="P60" i="132" s="1"/>
  <c r="EE16" i="129"/>
  <c r="P15" i="131" s="1"/>
  <c r="P15" i="132" s="1"/>
  <c r="P63" i="131"/>
  <c r="P63" i="132" s="1"/>
  <c r="EE9" i="129"/>
  <c r="P8" i="131" s="1"/>
  <c r="P8" i="132" s="1"/>
  <c r="P22" i="131"/>
  <c r="P22" i="132" s="1"/>
  <c r="EE12" i="129"/>
  <c r="P11" i="131" s="1"/>
  <c r="P11" i="132" s="1"/>
  <c r="P41" i="131"/>
  <c r="P41" i="132" s="1"/>
  <c r="M121" i="190"/>
  <c r="M85" i="190"/>
  <c r="M113" i="190"/>
  <c r="M108" i="190"/>
  <c r="M101" i="190"/>
  <c r="N73" i="190"/>
  <c r="N72" i="191"/>
  <c r="P17" i="130"/>
  <c r="N80" i="190" l="1"/>
  <c r="N77" i="190"/>
  <c r="O75" i="190"/>
  <c r="N74" i="191"/>
  <c r="N73" i="191"/>
  <c r="N80" i="191"/>
  <c r="P7" i="131"/>
  <c r="P7" i="132" s="1"/>
  <c r="EE18" i="129"/>
  <c r="EE17" i="129" s="1"/>
  <c r="N79" i="190"/>
  <c r="N78" i="190"/>
  <c r="N75" i="191"/>
  <c r="M75" i="190"/>
  <c r="N77" i="191"/>
  <c r="N67" i="190"/>
  <c r="N69" i="190" s="1"/>
  <c r="N76" i="190"/>
  <c r="M107" i="190"/>
  <c r="M88" i="190"/>
  <c r="M129" i="190"/>
  <c r="O89" i="190"/>
  <c r="O127" i="190"/>
  <c r="M84" i="190"/>
  <c r="O101" i="190"/>
  <c r="O113" i="190"/>
  <c r="O85" i="190"/>
  <c r="M126" i="190"/>
  <c r="M112" i="190"/>
  <c r="O130" i="190"/>
  <c r="O95" i="190"/>
  <c r="O108" i="190"/>
  <c r="O121" i="190"/>
  <c r="M100" i="190"/>
  <c r="M120" i="190"/>
  <c r="P6" i="130"/>
  <c r="P5" i="130"/>
  <c r="N82" i="191"/>
  <c r="N83" i="190"/>
  <c r="EE7" i="129" l="1"/>
  <c r="P6" i="131" s="1"/>
  <c r="P6" i="132" s="1"/>
  <c r="P17" i="131"/>
  <c r="P17" i="132" s="1"/>
  <c r="O67" i="190"/>
  <c r="O69" i="190" s="1"/>
  <c r="EV12" i="129"/>
  <c r="EV15" i="129"/>
  <c r="EV10" i="129"/>
  <c r="EV8" i="129"/>
  <c r="EV13" i="129"/>
  <c r="EV14" i="129"/>
  <c r="EV16" i="129"/>
  <c r="EV9" i="129"/>
  <c r="EV11" i="129"/>
  <c r="EM9" i="129"/>
  <c r="EM15" i="129"/>
  <c r="EM8" i="129"/>
  <c r="EM12" i="129"/>
  <c r="EM10" i="129"/>
  <c r="EM16" i="129"/>
  <c r="EM14" i="129"/>
  <c r="EM11" i="129"/>
  <c r="EM13" i="129"/>
  <c r="O120" i="190"/>
  <c r="O100" i="190"/>
  <c r="O112" i="190"/>
  <c r="M73" i="190"/>
  <c r="O129" i="190"/>
  <c r="M74" i="190"/>
  <c r="M79" i="190"/>
  <c r="M78" i="190"/>
  <c r="M80" i="190"/>
  <c r="O126" i="190"/>
  <c r="O84" i="190"/>
  <c r="O88" i="190"/>
  <c r="O107" i="190"/>
  <c r="M76" i="190"/>
  <c r="M81" i="190"/>
  <c r="M77" i="190"/>
  <c r="N71" i="191"/>
  <c r="N72" i="190"/>
  <c r="EM6" i="129" l="1"/>
  <c r="O83" i="190"/>
  <c r="O72" i="190"/>
  <c r="EE6" i="129"/>
  <c r="EE1" i="129" s="1"/>
  <c r="M83" i="190"/>
  <c r="M71" i="190"/>
  <c r="M67" i="190"/>
  <c r="M69" i="190" s="1"/>
  <c r="S2" i="190" s="1"/>
  <c r="EV6" i="129"/>
  <c r="O81" i="190"/>
  <c r="O76" i="190"/>
  <c r="O78" i="190"/>
  <c r="O77" i="190"/>
  <c r="O74" i="190"/>
  <c r="O73" i="190"/>
  <c r="O80" i="190"/>
  <c r="O79" i="190"/>
  <c r="N70" i="191"/>
  <c r="N71" i="190"/>
  <c r="ES36" i="129" l="1"/>
  <c r="ES54" i="129"/>
  <c r="ES25" i="129"/>
  <c r="ES22" i="129"/>
  <c r="ES41" i="129"/>
  <c r="ES60" i="129"/>
  <c r="ES24" i="129"/>
  <c r="ES43" i="129"/>
  <c r="ES62" i="129"/>
  <c r="ES63" i="129"/>
  <c r="ES48" i="129"/>
  <c r="ES21" i="129"/>
  <c r="ES40" i="129"/>
  <c r="ES59" i="129"/>
  <c r="ES34" i="129"/>
  <c r="EN34" i="129" s="1"/>
  <c r="ES27" i="129"/>
  <c r="ES46" i="129"/>
  <c r="ES66" i="129"/>
  <c r="ES28" i="129"/>
  <c r="ES30" i="129"/>
  <c r="ES38" i="129"/>
  <c r="ES53" i="129"/>
  <c r="ES26" i="129"/>
  <c r="EN26" i="129" s="1"/>
  <c r="ES45" i="129"/>
  <c r="ES65" i="129"/>
  <c r="ES49" i="129"/>
  <c r="ES32" i="129"/>
  <c r="ES51" i="129"/>
  <c r="ES20" i="129"/>
  <c r="EN20" i="129" s="1"/>
  <c r="ES33" i="129"/>
  <c r="ES52" i="129"/>
  <c r="ES39" i="129"/>
  <c r="ES31" i="129"/>
  <c r="ES50" i="129"/>
  <c r="ES67" i="129"/>
  <c r="ES58" i="129"/>
  <c r="ES37" i="129"/>
  <c r="ES56" i="129"/>
  <c r="ES44" i="129"/>
  <c r="ES57" i="129"/>
  <c r="O71" i="190"/>
  <c r="EO20" i="129"/>
  <c r="EO22" i="129"/>
  <c r="M72" i="190"/>
  <c r="P5" i="131"/>
  <c r="P5" i="132" s="1"/>
  <c r="EQ56" i="129"/>
  <c r="EQ59" i="129"/>
  <c r="EQ40" i="129"/>
  <c r="EQ21" i="129"/>
  <c r="EQ58" i="129"/>
  <c r="EQ39" i="129"/>
  <c r="EQ20" i="129"/>
  <c r="EQ22" i="129"/>
  <c r="EQ57" i="129"/>
  <c r="EQ38" i="129"/>
  <c r="EQ44" i="129"/>
  <c r="EQ37" i="129"/>
  <c r="EQ24" i="129"/>
  <c r="EQ51" i="129"/>
  <c r="EQ54" i="129"/>
  <c r="EQ36" i="129"/>
  <c r="EQ60" i="129"/>
  <c r="EQ53" i="129"/>
  <c r="EQ34" i="129"/>
  <c r="EQ66" i="129"/>
  <c r="EQ63" i="129"/>
  <c r="EQ52" i="129"/>
  <c r="EQ33" i="129"/>
  <c r="EQ43" i="129"/>
  <c r="EQ32" i="129"/>
  <c r="EQ50" i="129"/>
  <c r="EQ31" i="129"/>
  <c r="EQ41" i="129"/>
  <c r="EQ49" i="129"/>
  <c r="EQ30" i="129"/>
  <c r="EQ46" i="129"/>
  <c r="EQ67" i="129"/>
  <c r="EQ48" i="129"/>
  <c r="EQ28" i="129"/>
  <c r="EQ65" i="129"/>
  <c r="EQ45" i="129"/>
  <c r="EQ26" i="129"/>
  <c r="EQ27" i="129"/>
  <c r="EQ25" i="129"/>
  <c r="EQ62" i="129"/>
  <c r="EO58" i="129"/>
  <c r="EO38" i="129"/>
  <c r="EO63" i="129"/>
  <c r="EO45" i="129"/>
  <c r="EO25" i="129"/>
  <c r="EO31" i="129"/>
  <c r="EO60" i="129"/>
  <c r="EO44" i="129"/>
  <c r="EO28" i="129"/>
  <c r="EO51" i="129"/>
  <c r="EN38" i="129"/>
  <c r="EN31" i="129"/>
  <c r="EO54" i="129"/>
  <c r="EO34" i="129"/>
  <c r="EO57" i="129"/>
  <c r="EO41" i="129"/>
  <c r="EO21" i="129"/>
  <c r="EO56" i="129"/>
  <c r="EO40" i="129"/>
  <c r="EO24" i="129"/>
  <c r="EO27" i="129"/>
  <c r="EO50" i="129"/>
  <c r="EO26" i="129"/>
  <c r="EO53" i="129"/>
  <c r="EO37" i="129"/>
  <c r="EO43" i="129"/>
  <c r="EO65" i="129"/>
  <c r="EO52" i="129"/>
  <c r="EO36" i="129"/>
  <c r="EO30" i="129"/>
  <c r="EO67" i="129"/>
  <c r="EO46" i="129"/>
  <c r="EO66" i="129"/>
  <c r="EO49" i="129"/>
  <c r="EO33" i="129"/>
  <c r="EO39" i="129"/>
  <c r="EO62" i="129"/>
  <c r="EO48" i="129"/>
  <c r="EO32" i="129"/>
  <c r="EO59" i="129"/>
  <c r="Q38" i="131" l="1"/>
  <c r="Q49" i="131"/>
  <c r="Q49" i="132" s="1"/>
  <c r="Q23" i="131"/>
  <c r="Q23" i="132" s="1"/>
  <c r="Q58" i="131"/>
  <c r="Q58" i="132" s="1"/>
  <c r="Q52" i="131"/>
  <c r="Q52" i="132" s="1"/>
  <c r="Q51" i="131"/>
  <c r="Q51" i="132" s="1"/>
  <c r="Q42" i="131"/>
  <c r="Q42" i="132" s="1"/>
  <c r="Q50" i="131"/>
  <c r="Q50" i="132" s="1"/>
  <c r="Q25" i="131"/>
  <c r="Q25" i="132" s="1"/>
  <c r="Q29" i="131"/>
  <c r="Q29" i="132" s="1"/>
  <c r="Q33" i="131"/>
  <c r="Q33" i="132" s="1"/>
  <c r="Q32" i="131"/>
  <c r="Q32" i="132" s="1"/>
  <c r="Q30" i="131"/>
  <c r="Q30" i="132" s="1"/>
  <c r="FM57" i="129"/>
  <c r="FM58" i="129"/>
  <c r="ES35" i="129"/>
  <c r="FM39" i="129"/>
  <c r="ES47" i="129"/>
  <c r="FM51" i="129"/>
  <c r="FM45" i="129"/>
  <c r="ES29" i="129"/>
  <c r="FM30" i="129"/>
  <c r="ES23" i="129"/>
  <c r="FM27" i="129"/>
  <c r="FM21" i="129"/>
  <c r="ES42" i="129"/>
  <c r="FM43" i="129"/>
  <c r="FM22" i="129"/>
  <c r="FM44" i="129"/>
  <c r="FM67" i="129"/>
  <c r="FM52" i="129"/>
  <c r="FM32" i="129"/>
  <c r="FM26" i="129"/>
  <c r="FM28" i="129"/>
  <c r="FM34" i="129"/>
  <c r="FM48" i="129"/>
  <c r="FM24" i="129"/>
  <c r="FM25" i="129"/>
  <c r="FM56" i="129"/>
  <c r="FM50" i="129"/>
  <c r="FM33" i="129"/>
  <c r="FM49" i="129"/>
  <c r="FM53" i="129"/>
  <c r="FM66" i="129"/>
  <c r="ES55" i="129"/>
  <c r="FM59" i="129"/>
  <c r="FM63" i="129"/>
  <c r="FM60" i="129"/>
  <c r="FM54" i="129"/>
  <c r="FM37" i="129"/>
  <c r="FM31" i="129"/>
  <c r="FM20" i="129"/>
  <c r="ES19" i="129"/>
  <c r="ES64" i="129"/>
  <c r="ES16" i="129" s="1"/>
  <c r="FM65" i="129"/>
  <c r="FM38" i="129"/>
  <c r="FM46" i="129"/>
  <c r="FM40" i="129"/>
  <c r="ES61" i="129"/>
  <c r="FM62" i="129"/>
  <c r="FM41" i="129"/>
  <c r="FM36" i="129"/>
  <c r="Q43" i="131"/>
  <c r="Q43" i="132" s="1"/>
  <c r="Q65" i="131"/>
  <c r="Q65" i="132" s="1"/>
  <c r="Q40" i="131"/>
  <c r="Q40" i="132" s="1"/>
  <c r="Q66" i="131"/>
  <c r="Q66" i="132" s="1"/>
  <c r="Q35" i="131"/>
  <c r="Q35" i="132" s="1"/>
  <c r="Q36" i="131"/>
  <c r="Q36" i="132" s="1"/>
  <c r="Q55" i="131"/>
  <c r="Q55" i="132" s="1"/>
  <c r="Q31" i="131"/>
  <c r="Q31" i="132" s="1"/>
  <c r="Q47" i="131"/>
  <c r="Q47" i="132" s="1"/>
  <c r="Q48" i="131"/>
  <c r="Q48" i="132" s="1"/>
  <c r="Q53" i="131"/>
  <c r="Q53" i="132" s="1"/>
  <c r="Q57" i="131"/>
  <c r="Q57" i="132" s="1"/>
  <c r="Q45" i="131"/>
  <c r="Q45" i="132" s="1"/>
  <c r="Q39" i="131"/>
  <c r="Q39" i="132" s="1"/>
  <c r="Q59" i="131"/>
  <c r="Q59" i="132" s="1"/>
  <c r="Q44" i="131"/>
  <c r="Q44" i="132" s="1"/>
  <c r="Q37" i="131"/>
  <c r="Q37" i="132" s="1"/>
  <c r="Q26" i="131"/>
  <c r="Q26" i="132" s="1"/>
  <c r="Q20" i="131"/>
  <c r="Q20" i="132" s="1"/>
  <c r="Q27" i="131"/>
  <c r="Q27" i="132" s="1"/>
  <c r="Q24" i="131"/>
  <c r="Q24" i="132" s="1"/>
  <c r="Q21" i="131"/>
  <c r="Q21" i="132" s="1"/>
  <c r="EO61" i="129"/>
  <c r="EO15" i="129" s="1"/>
  <c r="Q61" i="131"/>
  <c r="Q61" i="132" s="1"/>
  <c r="Q64" i="131"/>
  <c r="Q64" i="132" s="1"/>
  <c r="Q19" i="131"/>
  <c r="Q19" i="132" s="1"/>
  <c r="Q56" i="131"/>
  <c r="Q56" i="132" s="1"/>
  <c r="Q62" i="131"/>
  <c r="Q62" i="132" s="1"/>
  <c r="EN65" i="129"/>
  <c r="EN40" i="129"/>
  <c r="EN22" i="129"/>
  <c r="EN53" i="129"/>
  <c r="EN45" i="129"/>
  <c r="EN49" i="129"/>
  <c r="EN32" i="129"/>
  <c r="EN39" i="129"/>
  <c r="EN33" i="129"/>
  <c r="EN67" i="129"/>
  <c r="EN59" i="129"/>
  <c r="EN50" i="129"/>
  <c r="EN27" i="129"/>
  <c r="EN21" i="129"/>
  <c r="EN54" i="129"/>
  <c r="EN25" i="129"/>
  <c r="EN58" i="129"/>
  <c r="EN28" i="129"/>
  <c r="EN37" i="129"/>
  <c r="EN41" i="129"/>
  <c r="EN60" i="129"/>
  <c r="EN66" i="129"/>
  <c r="EN57" i="129"/>
  <c r="EN63" i="129"/>
  <c r="EN51" i="129"/>
  <c r="EN46" i="129"/>
  <c r="EN52" i="129"/>
  <c r="EN62" i="129"/>
  <c r="EQ61" i="129"/>
  <c r="EO29" i="129"/>
  <c r="EO19" i="129"/>
  <c r="EQ19" i="129"/>
  <c r="EQ8" i="129" s="1"/>
  <c r="EO23" i="129"/>
  <c r="EQ29" i="129"/>
  <c r="EO47" i="129"/>
  <c r="EO55" i="129"/>
  <c r="EQ42" i="129"/>
  <c r="EQ64" i="129"/>
  <c r="EO64" i="129"/>
  <c r="EQ47" i="129"/>
  <c r="EQ13" i="129" s="1"/>
  <c r="EO35" i="129"/>
  <c r="EQ23" i="129"/>
  <c r="EQ9" i="129" s="1"/>
  <c r="EQ55" i="129"/>
  <c r="EQ14" i="129" s="1"/>
  <c r="EQ35" i="129"/>
  <c r="EO42" i="129"/>
  <c r="EN44" i="129"/>
  <c r="Q38" i="132"/>
  <c r="EN24" i="129"/>
  <c r="EN30" i="129"/>
  <c r="EN36" i="129"/>
  <c r="EN43" i="129"/>
  <c r="EN48" i="129"/>
  <c r="EN56" i="129"/>
  <c r="O115" i="212" l="1"/>
  <c r="O115" i="213"/>
  <c r="O85" i="212"/>
  <c r="O85" i="213"/>
  <c r="O116" i="212"/>
  <c r="O116" i="213"/>
  <c r="O118" i="212"/>
  <c r="O118" i="213"/>
  <c r="O126" i="212"/>
  <c r="O126" i="213"/>
  <c r="O105" i="212"/>
  <c r="O105" i="213"/>
  <c r="O89" i="212"/>
  <c r="O89" i="213"/>
  <c r="O114" i="212"/>
  <c r="O114" i="213"/>
  <c r="O101" i="212"/>
  <c r="O101" i="213"/>
  <c r="O122" i="212"/>
  <c r="O122" i="213"/>
  <c r="O97" i="212"/>
  <c r="O97" i="213"/>
  <c r="O124" i="212"/>
  <c r="O124" i="213"/>
  <c r="O127" i="212"/>
  <c r="O127" i="213"/>
  <c r="O121" i="212"/>
  <c r="O121" i="213"/>
  <c r="O123" i="212"/>
  <c r="O123" i="213"/>
  <c r="O92" i="212"/>
  <c r="O92" i="213"/>
  <c r="O130" i="212"/>
  <c r="O130" i="213"/>
  <c r="O131" i="212"/>
  <c r="O131" i="213"/>
  <c r="O103" i="212"/>
  <c r="O103" i="213"/>
  <c r="O91" i="212"/>
  <c r="O91" i="213"/>
  <c r="O110" i="212"/>
  <c r="O110" i="213"/>
  <c r="O122" i="211"/>
  <c r="O92" i="211"/>
  <c r="O91" i="211"/>
  <c r="O124" i="211"/>
  <c r="O115" i="211"/>
  <c r="O131" i="211"/>
  <c r="O85" i="211"/>
  <c r="O116" i="211"/>
  <c r="O118" i="211"/>
  <c r="O126" i="211"/>
  <c r="O121" i="211"/>
  <c r="O130" i="211"/>
  <c r="O103" i="211"/>
  <c r="O110" i="211"/>
  <c r="O105" i="211"/>
  <c r="O127" i="211"/>
  <c r="O89" i="211"/>
  <c r="O114" i="211"/>
  <c r="O101" i="211"/>
  <c r="O97" i="211"/>
  <c r="O123" i="211"/>
  <c r="GH41" i="129"/>
  <c r="FX41" i="129"/>
  <c r="GH53" i="129"/>
  <c r="FX53" i="129"/>
  <c r="GH33" i="129"/>
  <c r="FX33" i="129"/>
  <c r="FX56" i="129"/>
  <c r="GH56" i="129"/>
  <c r="FX24" i="129"/>
  <c r="GH24" i="129"/>
  <c r="GH34" i="129"/>
  <c r="FX34" i="129"/>
  <c r="GH26" i="129"/>
  <c r="FX26" i="129"/>
  <c r="FX52" i="129"/>
  <c r="GH52" i="129"/>
  <c r="GH44" i="129"/>
  <c r="FX44" i="129"/>
  <c r="FX43" i="129"/>
  <c r="GH43" i="129"/>
  <c r="FX30" i="129"/>
  <c r="GH30" i="129"/>
  <c r="FX39" i="129"/>
  <c r="GH39" i="129"/>
  <c r="FX40" i="129"/>
  <c r="GH40" i="129"/>
  <c r="GH38" i="129"/>
  <c r="FX38" i="129"/>
  <c r="FX31" i="129"/>
  <c r="GH31" i="129"/>
  <c r="GH54" i="129"/>
  <c r="FX54" i="129"/>
  <c r="FX63" i="129"/>
  <c r="GH63" i="129"/>
  <c r="FX27" i="129"/>
  <c r="GH27" i="129"/>
  <c r="FX51" i="129"/>
  <c r="GH51" i="129"/>
  <c r="GH57" i="129"/>
  <c r="FX57" i="129"/>
  <c r="FX36" i="129"/>
  <c r="GH36" i="129"/>
  <c r="GH62" i="129"/>
  <c r="FX62" i="129"/>
  <c r="GH66" i="129"/>
  <c r="FX66" i="129"/>
  <c r="GH49" i="129"/>
  <c r="FX49" i="129"/>
  <c r="GH50" i="129"/>
  <c r="FX50" i="129"/>
  <c r="GH25" i="129"/>
  <c r="FX25" i="129"/>
  <c r="FX48" i="129"/>
  <c r="GH48" i="129"/>
  <c r="FX28" i="129"/>
  <c r="GH28" i="129"/>
  <c r="FX32" i="129"/>
  <c r="GH32" i="129"/>
  <c r="FX67" i="129"/>
  <c r="GH67" i="129"/>
  <c r="GH22" i="129"/>
  <c r="FX22" i="129"/>
  <c r="GH46" i="129"/>
  <c r="FX46" i="129"/>
  <c r="GH65" i="129"/>
  <c r="FX65" i="129"/>
  <c r="FX20" i="129"/>
  <c r="GH20" i="129"/>
  <c r="GH37" i="129"/>
  <c r="FX37" i="129"/>
  <c r="FX60" i="129"/>
  <c r="GH60" i="129"/>
  <c r="FX59" i="129"/>
  <c r="GH59" i="129"/>
  <c r="GH21" i="129"/>
  <c r="FX21" i="129"/>
  <c r="GH45" i="129"/>
  <c r="FX45" i="129"/>
  <c r="FX58" i="129"/>
  <c r="GH58" i="129"/>
  <c r="M129" i="191"/>
  <c r="Q41" i="131"/>
  <c r="Q41" i="132" s="1"/>
  <c r="EO11" i="129"/>
  <c r="Q34" i="131"/>
  <c r="Q34" i="132" s="1"/>
  <c r="Q28" i="131"/>
  <c r="Q28" i="132" s="1"/>
  <c r="Q60" i="131"/>
  <c r="Q60" i="132" s="1"/>
  <c r="Q22" i="131"/>
  <c r="Q22" i="132" s="1"/>
  <c r="Q63" i="131"/>
  <c r="Q63" i="132" s="1"/>
  <c r="Q54" i="131"/>
  <c r="Q54" i="132" s="1"/>
  <c r="Q46" i="131"/>
  <c r="Q46" i="132" s="1"/>
  <c r="Q18" i="131"/>
  <c r="Q18" i="132" s="1"/>
  <c r="M117" i="191"/>
  <c r="M85" i="191"/>
  <c r="M123" i="191"/>
  <c r="M108" i="191"/>
  <c r="M84" i="191"/>
  <c r="EO8" i="129"/>
  <c r="EN64" i="129"/>
  <c r="EN16" i="129" s="1"/>
  <c r="ES14" i="129"/>
  <c r="ES10" i="129"/>
  <c r="ES15" i="129"/>
  <c r="M96" i="191"/>
  <c r="M97" i="191"/>
  <c r="M121" i="191"/>
  <c r="EN19" i="129"/>
  <c r="EN8" i="129" s="1"/>
  <c r="EN29" i="129"/>
  <c r="EN10" i="129" s="1"/>
  <c r="EO9" i="129"/>
  <c r="M100" i="191"/>
  <c r="M122" i="191"/>
  <c r="ES8" i="129"/>
  <c r="M89" i="191"/>
  <c r="ES9" i="129"/>
  <c r="M131" i="191"/>
  <c r="M127" i="191"/>
  <c r="EQ15" i="129"/>
  <c r="Q14" i="131" s="1"/>
  <c r="Q14" i="132" s="1"/>
  <c r="M101" i="191"/>
  <c r="M116" i="191"/>
  <c r="ES12" i="129"/>
  <c r="M113" i="191"/>
  <c r="EN35" i="129"/>
  <c r="EN11" i="129" s="1"/>
  <c r="M92" i="191"/>
  <c r="M120" i="191"/>
  <c r="M91" i="191"/>
  <c r="M88" i="191"/>
  <c r="EN61" i="129"/>
  <c r="EN15" i="129" s="1"/>
  <c r="M110" i="191"/>
  <c r="M107" i="191"/>
  <c r="M103" i="191"/>
  <c r="EN55" i="129"/>
  <c r="EN14" i="129" s="1"/>
  <c r="EN23" i="129"/>
  <c r="EN9" i="129" s="1"/>
  <c r="EN47" i="129"/>
  <c r="EN13" i="129" s="1"/>
  <c r="M86" i="191"/>
  <c r="M104" i="191"/>
  <c r="M105" i="191"/>
  <c r="M124" i="191"/>
  <c r="M102" i="191"/>
  <c r="EN42" i="129"/>
  <c r="EN12" i="129" s="1"/>
  <c r="M118" i="191"/>
  <c r="ES11" i="129"/>
  <c r="O126" i="191"/>
  <c r="O124" i="191"/>
  <c r="O105" i="191"/>
  <c r="O122" i="191"/>
  <c r="O85" i="191"/>
  <c r="O114" i="191"/>
  <c r="O97" i="191"/>
  <c r="O110" i="191"/>
  <c r="O127" i="191"/>
  <c r="O121" i="191"/>
  <c r="O116" i="191"/>
  <c r="O130" i="191"/>
  <c r="O101" i="191"/>
  <c r="O92" i="191"/>
  <c r="O89" i="191"/>
  <c r="O118" i="191"/>
  <c r="O91" i="191"/>
  <c r="O123" i="191"/>
  <c r="O131" i="191"/>
  <c r="O103" i="191"/>
  <c r="ES13" i="129"/>
  <c r="O115" i="191"/>
  <c r="EQ12" i="129"/>
  <c r="EQ10" i="129"/>
  <c r="EQ11" i="129"/>
  <c r="EQ16" i="129"/>
  <c r="M115" i="191"/>
  <c r="M126" i="191"/>
  <c r="M98" i="191"/>
  <c r="M90" i="191"/>
  <c r="M112" i="191"/>
  <c r="M109" i="191"/>
  <c r="M130" i="191"/>
  <c r="EO13" i="129"/>
  <c r="M114" i="191"/>
  <c r="M94" i="191"/>
  <c r="EO16" i="129"/>
  <c r="EO14" i="129"/>
  <c r="EO10" i="129"/>
  <c r="EO12" i="129"/>
  <c r="M95" i="191"/>
  <c r="FZ10" i="129"/>
  <c r="FZ11" i="129"/>
  <c r="FZ16" i="129"/>
  <c r="FZ13" i="129"/>
  <c r="FZ15" i="129"/>
  <c r="FZ12" i="129"/>
  <c r="FZ14" i="129"/>
  <c r="FZ9" i="129"/>
  <c r="L130" i="191"/>
  <c r="R64" i="191"/>
  <c r="R30" i="191"/>
  <c r="R28" i="191"/>
  <c r="L108" i="191"/>
  <c r="R42" i="191"/>
  <c r="L97" i="191"/>
  <c r="L117" i="191"/>
  <c r="R51" i="191"/>
  <c r="O111" i="212" l="1"/>
  <c r="O111" i="213"/>
  <c r="O109" i="212"/>
  <c r="O109" i="213"/>
  <c r="O90" i="212"/>
  <c r="O90" i="213"/>
  <c r="O94" i="212"/>
  <c r="O94" i="213"/>
  <c r="O95" i="212"/>
  <c r="O95" i="213"/>
  <c r="O129" i="212"/>
  <c r="O129" i="213"/>
  <c r="O120" i="212"/>
  <c r="O120" i="213"/>
  <c r="O108" i="212"/>
  <c r="O108" i="213"/>
  <c r="O98" i="212"/>
  <c r="O98" i="213"/>
  <c r="O125" i="212"/>
  <c r="O125" i="213"/>
  <c r="O117" i="212"/>
  <c r="O117" i="213"/>
  <c r="O104" i="212"/>
  <c r="O104" i="213"/>
  <c r="O113" i="212"/>
  <c r="O113" i="213"/>
  <c r="O107" i="212"/>
  <c r="O107" i="213"/>
  <c r="O96" i="212"/>
  <c r="O96" i="213"/>
  <c r="O102" i="212"/>
  <c r="O102" i="213"/>
  <c r="O84" i="212"/>
  <c r="O84" i="213"/>
  <c r="O88" i="212"/>
  <c r="O88" i="213"/>
  <c r="O86" i="212"/>
  <c r="O86" i="213"/>
  <c r="O100" i="212"/>
  <c r="O100" i="213"/>
  <c r="O112" i="212"/>
  <c r="O112" i="213"/>
  <c r="GB25" i="129"/>
  <c r="HB25" i="129"/>
  <c r="GV25" i="129" s="1"/>
  <c r="GB59" i="129"/>
  <c r="HB59" i="129"/>
  <c r="GV59" i="129" s="1"/>
  <c r="GB32" i="129"/>
  <c r="HB32" i="129"/>
  <c r="GV32" i="129" s="1"/>
  <c r="GB36" i="129"/>
  <c r="HB36" i="129"/>
  <c r="GV36" i="129" s="1"/>
  <c r="GB63" i="129"/>
  <c r="HB63" i="129"/>
  <c r="GV63" i="129" s="1"/>
  <c r="GB40" i="129"/>
  <c r="HB40" i="129"/>
  <c r="GV40" i="129" s="1"/>
  <c r="GB24" i="129"/>
  <c r="HB24" i="129"/>
  <c r="GV24" i="129" s="1"/>
  <c r="GB65" i="129"/>
  <c r="HB65" i="129"/>
  <c r="GV65" i="129" s="1"/>
  <c r="GB50" i="129"/>
  <c r="HB50" i="129"/>
  <c r="GV50" i="129" s="1"/>
  <c r="GB44" i="129"/>
  <c r="HB44" i="129"/>
  <c r="GV44" i="129" s="1"/>
  <c r="GB41" i="129"/>
  <c r="HB41" i="129"/>
  <c r="GV41" i="129" s="1"/>
  <c r="GB58" i="129"/>
  <c r="HB58" i="129"/>
  <c r="GV58" i="129" s="1"/>
  <c r="GB56" i="129"/>
  <c r="HB56" i="129"/>
  <c r="GV56" i="129" s="1"/>
  <c r="GB46" i="129"/>
  <c r="HB46" i="129"/>
  <c r="GV46" i="129" s="1"/>
  <c r="GB49" i="129"/>
  <c r="HB49" i="129"/>
  <c r="GV49" i="129" s="1"/>
  <c r="GB57" i="129"/>
  <c r="HB57" i="129"/>
  <c r="GV57" i="129" s="1"/>
  <c r="GB54" i="129"/>
  <c r="HB54" i="129"/>
  <c r="GV54" i="129" s="1"/>
  <c r="GB62" i="129"/>
  <c r="HB62" i="129"/>
  <c r="GV62" i="129" s="1"/>
  <c r="GB53" i="129"/>
  <c r="HB53" i="129"/>
  <c r="GV53" i="129" s="1"/>
  <c r="GB48" i="129"/>
  <c r="HB48" i="129"/>
  <c r="GV48" i="129" s="1"/>
  <c r="GB51" i="129"/>
  <c r="HB51" i="129"/>
  <c r="GV51" i="129" s="1"/>
  <c r="GB31" i="129"/>
  <c r="HB31" i="129"/>
  <c r="GV31" i="129" s="1"/>
  <c r="GB30" i="129"/>
  <c r="HB30" i="129"/>
  <c r="GV30" i="129" s="1"/>
  <c r="GB28" i="129"/>
  <c r="HB28" i="129"/>
  <c r="GV28" i="129" s="1"/>
  <c r="GB39" i="129"/>
  <c r="HB39" i="129"/>
  <c r="GV39" i="129" s="1"/>
  <c r="GB52" i="129"/>
  <c r="HB52" i="129"/>
  <c r="GV52" i="129" s="1"/>
  <c r="GB45" i="129"/>
  <c r="HB45" i="129"/>
  <c r="GV45" i="129" s="1"/>
  <c r="GB37" i="129"/>
  <c r="HB37" i="129"/>
  <c r="GV37" i="129" s="1"/>
  <c r="GB22" i="129"/>
  <c r="HB22" i="129"/>
  <c r="GV22" i="129" s="1"/>
  <c r="GB66" i="129"/>
  <c r="HB66" i="129"/>
  <c r="GV66" i="129" s="1"/>
  <c r="GB26" i="129"/>
  <c r="HB26" i="129"/>
  <c r="GV26" i="129" s="1"/>
  <c r="GB33" i="129"/>
  <c r="HB33" i="129"/>
  <c r="GV33" i="129" s="1"/>
  <c r="GB21" i="129"/>
  <c r="HB21" i="129"/>
  <c r="GV21" i="129" s="1"/>
  <c r="GB38" i="129"/>
  <c r="HB38" i="129"/>
  <c r="GV38" i="129" s="1"/>
  <c r="GB34" i="129"/>
  <c r="HB34" i="129"/>
  <c r="GV34" i="129" s="1"/>
  <c r="GB60" i="129"/>
  <c r="HB60" i="129"/>
  <c r="GV60" i="129" s="1"/>
  <c r="GB20" i="129"/>
  <c r="HB20" i="129"/>
  <c r="GV20" i="129" s="1"/>
  <c r="GB67" i="129"/>
  <c r="HB67" i="129"/>
  <c r="GV67" i="129" s="1"/>
  <c r="GB27" i="129"/>
  <c r="HB27" i="129"/>
  <c r="GV27" i="129" s="1"/>
  <c r="GB43" i="129"/>
  <c r="HB43" i="129"/>
  <c r="GV43" i="129" s="1"/>
  <c r="O90" i="211"/>
  <c r="O98" i="211"/>
  <c r="O125" i="211"/>
  <c r="O102" i="211"/>
  <c r="O86" i="211"/>
  <c r="O100" i="211"/>
  <c r="O112" i="211"/>
  <c r="O109" i="211"/>
  <c r="O95" i="211"/>
  <c r="O117" i="211"/>
  <c r="O96" i="211"/>
  <c r="O113" i="211"/>
  <c r="O84" i="211"/>
  <c r="O120" i="211"/>
  <c r="O129" i="211"/>
  <c r="O108" i="211"/>
  <c r="O104" i="211"/>
  <c r="O107" i="211"/>
  <c r="O111" i="211"/>
  <c r="O88" i="211"/>
  <c r="O94" i="211"/>
  <c r="GR21" i="129"/>
  <c r="FR21" i="129"/>
  <c r="GR46" i="129"/>
  <c r="FR46" i="129"/>
  <c r="GR25" i="129"/>
  <c r="FR25" i="129"/>
  <c r="GR49" i="129"/>
  <c r="FR49" i="129"/>
  <c r="GR62" i="129"/>
  <c r="FR62" i="129"/>
  <c r="GR57" i="129"/>
  <c r="FR57" i="129"/>
  <c r="GR54" i="129"/>
  <c r="FR54" i="129"/>
  <c r="GR38" i="129"/>
  <c r="FR38" i="129"/>
  <c r="GR34" i="129"/>
  <c r="FR34" i="129"/>
  <c r="GR53" i="129"/>
  <c r="FR53" i="129"/>
  <c r="GR58" i="129"/>
  <c r="FR58" i="129"/>
  <c r="GR60" i="129"/>
  <c r="FR60" i="129"/>
  <c r="GR20" i="129"/>
  <c r="FR20" i="129"/>
  <c r="GR67" i="129"/>
  <c r="FR67" i="129"/>
  <c r="GR28" i="129"/>
  <c r="FR28" i="129"/>
  <c r="GR27" i="129"/>
  <c r="FR27" i="129"/>
  <c r="GR39" i="129"/>
  <c r="FR39" i="129"/>
  <c r="GR43" i="129"/>
  <c r="FR43" i="129"/>
  <c r="GR52" i="129"/>
  <c r="FR52" i="129"/>
  <c r="GR56" i="129"/>
  <c r="FR56" i="129"/>
  <c r="GR45" i="129"/>
  <c r="FR45" i="129"/>
  <c r="GR37" i="129"/>
  <c r="FR37" i="129"/>
  <c r="GR65" i="129"/>
  <c r="FR65" i="129"/>
  <c r="GR22" i="129"/>
  <c r="FR22" i="129"/>
  <c r="GR50" i="129"/>
  <c r="FR50" i="129"/>
  <c r="GR66" i="129"/>
  <c r="FR66" i="129"/>
  <c r="GR44" i="129"/>
  <c r="FR44" i="129"/>
  <c r="GR26" i="129"/>
  <c r="FR26" i="129"/>
  <c r="GR33" i="129"/>
  <c r="FR33" i="129"/>
  <c r="GR41" i="129"/>
  <c r="FR41" i="129"/>
  <c r="GR59" i="129"/>
  <c r="FR59" i="129"/>
  <c r="GR32" i="129"/>
  <c r="FR32" i="129"/>
  <c r="GR48" i="129"/>
  <c r="FR48" i="129"/>
  <c r="GR36" i="129"/>
  <c r="FR36" i="129"/>
  <c r="GR51" i="129"/>
  <c r="FR51" i="129"/>
  <c r="GR63" i="129"/>
  <c r="FR63" i="129"/>
  <c r="GR31" i="129"/>
  <c r="FR31" i="129"/>
  <c r="GR40" i="129"/>
  <c r="FR40" i="129"/>
  <c r="GR30" i="129"/>
  <c r="FR30" i="129"/>
  <c r="GR24" i="129"/>
  <c r="FR24" i="129"/>
  <c r="M125" i="191"/>
  <c r="O100" i="191"/>
  <c r="O113" i="191"/>
  <c r="O102" i="191"/>
  <c r="O84" i="191"/>
  <c r="O120" i="191"/>
  <c r="O108" i="191"/>
  <c r="O88" i="191"/>
  <c r="O104" i="191"/>
  <c r="O117" i="191"/>
  <c r="O125" i="191"/>
  <c r="O86" i="191"/>
  <c r="O98" i="191"/>
  <c r="O129" i="191"/>
  <c r="O112" i="191"/>
  <c r="O90" i="191"/>
  <c r="O109" i="191"/>
  <c r="O96" i="191"/>
  <c r="O83" i="213"/>
  <c r="FM35" i="129"/>
  <c r="FC11" i="129"/>
  <c r="FM42" i="129"/>
  <c r="FC12" i="129"/>
  <c r="FM64" i="129"/>
  <c r="FC16" i="129"/>
  <c r="O95" i="191"/>
  <c r="FM61" i="129"/>
  <c r="FC15" i="129"/>
  <c r="FM23" i="129"/>
  <c r="FC9" i="129"/>
  <c r="ES18" i="129"/>
  <c r="EN18" i="129" s="1"/>
  <c r="EN7" i="129" s="1"/>
  <c r="EN6" i="129" s="1"/>
  <c r="O107" i="191"/>
  <c r="FM29" i="129"/>
  <c r="FC10" i="129"/>
  <c r="FM55" i="129"/>
  <c r="FC14" i="129"/>
  <c r="O94" i="191"/>
  <c r="FM47" i="129"/>
  <c r="FC13" i="129"/>
  <c r="FM19" i="129"/>
  <c r="FC8" i="129"/>
  <c r="Q15" i="131"/>
  <c r="Q15" i="132" s="1"/>
  <c r="Q7" i="131"/>
  <c r="Q7" i="132" s="1"/>
  <c r="Q11" i="131"/>
  <c r="Q11" i="132" s="1"/>
  <c r="Q9" i="131"/>
  <c r="Q9" i="132" s="1"/>
  <c r="Q8" i="131"/>
  <c r="Q8" i="132" s="1"/>
  <c r="Q13" i="131"/>
  <c r="Q13" i="132" s="1"/>
  <c r="Q12" i="131"/>
  <c r="Q12" i="132" s="1"/>
  <c r="Q10" i="131"/>
  <c r="Q10" i="132" s="1"/>
  <c r="L96" i="191"/>
  <c r="R43" i="191"/>
  <c r="S43" i="191" s="1"/>
  <c r="R48" i="191"/>
  <c r="S48" i="191" s="1"/>
  <c r="R31" i="191"/>
  <c r="S31" i="191" s="1"/>
  <c r="L94" i="191"/>
  <c r="L109" i="191"/>
  <c r="L114" i="191"/>
  <c r="L92" i="191"/>
  <c r="L118" i="191"/>
  <c r="L115" i="191"/>
  <c r="L89" i="191"/>
  <c r="L85" i="191"/>
  <c r="R24" i="191"/>
  <c r="S24" i="191" s="1"/>
  <c r="L124" i="191"/>
  <c r="M106" i="191"/>
  <c r="L112" i="191"/>
  <c r="R20" i="191"/>
  <c r="S20" i="191" s="1"/>
  <c r="L98" i="191"/>
  <c r="L129" i="191"/>
  <c r="R19" i="191"/>
  <c r="S19" i="191" s="1"/>
  <c r="R61" i="191"/>
  <c r="S61" i="191" s="1"/>
  <c r="R60" i="191"/>
  <c r="S60" i="191" s="1"/>
  <c r="L126" i="191"/>
  <c r="R32" i="191"/>
  <c r="S32" i="191" s="1"/>
  <c r="L84" i="191"/>
  <c r="S18" i="191"/>
  <c r="L104" i="191"/>
  <c r="L131" i="191"/>
  <c r="R65" i="191"/>
  <c r="S65" i="191" s="1"/>
  <c r="L105" i="191"/>
  <c r="R46" i="191"/>
  <c r="L90" i="191"/>
  <c r="L100" i="191"/>
  <c r="R34" i="191"/>
  <c r="S34" i="191" s="1"/>
  <c r="R23" i="191"/>
  <c r="R49" i="191"/>
  <c r="Q25" i="158"/>
  <c r="R44" i="191"/>
  <c r="S44" i="191" s="1"/>
  <c r="L86" i="191"/>
  <c r="Q48" i="191"/>
  <c r="C127" i="191"/>
  <c r="Q18" i="191"/>
  <c r="R63" i="191"/>
  <c r="S63" i="191" s="1"/>
  <c r="L127" i="191"/>
  <c r="Q31" i="158"/>
  <c r="L110" i="191"/>
  <c r="L95" i="191"/>
  <c r="R29" i="191"/>
  <c r="S29" i="191" s="1"/>
  <c r="R57" i="191"/>
  <c r="S57" i="191" s="1"/>
  <c r="C109" i="191"/>
  <c r="M83" i="191"/>
  <c r="R25" i="191"/>
  <c r="R54" i="191"/>
  <c r="S54" i="191" s="1"/>
  <c r="L120" i="191"/>
  <c r="L91" i="191"/>
  <c r="Q32" i="191"/>
  <c r="M87" i="191"/>
  <c r="R52" i="191"/>
  <c r="S42" i="191"/>
  <c r="C108" i="191"/>
  <c r="Q22" i="158"/>
  <c r="Q44" i="158"/>
  <c r="Q42" i="191"/>
  <c r="M99" i="191"/>
  <c r="Q38" i="158"/>
  <c r="R22" i="191"/>
  <c r="S22" i="191" s="1"/>
  <c r="Q52" i="158"/>
  <c r="C95" i="191"/>
  <c r="L88" i="191"/>
  <c r="Q32" i="158"/>
  <c r="R50" i="191"/>
  <c r="Q67" i="158"/>
  <c r="L116" i="191"/>
  <c r="Q29" i="191"/>
  <c r="Q60" i="191"/>
  <c r="Q63" i="191"/>
  <c r="C91" i="191"/>
  <c r="Q19" i="191"/>
  <c r="L107" i="191"/>
  <c r="Q43" i="158"/>
  <c r="Q38" i="191"/>
  <c r="Q40" i="158"/>
  <c r="C104" i="191"/>
  <c r="C97" i="191"/>
  <c r="C105" i="191"/>
  <c r="R39" i="191"/>
  <c r="R38" i="191"/>
  <c r="S38" i="191" s="1"/>
  <c r="Q51" i="191"/>
  <c r="Q43" i="191"/>
  <c r="C102" i="191"/>
  <c r="M119" i="191"/>
  <c r="L102" i="191"/>
  <c r="Q45" i="158"/>
  <c r="C131" i="191"/>
  <c r="S51" i="191"/>
  <c r="R41" i="191"/>
  <c r="S41" i="191" s="1"/>
  <c r="Q34" i="158"/>
  <c r="Q65" i="191"/>
  <c r="C98" i="191"/>
  <c r="M128" i="191"/>
  <c r="Q33" i="158"/>
  <c r="Q59" i="158"/>
  <c r="C123" i="191"/>
  <c r="Q57" i="191"/>
  <c r="R26" i="191"/>
  <c r="R36" i="191"/>
  <c r="S36" i="191" s="1"/>
  <c r="Q30" i="158"/>
  <c r="L123" i="191"/>
  <c r="Q64" i="191"/>
  <c r="Q39" i="158"/>
  <c r="R47" i="191"/>
  <c r="S28" i="191"/>
  <c r="L113" i="191"/>
  <c r="L103" i="191"/>
  <c r="Q28" i="191"/>
  <c r="Q30" i="191"/>
  <c r="M93" i="191"/>
  <c r="Q46" i="158"/>
  <c r="Q26" i="158"/>
  <c r="Q44" i="191"/>
  <c r="Q56" i="158"/>
  <c r="Q24" i="191"/>
  <c r="C110" i="191"/>
  <c r="C120" i="191"/>
  <c r="C90" i="191"/>
  <c r="Q54" i="191"/>
  <c r="S30" i="191"/>
  <c r="R37" i="191"/>
  <c r="S37" i="191" s="1"/>
  <c r="C94" i="191"/>
  <c r="C96" i="191"/>
  <c r="Q36" i="191"/>
  <c r="S64" i="191"/>
  <c r="Q53" i="158"/>
  <c r="C85" i="191"/>
  <c r="Q20" i="158"/>
  <c r="C88" i="191"/>
  <c r="C129" i="191"/>
  <c r="Q61" i="191"/>
  <c r="Q20" i="191"/>
  <c r="C107" i="191"/>
  <c r="Q34" i="191"/>
  <c r="C114" i="191"/>
  <c r="C126" i="191"/>
  <c r="C117" i="191"/>
  <c r="C84" i="191"/>
  <c r="Q24" i="158"/>
  <c r="C103" i="191"/>
  <c r="Q66" i="158"/>
  <c r="Q52" i="191"/>
  <c r="Q51" i="158"/>
  <c r="Q36" i="158"/>
  <c r="Q62" i="158"/>
  <c r="Q21" i="158"/>
  <c r="Q22" i="191"/>
  <c r="Q65" i="158"/>
  <c r="Q63" i="158"/>
  <c r="Q37" i="191"/>
  <c r="C86" i="191"/>
  <c r="C130" i="191"/>
  <c r="Q41" i="191"/>
  <c r="C115" i="191"/>
  <c r="C100" i="191"/>
  <c r="Q50" i="158"/>
  <c r="Q60" i="158"/>
  <c r="Q57" i="158"/>
  <c r="Q58" i="158"/>
  <c r="Q35" i="191"/>
  <c r="EQ18" i="129"/>
  <c r="EQ7" i="129" s="1"/>
  <c r="EQ6" i="129" s="1"/>
  <c r="EQ1" i="129" s="1"/>
  <c r="L121" i="191"/>
  <c r="R56" i="191"/>
  <c r="R55" i="191"/>
  <c r="L122" i="191"/>
  <c r="O111" i="191"/>
  <c r="R58" i="191"/>
  <c r="L101" i="191"/>
  <c r="R35" i="191"/>
  <c r="EO18" i="129"/>
  <c r="M111" i="191"/>
  <c r="R59" i="191"/>
  <c r="L125" i="191"/>
  <c r="GL31" i="129" l="1"/>
  <c r="HL31" i="129"/>
  <c r="HF31" i="129" s="1"/>
  <c r="GL48" i="129"/>
  <c r="HL48" i="129"/>
  <c r="HF48" i="129" s="1"/>
  <c r="GL33" i="129"/>
  <c r="HL33" i="129"/>
  <c r="HF33" i="129" s="1"/>
  <c r="GL50" i="129"/>
  <c r="HL50" i="129"/>
  <c r="HF50" i="129" s="1"/>
  <c r="GL45" i="129"/>
  <c r="HL45" i="129"/>
  <c r="HF45" i="129" s="1"/>
  <c r="GL39" i="129"/>
  <c r="HL39" i="129"/>
  <c r="HF39" i="129" s="1"/>
  <c r="GL20" i="129"/>
  <c r="HL20" i="129"/>
  <c r="HF20" i="129" s="1"/>
  <c r="GL34" i="129"/>
  <c r="HL34" i="129"/>
  <c r="HF34" i="129" s="1"/>
  <c r="GL62" i="129"/>
  <c r="HL62" i="129"/>
  <c r="HF62" i="129" s="1"/>
  <c r="GL21" i="129"/>
  <c r="HL21" i="129"/>
  <c r="HF21" i="129" s="1"/>
  <c r="GL24" i="129"/>
  <c r="HL24" i="129"/>
  <c r="HF24" i="129" s="1"/>
  <c r="GL63" i="129"/>
  <c r="HL63" i="129"/>
  <c r="HF63" i="129" s="1"/>
  <c r="GL32" i="129"/>
  <c r="HL32" i="129"/>
  <c r="HF32" i="129" s="1"/>
  <c r="GL26" i="129"/>
  <c r="HL26" i="129"/>
  <c r="HF26" i="129" s="1"/>
  <c r="GL22" i="129"/>
  <c r="HL22" i="129"/>
  <c r="HF22" i="129" s="1"/>
  <c r="GL56" i="129"/>
  <c r="HL56" i="129"/>
  <c r="HF56" i="129" s="1"/>
  <c r="GL27" i="129"/>
  <c r="HL27" i="129"/>
  <c r="HF27" i="129" s="1"/>
  <c r="GL60" i="129"/>
  <c r="HL60" i="129"/>
  <c r="HF60" i="129" s="1"/>
  <c r="GL38" i="129"/>
  <c r="HL38" i="129"/>
  <c r="HF38" i="129" s="1"/>
  <c r="GL49" i="129"/>
  <c r="HL49" i="129"/>
  <c r="HF49" i="129" s="1"/>
  <c r="GL30" i="129"/>
  <c r="HL30" i="129"/>
  <c r="HF30" i="129" s="1"/>
  <c r="GL51" i="129"/>
  <c r="HL51" i="129"/>
  <c r="HF51" i="129" s="1"/>
  <c r="GL59" i="129"/>
  <c r="HL59" i="129"/>
  <c r="HF59" i="129" s="1"/>
  <c r="GL44" i="129"/>
  <c r="HL44" i="129"/>
  <c r="HF44" i="129" s="1"/>
  <c r="GL65" i="129"/>
  <c r="HL65" i="129"/>
  <c r="HF65" i="129" s="1"/>
  <c r="GL52" i="129"/>
  <c r="HL52" i="129"/>
  <c r="HF52" i="129" s="1"/>
  <c r="GL28" i="129"/>
  <c r="HL28" i="129"/>
  <c r="HF28" i="129" s="1"/>
  <c r="GL58" i="129"/>
  <c r="HL58" i="129"/>
  <c r="HF58" i="129" s="1"/>
  <c r="GL54" i="129"/>
  <c r="HL54" i="129"/>
  <c r="HF54" i="129" s="1"/>
  <c r="GL25" i="129"/>
  <c r="HL25" i="129"/>
  <c r="HF25" i="129" s="1"/>
  <c r="GL40" i="129"/>
  <c r="HL40" i="129"/>
  <c r="HF40" i="129" s="1"/>
  <c r="GL36" i="129"/>
  <c r="HL36" i="129"/>
  <c r="HF36" i="129" s="1"/>
  <c r="GL41" i="129"/>
  <c r="HL41" i="129"/>
  <c r="HF41" i="129" s="1"/>
  <c r="GL66" i="129"/>
  <c r="HL66" i="129"/>
  <c r="HF66" i="129" s="1"/>
  <c r="GL37" i="129"/>
  <c r="HL37" i="129"/>
  <c r="HF37" i="129" s="1"/>
  <c r="GL43" i="129"/>
  <c r="HL43" i="129"/>
  <c r="HF43" i="129" s="1"/>
  <c r="GL67" i="129"/>
  <c r="HL67" i="129"/>
  <c r="HF67" i="129" s="1"/>
  <c r="GL53" i="129"/>
  <c r="HL53" i="129"/>
  <c r="HF53" i="129" s="1"/>
  <c r="GL57" i="129"/>
  <c r="HL57" i="129"/>
  <c r="HF57" i="129" s="1"/>
  <c r="GL46" i="129"/>
  <c r="HL46" i="129"/>
  <c r="HF46" i="129" s="1"/>
  <c r="O119" i="212"/>
  <c r="O119" i="213"/>
  <c r="O93" i="212"/>
  <c r="O93" i="213"/>
  <c r="O79" i="212"/>
  <c r="O79" i="213"/>
  <c r="O77" i="212"/>
  <c r="O77" i="213"/>
  <c r="O106" i="212"/>
  <c r="O106" i="213"/>
  <c r="O128" i="212"/>
  <c r="O128" i="213"/>
  <c r="O99" i="212"/>
  <c r="O99" i="213"/>
  <c r="O87" i="212"/>
  <c r="O87" i="213"/>
  <c r="O72" i="211"/>
  <c r="O83" i="212"/>
  <c r="O119" i="211"/>
  <c r="O93" i="211"/>
  <c r="O106" i="211"/>
  <c r="O128" i="211"/>
  <c r="O87" i="211"/>
  <c r="O99" i="211"/>
  <c r="O83" i="211"/>
  <c r="M75" i="191"/>
  <c r="M79" i="191"/>
  <c r="O83" i="191"/>
  <c r="FM13" i="129"/>
  <c r="FX47" i="129"/>
  <c r="GH47" i="129"/>
  <c r="HB47" i="129" s="1"/>
  <c r="FM9" i="129"/>
  <c r="FX23" i="129"/>
  <c r="GH23" i="129"/>
  <c r="HB23" i="129" s="1"/>
  <c r="FM16" i="129"/>
  <c r="FX64" i="129"/>
  <c r="GH64" i="129"/>
  <c r="HB64" i="129" s="1"/>
  <c r="FM11" i="129"/>
  <c r="FX35" i="129"/>
  <c r="GH35" i="129"/>
  <c r="HB35" i="129" s="1"/>
  <c r="FM10" i="129"/>
  <c r="GH29" i="129"/>
  <c r="HB29" i="129" s="1"/>
  <c r="FX29" i="129"/>
  <c r="FM8" i="129"/>
  <c r="FX19" i="129"/>
  <c r="GH19" i="129"/>
  <c r="HB19" i="129" s="1"/>
  <c r="FM15" i="129"/>
  <c r="GH61" i="129"/>
  <c r="HB61" i="129" s="1"/>
  <c r="FX61" i="129"/>
  <c r="FM14" i="129"/>
  <c r="FX55" i="129"/>
  <c r="GH55" i="129"/>
  <c r="HB55" i="129" s="1"/>
  <c r="FM12" i="129"/>
  <c r="GH42" i="129"/>
  <c r="HB42" i="129" s="1"/>
  <c r="FX42" i="129"/>
  <c r="FC18" i="129"/>
  <c r="O77" i="211"/>
  <c r="O79" i="211"/>
  <c r="O119" i="191"/>
  <c r="O87" i="191"/>
  <c r="O79" i="191"/>
  <c r="O128" i="191"/>
  <c r="O93" i="191"/>
  <c r="O106" i="191"/>
  <c r="O99" i="191"/>
  <c r="Q17" i="131"/>
  <c r="Q17" i="132" s="1"/>
  <c r="ES7" i="129"/>
  <c r="EN1" i="129"/>
  <c r="ES17" i="129"/>
  <c r="C89" i="191"/>
  <c r="Q23" i="191"/>
  <c r="Y43" i="158"/>
  <c r="Y63" i="158"/>
  <c r="C118" i="191"/>
  <c r="Q54" i="158"/>
  <c r="S52" i="191"/>
  <c r="Q49" i="191"/>
  <c r="S49" i="191"/>
  <c r="Y45" i="158"/>
  <c r="Y44" i="158"/>
  <c r="Y25" i="158"/>
  <c r="Q48" i="158"/>
  <c r="C112" i="191"/>
  <c r="Q46" i="191"/>
  <c r="S46" i="191"/>
  <c r="Y46" i="158"/>
  <c r="S23" i="191"/>
  <c r="L99" i="191"/>
  <c r="Y20" i="158"/>
  <c r="L128" i="191"/>
  <c r="R62" i="191"/>
  <c r="S62" i="191" s="1"/>
  <c r="M72" i="191"/>
  <c r="C106" i="191"/>
  <c r="R40" i="191"/>
  <c r="S40" i="191" s="1"/>
  <c r="Y31" i="158"/>
  <c r="L106" i="191"/>
  <c r="S58" i="191"/>
  <c r="R53" i="191"/>
  <c r="Q50" i="191"/>
  <c r="L119" i="191"/>
  <c r="S50" i="191"/>
  <c r="Y53" i="158"/>
  <c r="M76" i="191"/>
  <c r="Q58" i="191"/>
  <c r="Y36" i="158"/>
  <c r="Y24" i="158"/>
  <c r="Y50" i="158"/>
  <c r="S56" i="191"/>
  <c r="C125" i="191"/>
  <c r="Y32" i="158"/>
  <c r="Q61" i="158"/>
  <c r="Y61" i="158" s="1"/>
  <c r="Q59" i="191"/>
  <c r="S59" i="191"/>
  <c r="R33" i="191"/>
  <c r="Q42" i="158"/>
  <c r="Y42" i="158" s="1"/>
  <c r="Q55" i="158"/>
  <c r="Q14" i="158" s="1"/>
  <c r="Y60" i="158"/>
  <c r="R17" i="191"/>
  <c r="S17" i="191" s="1"/>
  <c r="M80" i="191"/>
  <c r="Y22" i="158"/>
  <c r="M78" i="191"/>
  <c r="C93" i="191"/>
  <c r="C113" i="191"/>
  <c r="Q27" i="158"/>
  <c r="Q29" i="158"/>
  <c r="Y29" i="158" s="1"/>
  <c r="Q27" i="191"/>
  <c r="Q49" i="158"/>
  <c r="S25" i="191"/>
  <c r="Y21" i="158"/>
  <c r="Y39" i="158"/>
  <c r="Y33" i="158"/>
  <c r="C101" i="191"/>
  <c r="S55" i="191"/>
  <c r="S47" i="191"/>
  <c r="Y34" i="158"/>
  <c r="Q47" i="191"/>
  <c r="M73" i="191"/>
  <c r="Y30" i="158"/>
  <c r="Y67" i="158"/>
  <c r="Y40" i="158"/>
  <c r="M74" i="191"/>
  <c r="Y59" i="158"/>
  <c r="Y52" i="158"/>
  <c r="Y66" i="158"/>
  <c r="C116" i="191"/>
  <c r="Q39" i="191"/>
  <c r="Q25" i="191"/>
  <c r="C128" i="191"/>
  <c r="Y56" i="158"/>
  <c r="R27" i="191"/>
  <c r="S27" i="191" s="1"/>
  <c r="L83" i="191"/>
  <c r="C83" i="191"/>
  <c r="Y38" i="158"/>
  <c r="S39" i="191"/>
  <c r="Q41" i="158"/>
  <c r="S26" i="191"/>
  <c r="Q40" i="191"/>
  <c r="Y26" i="158"/>
  <c r="C92" i="191"/>
  <c r="Q28" i="158"/>
  <c r="Q26" i="191"/>
  <c r="L111" i="191"/>
  <c r="S35" i="191"/>
  <c r="R45" i="191"/>
  <c r="Q10" i="191"/>
  <c r="EO17" i="129"/>
  <c r="Q19" i="158"/>
  <c r="Q8" i="158" s="1"/>
  <c r="EQ17" i="129"/>
  <c r="R21" i="191"/>
  <c r="L87" i="191"/>
  <c r="L93" i="191"/>
  <c r="EO7" i="129"/>
  <c r="Q17" i="191"/>
  <c r="Q64" i="158"/>
  <c r="Y64" i="158" s="1"/>
  <c r="Y51" i="158"/>
  <c r="C111" i="191"/>
  <c r="Q62" i="191"/>
  <c r="Y62" i="158"/>
  <c r="Y65" i="158"/>
  <c r="Q37" i="158"/>
  <c r="C121" i="191"/>
  <c r="Q55" i="191"/>
  <c r="M77" i="191"/>
  <c r="C122" i="191"/>
  <c r="C124" i="191"/>
  <c r="Y58" i="158"/>
  <c r="Y57" i="158"/>
  <c r="O77" i="191"/>
  <c r="C76" i="191"/>
  <c r="L79" i="191"/>
  <c r="R13" i="191"/>
  <c r="R14" i="191"/>
  <c r="L80" i="191"/>
  <c r="O72" i="191" l="1"/>
  <c r="O80" i="212"/>
  <c r="O80" i="213"/>
  <c r="O76" i="212"/>
  <c r="O76" i="213"/>
  <c r="O74" i="212"/>
  <c r="O74" i="213"/>
  <c r="O75" i="212"/>
  <c r="O75" i="213"/>
  <c r="O78" i="212"/>
  <c r="O78" i="213"/>
  <c r="O73" i="212"/>
  <c r="O73" i="213"/>
  <c r="O72" i="212"/>
  <c r="O72" i="213"/>
  <c r="HB15" i="129"/>
  <c r="GV61" i="129"/>
  <c r="GV15" i="129" s="1"/>
  <c r="HB11" i="129"/>
  <c r="GV35" i="129"/>
  <c r="GV11" i="129" s="1"/>
  <c r="HB13" i="129"/>
  <c r="GV47" i="129"/>
  <c r="GV13" i="129" s="1"/>
  <c r="HB16" i="129"/>
  <c r="GV64" i="129"/>
  <c r="GV16" i="129" s="1"/>
  <c r="HB12" i="129"/>
  <c r="GV42" i="129"/>
  <c r="GV12" i="129" s="1"/>
  <c r="HB14" i="129"/>
  <c r="GV55" i="129"/>
  <c r="GV14" i="129" s="1"/>
  <c r="HB8" i="129"/>
  <c r="GV19" i="129"/>
  <c r="GV8" i="129" s="1"/>
  <c r="HB10" i="129"/>
  <c r="GV29" i="129"/>
  <c r="GV10" i="129" s="1"/>
  <c r="HB9" i="129"/>
  <c r="GV23" i="129"/>
  <c r="GV9" i="129" s="1"/>
  <c r="GR42" i="129"/>
  <c r="HL42" i="129" s="1"/>
  <c r="FX12" i="129"/>
  <c r="FR42" i="129"/>
  <c r="FR12" i="129" s="1"/>
  <c r="GR55" i="129"/>
  <c r="HL55" i="129" s="1"/>
  <c r="FX14" i="129"/>
  <c r="FR55" i="129"/>
  <c r="FR14" i="129" s="1"/>
  <c r="GR29" i="129"/>
  <c r="HL29" i="129" s="1"/>
  <c r="FX10" i="129"/>
  <c r="FR29" i="129"/>
  <c r="FR10" i="129" s="1"/>
  <c r="GR35" i="129"/>
  <c r="HL35" i="129" s="1"/>
  <c r="FX11" i="129"/>
  <c r="FR35" i="129"/>
  <c r="FR11" i="129" s="1"/>
  <c r="GH13" i="129"/>
  <c r="GB47" i="129"/>
  <c r="GB13" i="129" s="1"/>
  <c r="GH12" i="129"/>
  <c r="GB42" i="129"/>
  <c r="GB12" i="129" s="1"/>
  <c r="GH8" i="129"/>
  <c r="GB19" i="129"/>
  <c r="GB8" i="129" s="1"/>
  <c r="GH10" i="129"/>
  <c r="GB29" i="129"/>
  <c r="GB10" i="129" s="1"/>
  <c r="GH9" i="129"/>
  <c r="GB23" i="129"/>
  <c r="GB9" i="129" s="1"/>
  <c r="GR47" i="129"/>
  <c r="HL47" i="129" s="1"/>
  <c r="FR47" i="129"/>
  <c r="FR13" i="129" s="1"/>
  <c r="FX13" i="129"/>
  <c r="GR61" i="129"/>
  <c r="HL61" i="129" s="1"/>
  <c r="FX15" i="129"/>
  <c r="FR61" i="129"/>
  <c r="FR15" i="129" s="1"/>
  <c r="GR19" i="129"/>
  <c r="HL19" i="129" s="1"/>
  <c r="FX8" i="129"/>
  <c r="FR19" i="129"/>
  <c r="FR8" i="129" s="1"/>
  <c r="GH16" i="129"/>
  <c r="GB64" i="129"/>
  <c r="GB16" i="129" s="1"/>
  <c r="GR23" i="129"/>
  <c r="HL23" i="129" s="1"/>
  <c r="FX9" i="129"/>
  <c r="FR23" i="129"/>
  <c r="FR9" i="129" s="1"/>
  <c r="GH14" i="129"/>
  <c r="GB55" i="129"/>
  <c r="GB14" i="129" s="1"/>
  <c r="GH15" i="129"/>
  <c r="GB61" i="129"/>
  <c r="GB15" i="129" s="1"/>
  <c r="GH11" i="129"/>
  <c r="GB35" i="129"/>
  <c r="GB11" i="129" s="1"/>
  <c r="GR64" i="129"/>
  <c r="HL64" i="129" s="1"/>
  <c r="FR64" i="129"/>
  <c r="FR16" i="129" s="1"/>
  <c r="FX16" i="129"/>
  <c r="O74" i="211"/>
  <c r="O80" i="211"/>
  <c r="O75" i="211"/>
  <c r="O78" i="211"/>
  <c r="O73" i="211"/>
  <c r="O76" i="211"/>
  <c r="O80" i="191"/>
  <c r="O75" i="191"/>
  <c r="GJ13" i="129"/>
  <c r="GJ8" i="129"/>
  <c r="GJ15" i="129"/>
  <c r="O76" i="191"/>
  <c r="O73" i="191"/>
  <c r="O78" i="191"/>
  <c r="O74" i="191"/>
  <c r="FM18" i="129"/>
  <c r="FC7" i="129"/>
  <c r="FC6" i="129" s="1"/>
  <c r="Q6" i="131"/>
  <c r="Q6" i="132" s="1"/>
  <c r="R9" i="191"/>
  <c r="S9" i="191" s="1"/>
  <c r="L72" i="191"/>
  <c r="ES6" i="129"/>
  <c r="ES1" i="129" s="1"/>
  <c r="Y54" i="158"/>
  <c r="Q10" i="158"/>
  <c r="Y10" i="158" s="1"/>
  <c r="C77" i="191"/>
  <c r="Q47" i="158"/>
  <c r="Y47" i="158" s="1"/>
  <c r="S45" i="191"/>
  <c r="R10" i="191"/>
  <c r="S10" i="191" s="1"/>
  <c r="Q45" i="191"/>
  <c r="Q12" i="158"/>
  <c r="W28" i="199" s="1"/>
  <c r="R11" i="191"/>
  <c r="L77" i="191"/>
  <c r="C73" i="191"/>
  <c r="Y48" i="158"/>
  <c r="S13" i="191"/>
  <c r="Q13" i="191"/>
  <c r="EO6" i="129"/>
  <c r="C79" i="191"/>
  <c r="L76" i="191"/>
  <c r="L78" i="191"/>
  <c r="R12" i="191"/>
  <c r="M82" i="191"/>
  <c r="R6" i="191"/>
  <c r="S6" i="191" s="1"/>
  <c r="Q15" i="158"/>
  <c r="Y15" i="158" s="1"/>
  <c r="C72" i="191"/>
  <c r="L75" i="191"/>
  <c r="Y27" i="158"/>
  <c r="Q23" i="158"/>
  <c r="Q14" i="191"/>
  <c r="Y19" i="158"/>
  <c r="S14" i="191"/>
  <c r="C80" i="191"/>
  <c r="C87" i="191"/>
  <c r="Q6" i="191"/>
  <c r="S21" i="191"/>
  <c r="S53" i="191"/>
  <c r="Q53" i="191"/>
  <c r="C74" i="191"/>
  <c r="Q8" i="191"/>
  <c r="C119" i="191"/>
  <c r="R7" i="191"/>
  <c r="L73" i="191"/>
  <c r="Y49" i="158"/>
  <c r="Y55" i="158"/>
  <c r="R8" i="191"/>
  <c r="S8" i="191" s="1"/>
  <c r="Y41" i="158"/>
  <c r="Y28" i="158"/>
  <c r="Q16" i="158"/>
  <c r="Y16" i="158" s="1"/>
  <c r="L74" i="191"/>
  <c r="Q11" i="191"/>
  <c r="Q35" i="158"/>
  <c r="Q33" i="191"/>
  <c r="C99" i="191"/>
  <c r="Y37" i="158"/>
  <c r="S33" i="191"/>
  <c r="Y14" i="158"/>
  <c r="W30" i="199"/>
  <c r="Y8" i="158"/>
  <c r="W24" i="199"/>
  <c r="C6" i="129"/>
  <c r="C1" i="129" s="1"/>
  <c r="HL13" i="129" l="1"/>
  <c r="HF47" i="129"/>
  <c r="HF13" i="129" s="1"/>
  <c r="HL8" i="129"/>
  <c r="HF19" i="129"/>
  <c r="HF8" i="129" s="1"/>
  <c r="HL14" i="129"/>
  <c r="HF55" i="129"/>
  <c r="HF14" i="129" s="1"/>
  <c r="HL16" i="129"/>
  <c r="HF64" i="129"/>
  <c r="HF16" i="129" s="1"/>
  <c r="HL9" i="129"/>
  <c r="HF23" i="129"/>
  <c r="HF9" i="129" s="1"/>
  <c r="HL15" i="129"/>
  <c r="HF61" i="129"/>
  <c r="HF15" i="129" s="1"/>
  <c r="HL11" i="129"/>
  <c r="HF35" i="129"/>
  <c r="HF11" i="129" s="1"/>
  <c r="HL12" i="129"/>
  <c r="HF42" i="129"/>
  <c r="HF12" i="129" s="1"/>
  <c r="HL10" i="129"/>
  <c r="HF29" i="129"/>
  <c r="HF10" i="129" s="1"/>
  <c r="W26" i="199"/>
  <c r="AE26" i="199" s="1"/>
  <c r="GR14" i="129"/>
  <c r="GL55" i="129"/>
  <c r="GL14" i="129" s="1"/>
  <c r="GR16" i="129"/>
  <c r="GL64" i="129"/>
  <c r="GL16" i="129" s="1"/>
  <c r="GR13" i="129"/>
  <c r="GL47" i="129"/>
  <c r="GL13" i="129" s="1"/>
  <c r="GR10" i="129"/>
  <c r="GL29" i="129"/>
  <c r="GL10" i="129" s="1"/>
  <c r="GR9" i="129"/>
  <c r="GL23" i="129"/>
  <c r="GL9" i="129" s="1"/>
  <c r="GL61" i="129"/>
  <c r="GL15" i="129" s="1"/>
  <c r="GR15" i="129"/>
  <c r="GR11" i="129"/>
  <c r="GL35" i="129"/>
  <c r="GL11" i="129" s="1"/>
  <c r="FM7" i="129"/>
  <c r="FM6" i="129" s="1"/>
  <c r="FX18" i="129"/>
  <c r="GH18" i="129"/>
  <c r="HB18" i="129" s="1"/>
  <c r="GL19" i="129"/>
  <c r="GL8" i="129" s="1"/>
  <c r="GR8" i="129"/>
  <c r="GR12" i="129"/>
  <c r="GL42" i="129"/>
  <c r="GL12" i="129" s="1"/>
  <c r="GJ12" i="129"/>
  <c r="M71" i="191"/>
  <c r="EO1" i="129"/>
  <c r="Q5" i="131"/>
  <c r="Q5" i="132" s="1"/>
  <c r="Q13" i="158"/>
  <c r="Y13" i="158" s="1"/>
  <c r="S11" i="191"/>
  <c r="S7" i="191"/>
  <c r="Q18" i="158"/>
  <c r="Y12" i="158"/>
  <c r="S12" i="191"/>
  <c r="W31" i="199"/>
  <c r="AE31" i="199" s="1"/>
  <c r="C78" i="191"/>
  <c r="Q12" i="191"/>
  <c r="Y23" i="158"/>
  <c r="Q9" i="158"/>
  <c r="W32" i="199"/>
  <c r="AE32" i="199" s="1"/>
  <c r="C75" i="191"/>
  <c r="Q9" i="191"/>
  <c r="Y35" i="158"/>
  <c r="Q11" i="158"/>
  <c r="AE24" i="199"/>
  <c r="V58" i="199"/>
  <c r="V62" i="199"/>
  <c r="AE28" i="199"/>
  <c r="AE30" i="199"/>
  <c r="V64" i="199"/>
  <c r="D17" i="131"/>
  <c r="D17" i="132" s="1"/>
  <c r="HB7" i="129" l="1"/>
  <c r="HB6" i="129" s="1"/>
  <c r="GV18" i="129"/>
  <c r="GV7" i="129" s="1"/>
  <c r="GV6" i="129" s="1"/>
  <c r="V60" i="199"/>
  <c r="GR18" i="129"/>
  <c r="HL18" i="129" s="1"/>
  <c r="FX7" i="129"/>
  <c r="FX6" i="129" s="1"/>
  <c r="FR18" i="129"/>
  <c r="FR7" i="129" s="1"/>
  <c r="FR6" i="129" s="1"/>
  <c r="M70" i="191"/>
  <c r="W29" i="199"/>
  <c r="AE29" i="199" s="1"/>
  <c r="Y9" i="158"/>
  <c r="W25" i="199"/>
  <c r="Y11" i="158"/>
  <c r="W27" i="199"/>
  <c r="M16" i="152"/>
  <c r="HL7" i="129" l="1"/>
  <c r="HL6" i="129" s="1"/>
  <c r="HF18" i="129"/>
  <c r="HF7" i="129" s="1"/>
  <c r="HF6" i="129" s="1"/>
  <c r="GR7" i="129"/>
  <c r="GR6" i="129" s="1"/>
  <c r="GL18" i="129"/>
  <c r="GL7" i="129" s="1"/>
  <c r="GL6" i="129" s="1"/>
  <c r="V63" i="199"/>
  <c r="V59" i="199"/>
  <c r="AE25" i="199"/>
  <c r="AE27" i="199"/>
  <c r="V61" i="199"/>
  <c r="M5" i="152"/>
  <c r="D6" i="131"/>
  <c r="D6" i="132" s="1"/>
  <c r="M67" i="152"/>
  <c r="M69" i="152" s="1"/>
  <c r="O16" i="152"/>
  <c r="M4" i="152" l="1"/>
  <c r="O5" i="152"/>
  <c r="O67" i="152"/>
  <c r="O69" i="152" s="1"/>
  <c r="S2" i="152" s="1"/>
  <c r="D5" i="131"/>
  <c r="D5" i="132" s="1"/>
  <c r="O4" i="152" l="1"/>
  <c r="C82" i="191" l="1"/>
  <c r="Q16" i="191"/>
  <c r="Q5" i="191"/>
  <c r="C71" i="191"/>
  <c r="Q69" i="158" l="1"/>
  <c r="Y69" i="158" s="1"/>
  <c r="Q7" i="158"/>
  <c r="Y18" i="158"/>
  <c r="C70" i="191"/>
  <c r="Q6" i="158" l="1"/>
  <c r="W23" i="199"/>
  <c r="Y58" i="196"/>
  <c r="Y38" i="196"/>
  <c r="Y62" i="196"/>
  <c r="Y56" i="196"/>
  <c r="Y21" i="196"/>
  <c r="Y48" i="196"/>
  <c r="Y33" i="196"/>
  <c r="Y31" i="196"/>
  <c r="Y27" i="196"/>
  <c r="Y44" i="196"/>
  <c r="Y54" i="196"/>
  <c r="Y41" i="196"/>
  <c r="Y37" i="196"/>
  <c r="Y52" i="196"/>
  <c r="Y34" i="196"/>
  <c r="Y66" i="196"/>
  <c r="Y50" i="196"/>
  <c r="Y65" i="196"/>
  <c r="Y51" i="196"/>
  <c r="Y49" i="196"/>
  <c r="Y60" i="196"/>
  <c r="Y22" i="196"/>
  <c r="Y30" i="196"/>
  <c r="Y28" i="196"/>
  <c r="Y40" i="196"/>
  <c r="Y46" i="196"/>
  <c r="Y26" i="196"/>
  <c r="Y39" i="196"/>
  <c r="Y67" i="196"/>
  <c r="Y20" i="196"/>
  <c r="Y25" i="196"/>
  <c r="Y24" i="196"/>
  <c r="Y63" i="196"/>
  <c r="Y43" i="196"/>
  <c r="Y36" i="196"/>
  <c r="Y57" i="196"/>
  <c r="Y32" i="196"/>
  <c r="Y59" i="196"/>
  <c r="Y45" i="196"/>
  <c r="Y53" i="196"/>
  <c r="Y7" i="158"/>
  <c r="W22" i="199" l="1"/>
  <c r="V54" i="199" s="1"/>
  <c r="I8" i="197"/>
  <c r="I9" i="197" s="1"/>
  <c r="I29" i="197" s="1"/>
  <c r="Y6" i="158"/>
  <c r="V55" i="199"/>
  <c r="AE23" i="199"/>
  <c r="V57" i="199"/>
  <c r="Y55" i="196"/>
  <c r="Q14" i="196"/>
  <c r="W13" i="199" s="1"/>
  <c r="Y42" i="196"/>
  <c r="Q12" i="196"/>
  <c r="W11" i="199" s="1"/>
  <c r="Q10" i="196"/>
  <c r="W9" i="199" s="1"/>
  <c r="Y29" i="196"/>
  <c r="Q11" i="196"/>
  <c r="W10" i="199" s="1"/>
  <c r="Y35" i="196"/>
  <c r="Q9" i="196"/>
  <c r="W8" i="199" s="1"/>
  <c r="Y23" i="196"/>
  <c r="Q8" i="196"/>
  <c r="Y19" i="196"/>
  <c r="Q16" i="196"/>
  <c r="W15" i="199" s="1"/>
  <c r="Y64" i="196"/>
  <c r="Y47" i="196"/>
  <c r="Q13" i="196"/>
  <c r="W12" i="199" s="1"/>
  <c r="Y61" i="196"/>
  <c r="Q15" i="196"/>
  <c r="W14" i="199" s="1"/>
  <c r="V56" i="199" l="1"/>
  <c r="AE22" i="199"/>
  <c r="W7" i="199"/>
  <c r="V41" i="199" s="1"/>
  <c r="AE12" i="199"/>
  <c r="V46" i="199"/>
  <c r="V49" i="199"/>
  <c r="AE15" i="199"/>
  <c r="AE10" i="199"/>
  <c r="V44" i="199"/>
  <c r="V47" i="199"/>
  <c r="AE13" i="199"/>
  <c r="AE8" i="199"/>
  <c r="V42" i="199"/>
  <c r="V45" i="199"/>
  <c r="AE11" i="199"/>
  <c r="AE14" i="199"/>
  <c r="V48" i="199"/>
  <c r="AE9" i="199"/>
  <c r="V43" i="199"/>
  <c r="Y8" i="196"/>
  <c r="Y10" i="196"/>
  <c r="Y13" i="196"/>
  <c r="Y16" i="196"/>
  <c r="Y11" i="196"/>
  <c r="Y14" i="196"/>
  <c r="Y15" i="196"/>
  <c r="Y9" i="196"/>
  <c r="Y12" i="196"/>
  <c r="FZ8" i="129"/>
  <c r="AE7" i="199" l="1"/>
  <c r="Y18" i="196"/>
  <c r="Q7" i="196"/>
  <c r="Y69" i="196"/>
  <c r="W6" i="199" l="1"/>
  <c r="V40" i="199" s="1"/>
  <c r="Q6" i="196"/>
  <c r="Y7" i="196"/>
  <c r="FZ7" i="129"/>
  <c r="FZ6" i="129" s="1"/>
  <c r="AE6" i="199" l="1"/>
  <c r="W5" i="199"/>
  <c r="V39" i="199" s="1"/>
  <c r="FW46" i="129"/>
  <c r="FW54" i="129"/>
  <c r="FW31" i="129"/>
  <c r="FW49" i="129"/>
  <c r="FW27" i="129"/>
  <c r="FW25" i="129"/>
  <c r="FW44" i="129"/>
  <c r="FW58" i="129"/>
  <c r="FW33" i="129"/>
  <c r="FW40" i="129"/>
  <c r="FW45" i="129"/>
  <c r="FW32" i="129"/>
  <c r="FW57" i="129"/>
  <c r="FW67" i="129"/>
  <c r="FW22" i="129"/>
  <c r="FW50" i="129"/>
  <c r="FW41" i="129"/>
  <c r="FW63" i="129"/>
  <c r="FW21" i="129"/>
  <c r="FW34" i="129"/>
  <c r="FW59" i="129"/>
  <c r="FW26" i="129"/>
  <c r="FW38" i="129"/>
  <c r="FW60" i="129"/>
  <c r="FW28" i="129"/>
  <c r="FW39" i="129"/>
  <c r="FW53" i="129"/>
  <c r="FW37" i="129"/>
  <c r="FW66" i="129"/>
  <c r="FW52" i="129"/>
  <c r="FW51" i="129"/>
  <c r="FW65" i="129"/>
  <c r="FW30" i="129"/>
  <c r="FW56" i="129"/>
  <c r="FW62" i="129"/>
  <c r="FW36" i="129"/>
  <c r="FW48" i="129"/>
  <c r="FW43" i="129"/>
  <c r="FW24" i="129"/>
  <c r="FW20" i="129"/>
  <c r="Y6" i="196"/>
  <c r="M88" i="205" l="1"/>
  <c r="M126" i="205"/>
  <c r="M115" i="205"/>
  <c r="M117" i="205"/>
  <c r="M102" i="205"/>
  <c r="M85" i="205"/>
  <c r="M86" i="205"/>
  <c r="M108" i="205"/>
  <c r="M95" i="205"/>
  <c r="M120" i="205"/>
  <c r="M116" i="205"/>
  <c r="M90" i="205"/>
  <c r="M127" i="205"/>
  <c r="M131" i="205"/>
  <c r="M89" i="205"/>
  <c r="M118" i="205"/>
  <c r="M94" i="205"/>
  <c r="M130" i="205"/>
  <c r="M92" i="205"/>
  <c r="M123" i="205"/>
  <c r="M121" i="205"/>
  <c r="M97" i="205"/>
  <c r="M91" i="205"/>
  <c r="M84" i="205"/>
  <c r="M100" i="205"/>
  <c r="M129" i="205"/>
  <c r="M101" i="205"/>
  <c r="M124" i="205"/>
  <c r="M98" i="205"/>
  <c r="M114" i="205"/>
  <c r="M96" i="205"/>
  <c r="M122" i="205"/>
  <c r="M113" i="205"/>
  <c r="I10" i="197"/>
  <c r="I11" i="197" s="1"/>
  <c r="AE5" i="199"/>
  <c r="FW19" i="129"/>
  <c r="FW64" i="129"/>
  <c r="FW29" i="129"/>
  <c r="FW23" i="129"/>
  <c r="FW61" i="129"/>
  <c r="FW42" i="129"/>
  <c r="FW47" i="129"/>
  <c r="FW35" i="129"/>
  <c r="FW55" i="129"/>
  <c r="M112" i="205" l="1"/>
  <c r="M107" i="205"/>
  <c r="M110" i="205"/>
  <c r="M105" i="205"/>
  <c r="M104" i="205"/>
  <c r="M103" i="205"/>
  <c r="M109" i="205"/>
  <c r="FW11" i="129"/>
  <c r="FW9" i="129"/>
  <c r="FW13" i="129"/>
  <c r="FW10" i="129"/>
  <c r="FW12" i="129"/>
  <c r="FW16" i="129"/>
  <c r="FW14" i="129"/>
  <c r="FW15" i="129"/>
  <c r="FW8" i="129"/>
  <c r="FW18" i="129" l="1"/>
  <c r="M125" i="205"/>
  <c r="M128" i="205"/>
  <c r="M93" i="205"/>
  <c r="M87" i="205"/>
  <c r="M83" i="205"/>
  <c r="M119" i="205"/>
  <c r="M106" i="205"/>
  <c r="M111" i="205"/>
  <c r="M99" i="205"/>
  <c r="M129" i="192"/>
  <c r="M90" i="192"/>
  <c r="M89" i="192"/>
  <c r="M95" i="192"/>
  <c r="M113" i="192"/>
  <c r="M120" i="192"/>
  <c r="M118" i="192"/>
  <c r="M122" i="192"/>
  <c r="M104" i="192"/>
  <c r="M110" i="192"/>
  <c r="M84" i="192"/>
  <c r="M109" i="192"/>
  <c r="M103" i="192"/>
  <c r="M98" i="192"/>
  <c r="M123" i="192"/>
  <c r="M107" i="192"/>
  <c r="M115" i="192"/>
  <c r="M108" i="192"/>
  <c r="M130" i="192"/>
  <c r="M91" i="192"/>
  <c r="M94" i="192"/>
  <c r="M114" i="192"/>
  <c r="M92" i="192"/>
  <c r="M124" i="192"/>
  <c r="M121" i="192"/>
  <c r="M126" i="192"/>
  <c r="M127" i="192"/>
  <c r="M96" i="192"/>
  <c r="M116" i="192"/>
  <c r="M105" i="192"/>
  <c r="M88" i="192"/>
  <c r="M131" i="192"/>
  <c r="M102" i="192"/>
  <c r="M117" i="192"/>
  <c r="M85" i="192"/>
  <c r="M112" i="192"/>
  <c r="M100" i="192"/>
  <c r="M86" i="192"/>
  <c r="M101" i="192"/>
  <c r="M97" i="192"/>
  <c r="M88" i="194"/>
  <c r="M107" i="194"/>
  <c r="M89" i="194"/>
  <c r="M126" i="194"/>
  <c r="M90" i="194"/>
  <c r="M110" i="194"/>
  <c r="M91" i="194"/>
  <c r="M131" i="194"/>
  <c r="M86" i="194"/>
  <c r="M98" i="194"/>
  <c r="M120" i="194"/>
  <c r="M112" i="194"/>
  <c r="M100" i="194"/>
  <c r="M113" i="194"/>
  <c r="M122" i="194"/>
  <c r="M97" i="194"/>
  <c r="M95" i="194"/>
  <c r="M85" i="194"/>
  <c r="M130" i="194"/>
  <c r="M124" i="194"/>
  <c r="M123" i="194"/>
  <c r="M127" i="194"/>
  <c r="M104" i="194"/>
  <c r="M101" i="194"/>
  <c r="M109" i="194"/>
  <c r="M115" i="194"/>
  <c r="M114" i="194"/>
  <c r="M102" i="194"/>
  <c r="M96" i="194"/>
  <c r="M84" i="194"/>
  <c r="M94" i="194"/>
  <c r="M103" i="194"/>
  <c r="M108" i="194"/>
  <c r="M118" i="194"/>
  <c r="M121" i="194"/>
  <c r="M116" i="194"/>
  <c r="M92" i="194"/>
  <c r="M105" i="194"/>
  <c r="M117" i="194"/>
  <c r="S55" i="131"/>
  <c r="FH56" i="129"/>
  <c r="S47" i="131"/>
  <c r="FH48" i="129"/>
  <c r="FH36" i="129"/>
  <c r="S35" i="131"/>
  <c r="S48" i="131"/>
  <c r="FH49" i="129"/>
  <c r="S57" i="131"/>
  <c r="FH58" i="129"/>
  <c r="FH33" i="129"/>
  <c r="S32" i="131"/>
  <c r="FH31" i="129"/>
  <c r="S30" i="131"/>
  <c r="FH21" i="129"/>
  <c r="S20" i="131"/>
  <c r="FH66" i="129"/>
  <c r="S65" i="131"/>
  <c r="S59" i="131"/>
  <c r="FH60" i="129"/>
  <c r="EX30" i="129"/>
  <c r="EW30" i="129" s="1"/>
  <c r="R29" i="131"/>
  <c r="R29" i="132" s="1"/>
  <c r="R49" i="131"/>
  <c r="R49" i="132" s="1"/>
  <c r="EX50" i="129"/>
  <c r="EW50" i="129" s="1"/>
  <c r="R27" i="131"/>
  <c r="R27" i="132" s="1"/>
  <c r="EX28" i="129"/>
  <c r="EW28" i="129" s="1"/>
  <c r="EX60" i="129"/>
  <c r="EW60" i="129" s="1"/>
  <c r="R59" i="131"/>
  <c r="R59" i="132" s="1"/>
  <c r="EX57" i="129"/>
  <c r="EW57" i="129" s="1"/>
  <c r="R56" i="131"/>
  <c r="R56" i="132" s="1"/>
  <c r="R61" i="131"/>
  <c r="R61" i="132" s="1"/>
  <c r="EX62" i="129"/>
  <c r="EW62" i="129" s="1"/>
  <c r="EX63" i="129"/>
  <c r="EW63" i="129" s="1"/>
  <c r="R62" i="131"/>
  <c r="R62" i="132" s="1"/>
  <c r="EX32" i="129"/>
  <c r="EW32" i="129" s="1"/>
  <c r="R31" i="131"/>
  <c r="R31" i="132" s="1"/>
  <c r="EX52" i="129"/>
  <c r="EW52" i="129" s="1"/>
  <c r="R51" i="131"/>
  <c r="R51" i="132" s="1"/>
  <c r="R40" i="131"/>
  <c r="R40" i="132" s="1"/>
  <c r="EX41" i="129"/>
  <c r="EW41" i="129" s="1"/>
  <c r="FH59" i="129"/>
  <c r="S58" i="131"/>
  <c r="FH63" i="129"/>
  <c r="S62" i="131"/>
  <c r="FH40" i="129"/>
  <c r="S39" i="131"/>
  <c r="S36" i="131"/>
  <c r="FH37" i="129"/>
  <c r="S44" i="131"/>
  <c r="FH45" i="129"/>
  <c r="FH51" i="129"/>
  <c r="S50" i="131"/>
  <c r="S64" i="131"/>
  <c r="FH65" i="129"/>
  <c r="S49" i="131"/>
  <c r="FH50" i="129"/>
  <c r="S37" i="131"/>
  <c r="FH38" i="129"/>
  <c r="S31" i="131"/>
  <c r="FH32" i="129"/>
  <c r="R23" i="131"/>
  <c r="R23" i="132" s="1"/>
  <c r="EX24" i="129"/>
  <c r="EW24" i="129" s="1"/>
  <c r="R66" i="131"/>
  <c r="R66" i="132" s="1"/>
  <c r="EX67" i="129"/>
  <c r="EW67" i="129" s="1"/>
  <c r="R37" i="131"/>
  <c r="R37" i="132" s="1"/>
  <c r="EX38" i="129"/>
  <c r="EW38" i="129" s="1"/>
  <c r="EX53" i="129"/>
  <c r="EW53" i="129" s="1"/>
  <c r="R52" i="131"/>
  <c r="R52" i="132" s="1"/>
  <c r="EX21" i="129"/>
  <c r="EW21" i="129" s="1"/>
  <c r="R20" i="131"/>
  <c r="R20" i="132" s="1"/>
  <c r="R47" i="131"/>
  <c r="R47" i="132" s="1"/>
  <c r="EX48" i="129"/>
  <c r="EW48" i="129" s="1"/>
  <c r="R35" i="131"/>
  <c r="R35" i="132" s="1"/>
  <c r="EX36" i="129"/>
  <c r="EW36" i="129" s="1"/>
  <c r="R21" i="131"/>
  <c r="R21" i="132" s="1"/>
  <c r="EX22" i="129"/>
  <c r="EW22" i="129" s="1"/>
  <c r="EX37" i="129"/>
  <c r="EW37" i="129" s="1"/>
  <c r="R36" i="131"/>
  <c r="R36" i="132" s="1"/>
  <c r="EX33" i="129"/>
  <c r="EW33" i="129" s="1"/>
  <c r="R32" i="131"/>
  <c r="R32" i="132" s="1"/>
  <c r="S19" i="131"/>
  <c r="FH20" i="129"/>
  <c r="S29" i="131"/>
  <c r="FH30" i="129"/>
  <c r="FH39" i="129"/>
  <c r="S38" i="131"/>
  <c r="S43" i="131"/>
  <c r="FH44" i="129"/>
  <c r="S53" i="131"/>
  <c r="FH54" i="129"/>
  <c r="FH57" i="129"/>
  <c r="S56" i="131"/>
  <c r="FH52" i="129"/>
  <c r="S51" i="131"/>
  <c r="FH28" i="129"/>
  <c r="S27" i="131"/>
  <c r="FH41" i="129"/>
  <c r="S40" i="131"/>
  <c r="S52" i="131"/>
  <c r="FH53" i="129"/>
  <c r="R64" i="131"/>
  <c r="R64" i="132" s="1"/>
  <c r="EX65" i="129"/>
  <c r="EW65" i="129" s="1"/>
  <c r="EX26" i="129"/>
  <c r="EW26" i="129" s="1"/>
  <c r="R25" i="131"/>
  <c r="R25" i="132" s="1"/>
  <c r="R24" i="131"/>
  <c r="R24" i="132" s="1"/>
  <c r="EX25" i="129"/>
  <c r="EW25" i="129" s="1"/>
  <c r="EX31" i="129"/>
  <c r="EW31" i="129" s="1"/>
  <c r="R30" i="131"/>
  <c r="R30" i="132" s="1"/>
  <c r="EX49" i="129"/>
  <c r="EW49" i="129" s="1"/>
  <c r="R48" i="131"/>
  <c r="R48" i="132" s="1"/>
  <c r="EX56" i="129"/>
  <c r="EW56" i="129" s="1"/>
  <c r="R55" i="131"/>
  <c r="R55" i="132" s="1"/>
  <c r="EX54" i="129"/>
  <c r="EW54" i="129" s="1"/>
  <c r="R53" i="131"/>
  <c r="R53" i="132" s="1"/>
  <c r="EX58" i="129"/>
  <c r="EW58" i="129" s="1"/>
  <c r="R57" i="131"/>
  <c r="R57" i="132" s="1"/>
  <c r="R39" i="131"/>
  <c r="R39" i="132" s="1"/>
  <c r="EX40" i="129"/>
  <c r="EW40" i="129" s="1"/>
  <c r="R45" i="131"/>
  <c r="R45" i="132" s="1"/>
  <c r="EX46" i="129"/>
  <c r="EW46" i="129" s="1"/>
  <c r="FH24" i="129"/>
  <c r="S23" i="131"/>
  <c r="FH43" i="129"/>
  <c r="S42" i="131"/>
  <c r="FH25" i="129"/>
  <c r="S24" i="131"/>
  <c r="S61" i="131"/>
  <c r="FH62" i="129"/>
  <c r="S25" i="131"/>
  <c r="FH26" i="129"/>
  <c r="FH46" i="129"/>
  <c r="S45" i="131"/>
  <c r="FH27" i="129"/>
  <c r="S26" i="131"/>
  <c r="S66" i="131"/>
  <c r="FH67" i="129"/>
  <c r="FH22" i="129"/>
  <c r="S21" i="131"/>
  <c r="S33" i="131"/>
  <c r="FH34" i="129"/>
  <c r="R19" i="131"/>
  <c r="R19" i="132" s="1"/>
  <c r="EX20" i="129"/>
  <c r="R44" i="131"/>
  <c r="R44" i="132" s="1"/>
  <c r="EX45" i="129"/>
  <c r="EW45" i="129" s="1"/>
  <c r="R38" i="131"/>
  <c r="R38" i="132" s="1"/>
  <c r="EX39" i="129"/>
  <c r="EW39" i="129" s="1"/>
  <c r="EX34" i="129"/>
  <c r="EW34" i="129" s="1"/>
  <c r="R33" i="131"/>
  <c r="R33" i="132" s="1"/>
  <c r="EX59" i="129"/>
  <c r="EW59" i="129" s="1"/>
  <c r="R58" i="131"/>
  <c r="R58" i="132" s="1"/>
  <c r="R42" i="131"/>
  <c r="R42" i="132" s="1"/>
  <c r="EX43" i="129"/>
  <c r="EW43" i="129" s="1"/>
  <c r="R50" i="131"/>
  <c r="R50" i="132" s="1"/>
  <c r="EX51" i="129"/>
  <c r="EW51" i="129" s="1"/>
  <c r="EX44" i="129"/>
  <c r="EW44" i="129" s="1"/>
  <c r="R43" i="131"/>
  <c r="R43" i="132" s="1"/>
  <c r="EX66" i="129"/>
  <c r="EW66" i="129" s="1"/>
  <c r="R65" i="131"/>
  <c r="R65" i="132" s="1"/>
  <c r="EX27" i="129"/>
  <c r="EW27" i="129" s="1"/>
  <c r="R26" i="131"/>
  <c r="R26" i="132" s="1"/>
  <c r="FW7" i="129" l="1"/>
  <c r="FW6" i="129" s="1"/>
  <c r="M72" i="205"/>
  <c r="M73" i="205"/>
  <c r="M74" i="205"/>
  <c r="M80" i="205"/>
  <c r="M75" i="205"/>
  <c r="M76" i="205"/>
  <c r="M79" i="205"/>
  <c r="M77" i="205"/>
  <c r="M78" i="205"/>
  <c r="FG27" i="129"/>
  <c r="FG43" i="129"/>
  <c r="FG51" i="129"/>
  <c r="FG63" i="129"/>
  <c r="FG66" i="129"/>
  <c r="FG31" i="129"/>
  <c r="FG22" i="129"/>
  <c r="FG54" i="129"/>
  <c r="FG34" i="129"/>
  <c r="FG67" i="129"/>
  <c r="FG25" i="129"/>
  <c r="FG41" i="129"/>
  <c r="FG52" i="129"/>
  <c r="FG39" i="129"/>
  <c r="FG38" i="129"/>
  <c r="FG45" i="129"/>
  <c r="FG60" i="129"/>
  <c r="FG49" i="129"/>
  <c r="FG36" i="129"/>
  <c r="FG56" i="129"/>
  <c r="FG20" i="129"/>
  <c r="FG40" i="129"/>
  <c r="FG59" i="129"/>
  <c r="FG21" i="129"/>
  <c r="FG33" i="129"/>
  <c r="FG46" i="129"/>
  <c r="FG53" i="129"/>
  <c r="FG44" i="129"/>
  <c r="FG26" i="129"/>
  <c r="FG24" i="129"/>
  <c r="FG28" i="129"/>
  <c r="FG57" i="129"/>
  <c r="FG30" i="129"/>
  <c r="FG32" i="129"/>
  <c r="FG50" i="129"/>
  <c r="FG37" i="129"/>
  <c r="FG58" i="129"/>
  <c r="FG48" i="129"/>
  <c r="M111" i="192"/>
  <c r="M87" i="192"/>
  <c r="M106" i="192"/>
  <c r="M83" i="192"/>
  <c r="M99" i="192"/>
  <c r="M119" i="192"/>
  <c r="M125" i="192"/>
  <c r="M93" i="192"/>
  <c r="M128" i="192"/>
  <c r="M111" i="194"/>
  <c r="M87" i="194"/>
  <c r="M83" i="194"/>
  <c r="FH64" i="129"/>
  <c r="FG64" i="129" s="1"/>
  <c r="FG16" i="129" s="1"/>
  <c r="FG65" i="129"/>
  <c r="M99" i="194"/>
  <c r="M119" i="194"/>
  <c r="M128" i="194"/>
  <c r="FH61" i="129"/>
  <c r="FG62" i="129"/>
  <c r="EX19" i="129"/>
  <c r="EW20" i="129"/>
  <c r="M125" i="194"/>
  <c r="M106" i="194"/>
  <c r="M93" i="194"/>
  <c r="M129" i="194"/>
  <c r="EX64" i="129"/>
  <c r="EX42" i="129"/>
  <c r="EX23" i="129"/>
  <c r="EX61" i="129"/>
  <c r="EX29" i="129"/>
  <c r="EX47" i="129"/>
  <c r="EX55" i="129"/>
  <c r="EX35" i="129"/>
  <c r="R41" i="131"/>
  <c r="R41" i="132" s="1"/>
  <c r="EY12" i="129"/>
  <c r="R11" i="131" s="1"/>
  <c r="R11" i="132" s="1"/>
  <c r="R18" i="131"/>
  <c r="R18" i="132" s="1"/>
  <c r="EY8" i="129"/>
  <c r="S21" i="132"/>
  <c r="S26" i="132"/>
  <c r="S61" i="132"/>
  <c r="S42" i="132"/>
  <c r="FH23" i="129"/>
  <c r="S52" i="132"/>
  <c r="S43" i="132"/>
  <c r="FH29" i="129"/>
  <c r="S19" i="132"/>
  <c r="EY11" i="129"/>
  <c r="R10" i="131" s="1"/>
  <c r="R10" i="132" s="1"/>
  <c r="R34" i="131"/>
  <c r="R34" i="132" s="1"/>
  <c r="S63" i="131"/>
  <c r="FI16" i="129"/>
  <c r="S15" i="131" s="1"/>
  <c r="S44" i="132"/>
  <c r="S57" i="132"/>
  <c r="S35" i="132"/>
  <c r="S47" i="132"/>
  <c r="S25" i="132"/>
  <c r="S24" i="132"/>
  <c r="FH42" i="129"/>
  <c r="EY14" i="129"/>
  <c r="R13" i="131" s="1"/>
  <c r="R13" i="132" s="1"/>
  <c r="R54" i="131"/>
  <c r="R54" i="132" s="1"/>
  <c r="S40" i="132"/>
  <c r="S51" i="132"/>
  <c r="S38" i="132"/>
  <c r="S29" i="132"/>
  <c r="S31" i="132"/>
  <c r="S49" i="132"/>
  <c r="S50" i="132"/>
  <c r="S62" i="132"/>
  <c r="S20" i="132"/>
  <c r="S32" i="132"/>
  <c r="FH35" i="129"/>
  <c r="FH55" i="129"/>
  <c r="S45" i="132"/>
  <c r="S22" i="131"/>
  <c r="FI9" i="129"/>
  <c r="S8" i="131" s="1"/>
  <c r="EY16" i="129"/>
  <c r="R15" i="131" s="1"/>
  <c r="R15" i="132" s="1"/>
  <c r="R63" i="131"/>
  <c r="R63" i="132" s="1"/>
  <c r="S53" i="132"/>
  <c r="S18" i="131"/>
  <c r="FI8" i="129"/>
  <c r="S36" i="132"/>
  <c r="R60" i="131"/>
  <c r="R60" i="132" s="1"/>
  <c r="EY15" i="129"/>
  <c r="R14" i="131" s="1"/>
  <c r="R14" i="132" s="1"/>
  <c r="R28" i="131"/>
  <c r="R28" i="132" s="1"/>
  <c r="EY10" i="129"/>
  <c r="R9" i="131" s="1"/>
  <c r="R9" i="132" s="1"/>
  <c r="S59" i="132"/>
  <c r="S48" i="132"/>
  <c r="FI13" i="129"/>
  <c r="S12" i="131" s="1"/>
  <c r="S46" i="131"/>
  <c r="S55" i="132"/>
  <c r="S33" i="132"/>
  <c r="S66" i="132"/>
  <c r="FI15" i="129"/>
  <c r="S14" i="131" s="1"/>
  <c r="S60" i="131"/>
  <c r="FI12" i="129"/>
  <c r="S11" i="131" s="1"/>
  <c r="S41" i="131"/>
  <c r="S23" i="132"/>
  <c r="S27" i="132"/>
  <c r="S56" i="132"/>
  <c r="S28" i="131"/>
  <c r="FI10" i="129"/>
  <c r="S9" i="131" s="1"/>
  <c r="FH19" i="129"/>
  <c r="R46" i="131"/>
  <c r="R46" i="132" s="1"/>
  <c r="EY13" i="129"/>
  <c r="R12" i="131" s="1"/>
  <c r="R12" i="132" s="1"/>
  <c r="R22" i="131"/>
  <c r="R22" i="132" s="1"/>
  <c r="EY9" i="129"/>
  <c r="R8" i="131" s="1"/>
  <c r="R8" i="132" s="1"/>
  <c r="S37" i="132"/>
  <c r="S64" i="132"/>
  <c r="S39" i="132"/>
  <c r="S58" i="132"/>
  <c r="S65" i="132"/>
  <c r="S30" i="132"/>
  <c r="FI11" i="129"/>
  <c r="S10" i="131" s="1"/>
  <c r="S34" i="131"/>
  <c r="FH47" i="129"/>
  <c r="FI14" i="129"/>
  <c r="S13" i="131" s="1"/>
  <c r="S54" i="131"/>
  <c r="FH16" i="129" l="1"/>
  <c r="FI18" i="129"/>
  <c r="EY18" i="129"/>
  <c r="Q47" i="192"/>
  <c r="R49" i="158"/>
  <c r="C113" i="192"/>
  <c r="Q57" i="192"/>
  <c r="R59" i="158"/>
  <c r="C123" i="192"/>
  <c r="R52" i="158"/>
  <c r="C116" i="192"/>
  <c r="Q50" i="192"/>
  <c r="R38" i="158"/>
  <c r="C102" i="192"/>
  <c r="Q36" i="192"/>
  <c r="R65" i="158"/>
  <c r="C129" i="192"/>
  <c r="Q63" i="192"/>
  <c r="C103" i="192"/>
  <c r="Q37" i="192"/>
  <c r="R39" i="158"/>
  <c r="C127" i="192"/>
  <c r="R63" i="158"/>
  <c r="Q61" i="192"/>
  <c r="C88" i="192"/>
  <c r="R24" i="158"/>
  <c r="Q22" i="192"/>
  <c r="M79" i="192"/>
  <c r="C95" i="192"/>
  <c r="Q29" i="192"/>
  <c r="R31" i="158"/>
  <c r="Q30" i="192"/>
  <c r="R32" i="158"/>
  <c r="C96" i="192"/>
  <c r="C112" i="192"/>
  <c r="R48" i="158"/>
  <c r="Q46" i="192"/>
  <c r="M75" i="192"/>
  <c r="Q58" i="192"/>
  <c r="C124" i="192"/>
  <c r="R60" i="158"/>
  <c r="C118" i="192"/>
  <c r="R54" i="158"/>
  <c r="Q52" i="192"/>
  <c r="Q49" i="192"/>
  <c r="R51" i="158"/>
  <c r="C115" i="192"/>
  <c r="C130" i="192"/>
  <c r="Q64" i="192"/>
  <c r="R66" i="158"/>
  <c r="Q28" i="192"/>
  <c r="C94" i="192"/>
  <c r="R30" i="158"/>
  <c r="R57" i="158"/>
  <c r="C121" i="192"/>
  <c r="Q55" i="192"/>
  <c r="R37" i="158"/>
  <c r="Q35" i="192"/>
  <c r="C101" i="192"/>
  <c r="M80" i="192"/>
  <c r="Q18" i="192"/>
  <c r="C84" i="192"/>
  <c r="R20" i="158"/>
  <c r="R26" i="158"/>
  <c r="Q24" i="192"/>
  <c r="C90" i="192"/>
  <c r="M72" i="192"/>
  <c r="C126" i="192"/>
  <c r="Q60" i="192"/>
  <c r="R62" i="158"/>
  <c r="Q38" i="192"/>
  <c r="C104" i="192"/>
  <c r="R40" i="158"/>
  <c r="Q19" i="192"/>
  <c r="R21" i="158"/>
  <c r="C85" i="192"/>
  <c r="M74" i="192"/>
  <c r="C110" i="192"/>
  <c r="Q44" i="192"/>
  <c r="R46" i="158"/>
  <c r="C109" i="192"/>
  <c r="Q43" i="192"/>
  <c r="R45" i="158"/>
  <c r="C91" i="192"/>
  <c r="R27" i="158"/>
  <c r="Q25" i="192"/>
  <c r="C114" i="192"/>
  <c r="Q48" i="192"/>
  <c r="R50" i="158"/>
  <c r="C117" i="192"/>
  <c r="Q51" i="192"/>
  <c r="R53" i="158"/>
  <c r="C86" i="192"/>
  <c r="R22" i="158"/>
  <c r="Q20" i="192"/>
  <c r="M76" i="192"/>
  <c r="M73" i="192"/>
  <c r="M77" i="192"/>
  <c r="R25" i="158"/>
  <c r="C89" i="192"/>
  <c r="Q23" i="192"/>
  <c r="R28" i="158"/>
  <c r="Q26" i="192"/>
  <c r="C92" i="192"/>
  <c r="Q34" i="192"/>
  <c r="R36" i="158"/>
  <c r="C100" i="192"/>
  <c r="M78" i="192"/>
  <c r="Q54" i="192"/>
  <c r="C120" i="192"/>
  <c r="R56" i="158"/>
  <c r="C122" i="192"/>
  <c r="R58" i="158"/>
  <c r="Q56" i="192"/>
  <c r="C98" i="192"/>
  <c r="R34" i="158"/>
  <c r="Q32" i="192"/>
  <c r="R44" i="158"/>
  <c r="Q42" i="192"/>
  <c r="C108" i="192"/>
  <c r="Q39" i="192"/>
  <c r="C105" i="192"/>
  <c r="R41" i="158"/>
  <c r="C131" i="192"/>
  <c r="R67" i="158"/>
  <c r="Q65" i="192"/>
  <c r="C97" i="192"/>
  <c r="Q31" i="192"/>
  <c r="R33" i="158"/>
  <c r="C107" i="192"/>
  <c r="Q41" i="192"/>
  <c r="R43" i="158"/>
  <c r="FH11" i="129"/>
  <c r="FG35" i="129"/>
  <c r="FG11" i="129" s="1"/>
  <c r="EX11" i="129"/>
  <c r="EW35" i="129"/>
  <c r="EW11" i="129" s="1"/>
  <c r="EX15" i="129"/>
  <c r="EW61" i="129"/>
  <c r="EW15" i="129" s="1"/>
  <c r="M79" i="194"/>
  <c r="FH15" i="129"/>
  <c r="FG61" i="129"/>
  <c r="FG15" i="129" s="1"/>
  <c r="M75" i="194"/>
  <c r="M73" i="194"/>
  <c r="FH8" i="129"/>
  <c r="FG19" i="129"/>
  <c r="FG8" i="129" s="1"/>
  <c r="EX14" i="129"/>
  <c r="EW55" i="129"/>
  <c r="EW14" i="129" s="1"/>
  <c r="EX9" i="129"/>
  <c r="EW23" i="129"/>
  <c r="EW9" i="129" s="1"/>
  <c r="M76" i="194"/>
  <c r="M78" i="194"/>
  <c r="M72" i="194"/>
  <c r="FH13" i="129"/>
  <c r="FG47" i="129"/>
  <c r="FG13" i="129" s="1"/>
  <c r="FH10" i="129"/>
  <c r="FG29" i="129"/>
  <c r="FG10" i="129" s="1"/>
  <c r="EX13" i="129"/>
  <c r="EW47" i="129"/>
  <c r="EW13" i="129" s="1"/>
  <c r="EX12" i="129"/>
  <c r="EW42" i="129"/>
  <c r="EW12" i="129" s="1"/>
  <c r="M74" i="194"/>
  <c r="EX8" i="129"/>
  <c r="EW19" i="129"/>
  <c r="EW8" i="129" s="1"/>
  <c r="FH14" i="129"/>
  <c r="FG55" i="129"/>
  <c r="FG14" i="129" s="1"/>
  <c r="FH12" i="129"/>
  <c r="FG42" i="129"/>
  <c r="FG12" i="129" s="1"/>
  <c r="FH9" i="129"/>
  <c r="FG23" i="129"/>
  <c r="FG9" i="129" s="1"/>
  <c r="EX10" i="129"/>
  <c r="EW29" i="129"/>
  <c r="EW10" i="129" s="1"/>
  <c r="EX16" i="129"/>
  <c r="EW64" i="129"/>
  <c r="EW16" i="129" s="1"/>
  <c r="M80" i="194"/>
  <c r="M77" i="194"/>
  <c r="S13" i="132"/>
  <c r="S34" i="132"/>
  <c r="S54" i="132"/>
  <c r="S10" i="132"/>
  <c r="S60" i="132"/>
  <c r="S46" i="132"/>
  <c r="S22" i="132"/>
  <c r="S15" i="132"/>
  <c r="R7" i="131"/>
  <c r="R7" i="132" s="1"/>
  <c r="S14" i="132"/>
  <c r="S12" i="132"/>
  <c r="S7" i="131"/>
  <c r="S63" i="132"/>
  <c r="S9" i="132"/>
  <c r="S41" i="132"/>
  <c r="S18" i="132"/>
  <c r="S28" i="132"/>
  <c r="S11" i="132"/>
  <c r="S8" i="132"/>
  <c r="M82" i="194" l="1"/>
  <c r="FH18" i="129"/>
  <c r="FH7" i="129" s="1"/>
  <c r="FH6" i="129" s="1"/>
  <c r="Z33" i="196"/>
  <c r="Z33" i="158"/>
  <c r="Z67" i="196"/>
  <c r="Z67" i="158"/>
  <c r="Z58" i="158"/>
  <c r="Z58" i="196"/>
  <c r="R61" i="158"/>
  <c r="C125" i="192"/>
  <c r="Q59" i="192"/>
  <c r="Z26" i="196"/>
  <c r="Z26" i="158"/>
  <c r="Z20" i="158"/>
  <c r="Q27" i="192"/>
  <c r="R29" i="158"/>
  <c r="C93" i="192"/>
  <c r="Z60" i="196"/>
  <c r="Z60" i="158"/>
  <c r="Z31" i="158"/>
  <c r="Z31" i="196"/>
  <c r="Z65" i="158"/>
  <c r="Z38" i="196"/>
  <c r="Z38" i="158"/>
  <c r="Z34" i="196"/>
  <c r="Z34" i="158"/>
  <c r="Z36" i="158"/>
  <c r="Z53" i="158"/>
  <c r="Z53" i="196"/>
  <c r="Z50" i="158"/>
  <c r="Z50" i="196"/>
  <c r="Z27" i="196"/>
  <c r="Z27" i="158"/>
  <c r="C87" i="192"/>
  <c r="Q21" i="192"/>
  <c r="R23" i="158"/>
  <c r="Z63" i="158"/>
  <c r="Z63" i="196"/>
  <c r="Q62" i="192"/>
  <c r="R64" i="158"/>
  <c r="C128" i="192"/>
  <c r="Z43" i="158"/>
  <c r="Z41" i="196"/>
  <c r="Z41" i="158"/>
  <c r="Q53" i="192"/>
  <c r="C119" i="192"/>
  <c r="R55" i="158"/>
  <c r="C99" i="192"/>
  <c r="R35" i="158"/>
  <c r="Q33" i="192"/>
  <c r="Z46" i="158"/>
  <c r="Z46" i="196"/>
  <c r="Z21" i="196"/>
  <c r="Z21" i="158"/>
  <c r="Z57" i="158"/>
  <c r="Z57" i="196"/>
  <c r="Z54" i="158"/>
  <c r="Z54" i="196"/>
  <c r="Z48" i="158"/>
  <c r="Z32" i="158"/>
  <c r="Z32" i="196"/>
  <c r="Z24" i="158"/>
  <c r="Z49" i="196"/>
  <c r="Z49" i="158"/>
  <c r="C106" i="192"/>
  <c r="Q40" i="192"/>
  <c r="R42" i="158"/>
  <c r="Z44" i="196"/>
  <c r="Z44" i="158"/>
  <c r="Z56" i="158"/>
  <c r="Z28" i="196"/>
  <c r="Z28" i="158"/>
  <c r="Z25" i="158"/>
  <c r="Z25" i="196"/>
  <c r="Z22" i="196"/>
  <c r="Z22" i="158"/>
  <c r="Z45" i="158"/>
  <c r="Z45" i="196"/>
  <c r="Z40" i="196"/>
  <c r="Z40" i="158"/>
  <c r="Z62" i="158"/>
  <c r="R19" i="158"/>
  <c r="C83" i="192"/>
  <c r="Q17" i="192"/>
  <c r="Z37" i="158"/>
  <c r="Z37" i="196"/>
  <c r="Z30" i="158"/>
  <c r="Z66" i="158"/>
  <c r="Z66" i="196"/>
  <c r="Z51" i="158"/>
  <c r="Z51" i="196"/>
  <c r="C111" i="192"/>
  <c r="Q45" i="192"/>
  <c r="R47" i="158"/>
  <c r="Z39" i="158"/>
  <c r="Z39" i="196"/>
  <c r="Z52" i="196"/>
  <c r="Z52" i="158"/>
  <c r="Z59" i="158"/>
  <c r="Z59" i="196"/>
  <c r="EX18" i="129"/>
  <c r="S7" i="132"/>
  <c r="EY7" i="129"/>
  <c r="R17" i="131"/>
  <c r="R17" i="132" s="1"/>
  <c r="S17" i="131"/>
  <c r="FI7" i="129"/>
  <c r="FG18" i="129" l="1"/>
  <c r="FG7" i="129" s="1"/>
  <c r="FG6" i="129" s="1"/>
  <c r="M82" i="205"/>
  <c r="FA16" i="129"/>
  <c r="FA11" i="129"/>
  <c r="FA10" i="129"/>
  <c r="Z24" i="196"/>
  <c r="Q11" i="192"/>
  <c r="C77" i="192"/>
  <c r="C72" i="192"/>
  <c r="Q6" i="192"/>
  <c r="Z48" i="196"/>
  <c r="Z35" i="158"/>
  <c r="R11" i="158"/>
  <c r="Q12" i="192"/>
  <c r="C78" i="192"/>
  <c r="Z43" i="196"/>
  <c r="Q14" i="192"/>
  <c r="C80" i="192"/>
  <c r="C73" i="192"/>
  <c r="Q7" i="192"/>
  <c r="C74" i="192"/>
  <c r="Q8" i="192"/>
  <c r="R15" i="158"/>
  <c r="Z61" i="158"/>
  <c r="Z19" i="158"/>
  <c r="R8" i="158"/>
  <c r="R14" i="158"/>
  <c r="Z55" i="158"/>
  <c r="R13" i="158"/>
  <c r="Z47" i="158"/>
  <c r="Z30" i="196"/>
  <c r="Z62" i="196"/>
  <c r="C76" i="192"/>
  <c r="Q10" i="192"/>
  <c r="Q9" i="192"/>
  <c r="C75" i="192"/>
  <c r="Z23" i="158"/>
  <c r="R9" i="158"/>
  <c r="Z36" i="196"/>
  <c r="Z29" i="158"/>
  <c r="R10" i="158"/>
  <c r="C79" i="192"/>
  <c r="Q13" i="192"/>
  <c r="R12" i="158"/>
  <c r="Z42" i="158"/>
  <c r="Z56" i="196"/>
  <c r="Z64" i="158"/>
  <c r="R16" i="158"/>
  <c r="Z65" i="196"/>
  <c r="Z20" i="196"/>
  <c r="EX7" i="129"/>
  <c r="EX6" i="129" s="1"/>
  <c r="EW18" i="129"/>
  <c r="EW7" i="129" s="1"/>
  <c r="EW6" i="129" s="1"/>
  <c r="EY6" i="129"/>
  <c r="R5" i="131" s="1"/>
  <c r="R5" i="132" s="1"/>
  <c r="R6" i="131"/>
  <c r="R6" i="132" s="1"/>
  <c r="FI6" i="129"/>
  <c r="S5" i="131" s="1"/>
  <c r="S6" i="131"/>
  <c r="S17" i="132"/>
  <c r="M71" i="194" l="1"/>
  <c r="M71" i="205"/>
  <c r="M1" i="205"/>
  <c r="FA8" i="129"/>
  <c r="FA12" i="129"/>
  <c r="FA13" i="129"/>
  <c r="FA9" i="129"/>
  <c r="FB15" i="129"/>
  <c r="FA14" i="129"/>
  <c r="FA15" i="129"/>
  <c r="R16" i="196"/>
  <c r="Z64" i="196"/>
  <c r="Z14" i="158"/>
  <c r="X30" i="199"/>
  <c r="Z8" i="158"/>
  <c r="X24" i="199"/>
  <c r="Z16" i="158"/>
  <c r="X32" i="199"/>
  <c r="AF32" i="199" s="1"/>
  <c r="R15" i="196"/>
  <c r="Z61" i="196"/>
  <c r="Z13" i="158"/>
  <c r="X29" i="199"/>
  <c r="R12" i="196"/>
  <c r="Z42" i="196"/>
  <c r="Z11" i="158"/>
  <c r="X27" i="199"/>
  <c r="R13" i="196"/>
  <c r="Z47" i="196"/>
  <c r="R9" i="196"/>
  <c r="Z23" i="196"/>
  <c r="R10" i="196"/>
  <c r="Z29" i="196"/>
  <c r="R8" i="196"/>
  <c r="Z19" i="196"/>
  <c r="Z12" i="158"/>
  <c r="X28" i="199"/>
  <c r="Z10" i="158"/>
  <c r="X26" i="199"/>
  <c r="R11" i="196"/>
  <c r="Z35" i="196"/>
  <c r="X31" i="199"/>
  <c r="AF31" i="199" s="1"/>
  <c r="Z15" i="158"/>
  <c r="Z9" i="158"/>
  <c r="X25" i="199"/>
  <c r="R14" i="196"/>
  <c r="Z55" i="196"/>
  <c r="S6" i="132"/>
  <c r="S5" i="132"/>
  <c r="M70" i="194" l="1"/>
  <c r="M70" i="205"/>
  <c r="FA18" i="129"/>
  <c r="FB9" i="129"/>
  <c r="FB8" i="129"/>
  <c r="FB16" i="129"/>
  <c r="FB12" i="129"/>
  <c r="FB14" i="129"/>
  <c r="FB13" i="129"/>
  <c r="FB10" i="129"/>
  <c r="FB11" i="129"/>
  <c r="X8" i="199"/>
  <c r="Z9" i="196"/>
  <c r="W59" i="199"/>
  <c r="AF25" i="199"/>
  <c r="W60" i="199"/>
  <c r="AF26" i="199"/>
  <c r="AF30" i="199"/>
  <c r="W64" i="199"/>
  <c r="X7" i="199"/>
  <c r="Z8" i="196"/>
  <c r="X9" i="199"/>
  <c r="Z10" i="196"/>
  <c r="X12" i="199"/>
  <c r="Z13" i="196"/>
  <c r="X11" i="199"/>
  <c r="Z12" i="196"/>
  <c r="X14" i="199"/>
  <c r="Z15" i="196"/>
  <c r="X13" i="199"/>
  <c r="Z14" i="196"/>
  <c r="X10" i="199"/>
  <c r="Z11" i="196"/>
  <c r="X15" i="199"/>
  <c r="Z16" i="196"/>
  <c r="AF28" i="199"/>
  <c r="W62" i="199"/>
  <c r="W61" i="199"/>
  <c r="AF27" i="199"/>
  <c r="AF29" i="199"/>
  <c r="W63" i="199"/>
  <c r="AF24" i="199"/>
  <c r="W58" i="199"/>
  <c r="FB18" i="129" l="1"/>
  <c r="FA7" i="129"/>
  <c r="FA6" i="129" s="1"/>
  <c r="FA1" i="129" s="1"/>
  <c r="W47" i="199"/>
  <c r="AF13" i="199"/>
  <c r="W45" i="199"/>
  <c r="AF11" i="199"/>
  <c r="W43" i="199"/>
  <c r="AF9" i="199"/>
  <c r="W49" i="199"/>
  <c r="AF15" i="199"/>
  <c r="W44" i="199"/>
  <c r="AF10" i="199"/>
  <c r="W48" i="199"/>
  <c r="AF14" i="199"/>
  <c r="W46" i="199"/>
  <c r="AF12" i="199"/>
  <c r="W41" i="199"/>
  <c r="AF7" i="199"/>
  <c r="W42" i="199"/>
  <c r="AF8" i="199"/>
  <c r="FB7" i="129" l="1"/>
  <c r="FB6" i="129" s="1"/>
  <c r="FB1" i="129" s="1"/>
  <c r="GH7" i="129" l="1"/>
  <c r="GH6" i="129" s="1"/>
  <c r="GB18" i="129"/>
  <c r="GB7" i="129" s="1"/>
  <c r="GB6" i="129" s="1"/>
  <c r="K8" i="197"/>
  <c r="M82" i="192"/>
  <c r="O82" i="212" l="1"/>
  <c r="M71" i="192"/>
  <c r="O5" i="212" l="1"/>
  <c r="O85" i="200" s="1"/>
  <c r="O133" i="200" s="1"/>
  <c r="HD18" i="129"/>
  <c r="HD7" i="129" s="1"/>
  <c r="HD6" i="129" s="1"/>
  <c r="O82" i="213"/>
  <c r="O5" i="213"/>
  <c r="O82" i="211"/>
  <c r="O5" i="211"/>
  <c r="O53" i="200" s="1"/>
  <c r="M70" i="192"/>
  <c r="C82" i="192"/>
  <c r="Q16" i="192"/>
  <c r="O4" i="212" l="1"/>
  <c r="O84" i="200" s="1"/>
  <c r="O132" i="200" s="1"/>
  <c r="O4" i="213"/>
  <c r="O101" i="200"/>
  <c r="HA20" i="129"/>
  <c r="M18" i="212" s="1"/>
  <c r="HA24" i="129"/>
  <c r="M22" i="212" s="1"/>
  <c r="HA56" i="129"/>
  <c r="M54" i="212" s="1"/>
  <c r="HA36" i="129"/>
  <c r="M34" i="212" s="1"/>
  <c r="HA65" i="129"/>
  <c r="M63" i="212" s="1"/>
  <c r="HA30" i="129"/>
  <c r="M28" i="212" s="1"/>
  <c r="HA62" i="129"/>
  <c r="M60" i="212" s="1"/>
  <c r="HA53" i="129"/>
  <c r="M51" i="212" s="1"/>
  <c r="HA28" i="129"/>
  <c r="M26" i="212" s="1"/>
  <c r="HA48" i="129"/>
  <c r="M46" i="212" s="1"/>
  <c r="HA26" i="129"/>
  <c r="M24" i="212" s="1"/>
  <c r="HA32" i="129"/>
  <c r="M30" i="212" s="1"/>
  <c r="HA33" i="129"/>
  <c r="M31" i="212" s="1"/>
  <c r="HA66" i="129"/>
  <c r="M64" i="212" s="1"/>
  <c r="HA22" i="129"/>
  <c r="M20" i="212" s="1"/>
  <c r="HA49" i="129"/>
  <c r="M47" i="212" s="1"/>
  <c r="HA51" i="129"/>
  <c r="M49" i="212" s="1"/>
  <c r="HA21" i="129"/>
  <c r="M19" i="212" s="1"/>
  <c r="HA43" i="129"/>
  <c r="M41" i="212" s="1"/>
  <c r="HA31" i="129"/>
  <c r="M29" i="212" s="1"/>
  <c r="HA57" i="129"/>
  <c r="M55" i="212" s="1"/>
  <c r="HA50" i="129"/>
  <c r="M48" i="212" s="1"/>
  <c r="HA34" i="129"/>
  <c r="M32" i="212" s="1"/>
  <c r="HA25" i="129"/>
  <c r="M23" i="212" s="1"/>
  <c r="HA37" i="129"/>
  <c r="M35" i="212" s="1"/>
  <c r="HA54" i="129"/>
  <c r="M52" i="212" s="1"/>
  <c r="HA67" i="129"/>
  <c r="M65" i="212" s="1"/>
  <c r="HA59" i="129"/>
  <c r="M57" i="212" s="1"/>
  <c r="HA58" i="129"/>
  <c r="M56" i="212" s="1"/>
  <c r="HA27" i="129"/>
  <c r="M25" i="212" s="1"/>
  <c r="HA60" i="129"/>
  <c r="M58" i="212" s="1"/>
  <c r="HA63" i="129"/>
  <c r="M61" i="212" s="1"/>
  <c r="HA52" i="129"/>
  <c r="M50" i="212" s="1"/>
  <c r="HA40" i="129"/>
  <c r="M38" i="212" s="1"/>
  <c r="HA45" i="129"/>
  <c r="M43" i="212" s="1"/>
  <c r="HA38" i="129"/>
  <c r="M36" i="212" s="1"/>
  <c r="HA44" i="129"/>
  <c r="M42" i="212" s="1"/>
  <c r="HA39" i="129"/>
  <c r="M37" i="212" s="1"/>
  <c r="HA41" i="129"/>
  <c r="M39" i="212" s="1"/>
  <c r="HA46" i="129"/>
  <c r="M44" i="212" s="1"/>
  <c r="O4" i="211"/>
  <c r="O52" i="200" s="1"/>
  <c r="Z18" i="158"/>
  <c r="R69" i="158"/>
  <c r="R7" i="158"/>
  <c r="Q5" i="192"/>
  <c r="C71" i="192"/>
  <c r="O100" i="200" l="1"/>
  <c r="HA29" i="129"/>
  <c r="HA61" i="129"/>
  <c r="HA64" i="129"/>
  <c r="HA35" i="129"/>
  <c r="HA42" i="129"/>
  <c r="HA55" i="129"/>
  <c r="HA47" i="129"/>
  <c r="HA23" i="129"/>
  <c r="HA19" i="129"/>
  <c r="X23" i="199"/>
  <c r="R6" i="158"/>
  <c r="Z7" i="158"/>
  <c r="Z69" i="158"/>
  <c r="Q4" i="192"/>
  <c r="C70" i="192"/>
  <c r="R7" i="196"/>
  <c r="R6" i="196" s="1"/>
  <c r="Z18" i="196"/>
  <c r="HA12" i="129" l="1"/>
  <c r="M40" i="212"/>
  <c r="HA15" i="129"/>
  <c r="M59" i="212"/>
  <c r="HA14" i="129"/>
  <c r="M53" i="212"/>
  <c r="HA10" i="129"/>
  <c r="M27" i="212"/>
  <c r="HA13" i="129"/>
  <c r="M45" i="212"/>
  <c r="HA11" i="129"/>
  <c r="M33" i="212"/>
  <c r="HA16" i="129"/>
  <c r="M62" i="212"/>
  <c r="HA8" i="129"/>
  <c r="M17" i="212"/>
  <c r="HA9" i="129"/>
  <c r="M21" i="212"/>
  <c r="Z6" i="158"/>
  <c r="X22" i="199"/>
  <c r="J8" i="197" s="1"/>
  <c r="Z7" i="196"/>
  <c r="X6" i="199"/>
  <c r="W55" i="199"/>
  <c r="AF23" i="199"/>
  <c r="W57" i="199"/>
  <c r="Z69" i="196"/>
  <c r="EV5" i="129"/>
  <c r="EV1" i="129" s="1"/>
  <c r="EM1" i="129"/>
  <c r="HA18" i="129" l="1"/>
  <c r="HA7" i="129" s="1"/>
  <c r="HA6" i="129" s="1"/>
  <c r="J9" i="197"/>
  <c r="K9" i="197"/>
  <c r="AF6" i="199"/>
  <c r="W40" i="199"/>
  <c r="Z6" i="196"/>
  <c r="X5" i="199"/>
  <c r="J10" i="197" s="1"/>
  <c r="AF22" i="199"/>
  <c r="W56" i="199"/>
  <c r="W54" i="199"/>
  <c r="V62" i="92"/>
  <c r="ET5" i="129" s="1"/>
  <c r="ET1" i="129" s="1"/>
  <c r="M16" i="212" l="1"/>
  <c r="J29" i="197"/>
  <c r="K29" i="197"/>
  <c r="J11" i="197"/>
  <c r="W39" i="199"/>
  <c r="AF5" i="199"/>
  <c r="I24" i="197" l="1"/>
  <c r="J24" i="197"/>
  <c r="HU7" i="129" l="1"/>
  <c r="HU6" i="129" s="1"/>
  <c r="R53" i="204" l="1"/>
  <c r="R54" i="204"/>
  <c r="S53" i="204" l="1"/>
  <c r="K10" i="197" l="1"/>
  <c r="K11" i="197" s="1"/>
  <c r="K24" i="197" s="1"/>
  <c r="O82" i="191" l="1"/>
  <c r="O71" i="212" l="1"/>
  <c r="O71" i="213"/>
  <c r="O71" i="211"/>
  <c r="O71" i="191"/>
  <c r="R16" i="191"/>
  <c r="S16" i="191" s="1"/>
  <c r="L82" i="191"/>
  <c r="O70" i="212" l="1"/>
  <c r="O70" i="213"/>
  <c r="O70" i="211"/>
  <c r="O70" i="191"/>
  <c r="L71" i="191"/>
  <c r="R5" i="191"/>
  <c r="S5" i="191" s="1"/>
  <c r="L70" i="191" l="1"/>
  <c r="R4" i="191"/>
  <c r="S4" i="191" s="1"/>
  <c r="GJ7" i="129" l="1"/>
  <c r="GJ10" i="129" l="1"/>
  <c r="GJ11" i="129"/>
  <c r="GJ9" i="129"/>
  <c r="GJ16" i="129"/>
  <c r="GJ14" i="129"/>
  <c r="O70" i="192"/>
  <c r="O72" i="192"/>
  <c r="GT7" i="129"/>
  <c r="O78" i="192"/>
  <c r="O73" i="192"/>
  <c r="O76" i="192"/>
  <c r="O80" i="192"/>
  <c r="O74" i="192"/>
  <c r="O75" i="192"/>
  <c r="O87" i="194"/>
  <c r="O119" i="194"/>
  <c r="O83" i="194"/>
  <c r="O77" i="192"/>
  <c r="O107" i="192"/>
  <c r="O96" i="194"/>
  <c r="O129" i="194"/>
  <c r="O96" i="192"/>
  <c r="O129" i="192"/>
  <c r="O94" i="194"/>
  <c r="O102" i="192"/>
  <c r="O94" i="192"/>
  <c r="O90" i="192"/>
  <c r="O120" i="192"/>
  <c r="O102" i="194"/>
  <c r="O107" i="194"/>
  <c r="O88" i="194"/>
  <c r="O108" i="194"/>
  <c r="O95" i="194"/>
  <c r="O113" i="192"/>
  <c r="O112" i="192"/>
  <c r="O117" i="194"/>
  <c r="O86" i="192"/>
  <c r="O84" i="192"/>
  <c r="O104" i="192"/>
  <c r="O109" i="192"/>
  <c r="O79" i="192"/>
  <c r="O117" i="192"/>
  <c r="O95" i="192"/>
  <c r="O120" i="194"/>
  <c r="O113" i="194"/>
  <c r="O108" i="192"/>
  <c r="O88" i="192"/>
  <c r="O98" i="192"/>
  <c r="O100" i="192"/>
  <c r="O110" i="192"/>
  <c r="O101" i="192"/>
  <c r="O89" i="194"/>
  <c r="O100" i="194"/>
  <c r="O103" i="192"/>
  <c r="O92" i="194"/>
  <c r="O130" i="192"/>
  <c r="O122" i="192"/>
  <c r="O126" i="192"/>
  <c r="O103" i="194"/>
  <c r="O123" i="194"/>
  <c r="O97" i="194"/>
  <c r="O89" i="192"/>
  <c r="O118" i="192"/>
  <c r="O91" i="192"/>
  <c r="O116" i="194"/>
  <c r="O105" i="194"/>
  <c r="O115" i="192"/>
  <c r="O123" i="192"/>
  <c r="O126" i="194"/>
  <c r="O92" i="192"/>
  <c r="O110" i="194"/>
  <c r="O114" i="192"/>
  <c r="O114" i="194"/>
  <c r="O118" i="194"/>
  <c r="O130" i="194"/>
  <c r="O121" i="194"/>
  <c r="O115" i="194"/>
  <c r="O121" i="192"/>
  <c r="O85" i="192"/>
  <c r="O131" i="192"/>
  <c r="O101" i="194"/>
  <c r="O116" i="192"/>
  <c r="O105" i="192"/>
  <c r="O91" i="194"/>
  <c r="O131" i="194"/>
  <c r="O124" i="192"/>
  <c r="O97" i="192"/>
  <c r="O127" i="192"/>
  <c r="R58" i="192"/>
  <c r="S58" i="192" s="1"/>
  <c r="O111" i="192"/>
  <c r="R19" i="192"/>
  <c r="S19" i="192" s="1"/>
  <c r="R35" i="192"/>
  <c r="S35" i="192" s="1"/>
  <c r="R43" i="192"/>
  <c r="S43" i="192" s="1"/>
  <c r="R51" i="192"/>
  <c r="S51" i="192" s="1"/>
  <c r="R50" i="192"/>
  <c r="S50" i="192" s="1"/>
  <c r="O71" i="192"/>
  <c r="O119" i="192"/>
  <c r="R20" i="192"/>
  <c r="S20" i="192" s="1"/>
  <c r="L86" i="192"/>
  <c r="R28" i="192"/>
  <c r="S28" i="192" s="1"/>
  <c r="R36" i="192"/>
  <c r="S36" i="192" s="1"/>
  <c r="R44" i="192"/>
  <c r="S44" i="192" s="1"/>
  <c r="L110" i="192"/>
  <c r="R52" i="192"/>
  <c r="S52" i="192" s="1"/>
  <c r="L118" i="192"/>
  <c r="R60" i="192"/>
  <c r="S60" i="192" s="1"/>
  <c r="R42" i="192"/>
  <c r="S42" i="192" s="1"/>
  <c r="O82" i="192"/>
  <c r="O125" i="192"/>
  <c r="L87" i="192"/>
  <c r="R29" i="192"/>
  <c r="S29" i="192" s="1"/>
  <c r="R37" i="192"/>
  <c r="S37" i="192" s="1"/>
  <c r="L111" i="192"/>
  <c r="L119" i="192"/>
  <c r="R61" i="192"/>
  <c r="S61" i="192" s="1"/>
  <c r="R26" i="192"/>
  <c r="S26" i="192" s="1"/>
  <c r="O83" i="192"/>
  <c r="O128" i="192"/>
  <c r="R22" i="192"/>
  <c r="S22" i="192" s="1"/>
  <c r="L88" i="192"/>
  <c r="R30" i="192"/>
  <c r="S30" i="192" s="1"/>
  <c r="R38" i="192"/>
  <c r="S38" i="192" s="1"/>
  <c r="R46" i="192"/>
  <c r="S46" i="192" s="1"/>
  <c r="L112" i="192"/>
  <c r="R54" i="192"/>
  <c r="S54" i="192" s="1"/>
  <c r="L120" i="192"/>
  <c r="R18" i="192"/>
  <c r="S18" i="192" s="1"/>
  <c r="O87" i="192"/>
  <c r="R23" i="192"/>
  <c r="S23" i="192" s="1"/>
  <c r="L89" i="192"/>
  <c r="R31" i="192"/>
  <c r="S31" i="192" s="1"/>
  <c r="R39" i="192"/>
  <c r="S39" i="192" s="1"/>
  <c r="R47" i="192"/>
  <c r="S47" i="192" s="1"/>
  <c r="L113" i="192"/>
  <c r="R55" i="192"/>
  <c r="S55" i="192" s="1"/>
  <c r="L121" i="192"/>
  <c r="R63" i="192"/>
  <c r="S63" i="192" s="1"/>
  <c r="O106" i="192"/>
  <c r="R34" i="192"/>
  <c r="S34" i="192" s="1"/>
  <c r="O93" i="192"/>
  <c r="L82" i="192"/>
  <c r="R24" i="192"/>
  <c r="S24" i="192" s="1"/>
  <c r="L90" i="192"/>
  <c r="R32" i="192"/>
  <c r="S32" i="192" s="1"/>
  <c r="L106" i="192"/>
  <c r="R48" i="192"/>
  <c r="S48" i="192" s="1"/>
  <c r="R56" i="192"/>
  <c r="S56" i="192" s="1"/>
  <c r="L122" i="192"/>
  <c r="R64" i="192"/>
  <c r="S64" i="192" s="1"/>
  <c r="O99" i="192"/>
  <c r="L83" i="192"/>
  <c r="R25" i="192"/>
  <c r="S25" i="192" s="1"/>
  <c r="L99" i="192"/>
  <c r="R41" i="192"/>
  <c r="S41" i="192" s="1"/>
  <c r="L107" i="192"/>
  <c r="R49" i="192"/>
  <c r="S49" i="192" s="1"/>
  <c r="L115" i="192"/>
  <c r="R57" i="192"/>
  <c r="S57" i="192" s="1"/>
  <c r="R65" i="192"/>
  <c r="S65" i="192" s="1"/>
  <c r="O14" i="207" l="1"/>
  <c r="O30" i="200" s="1"/>
  <c r="O78" i="200" s="1"/>
  <c r="GT16" i="129"/>
  <c r="GJ6" i="129"/>
  <c r="O106" i="194"/>
  <c r="O128" i="194"/>
  <c r="O86" i="194"/>
  <c r="O82" i="194"/>
  <c r="O98" i="194"/>
  <c r="O99" i="207"/>
  <c r="O85" i="194"/>
  <c r="O84" i="194"/>
  <c r="O109" i="194"/>
  <c r="O93" i="194"/>
  <c r="O111" i="194"/>
  <c r="O86" i="205"/>
  <c r="O5" i="207"/>
  <c r="O82" i="207"/>
  <c r="O85" i="205"/>
  <c r="O84" i="205"/>
  <c r="O109" i="205"/>
  <c r="O74" i="194"/>
  <c r="L114" i="192"/>
  <c r="R62" i="192"/>
  <c r="S62" i="192" s="1"/>
  <c r="L117" i="192"/>
  <c r="O125" i="194"/>
  <c r="O98" i="205"/>
  <c r="O128" i="207"/>
  <c r="R59" i="194"/>
  <c r="L125" i="194"/>
  <c r="R32" i="205"/>
  <c r="L98" i="205"/>
  <c r="GT10" i="129"/>
  <c r="R17" i="192"/>
  <c r="S17" i="192" s="1"/>
  <c r="R53" i="192"/>
  <c r="S53" i="192" s="1"/>
  <c r="L109" i="192"/>
  <c r="L124" i="192"/>
  <c r="R40" i="192"/>
  <c r="S40" i="192" s="1"/>
  <c r="R27" i="192"/>
  <c r="S27" i="192" s="1"/>
  <c r="O112" i="194"/>
  <c r="R40" i="194"/>
  <c r="L106" i="194"/>
  <c r="GT15" i="129"/>
  <c r="GT13" i="129"/>
  <c r="GT14" i="129"/>
  <c r="R59" i="192"/>
  <c r="S59" i="192" s="1"/>
  <c r="L130" i="192"/>
  <c r="L98" i="192"/>
  <c r="L100" i="192"/>
  <c r="R21" i="192"/>
  <c r="S21" i="192" s="1"/>
  <c r="R45" i="192"/>
  <c r="S45" i="192" s="1"/>
  <c r="L101" i="192"/>
  <c r="R45" i="194"/>
  <c r="L111" i="194"/>
  <c r="O99" i="194"/>
  <c r="L131" i="192"/>
  <c r="L105" i="192"/>
  <c r="L84" i="192"/>
  <c r="L104" i="192"/>
  <c r="L92" i="192"/>
  <c r="L103" i="192"/>
  <c r="L108" i="192"/>
  <c r="L102" i="192"/>
  <c r="L116" i="192"/>
  <c r="R33" i="194"/>
  <c r="L99" i="194"/>
  <c r="GT12" i="129"/>
  <c r="R33" i="192"/>
  <c r="S33" i="192" s="1"/>
  <c r="L93" i="192"/>
  <c r="R16" i="192"/>
  <c r="S16" i="192" s="1"/>
  <c r="L123" i="192"/>
  <c r="L91" i="192"/>
  <c r="L129" i="192"/>
  <c r="L97" i="192"/>
  <c r="L128" i="192"/>
  <c r="L96" i="192"/>
  <c r="L127" i="192"/>
  <c r="L95" i="192"/>
  <c r="L126" i="192"/>
  <c r="L94" i="192"/>
  <c r="L125" i="192"/>
  <c r="L85" i="192"/>
  <c r="O127" i="194"/>
  <c r="O124" i="194"/>
  <c r="O122" i="194"/>
  <c r="O104" i="194"/>
  <c r="O90" i="194"/>
  <c r="R53" i="194"/>
  <c r="L119" i="194"/>
  <c r="GT9" i="129"/>
  <c r="GT8" i="129"/>
  <c r="O80" i="207" l="1"/>
  <c r="O9" i="207"/>
  <c r="GT11" i="129"/>
  <c r="GT6" i="129" s="1"/>
  <c r="GG44" i="129"/>
  <c r="GG41" i="129"/>
  <c r="GG67" i="129"/>
  <c r="GG24" i="129"/>
  <c r="GG50" i="129"/>
  <c r="GG32" i="129"/>
  <c r="GG46" i="129"/>
  <c r="GG53" i="129"/>
  <c r="GG48" i="129"/>
  <c r="GG33" i="129"/>
  <c r="GG39" i="129"/>
  <c r="GG21" i="129"/>
  <c r="GG34" i="129"/>
  <c r="GG65" i="129"/>
  <c r="GG25" i="129"/>
  <c r="GG43" i="129"/>
  <c r="GG54" i="129"/>
  <c r="GG45" i="129"/>
  <c r="GG36" i="129"/>
  <c r="GG59" i="129"/>
  <c r="GG30" i="129"/>
  <c r="GG58" i="129"/>
  <c r="GG22" i="129"/>
  <c r="GG60" i="129"/>
  <c r="GG31" i="129"/>
  <c r="GG56" i="129"/>
  <c r="GG37" i="129"/>
  <c r="GG28" i="129"/>
  <c r="GG38" i="129"/>
  <c r="GG49" i="129"/>
  <c r="GG62" i="129"/>
  <c r="GG57" i="129"/>
  <c r="GG26" i="129"/>
  <c r="GG52" i="129"/>
  <c r="GG66" i="129"/>
  <c r="GG63" i="129"/>
  <c r="GG27" i="129"/>
  <c r="GG20" i="129"/>
  <c r="GG40" i="129"/>
  <c r="GG51" i="129"/>
  <c r="R32" i="194"/>
  <c r="L98" i="194"/>
  <c r="O113" i="205"/>
  <c r="R25" i="194"/>
  <c r="L91" i="194"/>
  <c r="O125" i="205"/>
  <c r="O117" i="205"/>
  <c r="O131" i="205"/>
  <c r="R64" i="194"/>
  <c r="L130" i="194"/>
  <c r="R44" i="194"/>
  <c r="L110" i="194"/>
  <c r="R13" i="192"/>
  <c r="S13" i="192" s="1"/>
  <c r="L79" i="192"/>
  <c r="R10" i="194"/>
  <c r="L76" i="194"/>
  <c r="R29" i="194"/>
  <c r="L95" i="194"/>
  <c r="L121" i="194"/>
  <c r="R55" i="194"/>
  <c r="R17" i="194"/>
  <c r="L83" i="194"/>
  <c r="O89" i="207"/>
  <c r="L78" i="192"/>
  <c r="R12" i="192"/>
  <c r="S12" i="192" s="1"/>
  <c r="O114" i="207"/>
  <c r="R46" i="194"/>
  <c r="L112" i="194"/>
  <c r="R56" i="194"/>
  <c r="L122" i="194"/>
  <c r="L80" i="192"/>
  <c r="R14" i="192"/>
  <c r="S14" i="192" s="1"/>
  <c r="R18" i="205"/>
  <c r="L84" i="205"/>
  <c r="O110" i="205"/>
  <c r="O91" i="205"/>
  <c r="O106" i="207"/>
  <c r="O10" i="207"/>
  <c r="O102" i="205"/>
  <c r="R42" i="194"/>
  <c r="L108" i="194"/>
  <c r="O130" i="205"/>
  <c r="O110" i="207"/>
  <c r="L77" i="192"/>
  <c r="R11" i="192"/>
  <c r="S11" i="192" s="1"/>
  <c r="O78" i="194"/>
  <c r="O77" i="194"/>
  <c r="O95" i="207"/>
  <c r="O121" i="205"/>
  <c r="O72" i="194"/>
  <c r="O97" i="205"/>
  <c r="R30" i="194"/>
  <c r="L96" i="194"/>
  <c r="R49" i="194"/>
  <c r="L115" i="194"/>
  <c r="O112" i="207"/>
  <c r="O122" i="207"/>
  <c r="O71" i="194"/>
  <c r="R54" i="194"/>
  <c r="L120" i="194"/>
  <c r="O91" i="207"/>
  <c r="R21" i="194"/>
  <c r="L87" i="194"/>
  <c r="O95" i="205"/>
  <c r="O108" i="207"/>
  <c r="O130" i="207"/>
  <c r="L77" i="194"/>
  <c r="R11" i="194"/>
  <c r="O101" i="205"/>
  <c r="R7" i="192"/>
  <c r="S7" i="192" s="1"/>
  <c r="L73" i="192"/>
  <c r="O12" i="207"/>
  <c r="O119" i="207"/>
  <c r="O100" i="205"/>
  <c r="O92" i="205"/>
  <c r="O121" i="207"/>
  <c r="R18" i="194"/>
  <c r="L84" i="194"/>
  <c r="L97" i="194"/>
  <c r="R31" i="194"/>
  <c r="R6" i="192"/>
  <c r="S6" i="192" s="1"/>
  <c r="L72" i="192"/>
  <c r="O96" i="207"/>
  <c r="O115" i="205"/>
  <c r="R58" i="194"/>
  <c r="L124" i="194"/>
  <c r="R19" i="205"/>
  <c r="L85" i="205"/>
  <c r="O109" i="207"/>
  <c r="O126" i="207"/>
  <c r="O120" i="207"/>
  <c r="O87" i="205"/>
  <c r="O94" i="205"/>
  <c r="L117" i="194"/>
  <c r="R51" i="194"/>
  <c r="R47" i="194"/>
  <c r="L113" i="194"/>
  <c r="R35" i="194"/>
  <c r="L101" i="194"/>
  <c r="O11" i="207"/>
  <c r="O111" i="207"/>
  <c r="R26" i="194"/>
  <c r="L92" i="194"/>
  <c r="O84" i="207"/>
  <c r="O97" i="207"/>
  <c r="T34" i="158"/>
  <c r="Q32" i="205"/>
  <c r="C98" i="205"/>
  <c r="R41" i="194"/>
  <c r="L107" i="194"/>
  <c r="O115" i="207"/>
  <c r="R24" i="194"/>
  <c r="L90" i="194"/>
  <c r="O124" i="207"/>
  <c r="O80" i="194"/>
  <c r="O120" i="205"/>
  <c r="L109" i="194"/>
  <c r="R43" i="194"/>
  <c r="R16" i="194"/>
  <c r="L82" i="194"/>
  <c r="R12" i="194"/>
  <c r="L78" i="194"/>
  <c r="O118" i="205"/>
  <c r="R34" i="194"/>
  <c r="L100" i="194"/>
  <c r="L75" i="192"/>
  <c r="R9" i="192"/>
  <c r="S9" i="192" s="1"/>
  <c r="O73" i="194"/>
  <c r="R63" i="194"/>
  <c r="L129" i="194"/>
  <c r="O117" i="207"/>
  <c r="O113" i="207"/>
  <c r="O101" i="207"/>
  <c r="O13" i="207"/>
  <c r="O125" i="207"/>
  <c r="O90" i="205"/>
  <c r="O92" i="207"/>
  <c r="L74" i="192"/>
  <c r="R8" i="192"/>
  <c r="S8" i="192" s="1"/>
  <c r="R20" i="194"/>
  <c r="L86" i="194"/>
  <c r="R65" i="194"/>
  <c r="L131" i="194"/>
  <c r="O75" i="194"/>
  <c r="S32" i="205"/>
  <c r="O107" i="207"/>
  <c r="O90" i="207"/>
  <c r="R61" i="194"/>
  <c r="L127" i="194"/>
  <c r="O21" i="200"/>
  <c r="O69" i="200" s="1"/>
  <c r="O71" i="207"/>
  <c r="O98" i="207"/>
  <c r="R22" i="194"/>
  <c r="L88" i="194"/>
  <c r="R52" i="194"/>
  <c r="L118" i="194"/>
  <c r="L71" i="192"/>
  <c r="R5" i="192"/>
  <c r="S5" i="192" s="1"/>
  <c r="O100" i="207"/>
  <c r="O129" i="207"/>
  <c r="O116" i="205"/>
  <c r="O79" i="194"/>
  <c r="O123" i="205"/>
  <c r="R19" i="194"/>
  <c r="L85" i="194"/>
  <c r="O108" i="205"/>
  <c r="O103" i="205"/>
  <c r="R39" i="194"/>
  <c r="L105" i="194"/>
  <c r="R10" i="192"/>
  <c r="S10" i="192" s="1"/>
  <c r="L76" i="192"/>
  <c r="O86" i="207"/>
  <c r="O131" i="207"/>
  <c r="O8" i="207"/>
  <c r="O93" i="207"/>
  <c r="O107" i="205"/>
  <c r="O124" i="205"/>
  <c r="R38" i="194"/>
  <c r="L104" i="194"/>
  <c r="O127" i="205"/>
  <c r="O76" i="194"/>
  <c r="O126" i="205"/>
  <c r="O88" i="205"/>
  <c r="O82" i="205"/>
  <c r="O106" i="205"/>
  <c r="O96" i="205"/>
  <c r="O88" i="207"/>
  <c r="O118" i="207"/>
  <c r="L103" i="194"/>
  <c r="R37" i="194"/>
  <c r="O99" i="205"/>
  <c r="R28" i="194"/>
  <c r="L94" i="194"/>
  <c r="R50" i="194"/>
  <c r="L116" i="194"/>
  <c r="O93" i="205"/>
  <c r="R57" i="194"/>
  <c r="L123" i="194"/>
  <c r="O85" i="207"/>
  <c r="R36" i="194"/>
  <c r="L102" i="194"/>
  <c r="O105" i="205"/>
  <c r="O89" i="205"/>
  <c r="O111" i="205"/>
  <c r="O114" i="205"/>
  <c r="O104" i="207"/>
  <c r="O127" i="207"/>
  <c r="R43" i="205"/>
  <c r="L109" i="205"/>
  <c r="O119" i="205"/>
  <c r="R60" i="194"/>
  <c r="L126" i="194"/>
  <c r="O6" i="207"/>
  <c r="O83" i="207"/>
  <c r="O87" i="207"/>
  <c r="O7" i="207"/>
  <c r="O128" i="205"/>
  <c r="R62" i="194"/>
  <c r="L128" i="194"/>
  <c r="O112" i="205"/>
  <c r="O103" i="207"/>
  <c r="O83" i="205"/>
  <c r="L75" i="194"/>
  <c r="R9" i="194"/>
  <c r="O94" i="207"/>
  <c r="O116" i="207"/>
  <c r="R27" i="194"/>
  <c r="L93" i="194"/>
  <c r="O123" i="207"/>
  <c r="O102" i="207"/>
  <c r="O105" i="207"/>
  <c r="O104" i="205"/>
  <c r="R23" i="194"/>
  <c r="L89" i="194"/>
  <c r="R13" i="194"/>
  <c r="L79" i="194"/>
  <c r="R48" i="194"/>
  <c r="L114" i="194"/>
  <c r="O129" i="205"/>
  <c r="O122" i="205"/>
  <c r="R20" i="205"/>
  <c r="L86" i="205"/>
  <c r="GQ46" i="129" l="1"/>
  <c r="GQ32" i="129"/>
  <c r="GQ54" i="129"/>
  <c r="GQ21" i="129"/>
  <c r="GQ45" i="129"/>
  <c r="GQ30" i="129"/>
  <c r="GQ41" i="129"/>
  <c r="GQ50" i="129"/>
  <c r="GQ53" i="129"/>
  <c r="GQ25" i="129"/>
  <c r="GQ34" i="129"/>
  <c r="GQ31" i="129"/>
  <c r="GQ40" i="129"/>
  <c r="GQ27" i="129"/>
  <c r="GQ57" i="129"/>
  <c r="GQ62" i="129"/>
  <c r="GQ52" i="129"/>
  <c r="GQ20" i="129"/>
  <c r="GQ26" i="129"/>
  <c r="GQ49" i="129"/>
  <c r="GQ48" i="129"/>
  <c r="GQ36" i="129"/>
  <c r="GQ22" i="129"/>
  <c r="GQ63" i="129"/>
  <c r="GQ44" i="129"/>
  <c r="GQ51" i="129"/>
  <c r="GQ56" i="129"/>
  <c r="GQ59" i="129"/>
  <c r="GQ33" i="129"/>
  <c r="GQ37" i="129"/>
  <c r="GQ58" i="129"/>
  <c r="GQ65" i="129"/>
  <c r="GQ67" i="129"/>
  <c r="GQ24" i="129"/>
  <c r="GQ66" i="129"/>
  <c r="GQ60" i="129"/>
  <c r="GQ39" i="129"/>
  <c r="GQ38" i="129"/>
  <c r="GQ43" i="129"/>
  <c r="GQ28" i="129"/>
  <c r="O25" i="200"/>
  <c r="O73" i="200" s="1"/>
  <c r="O75" i="207"/>
  <c r="M49" i="207"/>
  <c r="M115" i="207" s="1"/>
  <c r="M61" i="207"/>
  <c r="M127" i="207" s="1"/>
  <c r="M55" i="207"/>
  <c r="M121" i="207" s="1"/>
  <c r="M26" i="207"/>
  <c r="M92" i="207" s="1"/>
  <c r="M58" i="207"/>
  <c r="M124" i="207" s="1"/>
  <c r="M57" i="207"/>
  <c r="M19" i="207"/>
  <c r="M85" i="207" s="1"/>
  <c r="M51" i="207"/>
  <c r="M117" i="207" s="1"/>
  <c r="M38" i="207"/>
  <c r="M104" i="207" s="1"/>
  <c r="M64" i="207"/>
  <c r="M130" i="207" s="1"/>
  <c r="M35" i="207"/>
  <c r="M101" i="207" s="1"/>
  <c r="M20" i="207"/>
  <c r="M86" i="207" s="1"/>
  <c r="M23" i="207"/>
  <c r="M89" i="207" s="1"/>
  <c r="M37" i="207"/>
  <c r="M103" i="207" s="1"/>
  <c r="M44" i="207"/>
  <c r="M110" i="207" s="1"/>
  <c r="M65" i="207"/>
  <c r="M131" i="207" s="1"/>
  <c r="M50" i="207"/>
  <c r="M116" i="207" s="1"/>
  <c r="M47" i="207"/>
  <c r="M113" i="207" s="1"/>
  <c r="M56" i="207"/>
  <c r="M122" i="207" s="1"/>
  <c r="M43" i="207"/>
  <c r="M109" i="207" s="1"/>
  <c r="M31" i="207"/>
  <c r="M97" i="207" s="1"/>
  <c r="M30" i="207"/>
  <c r="M96" i="207" s="1"/>
  <c r="M39" i="207"/>
  <c r="M105" i="207" s="1"/>
  <c r="M25" i="207"/>
  <c r="M91" i="207" s="1"/>
  <c r="M24" i="207"/>
  <c r="M90" i="207" s="1"/>
  <c r="M36" i="207"/>
  <c r="M102" i="207" s="1"/>
  <c r="M29" i="207"/>
  <c r="M95" i="207" s="1"/>
  <c r="M52" i="207"/>
  <c r="M118" i="207" s="1"/>
  <c r="M32" i="207"/>
  <c r="M98" i="207" s="1"/>
  <c r="M48" i="207"/>
  <c r="M114" i="207" s="1"/>
  <c r="M42" i="207"/>
  <c r="M108" i="207" s="1"/>
  <c r="S34" i="194"/>
  <c r="S55" i="194"/>
  <c r="S63" i="194"/>
  <c r="S29" i="194"/>
  <c r="S42" i="194"/>
  <c r="S18" i="205"/>
  <c r="S38" i="194"/>
  <c r="S51" i="194"/>
  <c r="S39" i="194"/>
  <c r="S19" i="194"/>
  <c r="S20" i="205"/>
  <c r="S54" i="194"/>
  <c r="S64" i="194"/>
  <c r="M41" i="207"/>
  <c r="GG42" i="129"/>
  <c r="M22" i="207"/>
  <c r="GG23" i="129"/>
  <c r="M60" i="207"/>
  <c r="GG61" i="129"/>
  <c r="M34" i="207"/>
  <c r="GG35" i="129"/>
  <c r="GG19" i="129"/>
  <c r="M18" i="207"/>
  <c r="GG55" i="129"/>
  <c r="M54" i="207"/>
  <c r="M63" i="207"/>
  <c r="GG64" i="129"/>
  <c r="M28" i="207"/>
  <c r="GG29" i="129"/>
  <c r="M46" i="207"/>
  <c r="GG47" i="129"/>
  <c r="S20" i="194"/>
  <c r="S41" i="194"/>
  <c r="S43" i="205"/>
  <c r="S31" i="194"/>
  <c r="S16" i="194"/>
  <c r="S60" i="194"/>
  <c r="S57" i="194"/>
  <c r="S52" i="194"/>
  <c r="S65" i="194"/>
  <c r="S43" i="194"/>
  <c r="S36" i="194"/>
  <c r="S44" i="194"/>
  <c r="S48" i="194"/>
  <c r="S37" i="194"/>
  <c r="S26" i="194"/>
  <c r="S47" i="194"/>
  <c r="S49" i="194"/>
  <c r="L112" i="205"/>
  <c r="R46" i="205"/>
  <c r="S52" i="158"/>
  <c r="Q50" i="194"/>
  <c r="C116" i="194"/>
  <c r="L88" i="205"/>
  <c r="R22" i="205"/>
  <c r="S24" i="158"/>
  <c r="S21" i="194"/>
  <c r="Q22" i="194"/>
  <c r="C88" i="194"/>
  <c r="C127" i="194"/>
  <c r="S63" i="158"/>
  <c r="Q61" i="194"/>
  <c r="S35" i="194"/>
  <c r="R31" i="205"/>
  <c r="L97" i="205"/>
  <c r="R36" i="205"/>
  <c r="L102" i="205"/>
  <c r="T20" i="158"/>
  <c r="C84" i="205"/>
  <c r="Q18" i="205"/>
  <c r="S58" i="158"/>
  <c r="C122" i="194"/>
  <c r="Q56" i="194"/>
  <c r="T22" i="158"/>
  <c r="C86" i="205"/>
  <c r="Q20" i="205"/>
  <c r="S50" i="158"/>
  <c r="C114" i="194"/>
  <c r="Q48" i="194"/>
  <c r="L104" i="205"/>
  <c r="R38" i="205"/>
  <c r="O72" i="207"/>
  <c r="O22" i="200"/>
  <c r="O70" i="200" s="1"/>
  <c r="T45" i="158"/>
  <c r="Q43" i="205"/>
  <c r="C109" i="205"/>
  <c r="O77" i="205"/>
  <c r="S39" i="158"/>
  <c r="C103" i="194"/>
  <c r="Q37" i="194"/>
  <c r="R30" i="205"/>
  <c r="L96" i="205"/>
  <c r="L127" i="205"/>
  <c r="R61" i="205"/>
  <c r="R41" i="205"/>
  <c r="L107" i="205"/>
  <c r="L108" i="205"/>
  <c r="R42" i="205"/>
  <c r="S61" i="194"/>
  <c r="Q16" i="194"/>
  <c r="C82" i="194"/>
  <c r="C101" i="194"/>
  <c r="Q35" i="194"/>
  <c r="S37" i="158"/>
  <c r="R28" i="205"/>
  <c r="L94" i="205"/>
  <c r="R49" i="205"/>
  <c r="L115" i="205"/>
  <c r="R35" i="205"/>
  <c r="L101" i="205"/>
  <c r="O26" i="200"/>
  <c r="O74" i="200" s="1"/>
  <c r="O76" i="207"/>
  <c r="R17" i="205"/>
  <c r="L83" i="205"/>
  <c r="S66" i="158"/>
  <c r="Q64" i="194"/>
  <c r="C130" i="194"/>
  <c r="S27" i="158"/>
  <c r="C91" i="194"/>
  <c r="Q25" i="194"/>
  <c r="L74" i="194"/>
  <c r="R8" i="194"/>
  <c r="S62" i="158"/>
  <c r="Q60" i="194"/>
  <c r="C126" i="194"/>
  <c r="L89" i="205"/>
  <c r="R23" i="205"/>
  <c r="S50" i="194"/>
  <c r="O76" i="205"/>
  <c r="R60" i="205"/>
  <c r="L126" i="205"/>
  <c r="R50" i="205"/>
  <c r="L116" i="205"/>
  <c r="R52" i="205"/>
  <c r="L118" i="205"/>
  <c r="S43" i="158"/>
  <c r="Q41" i="194"/>
  <c r="C107" i="194"/>
  <c r="S49" i="158"/>
  <c r="Q47" i="194"/>
  <c r="C113" i="194"/>
  <c r="T21" i="158"/>
  <c r="Q19" i="205"/>
  <c r="C85" i="205"/>
  <c r="R34" i="205"/>
  <c r="L100" i="205"/>
  <c r="R29" i="205"/>
  <c r="L95" i="205"/>
  <c r="S56" i="158"/>
  <c r="Q54" i="194"/>
  <c r="C120" i="194"/>
  <c r="L130" i="205"/>
  <c r="R64" i="205"/>
  <c r="S48" i="158"/>
  <c r="Q46" i="194"/>
  <c r="C112" i="194"/>
  <c r="C121" i="194"/>
  <c r="Q55" i="194"/>
  <c r="S57" i="158"/>
  <c r="S25" i="194"/>
  <c r="R14" i="194"/>
  <c r="L80" i="194"/>
  <c r="O24" i="200"/>
  <c r="O72" i="200" s="1"/>
  <c r="O74" i="207"/>
  <c r="S21" i="158"/>
  <c r="Q19" i="194"/>
  <c r="C85" i="194"/>
  <c r="S54" i="158"/>
  <c r="Q52" i="194"/>
  <c r="C118" i="194"/>
  <c r="S67" i="158"/>
  <c r="C131" i="194"/>
  <c r="Q65" i="194"/>
  <c r="S45" i="158"/>
  <c r="Q43" i="194"/>
  <c r="C109" i="194"/>
  <c r="S26" i="158"/>
  <c r="C90" i="194"/>
  <c r="Q24" i="194"/>
  <c r="S28" i="158"/>
  <c r="C92" i="194"/>
  <c r="Q26" i="194"/>
  <c r="O73" i="205"/>
  <c r="S20" i="158"/>
  <c r="S17" i="194"/>
  <c r="C84" i="194"/>
  <c r="Q18" i="194"/>
  <c r="S51" i="158"/>
  <c r="Q49" i="194"/>
  <c r="C115" i="194"/>
  <c r="L91" i="205"/>
  <c r="R25" i="205"/>
  <c r="S46" i="194"/>
  <c r="R65" i="205"/>
  <c r="L131" i="205"/>
  <c r="S30" i="158"/>
  <c r="C94" i="194"/>
  <c r="Q28" i="194"/>
  <c r="S19" i="205"/>
  <c r="S18" i="194"/>
  <c r="O28" i="200"/>
  <c r="O76" i="200" s="1"/>
  <c r="O78" i="207"/>
  <c r="L73" i="194"/>
  <c r="R7" i="194"/>
  <c r="O70" i="194"/>
  <c r="R55" i="205"/>
  <c r="L121" i="205"/>
  <c r="R47" i="205"/>
  <c r="L113" i="205"/>
  <c r="O80" i="205"/>
  <c r="R39" i="205"/>
  <c r="L105" i="205"/>
  <c r="S59" i="158"/>
  <c r="Q57" i="194"/>
  <c r="C123" i="194"/>
  <c r="S28" i="194"/>
  <c r="O71" i="205"/>
  <c r="S40" i="158"/>
  <c r="C104" i="194"/>
  <c r="Q38" i="194"/>
  <c r="C105" i="194"/>
  <c r="S41" i="158"/>
  <c r="Q39" i="194"/>
  <c r="L123" i="205"/>
  <c r="R57" i="205"/>
  <c r="S22" i="158"/>
  <c r="Q20" i="194"/>
  <c r="C86" i="194"/>
  <c r="R24" i="205"/>
  <c r="L90" i="205"/>
  <c r="S24" i="194"/>
  <c r="Q42" i="194"/>
  <c r="S44" i="158"/>
  <c r="C108" i="194"/>
  <c r="S31" i="158"/>
  <c r="Q29" i="194"/>
  <c r="C95" i="194"/>
  <c r="S46" i="158"/>
  <c r="C110" i="194"/>
  <c r="Q44" i="194"/>
  <c r="R51" i="205"/>
  <c r="L117" i="205"/>
  <c r="L122" i="205"/>
  <c r="R56" i="205"/>
  <c r="S25" i="158"/>
  <c r="C89" i="194"/>
  <c r="Q23" i="194"/>
  <c r="O23" i="200"/>
  <c r="O71" i="200" s="1"/>
  <c r="O73" i="207"/>
  <c r="O78" i="205"/>
  <c r="S38" i="158"/>
  <c r="Q36" i="194"/>
  <c r="C102" i="194"/>
  <c r="R16" i="205"/>
  <c r="T18" i="158"/>
  <c r="L82" i="205"/>
  <c r="O4" i="207"/>
  <c r="S36" i="158"/>
  <c r="Q34" i="194"/>
  <c r="C100" i="194"/>
  <c r="L120" i="205"/>
  <c r="R54" i="205"/>
  <c r="O77" i="207"/>
  <c r="O27" i="200"/>
  <c r="O75" i="200" s="1"/>
  <c r="S60" i="158"/>
  <c r="C124" i="194"/>
  <c r="Q58" i="194"/>
  <c r="C96" i="194"/>
  <c r="Q30" i="194"/>
  <c r="S32" i="158"/>
  <c r="R44" i="205"/>
  <c r="L110" i="205"/>
  <c r="R6" i="194"/>
  <c r="L72" i="194"/>
  <c r="S34" i="158"/>
  <c r="C98" i="194"/>
  <c r="Q32" i="194"/>
  <c r="O72" i="205"/>
  <c r="R63" i="205"/>
  <c r="L129" i="205"/>
  <c r="S23" i="194"/>
  <c r="L114" i="205"/>
  <c r="R48" i="205"/>
  <c r="O74" i="205"/>
  <c r="O75" i="205"/>
  <c r="R58" i="205"/>
  <c r="L124" i="205"/>
  <c r="R37" i="205"/>
  <c r="L103" i="205"/>
  <c r="R4" i="192"/>
  <c r="S4" i="192" s="1"/>
  <c r="L70" i="192"/>
  <c r="S22" i="194"/>
  <c r="O79" i="207"/>
  <c r="O29" i="200"/>
  <c r="O77" i="200" s="1"/>
  <c r="S65" i="158"/>
  <c r="C129" i="194"/>
  <c r="Q63" i="194"/>
  <c r="S62" i="194"/>
  <c r="L71" i="194"/>
  <c r="R5" i="194"/>
  <c r="S53" i="158"/>
  <c r="Q51" i="194"/>
  <c r="C117" i="194"/>
  <c r="S58" i="194"/>
  <c r="S33" i="158"/>
  <c r="C97" i="194"/>
  <c r="Q31" i="194"/>
  <c r="R26" i="205"/>
  <c r="L92" i="205"/>
  <c r="S30" i="194"/>
  <c r="S56" i="194"/>
  <c r="O79" i="205"/>
  <c r="S32" i="194"/>
  <c r="L63" i="212" l="1"/>
  <c r="M126" i="212"/>
  <c r="L56" i="212"/>
  <c r="M121" i="212"/>
  <c r="M101" i="212"/>
  <c r="L25" i="212"/>
  <c r="L61" i="212"/>
  <c r="M114" i="212"/>
  <c r="L20" i="212"/>
  <c r="M100" i="212"/>
  <c r="L28" i="212"/>
  <c r="L58" i="212"/>
  <c r="L57" i="212"/>
  <c r="L47" i="212"/>
  <c r="M95" i="212"/>
  <c r="L19" i="212"/>
  <c r="M88" i="212"/>
  <c r="L49" i="212"/>
  <c r="M84" i="212"/>
  <c r="L23" i="212"/>
  <c r="M96" i="212"/>
  <c r="M130" i="212"/>
  <c r="L54" i="212"/>
  <c r="M90" i="212"/>
  <c r="M98" i="212"/>
  <c r="M118" i="212"/>
  <c r="L65" i="212"/>
  <c r="L50" i="212"/>
  <c r="M117" i="212"/>
  <c r="T7" i="196"/>
  <c r="M129" i="212"/>
  <c r="L39" i="212"/>
  <c r="M97" i="212"/>
  <c r="L31" i="212"/>
  <c r="M85" i="212"/>
  <c r="M92" i="212"/>
  <c r="L26" i="212"/>
  <c r="L55" i="212"/>
  <c r="M89" i="212"/>
  <c r="T8" i="196"/>
  <c r="M26" i="211"/>
  <c r="V27" i="132" s="1"/>
  <c r="Z27" i="130" s="1"/>
  <c r="M63" i="211"/>
  <c r="V64" i="132" s="1"/>
  <c r="Z64" i="131" s="1"/>
  <c r="M61" i="211"/>
  <c r="V62" i="132" s="1"/>
  <c r="Z62" i="130" s="1"/>
  <c r="M60" i="211"/>
  <c r="V61" i="132" s="1"/>
  <c r="Z61" i="131" s="1"/>
  <c r="M48" i="211"/>
  <c r="V49" i="132" s="1"/>
  <c r="Z49" i="131" s="1"/>
  <c r="M56" i="211"/>
  <c r="V57" i="132" s="1"/>
  <c r="Z57" i="131" s="1"/>
  <c r="M20" i="211"/>
  <c r="V21" i="132" s="1"/>
  <c r="Z21" i="130" s="1"/>
  <c r="M55" i="211"/>
  <c r="V56" i="132" s="1"/>
  <c r="Z56" i="131" s="1"/>
  <c r="M39" i="211"/>
  <c r="M36" i="211"/>
  <c r="M35" i="211"/>
  <c r="V36" i="132" s="1"/>
  <c r="Z36" i="131" s="1"/>
  <c r="M34" i="211"/>
  <c r="V35" i="132" s="1"/>
  <c r="Z35" i="130" s="1"/>
  <c r="M25" i="211"/>
  <c r="V26" i="132" s="1"/>
  <c r="Z26" i="130" s="1"/>
  <c r="M28" i="211"/>
  <c r="M37" i="211"/>
  <c r="M31" i="211"/>
  <c r="V32" i="132" s="1"/>
  <c r="Z32" i="131" s="1"/>
  <c r="M46" i="211"/>
  <c r="M38" i="211"/>
  <c r="M43" i="211"/>
  <c r="M58" i="211"/>
  <c r="V59" i="132" s="1"/>
  <c r="Z59" i="131" s="1"/>
  <c r="M57" i="211"/>
  <c r="V58" i="132" s="1"/>
  <c r="Z58" i="130" s="1"/>
  <c r="M47" i="211"/>
  <c r="V48" i="132" s="1"/>
  <c r="Z48" i="131" s="1"/>
  <c r="M29" i="211"/>
  <c r="V30" i="132" s="1"/>
  <c r="Z30" i="131" s="1"/>
  <c r="M19" i="211"/>
  <c r="V20" i="132" s="1"/>
  <c r="Z20" i="131" s="1"/>
  <c r="M64" i="211"/>
  <c r="V65" i="132" s="1"/>
  <c r="Z65" i="130" s="1"/>
  <c r="M54" i="211"/>
  <c r="V55" i="132" s="1"/>
  <c r="Z55" i="130" s="1"/>
  <c r="M24" i="211"/>
  <c r="V25" i="132" s="1"/>
  <c r="Z25" i="131" s="1"/>
  <c r="M32" i="211"/>
  <c r="V33" i="132" s="1"/>
  <c r="Z33" i="131" s="1"/>
  <c r="M52" i="211"/>
  <c r="V53" i="132" s="1"/>
  <c r="Z53" i="130" s="1"/>
  <c r="M49" i="211"/>
  <c r="V50" i="132" s="1"/>
  <c r="Z50" i="130" s="1"/>
  <c r="M23" i="211"/>
  <c r="V24" i="132" s="1"/>
  <c r="Z24" i="130" s="1"/>
  <c r="M30" i="211"/>
  <c r="V31" i="132" s="1"/>
  <c r="Z31" i="131" s="1"/>
  <c r="M65" i="211"/>
  <c r="V66" i="132" s="1"/>
  <c r="Z66" i="131" s="1"/>
  <c r="M42" i="211"/>
  <c r="M50" i="211"/>
  <c r="V51" i="132" s="1"/>
  <c r="Z51" i="131" s="1"/>
  <c r="M51" i="211"/>
  <c r="V52" i="132" s="1"/>
  <c r="Z52" i="130" s="1"/>
  <c r="M44" i="211"/>
  <c r="L49" i="207"/>
  <c r="C49" i="207" s="1"/>
  <c r="Q49" i="207" s="1"/>
  <c r="L55" i="207"/>
  <c r="L121" i="207" s="1"/>
  <c r="L61" i="207"/>
  <c r="L127" i="207" s="1"/>
  <c r="L51" i="207"/>
  <c r="L117" i="207" s="1"/>
  <c r="GQ42" i="129"/>
  <c r="M41" i="211"/>
  <c r="GQ23" i="129"/>
  <c r="M22" i="211"/>
  <c r="GQ19" i="129"/>
  <c r="M18" i="211"/>
  <c r="GQ64" i="129"/>
  <c r="GQ61" i="129"/>
  <c r="GQ55" i="129"/>
  <c r="GQ35" i="129"/>
  <c r="GQ29" i="129"/>
  <c r="GQ47" i="129"/>
  <c r="L26" i="207"/>
  <c r="R26" i="207" s="1"/>
  <c r="L43" i="207"/>
  <c r="R43" i="207" s="1"/>
  <c r="O39" i="200"/>
  <c r="L58" i="207"/>
  <c r="R58" i="207" s="1"/>
  <c r="L19" i="207"/>
  <c r="L85" i="207" s="1"/>
  <c r="L35" i="207"/>
  <c r="R35" i="207" s="1"/>
  <c r="L38" i="207"/>
  <c r="R38" i="207" s="1"/>
  <c r="L64" i="207"/>
  <c r="L130" i="207" s="1"/>
  <c r="L42" i="207"/>
  <c r="L108" i="207" s="1"/>
  <c r="L37" i="207"/>
  <c r="L44" i="207"/>
  <c r="C44" i="207" s="1"/>
  <c r="L36" i="207"/>
  <c r="R36" i="207" s="1"/>
  <c r="L52" i="207"/>
  <c r="C52" i="207" s="1"/>
  <c r="U54" i="110" s="1"/>
  <c r="L30" i="207"/>
  <c r="C30" i="207" s="1"/>
  <c r="L25" i="207"/>
  <c r="C25" i="207" s="1"/>
  <c r="L56" i="207"/>
  <c r="L48" i="207"/>
  <c r="C48" i="207" s="1"/>
  <c r="Q48" i="207" s="1"/>
  <c r="L50" i="207"/>
  <c r="L47" i="207"/>
  <c r="L113" i="207" s="1"/>
  <c r="L23" i="207"/>
  <c r="C23" i="207" s="1"/>
  <c r="Q23" i="207" s="1"/>
  <c r="L24" i="207"/>
  <c r="R24" i="207" s="1"/>
  <c r="L39" i="207"/>
  <c r="M123" i="207"/>
  <c r="L57" i="207"/>
  <c r="L32" i="207"/>
  <c r="L98" i="207" s="1"/>
  <c r="L20" i="207"/>
  <c r="L86" i="207" s="1"/>
  <c r="L29" i="207"/>
  <c r="R29" i="207" s="1"/>
  <c r="L65" i="207"/>
  <c r="C65" i="207" s="1"/>
  <c r="L31" i="207"/>
  <c r="L97" i="207" s="1"/>
  <c r="S17" i="205"/>
  <c r="S31" i="205"/>
  <c r="S26" i="205"/>
  <c r="O43" i="200"/>
  <c r="S46" i="205"/>
  <c r="S5" i="194"/>
  <c r="GG13" i="129"/>
  <c r="M45" i="207"/>
  <c r="GG16" i="129"/>
  <c r="M62" i="207"/>
  <c r="M84" i="207"/>
  <c r="L18" i="207"/>
  <c r="GG15" i="129"/>
  <c r="M59" i="207"/>
  <c r="GG12" i="129"/>
  <c r="M40" i="207"/>
  <c r="M112" i="207"/>
  <c r="L46" i="207"/>
  <c r="M129" i="207"/>
  <c r="L63" i="207"/>
  <c r="GG8" i="129"/>
  <c r="M17" i="207"/>
  <c r="M126" i="207"/>
  <c r="L60" i="207"/>
  <c r="M107" i="207"/>
  <c r="L41" i="207"/>
  <c r="GG10" i="129"/>
  <c r="M27" i="207"/>
  <c r="M120" i="207"/>
  <c r="L54" i="207"/>
  <c r="GG11" i="129"/>
  <c r="M33" i="207"/>
  <c r="GG9" i="129"/>
  <c r="M21" i="207"/>
  <c r="S28" i="205"/>
  <c r="M94" i="207"/>
  <c r="L28" i="207"/>
  <c r="GG14" i="129"/>
  <c r="M53" i="207"/>
  <c r="M100" i="207"/>
  <c r="L34" i="207"/>
  <c r="M88" i="207"/>
  <c r="L22" i="207"/>
  <c r="S50" i="205"/>
  <c r="S42" i="205"/>
  <c r="S34" i="205"/>
  <c r="S39" i="205"/>
  <c r="S58" i="205"/>
  <c r="S57" i="205"/>
  <c r="S65" i="205"/>
  <c r="S63" i="205"/>
  <c r="S60" i="205"/>
  <c r="S44" i="205"/>
  <c r="S38" i="205"/>
  <c r="AA33" i="196"/>
  <c r="AA33" i="158"/>
  <c r="AA53" i="196"/>
  <c r="AA53" i="158"/>
  <c r="L70" i="194"/>
  <c r="R4" i="194"/>
  <c r="Q33" i="194"/>
  <c r="S35" i="158"/>
  <c r="C99" i="194"/>
  <c r="S33" i="194"/>
  <c r="S51" i="205"/>
  <c r="T57" i="158"/>
  <c r="Q55" i="205"/>
  <c r="C121" i="205"/>
  <c r="O44" i="200"/>
  <c r="AA28" i="158"/>
  <c r="AA28" i="196"/>
  <c r="O40" i="200"/>
  <c r="AA56" i="158"/>
  <c r="S61" i="158"/>
  <c r="C125" i="194"/>
  <c r="Q59" i="194"/>
  <c r="S59" i="194"/>
  <c r="AA27" i="158"/>
  <c r="AA27" i="196"/>
  <c r="O42" i="200"/>
  <c r="R27" i="205"/>
  <c r="L93" i="205"/>
  <c r="S61" i="205"/>
  <c r="AA39" i="158"/>
  <c r="AA39" i="196"/>
  <c r="AB22" i="158"/>
  <c r="AB20" i="158"/>
  <c r="T60" i="158"/>
  <c r="C124" i="205"/>
  <c r="Q58" i="205"/>
  <c r="T50" i="158"/>
  <c r="C114" i="205"/>
  <c r="Q48" i="205"/>
  <c r="T46" i="158"/>
  <c r="C110" i="205"/>
  <c r="Q44" i="205"/>
  <c r="S54" i="205"/>
  <c r="O20" i="200"/>
  <c r="O68" i="200" s="1"/>
  <c r="O70" i="207"/>
  <c r="AA22" i="196"/>
  <c r="AA22" i="158"/>
  <c r="S55" i="205"/>
  <c r="S47" i="158"/>
  <c r="C111" i="194"/>
  <c r="Q45" i="194"/>
  <c r="S45" i="194"/>
  <c r="C119" i="194"/>
  <c r="Q53" i="194"/>
  <c r="S55" i="158"/>
  <c r="S53" i="194"/>
  <c r="AA62" i="158"/>
  <c r="T51" i="158"/>
  <c r="Q49" i="205"/>
  <c r="C115" i="205"/>
  <c r="T63" i="158"/>
  <c r="Q61" i="205"/>
  <c r="C127" i="205"/>
  <c r="T33" i="158"/>
  <c r="Q31" i="205"/>
  <c r="C97" i="205"/>
  <c r="T24" i="158"/>
  <c r="Q22" i="205"/>
  <c r="C88" i="205"/>
  <c r="AA25" i="196"/>
  <c r="AA25" i="158"/>
  <c r="O37" i="200"/>
  <c r="AA40" i="196"/>
  <c r="AA40" i="158"/>
  <c r="AA59" i="196"/>
  <c r="AA59" i="158"/>
  <c r="O46" i="200"/>
  <c r="T49" i="158"/>
  <c r="Q47" i="205"/>
  <c r="C113" i="205"/>
  <c r="S25" i="205"/>
  <c r="S19" i="158"/>
  <c r="S6" i="194"/>
  <c r="C83" i="194"/>
  <c r="Q17" i="194"/>
  <c r="AA48" i="158"/>
  <c r="AA49" i="196"/>
  <c r="AA49" i="158"/>
  <c r="R59" i="205"/>
  <c r="L125" i="205"/>
  <c r="S49" i="205"/>
  <c r="AA37" i="196"/>
  <c r="AA37" i="158"/>
  <c r="Q5" i="194"/>
  <c r="C71" i="194"/>
  <c r="T40" i="158"/>
  <c r="Q38" i="205"/>
  <c r="C104" i="205"/>
  <c r="T38" i="158"/>
  <c r="C102" i="205"/>
  <c r="Q36" i="205"/>
  <c r="S22" i="205"/>
  <c r="T48" i="158"/>
  <c r="C112" i="205"/>
  <c r="Q46" i="205"/>
  <c r="S64" i="158"/>
  <c r="S14" i="194"/>
  <c r="C128" i="194"/>
  <c r="Q62" i="194"/>
  <c r="O41" i="200"/>
  <c r="AA32" i="158"/>
  <c r="AA32" i="196"/>
  <c r="L119" i="205"/>
  <c r="R53" i="205"/>
  <c r="R5" i="205"/>
  <c r="L71" i="205"/>
  <c r="S56" i="205"/>
  <c r="AA46" i="158"/>
  <c r="AA46" i="196"/>
  <c r="AA44" i="158"/>
  <c r="AA44" i="196"/>
  <c r="AA41" i="196"/>
  <c r="AA41" i="158"/>
  <c r="S47" i="205"/>
  <c r="AA20" i="158"/>
  <c r="AA26" i="196"/>
  <c r="AA26" i="158"/>
  <c r="S64" i="205"/>
  <c r="S29" i="205"/>
  <c r="S52" i="205"/>
  <c r="T62" i="158"/>
  <c r="Q60" i="205"/>
  <c r="C126" i="205"/>
  <c r="S23" i="205"/>
  <c r="AA66" i="196"/>
  <c r="AA66" i="158"/>
  <c r="T44" i="158"/>
  <c r="Q42" i="205"/>
  <c r="C108" i="205"/>
  <c r="T32" i="158"/>
  <c r="C96" i="205"/>
  <c r="Q30" i="205"/>
  <c r="S36" i="205"/>
  <c r="C87" i="194"/>
  <c r="Q21" i="194"/>
  <c r="S23" i="158"/>
  <c r="S7" i="194"/>
  <c r="L87" i="205"/>
  <c r="R21" i="205"/>
  <c r="L111" i="205"/>
  <c r="R45" i="205"/>
  <c r="T65" i="158"/>
  <c r="C129" i="205"/>
  <c r="Q63" i="205"/>
  <c r="AA34" i="196"/>
  <c r="AA34" i="158"/>
  <c r="T56" i="158"/>
  <c r="C120" i="205"/>
  <c r="Q54" i="205"/>
  <c r="C82" i="205"/>
  <c r="Q16" i="205"/>
  <c r="AA38" i="158"/>
  <c r="AA38" i="196"/>
  <c r="T58" i="158"/>
  <c r="Q56" i="205"/>
  <c r="C122" i="205"/>
  <c r="Q27" i="194"/>
  <c r="S29" i="158"/>
  <c r="C93" i="194"/>
  <c r="T27" i="158"/>
  <c r="C91" i="205"/>
  <c r="Q25" i="205"/>
  <c r="AA67" i="196"/>
  <c r="AA67" i="158"/>
  <c r="AA57" i="196"/>
  <c r="AA57" i="158"/>
  <c r="T66" i="158"/>
  <c r="Q64" i="205"/>
  <c r="C130" i="205"/>
  <c r="T31" i="158"/>
  <c r="Q29" i="205"/>
  <c r="C95" i="205"/>
  <c r="S42" i="158"/>
  <c r="Q40" i="194"/>
  <c r="C106" i="194"/>
  <c r="S40" i="194"/>
  <c r="T54" i="158"/>
  <c r="Q52" i="205"/>
  <c r="C118" i="205"/>
  <c r="R6" i="205"/>
  <c r="L72" i="205"/>
  <c r="S69" i="158"/>
  <c r="AA69" i="158" s="1"/>
  <c r="AA18" i="158"/>
  <c r="S7" i="158"/>
  <c r="AA58" i="196"/>
  <c r="AA58" i="158"/>
  <c r="AA24" i="158"/>
  <c r="T28" i="158"/>
  <c r="Q26" i="205"/>
  <c r="C92" i="205"/>
  <c r="T39" i="158"/>
  <c r="Q37" i="205"/>
  <c r="C103" i="205"/>
  <c r="L128" i="205"/>
  <c r="R62" i="205"/>
  <c r="S16" i="205"/>
  <c r="AB34" i="158"/>
  <c r="T26" i="158"/>
  <c r="C90" i="205"/>
  <c r="Q24" i="205"/>
  <c r="T41" i="158"/>
  <c r="Q39" i="205"/>
  <c r="C105" i="205"/>
  <c r="AA30" i="158"/>
  <c r="T25" i="158"/>
  <c r="C89" i="205"/>
  <c r="Q23" i="205"/>
  <c r="T37" i="158"/>
  <c r="Q35" i="205"/>
  <c r="C101" i="205"/>
  <c r="R40" i="205"/>
  <c r="L106" i="205"/>
  <c r="S30" i="205"/>
  <c r="AB45" i="158"/>
  <c r="AA50" i="196"/>
  <c r="AA50" i="158"/>
  <c r="AA65" i="158"/>
  <c r="AA60" i="158"/>
  <c r="AA60" i="196"/>
  <c r="T53" i="158"/>
  <c r="Q51" i="205"/>
  <c r="C117" i="205"/>
  <c r="AA31" i="196"/>
  <c r="AA31" i="158"/>
  <c r="S24" i="205"/>
  <c r="O70" i="205"/>
  <c r="AA45" i="196"/>
  <c r="AA45" i="158"/>
  <c r="AA21" i="196"/>
  <c r="AA21" i="158"/>
  <c r="T36" i="158"/>
  <c r="Q34" i="205"/>
  <c r="C100" i="205"/>
  <c r="AA43" i="158"/>
  <c r="T52" i="158"/>
  <c r="Q50" i="205"/>
  <c r="C116" i="205"/>
  <c r="T43" i="158"/>
  <c r="Q41" i="205"/>
  <c r="C107" i="205"/>
  <c r="O38" i="200"/>
  <c r="O45" i="200"/>
  <c r="S37" i="205"/>
  <c r="S48" i="205"/>
  <c r="AA36" i="158"/>
  <c r="T59" i="158"/>
  <c r="C123" i="205"/>
  <c r="Q57" i="205"/>
  <c r="T67" i="158"/>
  <c r="Q65" i="205"/>
  <c r="C131" i="205"/>
  <c r="AA51" i="196"/>
  <c r="AA51" i="158"/>
  <c r="AA54" i="196"/>
  <c r="AA54" i="158"/>
  <c r="S27" i="194"/>
  <c r="R33" i="205"/>
  <c r="L99" i="205"/>
  <c r="AB21" i="158"/>
  <c r="S35" i="205"/>
  <c r="T30" i="158"/>
  <c r="Q28" i="205"/>
  <c r="C94" i="205"/>
  <c r="S41" i="205"/>
  <c r="T19" i="158"/>
  <c r="Q17" i="205"/>
  <c r="C83" i="205"/>
  <c r="AA63" i="158"/>
  <c r="AA63" i="196"/>
  <c r="AA52" i="158"/>
  <c r="AA52" i="196"/>
  <c r="L44" i="212" l="1"/>
  <c r="R44" i="212" s="1"/>
  <c r="M107" i="212"/>
  <c r="M103" i="212"/>
  <c r="L36" i="212"/>
  <c r="M112" i="212"/>
  <c r="M109" i="212"/>
  <c r="M104" i="212"/>
  <c r="M108" i="212"/>
  <c r="M105" i="212"/>
  <c r="M124" i="212"/>
  <c r="L24" i="212"/>
  <c r="C24" i="212" s="1"/>
  <c r="M91" i="212"/>
  <c r="L42" i="212"/>
  <c r="M113" i="212"/>
  <c r="M123" i="212"/>
  <c r="L41" i="212"/>
  <c r="R41" i="212" s="1"/>
  <c r="L32" i="212"/>
  <c r="C32" i="212" s="1"/>
  <c r="L22" i="212"/>
  <c r="L88" i="212" s="1"/>
  <c r="L46" i="212"/>
  <c r="M122" i="212"/>
  <c r="M127" i="212"/>
  <c r="M116" i="212"/>
  <c r="M102" i="212"/>
  <c r="L35" i="212"/>
  <c r="L101" i="212" s="1"/>
  <c r="L30" i="212"/>
  <c r="L96" i="212" s="1"/>
  <c r="L60" i="212"/>
  <c r="L126" i="212" s="1"/>
  <c r="L64" i="212"/>
  <c r="C64" i="212" s="1"/>
  <c r="M115" i="212"/>
  <c r="L52" i="212"/>
  <c r="L118" i="212" s="1"/>
  <c r="M120" i="212"/>
  <c r="L38" i="212"/>
  <c r="M131" i="212"/>
  <c r="M110" i="212"/>
  <c r="M94" i="212"/>
  <c r="L51" i="212"/>
  <c r="C51" i="212" s="1"/>
  <c r="M121" i="211"/>
  <c r="L26" i="211"/>
  <c r="L92" i="211" s="1"/>
  <c r="M86" i="212"/>
  <c r="M92" i="211"/>
  <c r="M83" i="212"/>
  <c r="M110" i="213"/>
  <c r="L44" i="213"/>
  <c r="M120" i="213"/>
  <c r="L54" i="213"/>
  <c r="M84" i="213"/>
  <c r="L18" i="213"/>
  <c r="M95" i="213"/>
  <c r="L29" i="213"/>
  <c r="M94" i="213"/>
  <c r="L28" i="213"/>
  <c r="M122" i="213"/>
  <c r="L56" i="213"/>
  <c r="M7" i="212"/>
  <c r="M104" i="213"/>
  <c r="L38" i="213"/>
  <c r="M119" i="212"/>
  <c r="M116" i="213"/>
  <c r="L50" i="213"/>
  <c r="M98" i="213"/>
  <c r="L32" i="213"/>
  <c r="M96" i="213"/>
  <c r="L30" i="213"/>
  <c r="M88" i="213"/>
  <c r="L22" i="213"/>
  <c r="L57" i="213"/>
  <c r="M123" i="213"/>
  <c r="M102" i="213"/>
  <c r="L36" i="213"/>
  <c r="M127" i="213"/>
  <c r="L61" i="213"/>
  <c r="M112" i="213"/>
  <c r="L46" i="213"/>
  <c r="M101" i="213"/>
  <c r="L35" i="213"/>
  <c r="M126" i="213"/>
  <c r="L60" i="213"/>
  <c r="M131" i="213"/>
  <c r="L65" i="213"/>
  <c r="M103" i="213"/>
  <c r="L37" i="213"/>
  <c r="M91" i="213"/>
  <c r="L25" i="213"/>
  <c r="M125" i="212"/>
  <c r="L18" i="212"/>
  <c r="L84" i="212" s="1"/>
  <c r="L37" i="212"/>
  <c r="L48" i="212"/>
  <c r="L34" i="212"/>
  <c r="L100" i="212" s="1"/>
  <c r="L29" i="212"/>
  <c r="R29" i="212" s="1"/>
  <c r="L43" i="212"/>
  <c r="M86" i="213"/>
  <c r="L20" i="213"/>
  <c r="M93" i="212"/>
  <c r="M118" i="213"/>
  <c r="L52" i="213"/>
  <c r="M115" i="213"/>
  <c r="L49" i="213"/>
  <c r="M100" i="213"/>
  <c r="L34" i="213"/>
  <c r="M114" i="213"/>
  <c r="L48" i="213"/>
  <c r="M99" i="212"/>
  <c r="M128" i="212"/>
  <c r="M108" i="213"/>
  <c r="L42" i="213"/>
  <c r="M90" i="213"/>
  <c r="L24" i="213"/>
  <c r="M89" i="213"/>
  <c r="L23" i="213"/>
  <c r="M85" i="213"/>
  <c r="L19" i="213"/>
  <c r="M124" i="213"/>
  <c r="L58" i="213"/>
  <c r="M105" i="213"/>
  <c r="L39" i="213"/>
  <c r="M92" i="213"/>
  <c r="L26" i="213"/>
  <c r="M97" i="213"/>
  <c r="L31" i="213"/>
  <c r="M121" i="213"/>
  <c r="L55" i="213"/>
  <c r="M129" i="213"/>
  <c r="L63" i="213"/>
  <c r="M109" i="213"/>
  <c r="L43" i="213"/>
  <c r="M117" i="213"/>
  <c r="L51" i="213"/>
  <c r="M130" i="213"/>
  <c r="L64" i="213"/>
  <c r="M113" i="213"/>
  <c r="L47" i="213"/>
  <c r="M107" i="213"/>
  <c r="L41" i="213"/>
  <c r="C47" i="212"/>
  <c r="L113" i="212"/>
  <c r="R47" i="212"/>
  <c r="L123" i="212"/>
  <c r="R57" i="212"/>
  <c r="C57" i="212"/>
  <c r="L116" i="212"/>
  <c r="R50" i="212"/>
  <c r="C50" i="212"/>
  <c r="R23" i="212"/>
  <c r="C23" i="212"/>
  <c r="L89" i="212"/>
  <c r="L121" i="212"/>
  <c r="R55" i="212"/>
  <c r="C55" i="212"/>
  <c r="L85" i="212"/>
  <c r="R19" i="212"/>
  <c r="C19" i="212"/>
  <c r="C58" i="212"/>
  <c r="L124" i="212"/>
  <c r="R58" i="212"/>
  <c r="C65" i="212"/>
  <c r="L131" i="212"/>
  <c r="R65" i="212"/>
  <c r="L94" i="212"/>
  <c r="R28" i="212"/>
  <c r="C28" i="212"/>
  <c r="L53" i="212"/>
  <c r="R54" i="212"/>
  <c r="L120" i="212"/>
  <c r="C54" i="212"/>
  <c r="L122" i="212"/>
  <c r="R56" i="212"/>
  <c r="C56" i="212"/>
  <c r="C61" i="212"/>
  <c r="L127" i="212"/>
  <c r="R61" i="212"/>
  <c r="L90" i="212"/>
  <c r="C39" i="212"/>
  <c r="L105" i="212"/>
  <c r="R39" i="212"/>
  <c r="L129" i="212"/>
  <c r="C63" i="212"/>
  <c r="R63" i="212"/>
  <c r="L110" i="212"/>
  <c r="L115" i="212"/>
  <c r="R49" i="212"/>
  <c r="C49" i="212"/>
  <c r="L92" i="212"/>
  <c r="R26" i="212"/>
  <c r="C26" i="212"/>
  <c r="C20" i="212"/>
  <c r="L86" i="212"/>
  <c r="R20" i="212"/>
  <c r="R31" i="212"/>
  <c r="C31" i="212"/>
  <c r="L97" i="212"/>
  <c r="R25" i="212"/>
  <c r="L91" i="212"/>
  <c r="C25" i="212"/>
  <c r="T10" i="196"/>
  <c r="T12" i="196"/>
  <c r="T9" i="196"/>
  <c r="T11" i="196"/>
  <c r="V38" i="132"/>
  <c r="Z38" i="130" s="1"/>
  <c r="M85" i="211"/>
  <c r="V45" i="132"/>
  <c r="Z45" i="131" s="1"/>
  <c r="M97" i="211"/>
  <c r="V44" i="132"/>
  <c r="Z44" i="131" s="1"/>
  <c r="V43" i="132"/>
  <c r="Z43" i="131" s="1"/>
  <c r="V39" i="132"/>
  <c r="Z39" i="131" s="1"/>
  <c r="V37" i="132"/>
  <c r="Z37" i="131" s="1"/>
  <c r="L31" i="211"/>
  <c r="L97" i="211" s="1"/>
  <c r="L55" i="211"/>
  <c r="R55" i="211" s="1"/>
  <c r="V47" i="132"/>
  <c r="Z47" i="130" s="1"/>
  <c r="V40" i="132"/>
  <c r="Z40" i="130" s="1"/>
  <c r="L19" i="211"/>
  <c r="L85" i="211" s="1"/>
  <c r="R49" i="207"/>
  <c r="S49" i="207" s="1"/>
  <c r="Z32" i="130"/>
  <c r="M118" i="211"/>
  <c r="M114" i="211"/>
  <c r="L25" i="211"/>
  <c r="C25" i="211" s="1"/>
  <c r="V27" i="158" s="1"/>
  <c r="V27" i="196" s="1"/>
  <c r="L48" i="211"/>
  <c r="L114" i="211" s="1"/>
  <c r="L63" i="211"/>
  <c r="R63" i="211" s="1"/>
  <c r="M129" i="211"/>
  <c r="Z49" i="130"/>
  <c r="Z53" i="131"/>
  <c r="M91" i="211"/>
  <c r="L52" i="211"/>
  <c r="R52" i="211" s="1"/>
  <c r="L58" i="211"/>
  <c r="L124" i="211" s="1"/>
  <c r="M124" i="211"/>
  <c r="L64" i="211"/>
  <c r="C64" i="211" s="1"/>
  <c r="V66" i="158" s="1"/>
  <c r="M100" i="211"/>
  <c r="M96" i="211"/>
  <c r="M130" i="211"/>
  <c r="L23" i="211"/>
  <c r="R23" i="211" s="1"/>
  <c r="L57" i="211"/>
  <c r="L123" i="211" s="1"/>
  <c r="L39" i="211"/>
  <c r="R55" i="207"/>
  <c r="M89" i="211"/>
  <c r="M123" i="211"/>
  <c r="M105" i="211"/>
  <c r="M112" i="211"/>
  <c r="Z35" i="131"/>
  <c r="Z56" i="130"/>
  <c r="M127" i="211"/>
  <c r="L61" i="211"/>
  <c r="L127" i="211" s="1"/>
  <c r="L47" i="211"/>
  <c r="L113" i="211" s="1"/>
  <c r="L50" i="211"/>
  <c r="L116" i="211" s="1"/>
  <c r="M113" i="211"/>
  <c r="M116" i="211"/>
  <c r="M104" i="211"/>
  <c r="L36" i="211"/>
  <c r="Z59" i="130"/>
  <c r="M102" i="211"/>
  <c r="M126" i="211"/>
  <c r="Z27" i="131"/>
  <c r="Z31" i="130"/>
  <c r="Z20" i="130"/>
  <c r="L51" i="211"/>
  <c r="L117" i="211" s="1"/>
  <c r="L56" i="211"/>
  <c r="R56" i="211" s="1"/>
  <c r="L32" i="211"/>
  <c r="L98" i="211" s="1"/>
  <c r="Z33" i="130"/>
  <c r="M108" i="211"/>
  <c r="M117" i="211"/>
  <c r="M122" i="211"/>
  <c r="M98" i="211"/>
  <c r="L42" i="211"/>
  <c r="L38" i="211"/>
  <c r="L30" i="211"/>
  <c r="L96" i="211" s="1"/>
  <c r="L46" i="211"/>
  <c r="Z65" i="131"/>
  <c r="Z57" i="130"/>
  <c r="Z55" i="131"/>
  <c r="Z58" i="131"/>
  <c r="Z26" i="131"/>
  <c r="Z24" i="131"/>
  <c r="Z64" i="130"/>
  <c r="Z51" i="130"/>
  <c r="Z66" i="130"/>
  <c r="Z21" i="131"/>
  <c r="Z48" i="130"/>
  <c r="Z62" i="131"/>
  <c r="Z52" i="131"/>
  <c r="Z30" i="130"/>
  <c r="L65" i="211"/>
  <c r="R61" i="207"/>
  <c r="L44" i="211"/>
  <c r="Z50" i="131"/>
  <c r="M110" i="211"/>
  <c r="L35" i="211"/>
  <c r="L101" i="211" s="1"/>
  <c r="L24" i="211"/>
  <c r="R24" i="211" s="1"/>
  <c r="C61" i="207"/>
  <c r="U63" i="158" s="1"/>
  <c r="U63" i="196" s="1"/>
  <c r="V29" i="132"/>
  <c r="M94" i="211"/>
  <c r="L49" i="211"/>
  <c r="L115" i="211" s="1"/>
  <c r="M101" i="211"/>
  <c r="M90" i="211"/>
  <c r="Z36" i="130"/>
  <c r="Z61" i="130"/>
  <c r="L28" i="211"/>
  <c r="R28" i="211" s="1"/>
  <c r="L54" i="211"/>
  <c r="M115" i="211"/>
  <c r="M103" i="211"/>
  <c r="L43" i="211"/>
  <c r="M95" i="211"/>
  <c r="L60" i="211"/>
  <c r="R60" i="211" s="1"/>
  <c r="L20" i="211"/>
  <c r="L86" i="211" s="1"/>
  <c r="L37" i="211"/>
  <c r="M109" i="211"/>
  <c r="L29" i="211"/>
  <c r="L95" i="211" s="1"/>
  <c r="Z25" i="130"/>
  <c r="M120" i="211"/>
  <c r="L34" i="211"/>
  <c r="R34" i="211" s="1"/>
  <c r="M86" i="211"/>
  <c r="M131" i="211"/>
  <c r="U51" i="110"/>
  <c r="U51" i="158"/>
  <c r="U51" i="196" s="1"/>
  <c r="R19" i="207"/>
  <c r="L115" i="207"/>
  <c r="C115" i="207"/>
  <c r="U25" i="110"/>
  <c r="C89" i="207"/>
  <c r="C55" i="207"/>
  <c r="C51" i="207"/>
  <c r="Q51" i="207" s="1"/>
  <c r="R51" i="207"/>
  <c r="C36" i="207"/>
  <c r="Q36" i="207" s="1"/>
  <c r="Q52" i="207"/>
  <c r="C118" i="207"/>
  <c r="U50" i="158"/>
  <c r="U50" i="196" s="1"/>
  <c r="L114" i="207"/>
  <c r="L109" i="207"/>
  <c r="R52" i="207"/>
  <c r="S52" i="207" s="1"/>
  <c r="R25" i="207"/>
  <c r="S25" i="207" s="1"/>
  <c r="U54" i="158"/>
  <c r="U54" i="196" s="1"/>
  <c r="U25" i="158"/>
  <c r="AC25" i="158" s="1"/>
  <c r="C29" i="207"/>
  <c r="L95" i="207"/>
  <c r="C19" i="207"/>
  <c r="C85" i="207" s="1"/>
  <c r="L102" i="207"/>
  <c r="C64" i="207"/>
  <c r="U66" i="158" s="1"/>
  <c r="U66" i="196" s="1"/>
  <c r="GQ11" i="129"/>
  <c r="M33" i="211"/>
  <c r="M88" i="211"/>
  <c r="V23" i="132"/>
  <c r="L22" i="211"/>
  <c r="GQ12" i="129"/>
  <c r="M40" i="211"/>
  <c r="GQ14" i="129"/>
  <c r="M53" i="211"/>
  <c r="GQ9" i="129"/>
  <c r="M21" i="211"/>
  <c r="GQ13" i="129"/>
  <c r="M45" i="211"/>
  <c r="GQ15" i="129"/>
  <c r="M59" i="211"/>
  <c r="V19" i="132"/>
  <c r="L18" i="211"/>
  <c r="M84" i="211"/>
  <c r="GQ10" i="129"/>
  <c r="M27" i="211"/>
  <c r="GQ16" i="129"/>
  <c r="M62" i="211"/>
  <c r="GQ8" i="129"/>
  <c r="M17" i="211"/>
  <c r="L41" i="211"/>
  <c r="V42" i="132"/>
  <c r="M107" i="211"/>
  <c r="U50" i="110"/>
  <c r="C26" i="207"/>
  <c r="Q26" i="207" s="1"/>
  <c r="C35" i="207"/>
  <c r="S35" i="207" s="1"/>
  <c r="C47" i="207"/>
  <c r="U49" i="110" s="1"/>
  <c r="C114" i="207"/>
  <c r="L92" i="207"/>
  <c r="L101" i="207"/>
  <c r="R64" i="207"/>
  <c r="R48" i="207"/>
  <c r="S48" i="207" s="1"/>
  <c r="R47" i="207"/>
  <c r="L118" i="207"/>
  <c r="C43" i="207"/>
  <c r="C91" i="207"/>
  <c r="Q25" i="207"/>
  <c r="C58" i="207"/>
  <c r="U60" i="158" s="1"/>
  <c r="AC60" i="158" s="1"/>
  <c r="U27" i="158"/>
  <c r="AC27" i="158" s="1"/>
  <c r="U27" i="110"/>
  <c r="C32" i="207"/>
  <c r="C98" i="207" s="1"/>
  <c r="Q44" i="207"/>
  <c r="C110" i="207"/>
  <c r="U46" i="158"/>
  <c r="U46" i="196" s="1"/>
  <c r="U46" i="110"/>
  <c r="C131" i="207"/>
  <c r="U67" i="110"/>
  <c r="U32" i="158"/>
  <c r="U32" i="196" s="1"/>
  <c r="U32" i="110"/>
  <c r="Q30" i="207"/>
  <c r="C96" i="207"/>
  <c r="L124" i="207"/>
  <c r="L89" i="207"/>
  <c r="C24" i="207"/>
  <c r="L91" i="207"/>
  <c r="L90" i="207"/>
  <c r="R23" i="207"/>
  <c r="S23" i="207" s="1"/>
  <c r="Q65" i="207"/>
  <c r="L104" i="207"/>
  <c r="C38" i="207"/>
  <c r="C42" i="207"/>
  <c r="R42" i="207"/>
  <c r="L103" i="207"/>
  <c r="C37" i="207"/>
  <c r="R37" i="207"/>
  <c r="L110" i="207"/>
  <c r="R44" i="207"/>
  <c r="S44" i="207" s="1"/>
  <c r="R32" i="207"/>
  <c r="R56" i="207"/>
  <c r="C56" i="207"/>
  <c r="L122" i="207"/>
  <c r="R50" i="207"/>
  <c r="L116" i="207"/>
  <c r="C50" i="207"/>
  <c r="R30" i="207"/>
  <c r="S30" i="207" s="1"/>
  <c r="L96" i="207"/>
  <c r="R20" i="207"/>
  <c r="C20" i="207"/>
  <c r="C31" i="207"/>
  <c r="R31" i="207"/>
  <c r="L123" i="207"/>
  <c r="C57" i="207"/>
  <c r="R57" i="207"/>
  <c r="R39" i="207"/>
  <c r="C39" i="207"/>
  <c r="L105" i="207"/>
  <c r="R65" i="207"/>
  <c r="S65" i="207" s="1"/>
  <c r="L131" i="207"/>
  <c r="U67" i="158"/>
  <c r="AC67" i="158" s="1"/>
  <c r="S21" i="205"/>
  <c r="S62" i="205"/>
  <c r="S45" i="205"/>
  <c r="M7" i="207"/>
  <c r="M87" i="207"/>
  <c r="C54" i="207"/>
  <c r="L120" i="207"/>
  <c r="L53" i="207"/>
  <c r="R54" i="207"/>
  <c r="R41" i="207"/>
  <c r="C41" i="207"/>
  <c r="L40" i="207"/>
  <c r="L107" i="207"/>
  <c r="M83" i="207"/>
  <c r="M6" i="207"/>
  <c r="L45" i="207"/>
  <c r="C46" i="207"/>
  <c r="R46" i="207"/>
  <c r="L112" i="207"/>
  <c r="M125" i="207"/>
  <c r="M13" i="207"/>
  <c r="M128" i="207"/>
  <c r="M14" i="207"/>
  <c r="C34" i="207"/>
  <c r="R34" i="207"/>
  <c r="L33" i="207"/>
  <c r="L100" i="207"/>
  <c r="R28" i="207"/>
  <c r="C28" i="207"/>
  <c r="L27" i="207"/>
  <c r="L94" i="207"/>
  <c r="GG18" i="129"/>
  <c r="M9" i="207"/>
  <c r="M99" i="207"/>
  <c r="M93" i="207"/>
  <c r="M8" i="207"/>
  <c r="L126" i="207"/>
  <c r="C60" i="207"/>
  <c r="R60" i="207"/>
  <c r="L59" i="207"/>
  <c r="L62" i="207"/>
  <c r="C63" i="207"/>
  <c r="L129" i="207"/>
  <c r="R63" i="207"/>
  <c r="M10" i="207"/>
  <c r="M106" i="207"/>
  <c r="L84" i="207"/>
  <c r="R18" i="207"/>
  <c r="C18" i="207"/>
  <c r="L17" i="207"/>
  <c r="M11" i="207"/>
  <c r="M111" i="207"/>
  <c r="L21" i="207"/>
  <c r="L88" i="207"/>
  <c r="C22" i="207"/>
  <c r="R22" i="207"/>
  <c r="M119" i="207"/>
  <c r="M12" i="207"/>
  <c r="C70" i="194"/>
  <c r="AB30" i="158"/>
  <c r="AB43" i="158"/>
  <c r="Q33" i="205"/>
  <c r="T35" i="158"/>
  <c r="C99" i="205"/>
  <c r="AB37" i="158"/>
  <c r="AB26" i="158"/>
  <c r="R14" i="205"/>
  <c r="L80" i="205"/>
  <c r="AB27" i="158"/>
  <c r="R11" i="205"/>
  <c r="L77" i="205"/>
  <c r="AB48" i="158"/>
  <c r="Q6" i="205"/>
  <c r="C72" i="205"/>
  <c r="Y23" i="199"/>
  <c r="AA7" i="158"/>
  <c r="Q10" i="194"/>
  <c r="C76" i="194"/>
  <c r="S10" i="194"/>
  <c r="AB66" i="158"/>
  <c r="AB56" i="158"/>
  <c r="AB44" i="158"/>
  <c r="T61" i="158"/>
  <c r="C125" i="205"/>
  <c r="Q59" i="205"/>
  <c r="R13" i="205"/>
  <c r="L79" i="205"/>
  <c r="AB60" i="158"/>
  <c r="C79" i="194"/>
  <c r="Q13" i="194"/>
  <c r="S13" i="194"/>
  <c r="T8" i="158"/>
  <c r="AB19" i="158"/>
  <c r="AA24" i="196"/>
  <c r="S10" i="158"/>
  <c r="AA29" i="158"/>
  <c r="AB62" i="158"/>
  <c r="R12" i="205"/>
  <c r="L78" i="205"/>
  <c r="S59" i="205"/>
  <c r="C72" i="194"/>
  <c r="Q6" i="194"/>
  <c r="AB63" i="158"/>
  <c r="AA62" i="196"/>
  <c r="AA56" i="196"/>
  <c r="AA36" i="196"/>
  <c r="L76" i="205"/>
  <c r="R10" i="205"/>
  <c r="AB25" i="158"/>
  <c r="AB39" i="158"/>
  <c r="S12" i="158"/>
  <c r="AA42" i="158"/>
  <c r="Q5" i="205"/>
  <c r="C71" i="205"/>
  <c r="S5" i="205"/>
  <c r="S53" i="205"/>
  <c r="S8" i="158"/>
  <c r="AA19" i="158"/>
  <c r="T23" i="158"/>
  <c r="Q21" i="205"/>
  <c r="C87" i="205"/>
  <c r="Q11" i="194"/>
  <c r="C77" i="194"/>
  <c r="S11" i="194"/>
  <c r="AB46" i="158"/>
  <c r="R8" i="205"/>
  <c r="L74" i="205"/>
  <c r="AB59" i="158"/>
  <c r="AA43" i="196"/>
  <c r="AA65" i="196"/>
  <c r="S40" i="205"/>
  <c r="AB28" i="158"/>
  <c r="Q8" i="194"/>
  <c r="C74" i="194"/>
  <c r="C80" i="194"/>
  <c r="Q14" i="194"/>
  <c r="AB38" i="158"/>
  <c r="AB24" i="158"/>
  <c r="S14" i="158"/>
  <c r="AA55" i="158"/>
  <c r="S13" i="158"/>
  <c r="AA47" i="158"/>
  <c r="S27" i="205"/>
  <c r="AA61" i="158"/>
  <c r="S15" i="158"/>
  <c r="AB53" i="158"/>
  <c r="AA30" i="196"/>
  <c r="AB41" i="158"/>
  <c r="AB18" i="158"/>
  <c r="T7" i="158"/>
  <c r="T69" i="158"/>
  <c r="AB69" i="158" s="1"/>
  <c r="T64" i="158"/>
  <c r="Q62" i="205"/>
  <c r="C128" i="205"/>
  <c r="R7" i="205"/>
  <c r="L73" i="205"/>
  <c r="S8" i="194"/>
  <c r="S16" i="158"/>
  <c r="AA64" i="158"/>
  <c r="AB51" i="158"/>
  <c r="AB57" i="158"/>
  <c r="C75" i="194"/>
  <c r="Q9" i="194"/>
  <c r="S9" i="194"/>
  <c r="R9" i="205"/>
  <c r="L75" i="205"/>
  <c r="AB52" i="158"/>
  <c r="AB54" i="158"/>
  <c r="AB31" i="158"/>
  <c r="T55" i="158"/>
  <c r="Q53" i="205"/>
  <c r="C119" i="205"/>
  <c r="Q7" i="194"/>
  <c r="C73" i="194"/>
  <c r="AB32" i="158"/>
  <c r="C78" i="194"/>
  <c r="Q12" i="194"/>
  <c r="S12" i="194"/>
  <c r="AB50" i="158"/>
  <c r="T29" i="158"/>
  <c r="Q27" i="205"/>
  <c r="C93" i="205"/>
  <c r="S33" i="205"/>
  <c r="AB67" i="158"/>
  <c r="Q40" i="205"/>
  <c r="T42" i="158"/>
  <c r="C106" i="205"/>
  <c r="AB36" i="158"/>
  <c r="S6" i="205"/>
  <c r="AB58" i="158"/>
  <c r="AB65" i="158"/>
  <c r="S9" i="158"/>
  <c r="AA23" i="158"/>
  <c r="AA20" i="196"/>
  <c r="T47" i="158"/>
  <c r="Q45" i="205"/>
  <c r="C111" i="205"/>
  <c r="AB40" i="158"/>
  <c r="AA48" i="196"/>
  <c r="AB49" i="158"/>
  <c r="AB33" i="158"/>
  <c r="O36" i="200"/>
  <c r="S11" i="158"/>
  <c r="AA35" i="158"/>
  <c r="R24" i="212" l="1"/>
  <c r="C44" i="212"/>
  <c r="Q44" i="212" s="1"/>
  <c r="C36" i="212"/>
  <c r="R36" i="212"/>
  <c r="M11" i="212"/>
  <c r="M77" i="212" s="1"/>
  <c r="L102" i="212"/>
  <c r="M106" i="212"/>
  <c r="R43" i="212"/>
  <c r="R38" i="212"/>
  <c r="R37" i="212"/>
  <c r="R42" i="212"/>
  <c r="L107" i="212"/>
  <c r="L112" i="212"/>
  <c r="C41" i="212"/>
  <c r="S41" i="212" s="1"/>
  <c r="L108" i="212"/>
  <c r="L95" i="212"/>
  <c r="C42" i="212"/>
  <c r="C35" i="212"/>
  <c r="W37" i="158" s="1"/>
  <c r="C22" i="212"/>
  <c r="W24" i="158" s="1"/>
  <c r="L62" i="212"/>
  <c r="L14" i="212" s="1"/>
  <c r="R32" i="212"/>
  <c r="S32" i="212" s="1"/>
  <c r="C46" i="212"/>
  <c r="R46" i="212"/>
  <c r="R22" i="212"/>
  <c r="C60" i="212"/>
  <c r="Q60" i="212" s="1"/>
  <c r="L130" i="212"/>
  <c r="L21" i="212"/>
  <c r="R21" i="212" s="1"/>
  <c r="R60" i="212"/>
  <c r="L98" i="212"/>
  <c r="R64" i="212"/>
  <c r="S64" i="212" s="1"/>
  <c r="L59" i="212"/>
  <c r="R59" i="212" s="1"/>
  <c r="R52" i="212"/>
  <c r="M14" i="212"/>
  <c r="M80" i="212" s="1"/>
  <c r="R35" i="212"/>
  <c r="S35" i="212" s="1"/>
  <c r="C30" i="212"/>
  <c r="C96" i="212" s="1"/>
  <c r="L27" i="212"/>
  <c r="L93" i="212" s="1"/>
  <c r="R30" i="212"/>
  <c r="M6" i="212"/>
  <c r="M86" i="200" s="1"/>
  <c r="C29" i="212"/>
  <c r="S29" i="212" s="1"/>
  <c r="L104" i="212"/>
  <c r="M111" i="212"/>
  <c r="R26" i="211"/>
  <c r="C26" i="211"/>
  <c r="V28" i="158" s="1"/>
  <c r="V28" i="196" s="1"/>
  <c r="C38" i="212"/>
  <c r="C52" i="212"/>
  <c r="Q52" i="212" s="1"/>
  <c r="R51" i="212"/>
  <c r="S51" i="212" s="1"/>
  <c r="L117" i="212"/>
  <c r="M10" i="212"/>
  <c r="M76" i="212" s="1"/>
  <c r="L109" i="212"/>
  <c r="M8" i="212"/>
  <c r="M74" i="212" s="1"/>
  <c r="C43" i="212"/>
  <c r="C18" i="212"/>
  <c r="Q18" i="212" s="1"/>
  <c r="L40" i="212"/>
  <c r="L45" i="212"/>
  <c r="M13" i="212"/>
  <c r="M93" i="200" s="1"/>
  <c r="R18" i="212"/>
  <c r="L17" i="212"/>
  <c r="L83" i="212" s="1"/>
  <c r="C48" i="212"/>
  <c r="W50" i="158" s="1"/>
  <c r="R48" i="212"/>
  <c r="L103" i="212"/>
  <c r="L89" i="213"/>
  <c r="R23" i="213"/>
  <c r="C23" i="213"/>
  <c r="X25" i="158" s="1"/>
  <c r="X25" i="196" s="1"/>
  <c r="M111" i="213"/>
  <c r="M11" i="213"/>
  <c r="L84" i="213"/>
  <c r="L17" i="213"/>
  <c r="R18" i="213"/>
  <c r="C18" i="213"/>
  <c r="X20" i="158" s="1"/>
  <c r="X20" i="196" s="1"/>
  <c r="C34" i="212"/>
  <c r="W36" i="158" s="1"/>
  <c r="L129" i="213"/>
  <c r="L62" i="213"/>
  <c r="R63" i="213"/>
  <c r="C63" i="213"/>
  <c r="X65" i="158" s="1"/>
  <c r="X65" i="196" s="1"/>
  <c r="L90" i="213"/>
  <c r="R24" i="213"/>
  <c r="C24" i="213"/>
  <c r="X26" i="158" s="1"/>
  <c r="X26" i="196" s="1"/>
  <c r="L45" i="213"/>
  <c r="L112" i="213"/>
  <c r="R46" i="213"/>
  <c r="C46" i="213"/>
  <c r="X48" i="158" s="1"/>
  <c r="X48" i="196" s="1"/>
  <c r="M106" i="213"/>
  <c r="M10" i="213"/>
  <c r="L122" i="213"/>
  <c r="R56" i="213"/>
  <c r="C56" i="213"/>
  <c r="X58" i="158" s="1"/>
  <c r="X58" i="196" s="1"/>
  <c r="L33" i="212"/>
  <c r="R33" i="212" s="1"/>
  <c r="C37" i="212"/>
  <c r="M12" i="212"/>
  <c r="M78" i="212" s="1"/>
  <c r="M99" i="213"/>
  <c r="M9" i="213"/>
  <c r="L123" i="213"/>
  <c r="R57" i="213"/>
  <c r="C57" i="213"/>
  <c r="X59" i="158" s="1"/>
  <c r="X59" i="196" s="1"/>
  <c r="R34" i="212"/>
  <c r="L114" i="212"/>
  <c r="L113" i="213"/>
  <c r="R47" i="213"/>
  <c r="C47" i="213"/>
  <c r="X49" i="158" s="1"/>
  <c r="X49" i="196" s="1"/>
  <c r="L105" i="213"/>
  <c r="R39" i="213"/>
  <c r="C39" i="213"/>
  <c r="X41" i="158" s="1"/>
  <c r="X41" i="196" s="1"/>
  <c r="L114" i="213"/>
  <c r="R48" i="213"/>
  <c r="C48" i="213"/>
  <c r="X50" i="158" s="1"/>
  <c r="X50" i="196" s="1"/>
  <c r="M93" i="213"/>
  <c r="M8" i="213"/>
  <c r="L103" i="213"/>
  <c r="R37" i="213"/>
  <c r="C37" i="213"/>
  <c r="X39" i="158" s="1"/>
  <c r="X39" i="196" s="1"/>
  <c r="L88" i="213"/>
  <c r="L21" i="213"/>
  <c r="R22" i="213"/>
  <c r="C22" i="213"/>
  <c r="X24" i="158" s="1"/>
  <c r="X24" i="196" s="1"/>
  <c r="L53" i="213"/>
  <c r="L120" i="213"/>
  <c r="R54" i="213"/>
  <c r="C54" i="213"/>
  <c r="X56" i="158" s="1"/>
  <c r="X56" i="196" s="1"/>
  <c r="M87" i="212"/>
  <c r="L130" i="213"/>
  <c r="R64" i="213"/>
  <c r="C64" i="213"/>
  <c r="X66" i="158" s="1"/>
  <c r="X66" i="196" s="1"/>
  <c r="L121" i="213"/>
  <c r="R55" i="213"/>
  <c r="C55" i="213"/>
  <c r="X57" i="158" s="1"/>
  <c r="X57" i="196" s="1"/>
  <c r="L124" i="213"/>
  <c r="R58" i="213"/>
  <c r="C58" i="213"/>
  <c r="X60" i="158" s="1"/>
  <c r="X60" i="196" s="1"/>
  <c r="L108" i="213"/>
  <c r="R42" i="213"/>
  <c r="C42" i="213"/>
  <c r="X44" i="158" s="1"/>
  <c r="X44" i="196" s="1"/>
  <c r="L100" i="213"/>
  <c r="L33" i="213"/>
  <c r="R34" i="213"/>
  <c r="C34" i="213"/>
  <c r="X36" i="158" s="1"/>
  <c r="X36" i="196" s="1"/>
  <c r="L86" i="213"/>
  <c r="R20" i="213"/>
  <c r="C20" i="213"/>
  <c r="X22" i="158" s="1"/>
  <c r="X22" i="196" s="1"/>
  <c r="M125" i="213"/>
  <c r="M13" i="213"/>
  <c r="L131" i="213"/>
  <c r="R65" i="213"/>
  <c r="C65" i="213"/>
  <c r="X67" i="158" s="1"/>
  <c r="X67" i="196" s="1"/>
  <c r="L127" i="213"/>
  <c r="R61" i="213"/>
  <c r="C61" i="213"/>
  <c r="X63" i="158" s="1"/>
  <c r="X63" i="196" s="1"/>
  <c r="L96" i="213"/>
  <c r="R30" i="213"/>
  <c r="C30" i="213"/>
  <c r="X32" i="158" s="1"/>
  <c r="X32" i="196" s="1"/>
  <c r="M119" i="213"/>
  <c r="M12" i="213"/>
  <c r="L94" i="213"/>
  <c r="L27" i="213"/>
  <c r="R28" i="213"/>
  <c r="C28" i="213"/>
  <c r="X30" i="158" s="1"/>
  <c r="X30" i="196" s="1"/>
  <c r="L110" i="213"/>
  <c r="R44" i="213"/>
  <c r="C44" i="213"/>
  <c r="X46" i="158" s="1"/>
  <c r="X46" i="196" s="1"/>
  <c r="L107" i="213"/>
  <c r="L40" i="213"/>
  <c r="R41" i="213"/>
  <c r="C41" i="213"/>
  <c r="X43" i="158" s="1"/>
  <c r="X43" i="196" s="1"/>
  <c r="L92" i="213"/>
  <c r="R26" i="213"/>
  <c r="C26" i="213"/>
  <c r="X28" i="158" s="1"/>
  <c r="X28" i="196" s="1"/>
  <c r="L118" i="213"/>
  <c r="R52" i="213"/>
  <c r="C52" i="213"/>
  <c r="X54" i="158" s="1"/>
  <c r="X54" i="196" s="1"/>
  <c r="L101" i="213"/>
  <c r="R35" i="213"/>
  <c r="C35" i="213"/>
  <c r="X37" i="158" s="1"/>
  <c r="X37" i="196" s="1"/>
  <c r="L116" i="213"/>
  <c r="R50" i="213"/>
  <c r="C50" i="213"/>
  <c r="X52" i="158" s="1"/>
  <c r="X52" i="196" s="1"/>
  <c r="M9" i="212"/>
  <c r="M89" i="200" s="1"/>
  <c r="L117" i="213"/>
  <c r="R51" i="213"/>
  <c r="C51" i="213"/>
  <c r="X53" i="158" s="1"/>
  <c r="X53" i="196" s="1"/>
  <c r="L97" i="213"/>
  <c r="R31" i="213"/>
  <c r="C31" i="213"/>
  <c r="X33" i="158" s="1"/>
  <c r="X33" i="196" s="1"/>
  <c r="L85" i="213"/>
  <c r="R19" i="213"/>
  <c r="C19" i="213"/>
  <c r="X21" i="158" s="1"/>
  <c r="X21" i="196" s="1"/>
  <c r="M128" i="213"/>
  <c r="M14" i="213"/>
  <c r="L115" i="213"/>
  <c r="R49" i="213"/>
  <c r="C49" i="213"/>
  <c r="X51" i="158" s="1"/>
  <c r="X51" i="196" s="1"/>
  <c r="L91" i="213"/>
  <c r="R25" i="213"/>
  <c r="C25" i="213"/>
  <c r="X27" i="158" s="1"/>
  <c r="X27" i="196" s="1"/>
  <c r="L126" i="213"/>
  <c r="L59" i="213"/>
  <c r="R60" i="213"/>
  <c r="C60" i="213"/>
  <c r="X62" i="158" s="1"/>
  <c r="X62" i="196" s="1"/>
  <c r="L102" i="213"/>
  <c r="R36" i="213"/>
  <c r="C36" i="213"/>
  <c r="X38" i="158" s="1"/>
  <c r="X38" i="196" s="1"/>
  <c r="L98" i="213"/>
  <c r="R32" i="213"/>
  <c r="C32" i="213"/>
  <c r="X34" i="158" s="1"/>
  <c r="X34" i="196" s="1"/>
  <c r="L104" i="213"/>
  <c r="R38" i="213"/>
  <c r="C38" i="213"/>
  <c r="X40" i="158" s="1"/>
  <c r="X40" i="196" s="1"/>
  <c r="L95" i="213"/>
  <c r="R29" i="213"/>
  <c r="C29" i="213"/>
  <c r="X31" i="158" s="1"/>
  <c r="X31" i="196" s="1"/>
  <c r="M83" i="213"/>
  <c r="M6" i="213"/>
  <c r="L109" i="213"/>
  <c r="R43" i="213"/>
  <c r="C43" i="213"/>
  <c r="X45" i="158" s="1"/>
  <c r="X45" i="196" s="1"/>
  <c r="M87" i="213"/>
  <c r="M7" i="213"/>
  <c r="Z45" i="130"/>
  <c r="S61" i="212"/>
  <c r="S20" i="212"/>
  <c r="S63" i="212"/>
  <c r="S39" i="212"/>
  <c r="S31" i="212"/>
  <c r="S49" i="212"/>
  <c r="L121" i="211"/>
  <c r="S25" i="212"/>
  <c r="S65" i="212"/>
  <c r="S58" i="212"/>
  <c r="S47" i="212"/>
  <c r="S19" i="212"/>
  <c r="W66" i="158"/>
  <c r="Q64" i="212"/>
  <c r="C130" i="212"/>
  <c r="W58" i="158"/>
  <c r="C122" i="212"/>
  <c r="Q56" i="212"/>
  <c r="Z37" i="130"/>
  <c r="S55" i="212"/>
  <c r="R53" i="212"/>
  <c r="L12" i="212"/>
  <c r="L119" i="212"/>
  <c r="Z38" i="131"/>
  <c r="W25" i="158"/>
  <c r="C89" i="212"/>
  <c r="Q23" i="212"/>
  <c r="W41" i="158"/>
  <c r="C105" i="212"/>
  <c r="Q39" i="212"/>
  <c r="W59" i="158"/>
  <c r="Q57" i="212"/>
  <c r="C123" i="212"/>
  <c r="W52" i="158"/>
  <c r="C116" i="212"/>
  <c r="Q50" i="212"/>
  <c r="Z39" i="130"/>
  <c r="W63" i="158"/>
  <c r="Q61" i="212"/>
  <c r="C127" i="212"/>
  <c r="W53" i="158"/>
  <c r="C117" i="212"/>
  <c r="Q51" i="212"/>
  <c r="W56" i="158"/>
  <c r="Q54" i="212"/>
  <c r="C120" i="212"/>
  <c r="C53" i="212"/>
  <c r="M73" i="212"/>
  <c r="M87" i="200"/>
  <c r="M91" i="200"/>
  <c r="W21" i="158"/>
  <c r="C85" i="212"/>
  <c r="Q19" i="212"/>
  <c r="W30" i="158"/>
  <c r="C94" i="212"/>
  <c r="Q28" i="212"/>
  <c r="W34" i="158"/>
  <c r="C98" i="212"/>
  <c r="Q32" i="212"/>
  <c r="W22" i="158"/>
  <c r="C86" i="212"/>
  <c r="Q20" i="212"/>
  <c r="S28" i="212"/>
  <c r="W57" i="158"/>
  <c r="C121" i="212"/>
  <c r="Q55" i="212"/>
  <c r="W28" i="158"/>
  <c r="C92" i="212"/>
  <c r="Q26" i="212"/>
  <c r="S56" i="212"/>
  <c r="S57" i="212"/>
  <c r="S26" i="212"/>
  <c r="S50" i="212"/>
  <c r="W33" i="158"/>
  <c r="Q31" i="212"/>
  <c r="C97" i="212"/>
  <c r="W51" i="158"/>
  <c r="Q49" i="212"/>
  <c r="C115" i="212"/>
  <c r="W65" i="158"/>
  <c r="C129" i="212"/>
  <c r="C62" i="212"/>
  <c r="Q63" i="212"/>
  <c r="W26" i="158"/>
  <c r="C90" i="212"/>
  <c r="Q24" i="212"/>
  <c r="S23" i="212"/>
  <c r="W27" i="158"/>
  <c r="Q25" i="212"/>
  <c r="C91" i="212"/>
  <c r="S24" i="212"/>
  <c r="S54" i="212"/>
  <c r="W67" i="158"/>
  <c r="C131" i="212"/>
  <c r="Q65" i="212"/>
  <c r="W60" i="158"/>
  <c r="Q58" i="212"/>
  <c r="C124" i="212"/>
  <c r="W49" i="158"/>
  <c r="Q47" i="212"/>
  <c r="C113" i="212"/>
  <c r="Z40" i="131"/>
  <c r="C31" i="211"/>
  <c r="V33" i="158" s="1"/>
  <c r="V33" i="196" s="1"/>
  <c r="C55" i="211"/>
  <c r="V57" i="158" s="1"/>
  <c r="V57" i="196" s="1"/>
  <c r="Z47" i="131"/>
  <c r="Z43" i="130"/>
  <c r="R31" i="211"/>
  <c r="Z44" i="130"/>
  <c r="C19" i="211"/>
  <c r="V21" i="158" s="1"/>
  <c r="V21" i="196" s="1"/>
  <c r="R19" i="211"/>
  <c r="L109" i="211"/>
  <c r="R46" i="211"/>
  <c r="R38" i="211"/>
  <c r="R36" i="211"/>
  <c r="C42" i="211"/>
  <c r="Q42" i="211" s="1"/>
  <c r="L103" i="211"/>
  <c r="C39" i="211"/>
  <c r="Q39" i="211" s="1"/>
  <c r="R44" i="211"/>
  <c r="L91" i="211"/>
  <c r="C63" i="211"/>
  <c r="V65" i="158" s="1"/>
  <c r="V65" i="196" s="1"/>
  <c r="R25" i="211"/>
  <c r="S25" i="211" s="1"/>
  <c r="R48" i="211"/>
  <c r="C48" i="211"/>
  <c r="V50" i="158" s="1"/>
  <c r="V50" i="196" s="1"/>
  <c r="AD50" i="196" s="1"/>
  <c r="R64" i="211"/>
  <c r="S64" i="211" s="1"/>
  <c r="L130" i="211"/>
  <c r="L129" i="211"/>
  <c r="L118" i="211"/>
  <c r="C52" i="211"/>
  <c r="V54" i="158" s="1"/>
  <c r="V54" i="196" s="1"/>
  <c r="AD54" i="196" s="1"/>
  <c r="C58" i="211"/>
  <c r="V60" i="158" s="1"/>
  <c r="V60" i="196" s="1"/>
  <c r="R58" i="211"/>
  <c r="C23" i="211"/>
  <c r="V25" i="158" s="1"/>
  <c r="V25" i="196" s="1"/>
  <c r="C36" i="211"/>
  <c r="L89" i="211"/>
  <c r="L62" i="211"/>
  <c r="L128" i="211" s="1"/>
  <c r="L104" i="211"/>
  <c r="L53" i="211"/>
  <c r="L119" i="211" s="1"/>
  <c r="C57" i="211"/>
  <c r="V59" i="158" s="1"/>
  <c r="V59" i="196" s="1"/>
  <c r="L102" i="211"/>
  <c r="R57" i="211"/>
  <c r="R39" i="211"/>
  <c r="C56" i="211"/>
  <c r="V58" i="158" s="1"/>
  <c r="V58" i="196" s="1"/>
  <c r="L105" i="211"/>
  <c r="C38" i="211"/>
  <c r="L122" i="211"/>
  <c r="S55" i="207"/>
  <c r="C61" i="211"/>
  <c r="V63" i="158" s="1"/>
  <c r="V63" i="196" s="1"/>
  <c r="AD63" i="196" s="1"/>
  <c r="R61" i="211"/>
  <c r="C50" i="211"/>
  <c r="V52" i="158" s="1"/>
  <c r="V52" i="196" s="1"/>
  <c r="R47" i="211"/>
  <c r="C47" i="211"/>
  <c r="V49" i="158" s="1"/>
  <c r="V49" i="196" s="1"/>
  <c r="R50" i="211"/>
  <c r="R51" i="211"/>
  <c r="R42" i="211"/>
  <c r="C51" i="211"/>
  <c r="V53" i="158" s="1"/>
  <c r="V53" i="196" s="1"/>
  <c r="L108" i="211"/>
  <c r="R65" i="211"/>
  <c r="C32" i="211"/>
  <c r="V34" i="158" s="1"/>
  <c r="V34" i="196" s="1"/>
  <c r="R32" i="211"/>
  <c r="C30" i="211"/>
  <c r="V32" i="158" s="1"/>
  <c r="V32" i="196" s="1"/>
  <c r="AD32" i="196" s="1"/>
  <c r="R30" i="211"/>
  <c r="C46" i="211"/>
  <c r="L112" i="211"/>
  <c r="C37" i="211"/>
  <c r="R37" i="211"/>
  <c r="L90" i="211"/>
  <c r="C20" i="211"/>
  <c r="V22" i="158" s="1"/>
  <c r="V22" i="196" s="1"/>
  <c r="C60" i="211"/>
  <c r="V62" i="158" s="1"/>
  <c r="V62" i="196" s="1"/>
  <c r="R35" i="211"/>
  <c r="C35" i="211"/>
  <c r="V37" i="158" s="1"/>
  <c r="C28" i="211"/>
  <c r="V30" i="158" s="1"/>
  <c r="V30" i="196" s="1"/>
  <c r="L33" i="211"/>
  <c r="L99" i="211" s="1"/>
  <c r="L94" i="211"/>
  <c r="C24" i="211"/>
  <c r="V26" i="158" s="1"/>
  <c r="L21" i="211"/>
  <c r="L7" i="211" s="1"/>
  <c r="L55" i="200" s="1"/>
  <c r="L45" i="211"/>
  <c r="L126" i="211"/>
  <c r="S61" i="207"/>
  <c r="Q61" i="207"/>
  <c r="R20" i="211"/>
  <c r="L17" i="211"/>
  <c r="L83" i="211" s="1"/>
  <c r="C49" i="211"/>
  <c r="V51" i="158" s="1"/>
  <c r="V51" i="196" s="1"/>
  <c r="AD51" i="196" s="1"/>
  <c r="C127" i="207"/>
  <c r="R49" i="211"/>
  <c r="U63" i="110"/>
  <c r="C44" i="211"/>
  <c r="L59" i="211"/>
  <c r="R59" i="211" s="1"/>
  <c r="C29" i="211"/>
  <c r="V31" i="158" s="1"/>
  <c r="V31" i="196" s="1"/>
  <c r="L110" i="211"/>
  <c r="R29" i="211"/>
  <c r="C43" i="211"/>
  <c r="L27" i="211"/>
  <c r="L8" i="211" s="1"/>
  <c r="L56" i="200" s="1"/>
  <c r="L131" i="211"/>
  <c r="R43" i="211"/>
  <c r="C65" i="211"/>
  <c r="V67" i="158" s="1"/>
  <c r="V67" i="196" s="1"/>
  <c r="L100" i="211"/>
  <c r="C54" i="211"/>
  <c r="L120" i="211"/>
  <c r="R54" i="211"/>
  <c r="C34" i="211"/>
  <c r="S34" i="211" s="1"/>
  <c r="Z29" i="131"/>
  <c r="Z29" i="130"/>
  <c r="AC51" i="158"/>
  <c r="Q55" i="207"/>
  <c r="U53" i="158"/>
  <c r="AC53" i="158" s="1"/>
  <c r="U57" i="110"/>
  <c r="C121" i="207"/>
  <c r="U57" i="158"/>
  <c r="U57" i="196" s="1"/>
  <c r="AC57" i="196" s="1"/>
  <c r="S51" i="207"/>
  <c r="U53" i="110"/>
  <c r="C117" i="207"/>
  <c r="U27" i="196"/>
  <c r="C130" i="207"/>
  <c r="S64" i="207"/>
  <c r="Q64" i="207"/>
  <c r="S36" i="207"/>
  <c r="C102" i="207"/>
  <c r="C124" i="207"/>
  <c r="U38" i="158"/>
  <c r="U38" i="110"/>
  <c r="AC66" i="158"/>
  <c r="C113" i="207"/>
  <c r="AC50" i="158"/>
  <c r="U67" i="196"/>
  <c r="AC67" i="196" s="1"/>
  <c r="AC63" i="158"/>
  <c r="AC54" i="158"/>
  <c r="U28" i="110"/>
  <c r="S26" i="207"/>
  <c r="U34" i="110"/>
  <c r="AC46" i="158"/>
  <c r="C92" i="207"/>
  <c r="U25" i="196"/>
  <c r="Q19" i="207"/>
  <c r="U28" i="158"/>
  <c r="U28" i="196" s="1"/>
  <c r="U49" i="158"/>
  <c r="Q47" i="207"/>
  <c r="U21" i="158"/>
  <c r="U66" i="110"/>
  <c r="S19" i="207"/>
  <c r="U34" i="158"/>
  <c r="U34" i="196" s="1"/>
  <c r="U21" i="110"/>
  <c r="S32" i="207"/>
  <c r="Z42" i="130"/>
  <c r="Z42" i="131"/>
  <c r="Z19" i="130"/>
  <c r="Z19" i="131"/>
  <c r="Z23" i="130"/>
  <c r="Z23" i="131"/>
  <c r="C95" i="207"/>
  <c r="Q29" i="207"/>
  <c r="U31" i="110"/>
  <c r="U31" i="158"/>
  <c r="S47" i="207"/>
  <c r="S29" i="207"/>
  <c r="AD27" i="158"/>
  <c r="M128" i="211"/>
  <c r="M14" i="211"/>
  <c r="M62" i="200" s="1"/>
  <c r="V63" i="132"/>
  <c r="C41" i="211"/>
  <c r="L107" i="211"/>
  <c r="R41" i="211"/>
  <c r="C18" i="211"/>
  <c r="V20" i="158" s="1"/>
  <c r="V20" i="196" s="1"/>
  <c r="L84" i="211"/>
  <c r="R18" i="211"/>
  <c r="M111" i="211"/>
  <c r="V46" i="132"/>
  <c r="M11" i="211"/>
  <c r="M59" i="200" s="1"/>
  <c r="M12" i="211"/>
  <c r="M60" i="200" s="1"/>
  <c r="V54" i="132"/>
  <c r="M119" i="211"/>
  <c r="V41" i="132"/>
  <c r="M106" i="211"/>
  <c r="M10" i="211"/>
  <c r="M58" i="200" s="1"/>
  <c r="M83" i="211"/>
  <c r="V18" i="132"/>
  <c r="M6" i="211"/>
  <c r="M54" i="200" s="1"/>
  <c r="V28" i="132"/>
  <c r="M8" i="211"/>
  <c r="M56" i="200" s="1"/>
  <c r="M93" i="211"/>
  <c r="V34" i="132"/>
  <c r="M99" i="211"/>
  <c r="M9" i="211"/>
  <c r="M57" i="200" s="1"/>
  <c r="GQ18" i="129"/>
  <c r="V60" i="132"/>
  <c r="M13" i="211"/>
  <c r="M61" i="200" s="1"/>
  <c r="M125" i="211"/>
  <c r="M7" i="211"/>
  <c r="M55" i="200" s="1"/>
  <c r="V22" i="132"/>
  <c r="M87" i="211"/>
  <c r="L40" i="211"/>
  <c r="L88" i="211"/>
  <c r="R22" i="211"/>
  <c r="C22" i="211"/>
  <c r="V24" i="158" s="1"/>
  <c r="V24" i="196" s="1"/>
  <c r="V66" i="196"/>
  <c r="AD66" i="196" s="1"/>
  <c r="AD66" i="158"/>
  <c r="C101" i="207"/>
  <c r="S4" i="194"/>
  <c r="U37" i="158"/>
  <c r="Q35" i="207"/>
  <c r="U37" i="110"/>
  <c r="Q43" i="207"/>
  <c r="C109" i="207"/>
  <c r="U45" i="158"/>
  <c r="U45" i="110"/>
  <c r="S43" i="207"/>
  <c r="AC32" i="158"/>
  <c r="U60" i="196"/>
  <c r="AC60" i="196" s="1"/>
  <c r="U60" i="110"/>
  <c r="S58" i="207"/>
  <c r="Q58" i="207"/>
  <c r="Q32" i="207"/>
  <c r="Q24" i="207"/>
  <c r="C90" i="207"/>
  <c r="U26" i="110"/>
  <c r="S24" i="207"/>
  <c r="U26" i="158"/>
  <c r="U40" i="158"/>
  <c r="U40" i="110"/>
  <c r="Q38" i="207"/>
  <c r="C104" i="207"/>
  <c r="S38" i="207"/>
  <c r="S37" i="207"/>
  <c r="S42" i="207"/>
  <c r="Q42" i="207"/>
  <c r="U44" i="158"/>
  <c r="U44" i="110"/>
  <c r="C108" i="207"/>
  <c r="U39" i="158"/>
  <c r="U39" i="110"/>
  <c r="Q37" i="207"/>
  <c r="C103" i="207"/>
  <c r="S56" i="207"/>
  <c r="S57" i="207"/>
  <c r="S50" i="207"/>
  <c r="U58" i="158"/>
  <c r="U58" i="110"/>
  <c r="Q56" i="207"/>
  <c r="C122" i="207"/>
  <c r="Q50" i="207"/>
  <c r="C116" i="207"/>
  <c r="U52" i="158"/>
  <c r="U52" i="110"/>
  <c r="Q39" i="207"/>
  <c r="C105" i="207"/>
  <c r="U41" i="110"/>
  <c r="U41" i="158"/>
  <c r="S20" i="207"/>
  <c r="Q25" i="211"/>
  <c r="C91" i="211"/>
  <c r="S39" i="207"/>
  <c r="C130" i="211"/>
  <c r="Q64" i="211"/>
  <c r="S31" i="207"/>
  <c r="C97" i="207"/>
  <c r="U33" i="110"/>
  <c r="U33" i="158"/>
  <c r="Q31" i="207"/>
  <c r="U59" i="158"/>
  <c r="U59" i="110"/>
  <c r="Q57" i="207"/>
  <c r="C123" i="207"/>
  <c r="U22" i="110"/>
  <c r="U22" i="158"/>
  <c r="Q20" i="207"/>
  <c r="C86" i="207"/>
  <c r="AB51" i="196"/>
  <c r="AC51" i="196"/>
  <c r="AB58" i="196"/>
  <c r="AB66" i="196"/>
  <c r="AC66" i="196"/>
  <c r="AB50" i="196"/>
  <c r="AC50" i="196"/>
  <c r="S9" i="205"/>
  <c r="AB63" i="196"/>
  <c r="AC63" i="196"/>
  <c r="AB53" i="196"/>
  <c r="AB59" i="196"/>
  <c r="AB49" i="196"/>
  <c r="AB54" i="196"/>
  <c r="AC54" i="196"/>
  <c r="AB60" i="196"/>
  <c r="AB52" i="196"/>
  <c r="AB57" i="196"/>
  <c r="AB67" i="196"/>
  <c r="S54" i="207"/>
  <c r="S60" i="207"/>
  <c r="S7" i="205"/>
  <c r="S18" i="207"/>
  <c r="S63" i="207"/>
  <c r="S34" i="207"/>
  <c r="M78" i="207"/>
  <c r="M28" i="200"/>
  <c r="M44" i="200" s="1"/>
  <c r="M77" i="207"/>
  <c r="M27" i="200"/>
  <c r="M43" i="200" s="1"/>
  <c r="M80" i="207"/>
  <c r="M30" i="200"/>
  <c r="M46" i="200" s="1"/>
  <c r="M72" i="207"/>
  <c r="M22" i="200"/>
  <c r="M38" i="200" s="1"/>
  <c r="U43" i="158"/>
  <c r="C107" i="207"/>
  <c r="C40" i="207"/>
  <c r="Q41" i="207"/>
  <c r="U43" i="110"/>
  <c r="L7" i="207"/>
  <c r="R21" i="207"/>
  <c r="L87" i="207"/>
  <c r="L6" i="207"/>
  <c r="R17" i="207"/>
  <c r="L83" i="207"/>
  <c r="Q63" i="207"/>
  <c r="C62" i="207"/>
  <c r="C129" i="207"/>
  <c r="U65" i="158"/>
  <c r="U65" i="110"/>
  <c r="C126" i="207"/>
  <c r="Q60" i="207"/>
  <c r="U62" i="110"/>
  <c r="C59" i="207"/>
  <c r="U62" i="158"/>
  <c r="L8" i="207"/>
  <c r="L93" i="207"/>
  <c r="R27" i="207"/>
  <c r="L99" i="207"/>
  <c r="L9" i="207"/>
  <c r="R33" i="207"/>
  <c r="S46" i="207"/>
  <c r="S41" i="207"/>
  <c r="U56" i="110"/>
  <c r="Q54" i="207"/>
  <c r="U56" i="158"/>
  <c r="C120" i="207"/>
  <c r="C53" i="207"/>
  <c r="S22" i="207"/>
  <c r="Q18" i="207"/>
  <c r="U20" i="158"/>
  <c r="C17" i="207"/>
  <c r="C84" i="207"/>
  <c r="U20" i="110"/>
  <c r="M76" i="207"/>
  <c r="M26" i="200"/>
  <c r="M42" i="200" s="1"/>
  <c r="R62" i="207"/>
  <c r="L14" i="207"/>
  <c r="L128" i="207"/>
  <c r="M75" i="207"/>
  <c r="M25" i="200"/>
  <c r="M41" i="200" s="1"/>
  <c r="C94" i="207"/>
  <c r="U30" i="158"/>
  <c r="C27" i="207"/>
  <c r="U30" i="110"/>
  <c r="Q28" i="207"/>
  <c r="M79" i="207"/>
  <c r="M29" i="200"/>
  <c r="M45" i="200" s="1"/>
  <c r="Q46" i="207"/>
  <c r="U48" i="158"/>
  <c r="C112" i="207"/>
  <c r="U48" i="110"/>
  <c r="C45" i="207"/>
  <c r="U24" i="158"/>
  <c r="U24" i="110"/>
  <c r="C21" i="207"/>
  <c r="C88" i="207"/>
  <c r="Q22" i="207"/>
  <c r="R59" i="207"/>
  <c r="L125" i="207"/>
  <c r="L13" i="207"/>
  <c r="M74" i="207"/>
  <c r="M24" i="200"/>
  <c r="M40" i="200" s="1"/>
  <c r="GG7" i="129"/>
  <c r="GG6" i="129" s="1"/>
  <c r="M16" i="207"/>
  <c r="S28" i="207"/>
  <c r="U36" i="110"/>
  <c r="U36" i="158"/>
  <c r="C33" i="207"/>
  <c r="Q34" i="207"/>
  <c r="C100" i="207"/>
  <c r="R45" i="207"/>
  <c r="L11" i="207"/>
  <c r="L111" i="207"/>
  <c r="R40" i="207"/>
  <c r="L10" i="207"/>
  <c r="L106" i="207"/>
  <c r="L119" i="207"/>
  <c r="R53" i="207"/>
  <c r="L12" i="207"/>
  <c r="M73" i="207"/>
  <c r="M23" i="200"/>
  <c r="M39" i="200" s="1"/>
  <c r="R4" i="205"/>
  <c r="Q4" i="194"/>
  <c r="L70" i="205"/>
  <c r="S13" i="205"/>
  <c r="S6" i="158"/>
  <c r="Q8" i="205"/>
  <c r="C74" i="205"/>
  <c r="Q14" i="205"/>
  <c r="C80" i="205"/>
  <c r="AA64" i="196"/>
  <c r="S16" i="196"/>
  <c r="S8" i="205"/>
  <c r="Q7" i="205"/>
  <c r="C73" i="205"/>
  <c r="T15" i="196"/>
  <c r="AB62" i="196"/>
  <c r="Y32" i="199"/>
  <c r="AG32" i="199" s="1"/>
  <c r="AA16" i="158"/>
  <c r="T16" i="158"/>
  <c r="AB64" i="158"/>
  <c r="Y28" i="199"/>
  <c r="AA12" i="158"/>
  <c r="AB8" i="158"/>
  <c r="Z24" i="199"/>
  <c r="S11" i="205"/>
  <c r="AA11" i="158"/>
  <c r="Y27" i="199"/>
  <c r="S10" i="196"/>
  <c r="AA29" i="196"/>
  <c r="AA15" i="158"/>
  <c r="Y31" i="199"/>
  <c r="AG31" i="199" s="1"/>
  <c r="AA42" i="196"/>
  <c r="S12" i="196"/>
  <c r="AB7" i="158"/>
  <c r="Z23" i="199"/>
  <c r="Y29" i="199"/>
  <c r="AA13" i="158"/>
  <c r="T9" i="158"/>
  <c r="AB23" i="158"/>
  <c r="S11" i="196"/>
  <c r="AA35" i="196"/>
  <c r="Y26" i="199"/>
  <c r="AA10" i="158"/>
  <c r="T14" i="196"/>
  <c r="AB56" i="196"/>
  <c r="Q11" i="205"/>
  <c r="C77" i="205"/>
  <c r="Q10" i="205"/>
  <c r="C76" i="205"/>
  <c r="S15" i="196"/>
  <c r="AA61" i="196"/>
  <c r="S9" i="196"/>
  <c r="AA23" i="196"/>
  <c r="X57" i="199"/>
  <c r="X55" i="199"/>
  <c r="AG23" i="199"/>
  <c r="T13" i="196"/>
  <c r="AB48" i="196"/>
  <c r="AA9" i="158"/>
  <c r="Y25" i="199"/>
  <c r="AB65" i="196"/>
  <c r="T16" i="196"/>
  <c r="T14" i="158"/>
  <c r="AB55" i="158"/>
  <c r="Y30" i="199"/>
  <c r="AA14" i="158"/>
  <c r="AA8" i="158"/>
  <c r="Y24" i="199"/>
  <c r="AA55" i="196"/>
  <c r="S14" i="196"/>
  <c r="S12" i="205"/>
  <c r="C79" i="205"/>
  <c r="Q13" i="205"/>
  <c r="T11" i="158"/>
  <c r="AB35" i="158"/>
  <c r="S13" i="196"/>
  <c r="AA47" i="196"/>
  <c r="T13" i="158"/>
  <c r="AB47" i="158"/>
  <c r="S8" i="196"/>
  <c r="AA19" i="196"/>
  <c r="T12" i="158"/>
  <c r="AB42" i="158"/>
  <c r="Q12" i="205"/>
  <c r="C78" i="205"/>
  <c r="S10" i="205"/>
  <c r="S14" i="205"/>
  <c r="C75" i="205"/>
  <c r="Q9" i="205"/>
  <c r="T10" i="158"/>
  <c r="AB29" i="158"/>
  <c r="T15" i="158"/>
  <c r="AB61" i="158"/>
  <c r="C110" i="212" l="1"/>
  <c r="W46" i="158"/>
  <c r="S44" i="212"/>
  <c r="S36" i="212"/>
  <c r="Q36" i="212"/>
  <c r="W38" i="158"/>
  <c r="W38" i="196" s="1"/>
  <c r="M72" i="213"/>
  <c r="M118" i="200"/>
  <c r="M134" i="200" s="1"/>
  <c r="M80" i="213"/>
  <c r="M126" i="200"/>
  <c r="X42" i="196"/>
  <c r="X12" i="196" s="1"/>
  <c r="AD11" i="199" s="1"/>
  <c r="X23" i="196"/>
  <c r="X9" i="196" s="1"/>
  <c r="AD8" i="199" s="1"/>
  <c r="M77" i="213"/>
  <c r="M123" i="200"/>
  <c r="M139" i="200" s="1"/>
  <c r="M73" i="213"/>
  <c r="M119" i="200"/>
  <c r="M135" i="200" s="1"/>
  <c r="M78" i="213"/>
  <c r="M124" i="200"/>
  <c r="M79" i="213"/>
  <c r="M125" i="200"/>
  <c r="M141" i="200" s="1"/>
  <c r="M74" i="213"/>
  <c r="M120" i="200"/>
  <c r="M75" i="213"/>
  <c r="M121" i="200"/>
  <c r="M137" i="200" s="1"/>
  <c r="M76" i="213"/>
  <c r="M122" i="200"/>
  <c r="X64" i="196"/>
  <c r="X16" i="196" s="1"/>
  <c r="AD15" i="199" s="1"/>
  <c r="X35" i="196"/>
  <c r="X11" i="196" s="1"/>
  <c r="AD10" i="199" s="1"/>
  <c r="X55" i="196"/>
  <c r="X14" i="196" s="1"/>
  <c r="AD13" i="199" s="1"/>
  <c r="X47" i="196"/>
  <c r="X13" i="196" s="1"/>
  <c r="AD12" i="199" s="1"/>
  <c r="X61" i="196"/>
  <c r="X15" i="196" s="1"/>
  <c r="AD14" i="199" s="1"/>
  <c r="X19" i="196"/>
  <c r="X8" i="196" s="1"/>
  <c r="AD7" i="199" s="1"/>
  <c r="X29" i="196"/>
  <c r="X10" i="196" s="1"/>
  <c r="AD9" i="199" s="1"/>
  <c r="W60" i="196"/>
  <c r="AF60" i="158"/>
  <c r="AE60" i="158"/>
  <c r="AF50" i="158"/>
  <c r="AE50" i="158"/>
  <c r="W37" i="196"/>
  <c r="AE37" i="158"/>
  <c r="AF37" i="158"/>
  <c r="W22" i="196"/>
  <c r="AF22" i="158"/>
  <c r="AE22" i="158"/>
  <c r="W67" i="196"/>
  <c r="AF67" i="158"/>
  <c r="AE67" i="158"/>
  <c r="AE65" i="158"/>
  <c r="AF65" i="158"/>
  <c r="W21" i="196"/>
  <c r="AE21" i="158"/>
  <c r="AF21" i="158"/>
  <c r="AF46" i="158"/>
  <c r="W41" i="196"/>
  <c r="AF41" i="158"/>
  <c r="W66" i="196"/>
  <c r="AF66" i="158"/>
  <c r="AE66" i="158"/>
  <c r="W36" i="196"/>
  <c r="AF36" i="158"/>
  <c r="W27" i="196"/>
  <c r="AF27" i="158"/>
  <c r="AE27" i="158"/>
  <c r="W28" i="196"/>
  <c r="AF28" i="158"/>
  <c r="AE28" i="158"/>
  <c r="W25" i="196"/>
  <c r="AE25" i="158"/>
  <c r="AF25" i="158"/>
  <c r="W63" i="196"/>
  <c r="AF63" i="158"/>
  <c r="AE63" i="158"/>
  <c r="W57" i="196"/>
  <c r="AE57" i="158"/>
  <c r="AF57" i="158"/>
  <c r="W56" i="196"/>
  <c r="AF56" i="158"/>
  <c r="AE49" i="158"/>
  <c r="AF49" i="158"/>
  <c r="C102" i="212"/>
  <c r="W34" i="196"/>
  <c r="AF34" i="158"/>
  <c r="AE34" i="158"/>
  <c r="AF52" i="158"/>
  <c r="AE52" i="158"/>
  <c r="W30" i="196"/>
  <c r="AF30" i="158"/>
  <c r="AE30" i="158"/>
  <c r="W33" i="196"/>
  <c r="AE33" i="158"/>
  <c r="AF33" i="158"/>
  <c r="W58" i="196"/>
  <c r="AF58" i="158"/>
  <c r="AE58" i="158"/>
  <c r="AF51" i="158"/>
  <c r="AE51" i="158"/>
  <c r="W53" i="196"/>
  <c r="AE53" i="158"/>
  <c r="AF53" i="158"/>
  <c r="AF59" i="158"/>
  <c r="AE59" i="158"/>
  <c r="W26" i="196"/>
  <c r="AF26" i="158"/>
  <c r="AE26" i="158"/>
  <c r="W24" i="196"/>
  <c r="AE24" i="158"/>
  <c r="AF24" i="158"/>
  <c r="C88" i="212"/>
  <c r="Q22" i="212"/>
  <c r="C21" i="212"/>
  <c r="C87" i="212" s="1"/>
  <c r="Q41" i="212"/>
  <c r="C107" i="212"/>
  <c r="W43" i="158"/>
  <c r="C103" i="212"/>
  <c r="R45" i="212"/>
  <c r="C112" i="212"/>
  <c r="R40" i="212"/>
  <c r="S42" i="212"/>
  <c r="W40" i="158"/>
  <c r="W45" i="158"/>
  <c r="M72" i="212"/>
  <c r="Q42" i="212"/>
  <c r="C108" i="212"/>
  <c r="W44" i="158"/>
  <c r="L128" i="212"/>
  <c r="Q35" i="212"/>
  <c r="C101" i="212"/>
  <c r="W48" i="158"/>
  <c r="S22" i="212"/>
  <c r="R62" i="212"/>
  <c r="S62" i="212" s="1"/>
  <c r="S46" i="212"/>
  <c r="M92" i="200"/>
  <c r="S34" i="212"/>
  <c r="Q46" i="212"/>
  <c r="L125" i="212"/>
  <c r="C126" i="212"/>
  <c r="W62" i="158"/>
  <c r="M94" i="200"/>
  <c r="C59" i="212"/>
  <c r="W61" i="158" s="1"/>
  <c r="S60" i="212"/>
  <c r="Q26" i="211"/>
  <c r="W32" i="158"/>
  <c r="S38" i="212"/>
  <c r="S30" i="212"/>
  <c r="L8" i="212"/>
  <c r="R8" i="212" s="1"/>
  <c r="R27" i="212"/>
  <c r="S26" i="211"/>
  <c r="L87" i="212"/>
  <c r="L7" i="212"/>
  <c r="L87" i="200" s="1"/>
  <c r="Q30" i="212"/>
  <c r="C92" i="211"/>
  <c r="L13" i="212"/>
  <c r="R13" i="212" s="1"/>
  <c r="C27" i="212"/>
  <c r="W29" i="158" s="1"/>
  <c r="C95" i="212"/>
  <c r="C104" i="212"/>
  <c r="Q38" i="212"/>
  <c r="W31" i="158"/>
  <c r="M90" i="200"/>
  <c r="Q29" i="212"/>
  <c r="L6" i="212"/>
  <c r="L86" i="200" s="1"/>
  <c r="R17" i="212"/>
  <c r="S48" i="212"/>
  <c r="L111" i="212"/>
  <c r="C118" i="212"/>
  <c r="L11" i="212"/>
  <c r="L91" i="200" s="1"/>
  <c r="W54" i="158"/>
  <c r="M79" i="212"/>
  <c r="S52" i="212"/>
  <c r="S43" i="212"/>
  <c r="W20" i="158"/>
  <c r="Q48" i="212"/>
  <c r="Q43" i="212"/>
  <c r="L10" i="212"/>
  <c r="L76" i="212" s="1"/>
  <c r="C109" i="212"/>
  <c r="S18" i="212"/>
  <c r="C17" i="212"/>
  <c r="L106" i="212"/>
  <c r="C40" i="212"/>
  <c r="M88" i="200"/>
  <c r="C84" i="212"/>
  <c r="C45" i="212"/>
  <c r="M75" i="212"/>
  <c r="C114" i="212"/>
  <c r="S43" i="213"/>
  <c r="S38" i="213"/>
  <c r="S49" i="213"/>
  <c r="S30" i="213"/>
  <c r="S55" i="213"/>
  <c r="Q34" i="212"/>
  <c r="C33" i="212"/>
  <c r="C9" i="212" s="1"/>
  <c r="C100" i="212"/>
  <c r="S25" i="213"/>
  <c r="S52" i="213"/>
  <c r="S58" i="213"/>
  <c r="S37" i="212"/>
  <c r="Q37" i="212"/>
  <c r="S19" i="213"/>
  <c r="W39" i="158"/>
  <c r="S29" i="213"/>
  <c r="S48" i="213"/>
  <c r="S46" i="213"/>
  <c r="L9" i="212"/>
  <c r="L89" i="200" s="1"/>
  <c r="S24" i="213"/>
  <c r="S18" i="213"/>
  <c r="C59" i="213"/>
  <c r="X61" i="158" s="1"/>
  <c r="X15" i="158" s="1"/>
  <c r="AD31" i="199" s="1"/>
  <c r="Q60" i="213"/>
  <c r="C126" i="213"/>
  <c r="S60" i="213"/>
  <c r="Q35" i="213"/>
  <c r="C101" i="213"/>
  <c r="C94" i="213"/>
  <c r="Q28" i="213"/>
  <c r="C27" i="213"/>
  <c r="X29" i="158" s="1"/>
  <c r="X10" i="158" s="1"/>
  <c r="AD26" i="199" s="1"/>
  <c r="L12" i="213"/>
  <c r="L124" i="200" s="1"/>
  <c r="L119" i="213"/>
  <c r="R53" i="213"/>
  <c r="Q47" i="213"/>
  <c r="C113" i="213"/>
  <c r="L83" i="213"/>
  <c r="L6" i="213"/>
  <c r="L118" i="200" s="1"/>
  <c r="R17" i="213"/>
  <c r="C117" i="213"/>
  <c r="Q51" i="213"/>
  <c r="S28" i="213"/>
  <c r="C127" i="213"/>
  <c r="Q61" i="213"/>
  <c r="Q20" i="213"/>
  <c r="C86" i="213"/>
  <c r="S47" i="213"/>
  <c r="S63" i="213"/>
  <c r="C129" i="213"/>
  <c r="C62" i="213"/>
  <c r="X64" i="158" s="1"/>
  <c r="X16" i="158" s="1"/>
  <c r="AD32" i="199" s="1"/>
  <c r="Q63" i="213"/>
  <c r="S32" i="213"/>
  <c r="S51" i="213"/>
  <c r="S41" i="213"/>
  <c r="L93" i="213"/>
  <c r="L8" i="213"/>
  <c r="L120" i="200" s="1"/>
  <c r="R27" i="213"/>
  <c r="S61" i="213"/>
  <c r="S20" i="213"/>
  <c r="S64" i="213"/>
  <c r="S22" i="213"/>
  <c r="C114" i="213"/>
  <c r="Q48" i="213"/>
  <c r="C112" i="213"/>
  <c r="Q46" i="213"/>
  <c r="C45" i="213"/>
  <c r="X47" i="158" s="1"/>
  <c r="X13" i="158" s="1"/>
  <c r="AD29" i="199" s="1"/>
  <c r="Q42" i="213"/>
  <c r="C108" i="213"/>
  <c r="C98" i="213"/>
  <c r="Q32" i="213"/>
  <c r="L13" i="213"/>
  <c r="L125" i="200" s="1"/>
  <c r="L125" i="213"/>
  <c r="R59" i="213"/>
  <c r="S35" i="213"/>
  <c r="C107" i="213"/>
  <c r="Q41" i="213"/>
  <c r="S42" i="213"/>
  <c r="C130" i="213"/>
  <c r="Q64" i="213"/>
  <c r="C88" i="213"/>
  <c r="Q22" i="213"/>
  <c r="C21" i="213"/>
  <c r="X23" i="158" s="1"/>
  <c r="X9" i="158" s="1"/>
  <c r="AD25" i="199" s="1"/>
  <c r="Q29" i="213"/>
  <c r="C95" i="213"/>
  <c r="Q25" i="213"/>
  <c r="C91" i="213"/>
  <c r="C17" i="213"/>
  <c r="X19" i="158" s="1"/>
  <c r="X8" i="158" s="1"/>
  <c r="AD24" i="199" s="1"/>
  <c r="Q19" i="213"/>
  <c r="C85" i="213"/>
  <c r="Q52" i="213"/>
  <c r="C118" i="213"/>
  <c r="L10" i="213"/>
  <c r="L122" i="200" s="1"/>
  <c r="L106" i="213"/>
  <c r="R40" i="213"/>
  <c r="C124" i="213"/>
  <c r="Q58" i="213"/>
  <c r="L87" i="213"/>
  <c r="L7" i="213"/>
  <c r="L119" i="200" s="1"/>
  <c r="R21" i="213"/>
  <c r="L14" i="213"/>
  <c r="L126" i="200" s="1"/>
  <c r="L128" i="213"/>
  <c r="R62" i="213"/>
  <c r="Q36" i="213"/>
  <c r="C102" i="213"/>
  <c r="C100" i="213"/>
  <c r="Q34" i="213"/>
  <c r="C33" i="213"/>
  <c r="X35" i="158" s="1"/>
  <c r="X11" i="158" s="1"/>
  <c r="AD27" i="199" s="1"/>
  <c r="Q23" i="213"/>
  <c r="C89" i="213"/>
  <c r="L99" i="212"/>
  <c r="S36" i="213"/>
  <c r="C116" i="213"/>
  <c r="Q50" i="213"/>
  <c r="Q44" i="213"/>
  <c r="C110" i="213"/>
  <c r="S65" i="213"/>
  <c r="S34" i="213"/>
  <c r="C53" i="213"/>
  <c r="X55" i="158" s="1"/>
  <c r="X14" i="158" s="1"/>
  <c r="AD30" i="199" s="1"/>
  <c r="Q54" i="213"/>
  <c r="C120" i="213"/>
  <c r="Q37" i="213"/>
  <c r="C103" i="213"/>
  <c r="C105" i="213"/>
  <c r="Q39" i="213"/>
  <c r="Q57" i="213"/>
  <c r="C123" i="213"/>
  <c r="Q56" i="213"/>
  <c r="C122" i="213"/>
  <c r="L111" i="213"/>
  <c r="L11" i="213"/>
  <c r="L123" i="200" s="1"/>
  <c r="R45" i="213"/>
  <c r="S23" i="213"/>
  <c r="L16" i="212"/>
  <c r="C131" i="213"/>
  <c r="Q65" i="213"/>
  <c r="C40" i="213"/>
  <c r="X42" i="158" s="1"/>
  <c r="X12" i="158" s="1"/>
  <c r="AD28" i="199" s="1"/>
  <c r="C109" i="213"/>
  <c r="Q43" i="213"/>
  <c r="Q38" i="213"/>
  <c r="C104" i="213"/>
  <c r="C115" i="213"/>
  <c r="Q49" i="213"/>
  <c r="S31" i="213"/>
  <c r="C97" i="213"/>
  <c r="Q31" i="213"/>
  <c r="S50" i="213"/>
  <c r="S26" i="213"/>
  <c r="C92" i="213"/>
  <c r="Q26" i="213"/>
  <c r="S44" i="213"/>
  <c r="C96" i="213"/>
  <c r="Q30" i="213"/>
  <c r="L9" i="213"/>
  <c r="L121" i="200" s="1"/>
  <c r="L99" i="213"/>
  <c r="R33" i="213"/>
  <c r="C121" i="213"/>
  <c r="Q55" i="213"/>
  <c r="S54" i="213"/>
  <c r="S37" i="213"/>
  <c r="S39" i="213"/>
  <c r="S57" i="213"/>
  <c r="S56" i="213"/>
  <c r="C90" i="213"/>
  <c r="Q24" i="213"/>
  <c r="C84" i="213"/>
  <c r="Q18" i="213"/>
  <c r="C108" i="211"/>
  <c r="M103" i="200"/>
  <c r="S53" i="212"/>
  <c r="S42" i="211"/>
  <c r="S31" i="211"/>
  <c r="C97" i="211"/>
  <c r="AD33" i="158"/>
  <c r="AD21" i="158"/>
  <c r="S19" i="211"/>
  <c r="S39" i="211"/>
  <c r="Q19" i="211"/>
  <c r="M105" i="200"/>
  <c r="C85" i="211"/>
  <c r="T6" i="196"/>
  <c r="L92" i="200"/>
  <c r="R12" i="212"/>
  <c r="L78" i="212"/>
  <c r="L94" i="200"/>
  <c r="L80" i="212"/>
  <c r="R14" i="212"/>
  <c r="C121" i="211"/>
  <c r="M109" i="200"/>
  <c r="Q55" i="211"/>
  <c r="S55" i="211"/>
  <c r="M102" i="200"/>
  <c r="W64" i="158"/>
  <c r="C14" i="212"/>
  <c r="Q62" i="212"/>
  <c r="C128" i="212"/>
  <c r="Q31" i="211"/>
  <c r="M107" i="200"/>
  <c r="W55" i="158"/>
  <c r="Q53" i="212"/>
  <c r="C12" i="212"/>
  <c r="C119" i="212"/>
  <c r="C105" i="211"/>
  <c r="V38" i="158"/>
  <c r="V38" i="196" s="1"/>
  <c r="V46" i="158"/>
  <c r="AD46" i="158" s="1"/>
  <c r="V41" i="158"/>
  <c r="V41" i="196" s="1"/>
  <c r="S46" i="211"/>
  <c r="V39" i="158"/>
  <c r="V39" i="196" s="1"/>
  <c r="R45" i="211"/>
  <c r="V43" i="158"/>
  <c r="V43" i="196" s="1"/>
  <c r="V45" i="158"/>
  <c r="V45" i="196" s="1"/>
  <c r="V40" i="158"/>
  <c r="V40" i="196" s="1"/>
  <c r="V44" i="158"/>
  <c r="V44" i="196" s="1"/>
  <c r="AD50" i="158"/>
  <c r="Q48" i="211"/>
  <c r="C114" i="211"/>
  <c r="Q63" i="211"/>
  <c r="S48" i="211"/>
  <c r="S63" i="211"/>
  <c r="AD65" i="158"/>
  <c r="C129" i="211"/>
  <c r="C89" i="211"/>
  <c r="Q23" i="211"/>
  <c r="S23" i="211"/>
  <c r="AD54" i="158"/>
  <c r="S58" i="211"/>
  <c r="Q52" i="211"/>
  <c r="C118" i="211"/>
  <c r="S52" i="211"/>
  <c r="Q58" i="211"/>
  <c r="C124" i="211"/>
  <c r="R62" i="211"/>
  <c r="AD60" i="158"/>
  <c r="AD25" i="158"/>
  <c r="S30" i="211"/>
  <c r="AD38" i="158"/>
  <c r="S57" i="211"/>
  <c r="Q50" i="211"/>
  <c r="S50" i="211"/>
  <c r="C116" i="211"/>
  <c r="C102" i="211"/>
  <c r="S36" i="211"/>
  <c r="Q36" i="211"/>
  <c r="AD49" i="158"/>
  <c r="L14" i="211"/>
  <c r="L62" i="200" s="1"/>
  <c r="C122" i="211"/>
  <c r="AD58" i="158"/>
  <c r="AD52" i="158"/>
  <c r="Q38" i="211"/>
  <c r="R53" i="211"/>
  <c r="Q61" i="211"/>
  <c r="AD59" i="158"/>
  <c r="Q57" i="211"/>
  <c r="L12" i="211"/>
  <c r="L60" i="200" s="1"/>
  <c r="C123" i="211"/>
  <c r="C53" i="211"/>
  <c r="C119" i="211" s="1"/>
  <c r="S32" i="211"/>
  <c r="C104" i="211"/>
  <c r="S56" i="211"/>
  <c r="Q56" i="211"/>
  <c r="S61" i="211"/>
  <c r="S38" i="211"/>
  <c r="AD63" i="158"/>
  <c r="C127" i="211"/>
  <c r="S47" i="211"/>
  <c r="Q47" i="211"/>
  <c r="C113" i="211"/>
  <c r="C96" i="211"/>
  <c r="AD32" i="158"/>
  <c r="S20" i="211"/>
  <c r="Q51" i="211"/>
  <c r="Q30" i="211"/>
  <c r="C117" i="211"/>
  <c r="S51" i="211"/>
  <c r="C98" i="211"/>
  <c r="L9" i="211"/>
  <c r="L57" i="200" s="1"/>
  <c r="R33" i="211"/>
  <c r="Q32" i="211"/>
  <c r="C62" i="211"/>
  <c r="V64" i="158" s="1"/>
  <c r="V16" i="158" s="1"/>
  <c r="Q37" i="211"/>
  <c r="C103" i="211"/>
  <c r="S37" i="211"/>
  <c r="S24" i="211"/>
  <c r="C86" i="211"/>
  <c r="S54" i="211"/>
  <c r="AD22" i="158"/>
  <c r="Q20" i="211"/>
  <c r="V48" i="158"/>
  <c r="V48" i="196" s="1"/>
  <c r="V47" i="196" s="1"/>
  <c r="V13" i="196" s="1"/>
  <c r="Q46" i="211"/>
  <c r="C112" i="211"/>
  <c r="S35" i="211"/>
  <c r="L11" i="211"/>
  <c r="L59" i="200" s="1"/>
  <c r="Q60" i="211"/>
  <c r="C126" i="211"/>
  <c r="AD30" i="158"/>
  <c r="S28" i="211"/>
  <c r="S44" i="211"/>
  <c r="S60" i="211"/>
  <c r="AD62" i="158"/>
  <c r="C101" i="211"/>
  <c r="C94" i="211"/>
  <c r="C59" i="211"/>
  <c r="V61" i="158" s="1"/>
  <c r="V15" i="158" s="1"/>
  <c r="L111" i="211"/>
  <c r="R27" i="211"/>
  <c r="Q35" i="211"/>
  <c r="Q28" i="211"/>
  <c r="Q43" i="211"/>
  <c r="S65" i="211"/>
  <c r="AD67" i="158"/>
  <c r="R21" i="211"/>
  <c r="C90" i="211"/>
  <c r="C27" i="211"/>
  <c r="V29" i="158" s="1"/>
  <c r="V10" i="158" s="1"/>
  <c r="AD51" i="158"/>
  <c r="S29" i="211"/>
  <c r="L87" i="211"/>
  <c r="Q29" i="211"/>
  <c r="Q44" i="211"/>
  <c r="Q24" i="211"/>
  <c r="L13" i="211"/>
  <c r="L61" i="200" s="1"/>
  <c r="C110" i="211"/>
  <c r="C115" i="211"/>
  <c r="S49" i="211"/>
  <c r="R17" i="211"/>
  <c r="S43" i="211"/>
  <c r="C109" i="211"/>
  <c r="Q34" i="211"/>
  <c r="C33" i="211"/>
  <c r="V35" i="158" s="1"/>
  <c r="V11" i="158" s="1"/>
  <c r="C45" i="211"/>
  <c r="C95" i="211"/>
  <c r="Q49" i="211"/>
  <c r="Q65" i="211"/>
  <c r="L6" i="211"/>
  <c r="L54" i="200" s="1"/>
  <c r="L125" i="211"/>
  <c r="C131" i="211"/>
  <c r="L93" i="211"/>
  <c r="U53" i="196"/>
  <c r="AD53" i="196" s="1"/>
  <c r="W65" i="196"/>
  <c r="W59" i="196"/>
  <c r="V36" i="158"/>
  <c r="V36" i="196" s="1"/>
  <c r="C100" i="211"/>
  <c r="V56" i="158"/>
  <c r="V56" i="196" s="1"/>
  <c r="V55" i="196" s="1"/>
  <c r="V14" i="196" s="1"/>
  <c r="Q54" i="211"/>
  <c r="C120" i="211"/>
  <c r="Y22" i="199"/>
  <c r="AG22" i="199" s="1"/>
  <c r="AD53" i="158"/>
  <c r="AC57" i="158"/>
  <c r="AD57" i="158"/>
  <c r="AD57" i="196"/>
  <c r="AD27" i="196"/>
  <c r="AC38" i="158"/>
  <c r="U38" i="196"/>
  <c r="AD67" i="196"/>
  <c r="AD28" i="158"/>
  <c r="AD28" i="196"/>
  <c r="AD25" i="196"/>
  <c r="C17" i="211"/>
  <c r="V19" i="158" s="1"/>
  <c r="V8" i="158" s="1"/>
  <c r="AD20" i="158"/>
  <c r="AC28" i="158"/>
  <c r="AD34" i="196"/>
  <c r="M76" i="200"/>
  <c r="M73" i="200"/>
  <c r="AC34" i="158"/>
  <c r="M75" i="200"/>
  <c r="M72" i="200"/>
  <c r="M70" i="200"/>
  <c r="C21" i="211"/>
  <c r="C7" i="211" s="1"/>
  <c r="Q7" i="211" s="1"/>
  <c r="C40" i="211"/>
  <c r="M74" i="200"/>
  <c r="M78" i="200"/>
  <c r="AC21" i="158"/>
  <c r="U21" i="196"/>
  <c r="M71" i="200"/>
  <c r="AC49" i="158"/>
  <c r="U49" i="196"/>
  <c r="AC49" i="196" s="1"/>
  <c r="AD34" i="158"/>
  <c r="M77" i="200"/>
  <c r="V19" i="196"/>
  <c r="V8" i="196" s="1"/>
  <c r="Z46" i="130"/>
  <c r="Z46" i="131"/>
  <c r="Z63" i="130"/>
  <c r="Z63" i="131"/>
  <c r="Z28" i="130"/>
  <c r="Z28" i="131"/>
  <c r="Z54" i="130"/>
  <c r="Z54" i="131"/>
  <c r="Z22" i="130"/>
  <c r="Z22" i="131"/>
  <c r="Z60" i="130"/>
  <c r="Z60" i="131"/>
  <c r="Z34" i="130"/>
  <c r="Z34" i="131"/>
  <c r="Z18" i="130"/>
  <c r="Z18" i="131"/>
  <c r="Z41" i="131"/>
  <c r="Z41" i="130"/>
  <c r="AC31" i="158"/>
  <c r="U31" i="196"/>
  <c r="AD24" i="158"/>
  <c r="AD31" i="158"/>
  <c r="S41" i="211"/>
  <c r="V29" i="196"/>
  <c r="V10" i="196" s="1"/>
  <c r="S18" i="211"/>
  <c r="S22" i="211"/>
  <c r="M73" i="211"/>
  <c r="V8" i="132"/>
  <c r="GQ7" i="129"/>
  <c r="GQ6" i="129" s="1"/>
  <c r="M16" i="211"/>
  <c r="M77" i="211"/>
  <c r="V12" i="132"/>
  <c r="C107" i="211"/>
  <c r="Q41" i="211"/>
  <c r="L106" i="211"/>
  <c r="L10" i="211"/>
  <c r="L58" i="200" s="1"/>
  <c r="R40" i="211"/>
  <c r="M75" i="211"/>
  <c r="V10" i="132"/>
  <c r="M74" i="211"/>
  <c r="V9" i="132"/>
  <c r="Q18" i="211"/>
  <c r="C84" i="211"/>
  <c r="Q22" i="211"/>
  <c r="C88" i="211"/>
  <c r="M79" i="211"/>
  <c r="V14" i="132"/>
  <c r="M76" i="211"/>
  <c r="V11" i="132"/>
  <c r="M80" i="211"/>
  <c r="V15" i="132"/>
  <c r="M72" i="211"/>
  <c r="V7" i="132"/>
  <c r="M78" i="211"/>
  <c r="V13" i="132"/>
  <c r="AD60" i="196"/>
  <c r="V64" i="196"/>
  <c r="V26" i="196"/>
  <c r="AD26" i="158"/>
  <c r="V61" i="196"/>
  <c r="V37" i="196"/>
  <c r="AD37" i="158"/>
  <c r="U37" i="196"/>
  <c r="AC37" i="158"/>
  <c r="AC45" i="158"/>
  <c r="U45" i="196"/>
  <c r="AC26" i="158"/>
  <c r="U26" i="196"/>
  <c r="AC40" i="158"/>
  <c r="U40" i="196"/>
  <c r="U44" i="196"/>
  <c r="AC44" i="158"/>
  <c r="AC39" i="158"/>
  <c r="U39" i="196"/>
  <c r="AC52" i="158"/>
  <c r="U52" i="196"/>
  <c r="AC52" i="196" s="1"/>
  <c r="AC58" i="158"/>
  <c r="U58" i="196"/>
  <c r="AC58" i="196" s="1"/>
  <c r="L74" i="211"/>
  <c r="R8" i="211"/>
  <c r="U22" i="196"/>
  <c r="AC22" i="158"/>
  <c r="L73" i="211"/>
  <c r="R7" i="211"/>
  <c r="U59" i="196"/>
  <c r="AC59" i="196" s="1"/>
  <c r="AC59" i="158"/>
  <c r="U33" i="196"/>
  <c r="AC33" i="158"/>
  <c r="U41" i="196"/>
  <c r="AC41" i="158"/>
  <c r="S40" i="207"/>
  <c r="S59" i="207"/>
  <c r="Y58" i="199"/>
  <c r="S4" i="205"/>
  <c r="S53" i="207"/>
  <c r="S45" i="207"/>
  <c r="AH23" i="199"/>
  <c r="Y55" i="199"/>
  <c r="Y57" i="199"/>
  <c r="U24" i="196"/>
  <c r="AD24" i="196" s="1"/>
  <c r="AC24" i="158"/>
  <c r="AC48" i="158"/>
  <c r="U48" i="196"/>
  <c r="L80" i="207"/>
  <c r="L30" i="200"/>
  <c r="L46" i="200" s="1"/>
  <c r="R14" i="207"/>
  <c r="AC56" i="158"/>
  <c r="U56" i="196"/>
  <c r="S27" i="207"/>
  <c r="Q59" i="207"/>
  <c r="C125" i="207"/>
  <c r="U61" i="158"/>
  <c r="U61" i="110"/>
  <c r="C13" i="207"/>
  <c r="L27" i="200"/>
  <c r="L43" i="200" s="1"/>
  <c r="L77" i="207"/>
  <c r="R11" i="207"/>
  <c r="C9" i="207"/>
  <c r="U35" i="158"/>
  <c r="Q33" i="207"/>
  <c r="U35" i="110"/>
  <c r="C99" i="207"/>
  <c r="M82" i="207"/>
  <c r="M5" i="207"/>
  <c r="L16" i="207"/>
  <c r="R13" i="207"/>
  <c r="L29" i="200"/>
  <c r="L79" i="207"/>
  <c r="U47" i="158"/>
  <c r="C111" i="207"/>
  <c r="U47" i="110"/>
  <c r="Q45" i="207"/>
  <c r="C11" i="207"/>
  <c r="S62" i="207"/>
  <c r="S33" i="207"/>
  <c r="U65" i="196"/>
  <c r="AD65" i="196" s="1"/>
  <c r="AC65" i="158"/>
  <c r="S21" i="207"/>
  <c r="U42" i="110"/>
  <c r="U42" i="158"/>
  <c r="Q40" i="207"/>
  <c r="C106" i="207"/>
  <c r="C10" i="207"/>
  <c r="R12" i="207"/>
  <c r="L28" i="200"/>
  <c r="L44" i="200" s="1"/>
  <c r="L78" i="207"/>
  <c r="R10" i="207"/>
  <c r="L76" i="207"/>
  <c r="L26" i="200"/>
  <c r="L42" i="200" s="1"/>
  <c r="U36" i="196"/>
  <c r="AC36" i="158"/>
  <c r="U23" i="158"/>
  <c r="U23" i="110"/>
  <c r="Q21" i="207"/>
  <c r="C87" i="207"/>
  <c r="C7" i="207"/>
  <c r="Q27" i="207"/>
  <c r="U29" i="158"/>
  <c r="C8" i="207"/>
  <c r="U29" i="110"/>
  <c r="C93" i="207"/>
  <c r="U19" i="110"/>
  <c r="Q17" i="207"/>
  <c r="C83" i="207"/>
  <c r="U19" i="158"/>
  <c r="C6" i="207"/>
  <c r="C12" i="207"/>
  <c r="C119" i="207"/>
  <c r="U55" i="158"/>
  <c r="Q53" i="207"/>
  <c r="U55" i="110"/>
  <c r="L25" i="200"/>
  <c r="L41" i="200" s="1"/>
  <c r="R9" i="207"/>
  <c r="L75" i="207"/>
  <c r="R8" i="207"/>
  <c r="L24" i="200"/>
  <c r="L40" i="200" s="1"/>
  <c r="L74" i="207"/>
  <c r="S17" i="207"/>
  <c r="L23" i="200"/>
  <c r="L39" i="200" s="1"/>
  <c r="R7" i="207"/>
  <c r="L73" i="207"/>
  <c r="AC30" i="158"/>
  <c r="U30" i="196"/>
  <c r="AD30" i="196" s="1"/>
  <c r="AC20" i="158"/>
  <c r="U20" i="196"/>
  <c r="AD20" i="196" s="1"/>
  <c r="U62" i="196"/>
  <c r="AD62" i="196" s="1"/>
  <c r="AC62" i="158"/>
  <c r="C14" i="207"/>
  <c r="U64" i="110"/>
  <c r="Q62" i="207"/>
  <c r="U64" i="158"/>
  <c r="C128" i="207"/>
  <c r="L22" i="200"/>
  <c r="L38" i="200" s="1"/>
  <c r="R6" i="207"/>
  <c r="L72" i="207"/>
  <c r="U43" i="196"/>
  <c r="AC43" i="158"/>
  <c r="AA6" i="158"/>
  <c r="AB12" i="158"/>
  <c r="Z28" i="199"/>
  <c r="Z30" i="199"/>
  <c r="AB14" i="158"/>
  <c r="Y13" i="199"/>
  <c r="AA14" i="196"/>
  <c r="Y8" i="199"/>
  <c r="AA9" i="196"/>
  <c r="Z25" i="199"/>
  <c r="AB9" i="158"/>
  <c r="AB61" i="196"/>
  <c r="Y7" i="199"/>
  <c r="AA8" i="196"/>
  <c r="Z27" i="199"/>
  <c r="AB11" i="158"/>
  <c r="AB47" i="196"/>
  <c r="T6" i="158"/>
  <c r="Y9" i="199"/>
  <c r="AA10" i="196"/>
  <c r="X62" i="199"/>
  <c r="AG28" i="199"/>
  <c r="Z32" i="199"/>
  <c r="AH32" i="199" s="1"/>
  <c r="AB16" i="158"/>
  <c r="AG24" i="199"/>
  <c r="X58" i="199"/>
  <c r="Y14" i="199"/>
  <c r="AA15" i="196"/>
  <c r="C70" i="205"/>
  <c r="Q4" i="205"/>
  <c r="AB13" i="158"/>
  <c r="Z29" i="199"/>
  <c r="X60" i="199"/>
  <c r="AG26" i="199"/>
  <c r="AH24" i="199"/>
  <c r="AB64" i="196"/>
  <c r="Y11" i="199"/>
  <c r="AA12" i="196"/>
  <c r="Z31" i="199"/>
  <c r="AH31" i="199" s="1"/>
  <c r="AB15" i="158"/>
  <c r="Y12" i="199"/>
  <c r="AA13" i="196"/>
  <c r="AG30" i="199"/>
  <c r="X64" i="199"/>
  <c r="AB55" i="196"/>
  <c r="AA11" i="196"/>
  <c r="Y10" i="199"/>
  <c r="Z26" i="199"/>
  <c r="AB10" i="158"/>
  <c r="X59" i="199"/>
  <c r="AG25" i="199"/>
  <c r="AG29" i="199"/>
  <c r="X63" i="199"/>
  <c r="X61" i="199"/>
  <c r="AG27" i="199"/>
  <c r="Y15" i="199"/>
  <c r="AA16" i="196"/>
  <c r="M140" i="200" l="1"/>
  <c r="L140" i="200"/>
  <c r="AF38" i="158"/>
  <c r="L137" i="200"/>
  <c r="L134" i="200"/>
  <c r="L142" i="200"/>
  <c r="L139" i="200"/>
  <c r="C7" i="212"/>
  <c r="Q7" i="212" s="1"/>
  <c r="AE41" i="158"/>
  <c r="S21" i="212"/>
  <c r="W23" i="158"/>
  <c r="W9" i="158" s="1"/>
  <c r="Q21" i="212"/>
  <c r="AE56" i="158"/>
  <c r="AE38" i="158"/>
  <c r="AE36" i="158"/>
  <c r="AE46" i="158"/>
  <c r="W20" i="196"/>
  <c r="AF20" i="158"/>
  <c r="AE20" i="158"/>
  <c r="W10" i="158"/>
  <c r="AE29" i="158"/>
  <c r="AF29" i="158"/>
  <c r="W62" i="196"/>
  <c r="AF62" i="158"/>
  <c r="AE62" i="158"/>
  <c r="AF24" i="196"/>
  <c r="AE24" i="196"/>
  <c r="AF58" i="196"/>
  <c r="AE58" i="196"/>
  <c r="AF27" i="196"/>
  <c r="AE27" i="196"/>
  <c r="AF56" i="196"/>
  <c r="AE56" i="196"/>
  <c r="AE37" i="196"/>
  <c r="AF37" i="196"/>
  <c r="AE45" i="158"/>
  <c r="AF45" i="158"/>
  <c r="AE25" i="196"/>
  <c r="AF25" i="196"/>
  <c r="AE53" i="196"/>
  <c r="AF53" i="196"/>
  <c r="AE48" i="158"/>
  <c r="AF48" i="158"/>
  <c r="AE41" i="196"/>
  <c r="AF41" i="196"/>
  <c r="W55" i="196"/>
  <c r="AF59" i="196"/>
  <c r="AE59" i="196"/>
  <c r="W39" i="196"/>
  <c r="AF39" i="158"/>
  <c r="AE39" i="158"/>
  <c r="AF54" i="158"/>
  <c r="AE54" i="158"/>
  <c r="W32" i="196"/>
  <c r="AE32" i="158"/>
  <c r="AF32" i="158"/>
  <c r="AF26" i="196"/>
  <c r="AE26" i="196"/>
  <c r="AF38" i="196"/>
  <c r="AE38" i="196"/>
  <c r="AE33" i="196"/>
  <c r="AF33" i="196"/>
  <c r="AF34" i="196"/>
  <c r="AE34" i="196"/>
  <c r="AE36" i="196"/>
  <c r="AF36" i="196"/>
  <c r="AF67" i="196"/>
  <c r="AE67" i="196"/>
  <c r="AF43" i="158"/>
  <c r="AE43" i="158"/>
  <c r="AE65" i="196"/>
  <c r="AF65" i="196"/>
  <c r="W40" i="196"/>
  <c r="AE40" i="158"/>
  <c r="AF40" i="158"/>
  <c r="W23" i="196"/>
  <c r="AF44" i="158"/>
  <c r="AE44" i="158"/>
  <c r="AE28" i="196"/>
  <c r="AF28" i="196"/>
  <c r="AF63" i="196"/>
  <c r="AE63" i="196"/>
  <c r="W16" i="158"/>
  <c r="AE64" i="158"/>
  <c r="AF64" i="158"/>
  <c r="W31" i="196"/>
  <c r="AF31" i="158"/>
  <c r="AE31" i="158"/>
  <c r="AE57" i="196"/>
  <c r="AF57" i="196"/>
  <c r="W14" i="158"/>
  <c r="AF55" i="158"/>
  <c r="W15" i="158"/>
  <c r="AE61" i="158"/>
  <c r="AF61" i="158"/>
  <c r="AF30" i="196"/>
  <c r="AE30" i="196"/>
  <c r="AF66" i="196"/>
  <c r="AE66" i="196"/>
  <c r="AE21" i="196"/>
  <c r="AF21" i="196"/>
  <c r="AF22" i="196"/>
  <c r="AE22" i="196"/>
  <c r="AE60" i="196"/>
  <c r="AF60" i="196"/>
  <c r="C111" i="212"/>
  <c r="C10" i="212"/>
  <c r="C76" i="212" s="1"/>
  <c r="M106" i="200"/>
  <c r="M138" i="200"/>
  <c r="M104" i="200"/>
  <c r="M136" i="200"/>
  <c r="L103" i="200"/>
  <c r="L135" i="200"/>
  <c r="M108" i="200"/>
  <c r="M110" i="200"/>
  <c r="M142" i="200"/>
  <c r="S27" i="212"/>
  <c r="L74" i="212"/>
  <c r="L88" i="200"/>
  <c r="Q27" i="212"/>
  <c r="S59" i="212"/>
  <c r="C8" i="212"/>
  <c r="C88" i="200" s="1"/>
  <c r="C13" i="212"/>
  <c r="Q13" i="212" s="1"/>
  <c r="Q59" i="212"/>
  <c r="R7" i="212"/>
  <c r="C125" i="212"/>
  <c r="C93" i="212"/>
  <c r="L73" i="212"/>
  <c r="L93" i="200"/>
  <c r="L79" i="212"/>
  <c r="S45" i="212"/>
  <c r="R10" i="212"/>
  <c r="L77" i="212"/>
  <c r="L90" i="200"/>
  <c r="R6" i="212"/>
  <c r="L72" i="212"/>
  <c r="R11" i="212"/>
  <c r="M82" i="212"/>
  <c r="M5" i="212"/>
  <c r="M85" i="200" s="1"/>
  <c r="S17" i="212"/>
  <c r="S21" i="213"/>
  <c r="W47" i="158"/>
  <c r="Q17" i="212"/>
  <c r="S40" i="212"/>
  <c r="Q40" i="212"/>
  <c r="C6" i="212"/>
  <c r="C11" i="212"/>
  <c r="C77" i="212" s="1"/>
  <c r="Q45" i="212"/>
  <c r="W42" i="158"/>
  <c r="C83" i="212"/>
  <c r="C106" i="212"/>
  <c r="W19" i="158"/>
  <c r="R9" i="212"/>
  <c r="S9" i="212" s="1"/>
  <c r="S33" i="213"/>
  <c r="Q33" i="212"/>
  <c r="S33" i="212"/>
  <c r="C99" i="212"/>
  <c r="W35" i="158"/>
  <c r="S59" i="213"/>
  <c r="S27" i="213"/>
  <c r="L75" i="212"/>
  <c r="S40" i="213"/>
  <c r="M82" i="213"/>
  <c r="M5" i="213"/>
  <c r="M117" i="200" s="1"/>
  <c r="L16" i="213"/>
  <c r="L80" i="213"/>
  <c r="R14" i="213"/>
  <c r="L76" i="213"/>
  <c r="R10" i="213"/>
  <c r="C99" i="213"/>
  <c r="C9" i="213"/>
  <c r="C121" i="200" s="1"/>
  <c r="Q33" i="213"/>
  <c r="Q53" i="213"/>
  <c r="C12" i="213"/>
  <c r="C124" i="200" s="1"/>
  <c r="C119" i="213"/>
  <c r="L72" i="213"/>
  <c r="R6" i="213"/>
  <c r="L75" i="213"/>
  <c r="R9" i="213"/>
  <c r="L77" i="213"/>
  <c r="R11" i="213"/>
  <c r="L73" i="213"/>
  <c r="R7" i="213"/>
  <c r="C87" i="213"/>
  <c r="Q21" i="213"/>
  <c r="C7" i="213"/>
  <c r="C119" i="200" s="1"/>
  <c r="S45" i="213"/>
  <c r="C111" i="213"/>
  <c r="Q45" i="213"/>
  <c r="C11" i="213"/>
  <c r="C123" i="200" s="1"/>
  <c r="S62" i="213"/>
  <c r="C128" i="213"/>
  <c r="C14" i="213"/>
  <c r="C126" i="200" s="1"/>
  <c r="Q62" i="213"/>
  <c r="S53" i="213"/>
  <c r="C10" i="213"/>
  <c r="C122" i="200" s="1"/>
  <c r="C106" i="213"/>
  <c r="Q40" i="213"/>
  <c r="L74" i="213"/>
  <c r="R8" i="213"/>
  <c r="L78" i="213"/>
  <c r="R12" i="213"/>
  <c r="C83" i="213"/>
  <c r="Q17" i="213"/>
  <c r="C6" i="213"/>
  <c r="C118" i="200" s="1"/>
  <c r="L79" i="213"/>
  <c r="R13" i="213"/>
  <c r="S17" i="213"/>
  <c r="C93" i="213"/>
  <c r="Q27" i="213"/>
  <c r="C8" i="213"/>
  <c r="C120" i="200" s="1"/>
  <c r="C125" i="213"/>
  <c r="Q59" i="213"/>
  <c r="C13" i="213"/>
  <c r="C125" i="200" s="1"/>
  <c r="L110" i="200"/>
  <c r="L107" i="200"/>
  <c r="L102" i="200"/>
  <c r="L105" i="200"/>
  <c r="AD40" i="158"/>
  <c r="C94" i="200"/>
  <c r="Q14" i="212"/>
  <c r="C80" i="212"/>
  <c r="R16" i="212"/>
  <c r="C16" i="212"/>
  <c r="L82" i="212"/>
  <c r="L5" i="212"/>
  <c r="C89" i="200"/>
  <c r="C137" i="200" s="1"/>
  <c r="C75" i="212"/>
  <c r="Q9" i="212"/>
  <c r="L108" i="200"/>
  <c r="C92" i="200"/>
  <c r="C78" i="212"/>
  <c r="Q12" i="212"/>
  <c r="S14" i="212"/>
  <c r="S12" i="212"/>
  <c r="W64" i="196"/>
  <c r="AD43" i="196"/>
  <c r="AD43" i="158"/>
  <c r="V46" i="196"/>
  <c r="AD46" i="196" s="1"/>
  <c r="AD45" i="158"/>
  <c r="AD41" i="158"/>
  <c r="Q40" i="211"/>
  <c r="AD39" i="158"/>
  <c r="AD44" i="158"/>
  <c r="V47" i="158"/>
  <c r="V13" i="158" s="1"/>
  <c r="AB29" i="199" s="1"/>
  <c r="L80" i="211"/>
  <c r="C12" i="211"/>
  <c r="C60" i="200" s="1"/>
  <c r="R14" i="211"/>
  <c r="Q53" i="211"/>
  <c r="V55" i="158"/>
  <c r="V14" i="158" s="1"/>
  <c r="AB30" i="199" s="1"/>
  <c r="S53" i="211"/>
  <c r="L78" i="211"/>
  <c r="R12" i="211"/>
  <c r="L75" i="211"/>
  <c r="C128" i="211"/>
  <c r="Q62" i="211"/>
  <c r="R9" i="211"/>
  <c r="C14" i="211"/>
  <c r="C62" i="200" s="1"/>
  <c r="S62" i="211"/>
  <c r="AD64" i="158"/>
  <c r="AD36" i="196"/>
  <c r="R11" i="211"/>
  <c r="C99" i="211"/>
  <c r="L77" i="211"/>
  <c r="AD48" i="158"/>
  <c r="S59" i="211"/>
  <c r="AD48" i="196"/>
  <c r="Q27" i="211"/>
  <c r="C13" i="211"/>
  <c r="C61" i="200" s="1"/>
  <c r="Q33" i="211"/>
  <c r="AD61" i="158"/>
  <c r="Q59" i="211"/>
  <c r="C125" i="211"/>
  <c r="R6" i="211"/>
  <c r="C93" i="211"/>
  <c r="AD56" i="158"/>
  <c r="C8" i="211"/>
  <c r="C74" i="211" s="1"/>
  <c r="S27" i="211"/>
  <c r="AD35" i="158"/>
  <c r="L72" i="211"/>
  <c r="L79" i="211"/>
  <c r="Q45" i="211"/>
  <c r="AD56" i="196"/>
  <c r="C9" i="211"/>
  <c r="C57" i="200" s="1"/>
  <c r="C111" i="211"/>
  <c r="S33" i="211"/>
  <c r="R13" i="211"/>
  <c r="C11" i="211"/>
  <c r="C59" i="200" s="1"/>
  <c r="S45" i="211"/>
  <c r="AC53" i="196"/>
  <c r="W44" i="196"/>
  <c r="W46" i="196"/>
  <c r="W49" i="196"/>
  <c r="W45" i="196"/>
  <c r="W48" i="196"/>
  <c r="W51" i="196"/>
  <c r="W52" i="196"/>
  <c r="AD36" i="158"/>
  <c r="W50" i="196"/>
  <c r="W54" i="196"/>
  <c r="X56" i="199"/>
  <c r="X54" i="199"/>
  <c r="Q17" i="211"/>
  <c r="C83" i="211"/>
  <c r="C6" i="211"/>
  <c r="C54" i="200" s="1"/>
  <c r="AD38" i="196"/>
  <c r="S17" i="211"/>
  <c r="AD21" i="196"/>
  <c r="AD19" i="158"/>
  <c r="S8" i="207"/>
  <c r="S21" i="211"/>
  <c r="C87" i="211"/>
  <c r="V23" i="158"/>
  <c r="V9" i="158" s="1"/>
  <c r="AB25" i="199" s="1"/>
  <c r="S40" i="211"/>
  <c r="C10" i="211"/>
  <c r="C58" i="200" s="1"/>
  <c r="C106" i="211"/>
  <c r="S6" i="207"/>
  <c r="AD49" i="196"/>
  <c r="Q21" i="211"/>
  <c r="V42" i="158"/>
  <c r="V12" i="158" s="1"/>
  <c r="AB28" i="199" s="1"/>
  <c r="S7" i="207"/>
  <c r="AD29" i="158"/>
  <c r="C73" i="211"/>
  <c r="C55" i="200"/>
  <c r="Z7" i="130"/>
  <c r="Z7" i="131"/>
  <c r="Z11" i="131"/>
  <c r="Z11" i="130"/>
  <c r="Z9" i="130"/>
  <c r="Z9" i="131"/>
  <c r="L71" i="200"/>
  <c r="L45" i="200"/>
  <c r="L77" i="200"/>
  <c r="L74" i="200"/>
  <c r="Z12" i="131"/>
  <c r="Z12" i="130"/>
  <c r="Z8" i="131"/>
  <c r="Z8" i="130"/>
  <c r="L76" i="200"/>
  <c r="Z13" i="130"/>
  <c r="Z13" i="131"/>
  <c r="Z15" i="131"/>
  <c r="Z15" i="130"/>
  <c r="Z14" i="130"/>
  <c r="Z14" i="131"/>
  <c r="Z10" i="130"/>
  <c r="Z10" i="131"/>
  <c r="L78" i="200"/>
  <c r="L73" i="200"/>
  <c r="L75" i="200"/>
  <c r="L72" i="200"/>
  <c r="L70" i="200"/>
  <c r="AD31" i="196"/>
  <c r="S7" i="211"/>
  <c r="L16" i="211"/>
  <c r="M82" i="211"/>
  <c r="V17" i="132"/>
  <c r="M5" i="211"/>
  <c r="M53" i="200" s="1"/>
  <c r="L76" i="211"/>
  <c r="R10" i="211"/>
  <c r="AD39" i="196"/>
  <c r="AB9" i="199"/>
  <c r="AB31" i="199"/>
  <c r="V15" i="196"/>
  <c r="AB12" i="199"/>
  <c r="V23" i="196"/>
  <c r="AD26" i="196"/>
  <c r="AD59" i="196"/>
  <c r="AB26" i="199"/>
  <c r="AD41" i="196"/>
  <c r="AD22" i="196"/>
  <c r="AD45" i="196"/>
  <c r="AD33" i="196"/>
  <c r="AD40" i="196"/>
  <c r="AD44" i="196"/>
  <c r="V35" i="196"/>
  <c r="AD37" i="196"/>
  <c r="AB7" i="199"/>
  <c r="AD58" i="196"/>
  <c r="AD52" i="196"/>
  <c r="AB13" i="199"/>
  <c r="AB32" i="199"/>
  <c r="AB24" i="199"/>
  <c r="V16" i="196"/>
  <c r="AB27" i="199"/>
  <c r="U35" i="196"/>
  <c r="U42" i="196"/>
  <c r="U55" i="196"/>
  <c r="AD55" i="196" s="1"/>
  <c r="AC56" i="196"/>
  <c r="U23" i="196"/>
  <c r="U29" i="196"/>
  <c r="AD29" i="196" s="1"/>
  <c r="U47" i="196"/>
  <c r="AD47" i="196" s="1"/>
  <c r="AC48" i="196"/>
  <c r="U61" i="196"/>
  <c r="AD61" i="196" s="1"/>
  <c r="AC62" i="196"/>
  <c r="U19" i="196"/>
  <c r="AD19" i="196" s="1"/>
  <c r="U64" i="196"/>
  <c r="AD64" i="196" s="1"/>
  <c r="AC65" i="196"/>
  <c r="S10" i="207"/>
  <c r="S13" i="207"/>
  <c r="S9" i="207"/>
  <c r="AH25" i="199"/>
  <c r="Y59" i="199"/>
  <c r="AH27" i="199"/>
  <c r="Y61" i="199"/>
  <c r="AH29" i="199"/>
  <c r="Y63" i="199"/>
  <c r="AH30" i="199"/>
  <c r="Y64" i="199"/>
  <c r="AH26" i="199"/>
  <c r="Y60" i="199"/>
  <c r="AH28" i="199"/>
  <c r="Y62" i="199"/>
  <c r="S12" i="207"/>
  <c r="AC64" i="158"/>
  <c r="U16" i="158"/>
  <c r="AD16" i="158" s="1"/>
  <c r="C28" i="200"/>
  <c r="C44" i="200" s="1"/>
  <c r="U14" i="110"/>
  <c r="Q12" i="207"/>
  <c r="C78" i="207"/>
  <c r="C24" i="200"/>
  <c r="C40" i="200" s="1"/>
  <c r="Q8" i="207"/>
  <c r="C74" i="207"/>
  <c r="U10" i="110"/>
  <c r="C76" i="207"/>
  <c r="C26" i="200"/>
  <c r="C42" i="200" s="1"/>
  <c r="U12" i="110"/>
  <c r="Q10" i="207"/>
  <c r="U11" i="158"/>
  <c r="AD11" i="158" s="1"/>
  <c r="AC35" i="158"/>
  <c r="C72" i="207"/>
  <c r="C22" i="200"/>
  <c r="C38" i="200" s="1"/>
  <c r="Q6" i="207"/>
  <c r="U8" i="110"/>
  <c r="U10" i="158"/>
  <c r="AD10" i="158" s="1"/>
  <c r="AC29" i="158"/>
  <c r="Q9" i="207"/>
  <c r="C75" i="207"/>
  <c r="U11" i="110"/>
  <c r="C25" i="200"/>
  <c r="C41" i="200" s="1"/>
  <c r="C29" i="200"/>
  <c r="C45" i="200" s="1"/>
  <c r="U15" i="110"/>
  <c r="Q13" i="207"/>
  <c r="C79" i="207"/>
  <c r="S14" i="207"/>
  <c r="AC55" i="158"/>
  <c r="U14" i="158"/>
  <c r="AC19" i="158"/>
  <c r="U8" i="158"/>
  <c r="AD8" i="158" s="1"/>
  <c r="C27" i="200"/>
  <c r="C43" i="200" s="1"/>
  <c r="U13" i="110"/>
  <c r="C77" i="207"/>
  <c r="Q11" i="207"/>
  <c r="U13" i="158"/>
  <c r="AC47" i="158"/>
  <c r="C16" i="207"/>
  <c r="R16" i="207"/>
  <c r="L5" i="207"/>
  <c r="L82" i="207"/>
  <c r="S11" i="207"/>
  <c r="U16" i="110"/>
  <c r="C80" i="207"/>
  <c r="C30" i="200"/>
  <c r="C46" i="200" s="1"/>
  <c r="Q14" i="207"/>
  <c r="C73" i="207"/>
  <c r="C23" i="200"/>
  <c r="C39" i="200" s="1"/>
  <c r="U9" i="110"/>
  <c r="Q7" i="207"/>
  <c r="AC23" i="158"/>
  <c r="U9" i="158"/>
  <c r="AC42" i="158"/>
  <c r="U12" i="158"/>
  <c r="M21" i="200"/>
  <c r="M37" i="200" s="1"/>
  <c r="M71" i="207"/>
  <c r="M4" i="207"/>
  <c r="M1" i="207" s="1"/>
  <c r="AC61" i="158"/>
  <c r="U15" i="158"/>
  <c r="AD15" i="158" s="1"/>
  <c r="X49" i="199"/>
  <c r="AG15" i="199"/>
  <c r="X45" i="199"/>
  <c r="AG11" i="199"/>
  <c r="X43" i="199"/>
  <c r="AG9" i="199"/>
  <c r="X41" i="199"/>
  <c r="AG7" i="199"/>
  <c r="Z22" i="199"/>
  <c r="AB6" i="158"/>
  <c r="AG10" i="199"/>
  <c r="X44" i="199"/>
  <c r="X42" i="199"/>
  <c r="AG8" i="199"/>
  <c r="AG13" i="199"/>
  <c r="X47" i="199"/>
  <c r="X46" i="199"/>
  <c r="AG12" i="199"/>
  <c r="X48" i="199"/>
  <c r="AG14" i="199"/>
  <c r="S7" i="196"/>
  <c r="S6" i="196" s="1"/>
  <c r="AA18" i="196"/>
  <c r="AF23" i="158" l="1"/>
  <c r="U18" i="158"/>
  <c r="C87" i="200"/>
  <c r="C135" i="200" s="1"/>
  <c r="C73" i="212"/>
  <c r="S7" i="212"/>
  <c r="C142" i="200"/>
  <c r="M133" i="200"/>
  <c r="C140" i="200"/>
  <c r="S8" i="212"/>
  <c r="W35" i="196"/>
  <c r="AE35" i="196" s="1"/>
  <c r="W29" i="196"/>
  <c r="AF29" i="196" s="1"/>
  <c r="AE55" i="158"/>
  <c r="AE23" i="158"/>
  <c r="AF51" i="196"/>
  <c r="AE51" i="196"/>
  <c r="W11" i="158"/>
  <c r="AF35" i="158"/>
  <c r="AE35" i="158"/>
  <c r="W13" i="158"/>
  <c r="AF47" i="158"/>
  <c r="AE47" i="158"/>
  <c r="AF48" i="196"/>
  <c r="AE48" i="196"/>
  <c r="Q10" i="212"/>
  <c r="AF42" i="158"/>
  <c r="AE42" i="158"/>
  <c r="W61" i="196"/>
  <c r="AF62" i="196"/>
  <c r="AE62" i="196"/>
  <c r="AC30" i="199"/>
  <c r="AE14" i="158"/>
  <c r="AF14" i="158"/>
  <c r="AC25" i="199"/>
  <c r="AF9" i="158"/>
  <c r="AE9" i="158"/>
  <c r="AF32" i="196"/>
  <c r="AE32" i="196"/>
  <c r="W14" i="196"/>
  <c r="AF55" i="196"/>
  <c r="AE55" i="196"/>
  <c r="AE45" i="196"/>
  <c r="AF45" i="196"/>
  <c r="C90" i="200"/>
  <c r="C138" i="200" s="1"/>
  <c r="W9" i="196"/>
  <c r="AF23" i="196"/>
  <c r="AE23" i="196"/>
  <c r="AC26" i="199"/>
  <c r="AF10" i="158"/>
  <c r="AE10" i="158"/>
  <c r="AE52" i="196"/>
  <c r="AF52" i="196"/>
  <c r="AE49" i="196"/>
  <c r="AF49" i="196"/>
  <c r="AC32" i="199"/>
  <c r="AL32" i="199" s="1"/>
  <c r="AF16" i="158"/>
  <c r="AE16" i="158"/>
  <c r="AF54" i="196"/>
  <c r="AE54" i="196"/>
  <c r="AF46" i="196"/>
  <c r="AE46" i="196"/>
  <c r="W16" i="196"/>
  <c r="AF64" i="196"/>
  <c r="AE64" i="196"/>
  <c r="W8" i="158"/>
  <c r="AF19" i="158"/>
  <c r="AE19" i="158"/>
  <c r="AF50" i="196"/>
  <c r="AE50" i="196"/>
  <c r="AE44" i="196"/>
  <c r="AF44" i="196"/>
  <c r="AC31" i="199"/>
  <c r="AL31" i="199" s="1"/>
  <c r="AE15" i="158"/>
  <c r="AF15" i="158"/>
  <c r="AF31" i="196"/>
  <c r="AE31" i="196"/>
  <c r="AF40" i="196"/>
  <c r="AE40" i="196"/>
  <c r="AF39" i="196"/>
  <c r="AE39" i="196"/>
  <c r="W19" i="196"/>
  <c r="AE20" i="196"/>
  <c r="AF20" i="196"/>
  <c r="S10" i="212"/>
  <c r="C136" i="200"/>
  <c r="L109" i="200"/>
  <c r="L141" i="200"/>
  <c r="L106" i="200"/>
  <c r="L138" i="200"/>
  <c r="L104" i="200"/>
  <c r="L136" i="200"/>
  <c r="C79" i="212"/>
  <c r="S13" i="212"/>
  <c r="C74" i="212"/>
  <c r="C93" i="200"/>
  <c r="C141" i="200" s="1"/>
  <c r="Q8" i="212"/>
  <c r="S6" i="212"/>
  <c r="S11" i="212"/>
  <c r="C86" i="200"/>
  <c r="M71" i="212"/>
  <c r="M4" i="212"/>
  <c r="M70" i="212" s="1"/>
  <c r="C72" i="212"/>
  <c r="Q6" i="212"/>
  <c r="C91" i="200"/>
  <c r="S9" i="213"/>
  <c r="Q11" i="212"/>
  <c r="S8" i="213"/>
  <c r="S13" i="213"/>
  <c r="S6" i="213"/>
  <c r="S10" i="213"/>
  <c r="S12" i="213"/>
  <c r="S14" i="213"/>
  <c r="Q13" i="213"/>
  <c r="C79" i="213"/>
  <c r="S11" i="213"/>
  <c r="C77" i="213"/>
  <c r="Q11" i="213"/>
  <c r="C78" i="213"/>
  <c r="Q12" i="213"/>
  <c r="C80" i="213"/>
  <c r="Q14" i="213"/>
  <c r="S7" i="213"/>
  <c r="C72" i="213"/>
  <c r="Q6" i="213"/>
  <c r="L82" i="213"/>
  <c r="L5" i="213"/>
  <c r="L117" i="200" s="1"/>
  <c r="R16" i="213"/>
  <c r="C16" i="213"/>
  <c r="X18" i="158" s="1"/>
  <c r="C73" i="213"/>
  <c r="Q7" i="213"/>
  <c r="Q10" i="213"/>
  <c r="C76" i="213"/>
  <c r="M71" i="213"/>
  <c r="M4" i="213"/>
  <c r="M116" i="200" s="1"/>
  <c r="C74" i="213"/>
  <c r="Q8" i="213"/>
  <c r="Q9" i="213"/>
  <c r="C75" i="213"/>
  <c r="M101" i="200"/>
  <c r="C108" i="200"/>
  <c r="L85" i="200"/>
  <c r="L71" i="212"/>
  <c r="L4" i="212"/>
  <c r="R5" i="212"/>
  <c r="C105" i="200"/>
  <c r="C110" i="200"/>
  <c r="S16" i="212"/>
  <c r="W18" i="158"/>
  <c r="Q16" i="212"/>
  <c r="C82" i="212"/>
  <c r="C5" i="212"/>
  <c r="W47" i="196"/>
  <c r="V42" i="196"/>
  <c r="V12" i="196" s="1"/>
  <c r="AD13" i="158"/>
  <c r="AD47" i="158"/>
  <c r="C78" i="211"/>
  <c r="S12" i="211"/>
  <c r="AD14" i="158"/>
  <c r="Q12" i="211"/>
  <c r="S14" i="211"/>
  <c r="AD55" i="158"/>
  <c r="C80" i="211"/>
  <c r="Q14" i="211"/>
  <c r="S13" i="211"/>
  <c r="S8" i="211"/>
  <c r="Q8" i="211"/>
  <c r="C56" i="200"/>
  <c r="C72" i="200" s="1"/>
  <c r="Q13" i="211"/>
  <c r="C79" i="211"/>
  <c r="C75" i="211"/>
  <c r="Q9" i="211"/>
  <c r="S11" i="211"/>
  <c r="S9" i="211"/>
  <c r="C77" i="211"/>
  <c r="Q11" i="211"/>
  <c r="W43" i="196"/>
  <c r="AD9" i="158"/>
  <c r="C72" i="211"/>
  <c r="S6" i="211"/>
  <c r="Q6" i="211"/>
  <c r="C76" i="211"/>
  <c r="Q10" i="211"/>
  <c r="S10" i="211"/>
  <c r="AD23" i="158"/>
  <c r="AD12" i="158"/>
  <c r="AD42" i="158"/>
  <c r="M69" i="200"/>
  <c r="Z17" i="131"/>
  <c r="Z17" i="130"/>
  <c r="C75" i="200"/>
  <c r="C73" i="200"/>
  <c r="C71" i="200"/>
  <c r="C77" i="200"/>
  <c r="C76" i="200"/>
  <c r="C78" i="200"/>
  <c r="C74" i="200"/>
  <c r="C70" i="200"/>
  <c r="L5" i="211"/>
  <c r="L53" i="200" s="1"/>
  <c r="R16" i="211"/>
  <c r="C16" i="211"/>
  <c r="V18" i="158" s="1"/>
  <c r="V69" i="158" s="1"/>
  <c r="L82" i="211"/>
  <c r="V6" i="132"/>
  <c r="M4" i="211"/>
  <c r="M71" i="211"/>
  <c r="AB15" i="199"/>
  <c r="V11" i="196"/>
  <c r="AD35" i="196"/>
  <c r="V9" i="196"/>
  <c r="AD23" i="196"/>
  <c r="AB14" i="199"/>
  <c r="U14" i="196"/>
  <c r="AD14" i="196" s="1"/>
  <c r="AC55" i="196"/>
  <c r="U8" i="196"/>
  <c r="AD8" i="196" s="1"/>
  <c r="U10" i="196"/>
  <c r="AD10" i="196" s="1"/>
  <c r="U12" i="196"/>
  <c r="U15" i="196"/>
  <c r="AD15" i="196" s="1"/>
  <c r="AC61" i="196"/>
  <c r="U9" i="196"/>
  <c r="U13" i="196"/>
  <c r="AD13" i="196" s="1"/>
  <c r="AC47" i="196"/>
  <c r="U16" i="196"/>
  <c r="AD16" i="196" s="1"/>
  <c r="AC64" i="196"/>
  <c r="U11" i="196"/>
  <c r="Y54" i="199"/>
  <c r="Y56" i="199"/>
  <c r="S16" i="207"/>
  <c r="AC12" i="158"/>
  <c r="AA28" i="199"/>
  <c r="AJ28" i="199" s="1"/>
  <c r="Q16" i="207"/>
  <c r="C5" i="207"/>
  <c r="U18" i="110"/>
  <c r="C82" i="207"/>
  <c r="AA32" i="199"/>
  <c r="AC16" i="158"/>
  <c r="M70" i="207"/>
  <c r="M20" i="200"/>
  <c r="M36" i="200" s="1"/>
  <c r="AA30" i="199"/>
  <c r="AJ30" i="199" s="1"/>
  <c r="AC14" i="158"/>
  <c r="AA26" i="199"/>
  <c r="AJ26" i="199" s="1"/>
  <c r="AC10" i="158"/>
  <c r="AC9" i="158"/>
  <c r="AA25" i="199"/>
  <c r="AJ25" i="199" s="1"/>
  <c r="R5" i="207"/>
  <c r="L71" i="207"/>
  <c r="L21" i="200"/>
  <c r="L37" i="200" s="1"/>
  <c r="L4" i="207"/>
  <c r="AC13" i="158"/>
  <c r="AA29" i="199"/>
  <c r="AJ29" i="199" s="1"/>
  <c r="AA31" i="199"/>
  <c r="AC15" i="158"/>
  <c r="AC8" i="158"/>
  <c r="AA24" i="199"/>
  <c r="AJ24" i="199" s="1"/>
  <c r="AC11" i="158"/>
  <c r="AA27" i="199"/>
  <c r="AJ27" i="199" s="1"/>
  <c r="AH22" i="199"/>
  <c r="L8" i="197"/>
  <c r="L9" i="197" s="1"/>
  <c r="L29" i="197" s="1"/>
  <c r="Y6" i="199"/>
  <c r="AA7" i="196"/>
  <c r="AA69" i="196"/>
  <c r="L10" i="197"/>
  <c r="L11" i="197" s="1"/>
  <c r="L24" i="197" s="1"/>
  <c r="C103" i="200" l="1"/>
  <c r="AF35" i="196"/>
  <c r="AE29" i="196"/>
  <c r="W11" i="196"/>
  <c r="AC10" i="199" s="1"/>
  <c r="W10" i="196"/>
  <c r="AC9" i="199" s="1"/>
  <c r="L133" i="200"/>
  <c r="AK30" i="199"/>
  <c r="C106" i="200"/>
  <c r="AK31" i="199"/>
  <c r="X7" i="158"/>
  <c r="X18" i="196"/>
  <c r="X69" i="158"/>
  <c r="AK32" i="199"/>
  <c r="W42" i="196"/>
  <c r="AF43" i="196"/>
  <c r="AE43" i="196"/>
  <c r="AL25" i="199"/>
  <c r="AL26" i="199"/>
  <c r="W15" i="196"/>
  <c r="AE61" i="196"/>
  <c r="AF61" i="196"/>
  <c r="AL30" i="199"/>
  <c r="AC8" i="199"/>
  <c r="AF9" i="196"/>
  <c r="AE9" i="196"/>
  <c r="W13" i="196"/>
  <c r="AF47" i="196"/>
  <c r="AE47" i="196"/>
  <c r="AC15" i="199"/>
  <c r="AK15" i="199" s="1"/>
  <c r="AF16" i="196"/>
  <c r="AE16" i="196"/>
  <c r="AC29" i="199"/>
  <c r="AF13" i="158"/>
  <c r="AE13" i="158"/>
  <c r="AK25" i="199"/>
  <c r="W8" i="196"/>
  <c r="AF19" i="196"/>
  <c r="AE19" i="196"/>
  <c r="AC13" i="199"/>
  <c r="AF14" i="196"/>
  <c r="AE14" i="196"/>
  <c r="AK26" i="199"/>
  <c r="AC27" i="199"/>
  <c r="AE11" i="158"/>
  <c r="AF11" i="158"/>
  <c r="AC24" i="199"/>
  <c r="AF8" i="158"/>
  <c r="AE8" i="158"/>
  <c r="AF18" i="158"/>
  <c r="AE18" i="158"/>
  <c r="C102" i="200"/>
  <c r="C134" i="200"/>
  <c r="C109" i="200"/>
  <c r="C107" i="200"/>
  <c r="C139" i="200"/>
  <c r="M1" i="212"/>
  <c r="M84" i="200"/>
  <c r="M132" i="200" s="1"/>
  <c r="S16" i="213"/>
  <c r="M1" i="213"/>
  <c r="M70" i="213"/>
  <c r="L71" i="213"/>
  <c r="L4" i="213"/>
  <c r="L116" i="200" s="1"/>
  <c r="R5" i="213"/>
  <c r="C82" i="213"/>
  <c r="C5" i="213"/>
  <c r="C117" i="200" s="1"/>
  <c r="Q16" i="213"/>
  <c r="L101" i="200"/>
  <c r="S5" i="212"/>
  <c r="W18" i="196"/>
  <c r="W7" i="158"/>
  <c r="W69" i="158"/>
  <c r="L84" i="200"/>
  <c r="L70" i="212"/>
  <c r="R4" i="212"/>
  <c r="C85" i="200"/>
  <c r="C4" i="212"/>
  <c r="C71" i="212"/>
  <c r="Q5" i="212"/>
  <c r="AD42" i="196"/>
  <c r="C104" i="200"/>
  <c r="W12" i="158"/>
  <c r="AA61" i="199"/>
  <c r="AA63" i="199"/>
  <c r="AA59" i="199"/>
  <c r="AA60" i="199"/>
  <c r="AA64" i="199"/>
  <c r="AA58" i="199"/>
  <c r="AA62" i="199"/>
  <c r="Z6" i="130"/>
  <c r="Z6" i="131"/>
  <c r="L69" i="200"/>
  <c r="M1" i="211"/>
  <c r="M52" i="200"/>
  <c r="AD18" i="158"/>
  <c r="V7" i="158"/>
  <c r="V6" i="158" s="1"/>
  <c r="V18" i="196"/>
  <c r="V7" i="196" s="1"/>
  <c r="C5" i="211"/>
  <c r="C53" i="200" s="1"/>
  <c r="Q16" i="211"/>
  <c r="C82" i="211"/>
  <c r="V5" i="132"/>
  <c r="M70" i="211"/>
  <c r="S16" i="211"/>
  <c r="R5" i="211"/>
  <c r="L71" i="211"/>
  <c r="L4" i="211"/>
  <c r="L52" i="200" s="1"/>
  <c r="AB8" i="199"/>
  <c r="AD9" i="196"/>
  <c r="AB11" i="199"/>
  <c r="AD12" i="196"/>
  <c r="AB10" i="199"/>
  <c r="AD11" i="196"/>
  <c r="AI31" i="199"/>
  <c r="AJ31" i="199"/>
  <c r="AI32" i="199"/>
  <c r="AJ32" i="199"/>
  <c r="AA15" i="199"/>
  <c r="AJ15" i="199" s="1"/>
  <c r="AA12" i="199"/>
  <c r="AA9" i="199"/>
  <c r="AA11" i="199"/>
  <c r="AA8" i="199"/>
  <c r="AA7" i="199"/>
  <c r="AA10" i="199"/>
  <c r="AA14" i="199"/>
  <c r="AJ14" i="199" s="1"/>
  <c r="AA13" i="199"/>
  <c r="S5" i="207"/>
  <c r="AI27" i="199"/>
  <c r="Z61" i="199"/>
  <c r="AI25" i="199"/>
  <c r="Z59" i="199"/>
  <c r="AI30" i="199"/>
  <c r="Z64" i="199"/>
  <c r="AI24" i="199"/>
  <c r="Z58" i="199"/>
  <c r="AI29" i="199"/>
  <c r="Z63" i="199"/>
  <c r="AI26" i="199"/>
  <c r="Z60" i="199"/>
  <c r="AI28" i="199"/>
  <c r="Z62" i="199"/>
  <c r="C71" i="207"/>
  <c r="C21" i="200"/>
  <c r="C37" i="200" s="1"/>
  <c r="U7" i="110"/>
  <c r="Q5" i="207"/>
  <c r="C4" i="207"/>
  <c r="R4" i="207"/>
  <c r="L20" i="200"/>
  <c r="L36" i="200" s="1"/>
  <c r="L70" i="207"/>
  <c r="U7" i="158"/>
  <c r="AC18" i="158"/>
  <c r="U69" i="158"/>
  <c r="AC69" i="158" s="1"/>
  <c r="AA6" i="196"/>
  <c r="Y5" i="199"/>
  <c r="AG6" i="199"/>
  <c r="X40" i="199"/>
  <c r="AF11" i="196" l="1"/>
  <c r="AE11" i="196"/>
  <c r="AF10" i="196"/>
  <c r="L132" i="200"/>
  <c r="AE10" i="196"/>
  <c r="C133" i="200"/>
  <c r="X7" i="196"/>
  <c r="X69" i="196"/>
  <c r="X6" i="158"/>
  <c r="AD22" i="199" s="1"/>
  <c r="P19" i="197" s="1"/>
  <c r="P8" i="197" s="1"/>
  <c r="AD23" i="199"/>
  <c r="AC14" i="199"/>
  <c r="AE15" i="196"/>
  <c r="AF15" i="196"/>
  <c r="AC7" i="199"/>
  <c r="AF8" i="196"/>
  <c r="AE8" i="196"/>
  <c r="AL24" i="199"/>
  <c r="AK24" i="199"/>
  <c r="AC12" i="199"/>
  <c r="AF13" i="196"/>
  <c r="AE13" i="196"/>
  <c r="AL15" i="199"/>
  <c r="AC49" i="199"/>
  <c r="AL9" i="199"/>
  <c r="AC43" i="199"/>
  <c r="AB43" i="199"/>
  <c r="AK9" i="199"/>
  <c r="AC28" i="199"/>
  <c r="AL28" i="199" s="1"/>
  <c r="AF12" i="158"/>
  <c r="AE12" i="158"/>
  <c r="AK27" i="199"/>
  <c r="AL27" i="199"/>
  <c r="AB49" i="199"/>
  <c r="AC47" i="199"/>
  <c r="AL13" i="199"/>
  <c r="AK13" i="199"/>
  <c r="AB47" i="199"/>
  <c r="AK29" i="199"/>
  <c r="AL29" i="199"/>
  <c r="AL10" i="199"/>
  <c r="AC44" i="199"/>
  <c r="AL8" i="199"/>
  <c r="AC42" i="199"/>
  <c r="W12" i="196"/>
  <c r="AF42" i="196"/>
  <c r="AE42" i="196"/>
  <c r="AE18" i="196"/>
  <c r="AF18" i="196"/>
  <c r="AC23" i="199"/>
  <c r="AF7" i="158"/>
  <c r="AE7" i="158"/>
  <c r="AF69" i="158"/>
  <c r="AE69" i="158"/>
  <c r="S5" i="213"/>
  <c r="L70" i="213"/>
  <c r="R4" i="213"/>
  <c r="Q5" i="213"/>
  <c r="C71" i="213"/>
  <c r="C4" i="213"/>
  <c r="C116" i="200" s="1"/>
  <c r="S4" i="212"/>
  <c r="L100" i="200"/>
  <c r="C101" i="200"/>
  <c r="W7" i="196"/>
  <c r="W69" i="196"/>
  <c r="C84" i="200"/>
  <c r="Q4" i="212"/>
  <c r="C70" i="212"/>
  <c r="G1" i="212"/>
  <c r="AK8" i="199"/>
  <c r="AB42" i="199"/>
  <c r="AB44" i="199"/>
  <c r="AK10" i="199"/>
  <c r="M68" i="200"/>
  <c r="M100" i="200"/>
  <c r="W6" i="158"/>
  <c r="AJ8" i="199"/>
  <c r="AJ10" i="199"/>
  <c r="AA45" i="199"/>
  <c r="AA49" i="199"/>
  <c r="AA44" i="199"/>
  <c r="AD7" i="158"/>
  <c r="AJ7" i="199"/>
  <c r="AA41" i="199"/>
  <c r="AJ13" i="199"/>
  <c r="AA47" i="199"/>
  <c r="AA48" i="199"/>
  <c r="AA42" i="199"/>
  <c r="AJ9" i="199"/>
  <c r="AA43" i="199"/>
  <c r="AJ12" i="199"/>
  <c r="AA46" i="199"/>
  <c r="AB23" i="199"/>
  <c r="Z5" i="130"/>
  <c r="Z5" i="131"/>
  <c r="L68" i="200"/>
  <c r="C69" i="200"/>
  <c r="V69" i="196"/>
  <c r="AJ11" i="199"/>
  <c r="S5" i="211"/>
  <c r="L70" i="211"/>
  <c r="R4" i="211"/>
  <c r="C4" i="211"/>
  <c r="C52" i="200" s="1"/>
  <c r="C71" i="211"/>
  <c r="Q5" i="211"/>
  <c r="AB22" i="199"/>
  <c r="AD69" i="158"/>
  <c r="AD18" i="196"/>
  <c r="V6" i="196"/>
  <c r="AB6" i="199"/>
  <c r="U7" i="196"/>
  <c r="U69" i="196"/>
  <c r="S4" i="207"/>
  <c r="AA23" i="199"/>
  <c r="AC7" i="158"/>
  <c r="U6" i="158"/>
  <c r="G1" i="207"/>
  <c r="C70" i="207"/>
  <c r="U6" i="110"/>
  <c r="U5" i="110" s="1"/>
  <c r="C20" i="200"/>
  <c r="C36" i="200" s="1"/>
  <c r="Q4" i="207"/>
  <c r="X39" i="199"/>
  <c r="AG5" i="199"/>
  <c r="AL23" i="199" l="1"/>
  <c r="C132" i="200"/>
  <c r="AK28" i="199"/>
  <c r="AD6" i="199"/>
  <c r="X6" i="196"/>
  <c r="AD5" i="199" s="1"/>
  <c r="P20" i="197" s="1"/>
  <c r="P10" i="197" s="1"/>
  <c r="AF12" i="196"/>
  <c r="AE12" i="196"/>
  <c r="AC11" i="199"/>
  <c r="AL7" i="199"/>
  <c r="AC41" i="199"/>
  <c r="AB41" i="199"/>
  <c r="AK7" i="199"/>
  <c r="AC46" i="199"/>
  <c r="AK12" i="199"/>
  <c r="AL12" i="199"/>
  <c r="AB46" i="199"/>
  <c r="AC48" i="199"/>
  <c r="AL14" i="199"/>
  <c r="AK14" i="199"/>
  <c r="AB48" i="199"/>
  <c r="AF69" i="196"/>
  <c r="AE69" i="196"/>
  <c r="AF7" i="196"/>
  <c r="AE7" i="196"/>
  <c r="AE6" i="158"/>
  <c r="AF6" i="158"/>
  <c r="C100" i="200"/>
  <c r="C70" i="213"/>
  <c r="Q4" i="213"/>
  <c r="G1" i="213"/>
  <c r="S4" i="213"/>
  <c r="AC6" i="199"/>
  <c r="W6" i="196"/>
  <c r="AK23" i="199"/>
  <c r="AD6" i="158"/>
  <c r="U5" i="158"/>
  <c r="AC22" i="199"/>
  <c r="AA55" i="199"/>
  <c r="AA57" i="199"/>
  <c r="AJ23" i="199"/>
  <c r="N19" i="197"/>
  <c r="N8" i="197" s="1"/>
  <c r="C68" i="200"/>
  <c r="S4" i="211"/>
  <c r="C70" i="211"/>
  <c r="Q4" i="211"/>
  <c r="G1" i="211"/>
  <c r="AB5" i="199"/>
  <c r="AD69" i="196"/>
  <c r="AD7" i="196"/>
  <c r="AI23" i="199"/>
  <c r="Z55" i="199"/>
  <c r="Z57" i="199"/>
  <c r="AA22" i="199"/>
  <c r="AJ22" i="199" s="1"/>
  <c r="AC6" i="158"/>
  <c r="AA6" i="199"/>
  <c r="AJ6" i="199" s="1"/>
  <c r="U6" i="196"/>
  <c r="AB45" i="199" l="1"/>
  <c r="AC45" i="199"/>
  <c r="AL11" i="199"/>
  <c r="AK11" i="199"/>
  <c r="AC5" i="199"/>
  <c r="AC39" i="199" s="1"/>
  <c r="AF6" i="196"/>
  <c r="AE6" i="196"/>
  <c r="AB40" i="199"/>
  <c r="AL6" i="199"/>
  <c r="AC40" i="199"/>
  <c r="AL22" i="199"/>
  <c r="AK6" i="199"/>
  <c r="AD6" i="196"/>
  <c r="U5" i="196"/>
  <c r="O19" i="197"/>
  <c r="O8" i="197" s="1"/>
  <c r="AK22" i="199"/>
  <c r="AA56" i="199"/>
  <c r="AA54" i="199"/>
  <c r="N20" i="197"/>
  <c r="N10" i="197" s="1"/>
  <c r="AA40" i="199"/>
  <c r="AA5" i="199"/>
  <c r="AA39" i="199" s="1"/>
  <c r="Z54" i="199"/>
  <c r="Z56" i="199"/>
  <c r="AI22" i="199"/>
  <c r="M8" i="197"/>
  <c r="O20" i="197" l="1"/>
  <c r="O10" i="197" s="1"/>
  <c r="P11" i="197" s="1"/>
  <c r="P24" i="197" s="1"/>
  <c r="AK5" i="199"/>
  <c r="AB39" i="199"/>
  <c r="AL5" i="199"/>
  <c r="O9" i="197"/>
  <c r="O29" i="197" s="1"/>
  <c r="P9" i="197"/>
  <c r="P29" i="197" s="1"/>
  <c r="M9" i="197"/>
  <c r="M29" i="197" s="1"/>
  <c r="N9" i="197"/>
  <c r="N29" i="197" s="1"/>
  <c r="AJ5" i="199"/>
  <c r="M10" i="197"/>
  <c r="L28" i="197"/>
  <c r="M4" i="197"/>
  <c r="N4" i="197" s="1"/>
  <c r="O4" i="197" s="1"/>
  <c r="P4" i="197" s="1"/>
  <c r="O11" i="197" l="1"/>
  <c r="O24" i="197" s="1"/>
  <c r="M11" i="197"/>
  <c r="M24" i="197" s="1"/>
  <c r="N11" i="197"/>
  <c r="N24" i="197" s="1"/>
  <c r="Z5" i="199" l="1"/>
  <c r="AH5" i="199" s="1"/>
  <c r="Z6" i="199"/>
  <c r="Z40" i="199" s="1"/>
  <c r="Z13" i="199"/>
  <c r="Z47" i="199" s="1"/>
  <c r="Z12" i="199"/>
  <c r="Y46" i="199" s="1"/>
  <c r="Z11" i="199"/>
  <c r="AI11" i="199" s="1"/>
  <c r="Z8" i="199"/>
  <c r="AI8" i="199" s="1"/>
  <c r="Z14" i="199"/>
  <c r="Y48" i="199" s="1"/>
  <c r="Z15" i="199"/>
  <c r="AI15" i="199" s="1"/>
  <c r="AB69" i="196"/>
  <c r="Z9" i="199"/>
  <c r="Z43" i="199" s="1"/>
  <c r="Z10" i="199"/>
  <c r="AI10" i="199" s="1"/>
  <c r="Z7" i="199"/>
  <c r="Z41" i="199" s="1"/>
  <c r="AC6" i="196"/>
  <c r="AB6" i="196"/>
  <c r="AC38" i="196"/>
  <c r="AB38" i="196"/>
  <c r="AC22" i="196"/>
  <c r="AB22" i="196"/>
  <c r="AC37" i="196"/>
  <c r="AB37" i="196"/>
  <c r="AC21" i="196"/>
  <c r="AB21" i="196"/>
  <c r="AC36" i="196"/>
  <c r="AB36" i="196"/>
  <c r="AC20" i="196"/>
  <c r="AB20" i="196"/>
  <c r="AC11" i="196"/>
  <c r="AB11" i="196"/>
  <c r="AC34" i="196"/>
  <c r="AB34" i="196"/>
  <c r="AC18" i="196"/>
  <c r="AB18" i="196"/>
  <c r="AC33" i="196"/>
  <c r="AB33" i="196"/>
  <c r="AC30" i="196"/>
  <c r="AB30" i="196"/>
  <c r="AC29" i="196"/>
  <c r="AB29" i="196"/>
  <c r="AC28" i="196"/>
  <c r="AB28" i="196"/>
  <c r="AC27" i="196"/>
  <c r="AB27" i="196"/>
  <c r="AC26" i="196"/>
  <c r="AB26" i="196"/>
  <c r="AC25" i="196"/>
  <c r="AB25" i="196"/>
  <c r="AC40" i="196"/>
  <c r="AB40" i="196"/>
  <c r="AB32" i="196"/>
  <c r="AC32" i="196"/>
  <c r="AC24" i="196"/>
  <c r="AB24" i="196"/>
  <c r="AC16" i="196"/>
  <c r="AB16" i="196"/>
  <c r="AC8" i="196"/>
  <c r="AB8" i="196"/>
  <c r="AC46" i="196"/>
  <c r="AB46" i="196"/>
  <c r="AC14" i="196"/>
  <c r="AB14" i="196"/>
  <c r="AC45" i="196"/>
  <c r="AB45" i="196"/>
  <c r="AC13" i="196"/>
  <c r="AB13" i="196"/>
  <c r="AC44" i="196"/>
  <c r="AB44" i="196"/>
  <c r="AC12" i="196"/>
  <c r="AB12" i="196"/>
  <c r="AC35" i="196"/>
  <c r="AB35" i="196"/>
  <c r="AC19" i="196"/>
  <c r="AB19" i="196"/>
  <c r="AC42" i="196"/>
  <c r="AB42" i="196"/>
  <c r="AC10" i="196"/>
  <c r="AB10" i="196"/>
  <c r="AC41" i="196"/>
  <c r="AB41" i="196"/>
  <c r="AC9" i="196"/>
  <c r="AB9" i="196"/>
  <c r="AC43" i="196"/>
  <c r="AB43" i="196"/>
  <c r="AC39" i="196"/>
  <c r="AB39" i="196"/>
  <c r="AC31" i="196"/>
  <c r="AB31" i="196"/>
  <c r="AC23" i="196"/>
  <c r="AB23" i="196"/>
  <c r="AC15" i="196"/>
  <c r="AB15" i="196"/>
  <c r="AC7" i="196"/>
  <c r="AB7" i="196"/>
  <c r="Y42" i="199" l="1"/>
  <c r="Y44" i="199"/>
  <c r="Y49" i="199"/>
  <c r="Y40" i="199"/>
  <c r="AH9" i="199"/>
  <c r="Y45" i="199"/>
  <c r="AI12" i="199"/>
  <c r="AH7" i="199"/>
  <c r="Z42" i="199"/>
  <c r="AH10" i="199"/>
  <c r="Y39" i="199"/>
  <c r="Z44" i="199"/>
  <c r="AH15" i="199"/>
  <c r="Z49" i="199"/>
  <c r="AH12" i="199"/>
  <c r="AI5" i="199"/>
  <c r="Y43" i="199"/>
  <c r="Z46" i="199"/>
  <c r="Z39" i="199"/>
  <c r="Y41" i="199"/>
  <c r="AI14" i="199"/>
  <c r="AH6" i="199"/>
  <c r="AI7" i="199"/>
  <c r="Z48" i="199"/>
  <c r="AH11" i="199"/>
  <c r="Y47" i="199"/>
  <c r="AI6" i="199"/>
  <c r="AI9" i="199"/>
  <c r="Z45" i="199"/>
  <c r="AH13" i="199"/>
  <c r="AC69" i="196"/>
  <c r="AH8" i="199"/>
  <c r="AI13" i="199"/>
  <c r="AH14" i="1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F3" authorId="0" shapeId="0" xr:uid="{98B220E1-A9EF-4068-8312-0B0D048A151A}">
      <text>
        <r>
          <rPr>
            <b/>
            <sz val="9"/>
            <color indexed="81"/>
            <rFont val="MS P ゴシック"/>
            <family val="3"/>
            <charset val="128"/>
          </rPr>
          <t xml:space="preserve">市町別データが工業統計からとれなくなった。
　→→R5年1月24日公表あり、数値貼り付け。20230206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F17" authorId="0" shapeId="0" xr:uid="{3F6A9D97-2FD4-4A8A-AA0C-A1DB9FD8A7E0}">
      <text>
        <r>
          <rPr>
            <sz val="9"/>
            <color indexed="81"/>
            <rFont val="MS P ゴシック"/>
            <family val="3"/>
            <charset val="128"/>
          </rPr>
          <t>全県値を各市町に分割する際、残差を神戸市に寄せている。それが幾らかを青色セルに表示してる。41市町の四捨五入なので、４～５位までに収まるはず。</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m003154</author>
  </authors>
  <commentList>
    <comment ref="A35" authorId="0" shapeId="0" xr:uid="{BF3A882E-6F91-4DFE-8A94-B7F61E43DDD0}">
      <text>
        <r>
          <rPr>
            <sz val="10"/>
            <color indexed="81"/>
            <rFont val="ＭＳ Ｐゴシック"/>
            <family val="3"/>
            <charset val="128"/>
          </rPr>
          <t>H17.10.1合併
西脇市・黒田庄町</t>
        </r>
      </text>
    </comment>
    <comment ref="A36" authorId="0" shapeId="0" xr:uid="{DB9A271A-9D17-4047-B097-5333604E5C66}">
      <text>
        <r>
          <rPr>
            <sz val="10"/>
            <color indexed="81"/>
            <rFont val="ＭＳ Ｐゴシック"/>
            <family val="3"/>
            <charset val="128"/>
          </rPr>
          <t>H17.10.24合併
三木市・吉川町</t>
        </r>
      </text>
    </comment>
    <comment ref="A39" authorId="0" shapeId="0" xr:uid="{F7EBE4AE-B49B-4A20-902E-3F12E4C8CE63}">
      <text>
        <r>
          <rPr>
            <sz val="10"/>
            <color indexed="81"/>
            <rFont val="ＭＳ 明朝"/>
            <family val="1"/>
            <charset val="128"/>
          </rPr>
          <t xml:space="preserve">平成18年3月20日合併
社町・滝野町・東条町
</t>
        </r>
      </text>
    </comment>
    <comment ref="A40" authorId="0" shapeId="0" xr:uid="{47BA9937-1C8B-4821-8720-2ED340295776}">
      <text>
        <r>
          <rPr>
            <sz val="10"/>
            <color indexed="81"/>
            <rFont val="ＭＳ Ｐゴシック"/>
            <family val="3"/>
            <charset val="128"/>
          </rPr>
          <t>H17.11.1合併
中町・加美長・八千代町</t>
        </r>
      </text>
    </comment>
    <comment ref="A42" authorId="0" shapeId="0" xr:uid="{96FF2D03-A78B-45AD-9FB7-4018AFFC5DF6}">
      <text>
        <r>
          <rPr>
            <sz val="10"/>
            <color indexed="81"/>
            <rFont val="ＭＳ Ｐゴシック"/>
            <family val="3"/>
            <charset val="128"/>
          </rPr>
          <t xml:space="preserve">H18.3.27合併
姫路市・香寺町・安富町・家島町・夢前町
</t>
        </r>
      </text>
    </comment>
    <comment ref="A45" authorId="0" shapeId="0" xr:uid="{78E5C257-19DF-4E09-AB8F-D41ABA1A44DF}">
      <text>
        <r>
          <rPr>
            <sz val="10"/>
            <color indexed="81"/>
            <rFont val="ＭＳ 明朝"/>
            <family val="1"/>
            <charset val="128"/>
          </rPr>
          <t>平成17年11月7日合併
神崎町・大河内町</t>
        </r>
      </text>
    </comment>
    <comment ref="A49" authorId="0" shapeId="0" xr:uid="{21CEB3DB-B485-4BFA-B837-7639B9E16357}">
      <text>
        <r>
          <rPr>
            <sz val="10"/>
            <color indexed="81"/>
            <rFont val="ＭＳ Ｐゴシック"/>
            <family val="3"/>
            <charset val="128"/>
          </rPr>
          <t>H17.4.1合併
山崎町・宍粟郡一宮町・波賀町・千種町</t>
        </r>
      </text>
    </comment>
    <comment ref="A50" authorId="0" shapeId="0" xr:uid="{73DD65C1-28B2-4F10-8D93-9B661F5B3210}">
      <text>
        <r>
          <rPr>
            <sz val="10"/>
            <color indexed="81"/>
            <rFont val="ＭＳ Ｐゴシック"/>
            <family val="3"/>
            <charset val="128"/>
          </rPr>
          <t>H17.10.1合併
龍野市・新宮町・揖保川町・御津町</t>
        </r>
      </text>
    </comment>
    <comment ref="A53" authorId="0" shapeId="0" xr:uid="{C0DE343A-CF0B-4F60-A536-BB923B26D3B4}">
      <text>
        <r>
          <rPr>
            <sz val="10"/>
            <color indexed="81"/>
            <rFont val="ＭＳ Ｐゴシック"/>
            <family val="3"/>
            <charset val="128"/>
          </rPr>
          <t xml:space="preserve">H17.10.1合併
佐用町・上月町・南光町・三日月町
</t>
        </r>
      </text>
    </comment>
    <comment ref="A55" authorId="0" shapeId="0" xr:uid="{441C235D-6FF7-4684-877B-DD48FC609FCB}">
      <text>
        <r>
          <rPr>
            <sz val="10"/>
            <color indexed="81"/>
            <rFont val="ＭＳ Ｐゴシック"/>
            <family val="3"/>
            <charset val="128"/>
          </rPr>
          <t>H17.4.1合併
豊岡市・城崎町・竹野町・日高町・出石町・但東町</t>
        </r>
      </text>
    </comment>
    <comment ref="A56" authorId="0" shapeId="0" xr:uid="{069456B6-4FFA-4F12-B0CA-3196DF648BA0}">
      <text>
        <r>
          <rPr>
            <sz val="10"/>
            <color indexed="81"/>
            <rFont val="ＭＳ Ｐゴシック"/>
            <family val="3"/>
            <charset val="128"/>
          </rPr>
          <t>H16.4.1合併
八鹿町・養父町・大屋町・関宮町</t>
        </r>
      </text>
    </comment>
    <comment ref="A57" authorId="0" shapeId="0" xr:uid="{15CF2331-6BB2-4A83-AD0F-712F48EB4573}">
      <text>
        <r>
          <rPr>
            <sz val="10"/>
            <color indexed="81"/>
            <rFont val="ＭＳ Ｐゴシック"/>
            <family val="3"/>
            <charset val="128"/>
          </rPr>
          <t xml:space="preserve">H17.4.1合併
生野町・和田山町・山東町・朝来町
</t>
        </r>
      </text>
    </comment>
    <comment ref="A58" authorId="0" shapeId="0" xr:uid="{A91C8CDB-CF7B-42D1-BB77-AB0143E65FB7}">
      <text>
        <r>
          <rPr>
            <sz val="10"/>
            <color indexed="81"/>
            <rFont val="ＭＳ Ｐゴシック"/>
            <family val="3"/>
            <charset val="128"/>
          </rPr>
          <t xml:space="preserve">H17.4.1合併
香住町・村岡町・美方町
</t>
        </r>
      </text>
    </comment>
    <comment ref="A59" authorId="0" shapeId="0" xr:uid="{9D56EAA4-CD2F-4F2A-BAD4-8C768ED98477}">
      <text>
        <r>
          <rPr>
            <sz val="10"/>
            <color indexed="81"/>
            <rFont val="ＭＳ Ｐゴシック"/>
            <family val="3"/>
            <charset val="128"/>
          </rPr>
          <t>H17.10.1合併
浜坂町・温泉町</t>
        </r>
      </text>
    </comment>
    <comment ref="A61" authorId="0" shapeId="0" xr:uid="{DD6F1D5A-4B08-4B21-BEDA-55AEFCB4D164}">
      <text>
        <r>
          <rPr>
            <sz val="10"/>
            <color indexed="81"/>
            <rFont val="ＭＳ Ｐゴシック"/>
            <family val="3"/>
            <charset val="128"/>
          </rPr>
          <t>H11.4.1合併
篠山町・西紀町・丹南町、今田町</t>
        </r>
      </text>
    </comment>
    <comment ref="A62" authorId="0" shapeId="0" xr:uid="{99C63319-D059-489E-B039-60A5BDCC2010}">
      <text>
        <r>
          <rPr>
            <sz val="10"/>
            <color indexed="81"/>
            <rFont val="ＭＳ Ｐゴシック"/>
            <family val="3"/>
            <charset val="128"/>
          </rPr>
          <t>H16.11.1合併
柏原町・氷上町・青垣町・春日町・山南町・市島町</t>
        </r>
      </text>
    </comment>
    <comment ref="A64" authorId="0" shapeId="0" xr:uid="{A16FAE5C-2D6E-470B-BFB8-155189E9D057}">
      <text>
        <r>
          <rPr>
            <sz val="10"/>
            <color indexed="81"/>
            <rFont val="ＭＳ Ｐゴシック"/>
            <family val="3"/>
            <charset val="128"/>
          </rPr>
          <t xml:space="preserve">H18.2.11合併
洲本市・五色町
</t>
        </r>
      </text>
    </comment>
    <comment ref="A65" authorId="0" shapeId="0" xr:uid="{17950B15-0EE0-4099-B2A2-D3F97539F468}">
      <text>
        <r>
          <rPr>
            <sz val="10"/>
            <color indexed="81"/>
            <rFont val="ＭＳ Ｐゴシック"/>
            <family val="3"/>
            <charset val="128"/>
          </rPr>
          <t xml:space="preserve">H17.1.11合併
緑町・西淡町・三原町・南淡町
</t>
        </r>
      </text>
    </comment>
    <comment ref="A66" authorId="0" shapeId="0" xr:uid="{3C031C0F-214A-4387-BE36-4FB028FDB845}">
      <text>
        <r>
          <rPr>
            <sz val="10"/>
            <color indexed="81"/>
            <rFont val="ＭＳ Ｐゴシック"/>
            <family val="3"/>
            <charset val="128"/>
          </rPr>
          <t>H17.4.1合併
津名町・淡路町・北淡町・津名郡一宮町・東浦町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m003154</author>
  </authors>
  <commentList>
    <comment ref="A35" authorId="0" shapeId="0" xr:uid="{E154357B-8CD2-4676-AA31-B30A3B2B3C3D}">
      <text>
        <r>
          <rPr>
            <sz val="10"/>
            <color indexed="81"/>
            <rFont val="ＭＳ Ｐゴシック"/>
            <family val="3"/>
            <charset val="128"/>
          </rPr>
          <t>H17.10.1合併
西脇市・黒田庄町</t>
        </r>
      </text>
    </comment>
    <comment ref="A36" authorId="0" shapeId="0" xr:uid="{7AA081B3-503B-4E36-B5B6-FCD30E687C82}">
      <text>
        <r>
          <rPr>
            <sz val="10"/>
            <color indexed="81"/>
            <rFont val="ＭＳ Ｐゴシック"/>
            <family val="3"/>
            <charset val="128"/>
          </rPr>
          <t>H17.10.24合併
三木市・吉川町</t>
        </r>
      </text>
    </comment>
    <comment ref="A39" authorId="0" shapeId="0" xr:uid="{845D7B82-734A-4815-A056-15C42EFDFCD5}">
      <text>
        <r>
          <rPr>
            <sz val="10"/>
            <color indexed="81"/>
            <rFont val="ＭＳ 明朝"/>
            <family val="1"/>
            <charset val="128"/>
          </rPr>
          <t xml:space="preserve">平成18年3月20日合併
社町・滝野町・東条町
</t>
        </r>
      </text>
    </comment>
    <comment ref="A40" authorId="0" shapeId="0" xr:uid="{AC6F9037-9445-4699-A8E7-F19458D8CEB6}">
      <text>
        <r>
          <rPr>
            <sz val="10"/>
            <color indexed="81"/>
            <rFont val="ＭＳ Ｐゴシック"/>
            <family val="3"/>
            <charset val="128"/>
          </rPr>
          <t>H17.11.1合併
中町・加美長・八千代町</t>
        </r>
      </text>
    </comment>
    <comment ref="A42" authorId="0" shapeId="0" xr:uid="{50F34080-573F-45E8-BBB2-A99DAFE036D5}">
      <text>
        <r>
          <rPr>
            <sz val="10"/>
            <color indexed="81"/>
            <rFont val="ＭＳ Ｐゴシック"/>
            <family val="3"/>
            <charset val="128"/>
          </rPr>
          <t xml:space="preserve">H18.3.27合併
姫路市・香寺町・安富町・家島町・夢前町
</t>
        </r>
      </text>
    </comment>
    <comment ref="A45" authorId="0" shapeId="0" xr:uid="{6862B037-B989-455E-BF59-9E0ACD51FA80}">
      <text>
        <r>
          <rPr>
            <sz val="10"/>
            <color indexed="81"/>
            <rFont val="ＭＳ 明朝"/>
            <family val="1"/>
            <charset val="128"/>
          </rPr>
          <t>平成17年11月7日合併
神崎町・大河内町</t>
        </r>
      </text>
    </comment>
    <comment ref="A49" authorId="0" shapeId="0" xr:uid="{1189A3D6-DE46-4DE5-820E-9A2CE0240661}">
      <text>
        <r>
          <rPr>
            <sz val="10"/>
            <color indexed="81"/>
            <rFont val="ＭＳ Ｐゴシック"/>
            <family val="3"/>
            <charset val="128"/>
          </rPr>
          <t>H17.4.1合併
山崎町・宍粟郡一宮町・波賀町・千種町</t>
        </r>
      </text>
    </comment>
    <comment ref="A50" authorId="0" shapeId="0" xr:uid="{1EF3A21A-E386-4EC4-ACCA-47400759C6F6}">
      <text>
        <r>
          <rPr>
            <sz val="10"/>
            <color indexed="81"/>
            <rFont val="ＭＳ Ｐゴシック"/>
            <family val="3"/>
            <charset val="128"/>
          </rPr>
          <t>H17.10.1合併
龍野市・新宮町・揖保川町・御津町</t>
        </r>
      </text>
    </comment>
    <comment ref="A53" authorId="0" shapeId="0" xr:uid="{9D5905D4-F3CB-4C26-9005-A5A13DFF0BE9}">
      <text>
        <r>
          <rPr>
            <sz val="10"/>
            <color indexed="81"/>
            <rFont val="ＭＳ Ｐゴシック"/>
            <family val="3"/>
            <charset val="128"/>
          </rPr>
          <t xml:space="preserve">H17.10.1合併
佐用町・上月町・南光町・三日月町
</t>
        </r>
      </text>
    </comment>
    <comment ref="A55" authorId="0" shapeId="0" xr:uid="{582F9563-A356-4087-BE89-A454B803F72B}">
      <text>
        <r>
          <rPr>
            <sz val="10"/>
            <color indexed="81"/>
            <rFont val="ＭＳ Ｐゴシック"/>
            <family val="3"/>
            <charset val="128"/>
          </rPr>
          <t>H17.4.1合併
豊岡市・城崎町・竹野町・日高町・出石町・但東町</t>
        </r>
      </text>
    </comment>
    <comment ref="A56" authorId="0" shapeId="0" xr:uid="{3E98B658-47CE-44AD-BE2A-B45A074644CF}">
      <text>
        <r>
          <rPr>
            <sz val="10"/>
            <color indexed="81"/>
            <rFont val="ＭＳ Ｐゴシック"/>
            <family val="3"/>
            <charset val="128"/>
          </rPr>
          <t>H16.4.1合併
八鹿町・養父町・大屋町・関宮町</t>
        </r>
      </text>
    </comment>
    <comment ref="A57" authorId="0" shapeId="0" xr:uid="{CBBFBE75-BD29-4CC8-B744-379826578F71}">
      <text>
        <r>
          <rPr>
            <sz val="10"/>
            <color indexed="81"/>
            <rFont val="ＭＳ Ｐゴシック"/>
            <family val="3"/>
            <charset val="128"/>
          </rPr>
          <t xml:space="preserve">H17.4.1合併
生野町・和田山町・山東町・朝来町
</t>
        </r>
      </text>
    </comment>
    <comment ref="A58" authorId="0" shapeId="0" xr:uid="{D4AEF35A-5FF9-40B8-A5BD-DB9B5F59EFED}">
      <text>
        <r>
          <rPr>
            <sz val="10"/>
            <color indexed="81"/>
            <rFont val="ＭＳ Ｐゴシック"/>
            <family val="3"/>
            <charset val="128"/>
          </rPr>
          <t xml:space="preserve">H17.4.1合併
香住町・村岡町・美方町
</t>
        </r>
      </text>
    </comment>
    <comment ref="A59" authorId="0" shapeId="0" xr:uid="{0E3E058A-DF9E-4E54-B2B2-4A6559360315}">
      <text>
        <r>
          <rPr>
            <sz val="10"/>
            <color indexed="81"/>
            <rFont val="ＭＳ Ｐゴシック"/>
            <family val="3"/>
            <charset val="128"/>
          </rPr>
          <t>H17.10.1合併
浜坂町・温泉町</t>
        </r>
      </text>
    </comment>
    <comment ref="A61" authorId="0" shapeId="0" xr:uid="{C928B55A-BC65-4074-9659-7C7C6F169C4F}">
      <text>
        <r>
          <rPr>
            <sz val="10"/>
            <color indexed="81"/>
            <rFont val="ＭＳ Ｐゴシック"/>
            <family val="3"/>
            <charset val="128"/>
          </rPr>
          <t>H11.4.1合併
篠山町・西紀町・丹南町、今田町</t>
        </r>
      </text>
    </comment>
    <comment ref="A62" authorId="0" shapeId="0" xr:uid="{94C13F9F-DCFF-4ECA-AD90-53C3CB0761C1}">
      <text>
        <r>
          <rPr>
            <sz val="10"/>
            <color indexed="81"/>
            <rFont val="ＭＳ Ｐゴシック"/>
            <family val="3"/>
            <charset val="128"/>
          </rPr>
          <t>H16.11.1合併
柏原町・氷上町・青垣町・春日町・山南町・市島町</t>
        </r>
      </text>
    </comment>
    <comment ref="A64" authorId="0" shapeId="0" xr:uid="{F2438DBF-9891-49C2-B390-43E7166BD97B}">
      <text>
        <r>
          <rPr>
            <sz val="10"/>
            <color indexed="81"/>
            <rFont val="ＭＳ Ｐゴシック"/>
            <family val="3"/>
            <charset val="128"/>
          </rPr>
          <t xml:space="preserve">H18.2.11合併
洲本市・五色町
</t>
        </r>
      </text>
    </comment>
    <comment ref="A65" authorId="0" shapeId="0" xr:uid="{FCFA8441-69A9-4552-A402-443152354D22}">
      <text>
        <r>
          <rPr>
            <sz val="10"/>
            <color indexed="81"/>
            <rFont val="ＭＳ Ｐゴシック"/>
            <family val="3"/>
            <charset val="128"/>
          </rPr>
          <t xml:space="preserve">H17.1.11合併
緑町・西淡町・三原町・南淡町
</t>
        </r>
      </text>
    </comment>
    <comment ref="A66" authorId="0" shapeId="0" xr:uid="{A17E5890-7316-4CAB-99AA-E650794A0EF0}">
      <text>
        <r>
          <rPr>
            <sz val="10"/>
            <color indexed="81"/>
            <rFont val="ＭＳ Ｐゴシック"/>
            <family val="3"/>
            <charset val="128"/>
          </rPr>
          <t>H17.4.1合併
津名町・淡路町・北淡町・津名郡一宮町・東浦町</t>
        </r>
      </text>
    </comment>
  </commentList>
</comments>
</file>

<file path=xl/sharedStrings.xml><?xml version="1.0" encoding="utf-8"?>
<sst xmlns="http://schemas.openxmlformats.org/spreadsheetml/2006/main" count="13006" uniqueCount="1886">
  <si>
    <t>24年/1-3月</t>
    <rPh sb="2" eb="3">
      <t>ネン</t>
    </rPh>
    <rPh sb="7" eb="8">
      <t>ツキ</t>
    </rPh>
    <phoneticPr fontId="22"/>
  </si>
  <si>
    <t>項　　　　　　目</t>
    <phoneticPr fontId="17"/>
  </si>
  <si>
    <t>１３年度</t>
    <phoneticPr fontId="17"/>
  </si>
  <si>
    <t>１４年度</t>
    <phoneticPr fontId="17"/>
  </si>
  <si>
    <t>１５年度</t>
    <phoneticPr fontId="17"/>
  </si>
  <si>
    <t>１６年度</t>
    <phoneticPr fontId="17"/>
  </si>
  <si>
    <t>１７年度</t>
    <phoneticPr fontId="17"/>
  </si>
  <si>
    <t>実質年度</t>
    <rPh sb="0" eb="2">
      <t>ジッシツ</t>
    </rPh>
    <phoneticPr fontId="13"/>
  </si>
  <si>
    <t xml:space="preserve">  </t>
    <phoneticPr fontId="13"/>
  </si>
  <si>
    <t>地域名</t>
    <rPh sb="0" eb="2">
      <t>チイキ</t>
    </rPh>
    <rPh sb="2" eb="3">
      <t>メイ</t>
    </rPh>
    <phoneticPr fontId="13"/>
  </si>
  <si>
    <t>　</t>
    <phoneticPr fontId="12"/>
  </si>
  <si>
    <t xml:space="preserve"> </t>
    <phoneticPr fontId="13"/>
  </si>
  <si>
    <t>平成22年</t>
    <rPh sb="0" eb="2">
      <t>ヘイセイ</t>
    </rPh>
    <rPh sb="4" eb="5">
      <t>ネン</t>
    </rPh>
    <phoneticPr fontId="13"/>
  </si>
  <si>
    <t>平成22年度</t>
    <rPh sb="0" eb="2">
      <t>ヘイセイ</t>
    </rPh>
    <rPh sb="4" eb="6">
      <t>ネンド</t>
    </rPh>
    <phoneticPr fontId="2"/>
  </si>
  <si>
    <t>見通し</t>
    <rPh sb="0" eb="2">
      <t>ミトオ</t>
    </rPh>
    <phoneticPr fontId="13"/>
  </si>
  <si>
    <t>四半期別兵庫県内ＧＤＰ速報（支出側） 名目原系列</t>
    <rPh sb="14" eb="16">
      <t>シシュツ</t>
    </rPh>
    <rPh sb="16" eb="17">
      <t>ガワ</t>
    </rPh>
    <rPh sb="19" eb="21">
      <t>メイモク</t>
    </rPh>
    <rPh sb="21" eb="24">
      <t>ゲンケイレツ</t>
    </rPh>
    <phoneticPr fontId="19"/>
  </si>
  <si>
    <t>（資料：兵庫県統計課「四半期別兵庫県内ＧＤＰ速報」）</t>
    <rPh sb="1" eb="3">
      <t>シリョウ</t>
    </rPh>
    <rPh sb="4" eb="7">
      <t>ヒョウゴケン</t>
    </rPh>
    <rPh sb="7" eb="9">
      <t>トウケイ</t>
    </rPh>
    <rPh sb="9" eb="10">
      <t>カ</t>
    </rPh>
    <rPh sb="11" eb="14">
      <t>シハンキ</t>
    </rPh>
    <rPh sb="14" eb="15">
      <t>ベツ</t>
    </rPh>
    <rPh sb="15" eb="17">
      <t>ヒョウゴ</t>
    </rPh>
    <rPh sb="17" eb="19">
      <t>ケンナイ</t>
    </rPh>
    <rPh sb="22" eb="24">
      <t>ソクホウ</t>
    </rPh>
    <phoneticPr fontId="22"/>
  </si>
  <si>
    <t>（単位：百万円）</t>
    <rPh sb="1" eb="3">
      <t>タンイ</t>
    </rPh>
    <rPh sb="4" eb="5">
      <t>ヒャク</t>
    </rPh>
    <rPh sb="5" eb="7">
      <t>マンエン</t>
    </rPh>
    <phoneticPr fontId="20"/>
  </si>
  <si>
    <t>県内総生産</t>
    <rPh sb="0" eb="2">
      <t>ケンナイ</t>
    </rPh>
    <rPh sb="2" eb="5">
      <t>ソウセイサン</t>
    </rPh>
    <phoneticPr fontId="19"/>
  </si>
  <si>
    <t>民間最終</t>
    <rPh sb="0" eb="2">
      <t>ミンカン</t>
    </rPh>
    <rPh sb="2" eb="4">
      <t>サイシュウ</t>
    </rPh>
    <phoneticPr fontId="22"/>
  </si>
  <si>
    <t>民間住宅</t>
    <rPh sb="0" eb="2">
      <t>ミンカン</t>
    </rPh>
    <rPh sb="2" eb="4">
      <t>ジュウタク</t>
    </rPh>
    <phoneticPr fontId="19"/>
  </si>
  <si>
    <t>民間企業</t>
    <rPh sb="0" eb="2">
      <t>ミンカン</t>
    </rPh>
    <rPh sb="2" eb="4">
      <t>キギョウ</t>
    </rPh>
    <phoneticPr fontId="19"/>
  </si>
  <si>
    <t>民間</t>
    <rPh sb="0" eb="2">
      <t>ミンカン</t>
    </rPh>
    <phoneticPr fontId="19"/>
  </si>
  <si>
    <t>政府最終</t>
    <rPh sb="0" eb="2">
      <t>セイフ</t>
    </rPh>
    <rPh sb="2" eb="4">
      <t>サイシュウ</t>
    </rPh>
    <phoneticPr fontId="22"/>
  </si>
  <si>
    <t>公的固定</t>
    <rPh sb="0" eb="2">
      <t>コウテキ</t>
    </rPh>
    <rPh sb="2" eb="4">
      <t>コテイ</t>
    </rPh>
    <phoneticPr fontId="20"/>
  </si>
  <si>
    <t>公的</t>
    <rPh sb="0" eb="2">
      <t>コウテキ</t>
    </rPh>
    <phoneticPr fontId="20"/>
  </si>
  <si>
    <t>純移出・</t>
    <rPh sb="0" eb="1">
      <t>ジュン</t>
    </rPh>
    <rPh sb="1" eb="3">
      <t>イシュツ</t>
    </rPh>
    <phoneticPr fontId="19"/>
  </si>
  <si>
    <t>県内総生産</t>
    <rPh sb="0" eb="2">
      <t>ケンナイ</t>
    </rPh>
    <rPh sb="2" eb="5">
      <t>ソウセイサン</t>
    </rPh>
    <phoneticPr fontId="31"/>
  </si>
  <si>
    <t>項目</t>
    <rPh sb="0" eb="2">
      <t>コウモク</t>
    </rPh>
    <phoneticPr fontId="22"/>
  </si>
  <si>
    <t>（支出側）</t>
    <rPh sb="1" eb="3">
      <t>シシュツ</t>
    </rPh>
    <rPh sb="3" eb="4">
      <t>ガワ</t>
    </rPh>
    <phoneticPr fontId="31"/>
  </si>
  <si>
    <t>消費支出</t>
    <rPh sb="0" eb="2">
      <t>ショウヒ</t>
    </rPh>
    <rPh sb="2" eb="4">
      <t>シシュツ</t>
    </rPh>
    <phoneticPr fontId="31"/>
  </si>
  <si>
    <t>投資</t>
    <rPh sb="0" eb="2">
      <t>トウシ</t>
    </rPh>
    <phoneticPr fontId="31"/>
  </si>
  <si>
    <t>設備投資</t>
    <rPh sb="0" eb="2">
      <t>セツビ</t>
    </rPh>
    <rPh sb="2" eb="4">
      <t>トウシ</t>
    </rPh>
    <phoneticPr fontId="31"/>
  </si>
  <si>
    <t>在庫品増加</t>
    <rPh sb="0" eb="3">
      <t>ザイコヒン</t>
    </rPh>
    <rPh sb="3" eb="5">
      <t>ゾウカ</t>
    </rPh>
    <phoneticPr fontId="31"/>
  </si>
  <si>
    <t>消費支出</t>
    <rPh sb="0" eb="2">
      <t>ショウヒ</t>
    </rPh>
    <rPh sb="2" eb="4">
      <t>シシュツ</t>
    </rPh>
    <phoneticPr fontId="20"/>
  </si>
  <si>
    <t>資本形成</t>
    <rPh sb="0" eb="2">
      <t>シホン</t>
    </rPh>
    <rPh sb="2" eb="4">
      <t>ケイセイ</t>
    </rPh>
    <phoneticPr fontId="20"/>
  </si>
  <si>
    <t>在庫品増加</t>
    <rPh sb="0" eb="3">
      <t>ザイコヒン</t>
    </rPh>
    <rPh sb="3" eb="5">
      <t>ゾウカ</t>
    </rPh>
    <phoneticPr fontId="20"/>
  </si>
  <si>
    <t>統計上の</t>
    <rPh sb="0" eb="3">
      <t>トウケイジョウ</t>
    </rPh>
    <phoneticPr fontId="19"/>
  </si>
  <si>
    <t>純移出</t>
    <rPh sb="0" eb="1">
      <t>ジュン</t>
    </rPh>
    <rPh sb="1" eb="3">
      <t>イシュツ</t>
    </rPh>
    <phoneticPr fontId="22"/>
  </si>
  <si>
    <t>移出</t>
    <rPh sb="0" eb="1">
      <t>イ</t>
    </rPh>
    <rPh sb="1" eb="2">
      <t>デ</t>
    </rPh>
    <phoneticPr fontId="20"/>
  </si>
  <si>
    <t>（控除）</t>
    <rPh sb="1" eb="3">
      <t>コウジョ</t>
    </rPh>
    <phoneticPr fontId="20"/>
  </si>
  <si>
    <t>統計上の</t>
    <rPh sb="0" eb="2">
      <t>トウケイ</t>
    </rPh>
    <rPh sb="2" eb="3">
      <t>ウエ</t>
    </rPh>
    <phoneticPr fontId="22"/>
  </si>
  <si>
    <t>前年同期比</t>
    <rPh sb="0" eb="1">
      <t>マエ</t>
    </rPh>
    <rPh sb="1" eb="2">
      <t>ネン</t>
    </rPh>
    <rPh sb="2" eb="4">
      <t>ドウキ</t>
    </rPh>
    <rPh sb="4" eb="5">
      <t>ヒ</t>
    </rPh>
    <phoneticPr fontId="31"/>
  </si>
  <si>
    <t>不突合</t>
    <rPh sb="0" eb="1">
      <t>フ</t>
    </rPh>
    <rPh sb="1" eb="3">
      <t>ツキア</t>
    </rPh>
    <phoneticPr fontId="31"/>
  </si>
  <si>
    <t>（移出－移入）</t>
    <rPh sb="1" eb="3">
      <t>イシュツ</t>
    </rPh>
    <rPh sb="4" eb="6">
      <t>イニュウ</t>
    </rPh>
    <phoneticPr fontId="22"/>
  </si>
  <si>
    <t>移入</t>
    <rPh sb="0" eb="1">
      <t>イニュウ</t>
    </rPh>
    <rPh sb="1" eb="2">
      <t>イリ</t>
    </rPh>
    <phoneticPr fontId="22"/>
  </si>
  <si>
    <t>不突合</t>
    <rPh sb="0" eb="1">
      <t>フ</t>
    </rPh>
    <rPh sb="1" eb="2">
      <t>トツ</t>
    </rPh>
    <rPh sb="2" eb="3">
      <t>ア</t>
    </rPh>
    <phoneticPr fontId="19"/>
  </si>
  <si>
    <t>（％）</t>
  </si>
  <si>
    <t>4-6月</t>
    <rPh sb="3" eb="4">
      <t>ツキ</t>
    </rPh>
    <phoneticPr fontId="22"/>
  </si>
  <si>
    <t>7-9月</t>
    <rPh sb="3" eb="4">
      <t>ツキ</t>
    </rPh>
    <phoneticPr fontId="22"/>
  </si>
  <si>
    <t>10-12月</t>
    <rPh sb="5" eb="6">
      <t>ツキ</t>
    </rPh>
    <phoneticPr fontId="22"/>
  </si>
  <si>
    <t>3年/1-3月</t>
    <rPh sb="1" eb="2">
      <t>ネン</t>
    </rPh>
    <rPh sb="6" eb="7">
      <t>ツキ</t>
    </rPh>
    <phoneticPr fontId="22"/>
  </si>
  <si>
    <t>4年/1-3月</t>
    <rPh sb="1" eb="2">
      <t>ネン</t>
    </rPh>
    <rPh sb="6" eb="7">
      <t>ツキ</t>
    </rPh>
    <phoneticPr fontId="22"/>
  </si>
  <si>
    <t>14年/1-3月</t>
    <rPh sb="2" eb="3">
      <t>ネン</t>
    </rPh>
    <rPh sb="7" eb="8">
      <t>ツキ</t>
    </rPh>
    <phoneticPr fontId="22"/>
  </si>
  <si>
    <t>15年/1-3月</t>
    <rPh sb="2" eb="3">
      <t>ネン</t>
    </rPh>
    <rPh sb="7" eb="8">
      <t>ツキ</t>
    </rPh>
    <phoneticPr fontId="22"/>
  </si>
  <si>
    <t>16年/1-3月</t>
    <rPh sb="2" eb="3">
      <t>ネン</t>
    </rPh>
    <rPh sb="7" eb="8">
      <t>ツキ</t>
    </rPh>
    <phoneticPr fontId="22"/>
  </si>
  <si>
    <t>17年/1-3月</t>
    <rPh sb="2" eb="3">
      <t>ネン</t>
    </rPh>
    <rPh sb="7" eb="8">
      <t>ツキ</t>
    </rPh>
    <phoneticPr fontId="22"/>
  </si>
  <si>
    <t>18年/1-3月</t>
    <rPh sb="2" eb="3">
      <t>ネン</t>
    </rPh>
    <rPh sb="7" eb="8">
      <t>ツキ</t>
    </rPh>
    <phoneticPr fontId="22"/>
  </si>
  <si>
    <t>19年/1-3月</t>
    <rPh sb="2" eb="3">
      <t>ネン</t>
    </rPh>
    <rPh sb="7" eb="8">
      <t>ツキ</t>
    </rPh>
    <phoneticPr fontId="22"/>
  </si>
  <si>
    <t>20年/1-3月</t>
    <rPh sb="2" eb="3">
      <t>ネン</t>
    </rPh>
    <rPh sb="7" eb="8">
      <t>ツキ</t>
    </rPh>
    <phoneticPr fontId="22"/>
  </si>
  <si>
    <t>21年/1-3月</t>
    <rPh sb="2" eb="3">
      <t>ネン</t>
    </rPh>
    <rPh sb="7" eb="8">
      <t>ツキ</t>
    </rPh>
    <phoneticPr fontId="22"/>
  </si>
  <si>
    <t>22年/1-3月</t>
    <rPh sb="2" eb="3">
      <t>ネン</t>
    </rPh>
    <rPh sb="7" eb="8">
      <t>ツキ</t>
    </rPh>
    <phoneticPr fontId="22"/>
  </si>
  <si>
    <t>23年/1-3月</t>
    <rPh sb="2" eb="3">
      <t>ネン</t>
    </rPh>
    <rPh sb="7" eb="8">
      <t>ツキ</t>
    </rPh>
    <phoneticPr fontId="22"/>
  </si>
  <si>
    <t>　※　純移出・統計上の不突合　＝　純移出（移出－移入）　＋　統計上の不突合</t>
    <rPh sb="3" eb="4">
      <t>ジュン</t>
    </rPh>
    <rPh sb="4" eb="6">
      <t>イシュツ</t>
    </rPh>
    <rPh sb="7" eb="10">
      <t>トウケイジョウ</t>
    </rPh>
    <rPh sb="11" eb="12">
      <t>フ</t>
    </rPh>
    <rPh sb="12" eb="13">
      <t>ツツ</t>
    </rPh>
    <rPh sb="13" eb="14">
      <t>ア</t>
    </rPh>
    <rPh sb="17" eb="18">
      <t>ジュン</t>
    </rPh>
    <rPh sb="18" eb="20">
      <t>イシュツ</t>
    </rPh>
    <rPh sb="21" eb="23">
      <t>イシュツ</t>
    </rPh>
    <rPh sb="24" eb="26">
      <t>イニュウ</t>
    </rPh>
    <rPh sb="30" eb="33">
      <t>トウケイジョウ</t>
    </rPh>
    <rPh sb="34" eb="35">
      <t>フ</t>
    </rPh>
    <rPh sb="35" eb="36">
      <t>トツ</t>
    </rPh>
    <rPh sb="36" eb="37">
      <t>ア</t>
    </rPh>
    <phoneticPr fontId="22"/>
  </si>
  <si>
    <t>H21</t>
    <phoneticPr fontId="13"/>
  </si>
  <si>
    <t>H22</t>
    <phoneticPr fontId="13"/>
  </si>
  <si>
    <t>H22/H21</t>
    <phoneticPr fontId="13"/>
  </si>
  <si>
    <t>平成26年度</t>
    <rPh sb="0" eb="2">
      <t>ヘイセイ</t>
    </rPh>
    <rPh sb="4" eb="6">
      <t>ネンド</t>
    </rPh>
    <phoneticPr fontId="13"/>
  </si>
  <si>
    <t>1民間消費支出</t>
    <rPh sb="1" eb="3">
      <t>ミンカン</t>
    </rPh>
    <rPh sb="3" eb="5">
      <t>ショウヒ</t>
    </rPh>
    <rPh sb="5" eb="7">
      <t>シシュツ</t>
    </rPh>
    <phoneticPr fontId="13"/>
  </si>
  <si>
    <t>3民間総資本形成</t>
    <rPh sb="1" eb="3">
      <t>ミンカン</t>
    </rPh>
    <rPh sb="3" eb="4">
      <t>ソウ</t>
    </rPh>
    <rPh sb="4" eb="6">
      <t>シホン</t>
    </rPh>
    <rPh sb="6" eb="8">
      <t>ケイセイ</t>
    </rPh>
    <phoneticPr fontId="13"/>
  </si>
  <si>
    <t>4公的総資本形成</t>
    <rPh sb="1" eb="3">
      <t>コウテキ</t>
    </rPh>
    <rPh sb="3" eb="4">
      <t>ソウ</t>
    </rPh>
    <rPh sb="4" eb="6">
      <t>シホン</t>
    </rPh>
    <rPh sb="6" eb="8">
      <t>ケイセイ</t>
    </rPh>
    <phoneticPr fontId="13"/>
  </si>
  <si>
    <t>5純移出入・統計上の不突合</t>
    <rPh sb="1" eb="2">
      <t>ジュン</t>
    </rPh>
    <rPh sb="2" eb="4">
      <t>イシュツ</t>
    </rPh>
    <rPh sb="4" eb="5">
      <t>ニュウ</t>
    </rPh>
    <rPh sb="6" eb="8">
      <t>トウケイ</t>
    </rPh>
    <rPh sb="8" eb="9">
      <t>ウエ</t>
    </rPh>
    <rPh sb="10" eb="11">
      <t>フ</t>
    </rPh>
    <rPh sb="11" eb="12">
      <t>トツ</t>
    </rPh>
    <rPh sb="12" eb="13">
      <t>ゴウ</t>
    </rPh>
    <phoneticPr fontId="13"/>
  </si>
  <si>
    <t>(1)民間住宅</t>
    <rPh sb="3" eb="5">
      <t>ミンカン</t>
    </rPh>
    <rPh sb="5" eb="7">
      <t>ジュウタク</t>
    </rPh>
    <phoneticPr fontId="13"/>
  </si>
  <si>
    <t>(2)民間企業設備</t>
    <rPh sb="3" eb="5">
      <t>ミンカン</t>
    </rPh>
    <rPh sb="5" eb="7">
      <t>キギョウ</t>
    </rPh>
    <rPh sb="7" eb="9">
      <t>セツビ</t>
    </rPh>
    <phoneticPr fontId="13"/>
  </si>
  <si>
    <t>(3)民間在庫品増加</t>
    <rPh sb="3" eb="5">
      <t>ミンカン</t>
    </rPh>
    <rPh sb="5" eb="8">
      <t>ザイコヒン</t>
    </rPh>
    <rPh sb="8" eb="10">
      <t>ゾウカ</t>
    </rPh>
    <phoneticPr fontId="13"/>
  </si>
  <si>
    <t>(1+2+3+4)</t>
    <phoneticPr fontId="13"/>
  </si>
  <si>
    <t>(1)-(2)+(3)</t>
    <phoneticPr fontId="13"/>
  </si>
  <si>
    <t>(1)移輸出</t>
    <rPh sb="3" eb="4">
      <t>イ</t>
    </rPh>
    <rPh sb="4" eb="6">
      <t>ユシュツ</t>
    </rPh>
    <phoneticPr fontId="13"/>
  </si>
  <si>
    <t>(2)移輸入</t>
    <rPh sb="3" eb="4">
      <t>イ</t>
    </rPh>
    <rPh sb="4" eb="6">
      <t>ユニュウ</t>
    </rPh>
    <phoneticPr fontId="13"/>
  </si>
  <si>
    <t>対前年度比</t>
    <rPh sb="0" eb="1">
      <t>タイ</t>
    </rPh>
    <rPh sb="1" eb="2">
      <t>マエ</t>
    </rPh>
    <rPh sb="2" eb="4">
      <t>ネンド</t>
    </rPh>
    <rPh sb="4" eb="5">
      <t>ヒ</t>
    </rPh>
    <phoneticPr fontId="31"/>
  </si>
  <si>
    <t>対前年比</t>
    <rPh sb="0" eb="1">
      <t>タイ</t>
    </rPh>
    <rPh sb="1" eb="2">
      <t>マエ</t>
    </rPh>
    <rPh sb="2" eb="3">
      <t>ネン</t>
    </rPh>
    <rPh sb="3" eb="4">
      <t>ヒ</t>
    </rPh>
    <phoneticPr fontId="31"/>
  </si>
  <si>
    <t>(3)統計上の不突合</t>
    <rPh sb="3" eb="5">
      <t>トウケイ</t>
    </rPh>
    <rPh sb="5" eb="6">
      <t>ウエ</t>
    </rPh>
    <rPh sb="7" eb="8">
      <t>フ</t>
    </rPh>
    <rPh sb="8" eb="9">
      <t>トツ</t>
    </rPh>
    <rPh sb="9" eb="10">
      <t>ゴウ</t>
    </rPh>
    <phoneticPr fontId="13"/>
  </si>
  <si>
    <t>(1+2+3+4+5)</t>
    <phoneticPr fontId="13"/>
  </si>
  <si>
    <t>(1)+(2)+(3)</t>
    <phoneticPr fontId="13"/>
  </si>
  <si>
    <t>世帯当たり消費支出（神戸市）</t>
    <rPh sb="0" eb="2">
      <t>セタイ</t>
    </rPh>
    <rPh sb="2" eb="3">
      <t>ア</t>
    </rPh>
    <rPh sb="5" eb="7">
      <t>ショウヒ</t>
    </rPh>
    <rPh sb="7" eb="9">
      <t>シシュツ</t>
    </rPh>
    <rPh sb="10" eb="13">
      <t>コウベシ</t>
    </rPh>
    <phoneticPr fontId="13"/>
  </si>
  <si>
    <t>平均</t>
    <rPh sb="0" eb="2">
      <t>ヘイキン</t>
    </rPh>
    <phoneticPr fontId="13"/>
  </si>
  <si>
    <t>世帯当たり消費支出（近畿）</t>
    <rPh sb="0" eb="2">
      <t>セタイ</t>
    </rPh>
    <rPh sb="2" eb="3">
      <t>ア</t>
    </rPh>
    <rPh sb="5" eb="7">
      <t>ショウヒ</t>
    </rPh>
    <rPh sb="7" eb="9">
      <t>シシュツ</t>
    </rPh>
    <rPh sb="10" eb="12">
      <t>キンキ</t>
    </rPh>
    <phoneticPr fontId="13"/>
  </si>
  <si>
    <t>H24/H23</t>
    <phoneticPr fontId="13"/>
  </si>
  <si>
    <t>大 都 市</t>
  </si>
  <si>
    <t>中 都 市</t>
  </si>
  <si>
    <t>小都市Ａ</t>
  </si>
  <si>
    <t>小都市Ｂ</t>
  </si>
  <si>
    <t>・町　村</t>
    <rPh sb="1" eb="2">
      <t>マチ</t>
    </rPh>
    <rPh sb="3" eb="4">
      <t>ムラ</t>
    </rPh>
    <phoneticPr fontId="0"/>
  </si>
  <si>
    <t>世帯当たり消費支出（平成21年）</t>
    <rPh sb="0" eb="2">
      <t>セタイ</t>
    </rPh>
    <rPh sb="2" eb="3">
      <t>ア</t>
    </rPh>
    <rPh sb="5" eb="7">
      <t>ショウヒ</t>
    </rPh>
    <rPh sb="7" eb="9">
      <t>シシュツ</t>
    </rPh>
    <rPh sb="10" eb="12">
      <t>ヘイセイ</t>
    </rPh>
    <rPh sb="14" eb="15">
      <t>ネン</t>
    </rPh>
    <phoneticPr fontId="13"/>
  </si>
  <si>
    <t>世帯当たり消費支出（平成22年）</t>
    <rPh sb="0" eb="2">
      <t>セタイ</t>
    </rPh>
    <rPh sb="2" eb="3">
      <t>ア</t>
    </rPh>
    <rPh sb="5" eb="7">
      <t>ショウヒ</t>
    </rPh>
    <rPh sb="7" eb="9">
      <t>シシュツ</t>
    </rPh>
    <rPh sb="10" eb="12">
      <t>ヘイセイ</t>
    </rPh>
    <rPh sb="14" eb="15">
      <t>ネン</t>
    </rPh>
    <phoneticPr fontId="13"/>
  </si>
  <si>
    <t>二人以上世帯</t>
    <rPh sb="0" eb="2">
      <t>フタリ</t>
    </rPh>
    <rPh sb="2" eb="4">
      <t>イジョウ</t>
    </rPh>
    <rPh sb="4" eb="6">
      <t>セタイ</t>
    </rPh>
    <phoneticPr fontId="13"/>
  </si>
  <si>
    <t>平成23年度</t>
    <rPh sb="0" eb="2">
      <t>ヘイセイ</t>
    </rPh>
    <rPh sb="4" eb="6">
      <t>ネンド</t>
    </rPh>
    <phoneticPr fontId="13"/>
  </si>
  <si>
    <t>平成23年度市町内総生産（支出側：名目）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</si>
  <si>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世帯数
2011年</t>
    <phoneticPr fontId="4"/>
  </si>
  <si>
    <t>23年度</t>
    <rPh sb="2" eb="4">
      <t>ネンド</t>
    </rPh>
    <phoneticPr fontId="13"/>
  </si>
  <si>
    <t>H23年度計</t>
    <rPh sb="3" eb="5">
      <t>ネンド</t>
    </rPh>
    <rPh sb="5" eb="6">
      <t>ケイ</t>
    </rPh>
    <phoneticPr fontId="13"/>
  </si>
  <si>
    <t>平成23年度</t>
    <rPh sb="0" eb="2">
      <t>ヘイセイ</t>
    </rPh>
    <rPh sb="4" eb="6">
      <t>ネンド</t>
    </rPh>
    <phoneticPr fontId="12"/>
  </si>
  <si>
    <t>平成23年</t>
    <rPh sb="0" eb="2">
      <t>ヘイセイ</t>
    </rPh>
    <rPh sb="4" eb="5">
      <t>ネン</t>
    </rPh>
    <phoneticPr fontId="13"/>
  </si>
  <si>
    <t>H23年度</t>
    <rPh sb="3" eb="5">
      <t>ネンド</t>
    </rPh>
    <phoneticPr fontId="13"/>
  </si>
  <si>
    <t>平成23年度</t>
    <rPh sb="0" eb="2">
      <t>ヘイセイ</t>
    </rPh>
    <rPh sb="4" eb="6">
      <t>ネンド</t>
    </rPh>
    <phoneticPr fontId="2"/>
  </si>
  <si>
    <t>二人以上の世帯</t>
    <rPh sb="0" eb="2">
      <t>フタリ</t>
    </rPh>
    <rPh sb="2" eb="4">
      <t>イジョウ</t>
    </rPh>
    <rPh sb="5" eb="7">
      <t>セタイ</t>
    </rPh>
    <phoneticPr fontId="13"/>
  </si>
  <si>
    <t xml:space="preserve"> </t>
  </si>
  <si>
    <t>世帯数
2012年</t>
    <phoneticPr fontId="4"/>
  </si>
  <si>
    <t>24年度</t>
    <rPh sb="2" eb="4">
      <t>ネンド</t>
    </rPh>
    <phoneticPr fontId="13"/>
  </si>
  <si>
    <t>H24年度計</t>
    <rPh sb="3" eb="5">
      <t>ネンド</t>
    </rPh>
    <rPh sb="5" eb="6">
      <t>ケイ</t>
    </rPh>
    <phoneticPr fontId="13"/>
  </si>
  <si>
    <t>平成24年</t>
    <rPh sb="0" eb="2">
      <t>ヘイセイ</t>
    </rPh>
    <rPh sb="4" eb="5">
      <t>ネン</t>
    </rPh>
    <phoneticPr fontId="13"/>
  </si>
  <si>
    <t>H24</t>
    <phoneticPr fontId="13"/>
  </si>
  <si>
    <t>H24年度</t>
    <rPh sb="3" eb="5">
      <t>ネンド</t>
    </rPh>
    <phoneticPr fontId="13"/>
  </si>
  <si>
    <t>23年度</t>
    <phoneticPr fontId="4"/>
  </si>
  <si>
    <t>H23</t>
    <phoneticPr fontId="13"/>
  </si>
  <si>
    <t>但馬・丹波地域</t>
    <rPh sb="0" eb="2">
      <t>タジマ</t>
    </rPh>
    <rPh sb="3" eb="5">
      <t>タンバ</t>
    </rPh>
    <rPh sb="5" eb="7">
      <t>チイキ</t>
    </rPh>
    <phoneticPr fontId="13"/>
  </si>
  <si>
    <t xml:space="preserve"> </t>
    <phoneticPr fontId="4"/>
  </si>
  <si>
    <t xml:space="preserve"> </t>
    <phoneticPr fontId="12"/>
  </si>
  <si>
    <t>平成24年度</t>
    <rPh sb="0" eb="2">
      <t>ヘイセイ</t>
    </rPh>
    <rPh sb="4" eb="6">
      <t>ネンド</t>
    </rPh>
    <phoneticPr fontId="13"/>
  </si>
  <si>
    <t>平成25年度</t>
    <rPh sb="0" eb="2">
      <t>ヘイセイ</t>
    </rPh>
    <rPh sb="4" eb="6">
      <t>ネンド</t>
    </rPh>
    <phoneticPr fontId="13"/>
  </si>
  <si>
    <t>H23/H22</t>
    <phoneticPr fontId="13"/>
  </si>
  <si>
    <t>26年/1-3月</t>
    <rPh sb="2" eb="3">
      <t>ネン</t>
    </rPh>
    <rPh sb="7" eb="8">
      <t>ツキ</t>
    </rPh>
    <phoneticPr fontId="22"/>
  </si>
  <si>
    <t>平成21年（調整）</t>
    <rPh sb="0" eb="2">
      <t>ヘイセイ</t>
    </rPh>
    <rPh sb="4" eb="5">
      <t>ネン</t>
    </rPh>
    <rPh sb="6" eb="8">
      <t>チョウセイ</t>
    </rPh>
    <phoneticPr fontId="13"/>
  </si>
  <si>
    <t>GRPデフレーター</t>
    <phoneticPr fontId="13"/>
  </si>
  <si>
    <t>平成27年度市町内総生産（支出側：名目）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</si>
  <si>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平成27年</t>
    <rPh sb="0" eb="2">
      <t>ヘイセイ</t>
    </rPh>
    <rPh sb="4" eb="5">
      <t>ネン</t>
    </rPh>
    <phoneticPr fontId="13"/>
  </si>
  <si>
    <t>名目域内総生産</t>
    <rPh sb="0" eb="2">
      <t>メイモク</t>
    </rPh>
    <rPh sb="2" eb="4">
      <t>イキナイ</t>
    </rPh>
    <rPh sb="4" eb="7">
      <t>ソウセイサン</t>
    </rPh>
    <phoneticPr fontId="13"/>
  </si>
  <si>
    <t>2011.3推計</t>
    <rPh sb="6" eb="8">
      <t>スイケイ</t>
    </rPh>
    <phoneticPr fontId="13"/>
  </si>
  <si>
    <t>2011.6推計</t>
    <rPh sb="6" eb="8">
      <t>スイケイ</t>
    </rPh>
    <phoneticPr fontId="13"/>
  </si>
  <si>
    <t>（単位：10億円）</t>
    <rPh sb="1" eb="3">
      <t>タンイ</t>
    </rPh>
    <rPh sb="6" eb="8">
      <t>オクエン</t>
    </rPh>
    <phoneticPr fontId="13"/>
  </si>
  <si>
    <t>H23/H22</t>
    <phoneticPr fontId="13"/>
  </si>
  <si>
    <t>26年度</t>
    <phoneticPr fontId="4"/>
  </si>
  <si>
    <t>26年度</t>
    <rPh sb="2" eb="4">
      <t>ネンド</t>
    </rPh>
    <phoneticPr fontId="13"/>
  </si>
  <si>
    <t>H27</t>
    <phoneticPr fontId="13"/>
  </si>
  <si>
    <t>ﾃﾞﾌﾚｰﾀｰ補正</t>
    <rPh sb="7" eb="9">
      <t>ホセイ</t>
    </rPh>
    <phoneticPr fontId="13"/>
  </si>
  <si>
    <t>改定率</t>
    <rPh sb="0" eb="2">
      <t>カイテイ</t>
    </rPh>
    <rPh sb="2" eb="3">
      <t>リツ</t>
    </rPh>
    <phoneticPr fontId="13"/>
  </si>
  <si>
    <t xml:space="preserve"> </t>
    <phoneticPr fontId="13"/>
  </si>
  <si>
    <t>実質域内総生産</t>
    <rPh sb="0" eb="2">
      <t>ジッシツ</t>
    </rPh>
    <rPh sb="2" eb="4">
      <t>イキナイ</t>
    </rPh>
    <rPh sb="4" eb="7">
      <t>ソウセイサン</t>
    </rPh>
    <phoneticPr fontId="13"/>
  </si>
  <si>
    <t>公的固定資本形成</t>
    <rPh sb="0" eb="2">
      <t>コウテキ</t>
    </rPh>
    <rPh sb="2" eb="4">
      <t>コテイ</t>
    </rPh>
    <rPh sb="4" eb="6">
      <t>シホン</t>
    </rPh>
    <rPh sb="6" eb="8">
      <t>ケイセイ</t>
    </rPh>
    <phoneticPr fontId="13"/>
  </si>
  <si>
    <t>輸出</t>
    <rPh sb="0" eb="2">
      <t>ユシュツ</t>
    </rPh>
    <phoneticPr fontId="13"/>
  </si>
  <si>
    <t>移出</t>
    <rPh sb="0" eb="2">
      <t>イシュツ</t>
    </rPh>
    <phoneticPr fontId="13"/>
  </si>
  <si>
    <t>輸入</t>
    <rPh sb="0" eb="2">
      <t>ユニュウ</t>
    </rPh>
    <phoneticPr fontId="13"/>
  </si>
  <si>
    <t>移入</t>
    <rPh sb="0" eb="2">
      <t>イニュウ</t>
    </rPh>
    <phoneticPr fontId="13"/>
  </si>
  <si>
    <t>維持補修費</t>
    <rPh sb="0" eb="2">
      <t>イジ</t>
    </rPh>
    <rPh sb="2" eb="5">
      <t>ホシュウヒ</t>
    </rPh>
    <phoneticPr fontId="11"/>
  </si>
  <si>
    <t>23年度</t>
    <rPh sb="2" eb="4">
      <t>ネンド</t>
    </rPh>
    <phoneticPr fontId="11"/>
  </si>
  <si>
    <t>千円</t>
    <rPh sb="0" eb="2">
      <t>センエン</t>
    </rPh>
    <phoneticPr fontId="11"/>
  </si>
  <si>
    <t>23年度</t>
  </si>
  <si>
    <t>　A．食料・非アルコール飲料</t>
  </si>
  <si>
    <t>　B．アルコール飲料・たばこ</t>
  </si>
  <si>
    <t>H25.7.8</t>
    <phoneticPr fontId="13"/>
  </si>
  <si>
    <t>　C．被服・履物</t>
  </si>
  <si>
    <t>　E．家具・家庭用機器・家事サービス</t>
  </si>
  <si>
    <t>　F．保健・医療</t>
  </si>
  <si>
    <t>　G．交通</t>
  </si>
  <si>
    <t>4 財貨･ｻｰﾋﾞｽの移出入(純)・統計上の不突合</t>
  </si>
  <si>
    <t xml:space="preserve"> (1)財貨・ｻｰﾋﾞｽの移出(FISIM除く)</t>
    <rPh sb="4" eb="6">
      <t>ザイカ</t>
    </rPh>
    <rPh sb="13" eb="14">
      <t>イシュツ</t>
    </rPh>
    <rPh sb="14" eb="15">
      <t>ユシュツ</t>
    </rPh>
    <rPh sb="21" eb="22">
      <t>ノゾ</t>
    </rPh>
    <phoneticPr fontId="12"/>
  </si>
  <si>
    <t xml:space="preserve"> (2)(控除)財貨･ｻｰﾋﾞｽの移入(FISIM除く)</t>
    <rPh sb="5" eb="7">
      <t>コウジョ</t>
    </rPh>
    <rPh sb="8" eb="10">
      <t>ザイカ</t>
    </rPh>
    <rPh sb="17" eb="18">
      <t>イニュウ</t>
    </rPh>
    <rPh sb="18" eb="19">
      <t>ユニュウ</t>
    </rPh>
    <phoneticPr fontId="12"/>
  </si>
  <si>
    <t>平成27年度</t>
    <rPh sb="0" eb="2">
      <t>ヘイセイ</t>
    </rPh>
    <rPh sb="4" eb="6">
      <t>ネンド</t>
    </rPh>
    <phoneticPr fontId="13"/>
  </si>
  <si>
    <t xml:space="preserve"> (4)統計上の不突合</t>
    <rPh sb="4" eb="6">
      <t>トウケイ</t>
    </rPh>
    <rPh sb="6" eb="7">
      <t>ウエ</t>
    </rPh>
    <rPh sb="8" eb="9">
      <t>フ</t>
    </rPh>
    <rPh sb="9" eb="10">
      <t>トツ</t>
    </rPh>
    <rPh sb="10" eb="11">
      <t>ア</t>
    </rPh>
    <phoneticPr fontId="12"/>
  </si>
  <si>
    <t>県外からの所得(純)</t>
  </si>
  <si>
    <t>県民総所得(市場価格表示)</t>
  </si>
  <si>
    <t>暦年</t>
    <rPh sb="0" eb="2">
      <t>レキネ</t>
    </rPh>
    <phoneticPr fontId="13"/>
  </si>
  <si>
    <t>H25/6/14</t>
    <phoneticPr fontId="13"/>
  </si>
  <si>
    <t>市町振興課</t>
    <rPh sb="0" eb="2">
      <t>シチョウ</t>
    </rPh>
    <rPh sb="2" eb="4">
      <t>シンコウ</t>
    </rPh>
    <rPh sb="4" eb="5">
      <t>カ</t>
    </rPh>
    <phoneticPr fontId="13"/>
  </si>
  <si>
    <t>県住宅政策課調べ</t>
    <rPh sb="0" eb="1">
      <t>ケン</t>
    </rPh>
    <rPh sb="1" eb="3">
      <t>ジュウタク</t>
    </rPh>
    <rPh sb="3" eb="5">
      <t>セイサク</t>
    </rPh>
    <rPh sb="5" eb="6">
      <t>カ</t>
    </rPh>
    <rPh sb="6" eb="7">
      <t>シラ</t>
    </rPh>
    <phoneticPr fontId="13"/>
  </si>
  <si>
    <t>世帯</t>
  </si>
  <si>
    <t>兵庫県</t>
  </si>
  <si>
    <t>区　分</t>
  </si>
  <si>
    <t>調査時点</t>
  </si>
  <si>
    <t>単　位</t>
  </si>
  <si>
    <t>28</t>
  </si>
  <si>
    <t>資　料</t>
  </si>
  <si>
    <t>神戸市</t>
  </si>
  <si>
    <t>東灘区</t>
  </si>
  <si>
    <t>灘区</t>
  </si>
  <si>
    <t>中央区</t>
  </si>
  <si>
    <t>兵庫区</t>
  </si>
  <si>
    <t>北区</t>
  </si>
  <si>
    <t>長田区</t>
  </si>
  <si>
    <t>須磨区</t>
  </si>
  <si>
    <t>垂水区</t>
  </si>
  <si>
    <t>西区</t>
  </si>
  <si>
    <t>阪神南地域</t>
  </si>
  <si>
    <t>尼崎市</t>
  </si>
  <si>
    <t>西宮市</t>
  </si>
  <si>
    <t>芦屋市</t>
  </si>
  <si>
    <t>阪神北地域</t>
  </si>
  <si>
    <t>伊丹市</t>
  </si>
  <si>
    <t>宝塚市</t>
  </si>
  <si>
    <t>川西市</t>
  </si>
  <si>
    <t>三田市</t>
  </si>
  <si>
    <t>猪名川町</t>
  </si>
  <si>
    <t>東播磨地域</t>
  </si>
  <si>
    <t>明石市</t>
  </si>
  <si>
    <t>加古川市</t>
  </si>
  <si>
    <t>高砂市</t>
  </si>
  <si>
    <t>稲美町</t>
  </si>
  <si>
    <t>播磨町</t>
  </si>
  <si>
    <t>北播磨地域</t>
  </si>
  <si>
    <t>西脇市</t>
  </si>
  <si>
    <t>小野市</t>
  </si>
  <si>
    <t>加西市</t>
  </si>
  <si>
    <t>中播磨地域</t>
  </si>
  <si>
    <t>市川町</t>
  </si>
  <si>
    <t>福崎町</t>
  </si>
  <si>
    <t>西播磨地域</t>
  </si>
  <si>
    <t>相生市</t>
  </si>
  <si>
    <t>赤穂市</t>
  </si>
  <si>
    <t>太子町</t>
  </si>
  <si>
    <t>上郡町</t>
  </si>
  <si>
    <t>但馬地域</t>
  </si>
  <si>
    <t>丹波地域</t>
  </si>
  <si>
    <t>淡路地域</t>
  </si>
  <si>
    <t>世帯数</t>
  </si>
  <si>
    <t>世帯数
1985年</t>
  </si>
  <si>
    <t>世帯数
1990年</t>
  </si>
  <si>
    <t>世帯数
1995年</t>
  </si>
  <si>
    <t>世帯数
2000年</t>
  </si>
  <si>
    <t>養父市</t>
    <rPh sb="0" eb="2">
      <t>ヤブ</t>
    </rPh>
    <rPh sb="2" eb="3">
      <t>シ</t>
    </rPh>
    <phoneticPr fontId="4"/>
  </si>
  <si>
    <t>宍粟市</t>
    <rPh sb="0" eb="2">
      <t>シソウ</t>
    </rPh>
    <rPh sb="2" eb="3">
      <t>シ</t>
    </rPh>
    <phoneticPr fontId="12"/>
  </si>
  <si>
    <t>香美町</t>
    <rPh sb="0" eb="2">
      <t>カミ</t>
    </rPh>
    <rPh sb="2" eb="3">
      <t>チョウ</t>
    </rPh>
    <phoneticPr fontId="12"/>
  </si>
  <si>
    <t>豊岡市</t>
    <rPh sb="0" eb="3">
      <t>トヨオカシ</t>
    </rPh>
    <phoneticPr fontId="12"/>
  </si>
  <si>
    <t>朝来市</t>
    <rPh sb="0" eb="2">
      <t>アサゴ</t>
    </rPh>
    <rPh sb="2" eb="3">
      <t>シ</t>
    </rPh>
    <phoneticPr fontId="12"/>
  </si>
  <si>
    <t>丹波市</t>
    <rPh sb="0" eb="2">
      <t>タンバ</t>
    </rPh>
    <rPh sb="2" eb="3">
      <t>シ</t>
    </rPh>
    <phoneticPr fontId="12"/>
  </si>
  <si>
    <t>南あわじ市</t>
    <rPh sb="0" eb="1">
      <t>ミナミ</t>
    </rPh>
    <rPh sb="4" eb="5">
      <t>シ</t>
    </rPh>
    <phoneticPr fontId="12"/>
  </si>
  <si>
    <t>淡路市</t>
    <rPh sb="0" eb="2">
      <t>アワジ</t>
    </rPh>
    <rPh sb="2" eb="3">
      <t>シ</t>
    </rPh>
    <phoneticPr fontId="12"/>
  </si>
  <si>
    <t>多可町</t>
    <rPh sb="0" eb="1">
      <t>タ</t>
    </rPh>
    <rPh sb="1" eb="2">
      <t>カ</t>
    </rPh>
    <rPh sb="2" eb="3">
      <t>チョウ</t>
    </rPh>
    <phoneticPr fontId="13"/>
  </si>
  <si>
    <t>神河町</t>
    <rPh sb="0" eb="1">
      <t>カミ</t>
    </rPh>
    <rPh sb="1" eb="2">
      <t>カワ</t>
    </rPh>
    <rPh sb="2" eb="3">
      <t>チョウ</t>
    </rPh>
    <phoneticPr fontId="13"/>
  </si>
  <si>
    <t>たつの市</t>
    <rPh sb="3" eb="4">
      <t>シ</t>
    </rPh>
    <phoneticPr fontId="13"/>
  </si>
  <si>
    <t>総務省統計局「国勢調査報告」</t>
    <phoneticPr fontId="4"/>
  </si>
  <si>
    <t>世帯数
2005年</t>
    <phoneticPr fontId="4"/>
  </si>
  <si>
    <t>西脇市</t>
    <rPh sb="0" eb="3">
      <t>ニシワキシ</t>
    </rPh>
    <phoneticPr fontId="4"/>
  </si>
  <si>
    <t>三木市</t>
    <rPh sb="0" eb="3">
      <t>ミキシ</t>
    </rPh>
    <phoneticPr fontId="4"/>
  </si>
  <si>
    <t>多可町</t>
    <rPh sb="0" eb="1">
      <t>タ</t>
    </rPh>
    <rPh sb="1" eb="2">
      <t>カ</t>
    </rPh>
    <rPh sb="2" eb="3">
      <t>チョウ</t>
    </rPh>
    <phoneticPr fontId="4"/>
  </si>
  <si>
    <t>神河町</t>
    <rPh sb="0" eb="1">
      <t>カミ</t>
    </rPh>
    <rPh sb="1" eb="2">
      <t>カワ</t>
    </rPh>
    <rPh sb="2" eb="3">
      <t>チョウ</t>
    </rPh>
    <phoneticPr fontId="4"/>
  </si>
  <si>
    <t>たつの市</t>
    <rPh sb="3" eb="4">
      <t>シ</t>
    </rPh>
    <phoneticPr fontId="4"/>
  </si>
  <si>
    <t>佐用町</t>
    <rPh sb="0" eb="3">
      <t>サヨウチョウ</t>
    </rPh>
    <phoneticPr fontId="4"/>
  </si>
  <si>
    <t>新温泉町</t>
    <rPh sb="0" eb="1">
      <t>シン</t>
    </rPh>
    <rPh sb="1" eb="4">
      <t>オンセンチョウ</t>
    </rPh>
    <phoneticPr fontId="4"/>
  </si>
  <si>
    <t>加東市</t>
    <rPh sb="0" eb="2">
      <t>カトウ</t>
    </rPh>
    <rPh sb="2" eb="3">
      <t>シ</t>
    </rPh>
    <phoneticPr fontId="13"/>
  </si>
  <si>
    <t>加東市</t>
    <rPh sb="0" eb="2">
      <t>カトウ</t>
    </rPh>
    <rPh sb="2" eb="3">
      <t>シ</t>
    </rPh>
    <phoneticPr fontId="4"/>
  </si>
  <si>
    <t>姫路市</t>
    <rPh sb="0" eb="3">
      <t>ヒメジシ</t>
    </rPh>
    <phoneticPr fontId="4"/>
  </si>
  <si>
    <t>洲本市</t>
    <rPh sb="0" eb="3">
      <t>スモトシ</t>
    </rPh>
    <phoneticPr fontId="4"/>
  </si>
  <si>
    <t>豊岡市</t>
    <rPh sb="0" eb="3">
      <t>トヨオカシ</t>
    </rPh>
    <phoneticPr fontId="13"/>
  </si>
  <si>
    <t>新温泉町</t>
    <rPh sb="0" eb="1">
      <t>シン</t>
    </rPh>
    <rPh sb="1" eb="3">
      <t>オンセン</t>
    </rPh>
    <rPh sb="3" eb="4">
      <t>チョウ</t>
    </rPh>
    <phoneticPr fontId="13"/>
  </si>
  <si>
    <t>世帯数
1965年</t>
  </si>
  <si>
    <t>世帯数
1970年</t>
  </si>
  <si>
    <t>世帯数
1975年</t>
  </si>
  <si>
    <t>世帯数
1980年</t>
  </si>
  <si>
    <t>…</t>
    <phoneticPr fontId="4"/>
  </si>
  <si>
    <t>　　 2　昭和48年に兵庫区の一部をもって北区が、昭和57年に垂水区の一部をもって西区が設置</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</si>
  <si>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世帯当たり消費支出（平成24年）</t>
    <rPh sb="0" eb="2">
      <t>セタイ</t>
    </rPh>
    <rPh sb="2" eb="3">
      <t>ア</t>
    </rPh>
    <rPh sb="5" eb="7">
      <t>ショウヒ</t>
    </rPh>
    <rPh sb="7" eb="9">
      <t>シシュツ</t>
    </rPh>
    <rPh sb="10" eb="12">
      <t>ヘイセイ</t>
    </rPh>
    <rPh sb="14" eb="15">
      <t>ネン</t>
    </rPh>
    <phoneticPr fontId="13"/>
  </si>
  <si>
    <t>世帯当たり消費支出（平成25年）</t>
    <rPh sb="0" eb="2">
      <t>セタイ</t>
    </rPh>
    <rPh sb="2" eb="3">
      <t>ア</t>
    </rPh>
    <rPh sb="5" eb="7">
      <t>ショウヒ</t>
    </rPh>
    <rPh sb="7" eb="9">
      <t>シシュツ</t>
    </rPh>
    <rPh sb="10" eb="12">
      <t>ヘイセイ</t>
    </rPh>
    <rPh sb="14" eb="15">
      <t>ネン</t>
    </rPh>
    <phoneticPr fontId="13"/>
  </si>
  <si>
    <t>(注)1　この数値は各回国勢調査の市区町別世帯数を市区町単位で再集計したものであり、調査時点</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</si>
  <si>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xml:space="preserve">     　以降の境界変更等に伴う世帯移動は反映されていない。</t>
    <rPh sb="11" eb="14">
      <t>ヘンコウトウ</t>
    </rPh>
    <rPh sb="15" eb="16">
      <t>トモナ</t>
    </rPh>
    <rPh sb="17" eb="19">
      <t>セタイ</t>
    </rPh>
    <rPh sb="19" eb="21">
      <t>イドウ</t>
    </rPh>
    <rPh sb="22" eb="24">
      <t>ハンエイ</t>
    </rPh>
    <phoneticPr fontId="13"/>
  </si>
  <si>
    <t xml:space="preserve">     　されたため、表中の*印の数値は、分割前の区域における世帯数を示している。</t>
    <rPh sb="32" eb="35">
      <t>セタイスウ</t>
    </rPh>
    <phoneticPr fontId="13"/>
  </si>
  <si>
    <t>世帯数
1996年</t>
    <phoneticPr fontId="4"/>
  </si>
  <si>
    <t>世帯数
1997年</t>
    <phoneticPr fontId="4"/>
  </si>
  <si>
    <t>世帯数
1998年</t>
    <phoneticPr fontId="4"/>
  </si>
  <si>
    <t>世帯数
1999年</t>
    <phoneticPr fontId="4"/>
  </si>
  <si>
    <t>世帯数
2001年</t>
    <phoneticPr fontId="4"/>
  </si>
  <si>
    <t>世帯数
2002年</t>
    <phoneticPr fontId="4"/>
  </si>
  <si>
    <t>世帯数
2003年</t>
    <phoneticPr fontId="4"/>
  </si>
  <si>
    <t>世帯数
2006年</t>
    <phoneticPr fontId="4"/>
  </si>
  <si>
    <t>世帯数
2007年</t>
    <phoneticPr fontId="4"/>
  </si>
  <si>
    <t>世帯数
2008年</t>
    <phoneticPr fontId="4"/>
  </si>
  <si>
    <t>県推計人口</t>
    <rPh sb="0" eb="1">
      <t>ケン</t>
    </rPh>
    <rPh sb="1" eb="3">
      <t>スイケイ</t>
    </rPh>
    <rPh sb="3" eb="5">
      <t>ジンコウ</t>
    </rPh>
    <phoneticPr fontId="4"/>
  </si>
  <si>
    <t>調整前</t>
    <rPh sb="0" eb="2">
      <t>チョウセイ</t>
    </rPh>
    <rPh sb="2" eb="3">
      <t>マエ</t>
    </rPh>
    <phoneticPr fontId="4"/>
  </si>
  <si>
    <t>世帯数
2004年</t>
    <phoneticPr fontId="4"/>
  </si>
  <si>
    <t>国勢調査</t>
    <rPh sb="0" eb="2">
      <t>コクセイ</t>
    </rPh>
    <rPh sb="2" eb="4">
      <t>チョウサ</t>
    </rPh>
    <phoneticPr fontId="4"/>
  </si>
  <si>
    <t>平成11年</t>
    <rPh sb="0" eb="2">
      <t>ヘイセイ</t>
    </rPh>
    <rPh sb="4" eb="5">
      <t>ネン</t>
    </rPh>
    <phoneticPr fontId="13"/>
  </si>
  <si>
    <t>平成16年</t>
    <rPh sb="0" eb="2">
      <t>ヘイセイ</t>
    </rPh>
    <rPh sb="4" eb="5">
      <t>ネン</t>
    </rPh>
    <phoneticPr fontId="13"/>
  </si>
  <si>
    <t>世帯当たり消費支出</t>
    <rPh sb="0" eb="2">
      <t>セタイ</t>
    </rPh>
    <rPh sb="2" eb="3">
      <t>ア</t>
    </rPh>
    <rPh sb="5" eb="7">
      <t>ショウヒ</t>
    </rPh>
    <rPh sb="7" eb="9">
      <t>シシュツ</t>
    </rPh>
    <phoneticPr fontId="13"/>
  </si>
  <si>
    <t>第１経済圏</t>
  </si>
  <si>
    <t>第２経済圏</t>
  </si>
  <si>
    <t>第３経済圏</t>
  </si>
  <si>
    <t>第４経済圏</t>
  </si>
  <si>
    <t>第５経済圏</t>
  </si>
  <si>
    <t>集計世帯数</t>
    <rPh sb="0" eb="2">
      <t>シュウケイ</t>
    </rPh>
    <rPh sb="2" eb="4">
      <t>セタイ</t>
    </rPh>
    <rPh sb="4" eb="5">
      <t>スウ</t>
    </rPh>
    <phoneticPr fontId="13"/>
  </si>
  <si>
    <t>世帯数
2005年</t>
    <phoneticPr fontId="4"/>
  </si>
  <si>
    <t>世帯数
1991年</t>
    <phoneticPr fontId="4"/>
  </si>
  <si>
    <t>世帯数
1992年</t>
    <phoneticPr fontId="4"/>
  </si>
  <si>
    <t>世帯数
1993年</t>
    <phoneticPr fontId="4"/>
  </si>
  <si>
    <t>世帯数
1994年</t>
    <phoneticPr fontId="4"/>
  </si>
  <si>
    <t>５ 県内総生産（支出側／名目）［その１］</t>
    <rPh sb="5" eb="7">
      <t>セイサン</t>
    </rPh>
    <rPh sb="8" eb="10">
      <t>シシュツ</t>
    </rPh>
    <rPh sb="10" eb="11">
      <t>ガワ</t>
    </rPh>
    <phoneticPr fontId="17"/>
  </si>
  <si>
    <t>（単位：百万円）</t>
  </si>
  <si>
    <t>項　　　　　　目</t>
    <phoneticPr fontId="17"/>
  </si>
  <si>
    <t>１３年度</t>
    <phoneticPr fontId="17"/>
  </si>
  <si>
    <t>検算用</t>
    <rPh sb="0" eb="2">
      <t>ケンザン</t>
    </rPh>
    <rPh sb="2" eb="3">
      <t>ヨウ</t>
    </rPh>
    <phoneticPr fontId="13"/>
  </si>
  <si>
    <t>１４年度</t>
  </si>
  <si>
    <t>１５年度</t>
    <phoneticPr fontId="17"/>
  </si>
  <si>
    <t>１６年度</t>
    <phoneticPr fontId="17"/>
  </si>
  <si>
    <t>１７年度</t>
    <phoneticPr fontId="17"/>
  </si>
  <si>
    <t>１８年度</t>
    <phoneticPr fontId="17"/>
  </si>
  <si>
    <t>１９年度</t>
    <rPh sb="2" eb="4">
      <t>ネンド</t>
    </rPh>
    <phoneticPr fontId="17"/>
  </si>
  <si>
    <t>1 民間最終消費支出</t>
  </si>
  <si>
    <t xml:space="preserve"> (1)家計最終消費支出</t>
  </si>
  <si>
    <t xml:space="preserve"> (2)対家計民間非営利団体最終消費支出</t>
  </si>
  <si>
    <t>2 政府最終消費支出</t>
  </si>
  <si>
    <t xml:space="preserve"> (1)国出先機関</t>
  </si>
  <si>
    <t xml:space="preserve"> (2)  県</t>
  </si>
  <si>
    <t xml:space="preserve"> (3)市  町</t>
  </si>
  <si>
    <t xml:space="preserve"> (4)社会保障基金</t>
  </si>
  <si>
    <t>【再掲】（1+2）</t>
  </si>
  <si>
    <t>　・ 家計現実最終消費</t>
  </si>
  <si>
    <t>　・ 政府現実最終消費</t>
  </si>
  <si>
    <t xml:space="preserve"> (1)総固定資本形成</t>
  </si>
  <si>
    <t xml:space="preserve">  A 民  間</t>
  </si>
  <si>
    <t xml:space="preserve">   a 住    宅</t>
  </si>
  <si>
    <t xml:space="preserve">   b 企業設備</t>
  </si>
  <si>
    <t xml:space="preserve">  B 公  的</t>
  </si>
  <si>
    <t xml:space="preserve">   c 一般政府</t>
  </si>
  <si>
    <t xml:space="preserve"> (2)在庫品増加</t>
  </si>
  <si>
    <t xml:space="preserve">  A 民間企業</t>
  </si>
  <si>
    <t xml:space="preserve">  B 公的（公的企業・一般政府）</t>
  </si>
  <si>
    <t>5 県内総支出(市場価格表示)(1＋2＋3＋4）</t>
  </si>
  <si>
    <t>参</t>
  </si>
  <si>
    <t>考</t>
  </si>
  <si>
    <t>平成24年度</t>
    <rPh sb="0" eb="2">
      <t>ヘイセイ</t>
    </rPh>
    <rPh sb="4" eb="6">
      <t>ネンド</t>
    </rPh>
    <phoneticPr fontId="12"/>
  </si>
  <si>
    <t>経済圏</t>
    <rPh sb="0" eb="2">
      <t>ケイザイ</t>
    </rPh>
    <rPh sb="2" eb="3">
      <t>ケン</t>
    </rPh>
    <phoneticPr fontId="4"/>
  </si>
  <si>
    <t xml:space="preserve">年度    </t>
    <rPh sb="0" eb="2">
      <t>ネンド</t>
    </rPh>
    <phoneticPr fontId="12"/>
  </si>
  <si>
    <t>市町名</t>
  </si>
  <si>
    <t>※</t>
  </si>
  <si>
    <t>県計</t>
  </si>
  <si>
    <t>阪神南地域</t>
    <rPh sb="0" eb="2">
      <t>ハンシン</t>
    </rPh>
    <rPh sb="2" eb="3">
      <t>ミナミ</t>
    </rPh>
    <rPh sb="3" eb="5">
      <t>チイキ</t>
    </rPh>
    <phoneticPr fontId="12"/>
  </si>
  <si>
    <t>阪神北地域</t>
    <rPh sb="0" eb="2">
      <t>ハンシン</t>
    </rPh>
    <rPh sb="2" eb="3">
      <t>キタ</t>
    </rPh>
    <rPh sb="3" eb="5">
      <t>チイキ</t>
    </rPh>
    <phoneticPr fontId="12"/>
  </si>
  <si>
    <t>北播磨地域</t>
    <rPh sb="0" eb="1">
      <t>キタ</t>
    </rPh>
    <rPh sb="1" eb="3">
      <t>ハリマ</t>
    </rPh>
    <rPh sb="3" eb="5">
      <t>チイキ</t>
    </rPh>
    <phoneticPr fontId="12"/>
  </si>
  <si>
    <t>中播磨地域</t>
    <rPh sb="0" eb="1">
      <t>ナカ</t>
    </rPh>
    <phoneticPr fontId="12"/>
  </si>
  <si>
    <t>西播磨地域</t>
    <rPh sb="0" eb="1">
      <t>ニシ</t>
    </rPh>
    <rPh sb="1" eb="3">
      <t>ハリマ</t>
    </rPh>
    <rPh sb="3" eb="5">
      <t>チイキ</t>
    </rPh>
    <phoneticPr fontId="12"/>
  </si>
  <si>
    <t>阪神南地域</t>
    <rPh sb="2" eb="3">
      <t>ミナミ</t>
    </rPh>
    <phoneticPr fontId="12"/>
  </si>
  <si>
    <t>三木市</t>
  </si>
  <si>
    <t>加東市</t>
    <rPh sb="0" eb="2">
      <t>カトウ</t>
    </rPh>
    <rPh sb="2" eb="3">
      <t>シ</t>
    </rPh>
    <phoneticPr fontId="12"/>
  </si>
  <si>
    <t>多可町</t>
    <rPh sb="0" eb="2">
      <t>タカ</t>
    </rPh>
    <rPh sb="2" eb="3">
      <t>チョウ</t>
    </rPh>
    <phoneticPr fontId="12"/>
  </si>
  <si>
    <t>姫路市</t>
    <rPh sb="0" eb="3">
      <t>ヒメジシ</t>
    </rPh>
    <phoneticPr fontId="12"/>
  </si>
  <si>
    <t>神河町</t>
    <rPh sb="0" eb="1">
      <t>カミ</t>
    </rPh>
    <rPh sb="1" eb="2">
      <t>カワ</t>
    </rPh>
    <rPh sb="2" eb="3">
      <t>チョウ</t>
    </rPh>
    <phoneticPr fontId="12"/>
  </si>
  <si>
    <t>たつの市</t>
    <rPh sb="3" eb="4">
      <t>シ</t>
    </rPh>
    <phoneticPr fontId="12"/>
  </si>
  <si>
    <t>佐用町</t>
  </si>
  <si>
    <t>豊岡市</t>
  </si>
  <si>
    <t>養父市</t>
    <rPh sb="2" eb="3">
      <t>シ</t>
    </rPh>
    <phoneticPr fontId="12"/>
  </si>
  <si>
    <t>新温泉町</t>
    <rPh sb="0" eb="1">
      <t>シン</t>
    </rPh>
    <rPh sb="1" eb="3">
      <t>オンセン</t>
    </rPh>
    <rPh sb="3" eb="4">
      <t>チョウ</t>
    </rPh>
    <phoneticPr fontId="12"/>
  </si>
  <si>
    <t>洲本市</t>
  </si>
  <si>
    <t>（資料）兵庫県統計課「市町民経済計算」</t>
    <rPh sb="1" eb="3">
      <t>シリョウ</t>
    </rPh>
    <rPh sb="4" eb="7">
      <t>ヒョウゴケン</t>
    </rPh>
    <rPh sb="7" eb="9">
      <t>トウケイ</t>
    </rPh>
    <rPh sb="9" eb="10">
      <t>カ</t>
    </rPh>
    <rPh sb="11" eb="12">
      <t>シ</t>
    </rPh>
    <rPh sb="12" eb="14">
      <t>チョウミン</t>
    </rPh>
    <rPh sb="14" eb="16">
      <t>ケイザイ</t>
    </rPh>
    <rPh sb="16" eb="18">
      <t>ケイサン</t>
    </rPh>
    <phoneticPr fontId="12"/>
  </si>
  <si>
    <t>※</t>
    <phoneticPr fontId="12"/>
  </si>
  <si>
    <t>※</t>
    <phoneticPr fontId="12"/>
  </si>
  <si>
    <t>※</t>
    <phoneticPr fontId="12"/>
  </si>
  <si>
    <t>※</t>
    <phoneticPr fontId="12"/>
  </si>
  <si>
    <t>※</t>
    <phoneticPr fontId="12"/>
  </si>
  <si>
    <t>※</t>
    <phoneticPr fontId="12"/>
  </si>
  <si>
    <t xml:space="preserve"> </t>
    <phoneticPr fontId="13"/>
  </si>
  <si>
    <t>世帯数</t>
    <rPh sb="0" eb="3">
      <t>セタイスウ</t>
    </rPh>
    <phoneticPr fontId="13"/>
  </si>
  <si>
    <t>民間最終消費支出</t>
    <rPh sb="0" eb="2">
      <t>ミンカン</t>
    </rPh>
    <rPh sb="2" eb="4">
      <t>サイシュウ</t>
    </rPh>
    <rPh sb="4" eb="6">
      <t>ショウヒ</t>
    </rPh>
    <rPh sb="6" eb="8">
      <t>シシュツ</t>
    </rPh>
    <phoneticPr fontId="13"/>
  </si>
  <si>
    <t>世帯当たり消費支出（全世帯）</t>
    <rPh sb="0" eb="2">
      <t>セタイ</t>
    </rPh>
    <rPh sb="2" eb="3">
      <t>ア</t>
    </rPh>
    <rPh sb="5" eb="7">
      <t>ショウヒ</t>
    </rPh>
    <rPh sb="7" eb="9">
      <t>シシュツ</t>
    </rPh>
    <rPh sb="10" eb="13">
      <t>ゼンセタイ</t>
    </rPh>
    <phoneticPr fontId="13"/>
  </si>
  <si>
    <t>（単位：百万円）</t>
    <rPh sb="1" eb="3">
      <t>タンイ</t>
    </rPh>
    <rPh sb="4" eb="5">
      <t>ヒャク</t>
    </rPh>
    <rPh sb="5" eb="7">
      <t>マンエン</t>
    </rPh>
    <phoneticPr fontId="12"/>
  </si>
  <si>
    <t>平成2年度</t>
    <rPh sb="0" eb="2">
      <t>ヘイセイ</t>
    </rPh>
    <rPh sb="3" eb="5">
      <t>ネンド</t>
    </rPh>
    <phoneticPr fontId="12"/>
  </si>
  <si>
    <t>平成3年度</t>
    <rPh sb="0" eb="2">
      <t>ヘイセイ</t>
    </rPh>
    <rPh sb="3" eb="5">
      <t>ネンド</t>
    </rPh>
    <phoneticPr fontId="12"/>
  </si>
  <si>
    <t>平成4年度</t>
    <rPh sb="0" eb="2">
      <t>ヘイセイ</t>
    </rPh>
    <rPh sb="3" eb="5">
      <t>ネンド</t>
    </rPh>
    <phoneticPr fontId="12"/>
  </si>
  <si>
    <t>平成5年度</t>
    <rPh sb="0" eb="2">
      <t>ヘイセイ</t>
    </rPh>
    <rPh sb="3" eb="5">
      <t>ネンド</t>
    </rPh>
    <phoneticPr fontId="12"/>
  </si>
  <si>
    <t>平成6年度</t>
    <rPh sb="0" eb="2">
      <t>ヘイセイ</t>
    </rPh>
    <rPh sb="3" eb="5">
      <t>ネンド</t>
    </rPh>
    <phoneticPr fontId="12"/>
  </si>
  <si>
    <t>平成7年度</t>
    <rPh sb="0" eb="2">
      <t>ヘイセイ</t>
    </rPh>
    <rPh sb="3" eb="5">
      <t>ネンド</t>
    </rPh>
    <phoneticPr fontId="12"/>
  </si>
  <si>
    <t>平成8年度</t>
    <rPh sb="0" eb="2">
      <t>ヘイセイ</t>
    </rPh>
    <rPh sb="3" eb="5">
      <t>ネンド</t>
    </rPh>
    <phoneticPr fontId="12"/>
  </si>
  <si>
    <t>平成9年度</t>
    <rPh sb="0" eb="2">
      <t>ヘイセイ</t>
    </rPh>
    <rPh sb="3" eb="5">
      <t>ネンド</t>
    </rPh>
    <phoneticPr fontId="12"/>
  </si>
  <si>
    <t>世帯当たり消費支出（平成23年）</t>
    <rPh sb="0" eb="2">
      <t>セタイ</t>
    </rPh>
    <rPh sb="2" eb="3">
      <t>ア</t>
    </rPh>
    <rPh sb="5" eb="7">
      <t>ショウヒ</t>
    </rPh>
    <rPh sb="7" eb="9">
      <t>シシュツ</t>
    </rPh>
    <rPh sb="10" eb="12">
      <t>ヘイセイ</t>
    </rPh>
    <rPh sb="14" eb="15">
      <t>ネン</t>
    </rPh>
    <phoneticPr fontId="13"/>
  </si>
  <si>
    <t>平成10年度</t>
    <rPh sb="0" eb="2">
      <t>ヘイセイ</t>
    </rPh>
    <rPh sb="4" eb="6">
      <t>ネンド</t>
    </rPh>
    <phoneticPr fontId="12"/>
  </si>
  <si>
    <t>平成11年度</t>
    <rPh sb="0" eb="2">
      <t>ヘイセイ</t>
    </rPh>
    <rPh sb="4" eb="6">
      <t>ネンド</t>
    </rPh>
    <phoneticPr fontId="12"/>
  </si>
  <si>
    <t>平成12年度</t>
    <rPh sb="0" eb="2">
      <t>ヘイセイ</t>
    </rPh>
    <rPh sb="4" eb="6">
      <t>ネンド</t>
    </rPh>
    <phoneticPr fontId="12"/>
  </si>
  <si>
    <t>平成13年度</t>
    <rPh sb="0" eb="2">
      <t>ヘイセイ</t>
    </rPh>
    <rPh sb="4" eb="6">
      <t>ネンド</t>
    </rPh>
    <phoneticPr fontId="12"/>
  </si>
  <si>
    <t>平成14年度</t>
    <rPh sb="0" eb="2">
      <t>ヘイセイ</t>
    </rPh>
    <rPh sb="4" eb="6">
      <t>ネンド</t>
    </rPh>
    <phoneticPr fontId="12"/>
  </si>
  <si>
    <t>平成15年度</t>
    <rPh sb="0" eb="2">
      <t>ヘイセイ</t>
    </rPh>
    <rPh sb="4" eb="6">
      <t>ネンド</t>
    </rPh>
    <phoneticPr fontId="12"/>
  </si>
  <si>
    <t>平成16年度</t>
    <rPh sb="0" eb="2">
      <t>ヘイセイ</t>
    </rPh>
    <rPh sb="4" eb="6">
      <t>ネンド</t>
    </rPh>
    <phoneticPr fontId="12"/>
  </si>
  <si>
    <t>平成17年度</t>
    <rPh sb="0" eb="2">
      <t>ヘイセイ</t>
    </rPh>
    <rPh sb="4" eb="6">
      <t>ネンド</t>
    </rPh>
    <phoneticPr fontId="12"/>
  </si>
  <si>
    <t>平成18年度</t>
    <rPh sb="0" eb="2">
      <t>ヘイセイ</t>
    </rPh>
    <rPh sb="4" eb="6">
      <t>ネンド</t>
    </rPh>
    <phoneticPr fontId="12"/>
  </si>
  <si>
    <t>平成19年度</t>
    <rPh sb="0" eb="2">
      <t>ヘイセイ</t>
    </rPh>
    <rPh sb="4" eb="6">
      <t>ネンド</t>
    </rPh>
    <phoneticPr fontId="12"/>
  </si>
  <si>
    <t>平成元年</t>
    <rPh sb="0" eb="2">
      <t>ヘイセイ</t>
    </rPh>
    <rPh sb="2" eb="4">
      <t>ガンネン</t>
    </rPh>
    <phoneticPr fontId="13"/>
  </si>
  <si>
    <t>平成6年</t>
    <rPh sb="0" eb="2">
      <t>ヘイセイ</t>
    </rPh>
    <rPh sb="3" eb="4">
      <t>ネン</t>
    </rPh>
    <phoneticPr fontId="13"/>
  </si>
  <si>
    <t>阪神地域</t>
  </si>
  <si>
    <t>吉川町</t>
  </si>
  <si>
    <t>社町</t>
  </si>
  <si>
    <t>滝野町</t>
  </si>
  <si>
    <t>東条町</t>
  </si>
  <si>
    <t>中町</t>
  </si>
  <si>
    <t>加美町</t>
  </si>
  <si>
    <t>八千代町</t>
  </si>
  <si>
    <t>黒田庄町</t>
  </si>
  <si>
    <t>姫路市</t>
  </si>
  <si>
    <t>龍野市</t>
  </si>
  <si>
    <t>家島町</t>
  </si>
  <si>
    <t>夢前町</t>
  </si>
  <si>
    <t>神崎町</t>
  </si>
  <si>
    <t>香寺町</t>
  </si>
  <si>
    <t>大河内町</t>
  </si>
  <si>
    <t>新宮町</t>
  </si>
  <si>
    <t>揖保川町</t>
  </si>
  <si>
    <t>御津町</t>
  </si>
  <si>
    <t>上月町</t>
  </si>
  <si>
    <t>南光町</t>
  </si>
  <si>
    <t>三日月町</t>
  </si>
  <si>
    <t>山崎町</t>
  </si>
  <si>
    <t>安富町</t>
  </si>
  <si>
    <t>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</si>
  <si>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</si>
  <si>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</si>
  <si>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</si>
  <si>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</si>
  <si>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</si>
  <si>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</si>
  <si>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</si>
  <si>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</si>
  <si>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</si>
  <si>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</si>
  <si>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</si>
  <si>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</si>
  <si>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</si>
  <si>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</si>
  <si>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</si>
  <si>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維持補修費</t>
    <rPh sb="0" eb="2">
      <t>イジ</t>
    </rPh>
    <rPh sb="2" eb="5">
      <t>ホシュウヒ</t>
    </rPh>
    <phoneticPr fontId="9"/>
  </si>
  <si>
    <t>千円</t>
    <rPh sb="0" eb="2">
      <t>センエン</t>
    </rPh>
    <phoneticPr fontId="9"/>
  </si>
  <si>
    <t>24年度</t>
  </si>
  <si>
    <t>関宮町</t>
  </si>
  <si>
    <t>アジア太平洋研究所HP</t>
    <rPh sb="3" eb="6">
      <t>タイヘイヨウ</t>
    </rPh>
    <rPh sb="6" eb="9">
      <t>ケンキュウショ</t>
    </rPh>
    <phoneticPr fontId="13"/>
  </si>
  <si>
    <t>生野町</t>
  </si>
  <si>
    <t>和田山町</t>
  </si>
  <si>
    <t>山東町</t>
  </si>
  <si>
    <t>朝来町</t>
  </si>
  <si>
    <t>柏原町</t>
  </si>
  <si>
    <t>氷上町</t>
  </si>
  <si>
    <t>青垣町</t>
  </si>
  <si>
    <t>春日町</t>
  </si>
  <si>
    <t>山南町</t>
  </si>
  <si>
    <t>市島町</t>
  </si>
  <si>
    <t>家計消費状況</t>
    <rPh sb="0" eb="2">
      <t>カケイ</t>
    </rPh>
    <rPh sb="2" eb="4">
      <t>ショウヒ</t>
    </rPh>
    <rPh sb="4" eb="6">
      <t>ジョウキョウ</t>
    </rPh>
    <phoneticPr fontId="13"/>
  </si>
  <si>
    <t>篠山町</t>
  </si>
  <si>
    <t>西紀町</t>
  </si>
  <si>
    <t>丹南町</t>
  </si>
  <si>
    <t>今田町</t>
  </si>
  <si>
    <t>津名町</t>
  </si>
  <si>
    <t>淡路町</t>
  </si>
  <si>
    <t>北淡町</t>
  </si>
  <si>
    <t>五色町</t>
  </si>
  <si>
    <t>東浦町</t>
  </si>
  <si>
    <t>緑町</t>
  </si>
  <si>
    <t>西淡町</t>
  </si>
  <si>
    <t>三原町</t>
  </si>
  <si>
    <t>南淡町</t>
  </si>
  <si>
    <t>1991.10.1</t>
    <phoneticPr fontId="13"/>
  </si>
  <si>
    <t>1992.10.1</t>
    <phoneticPr fontId="13"/>
  </si>
  <si>
    <t>1993.10.1</t>
    <phoneticPr fontId="13"/>
  </si>
  <si>
    <t>1994.10.1</t>
    <phoneticPr fontId="13"/>
  </si>
  <si>
    <t>1996.10.1</t>
    <phoneticPr fontId="13"/>
  </si>
  <si>
    <t>1997.10.1</t>
    <phoneticPr fontId="13"/>
  </si>
  <si>
    <t>1998.10.1</t>
    <phoneticPr fontId="13"/>
  </si>
  <si>
    <t xml:space="preserve"> </t>
    <phoneticPr fontId="13"/>
  </si>
  <si>
    <t>1999.10.1</t>
    <phoneticPr fontId="13"/>
  </si>
  <si>
    <t>2001.10.1</t>
    <phoneticPr fontId="13"/>
  </si>
  <si>
    <t>2002.10.1</t>
    <phoneticPr fontId="13"/>
  </si>
  <si>
    <t>2003.10.1</t>
    <phoneticPr fontId="13"/>
  </si>
  <si>
    <t>推計人口</t>
    <rPh sb="0" eb="2">
      <t>スイケイ</t>
    </rPh>
    <rPh sb="2" eb="4">
      <t>ジンコウ</t>
    </rPh>
    <phoneticPr fontId="13"/>
  </si>
  <si>
    <t>推定人口</t>
    <rPh sb="0" eb="2">
      <t>スイテイ</t>
    </rPh>
    <rPh sb="2" eb="4">
      <t>ジンコウ</t>
    </rPh>
    <phoneticPr fontId="13"/>
  </si>
  <si>
    <t>平成19年度</t>
    <rPh sb="0" eb="2">
      <t>ヘイセイ</t>
    </rPh>
    <rPh sb="4" eb="6">
      <t>ネンド</t>
    </rPh>
    <phoneticPr fontId="13"/>
  </si>
  <si>
    <t>H23.9.30公表</t>
    <rPh sb="8" eb="10">
      <t>コウヒョウ</t>
    </rPh>
    <phoneticPr fontId="13"/>
  </si>
  <si>
    <t xml:space="preserve"> </t>
    <phoneticPr fontId="13"/>
  </si>
  <si>
    <t>平成18年度</t>
    <rPh sb="0" eb="2">
      <t>ヘイセイ</t>
    </rPh>
    <rPh sb="4" eb="6">
      <t>ネンド</t>
    </rPh>
    <phoneticPr fontId="13"/>
  </si>
  <si>
    <t>平成17年度</t>
    <rPh sb="0" eb="2">
      <t>ヘイセイ</t>
    </rPh>
    <rPh sb="4" eb="6">
      <t>ネンド</t>
    </rPh>
    <phoneticPr fontId="13"/>
  </si>
  <si>
    <t>土木費</t>
  </si>
  <si>
    <t>災害復旧費</t>
    <rPh sb="0" eb="2">
      <t>サイガイ</t>
    </rPh>
    <rPh sb="2" eb="5">
      <t>フッキュウヒ</t>
    </rPh>
    <phoneticPr fontId="19"/>
  </si>
  <si>
    <t>但馬地域　</t>
  </si>
  <si>
    <t>丹波地域　</t>
  </si>
  <si>
    <t>淡路地域　</t>
  </si>
  <si>
    <t>　姫路市　</t>
  </si>
  <si>
    <t>　尼崎市　</t>
  </si>
  <si>
    <t>　明石市　</t>
  </si>
  <si>
    <t>　西宮市　</t>
  </si>
  <si>
    <t>　洲本市　</t>
  </si>
  <si>
    <t>　芦屋市　</t>
  </si>
  <si>
    <t>　伊丹市　</t>
  </si>
  <si>
    <t>　相生市　</t>
  </si>
  <si>
    <t>　豊岡市　</t>
  </si>
  <si>
    <t>　加古川市</t>
  </si>
  <si>
    <t>　龍野市　</t>
  </si>
  <si>
    <t>　赤穂市　</t>
  </si>
  <si>
    <t>　西脇市　</t>
  </si>
  <si>
    <t>　宝塚市　</t>
  </si>
  <si>
    <t>　三木市　</t>
  </si>
  <si>
    <t>　高砂市　</t>
  </si>
  <si>
    <t>　川西市　</t>
  </si>
  <si>
    <t>　小野市　</t>
  </si>
  <si>
    <t>　三田市　</t>
  </si>
  <si>
    <t>　加西市　</t>
  </si>
  <si>
    <t>H25年度</t>
    <rPh sb="3" eb="5">
      <t>ネンド</t>
    </rPh>
    <phoneticPr fontId="13"/>
  </si>
  <si>
    <t>純移出</t>
    <rPh sb="0" eb="1">
      <t>ジュン</t>
    </rPh>
    <rPh sb="1" eb="3">
      <t>イシュツ</t>
    </rPh>
    <phoneticPr fontId="13"/>
  </si>
  <si>
    <t>世帯数
2014年</t>
    <phoneticPr fontId="4"/>
  </si>
  <si>
    <t>養父市</t>
    <rPh sb="0" eb="2">
      <t>ヤブ</t>
    </rPh>
    <rPh sb="2" eb="3">
      <t>シ</t>
    </rPh>
    <phoneticPr fontId="19"/>
  </si>
  <si>
    <t>丹波市</t>
    <rPh sb="0" eb="2">
      <t>タンバ</t>
    </rPh>
    <rPh sb="2" eb="3">
      <t>シ</t>
    </rPh>
    <phoneticPr fontId="19"/>
  </si>
  <si>
    <t>南あわじ市</t>
    <rPh sb="0" eb="1">
      <t>ミナミ</t>
    </rPh>
    <rPh sb="4" eb="5">
      <t>シ</t>
    </rPh>
    <phoneticPr fontId="19"/>
  </si>
  <si>
    <t>　猪名川町</t>
  </si>
  <si>
    <t>　吉川町　</t>
  </si>
  <si>
    <t>　社　町　</t>
  </si>
  <si>
    <t>　滝野町　</t>
  </si>
  <si>
    <t>　東条町　</t>
  </si>
  <si>
    <t>　中　町　</t>
  </si>
  <si>
    <t>　加美町　</t>
  </si>
  <si>
    <t>　八千代町</t>
  </si>
  <si>
    <t>　黒田庄町</t>
  </si>
  <si>
    <t>　稲美町　</t>
  </si>
  <si>
    <t>　播磨町　</t>
  </si>
  <si>
    <t>　家島町　</t>
  </si>
  <si>
    <t>　夢前町　</t>
  </si>
  <si>
    <t>　神崎町　</t>
  </si>
  <si>
    <t>　市川町　</t>
  </si>
  <si>
    <t>　福崎町　</t>
  </si>
  <si>
    <t>　香寺町　</t>
  </si>
  <si>
    <t>　大河内町</t>
  </si>
  <si>
    <t>　新宮町　</t>
  </si>
  <si>
    <t>　揖保川町</t>
  </si>
  <si>
    <t>　御津町　</t>
  </si>
  <si>
    <t>　太子町　</t>
  </si>
  <si>
    <t>　上郡町　</t>
  </si>
  <si>
    <t>　佐用町　</t>
  </si>
  <si>
    <t>　上月町　</t>
  </si>
  <si>
    <t>　南光町　</t>
  </si>
  <si>
    <t>　三日月町</t>
  </si>
  <si>
    <t>　山崎町　</t>
  </si>
  <si>
    <t>　安富町　</t>
  </si>
  <si>
    <t>(宍)一宮町　</t>
  </si>
  <si>
    <t>　波賀町　</t>
  </si>
  <si>
    <t>　千種町　</t>
  </si>
  <si>
    <t>　城崎町　</t>
  </si>
  <si>
    <t>　竹野町　</t>
  </si>
  <si>
    <t>　香住町　</t>
  </si>
  <si>
    <t>　日高町　</t>
  </si>
  <si>
    <t>　出石町　</t>
  </si>
  <si>
    <t>　但東町　</t>
  </si>
  <si>
    <t>　村岡町　</t>
  </si>
  <si>
    <t>　浜坂町　</t>
  </si>
  <si>
    <t>　美方町　</t>
  </si>
  <si>
    <t>　温泉町　</t>
  </si>
  <si>
    <t>　生野町　</t>
  </si>
  <si>
    <t>　和田山町</t>
  </si>
  <si>
    <t>　山東町　</t>
  </si>
  <si>
    <t>　朝来町　</t>
  </si>
  <si>
    <t>　津名町　</t>
  </si>
  <si>
    <t>　淡路町　</t>
  </si>
  <si>
    <t>　北淡町　</t>
  </si>
  <si>
    <t>(津)一宮町　</t>
  </si>
  <si>
    <t>　五色町　</t>
  </si>
  <si>
    <t>　東浦町　</t>
  </si>
  <si>
    <t>(単位：千円）　県市町振興課　調</t>
    <rPh sb="1" eb="3">
      <t>タンイ</t>
    </rPh>
    <rPh sb="4" eb="6">
      <t>センエン</t>
    </rPh>
    <rPh sb="8" eb="9">
      <t>ケン</t>
    </rPh>
    <rPh sb="9" eb="11">
      <t>シチョウ</t>
    </rPh>
    <rPh sb="11" eb="13">
      <t>シンコウ</t>
    </rPh>
    <rPh sb="13" eb="14">
      <t>カ</t>
    </rPh>
    <rPh sb="15" eb="16">
      <t>シラ</t>
    </rPh>
    <phoneticPr fontId="19"/>
  </si>
  <si>
    <t>H16年度</t>
    <rPh sb="3" eb="5">
      <t>ネンド</t>
    </rPh>
    <phoneticPr fontId="13"/>
  </si>
  <si>
    <t>　八鹿町　</t>
  </si>
  <si>
    <t>　養父町　</t>
  </si>
  <si>
    <t>　大屋町　</t>
  </si>
  <si>
    <t>　関宮町　</t>
  </si>
  <si>
    <t>　柏原町　</t>
  </si>
  <si>
    <t>　氷上町　</t>
  </si>
  <si>
    <t>　青垣町　</t>
  </si>
  <si>
    <t>　春日町　</t>
  </si>
  <si>
    <t>24年度</t>
    <phoneticPr fontId="4"/>
  </si>
  <si>
    <t>　山南町　</t>
  </si>
  <si>
    <t>　市島町　</t>
  </si>
  <si>
    <t>　緑　町　</t>
  </si>
  <si>
    <t>　西淡町　</t>
  </si>
  <si>
    <t>　三原町　</t>
  </si>
  <si>
    <t>　南淡町　</t>
  </si>
  <si>
    <t>H15年度</t>
    <rPh sb="3" eb="5">
      <t>ネンド</t>
    </rPh>
    <phoneticPr fontId="13"/>
  </si>
  <si>
    <t>H14年度</t>
    <rPh sb="3" eb="5">
      <t>ネンド</t>
    </rPh>
    <phoneticPr fontId="13"/>
  </si>
  <si>
    <t>H13年度</t>
    <rPh sb="3" eb="5">
      <t>ネンド</t>
    </rPh>
    <phoneticPr fontId="13"/>
  </si>
  <si>
    <t>神戸市　　</t>
  </si>
  <si>
    <t>　一宮町　</t>
  </si>
  <si>
    <t>(単位：千円)  県市町振興課 調</t>
    <rPh sb="9" eb="10">
      <t>ケン</t>
    </rPh>
    <rPh sb="10" eb="12">
      <t>シチョウ</t>
    </rPh>
    <rPh sb="12" eb="15">
      <t>シンコウカ</t>
    </rPh>
    <rPh sb="16" eb="17">
      <t>シラ</t>
    </rPh>
    <phoneticPr fontId="19"/>
  </si>
  <si>
    <t>H10年度</t>
    <rPh sb="3" eb="5">
      <t>ネンド</t>
    </rPh>
    <phoneticPr fontId="13"/>
  </si>
  <si>
    <t>H11年度</t>
    <rPh sb="3" eb="5">
      <t>ネンド</t>
    </rPh>
    <phoneticPr fontId="13"/>
  </si>
  <si>
    <t>H12年度</t>
    <rPh sb="3" eb="5">
      <t>ネンド</t>
    </rPh>
    <phoneticPr fontId="13"/>
  </si>
  <si>
    <t>H8年度</t>
    <rPh sb="2" eb="4">
      <t>ネンド</t>
    </rPh>
    <phoneticPr fontId="13"/>
  </si>
  <si>
    <t>H7年度</t>
    <rPh sb="2" eb="4">
      <t>ネンド</t>
    </rPh>
    <phoneticPr fontId="13"/>
  </si>
  <si>
    <t>養父市</t>
  </si>
  <si>
    <t>丹波市</t>
  </si>
  <si>
    <t>南あわじ市</t>
  </si>
  <si>
    <t>朝来市</t>
  </si>
  <si>
    <t>淡路市</t>
  </si>
  <si>
    <t>宍粟市</t>
  </si>
  <si>
    <t>加東市</t>
  </si>
  <si>
    <t>たつの市</t>
  </si>
  <si>
    <t>多可町</t>
  </si>
  <si>
    <t>神河町</t>
  </si>
  <si>
    <t>香美町</t>
  </si>
  <si>
    <t>新温泉町</t>
  </si>
  <si>
    <t>H17年度</t>
    <rPh sb="3" eb="5">
      <t>ネンド</t>
    </rPh>
    <phoneticPr fontId="13"/>
  </si>
  <si>
    <t>区    分</t>
    <rPh sb="0" eb="1">
      <t>ク</t>
    </rPh>
    <rPh sb="5" eb="6">
      <t>ブン</t>
    </rPh>
    <phoneticPr fontId="19"/>
  </si>
  <si>
    <t>資料：県市町振興課</t>
    <rPh sb="0" eb="2">
      <t>シリョウ</t>
    </rPh>
    <rPh sb="3" eb="4">
      <t>ケン</t>
    </rPh>
    <rPh sb="4" eb="6">
      <t>シチョウ</t>
    </rPh>
    <rPh sb="6" eb="8">
      <t>シンコウ</t>
    </rPh>
    <rPh sb="8" eb="9">
      <t>カ</t>
    </rPh>
    <phoneticPr fontId="19"/>
  </si>
  <si>
    <t>H19年度</t>
    <rPh sb="3" eb="5">
      <t>ネンド</t>
    </rPh>
    <phoneticPr fontId="13"/>
  </si>
  <si>
    <t>H18年度</t>
    <rPh sb="3" eb="5">
      <t>ネンド</t>
    </rPh>
    <phoneticPr fontId="13"/>
  </si>
  <si>
    <t>H19年度計</t>
    <rPh sb="3" eb="5">
      <t>ネンド</t>
    </rPh>
    <rPh sb="5" eb="6">
      <t>ケイ</t>
    </rPh>
    <phoneticPr fontId="13"/>
  </si>
  <si>
    <t>H18年度計</t>
    <rPh sb="3" eb="5">
      <t>ネンド</t>
    </rPh>
    <rPh sb="5" eb="6">
      <t>ケイ</t>
    </rPh>
    <phoneticPr fontId="13"/>
  </si>
  <si>
    <t>H17年度計</t>
    <rPh sb="3" eb="5">
      <t>ネンド</t>
    </rPh>
    <rPh sb="5" eb="6">
      <t>ケイ</t>
    </rPh>
    <phoneticPr fontId="13"/>
  </si>
  <si>
    <t>H16年度計</t>
    <rPh sb="3" eb="5">
      <t>ネンド</t>
    </rPh>
    <rPh sb="5" eb="6">
      <t>ケイ</t>
    </rPh>
    <phoneticPr fontId="13"/>
  </si>
  <si>
    <t>H15年度計</t>
    <rPh sb="3" eb="5">
      <t>ネンド</t>
    </rPh>
    <rPh sb="5" eb="6">
      <t>ケイ</t>
    </rPh>
    <phoneticPr fontId="13"/>
  </si>
  <si>
    <t>H14年度計</t>
    <rPh sb="3" eb="5">
      <t>ネンド</t>
    </rPh>
    <rPh sb="5" eb="6">
      <t>ケイ</t>
    </rPh>
    <phoneticPr fontId="13"/>
  </si>
  <si>
    <t>H13年度計</t>
    <rPh sb="3" eb="5">
      <t>ネンド</t>
    </rPh>
    <rPh sb="5" eb="6">
      <t>ケイ</t>
    </rPh>
    <phoneticPr fontId="13"/>
  </si>
  <si>
    <t>被災12市</t>
    <rPh sb="0" eb="2">
      <t>ヒサイ</t>
    </rPh>
    <rPh sb="4" eb="5">
      <t>シ</t>
    </rPh>
    <phoneticPr fontId="13"/>
  </si>
  <si>
    <t>世帯数
2013年</t>
    <phoneticPr fontId="4"/>
  </si>
  <si>
    <t>H12年度計</t>
    <rPh sb="3" eb="5">
      <t>ネンド</t>
    </rPh>
    <rPh sb="5" eb="6">
      <t>ケイ</t>
    </rPh>
    <phoneticPr fontId="13"/>
  </si>
  <si>
    <t>H11年度計</t>
    <rPh sb="3" eb="5">
      <t>ネンド</t>
    </rPh>
    <rPh sb="5" eb="6">
      <t>ケイ</t>
    </rPh>
    <phoneticPr fontId="13"/>
  </si>
  <si>
    <t>H10年度計</t>
    <rPh sb="3" eb="5">
      <t>ネンド</t>
    </rPh>
    <rPh sb="5" eb="6">
      <t>ケイ</t>
    </rPh>
    <phoneticPr fontId="13"/>
  </si>
  <si>
    <t>H8年度計</t>
    <rPh sb="2" eb="4">
      <t>ネンド</t>
    </rPh>
    <rPh sb="4" eb="5">
      <t>ケイ</t>
    </rPh>
    <phoneticPr fontId="13"/>
  </si>
  <si>
    <t>H7年度計</t>
    <rPh sb="2" eb="4">
      <t>ネンド</t>
    </rPh>
    <rPh sb="4" eb="5">
      <t>ケイ</t>
    </rPh>
    <phoneticPr fontId="13"/>
  </si>
  <si>
    <t>県計</t>
    <rPh sb="0" eb="1">
      <t>ケン</t>
    </rPh>
    <rPh sb="1" eb="2">
      <t>ケイ</t>
    </rPh>
    <phoneticPr fontId="13"/>
  </si>
  <si>
    <t>県計</t>
    <rPh sb="0" eb="1">
      <t>ケン</t>
    </rPh>
    <rPh sb="1" eb="2">
      <t>ケイ</t>
    </rPh>
    <phoneticPr fontId="19"/>
  </si>
  <si>
    <t>　　区　分</t>
    <phoneticPr fontId="19"/>
  </si>
  <si>
    <t>　  神戸市　　</t>
    <phoneticPr fontId="19"/>
  </si>
  <si>
    <t>H9年度</t>
    <rPh sb="2" eb="4">
      <t>ネンド</t>
    </rPh>
    <phoneticPr fontId="13"/>
  </si>
  <si>
    <t>H9年度計</t>
    <rPh sb="2" eb="4">
      <t>ネンド</t>
    </rPh>
    <rPh sb="4" eb="5">
      <t>ケイ</t>
    </rPh>
    <phoneticPr fontId="13"/>
  </si>
  <si>
    <t>市町歳出額</t>
    <rPh sb="0" eb="2">
      <t>シチョウ</t>
    </rPh>
    <rPh sb="2" eb="4">
      <t>サイシュツ</t>
    </rPh>
    <rPh sb="4" eb="5">
      <t>ガク</t>
    </rPh>
    <phoneticPr fontId="13"/>
  </si>
  <si>
    <t>平成7年度</t>
    <rPh sb="0" eb="2">
      <t>ヘイセイ</t>
    </rPh>
    <rPh sb="3" eb="5">
      <t>ネンド</t>
    </rPh>
    <phoneticPr fontId="13"/>
  </si>
  <si>
    <t>平成8年度</t>
    <rPh sb="0" eb="2">
      <t>ヘイセイ</t>
    </rPh>
    <rPh sb="3" eb="5">
      <t>ネンド</t>
    </rPh>
    <phoneticPr fontId="13"/>
  </si>
  <si>
    <t>平成9年度</t>
    <rPh sb="0" eb="2">
      <t>ヘイセイ</t>
    </rPh>
    <rPh sb="3" eb="5">
      <t>ネンド</t>
    </rPh>
    <phoneticPr fontId="13"/>
  </si>
  <si>
    <t>平成10年度</t>
    <rPh sb="0" eb="2">
      <t>ヘイセイ</t>
    </rPh>
    <rPh sb="4" eb="6">
      <t>ネンド</t>
    </rPh>
    <phoneticPr fontId="13"/>
  </si>
  <si>
    <t>平成11年度</t>
    <rPh sb="0" eb="2">
      <t>ヘイセイ</t>
    </rPh>
    <rPh sb="4" eb="6">
      <t>ネンド</t>
    </rPh>
    <phoneticPr fontId="13"/>
  </si>
  <si>
    <t>平成12年度</t>
    <rPh sb="0" eb="2">
      <t>ヘイセイ</t>
    </rPh>
    <rPh sb="4" eb="6">
      <t>ネンド</t>
    </rPh>
    <phoneticPr fontId="13"/>
  </si>
  <si>
    <t>平成13年度</t>
    <rPh sb="0" eb="2">
      <t>ヘイセイ</t>
    </rPh>
    <rPh sb="4" eb="6">
      <t>ネンド</t>
    </rPh>
    <phoneticPr fontId="13"/>
  </si>
  <si>
    <t>平成14年度</t>
    <rPh sb="0" eb="2">
      <t>ヘイセイ</t>
    </rPh>
    <rPh sb="4" eb="6">
      <t>ネンド</t>
    </rPh>
    <phoneticPr fontId="13"/>
  </si>
  <si>
    <t>平成15年度</t>
    <rPh sb="0" eb="2">
      <t>ヘイセイ</t>
    </rPh>
    <rPh sb="4" eb="6">
      <t>ネンド</t>
    </rPh>
    <phoneticPr fontId="13"/>
  </si>
  <si>
    <t>平成16年度</t>
    <rPh sb="0" eb="2">
      <t>ヘイセイ</t>
    </rPh>
    <rPh sb="4" eb="6">
      <t>ネンド</t>
    </rPh>
    <phoneticPr fontId="13"/>
  </si>
  <si>
    <t>（単位：千円）</t>
    <rPh sb="1" eb="3">
      <t>タンイ</t>
    </rPh>
    <rPh sb="4" eb="6">
      <t>センエン</t>
    </rPh>
    <phoneticPr fontId="13"/>
  </si>
  <si>
    <t>市町歳出額（土木費＋災害復旧費）</t>
    <rPh sb="0" eb="2">
      <t>シチョウ</t>
    </rPh>
    <rPh sb="2" eb="4">
      <t>サイシュツ</t>
    </rPh>
    <rPh sb="4" eb="5">
      <t>ガク</t>
    </rPh>
    <rPh sb="6" eb="9">
      <t>ドボクヒ</t>
    </rPh>
    <rPh sb="10" eb="12">
      <t>サイガイ</t>
    </rPh>
    <rPh sb="12" eb="14">
      <t>フッキュウ</t>
    </rPh>
    <rPh sb="14" eb="15">
      <t>ヒ</t>
    </rPh>
    <phoneticPr fontId="13"/>
  </si>
  <si>
    <t>平成２年度</t>
    <rPh sb="0" eb="2">
      <t>ヘイセイ</t>
    </rPh>
    <rPh sb="3" eb="5">
      <t>ネンド</t>
    </rPh>
    <phoneticPr fontId="13"/>
  </si>
  <si>
    <t>平成３年度</t>
    <rPh sb="0" eb="2">
      <t>ヘイセイ</t>
    </rPh>
    <rPh sb="3" eb="5">
      <t>ネンド</t>
    </rPh>
    <phoneticPr fontId="13"/>
  </si>
  <si>
    <t>平成４年度</t>
    <rPh sb="0" eb="2">
      <t>ヘイセイ</t>
    </rPh>
    <rPh sb="3" eb="5">
      <t>ネンド</t>
    </rPh>
    <phoneticPr fontId="13"/>
  </si>
  <si>
    <t>平成５年度</t>
    <rPh sb="0" eb="2">
      <t>ヘイセイ</t>
    </rPh>
    <rPh sb="3" eb="5">
      <t>ネンド</t>
    </rPh>
    <phoneticPr fontId="13"/>
  </si>
  <si>
    <t>平成６年度</t>
    <rPh sb="0" eb="2">
      <t>ヘイセイ</t>
    </rPh>
    <rPh sb="3" eb="5">
      <t>ネンド</t>
    </rPh>
    <phoneticPr fontId="13"/>
  </si>
  <si>
    <t>　</t>
    <phoneticPr fontId="13"/>
  </si>
  <si>
    <t>H2年度</t>
    <rPh sb="2" eb="4">
      <t>ネンド</t>
    </rPh>
    <phoneticPr fontId="13"/>
  </si>
  <si>
    <t>H2年度計</t>
    <rPh sb="2" eb="4">
      <t>ネンド</t>
    </rPh>
    <rPh sb="4" eb="5">
      <t>ケイ</t>
    </rPh>
    <phoneticPr fontId="13"/>
  </si>
  <si>
    <t>H3年度</t>
    <rPh sb="2" eb="4">
      <t>ネンド</t>
    </rPh>
    <phoneticPr fontId="13"/>
  </si>
  <si>
    <t>H3年度計</t>
    <rPh sb="2" eb="4">
      <t>ネンド</t>
    </rPh>
    <rPh sb="4" eb="5">
      <t>ケイ</t>
    </rPh>
    <phoneticPr fontId="13"/>
  </si>
  <si>
    <t>H4年度</t>
    <rPh sb="2" eb="4">
      <t>ネンド</t>
    </rPh>
    <phoneticPr fontId="13"/>
  </si>
  <si>
    <t>H4年度計</t>
    <rPh sb="2" eb="4">
      <t>ネンド</t>
    </rPh>
    <rPh sb="4" eb="5">
      <t>ケイ</t>
    </rPh>
    <phoneticPr fontId="13"/>
  </si>
  <si>
    <t>H5年度</t>
    <rPh sb="2" eb="4">
      <t>ネンド</t>
    </rPh>
    <phoneticPr fontId="13"/>
  </si>
  <si>
    <t>H5年度計</t>
    <rPh sb="2" eb="4">
      <t>ネンド</t>
    </rPh>
    <rPh sb="4" eb="5">
      <t>ケイ</t>
    </rPh>
    <phoneticPr fontId="13"/>
  </si>
  <si>
    <t>H6年度</t>
    <rPh sb="2" eb="4">
      <t>ネンド</t>
    </rPh>
    <phoneticPr fontId="13"/>
  </si>
  <si>
    <t>H6年度計</t>
    <rPh sb="2" eb="4">
      <t>ネンド</t>
    </rPh>
    <rPh sb="4" eb="5">
      <t>ケイ</t>
    </rPh>
    <phoneticPr fontId="13"/>
  </si>
  <si>
    <t>人件費</t>
  </si>
  <si>
    <t>物件費</t>
  </si>
  <si>
    <t>千円</t>
  </si>
  <si>
    <t>宍粟市</t>
    <rPh sb="0" eb="2">
      <t>シソウ</t>
    </rPh>
    <rPh sb="2" eb="3">
      <t>シ</t>
    </rPh>
    <phoneticPr fontId="13"/>
  </si>
  <si>
    <t>朝来市</t>
    <rPh sb="0" eb="2">
      <t>アサゴ</t>
    </rPh>
    <rPh sb="2" eb="3">
      <t>シ</t>
    </rPh>
    <phoneticPr fontId="13"/>
  </si>
  <si>
    <t>香美町</t>
    <rPh sb="0" eb="2">
      <t>カミ</t>
    </rPh>
    <rPh sb="2" eb="3">
      <t>チョウ</t>
    </rPh>
    <phoneticPr fontId="13"/>
  </si>
  <si>
    <t>所管部署</t>
  </si>
  <si>
    <t>県市町振興課財政係</t>
    <rPh sb="0" eb="1">
      <t>ケン</t>
    </rPh>
    <rPh sb="1" eb="3">
      <t>シチョウ</t>
    </rPh>
    <rPh sb="3" eb="5">
      <t>シンコウ</t>
    </rPh>
    <rPh sb="5" eb="6">
      <t>カ</t>
    </rPh>
    <rPh sb="6" eb="8">
      <t>ザイセイ</t>
    </rPh>
    <rPh sb="8" eb="9">
      <t>カカリ</t>
    </rPh>
    <phoneticPr fontId="4"/>
  </si>
  <si>
    <t>14年度</t>
  </si>
  <si>
    <t>（宍）一宮町</t>
    <rPh sb="1" eb="2">
      <t>シソウ</t>
    </rPh>
    <phoneticPr fontId="4"/>
  </si>
  <si>
    <t>（津）一宮町</t>
    <rPh sb="1" eb="2">
      <t>ツナ</t>
    </rPh>
    <phoneticPr fontId="4"/>
  </si>
  <si>
    <t>県市町振興課</t>
    <rPh sb="0" eb="1">
      <t>ケン</t>
    </rPh>
    <rPh sb="1" eb="3">
      <t>シチョウ</t>
    </rPh>
    <rPh sb="3" eb="5">
      <t>シンコウ</t>
    </rPh>
    <rPh sb="5" eb="6">
      <t>カ</t>
    </rPh>
    <phoneticPr fontId="4"/>
  </si>
  <si>
    <t>13年度</t>
    <phoneticPr fontId="4"/>
  </si>
  <si>
    <t>15年度</t>
    <phoneticPr fontId="4"/>
  </si>
  <si>
    <t>16年度</t>
    <phoneticPr fontId="4"/>
  </si>
  <si>
    <t>17年度</t>
    <phoneticPr fontId="4"/>
  </si>
  <si>
    <t>18年度</t>
    <phoneticPr fontId="4"/>
  </si>
  <si>
    <t>19年度</t>
    <phoneticPr fontId="4"/>
  </si>
  <si>
    <t>姫路市</t>
    <phoneticPr fontId="13"/>
  </si>
  <si>
    <t>佐用町</t>
    <phoneticPr fontId="13"/>
  </si>
  <si>
    <t>洲本市</t>
    <phoneticPr fontId="13"/>
  </si>
  <si>
    <t>12年度</t>
    <phoneticPr fontId="4"/>
  </si>
  <si>
    <t>西脇市</t>
    <phoneticPr fontId="13"/>
  </si>
  <si>
    <t>三木市</t>
    <phoneticPr fontId="13"/>
  </si>
  <si>
    <t>市町歳出額（人件費＋物件費）</t>
    <rPh sb="0" eb="2">
      <t>シチョウ</t>
    </rPh>
    <rPh sb="2" eb="5">
      <t>サイシュツガク</t>
    </rPh>
    <rPh sb="6" eb="9">
      <t>ジンケンヒ</t>
    </rPh>
    <rPh sb="10" eb="12">
      <t>ブッケン</t>
    </rPh>
    <rPh sb="12" eb="13">
      <t>ヒ</t>
    </rPh>
    <phoneticPr fontId="13"/>
  </si>
  <si>
    <t xml:space="preserve"> </t>
    <phoneticPr fontId="19"/>
  </si>
  <si>
    <t>人件費</t>
    <rPh sb="0" eb="2">
      <t>ジンケン</t>
    </rPh>
    <rPh sb="2" eb="3">
      <t>ヒ</t>
    </rPh>
    <phoneticPr fontId="13"/>
  </si>
  <si>
    <t>物件費</t>
    <rPh sb="0" eb="2">
      <t>ブッケン</t>
    </rPh>
    <rPh sb="2" eb="3">
      <t>ヒ</t>
    </rPh>
    <phoneticPr fontId="19"/>
  </si>
  <si>
    <t>市町歳出額(普通会計決算額）</t>
    <rPh sb="0" eb="2">
      <t>シチョウ</t>
    </rPh>
    <rPh sb="2" eb="4">
      <t>サイシュツ</t>
    </rPh>
    <rPh sb="4" eb="5">
      <t>ガク</t>
    </rPh>
    <rPh sb="6" eb="8">
      <t>フツウ</t>
    </rPh>
    <rPh sb="8" eb="10">
      <t>カイケイ</t>
    </rPh>
    <rPh sb="10" eb="13">
      <t>ケッサンガク</t>
    </rPh>
    <phoneticPr fontId="13"/>
  </si>
  <si>
    <t>民間消費支出</t>
    <rPh sb="0" eb="2">
      <t>ミンカン</t>
    </rPh>
    <rPh sb="2" eb="4">
      <t>ショウヒ</t>
    </rPh>
    <rPh sb="4" eb="6">
      <t>シシュツ</t>
    </rPh>
    <phoneticPr fontId="13"/>
  </si>
  <si>
    <t>政府消費支出</t>
    <rPh sb="0" eb="2">
      <t>セイフ</t>
    </rPh>
    <rPh sb="2" eb="4">
      <t>ショウヒ</t>
    </rPh>
    <rPh sb="4" eb="6">
      <t>シシュツ</t>
    </rPh>
    <phoneticPr fontId="13"/>
  </si>
  <si>
    <t>民間総資本形成</t>
    <rPh sb="0" eb="2">
      <t>ミンカン</t>
    </rPh>
    <rPh sb="2" eb="3">
      <t>ソウ</t>
    </rPh>
    <rPh sb="3" eb="5">
      <t>シホン</t>
    </rPh>
    <rPh sb="5" eb="7">
      <t>ケイセイ</t>
    </rPh>
    <phoneticPr fontId="13"/>
  </si>
  <si>
    <t>公的総資本形成</t>
    <rPh sb="0" eb="2">
      <t>コウテキ</t>
    </rPh>
    <rPh sb="2" eb="3">
      <t>ソウ</t>
    </rPh>
    <rPh sb="3" eb="5">
      <t>シホン</t>
    </rPh>
    <rPh sb="5" eb="7">
      <t>ケイセイ</t>
    </rPh>
    <phoneticPr fontId="13"/>
  </si>
  <si>
    <t>市町内需要計</t>
    <rPh sb="0" eb="3">
      <t>シチョウナイ</t>
    </rPh>
    <rPh sb="3" eb="5">
      <t>ジュヨウ</t>
    </rPh>
    <rPh sb="5" eb="6">
      <t>ケイ</t>
    </rPh>
    <phoneticPr fontId="13"/>
  </si>
  <si>
    <t>　</t>
    <phoneticPr fontId="12"/>
  </si>
  <si>
    <t>政府最終消費支出</t>
    <rPh sb="0" eb="2">
      <t>セイフ</t>
    </rPh>
    <rPh sb="2" eb="4">
      <t>サイシュウ</t>
    </rPh>
    <rPh sb="4" eb="6">
      <t>ショウヒ</t>
    </rPh>
    <rPh sb="6" eb="8">
      <t>シシュツ</t>
    </rPh>
    <phoneticPr fontId="13"/>
  </si>
  <si>
    <t>世帯数</t>
    <rPh sb="0" eb="2">
      <t>セタイ</t>
    </rPh>
    <rPh sb="2" eb="3">
      <t>スウ</t>
    </rPh>
    <phoneticPr fontId="13"/>
  </si>
  <si>
    <t>H25/H24</t>
    <phoneticPr fontId="13"/>
  </si>
  <si>
    <t>2000年=100</t>
    <rPh sb="4" eb="5">
      <t>ネン</t>
    </rPh>
    <phoneticPr fontId="13"/>
  </si>
  <si>
    <t>世帯当たり消費支出×世帯数</t>
    <rPh sb="0" eb="2">
      <t>セタイ</t>
    </rPh>
    <rPh sb="2" eb="3">
      <t>ア</t>
    </rPh>
    <rPh sb="5" eb="7">
      <t>ショウヒ</t>
    </rPh>
    <rPh sb="7" eb="9">
      <t>シシュツ</t>
    </rPh>
    <rPh sb="10" eb="13">
      <t>セタイスウ</t>
    </rPh>
    <phoneticPr fontId="13"/>
  </si>
  <si>
    <t xml:space="preserve"> </t>
    <phoneticPr fontId="13"/>
  </si>
  <si>
    <t>（単位：百万円）</t>
    <rPh sb="1" eb="3">
      <t>タンイ</t>
    </rPh>
    <rPh sb="4" eb="6">
      <t>ヒャクマン</t>
    </rPh>
    <rPh sb="6" eb="7">
      <t>エン</t>
    </rPh>
    <phoneticPr fontId="13"/>
  </si>
  <si>
    <t>（単位：百万円)</t>
    <rPh sb="1" eb="3">
      <t>タンイ</t>
    </rPh>
    <rPh sb="4" eb="5">
      <t>ヒャク</t>
    </rPh>
    <rPh sb="5" eb="7">
      <t>マンエン</t>
    </rPh>
    <phoneticPr fontId="13"/>
  </si>
  <si>
    <t>市町内需要額（民間・公的）（名目）</t>
    <rPh sb="0" eb="3">
      <t>シチョウナイ</t>
    </rPh>
    <rPh sb="3" eb="5">
      <t>ジュヨウ</t>
    </rPh>
    <rPh sb="5" eb="6">
      <t>ガク</t>
    </rPh>
    <rPh sb="7" eb="9">
      <t>ミンカン</t>
    </rPh>
    <rPh sb="10" eb="12">
      <t>コウテキ</t>
    </rPh>
    <rPh sb="14" eb="15">
      <t>メイ</t>
    </rPh>
    <rPh sb="15" eb="16">
      <t>メ</t>
    </rPh>
    <phoneticPr fontId="13"/>
  </si>
  <si>
    <t>平成元年度</t>
    <rPh sb="0" eb="2">
      <t>ヘイセイ</t>
    </rPh>
    <rPh sb="2" eb="5">
      <t>ガンネンド</t>
    </rPh>
    <phoneticPr fontId="13"/>
  </si>
  <si>
    <t>資料：総務省「全国消費実態調査」</t>
    <rPh sb="0" eb="2">
      <t>シリョウ</t>
    </rPh>
    <rPh sb="3" eb="6">
      <t>ソウムショウ</t>
    </rPh>
    <rPh sb="7" eb="9">
      <t>ゼンコク</t>
    </rPh>
    <rPh sb="9" eb="11">
      <t>ショウヒ</t>
    </rPh>
    <rPh sb="11" eb="13">
      <t>ジッタイ</t>
    </rPh>
    <rPh sb="13" eb="15">
      <t>チョウサ</t>
    </rPh>
    <phoneticPr fontId="13"/>
  </si>
  <si>
    <t>兵庫県</t>
    <rPh sb="0" eb="3">
      <t>ヒョウゴケン</t>
    </rPh>
    <phoneticPr fontId="13"/>
  </si>
  <si>
    <t>神戸市</t>
    <rPh sb="0" eb="3">
      <t>コウベシ</t>
    </rPh>
    <phoneticPr fontId="12"/>
  </si>
  <si>
    <t>Kobe-shi</t>
    <phoneticPr fontId="19"/>
  </si>
  <si>
    <t>昭和28年</t>
    <rPh sb="0" eb="2">
      <t>ショウワ</t>
    </rPh>
    <rPh sb="2" eb="5">
      <t>２８ネン</t>
    </rPh>
    <phoneticPr fontId="19"/>
  </si>
  <si>
    <t>29　</t>
    <phoneticPr fontId="12"/>
  </si>
  <si>
    <t>30　</t>
    <phoneticPr fontId="12"/>
  </si>
  <si>
    <t>31　</t>
    <phoneticPr fontId="12"/>
  </si>
  <si>
    <t>32　</t>
    <phoneticPr fontId="12"/>
  </si>
  <si>
    <t>33　</t>
    <phoneticPr fontId="12"/>
  </si>
  <si>
    <t>34　</t>
    <phoneticPr fontId="12"/>
  </si>
  <si>
    <t>35　</t>
    <phoneticPr fontId="12"/>
  </si>
  <si>
    <t>36　</t>
    <phoneticPr fontId="12"/>
  </si>
  <si>
    <t>37　</t>
    <phoneticPr fontId="12"/>
  </si>
  <si>
    <t>38　</t>
    <phoneticPr fontId="12"/>
  </si>
  <si>
    <t>39　</t>
    <phoneticPr fontId="12"/>
  </si>
  <si>
    <t>40　</t>
    <phoneticPr fontId="12"/>
  </si>
  <si>
    <t>41　</t>
    <phoneticPr fontId="12"/>
  </si>
  <si>
    <t>42　</t>
    <phoneticPr fontId="12"/>
  </si>
  <si>
    <t>43　</t>
    <phoneticPr fontId="12"/>
  </si>
  <si>
    <t>44　</t>
    <phoneticPr fontId="12"/>
  </si>
  <si>
    <t xml:space="preserve">　45  </t>
    <phoneticPr fontId="12"/>
  </si>
  <si>
    <t>46　</t>
    <phoneticPr fontId="12"/>
  </si>
  <si>
    <t>47　</t>
    <phoneticPr fontId="12"/>
  </si>
  <si>
    <t>48　</t>
    <phoneticPr fontId="12"/>
  </si>
  <si>
    <t>49　</t>
    <phoneticPr fontId="12"/>
  </si>
  <si>
    <t>50　</t>
    <phoneticPr fontId="12"/>
  </si>
  <si>
    <t>51　</t>
    <phoneticPr fontId="12"/>
  </si>
  <si>
    <t>52　</t>
    <phoneticPr fontId="12"/>
  </si>
  <si>
    <t>53　</t>
    <phoneticPr fontId="12"/>
  </si>
  <si>
    <t>54　</t>
    <phoneticPr fontId="12"/>
  </si>
  <si>
    <t>55　</t>
    <phoneticPr fontId="12"/>
  </si>
  <si>
    <t>56　</t>
    <phoneticPr fontId="12"/>
  </si>
  <si>
    <t>57　</t>
    <phoneticPr fontId="12"/>
  </si>
  <si>
    <t>58　</t>
    <phoneticPr fontId="12"/>
  </si>
  <si>
    <t>59　</t>
    <phoneticPr fontId="12"/>
  </si>
  <si>
    <t>60　</t>
    <phoneticPr fontId="12"/>
  </si>
  <si>
    <t>61　</t>
    <phoneticPr fontId="12"/>
  </si>
  <si>
    <t>62　</t>
    <phoneticPr fontId="12"/>
  </si>
  <si>
    <t>63　</t>
    <phoneticPr fontId="12"/>
  </si>
  <si>
    <t>平成元年</t>
    <rPh sb="3" eb="4">
      <t>ネン</t>
    </rPh>
    <phoneticPr fontId="12"/>
  </si>
  <si>
    <t>2　</t>
    <phoneticPr fontId="12"/>
  </si>
  <si>
    <t>3　</t>
    <phoneticPr fontId="12"/>
  </si>
  <si>
    <t xml:space="preserve">4  </t>
    <phoneticPr fontId="12"/>
  </si>
  <si>
    <t>5　</t>
    <phoneticPr fontId="12"/>
  </si>
  <si>
    <t>6　</t>
    <phoneticPr fontId="12"/>
  </si>
  <si>
    <t>7　</t>
    <phoneticPr fontId="12"/>
  </si>
  <si>
    <t>8　</t>
    <phoneticPr fontId="12"/>
  </si>
  <si>
    <t>9　</t>
    <phoneticPr fontId="12"/>
  </si>
  <si>
    <t>　10　</t>
    <phoneticPr fontId="12"/>
  </si>
  <si>
    <t>11　</t>
    <phoneticPr fontId="12"/>
  </si>
  <si>
    <t>12　</t>
    <phoneticPr fontId="12"/>
  </si>
  <si>
    <t>13　</t>
    <phoneticPr fontId="12"/>
  </si>
  <si>
    <t>14　</t>
    <phoneticPr fontId="12"/>
  </si>
  <si>
    <t>15　</t>
    <phoneticPr fontId="12"/>
  </si>
  <si>
    <t>16　</t>
    <phoneticPr fontId="12"/>
  </si>
  <si>
    <t>(単位  円)</t>
    <phoneticPr fontId="25"/>
  </si>
  <si>
    <t>県庁所在都市，年次</t>
    <rPh sb="0" eb="2">
      <t>ケンチョウ</t>
    </rPh>
    <rPh sb="2" eb="4">
      <t>ショザイ</t>
    </rPh>
    <rPh sb="4" eb="6">
      <t>トシ</t>
    </rPh>
    <rPh sb="7" eb="9">
      <t>ネンジ</t>
    </rPh>
    <phoneticPr fontId="19"/>
  </si>
  <si>
    <t>実収入</t>
  </si>
  <si>
    <t>実支出</t>
  </si>
  <si>
    <t># 勤め先収入</t>
  </si>
  <si>
    <t># 消費支出</t>
  </si>
  <si>
    <t># 食料</t>
  </si>
  <si>
    <t>　</t>
    <phoneticPr fontId="25"/>
  </si>
  <si>
    <t>消費支出</t>
    <rPh sb="0" eb="2">
      <t>ショウヒ</t>
    </rPh>
    <rPh sb="2" eb="4">
      <t>シシュツ</t>
    </rPh>
    <phoneticPr fontId="13"/>
  </si>
  <si>
    <t>神戸市</t>
    <rPh sb="0" eb="3">
      <t>コウベシ</t>
    </rPh>
    <phoneticPr fontId="13"/>
  </si>
  <si>
    <t>近畿</t>
    <rPh sb="0" eb="2">
      <t>キンキ</t>
    </rPh>
    <phoneticPr fontId="13"/>
  </si>
  <si>
    <t>平成20年度</t>
    <rPh sb="0" eb="2">
      <t>ヘイセイ</t>
    </rPh>
    <rPh sb="4" eb="6">
      <t>ネンド</t>
    </rPh>
    <phoneticPr fontId="13"/>
  </si>
  <si>
    <t>家計調査</t>
    <rPh sb="0" eb="2">
      <t>カケイ</t>
    </rPh>
    <rPh sb="2" eb="4">
      <t>チョウサ</t>
    </rPh>
    <phoneticPr fontId="13"/>
  </si>
  <si>
    <t>補正</t>
    <rPh sb="0" eb="2">
      <t>ホセイ</t>
    </rPh>
    <phoneticPr fontId="13"/>
  </si>
  <si>
    <t>総世帯</t>
    <rPh sb="0" eb="1">
      <t>ソウ</t>
    </rPh>
    <rPh sb="1" eb="3">
      <t>セタイ</t>
    </rPh>
    <phoneticPr fontId="13"/>
  </si>
  <si>
    <t>25年度</t>
    <phoneticPr fontId="13"/>
  </si>
  <si>
    <t>25年度</t>
    <phoneticPr fontId="4"/>
  </si>
  <si>
    <t>25年度</t>
    <rPh sb="2" eb="4">
      <t>ネンド</t>
    </rPh>
    <phoneticPr fontId="13"/>
  </si>
  <si>
    <t>H25</t>
    <phoneticPr fontId="13"/>
  </si>
  <si>
    <t>民間総資本形成（民間住宅投資）</t>
    <rPh sb="0" eb="2">
      <t>ミンカン</t>
    </rPh>
    <rPh sb="2" eb="3">
      <t>ソウ</t>
    </rPh>
    <rPh sb="3" eb="5">
      <t>シホン</t>
    </rPh>
    <rPh sb="5" eb="7">
      <t>ケイセイ</t>
    </rPh>
    <rPh sb="8" eb="10">
      <t>ミンカン</t>
    </rPh>
    <rPh sb="10" eb="12">
      <t>ジュウタク</t>
    </rPh>
    <rPh sb="12" eb="14">
      <t>トウシ</t>
    </rPh>
    <phoneticPr fontId="13"/>
  </si>
  <si>
    <t>民間総資本形成（民間企業設備投資／製造業）</t>
    <rPh sb="0" eb="2">
      <t>ミンカン</t>
    </rPh>
    <rPh sb="2" eb="3">
      <t>ソウ</t>
    </rPh>
    <rPh sb="3" eb="5">
      <t>シホン</t>
    </rPh>
    <rPh sb="5" eb="7">
      <t>ケイセイ</t>
    </rPh>
    <rPh sb="8" eb="10">
      <t>ミンカン</t>
    </rPh>
    <rPh sb="10" eb="12">
      <t>キギョウ</t>
    </rPh>
    <rPh sb="12" eb="14">
      <t>セツビ</t>
    </rPh>
    <rPh sb="14" eb="16">
      <t>トウシ</t>
    </rPh>
    <rPh sb="17" eb="20">
      <t>セイゾウギョウ</t>
    </rPh>
    <phoneticPr fontId="13"/>
  </si>
  <si>
    <t>民間総資本形成（民間企業設備投資／非製造業）</t>
    <rPh sb="0" eb="2">
      <t>ミンカン</t>
    </rPh>
    <rPh sb="2" eb="3">
      <t>ソウ</t>
    </rPh>
    <rPh sb="3" eb="5">
      <t>シホン</t>
    </rPh>
    <rPh sb="5" eb="7">
      <t>ケイセイ</t>
    </rPh>
    <rPh sb="8" eb="10">
      <t>ミンカン</t>
    </rPh>
    <rPh sb="10" eb="12">
      <t>キギョウ</t>
    </rPh>
    <rPh sb="12" eb="14">
      <t>セツビ</t>
    </rPh>
    <rPh sb="14" eb="16">
      <t>トウシ</t>
    </rPh>
    <rPh sb="17" eb="18">
      <t>ヒ</t>
    </rPh>
    <rPh sb="18" eb="21">
      <t>セイゾウギョウ</t>
    </rPh>
    <phoneticPr fontId="13"/>
  </si>
  <si>
    <t>2011/10/5</t>
    <phoneticPr fontId="13"/>
  </si>
  <si>
    <t>県計</t>
    <rPh sb="0" eb="1">
      <t>ケン</t>
    </rPh>
    <rPh sb="1" eb="2">
      <t>ケイ</t>
    </rPh>
    <phoneticPr fontId="12"/>
  </si>
  <si>
    <t>養父市</t>
    <rPh sb="0" eb="2">
      <t>ヤブ</t>
    </rPh>
    <rPh sb="2" eb="3">
      <t>シ</t>
    </rPh>
    <phoneticPr fontId="12"/>
  </si>
  <si>
    <t>新温泉町</t>
    <rPh sb="0" eb="1">
      <t>シン</t>
    </rPh>
    <phoneticPr fontId="12"/>
  </si>
  <si>
    <t>平成19年</t>
    <rPh sb="0" eb="2">
      <t>ヘイセイ</t>
    </rPh>
    <rPh sb="4" eb="5">
      <t>ネン</t>
    </rPh>
    <phoneticPr fontId="13"/>
  </si>
  <si>
    <t>平成18年</t>
    <rPh sb="0" eb="2">
      <t>ヘイセイ</t>
    </rPh>
    <rPh sb="4" eb="5">
      <t>ネン</t>
    </rPh>
    <phoneticPr fontId="13"/>
  </si>
  <si>
    <t>平成17年</t>
    <rPh sb="0" eb="2">
      <t>ヘイセイ</t>
    </rPh>
    <rPh sb="4" eb="5">
      <t>ネン</t>
    </rPh>
    <phoneticPr fontId="13"/>
  </si>
  <si>
    <t>社  町</t>
  </si>
  <si>
    <t>中  町</t>
  </si>
  <si>
    <t>平成26年</t>
    <rPh sb="0" eb="2">
      <t>ヘイセイ</t>
    </rPh>
    <rPh sb="4" eb="5">
      <t>ネン</t>
    </rPh>
    <phoneticPr fontId="13"/>
  </si>
  <si>
    <t>H26</t>
    <phoneticPr fontId="13"/>
  </si>
  <si>
    <t>H26年度</t>
    <rPh sb="3" eb="5">
      <t>ネンド</t>
    </rPh>
    <phoneticPr fontId="13"/>
  </si>
  <si>
    <t>H26年度計</t>
    <rPh sb="3" eb="5">
      <t>ネンド</t>
    </rPh>
    <rPh sb="5" eb="6">
      <t>ケイ</t>
    </rPh>
    <phoneticPr fontId="13"/>
  </si>
  <si>
    <t xml:space="preserve"> </t>
    <phoneticPr fontId="13"/>
  </si>
  <si>
    <t xml:space="preserve"> </t>
    <phoneticPr fontId="13"/>
  </si>
  <si>
    <t>(宍）一宮町</t>
  </si>
  <si>
    <t>(津)一宮町</t>
  </si>
  <si>
    <t>緑  町</t>
  </si>
  <si>
    <t>平成15年</t>
    <rPh sb="0" eb="2">
      <t>ヘイセイ</t>
    </rPh>
    <rPh sb="4" eb="5">
      <t>ネン</t>
    </rPh>
    <phoneticPr fontId="13"/>
  </si>
  <si>
    <t>2005年</t>
    <rPh sb="4" eb="5">
      <t>ネン</t>
    </rPh>
    <phoneticPr fontId="12"/>
  </si>
  <si>
    <t>2006年</t>
    <rPh sb="4" eb="5">
      <t>ネン</t>
    </rPh>
    <phoneticPr fontId="12"/>
  </si>
  <si>
    <t>2007年</t>
    <rPh sb="4" eb="5">
      <t>ネン</t>
    </rPh>
    <phoneticPr fontId="12"/>
  </si>
  <si>
    <t>たつの市</t>
    <phoneticPr fontId="12"/>
  </si>
  <si>
    <t>平成2年</t>
    <rPh sb="0" eb="2">
      <t>ヘイセイ</t>
    </rPh>
    <rPh sb="3" eb="4">
      <t>ネン</t>
    </rPh>
    <phoneticPr fontId="13"/>
  </si>
  <si>
    <t>平成3年</t>
    <rPh sb="0" eb="2">
      <t>ヘイセイ</t>
    </rPh>
    <rPh sb="3" eb="4">
      <t>ネン</t>
    </rPh>
    <phoneticPr fontId="13"/>
  </si>
  <si>
    <t>平成4年</t>
    <rPh sb="0" eb="2">
      <t>ヘイセイ</t>
    </rPh>
    <rPh sb="3" eb="4">
      <t>ネン</t>
    </rPh>
    <phoneticPr fontId="13"/>
  </si>
  <si>
    <t>平成5年</t>
    <rPh sb="0" eb="2">
      <t>ヘイセイ</t>
    </rPh>
    <rPh sb="3" eb="4">
      <t>ネン</t>
    </rPh>
    <phoneticPr fontId="13"/>
  </si>
  <si>
    <t>平成7年</t>
    <rPh sb="0" eb="2">
      <t>ヘイセイ</t>
    </rPh>
    <rPh sb="3" eb="4">
      <t>ネン</t>
    </rPh>
    <phoneticPr fontId="13"/>
  </si>
  <si>
    <t>平成8年</t>
    <rPh sb="0" eb="2">
      <t>ヘイセイ</t>
    </rPh>
    <rPh sb="3" eb="4">
      <t>ネン</t>
    </rPh>
    <phoneticPr fontId="13"/>
  </si>
  <si>
    <t>平成9年</t>
    <rPh sb="0" eb="2">
      <t>ヘイセイ</t>
    </rPh>
    <rPh sb="3" eb="4">
      <t>ネン</t>
    </rPh>
    <phoneticPr fontId="13"/>
  </si>
  <si>
    <t>平成10年</t>
    <rPh sb="0" eb="2">
      <t>ヘイセイ</t>
    </rPh>
    <rPh sb="4" eb="5">
      <t>ネン</t>
    </rPh>
    <phoneticPr fontId="13"/>
  </si>
  <si>
    <t>平成12年</t>
    <rPh sb="0" eb="2">
      <t>ヘイセイ</t>
    </rPh>
    <rPh sb="4" eb="5">
      <t>ネン</t>
    </rPh>
    <phoneticPr fontId="13"/>
  </si>
  <si>
    <t>平成13年</t>
    <rPh sb="0" eb="2">
      <t>ヘイセイ</t>
    </rPh>
    <rPh sb="4" eb="5">
      <t>ネン</t>
    </rPh>
    <phoneticPr fontId="13"/>
  </si>
  <si>
    <t>平成14年</t>
    <rPh sb="0" eb="2">
      <t>ヘイセイ</t>
    </rPh>
    <rPh sb="4" eb="5">
      <t>ネン</t>
    </rPh>
    <phoneticPr fontId="13"/>
  </si>
  <si>
    <t>篠山町</t>
    <rPh sb="0" eb="2">
      <t>ササヤマ</t>
    </rPh>
    <phoneticPr fontId="13"/>
  </si>
  <si>
    <t>西紀町</t>
    <rPh sb="0" eb="2">
      <t>ニシキ</t>
    </rPh>
    <phoneticPr fontId="13"/>
  </si>
  <si>
    <t>丹南町</t>
    <rPh sb="0" eb="2">
      <t>タンナン</t>
    </rPh>
    <phoneticPr fontId="13"/>
  </si>
  <si>
    <t>今田町</t>
    <rPh sb="0" eb="2">
      <t>コンダ</t>
    </rPh>
    <phoneticPr fontId="13"/>
  </si>
  <si>
    <t>県　計</t>
    <rPh sb="0" eb="1">
      <t>ケン</t>
    </rPh>
    <rPh sb="2" eb="3">
      <t>ケイ</t>
    </rPh>
    <phoneticPr fontId="13"/>
  </si>
  <si>
    <t>製造業有形固定資産投資総額（30人以上事業所）</t>
    <rPh sb="0" eb="3">
      <t>セイゾウギョウ</t>
    </rPh>
    <rPh sb="3" eb="5">
      <t>ユウケイ</t>
    </rPh>
    <rPh sb="5" eb="7">
      <t>コテイ</t>
    </rPh>
    <rPh sb="7" eb="9">
      <t>シサン</t>
    </rPh>
    <rPh sb="9" eb="11">
      <t>トウシ</t>
    </rPh>
    <rPh sb="11" eb="13">
      <t>ソウガク</t>
    </rPh>
    <rPh sb="16" eb="17">
      <t>ニン</t>
    </rPh>
    <rPh sb="17" eb="19">
      <t>イジョウ</t>
    </rPh>
    <rPh sb="19" eb="22">
      <t>ジギョウショ</t>
    </rPh>
    <phoneticPr fontId="13"/>
  </si>
  <si>
    <t>阪神地域</t>
    <rPh sb="0" eb="2">
      <t>ハンシン</t>
    </rPh>
    <rPh sb="2" eb="4">
      <t>チイキ</t>
    </rPh>
    <phoneticPr fontId="13"/>
  </si>
  <si>
    <t>東播磨地域</t>
    <rPh sb="0" eb="1">
      <t>ヒガシ</t>
    </rPh>
    <rPh sb="1" eb="3">
      <t>ハリマ</t>
    </rPh>
    <rPh sb="3" eb="5">
      <t>チイキ</t>
    </rPh>
    <phoneticPr fontId="13"/>
  </si>
  <si>
    <t>西播磨地域</t>
    <rPh sb="0" eb="1">
      <t>ニシ</t>
    </rPh>
    <rPh sb="1" eb="3">
      <t>ハリマ</t>
    </rPh>
    <rPh sb="3" eb="5">
      <t>チイキ</t>
    </rPh>
    <phoneticPr fontId="13"/>
  </si>
  <si>
    <t>但馬地域</t>
    <rPh sb="0" eb="2">
      <t>タジマ</t>
    </rPh>
    <rPh sb="2" eb="4">
      <t>チイキ</t>
    </rPh>
    <phoneticPr fontId="13"/>
  </si>
  <si>
    <t>丹波地域</t>
    <rPh sb="0" eb="2">
      <t>タンバ</t>
    </rPh>
    <rPh sb="2" eb="4">
      <t>チイキ</t>
    </rPh>
    <phoneticPr fontId="13"/>
  </si>
  <si>
    <t>淡路地域</t>
    <rPh sb="0" eb="2">
      <t>アワジ</t>
    </rPh>
    <rPh sb="2" eb="4">
      <t>チイキ</t>
    </rPh>
    <phoneticPr fontId="13"/>
  </si>
  <si>
    <t>残差</t>
    <rPh sb="0" eb="2">
      <t>ザンサ</t>
    </rPh>
    <phoneticPr fontId="13"/>
  </si>
  <si>
    <t xml:space="preserve"> </t>
    <phoneticPr fontId="12"/>
  </si>
  <si>
    <t>養父市</t>
    <rPh sb="0" eb="2">
      <t>ヤブ</t>
    </rPh>
    <phoneticPr fontId="13"/>
  </si>
  <si>
    <t>丹波市</t>
    <rPh sb="0" eb="2">
      <t>タンバ</t>
    </rPh>
    <phoneticPr fontId="13"/>
  </si>
  <si>
    <t xml:space="preserve"> </t>
    <phoneticPr fontId="13"/>
  </si>
  <si>
    <t>（単位：万円）</t>
    <rPh sb="1" eb="3">
      <t>タンイ</t>
    </rPh>
    <rPh sb="4" eb="6">
      <t>マンエン</t>
    </rPh>
    <phoneticPr fontId="12"/>
  </si>
  <si>
    <t>93SNA</t>
    <phoneticPr fontId="12"/>
  </si>
  <si>
    <t>民間住宅</t>
    <rPh sb="0" eb="2">
      <t>ミンカン</t>
    </rPh>
    <rPh sb="2" eb="4">
      <t>ジュウタク</t>
    </rPh>
    <phoneticPr fontId="13"/>
  </si>
  <si>
    <t>民間企業設備</t>
    <rPh sb="0" eb="2">
      <t>ミンカン</t>
    </rPh>
    <rPh sb="2" eb="4">
      <t>キギョウ</t>
    </rPh>
    <rPh sb="4" eb="6">
      <t>セツビ</t>
    </rPh>
    <phoneticPr fontId="13"/>
  </si>
  <si>
    <t>純移出入</t>
    <rPh sb="0" eb="1">
      <t>ジュン</t>
    </rPh>
    <rPh sb="1" eb="3">
      <t>イシュツ</t>
    </rPh>
    <rPh sb="3" eb="4">
      <t>ニュウ</t>
    </rPh>
    <phoneticPr fontId="13"/>
  </si>
  <si>
    <t>市町内総生産（支出側）</t>
    <rPh sb="0" eb="3">
      <t>シチョウナイ</t>
    </rPh>
    <rPh sb="3" eb="4">
      <t>ソウ</t>
    </rPh>
    <rPh sb="4" eb="6">
      <t>セイサン</t>
    </rPh>
    <rPh sb="7" eb="9">
      <t>シシュツ</t>
    </rPh>
    <rPh sb="9" eb="10">
      <t>ガワ</t>
    </rPh>
    <phoneticPr fontId="13"/>
  </si>
  <si>
    <t>（単位：百万円）</t>
    <rPh sb="1" eb="3">
      <t>タンイ</t>
    </rPh>
    <rPh sb="4" eb="5">
      <t>ヒャク</t>
    </rPh>
    <rPh sb="5" eb="7">
      <t>マンエン</t>
    </rPh>
    <phoneticPr fontId="13"/>
  </si>
  <si>
    <t xml:space="preserve"> </t>
    <phoneticPr fontId="13"/>
  </si>
  <si>
    <t>民間総資本形成（民間企業設備投資／製造業＋非製造業）</t>
    <rPh sb="0" eb="2">
      <t>ミンカン</t>
    </rPh>
    <rPh sb="2" eb="3">
      <t>ソウ</t>
    </rPh>
    <rPh sb="3" eb="5">
      <t>シホン</t>
    </rPh>
    <rPh sb="5" eb="7">
      <t>ケイセイ</t>
    </rPh>
    <rPh sb="8" eb="10">
      <t>ミンカン</t>
    </rPh>
    <rPh sb="10" eb="12">
      <t>キギョウ</t>
    </rPh>
    <rPh sb="12" eb="14">
      <t>セツビ</t>
    </rPh>
    <rPh sb="14" eb="16">
      <t>トウシ</t>
    </rPh>
    <rPh sb="17" eb="20">
      <t>セイゾウギョウ</t>
    </rPh>
    <rPh sb="21" eb="22">
      <t>ヒ</t>
    </rPh>
    <rPh sb="22" eb="25">
      <t>セイゾウギョウ</t>
    </rPh>
    <phoneticPr fontId="13"/>
  </si>
  <si>
    <t>推計値</t>
    <rPh sb="0" eb="2">
      <t>スイケイ</t>
    </rPh>
    <rPh sb="2" eb="3">
      <t>アタイ</t>
    </rPh>
    <phoneticPr fontId="13"/>
  </si>
  <si>
    <t>（出所）兵庫県統計課「市町民経済計算試算値」</t>
    <rPh sb="1" eb="3">
      <t>シュッショ</t>
    </rPh>
    <rPh sb="4" eb="7">
      <t>ヒョウゴケン</t>
    </rPh>
    <rPh sb="7" eb="9">
      <t>トウケイ</t>
    </rPh>
    <rPh sb="9" eb="10">
      <t>カ</t>
    </rPh>
    <rPh sb="11" eb="13">
      <t>シチョウ</t>
    </rPh>
    <rPh sb="13" eb="14">
      <t>ミン</t>
    </rPh>
    <rPh sb="14" eb="16">
      <t>ケイザイ</t>
    </rPh>
    <rPh sb="16" eb="18">
      <t>ケイサン</t>
    </rPh>
    <rPh sb="18" eb="20">
      <t>シサン</t>
    </rPh>
    <rPh sb="20" eb="21">
      <t>アタイ</t>
    </rPh>
    <phoneticPr fontId="13"/>
  </si>
  <si>
    <t>民間企業設備増減</t>
    <rPh sb="0" eb="2">
      <t>ミンカン</t>
    </rPh>
    <rPh sb="2" eb="4">
      <t>キギョウ</t>
    </rPh>
    <rPh sb="4" eb="6">
      <t>セツビ</t>
    </rPh>
    <rPh sb="6" eb="8">
      <t>ゾウゲン</t>
    </rPh>
    <phoneticPr fontId="13"/>
  </si>
  <si>
    <t>H25.10.4公表</t>
    <rPh sb="8" eb="10">
      <t>コウヒョウ</t>
    </rPh>
    <phoneticPr fontId="13"/>
  </si>
  <si>
    <t>民間総資本形成（民間在庫品増加）</t>
    <rPh sb="0" eb="2">
      <t>ミンカン</t>
    </rPh>
    <rPh sb="2" eb="3">
      <t>ソウ</t>
    </rPh>
    <rPh sb="3" eb="5">
      <t>シホン</t>
    </rPh>
    <rPh sb="5" eb="7">
      <t>ケイセイ</t>
    </rPh>
    <rPh sb="8" eb="10">
      <t>ミンカン</t>
    </rPh>
    <rPh sb="10" eb="13">
      <t>ザイコヒン</t>
    </rPh>
    <rPh sb="13" eb="15">
      <t>ゾウカ</t>
    </rPh>
    <phoneticPr fontId="13"/>
  </si>
  <si>
    <t>民間在庫品増加</t>
    <rPh sb="0" eb="2">
      <t>ミンカン</t>
    </rPh>
    <rPh sb="2" eb="5">
      <t>ザイコヒン</t>
    </rPh>
    <rPh sb="5" eb="7">
      <t>ゾウカ</t>
    </rPh>
    <phoneticPr fontId="13"/>
  </si>
  <si>
    <t>＋統計上の不突合</t>
    <phoneticPr fontId="13"/>
  </si>
  <si>
    <t>平成21年</t>
    <rPh sb="0" eb="2">
      <t>ヘイセイ</t>
    </rPh>
    <rPh sb="4" eb="5">
      <t>ネン</t>
    </rPh>
    <phoneticPr fontId="13"/>
  </si>
  <si>
    <t>計</t>
    <rPh sb="0" eb="1">
      <t>ケイ</t>
    </rPh>
    <phoneticPr fontId="13"/>
  </si>
  <si>
    <t>市町内消費支出額（民間・公的）（名目）</t>
    <rPh sb="0" eb="3">
      <t>シチョウナイ</t>
    </rPh>
    <rPh sb="3" eb="5">
      <t>ショウヒ</t>
    </rPh>
    <rPh sb="5" eb="7">
      <t>シシュツ</t>
    </rPh>
    <rPh sb="7" eb="8">
      <t>ガク</t>
    </rPh>
    <rPh sb="9" eb="11">
      <t>ミンカン</t>
    </rPh>
    <rPh sb="12" eb="14">
      <t>コウテキ</t>
    </rPh>
    <rPh sb="16" eb="17">
      <t>メイ</t>
    </rPh>
    <rPh sb="17" eb="18">
      <t>メ</t>
    </rPh>
    <phoneticPr fontId="13"/>
  </si>
  <si>
    <t>市町内総資本形成額（民間・公的）（名目）</t>
    <rPh sb="0" eb="3">
      <t>シチョウナイ</t>
    </rPh>
    <rPh sb="3" eb="4">
      <t>ソウ</t>
    </rPh>
    <rPh sb="4" eb="6">
      <t>シホン</t>
    </rPh>
    <rPh sb="6" eb="8">
      <t>ケイセイ</t>
    </rPh>
    <rPh sb="8" eb="9">
      <t>ガク</t>
    </rPh>
    <rPh sb="10" eb="12">
      <t>ミンカン</t>
    </rPh>
    <rPh sb="13" eb="15">
      <t>コウテキ</t>
    </rPh>
    <rPh sb="17" eb="18">
      <t>メイ</t>
    </rPh>
    <rPh sb="18" eb="19">
      <t>メ</t>
    </rPh>
    <phoneticPr fontId="13"/>
  </si>
  <si>
    <t>世帯数
2009年</t>
    <phoneticPr fontId="4"/>
  </si>
  <si>
    <t>市町別純移輸出試算値（県民経済計算ベース）</t>
    <rPh sb="0" eb="2">
      <t>シチョウ</t>
    </rPh>
    <rPh sb="2" eb="3">
      <t>ベツ</t>
    </rPh>
    <rPh sb="3" eb="4">
      <t>ジュン</t>
    </rPh>
    <rPh sb="4" eb="5">
      <t>ウツリ</t>
    </rPh>
    <rPh sb="5" eb="7">
      <t>ユシュツ</t>
    </rPh>
    <rPh sb="7" eb="10">
      <t>シサンチ</t>
    </rPh>
    <rPh sb="11" eb="13">
      <t>ケンミン</t>
    </rPh>
    <rPh sb="13" eb="15">
      <t>ケイザイ</t>
    </rPh>
    <rPh sb="15" eb="17">
      <t>ケイサン</t>
    </rPh>
    <phoneticPr fontId="13"/>
  </si>
  <si>
    <t xml:space="preserve"> </t>
    <phoneticPr fontId="13"/>
  </si>
  <si>
    <t>（単位：百万円）</t>
    <rPh sb="1" eb="3">
      <t>タンイ</t>
    </rPh>
    <rPh sb="4" eb="5">
      <t>ヒャク</t>
    </rPh>
    <rPh sb="5" eb="7">
      <t>マンエン</t>
    </rPh>
    <phoneticPr fontId="2"/>
  </si>
  <si>
    <t>FISIM純移出入</t>
    <rPh sb="5" eb="6">
      <t>ジュン</t>
    </rPh>
    <rPh sb="6" eb="8">
      <t>イシュツ</t>
    </rPh>
    <rPh sb="8" eb="9">
      <t>ニュウ</t>
    </rPh>
    <phoneticPr fontId="13"/>
  </si>
  <si>
    <t>平成18年度</t>
    <rPh sb="0" eb="2">
      <t>ヘイセイ</t>
    </rPh>
    <rPh sb="4" eb="6">
      <t>ネンド</t>
    </rPh>
    <phoneticPr fontId="2"/>
  </si>
  <si>
    <t>平成19年度</t>
    <rPh sb="0" eb="2">
      <t>ヘイセイ</t>
    </rPh>
    <rPh sb="4" eb="6">
      <t>ネンド</t>
    </rPh>
    <phoneticPr fontId="2"/>
  </si>
  <si>
    <t>　</t>
  </si>
  <si>
    <t xml:space="preserve"> </t>
    <phoneticPr fontId="12"/>
  </si>
  <si>
    <t>市町別移輸出試算値（県民経済計算ベース）</t>
    <rPh sb="0" eb="2">
      <t>シチョウ</t>
    </rPh>
    <rPh sb="2" eb="3">
      <t>ベツ</t>
    </rPh>
    <rPh sb="3" eb="4">
      <t>ウツリ</t>
    </rPh>
    <rPh sb="4" eb="6">
      <t>ユシュツ</t>
    </rPh>
    <rPh sb="6" eb="9">
      <t>シサンチ</t>
    </rPh>
    <rPh sb="10" eb="12">
      <t>ケンミン</t>
    </rPh>
    <rPh sb="12" eb="14">
      <t>ケイザイ</t>
    </rPh>
    <rPh sb="14" eb="16">
      <t>ケイサン</t>
    </rPh>
    <phoneticPr fontId="13"/>
  </si>
  <si>
    <t>市町別移輸入試算値（県民経済計算ベース）</t>
    <rPh sb="0" eb="2">
      <t>シチョウ</t>
    </rPh>
    <rPh sb="2" eb="3">
      <t>ベツ</t>
    </rPh>
    <rPh sb="3" eb="4">
      <t>ウツリ</t>
    </rPh>
    <rPh sb="4" eb="5">
      <t>ユ</t>
    </rPh>
    <rPh sb="5" eb="6">
      <t>ニュウ</t>
    </rPh>
    <rPh sb="6" eb="9">
      <t>シサンチ</t>
    </rPh>
    <rPh sb="10" eb="12">
      <t>ケンミン</t>
    </rPh>
    <rPh sb="12" eb="14">
      <t>ケイザイ</t>
    </rPh>
    <rPh sb="14" eb="16">
      <t>ケイサン</t>
    </rPh>
    <phoneticPr fontId="13"/>
  </si>
  <si>
    <t>26年度</t>
    <phoneticPr fontId="13"/>
  </si>
  <si>
    <t>H26.6.16</t>
    <phoneticPr fontId="13"/>
  </si>
  <si>
    <t>純移出入＋統計上の不突合</t>
    <rPh sb="0" eb="1">
      <t>ジュン</t>
    </rPh>
    <rPh sb="1" eb="3">
      <t>イシュツ</t>
    </rPh>
    <rPh sb="3" eb="4">
      <t>ニュウ</t>
    </rPh>
    <rPh sb="5" eb="7">
      <t>トウケイ</t>
    </rPh>
    <rPh sb="7" eb="8">
      <t>ウエ</t>
    </rPh>
    <rPh sb="9" eb="10">
      <t>フ</t>
    </rPh>
    <rPh sb="10" eb="11">
      <t>トツ</t>
    </rPh>
    <rPh sb="11" eb="12">
      <t>ゴウ</t>
    </rPh>
    <phoneticPr fontId="13"/>
  </si>
  <si>
    <t>平成25年度</t>
    <phoneticPr fontId="13"/>
  </si>
  <si>
    <t>世帯数
2015年</t>
    <phoneticPr fontId="4"/>
  </si>
  <si>
    <t>H27年度</t>
    <rPh sb="3" eb="5">
      <t>ネンド</t>
    </rPh>
    <phoneticPr fontId="13"/>
  </si>
  <si>
    <t>H27年度計</t>
    <rPh sb="3" eb="5">
      <t>ネンド</t>
    </rPh>
    <rPh sb="5" eb="6">
      <t>ケイ</t>
    </rPh>
    <phoneticPr fontId="13"/>
  </si>
  <si>
    <t>27年度</t>
    <phoneticPr fontId="4"/>
  </si>
  <si>
    <t>27年度</t>
    <rPh sb="2" eb="4">
      <t>ネンド</t>
    </rPh>
    <phoneticPr fontId="13"/>
  </si>
  <si>
    <t>H17年基準</t>
    <rPh sb="3" eb="4">
      <t>ネン</t>
    </rPh>
    <rPh sb="4" eb="6">
      <t>キジュン</t>
    </rPh>
    <phoneticPr fontId="13"/>
  </si>
  <si>
    <t>純移出入・統計上の不突合</t>
    <rPh sb="0" eb="1">
      <t>ジュン</t>
    </rPh>
    <rPh sb="1" eb="3">
      <t>イシュツ</t>
    </rPh>
    <rPh sb="3" eb="4">
      <t>ニュウ</t>
    </rPh>
    <rPh sb="5" eb="7">
      <t>トウケイ</t>
    </rPh>
    <rPh sb="7" eb="8">
      <t>ウエ</t>
    </rPh>
    <rPh sb="9" eb="10">
      <t>フ</t>
    </rPh>
    <rPh sb="10" eb="11">
      <t>トツ</t>
    </rPh>
    <rPh sb="11" eb="12">
      <t>ゴウ</t>
    </rPh>
    <phoneticPr fontId="13"/>
  </si>
  <si>
    <t>（単位：百万円）</t>
    <rPh sb="1" eb="3">
      <t>タンイ</t>
    </rPh>
    <rPh sb="4" eb="6">
      <t>ヒャクマン</t>
    </rPh>
    <rPh sb="6" eb="7">
      <t>エン</t>
    </rPh>
    <phoneticPr fontId="22"/>
  </si>
  <si>
    <t>市町内需要計</t>
    <rPh sb="0" eb="2">
      <t>シチョウ</t>
    </rPh>
    <rPh sb="2" eb="3">
      <t>ナイ</t>
    </rPh>
    <rPh sb="3" eb="5">
      <t>ジュヨウ</t>
    </rPh>
    <rPh sb="5" eb="6">
      <t>ケイ</t>
    </rPh>
    <phoneticPr fontId="12"/>
  </si>
  <si>
    <t>平成21年度</t>
    <rPh sb="0" eb="2">
      <t>ヘイセイ</t>
    </rPh>
    <rPh sb="4" eb="6">
      <t>ネンド</t>
    </rPh>
    <phoneticPr fontId="13"/>
  </si>
  <si>
    <t>H24/6/28</t>
    <phoneticPr fontId="13"/>
  </si>
  <si>
    <t>平成20年度</t>
    <rPh sb="0" eb="2">
      <t>ヘイセイ</t>
    </rPh>
    <rPh sb="4" eb="6">
      <t>ネンド</t>
    </rPh>
    <phoneticPr fontId="12"/>
  </si>
  <si>
    <t>平成21年度</t>
    <rPh sb="0" eb="2">
      <t>ヘイセイ</t>
    </rPh>
    <rPh sb="4" eb="6">
      <t>ネンド</t>
    </rPh>
    <phoneticPr fontId="12"/>
  </si>
  <si>
    <t>20年度</t>
    <phoneticPr fontId="4"/>
  </si>
  <si>
    <t>H20年度計</t>
    <rPh sb="3" eb="5">
      <t>ネンド</t>
    </rPh>
    <rPh sb="5" eb="6">
      <t>ケイ</t>
    </rPh>
    <phoneticPr fontId="13"/>
  </si>
  <si>
    <t>平成20年</t>
    <rPh sb="0" eb="2">
      <t>ヘイセイ</t>
    </rPh>
    <rPh sb="4" eb="5">
      <t>ネン</t>
    </rPh>
    <phoneticPr fontId="13"/>
  </si>
  <si>
    <t>平成25年</t>
    <rPh sb="0" eb="2">
      <t>ヘイセイ</t>
    </rPh>
    <rPh sb="4" eb="5">
      <t>ネン</t>
    </rPh>
    <phoneticPr fontId="13"/>
  </si>
  <si>
    <t>H25年度計</t>
    <rPh sb="3" eb="5">
      <t>ネンド</t>
    </rPh>
    <rPh sb="5" eb="6">
      <t>ケイ</t>
    </rPh>
    <phoneticPr fontId="13"/>
  </si>
  <si>
    <t>25年/1-3月</t>
    <rPh sb="2" eb="3">
      <t>ネン</t>
    </rPh>
    <rPh sb="7" eb="8">
      <t>ツキ</t>
    </rPh>
    <phoneticPr fontId="22"/>
  </si>
  <si>
    <t>２０年度</t>
    <rPh sb="2" eb="4">
      <t>ネンド</t>
    </rPh>
    <phoneticPr fontId="17"/>
  </si>
  <si>
    <t>２１年度</t>
    <rPh sb="2" eb="4">
      <t>ネンド</t>
    </rPh>
    <phoneticPr fontId="17"/>
  </si>
  <si>
    <t>H20年度</t>
    <rPh sb="3" eb="5">
      <t>ネンド</t>
    </rPh>
    <phoneticPr fontId="13"/>
  </si>
  <si>
    <t>平成20年度</t>
    <rPh sb="0" eb="2">
      <t>ヘイセイ</t>
    </rPh>
    <rPh sb="4" eb="6">
      <t>ネンド</t>
    </rPh>
    <phoneticPr fontId="2"/>
  </si>
  <si>
    <t>平成21年度</t>
    <rPh sb="0" eb="2">
      <t>ヘイセイ</t>
    </rPh>
    <rPh sb="4" eb="6">
      <t>ネンド</t>
    </rPh>
    <phoneticPr fontId="2"/>
  </si>
  <si>
    <t>世帯数
2010年</t>
    <phoneticPr fontId="4"/>
  </si>
  <si>
    <t>暦年</t>
    <rPh sb="0" eb="2">
      <t>レキネン</t>
    </rPh>
    <phoneticPr fontId="13"/>
  </si>
  <si>
    <t>総務省「全国消費実態調査」</t>
    <rPh sb="0" eb="3">
      <t>ソウムショウ</t>
    </rPh>
    <rPh sb="4" eb="6">
      <t>ゼンコク</t>
    </rPh>
    <rPh sb="6" eb="8">
      <t>ショウヒ</t>
    </rPh>
    <rPh sb="8" eb="10">
      <t>ジッタイ</t>
    </rPh>
    <rPh sb="10" eb="12">
      <t>チョウサ</t>
    </rPh>
    <phoneticPr fontId="13"/>
  </si>
  <si>
    <t>総務省「家計調査」</t>
    <rPh sb="0" eb="3">
      <t>ソウムショウ</t>
    </rPh>
    <rPh sb="4" eb="6">
      <t>カケイ</t>
    </rPh>
    <rPh sb="6" eb="8">
      <t>チョウサ</t>
    </rPh>
    <phoneticPr fontId="13"/>
  </si>
  <si>
    <t>総務省「家計消費状況調査」</t>
    <rPh sb="0" eb="3">
      <t>ソウムショウ</t>
    </rPh>
    <rPh sb="4" eb="6">
      <t>カケイ</t>
    </rPh>
    <rPh sb="6" eb="8">
      <t>ショウヒ</t>
    </rPh>
    <rPh sb="8" eb="10">
      <t>ジョウキョウ</t>
    </rPh>
    <rPh sb="10" eb="12">
      <t>チョウサ</t>
    </rPh>
    <phoneticPr fontId="13"/>
  </si>
  <si>
    <t>支出総額（総世帯）</t>
    <rPh sb="0" eb="2">
      <t>シシュツ</t>
    </rPh>
    <rPh sb="2" eb="4">
      <t>ソウガク</t>
    </rPh>
    <rPh sb="5" eb="6">
      <t>ソウ</t>
    </rPh>
    <rPh sb="6" eb="8">
      <t>セタイ</t>
    </rPh>
    <phoneticPr fontId="13"/>
  </si>
  <si>
    <t>平成26年度市町内総生産（支出側：名目）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</si>
  <si>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t>
  </si>
  <si>
    <t>平成10年度</t>
  </si>
  <si>
    <t>平成11年度</t>
  </si>
  <si>
    <t>平成12年度</t>
  </si>
  <si>
    <t>平成13年度</t>
  </si>
  <si>
    <t>平成14年度</t>
  </si>
  <si>
    <t>平成15年度</t>
  </si>
  <si>
    <t>平成２年度</t>
  </si>
  <si>
    <t>平成３年度</t>
  </si>
  <si>
    <t>平成４年度</t>
  </si>
  <si>
    <t>平成５年度</t>
  </si>
  <si>
    <t>平成６年度</t>
  </si>
  <si>
    <t>平成７年度</t>
  </si>
  <si>
    <t>平成８年度</t>
  </si>
  <si>
    <t>平成９年度</t>
  </si>
  <si>
    <t>21年度</t>
    <phoneticPr fontId="4"/>
  </si>
  <si>
    <t>H21年度計</t>
    <rPh sb="3" eb="5">
      <t>ネンド</t>
    </rPh>
    <rPh sb="5" eb="6">
      <t>ケイ</t>
    </rPh>
    <phoneticPr fontId="13"/>
  </si>
  <si>
    <t>移輸出</t>
    <rPh sb="0" eb="1">
      <t>イ</t>
    </rPh>
    <rPh sb="1" eb="3">
      <t>ユシュツ</t>
    </rPh>
    <phoneticPr fontId="13"/>
  </si>
  <si>
    <t>移輸入</t>
    <rPh sb="0" eb="1">
      <t>イ</t>
    </rPh>
    <rPh sb="1" eb="3">
      <t>ユニュウ</t>
    </rPh>
    <phoneticPr fontId="13"/>
  </si>
  <si>
    <t>統計上の不突合</t>
    <rPh sb="0" eb="2">
      <t>トウケイ</t>
    </rPh>
    <rPh sb="2" eb="3">
      <t>ウエ</t>
    </rPh>
    <rPh sb="4" eb="5">
      <t>フ</t>
    </rPh>
    <rPh sb="5" eb="6">
      <t>トツ</t>
    </rPh>
    <rPh sb="6" eb="7">
      <t>ゴウ</t>
    </rPh>
    <phoneticPr fontId="13"/>
  </si>
  <si>
    <t xml:space="preserve">  </t>
    <phoneticPr fontId="13"/>
  </si>
  <si>
    <t>22年度</t>
    <phoneticPr fontId="4"/>
  </si>
  <si>
    <t>予算（性質別）当初</t>
    <rPh sb="0" eb="2">
      <t>ヨサン</t>
    </rPh>
    <rPh sb="3" eb="5">
      <t>セイシツ</t>
    </rPh>
    <rPh sb="5" eb="6">
      <t>ベツ</t>
    </rPh>
    <rPh sb="7" eb="9">
      <t>トウショ</t>
    </rPh>
    <phoneticPr fontId="13"/>
  </si>
  <si>
    <t>　</t>
    <phoneticPr fontId="13"/>
  </si>
  <si>
    <t>21年度</t>
    <rPh sb="2" eb="4">
      <t>ネンド</t>
    </rPh>
    <phoneticPr fontId="13"/>
  </si>
  <si>
    <t>維持補修費</t>
    <rPh sb="0" eb="2">
      <t>イジ</t>
    </rPh>
    <rPh sb="2" eb="5">
      <t>ホシュウヒ</t>
    </rPh>
    <phoneticPr fontId="13"/>
  </si>
  <si>
    <t>22年度</t>
    <rPh sb="2" eb="4">
      <t>ネンド</t>
    </rPh>
    <phoneticPr fontId="13"/>
  </si>
  <si>
    <t>決算（性質別）</t>
    <rPh sb="0" eb="2">
      <t>ケッサン</t>
    </rPh>
    <rPh sb="3" eb="5">
      <t>セイシツ</t>
    </rPh>
    <rPh sb="5" eb="6">
      <t>ベツ</t>
    </rPh>
    <phoneticPr fontId="13"/>
  </si>
  <si>
    <t>千円</t>
    <rPh sb="0" eb="2">
      <t>センエン</t>
    </rPh>
    <phoneticPr fontId="13"/>
  </si>
  <si>
    <t>H21年度（決算）</t>
    <rPh sb="3" eb="5">
      <t>ネンド</t>
    </rPh>
    <rPh sb="6" eb="8">
      <t>ケッサン</t>
    </rPh>
    <phoneticPr fontId="13"/>
  </si>
  <si>
    <t>H22年度計</t>
    <rPh sb="3" eb="5">
      <t>ネンド</t>
    </rPh>
    <rPh sb="5" eb="6">
      <t>ケイ</t>
    </rPh>
    <phoneticPr fontId="13"/>
  </si>
  <si>
    <t>普通建設事業費</t>
    <rPh sb="0" eb="2">
      <t>フツウ</t>
    </rPh>
    <rPh sb="2" eb="4">
      <t>ケンセツ</t>
    </rPh>
    <rPh sb="4" eb="7">
      <t>ジギョウヒ</t>
    </rPh>
    <phoneticPr fontId="12"/>
  </si>
  <si>
    <t>災害復旧事業費</t>
    <rPh sb="0" eb="2">
      <t>サイガイ</t>
    </rPh>
    <rPh sb="2" eb="4">
      <t>フッキュウ</t>
    </rPh>
    <rPh sb="4" eb="6">
      <t>ジギョウ</t>
    </rPh>
    <rPh sb="6" eb="7">
      <t>ヒ</t>
    </rPh>
    <phoneticPr fontId="12"/>
  </si>
  <si>
    <t>平成22年度</t>
    <rPh sb="0" eb="2">
      <t>ヘイセイ</t>
    </rPh>
    <rPh sb="4" eb="6">
      <t>ネンド</t>
    </rPh>
    <phoneticPr fontId="13"/>
  </si>
  <si>
    <t>平成22年度</t>
    <rPh sb="0" eb="2">
      <t>ヘイセイ</t>
    </rPh>
    <rPh sb="4" eb="6">
      <t>ネンド</t>
    </rPh>
    <phoneticPr fontId="12"/>
  </si>
  <si>
    <t>２２年度</t>
    <rPh sb="2" eb="4">
      <t>ネンド</t>
    </rPh>
    <phoneticPr fontId="17"/>
  </si>
  <si>
    <t>A</t>
    <phoneticPr fontId="13"/>
  </si>
  <si>
    <t>B</t>
    <phoneticPr fontId="13"/>
  </si>
  <si>
    <t>C</t>
    <phoneticPr fontId="13"/>
  </si>
  <si>
    <t>D</t>
    <phoneticPr fontId="13"/>
  </si>
  <si>
    <t>H25.4.11公表</t>
    <rPh sb="8" eb="10">
      <t>コウヒョウ</t>
    </rPh>
    <phoneticPr fontId="13"/>
  </si>
  <si>
    <t>E</t>
    <phoneticPr fontId="13"/>
  </si>
  <si>
    <t>F</t>
    <phoneticPr fontId="13"/>
  </si>
  <si>
    <t>　</t>
    <phoneticPr fontId="13"/>
  </si>
  <si>
    <t>平成25年度市町内総生産（支出側：名目）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</si>
  <si>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大都市</t>
    <rPh sb="0" eb="3">
      <t>ダイトシ</t>
    </rPh>
    <phoneticPr fontId="13"/>
  </si>
  <si>
    <t xml:space="preserve"> </t>
    <phoneticPr fontId="13"/>
  </si>
  <si>
    <t>平成18年度市町内総生産（支出側：名目）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</si>
  <si>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平成19年度市町内総生産（支出側：名目）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</si>
  <si>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平成20年度市町内総生産（支出側：名目）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</si>
  <si>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平成21年度市町内総生産（支出側：名目）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</si>
  <si>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平成22年度市町内総生産（支出側：名目）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</si>
  <si>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区分</t>
    <rPh sb="0" eb="2">
      <t>クブン</t>
    </rPh>
    <phoneticPr fontId="13"/>
  </si>
  <si>
    <t>市町名</t>
    <rPh sb="0" eb="2">
      <t>シチョウ</t>
    </rPh>
    <rPh sb="2" eb="3">
      <t>メイ</t>
    </rPh>
    <phoneticPr fontId="13"/>
  </si>
  <si>
    <t>1</t>
    <phoneticPr fontId="13"/>
  </si>
  <si>
    <t>　</t>
    <phoneticPr fontId="12"/>
  </si>
  <si>
    <t>　</t>
    <phoneticPr fontId="20"/>
  </si>
  <si>
    <t>平成16年度</t>
    <phoneticPr fontId="22"/>
  </si>
  <si>
    <t>平成17年度</t>
    <phoneticPr fontId="22"/>
  </si>
  <si>
    <t>平成19年度</t>
    <phoneticPr fontId="22"/>
  </si>
  <si>
    <t>平成20年度</t>
    <phoneticPr fontId="22"/>
  </si>
  <si>
    <t>平成21年度</t>
    <phoneticPr fontId="22"/>
  </si>
  <si>
    <t>平成22年度</t>
    <phoneticPr fontId="22"/>
  </si>
  <si>
    <t>平成23年度</t>
    <phoneticPr fontId="22"/>
  </si>
  <si>
    <t>平成24年度</t>
    <phoneticPr fontId="22"/>
  </si>
  <si>
    <t>平成25年度</t>
    <phoneticPr fontId="22"/>
  </si>
  <si>
    <t>平成22年度</t>
    <phoneticPr fontId="13"/>
  </si>
  <si>
    <t>平成23年度</t>
    <phoneticPr fontId="13"/>
  </si>
  <si>
    <t>平成24年度</t>
    <phoneticPr fontId="13"/>
  </si>
  <si>
    <t>平成18年度</t>
    <phoneticPr fontId="22"/>
  </si>
  <si>
    <t>速報</t>
    <rPh sb="0" eb="2">
      <t>ソクホウ</t>
    </rPh>
    <phoneticPr fontId="13"/>
  </si>
  <si>
    <t>対前年度増減率</t>
    <rPh sb="0" eb="1">
      <t>タイ</t>
    </rPh>
    <rPh sb="1" eb="4">
      <t>ゼンネンド</t>
    </rPh>
    <rPh sb="4" eb="7">
      <t>ゾウゲンリツ</t>
    </rPh>
    <phoneticPr fontId="13"/>
  </si>
  <si>
    <t>H22.9.30公表</t>
    <rPh sb="8" eb="10">
      <t>コウヒョウ</t>
    </rPh>
    <phoneticPr fontId="13"/>
  </si>
  <si>
    <t>（資料）兵庫県都市政策課調べ</t>
    <rPh sb="1" eb="3">
      <t>シリョウ</t>
    </rPh>
    <rPh sb="4" eb="6">
      <t>ヒョウゴ</t>
    </rPh>
    <rPh sb="6" eb="7">
      <t>ケン</t>
    </rPh>
    <rPh sb="7" eb="9">
      <t>トシ</t>
    </rPh>
    <rPh sb="9" eb="11">
      <t>セイサク</t>
    </rPh>
    <rPh sb="11" eb="12">
      <t>カ</t>
    </rPh>
    <rPh sb="12" eb="13">
      <t>シラ</t>
    </rPh>
    <phoneticPr fontId="13"/>
  </si>
  <si>
    <t>http://web.pref.hyogo.lg.jp/wd27/wd27_000000027.html</t>
  </si>
  <si>
    <t>（単位：戸）</t>
    <rPh sb="1" eb="3">
      <t>タンイ</t>
    </rPh>
    <rPh sb="4" eb="5">
      <t>コ</t>
    </rPh>
    <phoneticPr fontId="13"/>
  </si>
  <si>
    <t>　　区　分</t>
    <phoneticPr fontId="19"/>
  </si>
  <si>
    <t>民間資本形成民間住宅（新設住宅着工戸数）</t>
    <rPh sb="0" eb="2">
      <t>ミンカン</t>
    </rPh>
    <rPh sb="2" eb="4">
      <t>シホン</t>
    </rPh>
    <rPh sb="4" eb="6">
      <t>ケイセイ</t>
    </rPh>
    <rPh sb="6" eb="8">
      <t>ミンカン</t>
    </rPh>
    <rPh sb="8" eb="10">
      <t>ジュウタク</t>
    </rPh>
    <rPh sb="11" eb="13">
      <t>シンセツ</t>
    </rPh>
    <rPh sb="13" eb="15">
      <t>ジュウタク</t>
    </rPh>
    <rPh sb="15" eb="17">
      <t>チャッコウ</t>
    </rPh>
    <rPh sb="17" eb="19">
      <t>コスウ</t>
    </rPh>
    <phoneticPr fontId="13"/>
  </si>
  <si>
    <t>製造業設備投資</t>
    <rPh sb="0" eb="3">
      <t>セイゾウギョウ</t>
    </rPh>
    <rPh sb="3" eb="5">
      <t>セツビ</t>
    </rPh>
    <rPh sb="5" eb="7">
      <t>トウシ</t>
    </rPh>
    <phoneticPr fontId="13"/>
  </si>
  <si>
    <t>　</t>
    <phoneticPr fontId="13"/>
  </si>
  <si>
    <t>（除非製造業設備投資、民間在庫品増加）</t>
    <rPh sb="1" eb="2">
      <t>ノゾ</t>
    </rPh>
    <rPh sb="2" eb="3">
      <t>ヒ</t>
    </rPh>
    <rPh sb="3" eb="6">
      <t>セイゾウギョウ</t>
    </rPh>
    <rPh sb="6" eb="8">
      <t>セツビ</t>
    </rPh>
    <rPh sb="8" eb="10">
      <t>トウシ</t>
    </rPh>
    <rPh sb="11" eb="13">
      <t>ミンカン</t>
    </rPh>
    <rPh sb="13" eb="16">
      <t>ザイコヒン</t>
    </rPh>
    <rPh sb="16" eb="18">
      <t>ゾウカ</t>
    </rPh>
    <phoneticPr fontId="13"/>
  </si>
  <si>
    <t>１８年度</t>
    <rPh sb="2" eb="4">
      <t>ネンド</t>
    </rPh>
    <phoneticPr fontId="17"/>
  </si>
  <si>
    <t>3 県内総資本形成</t>
  </si>
  <si>
    <t>平成24年度市町内総生産（支出側：名目）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</si>
  <si>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兵庫県四半期別県民経済計算速報（QE）：実質年度</t>
    <rPh sb="0" eb="2">
      <t>ヒョウゴ</t>
    </rPh>
    <rPh sb="7" eb="13">
      <t>ケンミンケイザイケイサン</t>
    </rPh>
    <rPh sb="20" eb="22">
      <t>ジッシツ</t>
    </rPh>
    <phoneticPr fontId="12"/>
  </si>
  <si>
    <t>県内総支出</t>
  </si>
  <si>
    <t>民間最終</t>
  </si>
  <si>
    <t>民間住宅</t>
  </si>
  <si>
    <t>民間企業</t>
  </si>
  <si>
    <t>民間在庫品</t>
  </si>
  <si>
    <t>政府最終</t>
  </si>
  <si>
    <t>公的固定</t>
  </si>
  <si>
    <t>公的在庫品</t>
  </si>
  <si>
    <t>財貨・ｻｰﾋﾞｽの純移出</t>
    <rPh sb="9" eb="10">
      <t>ジュン</t>
    </rPh>
    <phoneticPr fontId="12"/>
  </si>
  <si>
    <t>（実数）</t>
    <rPh sb="1" eb="3">
      <t>ジッスウ</t>
    </rPh>
    <phoneticPr fontId="12"/>
  </si>
  <si>
    <t>消費支出</t>
  </si>
  <si>
    <t>設備投資</t>
  </si>
  <si>
    <t>増加</t>
  </si>
  <si>
    <t>資本形成</t>
  </si>
  <si>
    <t>・統計上の不突合</t>
  </si>
  <si>
    <t>移出</t>
  </si>
  <si>
    <t>移入</t>
  </si>
  <si>
    <t>不突合</t>
  </si>
  <si>
    <t>名目年度</t>
  </si>
  <si>
    <t>平成16年度</t>
  </si>
  <si>
    <t>平成17年度</t>
  </si>
  <si>
    <t>平成18年度</t>
  </si>
  <si>
    <t>平成19年度</t>
  </si>
  <si>
    <t>平成20年度</t>
  </si>
  <si>
    <t>平成21年度</t>
  </si>
  <si>
    <t>兵庫県四半期別県民経済計算速報（QE）：名目年度</t>
    <rPh sb="0" eb="2">
      <t>ヒョウゴ</t>
    </rPh>
    <rPh sb="7" eb="13">
      <t>ケンミンケイザイケイサン</t>
    </rPh>
    <phoneticPr fontId="12"/>
  </si>
  <si>
    <t>県内総生産</t>
  </si>
  <si>
    <t>2004</t>
  </si>
  <si>
    <t>2005</t>
  </si>
  <si>
    <t>2006</t>
  </si>
  <si>
    <t>2007</t>
  </si>
  <si>
    <t>2008</t>
  </si>
  <si>
    <t>H26/6/10</t>
    <phoneticPr fontId="13"/>
  </si>
  <si>
    <t>2009</t>
  </si>
  <si>
    <t>　</t>
    <phoneticPr fontId="13"/>
  </si>
  <si>
    <t>平成26年度</t>
    <phoneticPr fontId="22"/>
  </si>
  <si>
    <t>27年/1-3月</t>
    <rPh sb="2" eb="3">
      <t>ネン</t>
    </rPh>
    <rPh sb="7" eb="8">
      <t>ツキ</t>
    </rPh>
    <phoneticPr fontId="22"/>
  </si>
  <si>
    <t>平成28年度</t>
    <rPh sb="0" eb="2">
      <t>ヘイセイ</t>
    </rPh>
    <rPh sb="4" eb="6">
      <t>ネンド</t>
    </rPh>
    <phoneticPr fontId="13"/>
  </si>
  <si>
    <t xml:space="preserve"> </t>
    <phoneticPr fontId="13"/>
  </si>
  <si>
    <t xml:space="preserve">   </t>
    <phoneticPr fontId="13"/>
  </si>
  <si>
    <t>H26.10.2公表</t>
    <rPh sb="8" eb="10">
      <t>コウヒョウ</t>
    </rPh>
    <phoneticPr fontId="13"/>
  </si>
  <si>
    <t>世帯当たり消費支出（平成26年）</t>
    <rPh sb="0" eb="2">
      <t>セタイ</t>
    </rPh>
    <rPh sb="2" eb="3">
      <t>ア</t>
    </rPh>
    <rPh sb="5" eb="7">
      <t>ショウヒ</t>
    </rPh>
    <rPh sb="7" eb="9">
      <t>シシュツ</t>
    </rPh>
    <rPh sb="10" eb="12">
      <t>ヘイセイ</t>
    </rPh>
    <rPh sb="14" eb="15">
      <t>ネン</t>
    </rPh>
    <phoneticPr fontId="13"/>
  </si>
  <si>
    <t>H26/H25</t>
    <phoneticPr fontId="13"/>
  </si>
  <si>
    <t>暦年</t>
    <rPh sb="0" eb="1">
      <t>レキ</t>
    </rPh>
    <rPh sb="1" eb="2">
      <t>ネン</t>
    </rPh>
    <phoneticPr fontId="13"/>
  </si>
  <si>
    <t xml:space="preserve"> </t>
    <phoneticPr fontId="13"/>
  </si>
  <si>
    <t>小都市Ｂ/町村</t>
    <rPh sb="5" eb="7">
      <t>チョウソン</t>
    </rPh>
    <phoneticPr fontId="13"/>
  </si>
  <si>
    <t>15万人以上</t>
    <rPh sb="2" eb="4">
      <t>マンニン</t>
    </rPh>
    <rPh sb="4" eb="6">
      <t>イジョウ</t>
    </rPh>
    <phoneticPr fontId="13"/>
  </si>
  <si>
    <t>5～14万人</t>
    <rPh sb="4" eb="6">
      <t>マンニン</t>
    </rPh>
    <phoneticPr fontId="13"/>
  </si>
  <si>
    <t>4万人以下</t>
    <rPh sb="1" eb="3">
      <t>マンニン</t>
    </rPh>
    <rPh sb="3" eb="5">
      <t>イカ</t>
    </rPh>
    <phoneticPr fontId="13"/>
  </si>
  <si>
    <t>　</t>
    <phoneticPr fontId="13"/>
  </si>
  <si>
    <t>政令市・中核市</t>
    <rPh sb="0" eb="2">
      <t>セイレイ</t>
    </rPh>
    <rPh sb="2" eb="3">
      <t>シ</t>
    </rPh>
    <rPh sb="4" eb="7">
      <t>チュウカクシ</t>
    </rPh>
    <phoneticPr fontId="13"/>
  </si>
  <si>
    <t>大都市</t>
    <rPh sb="0" eb="1">
      <t>ダイ</t>
    </rPh>
    <rPh sb="1" eb="3">
      <t>トシ</t>
    </rPh>
    <phoneticPr fontId="13"/>
  </si>
  <si>
    <t>　</t>
    <phoneticPr fontId="13"/>
  </si>
  <si>
    <t>中都市</t>
    <rPh sb="0" eb="1">
      <t>ナカ</t>
    </rPh>
    <rPh sb="1" eb="3">
      <t>トシ</t>
    </rPh>
    <phoneticPr fontId="13"/>
  </si>
  <si>
    <t>小都市A</t>
    <rPh sb="0" eb="3">
      <t>ショウトシ</t>
    </rPh>
    <phoneticPr fontId="13"/>
  </si>
  <si>
    <t>小都市B</t>
    <rPh sb="0" eb="3">
      <t>ショウトシ</t>
    </rPh>
    <phoneticPr fontId="13"/>
  </si>
  <si>
    <t xml:space="preserve"> </t>
    <phoneticPr fontId="13"/>
  </si>
  <si>
    <t>H27予算</t>
    <rPh sb="3" eb="5">
      <t>ヨサン</t>
    </rPh>
    <phoneticPr fontId="13"/>
  </si>
  <si>
    <t>平成26年度</t>
    <phoneticPr fontId="13"/>
  </si>
  <si>
    <t>世帯数
2016年</t>
    <phoneticPr fontId="4"/>
  </si>
  <si>
    <t>平成28年</t>
    <rPh sb="0" eb="2">
      <t>ヘイセイ</t>
    </rPh>
    <rPh sb="4" eb="5">
      <t>ネン</t>
    </rPh>
    <phoneticPr fontId="13"/>
  </si>
  <si>
    <t>H28</t>
    <phoneticPr fontId="13"/>
  </si>
  <si>
    <t>H27/6/18</t>
    <phoneticPr fontId="13"/>
  </si>
  <si>
    <t>　</t>
    <phoneticPr fontId="13"/>
  </si>
  <si>
    <t>平成28年度市町内総生産（支出側：名目）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</si>
  <si>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H28年度</t>
    <rPh sb="3" eb="5">
      <t>ネンド</t>
    </rPh>
    <phoneticPr fontId="13"/>
  </si>
  <si>
    <t>H28年度計</t>
    <rPh sb="3" eb="5">
      <t>ネンド</t>
    </rPh>
    <rPh sb="5" eb="6">
      <t>ケイ</t>
    </rPh>
    <phoneticPr fontId="13"/>
  </si>
  <si>
    <t>27年度</t>
    <phoneticPr fontId="13"/>
  </si>
  <si>
    <t>平成27年度</t>
    <phoneticPr fontId="22"/>
  </si>
  <si>
    <t>28年/1-3月</t>
    <rPh sb="2" eb="3">
      <t>ネン</t>
    </rPh>
    <rPh sb="7" eb="8">
      <t>ツキ</t>
    </rPh>
    <phoneticPr fontId="22"/>
  </si>
  <si>
    <t xml:space="preserve"> </t>
    <phoneticPr fontId="13"/>
  </si>
  <si>
    <t>推計</t>
    <rPh sb="0" eb="2">
      <t>スイケイ</t>
    </rPh>
    <phoneticPr fontId="13"/>
  </si>
  <si>
    <t>H27.10.16公表</t>
    <rPh sb="9" eb="11">
      <t>コウヒョウ</t>
    </rPh>
    <phoneticPr fontId="13"/>
  </si>
  <si>
    <t>平成29年度</t>
    <rPh sb="0" eb="2">
      <t>ヘイセイ</t>
    </rPh>
    <rPh sb="4" eb="6">
      <t>ネンド</t>
    </rPh>
    <phoneticPr fontId="13"/>
  </si>
  <si>
    <t>E</t>
    <phoneticPr fontId="13"/>
  </si>
  <si>
    <t>G</t>
    <phoneticPr fontId="13"/>
  </si>
  <si>
    <t>H</t>
    <phoneticPr fontId="13"/>
  </si>
  <si>
    <t>I</t>
    <phoneticPr fontId="13"/>
  </si>
  <si>
    <t>阪神南地域</t>
    <rPh sb="0" eb="2">
      <t>ハンシン</t>
    </rPh>
    <rPh sb="2" eb="3">
      <t>ミナミ</t>
    </rPh>
    <rPh sb="3" eb="5">
      <t>チイキ</t>
    </rPh>
    <phoneticPr fontId="13"/>
  </si>
  <si>
    <t>阪神北地域</t>
    <rPh sb="0" eb="2">
      <t>ハンシン</t>
    </rPh>
    <rPh sb="2" eb="3">
      <t>キタ</t>
    </rPh>
    <rPh sb="3" eb="5">
      <t>チイキ</t>
    </rPh>
    <phoneticPr fontId="13"/>
  </si>
  <si>
    <t>北播磨地域</t>
    <rPh sb="0" eb="1">
      <t>キタ</t>
    </rPh>
    <rPh sb="1" eb="3">
      <t>ハリマ</t>
    </rPh>
    <rPh sb="3" eb="5">
      <t>チイキ</t>
    </rPh>
    <phoneticPr fontId="13"/>
  </si>
  <si>
    <t>中播磨地域</t>
    <rPh sb="0" eb="1">
      <t>ナカ</t>
    </rPh>
    <rPh sb="1" eb="3">
      <t>ハリマ</t>
    </rPh>
    <rPh sb="3" eb="5">
      <t>チイキ</t>
    </rPh>
    <phoneticPr fontId="13"/>
  </si>
  <si>
    <t>H27/H26</t>
    <phoneticPr fontId="13"/>
  </si>
  <si>
    <t>世帯当たり消費支出（平成27年）</t>
    <rPh sb="0" eb="2">
      <t>セタイ</t>
    </rPh>
    <rPh sb="2" eb="3">
      <t>ア</t>
    </rPh>
    <rPh sb="5" eb="7">
      <t>ショウヒ</t>
    </rPh>
    <rPh sb="7" eb="9">
      <t>シシュツ</t>
    </rPh>
    <rPh sb="10" eb="12">
      <t>ヘイセイ</t>
    </rPh>
    <rPh sb="14" eb="15">
      <t>ネン</t>
    </rPh>
    <phoneticPr fontId="13"/>
  </si>
  <si>
    <t>平成27年度</t>
    <rPh sb="0" eb="2">
      <t>ヘイセイ</t>
    </rPh>
    <rPh sb="4" eb="5">
      <t>ネン</t>
    </rPh>
    <rPh sb="5" eb="6">
      <t>ド</t>
    </rPh>
    <phoneticPr fontId="13"/>
  </si>
  <si>
    <t>予算（性質別）決算</t>
    <rPh sb="0" eb="2">
      <t>ヨサン</t>
    </rPh>
    <rPh sb="3" eb="5">
      <t>セイシツ</t>
    </rPh>
    <rPh sb="5" eb="6">
      <t>ベツ</t>
    </rPh>
    <rPh sb="7" eb="9">
      <t>ケッサン</t>
    </rPh>
    <phoneticPr fontId="13"/>
  </si>
  <si>
    <t>H28予算</t>
    <rPh sb="3" eb="5">
      <t>ヨサン</t>
    </rPh>
    <phoneticPr fontId="13"/>
  </si>
  <si>
    <t>28年度</t>
    <phoneticPr fontId="4"/>
  </si>
  <si>
    <t>28年度</t>
    <rPh sb="2" eb="4">
      <t>ネンド</t>
    </rPh>
    <phoneticPr fontId="13"/>
  </si>
  <si>
    <t>H22年度</t>
    <rPh sb="3" eb="5">
      <t>ネンド</t>
    </rPh>
    <phoneticPr fontId="13"/>
  </si>
  <si>
    <t>平成28年度</t>
    <phoneticPr fontId="22"/>
  </si>
  <si>
    <t>29年/1-3月</t>
    <rPh sb="2" eb="3">
      <t>ネン</t>
    </rPh>
    <rPh sb="7" eb="8">
      <t>ツキ</t>
    </rPh>
    <phoneticPr fontId="22"/>
  </si>
  <si>
    <t>　</t>
    <phoneticPr fontId="13"/>
  </si>
  <si>
    <t>平成29年度市町内総生産（支出側：名目）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</si>
  <si>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世帯数
2017年</t>
    <phoneticPr fontId="4"/>
  </si>
  <si>
    <t>平成29年</t>
    <rPh sb="0" eb="2">
      <t>ヘイセイ</t>
    </rPh>
    <rPh sb="4" eb="5">
      <t>ネン</t>
    </rPh>
    <phoneticPr fontId="13"/>
  </si>
  <si>
    <t>H29</t>
    <phoneticPr fontId="13"/>
  </si>
  <si>
    <t>H29年度</t>
    <rPh sb="3" eb="5">
      <t>ネンド</t>
    </rPh>
    <phoneticPr fontId="13"/>
  </si>
  <si>
    <t>H29年度計</t>
    <rPh sb="3" eb="5">
      <t>ネンド</t>
    </rPh>
    <rPh sb="5" eb="6">
      <t>ケイ</t>
    </rPh>
    <phoneticPr fontId="13"/>
  </si>
  <si>
    <t>平成30年度</t>
    <rPh sb="0" eb="2">
      <t>ヘイセイ</t>
    </rPh>
    <rPh sb="4" eb="6">
      <t>ネンド</t>
    </rPh>
    <phoneticPr fontId="13"/>
  </si>
  <si>
    <t>H30/H29</t>
    <phoneticPr fontId="13"/>
  </si>
  <si>
    <t>H29予算</t>
    <rPh sb="3" eb="5">
      <t>ヨサン</t>
    </rPh>
    <phoneticPr fontId="13"/>
  </si>
  <si>
    <t>29年度</t>
    <phoneticPr fontId="4"/>
  </si>
  <si>
    <t>29年度</t>
    <rPh sb="2" eb="4">
      <t>ネンド</t>
    </rPh>
    <phoneticPr fontId="13"/>
  </si>
  <si>
    <t xml:space="preserve"> </t>
    <phoneticPr fontId="13"/>
  </si>
  <si>
    <t xml:space="preserve"> </t>
    <phoneticPr fontId="13"/>
  </si>
  <si>
    <t>世帯当たり消費支出（平成28年）</t>
    <rPh sb="0" eb="2">
      <t>セタイ</t>
    </rPh>
    <rPh sb="2" eb="3">
      <t>ア</t>
    </rPh>
    <rPh sb="5" eb="7">
      <t>ショウヒ</t>
    </rPh>
    <rPh sb="7" eb="9">
      <t>シシュツ</t>
    </rPh>
    <rPh sb="10" eb="12">
      <t>ヘイセイ</t>
    </rPh>
    <rPh sb="14" eb="15">
      <t>ネン</t>
    </rPh>
    <phoneticPr fontId="13"/>
  </si>
  <si>
    <t>H28/H27</t>
    <phoneticPr fontId="13"/>
  </si>
  <si>
    <t>当初</t>
    <rPh sb="0" eb="2">
      <t>トウショ</t>
    </rPh>
    <phoneticPr fontId="13"/>
  </si>
  <si>
    <t>(単位：百万円）</t>
    <rPh sb="1" eb="3">
      <t>タンイ</t>
    </rPh>
    <rPh sb="4" eb="5">
      <t>ヒャク</t>
    </rPh>
    <rPh sb="5" eb="7">
      <t>マンエン</t>
    </rPh>
    <phoneticPr fontId="13"/>
  </si>
  <si>
    <t>H28調整係数</t>
    <rPh sb="3" eb="5">
      <t>チョウセイ</t>
    </rPh>
    <rPh sb="5" eb="7">
      <t>ケイスウ</t>
    </rPh>
    <phoneticPr fontId="13"/>
  </si>
  <si>
    <t>調整係数</t>
    <rPh sb="0" eb="2">
      <t>チョウセイ</t>
    </rPh>
    <rPh sb="2" eb="4">
      <t>ケイスウ</t>
    </rPh>
    <phoneticPr fontId="13"/>
  </si>
  <si>
    <t>平成２８年度</t>
    <rPh sb="0" eb="2">
      <t>ヘイセイ</t>
    </rPh>
    <rPh sb="4" eb="6">
      <t>ネンド</t>
    </rPh>
    <phoneticPr fontId="13"/>
  </si>
  <si>
    <t>H28年度補正</t>
    <rPh sb="3" eb="5">
      <t>ネンド</t>
    </rPh>
    <rPh sb="5" eb="7">
      <t>ホセイ</t>
    </rPh>
    <phoneticPr fontId="13"/>
  </si>
  <si>
    <t xml:space="preserve"> </t>
    <phoneticPr fontId="13"/>
  </si>
  <si>
    <t>平成29年度</t>
    <phoneticPr fontId="22"/>
  </si>
  <si>
    <t>30年/1-3月</t>
    <rPh sb="2" eb="3">
      <t>ネン</t>
    </rPh>
    <rPh sb="7" eb="8">
      <t>ツキ</t>
    </rPh>
    <phoneticPr fontId="22"/>
  </si>
  <si>
    <t xml:space="preserve"> </t>
    <phoneticPr fontId="13"/>
  </si>
  <si>
    <t>H29/7/6</t>
    <phoneticPr fontId="13"/>
  </si>
  <si>
    <t>平成30年度市町内総生産（支出側：名目）</t>
    <rPh sb="0" eb="2">
      <t>ヘイセイ</t>
    </rPh>
    <rPh sb="4" eb="6">
      <t>ネンド</t>
    </rPh>
    <rPh sb="6" eb="9">
      <t>シチョウナイ</t>
    </rPh>
    <rPh sb="9" eb="12">
      <t>ソウセイサン</t>
    </rPh>
    <rPh sb="13" eb="15">
      <t>シシュツ</t>
    </rPh>
    <rPh sb="15" eb="16">
      <t>ガワ</t>
    </rPh>
    <rPh sb="17" eb="19">
      <t>メイモク</t>
    </rPh>
    <phoneticPr fontId="13"/>
  </si>
  <si>
    <t>簡易接続</t>
    <rPh sb="0" eb="2">
      <t>カンイ</t>
    </rPh>
    <rPh sb="2" eb="4">
      <t>セツゾク</t>
    </rPh>
    <phoneticPr fontId="13"/>
  </si>
  <si>
    <t>平成23年基準</t>
    <rPh sb="0" eb="2">
      <t>ヘイセイ</t>
    </rPh>
    <rPh sb="4" eb="5">
      <t>ネン</t>
    </rPh>
    <rPh sb="5" eb="7">
      <t>キジュン</t>
    </rPh>
    <phoneticPr fontId="13"/>
  </si>
  <si>
    <t>H23年基準</t>
    <rPh sb="3" eb="4">
      <t>ネン</t>
    </rPh>
    <rPh sb="4" eb="6">
      <t>キジュン</t>
    </rPh>
    <phoneticPr fontId="13"/>
  </si>
  <si>
    <t>平成31年度</t>
    <rPh sb="0" eb="2">
      <t>ヘイセイ</t>
    </rPh>
    <rPh sb="4" eb="6">
      <t>ネンド</t>
    </rPh>
    <phoneticPr fontId="13"/>
  </si>
  <si>
    <t>平成28年度</t>
    <rPh sb="0" eb="2">
      <t>ヘイセイ</t>
    </rPh>
    <rPh sb="4" eb="5">
      <t>ネン</t>
    </rPh>
    <rPh sb="5" eb="6">
      <t>ド</t>
    </rPh>
    <phoneticPr fontId="13"/>
  </si>
  <si>
    <t>H30年度</t>
    <rPh sb="3" eb="5">
      <t>ネンド</t>
    </rPh>
    <phoneticPr fontId="13"/>
  </si>
  <si>
    <t>H30年度計</t>
    <rPh sb="3" eb="5">
      <t>ネンド</t>
    </rPh>
    <rPh sb="5" eb="6">
      <t>ケイ</t>
    </rPh>
    <phoneticPr fontId="13"/>
  </si>
  <si>
    <t>H30</t>
    <phoneticPr fontId="13"/>
  </si>
  <si>
    <t>平成30年</t>
    <rPh sb="0" eb="2">
      <t>ヘイセイ</t>
    </rPh>
    <rPh sb="4" eb="5">
      <t>ネン</t>
    </rPh>
    <phoneticPr fontId="13"/>
  </si>
  <si>
    <t>H30予算</t>
    <rPh sb="3" eb="5">
      <t>ヨサン</t>
    </rPh>
    <phoneticPr fontId="13"/>
  </si>
  <si>
    <t>30年度</t>
    <phoneticPr fontId="4"/>
  </si>
  <si>
    <t>30年度</t>
    <rPh sb="2" eb="4">
      <t>ネンド</t>
    </rPh>
    <phoneticPr fontId="13"/>
  </si>
  <si>
    <t>世帯数
2018年</t>
    <phoneticPr fontId="4"/>
  </si>
  <si>
    <t xml:space="preserve"> </t>
    <phoneticPr fontId="13"/>
  </si>
  <si>
    <t xml:space="preserve"> </t>
    <phoneticPr fontId="13"/>
  </si>
  <si>
    <t xml:space="preserve"> </t>
    <phoneticPr fontId="13"/>
  </si>
  <si>
    <t xml:space="preserve"> </t>
    <phoneticPr fontId="13"/>
  </si>
  <si>
    <t>H29/H28</t>
    <phoneticPr fontId="13"/>
  </si>
  <si>
    <t>世帯当たり消費支出（平成29年）</t>
    <rPh sb="0" eb="2">
      <t>セタイ</t>
    </rPh>
    <rPh sb="2" eb="3">
      <t>ア</t>
    </rPh>
    <rPh sb="5" eb="7">
      <t>ショウヒ</t>
    </rPh>
    <rPh sb="7" eb="9">
      <t>シシュツ</t>
    </rPh>
    <rPh sb="10" eb="12">
      <t>ヘイセイ</t>
    </rPh>
    <rPh sb="14" eb="15">
      <t>ネン</t>
    </rPh>
    <phoneticPr fontId="13"/>
  </si>
  <si>
    <t xml:space="preserve"> </t>
    <phoneticPr fontId="13"/>
  </si>
  <si>
    <t xml:space="preserve"> </t>
    <phoneticPr fontId="13"/>
  </si>
  <si>
    <t xml:space="preserve"> </t>
    <phoneticPr fontId="13"/>
  </si>
  <si>
    <t xml:space="preserve"> </t>
    <phoneticPr fontId="13"/>
  </si>
  <si>
    <t xml:space="preserve"> </t>
    <phoneticPr fontId="13"/>
  </si>
  <si>
    <t>H30.2.19公表</t>
    <rPh sb="8" eb="10">
      <t>コウヒョウ</t>
    </rPh>
    <phoneticPr fontId="13"/>
  </si>
  <si>
    <t>世帯数
2019年</t>
    <phoneticPr fontId="4"/>
  </si>
  <si>
    <t>平成31年</t>
    <rPh sb="0" eb="2">
      <t>ヘイセイ</t>
    </rPh>
    <rPh sb="4" eb="5">
      <t>ネン</t>
    </rPh>
    <phoneticPr fontId="13"/>
  </si>
  <si>
    <t xml:space="preserve"> </t>
    <phoneticPr fontId="13"/>
  </si>
  <si>
    <t xml:space="preserve"> </t>
    <phoneticPr fontId="13"/>
  </si>
  <si>
    <t xml:space="preserve"> </t>
    <phoneticPr fontId="13"/>
  </si>
  <si>
    <t xml:space="preserve"> </t>
    <phoneticPr fontId="13"/>
  </si>
  <si>
    <t>増減率（％）</t>
    <rPh sb="0" eb="3">
      <t>ゾウゲンリツ</t>
    </rPh>
    <phoneticPr fontId="13"/>
  </si>
  <si>
    <t>H30/8/8</t>
    <phoneticPr fontId="13"/>
  </si>
  <si>
    <t>平成30年度</t>
    <phoneticPr fontId="22"/>
  </si>
  <si>
    <t>31年/1-3月</t>
    <rPh sb="2" eb="3">
      <t>ネン</t>
    </rPh>
    <rPh sb="7" eb="8">
      <t>ツキ</t>
    </rPh>
    <phoneticPr fontId="22"/>
  </si>
  <si>
    <t>H30.10.1公表</t>
    <rPh sb="8" eb="10">
      <t>コウヒョウ</t>
    </rPh>
    <phoneticPr fontId="13"/>
  </si>
  <si>
    <t>平成29年度</t>
    <rPh sb="0" eb="2">
      <t>ヘイセイ</t>
    </rPh>
    <rPh sb="4" eb="5">
      <t>ネン</t>
    </rPh>
    <rPh sb="5" eb="6">
      <t>ド</t>
    </rPh>
    <phoneticPr fontId="13"/>
  </si>
  <si>
    <t xml:space="preserve"> </t>
    <phoneticPr fontId="13"/>
  </si>
  <si>
    <t>世帯当たり消費支出（平成30年）</t>
    <rPh sb="0" eb="2">
      <t>セタイ</t>
    </rPh>
    <rPh sb="2" eb="3">
      <t>ア</t>
    </rPh>
    <rPh sb="5" eb="7">
      <t>ショウヒ</t>
    </rPh>
    <rPh sb="7" eb="9">
      <t>シシュツ</t>
    </rPh>
    <rPh sb="10" eb="12">
      <t>ヘイセイ</t>
    </rPh>
    <rPh sb="14" eb="15">
      <t>ネン</t>
    </rPh>
    <phoneticPr fontId="13"/>
  </si>
  <si>
    <t>H30/H29</t>
    <phoneticPr fontId="13"/>
  </si>
  <si>
    <t xml:space="preserve"> </t>
    <phoneticPr fontId="13"/>
  </si>
  <si>
    <t xml:space="preserve"> </t>
    <phoneticPr fontId="13"/>
  </si>
  <si>
    <t>丹波篠山市</t>
    <rPh sb="0" eb="2">
      <t>タンバ</t>
    </rPh>
    <phoneticPr fontId="4"/>
  </si>
  <si>
    <t>　</t>
    <phoneticPr fontId="13"/>
  </si>
  <si>
    <t>R1/5/15</t>
    <phoneticPr fontId="13"/>
  </si>
  <si>
    <t>令和2年度市町内総生産（支出側：名目）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</si>
  <si>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令和2年度</t>
    <rPh sb="0" eb="2">
      <t>レイワ</t>
    </rPh>
    <rPh sb="3" eb="5">
      <t>ネンド</t>
    </rPh>
    <phoneticPr fontId="13"/>
  </si>
  <si>
    <t>2年/1-3月</t>
    <rPh sb="1" eb="2">
      <t>ネン</t>
    </rPh>
    <rPh sb="6" eb="7">
      <t>ツキ</t>
    </rPh>
    <phoneticPr fontId="22"/>
  </si>
  <si>
    <t>H29-R1平均</t>
    <rPh sb="6" eb="8">
      <t>ヘイキン</t>
    </rPh>
    <phoneticPr fontId="13"/>
  </si>
  <si>
    <t>R2</t>
    <phoneticPr fontId="13"/>
  </si>
  <si>
    <t>令和2年</t>
    <rPh sb="0" eb="2">
      <t>レイワ</t>
    </rPh>
    <rPh sb="3" eb="4">
      <t>ネン</t>
    </rPh>
    <phoneticPr fontId="13"/>
  </si>
  <si>
    <t>世帯数
2020年</t>
    <phoneticPr fontId="4"/>
  </si>
  <si>
    <t>R2.10.1</t>
    <phoneticPr fontId="4"/>
  </si>
  <si>
    <t>R2年度計</t>
    <rPh sb="2" eb="4">
      <t>ネンド</t>
    </rPh>
    <rPh sb="4" eb="5">
      <t>ケイ</t>
    </rPh>
    <phoneticPr fontId="13"/>
  </si>
  <si>
    <t>R1.9.30公表</t>
    <rPh sb="7" eb="9">
      <t>コウヒョウ</t>
    </rPh>
    <phoneticPr fontId="13"/>
  </si>
  <si>
    <t xml:space="preserve"> </t>
    <phoneticPr fontId="13"/>
  </si>
  <si>
    <t>R2／H31</t>
    <phoneticPr fontId="13"/>
  </si>
  <si>
    <t>平成30年度</t>
    <rPh sb="0" eb="2">
      <t>ヘイセイ</t>
    </rPh>
    <rPh sb="4" eb="5">
      <t>ネン</t>
    </rPh>
    <rPh sb="5" eb="6">
      <t>ド</t>
    </rPh>
    <phoneticPr fontId="13"/>
  </si>
  <si>
    <t xml:space="preserve"> </t>
    <phoneticPr fontId="13"/>
  </si>
  <si>
    <t>　</t>
    <phoneticPr fontId="13"/>
  </si>
  <si>
    <t xml:space="preserve"> </t>
    <phoneticPr fontId="13"/>
  </si>
  <si>
    <t>丹波篠山市</t>
  </si>
  <si>
    <t>丹波篠山市</t>
    <phoneticPr fontId="19"/>
  </si>
  <si>
    <t>丹波丹波篠山市</t>
  </si>
  <si>
    <t>　丹波篠山市　</t>
  </si>
  <si>
    <t>丹波篠山市</t>
    <phoneticPr fontId="19"/>
  </si>
  <si>
    <t>丹波篠山市</t>
    <phoneticPr fontId="19"/>
  </si>
  <si>
    <t>丹波篠山市</t>
    <phoneticPr fontId="13"/>
  </si>
  <si>
    <t>　丹波丹波篠山市　</t>
  </si>
  <si>
    <t>丹波篠山市</t>
    <phoneticPr fontId="19"/>
  </si>
  <si>
    <t>丹波篠山市</t>
    <phoneticPr fontId="13"/>
  </si>
  <si>
    <t>丹波篠山市</t>
    <phoneticPr fontId="19"/>
  </si>
  <si>
    <t>丹波篠山市</t>
    <phoneticPr fontId="19"/>
  </si>
  <si>
    <t>丹波篠山市</t>
    <phoneticPr fontId="19"/>
  </si>
  <si>
    <t>丹波篠山市</t>
    <phoneticPr fontId="19"/>
  </si>
  <si>
    <t>丹波篠山市</t>
    <phoneticPr fontId="19"/>
  </si>
  <si>
    <t xml:space="preserve"> </t>
    <phoneticPr fontId="13"/>
  </si>
  <si>
    <t>令和3年度</t>
    <rPh sb="0" eb="2">
      <t>レイワ</t>
    </rPh>
    <rPh sb="3" eb="5">
      <t>ネンド</t>
    </rPh>
    <phoneticPr fontId="13"/>
  </si>
  <si>
    <t>令和元年度</t>
    <rPh sb="0" eb="2">
      <t>レイワ</t>
    </rPh>
    <rPh sb="2" eb="3">
      <t>ガン</t>
    </rPh>
    <rPh sb="3" eb="5">
      <t>ネンド</t>
    </rPh>
    <phoneticPr fontId="13"/>
  </si>
  <si>
    <t>R1/H30</t>
    <phoneticPr fontId="13"/>
  </si>
  <si>
    <t>R2/R1</t>
    <phoneticPr fontId="13"/>
  </si>
  <si>
    <t>令和元年度</t>
    <rPh sb="0" eb="2">
      <t>レイワ</t>
    </rPh>
    <rPh sb="2" eb="3">
      <t>ガン</t>
    </rPh>
    <phoneticPr fontId="4"/>
  </si>
  <si>
    <t>R1年度計</t>
    <rPh sb="2" eb="4">
      <t>ネンド</t>
    </rPh>
    <rPh sb="4" eb="5">
      <t>ケイ</t>
    </rPh>
    <phoneticPr fontId="13"/>
  </si>
  <si>
    <t>令和元年</t>
    <rPh sb="0" eb="2">
      <t>レイワ</t>
    </rPh>
    <rPh sb="2" eb="3">
      <t>ガン</t>
    </rPh>
    <rPh sb="3" eb="4">
      <t>ネン</t>
    </rPh>
    <phoneticPr fontId="13"/>
  </si>
  <si>
    <t>令和元年度計</t>
    <rPh sb="0" eb="2">
      <t>レイワ</t>
    </rPh>
    <rPh sb="2" eb="3">
      <t>ガン</t>
    </rPh>
    <rPh sb="3" eb="5">
      <t>ネンド</t>
    </rPh>
    <rPh sb="5" eb="6">
      <t>ケイ</t>
    </rPh>
    <phoneticPr fontId="13"/>
  </si>
  <si>
    <t>R1.10.1</t>
    <phoneticPr fontId="4"/>
  </si>
  <si>
    <t>R1</t>
    <phoneticPr fontId="13"/>
  </si>
  <si>
    <t>令和元年度</t>
    <rPh sb="0" eb="2">
      <t>レイワ</t>
    </rPh>
    <rPh sb="2" eb="5">
      <t>ガンネンド</t>
    </rPh>
    <phoneticPr fontId="13"/>
  </si>
  <si>
    <t>世帯当たり消費支出（令和元年）</t>
    <rPh sb="0" eb="2">
      <t>セタイ</t>
    </rPh>
    <rPh sb="2" eb="3">
      <t>ア</t>
    </rPh>
    <rPh sb="5" eb="7">
      <t>ショウヒ</t>
    </rPh>
    <rPh sb="7" eb="9">
      <t>シシュツ</t>
    </rPh>
    <rPh sb="10" eb="12">
      <t>レイワ</t>
    </rPh>
    <rPh sb="12" eb="13">
      <t>ガン</t>
    </rPh>
    <rPh sb="13" eb="14">
      <t>ネン</t>
    </rPh>
    <phoneticPr fontId="13"/>
  </si>
  <si>
    <t>R1/H30</t>
    <phoneticPr fontId="13"/>
  </si>
  <si>
    <t>　</t>
    <phoneticPr fontId="13"/>
  </si>
  <si>
    <t xml:space="preserve"> </t>
    <phoneticPr fontId="13"/>
  </si>
  <si>
    <t>令和元年度</t>
    <rPh sb="0" eb="2">
      <t>レイワ</t>
    </rPh>
    <rPh sb="2" eb="4">
      <t>ガンネン</t>
    </rPh>
    <rPh sb="4" eb="5">
      <t>ド</t>
    </rPh>
    <phoneticPr fontId="13"/>
  </si>
  <si>
    <t>R3/R2</t>
    <phoneticPr fontId="13"/>
  </si>
  <si>
    <t xml:space="preserve"> </t>
    <phoneticPr fontId="13"/>
  </si>
  <si>
    <t>R3年度計</t>
    <rPh sb="2" eb="4">
      <t>ネンド</t>
    </rPh>
    <rPh sb="4" eb="5">
      <t>ケイ</t>
    </rPh>
    <phoneticPr fontId="13"/>
  </si>
  <si>
    <t>R3</t>
    <phoneticPr fontId="13"/>
  </si>
  <si>
    <t>令和3年</t>
    <rPh sb="0" eb="2">
      <t>レイワ</t>
    </rPh>
    <rPh sb="3" eb="4">
      <t>ネン</t>
    </rPh>
    <phoneticPr fontId="13"/>
  </si>
  <si>
    <t>世帯数
2021年</t>
    <phoneticPr fontId="4"/>
  </si>
  <si>
    <t>R3.10.1</t>
    <phoneticPr fontId="4"/>
  </si>
  <si>
    <t>令和3年度市町内総生産（支出側：名目）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</si>
  <si>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 xml:space="preserve"> </t>
    <phoneticPr fontId="13"/>
  </si>
  <si>
    <t xml:space="preserve"> </t>
    <phoneticPr fontId="13"/>
  </si>
  <si>
    <t>H30-R2平均</t>
    <rPh sb="6" eb="8">
      <t>ヘイキン</t>
    </rPh>
    <phoneticPr fontId="13"/>
  </si>
  <si>
    <t xml:space="preserve"> </t>
    <phoneticPr fontId="13"/>
  </si>
  <si>
    <r>
      <t>R3／</t>
    </r>
    <r>
      <rPr>
        <sz val="10"/>
        <rFont val="游ゴシック"/>
        <family val="1"/>
        <charset val="128"/>
      </rPr>
      <t>R2</t>
    </r>
    <phoneticPr fontId="13"/>
  </si>
  <si>
    <t xml:space="preserve"> </t>
    <phoneticPr fontId="13"/>
  </si>
  <si>
    <t>令和元年度市町内総生産（支出側：名目）</t>
    <rPh sb="0" eb="2">
      <t>レイワ</t>
    </rPh>
    <rPh sb="2" eb="3">
      <t>ガン</t>
    </rPh>
    <rPh sb="3" eb="5">
      <t>ネンド</t>
    </rPh>
    <rPh sb="5" eb="8">
      <t>シチョウナイ</t>
    </rPh>
    <rPh sb="8" eb="11">
      <t>ソウセイサン</t>
    </rPh>
    <rPh sb="12" eb="14">
      <t>シシュツ</t>
    </rPh>
    <rPh sb="14" eb="15">
      <t>ガワ</t>
    </rPh>
    <rPh sb="16" eb="18">
      <t>メイモク</t>
    </rPh>
    <phoneticPr fontId="13"/>
  </si>
  <si>
    <t>R2.9.30公表</t>
    <rPh sb="7" eb="9">
      <t>コウヒョウ</t>
    </rPh>
    <phoneticPr fontId="13"/>
  </si>
  <si>
    <t>令和2年度</t>
    <rPh sb="0" eb="2">
      <t>レイワ</t>
    </rPh>
    <phoneticPr fontId="22"/>
  </si>
  <si>
    <t>令和元年度</t>
    <rPh sb="0" eb="2">
      <t>レイワ</t>
    </rPh>
    <rPh sb="2" eb="3">
      <t>ガン</t>
    </rPh>
    <phoneticPr fontId="22"/>
  </si>
  <si>
    <t xml:space="preserve"> </t>
    <phoneticPr fontId="13"/>
  </si>
  <si>
    <t>R2/9/1</t>
    <phoneticPr fontId="13"/>
  </si>
  <si>
    <t>←県民経済計算</t>
    <rPh sb="1" eb="3">
      <t>ケンミン</t>
    </rPh>
    <rPh sb="3" eb="5">
      <t>ケイザイ</t>
    </rPh>
    <rPh sb="5" eb="7">
      <t>ケイサン</t>
    </rPh>
    <phoneticPr fontId="13"/>
  </si>
  <si>
    <t>←四半期別QE等と一致させた市町民経済計算</t>
    <rPh sb="1" eb="4">
      <t>シハンキ</t>
    </rPh>
    <rPh sb="4" eb="5">
      <t>ベツ</t>
    </rPh>
    <rPh sb="7" eb="8">
      <t>ナド</t>
    </rPh>
    <rPh sb="9" eb="11">
      <t>イッチ</t>
    </rPh>
    <rPh sb="14" eb="15">
      <t>シ</t>
    </rPh>
    <rPh sb="15" eb="17">
      <t>チョウミン</t>
    </rPh>
    <rPh sb="17" eb="19">
      <t>ケイザイ</t>
    </rPh>
    <rPh sb="19" eb="21">
      <t>ケイサン</t>
    </rPh>
    <phoneticPr fontId="13"/>
  </si>
  <si>
    <t>←四半期別QE等</t>
    <rPh sb="1" eb="4">
      <t>シハンキ</t>
    </rPh>
    <rPh sb="4" eb="5">
      <t>ベツ</t>
    </rPh>
    <rPh sb="7" eb="8">
      <t>ナド</t>
    </rPh>
    <phoneticPr fontId="13"/>
  </si>
  <si>
    <t>R4/R3</t>
    <phoneticPr fontId="13"/>
  </si>
  <si>
    <t>令和4年度</t>
    <rPh sb="0" eb="2">
      <t>レイワ</t>
    </rPh>
    <rPh sb="3" eb="5">
      <t>ネンド</t>
    </rPh>
    <phoneticPr fontId="13"/>
  </si>
  <si>
    <t>推計</t>
    <rPh sb="0" eb="2">
      <t>スイケイ</t>
    </rPh>
    <phoneticPr fontId="4"/>
  </si>
  <si>
    <t>平成14年</t>
    <rPh sb="0" eb="2">
      <t>ヘイセイ</t>
    </rPh>
    <rPh sb="4" eb="5">
      <t>ネン</t>
    </rPh>
    <phoneticPr fontId="13"/>
  </si>
  <si>
    <t>平成15年</t>
    <phoneticPr fontId="13"/>
  </si>
  <si>
    <t>平成16年</t>
    <phoneticPr fontId="13"/>
  </si>
  <si>
    <t>平成17年</t>
    <phoneticPr fontId="13"/>
  </si>
  <si>
    <t>平成18年</t>
    <phoneticPr fontId="13"/>
  </si>
  <si>
    <t>平成19年</t>
    <phoneticPr fontId="13"/>
  </si>
  <si>
    <t>平成20年</t>
    <phoneticPr fontId="13"/>
  </si>
  <si>
    <t>平成21年</t>
    <phoneticPr fontId="13"/>
  </si>
  <si>
    <t>平成22年</t>
    <phoneticPr fontId="13"/>
  </si>
  <si>
    <t>平成23年</t>
    <phoneticPr fontId="13"/>
  </si>
  <si>
    <t>平成24年</t>
    <phoneticPr fontId="13"/>
  </si>
  <si>
    <t>平成25年</t>
    <phoneticPr fontId="13"/>
  </si>
  <si>
    <t>平成26年</t>
    <phoneticPr fontId="13"/>
  </si>
  <si>
    <t>令和元年</t>
    <rPh sb="0" eb="2">
      <t>レイワ</t>
    </rPh>
    <rPh sb="2" eb="4">
      <t>ガンネン</t>
    </rPh>
    <phoneticPr fontId="13"/>
  </si>
  <si>
    <t>令和2年</t>
    <rPh sb="0" eb="2">
      <t>レイワ</t>
    </rPh>
    <rPh sb="3" eb="4">
      <t>ネン</t>
    </rPh>
    <phoneticPr fontId="13"/>
  </si>
  <si>
    <t>世帯数
2022年</t>
    <phoneticPr fontId="4"/>
  </si>
  <si>
    <t>令和4年</t>
    <rPh sb="0" eb="2">
      <t>レイワ</t>
    </rPh>
    <rPh sb="3" eb="4">
      <t>ネン</t>
    </rPh>
    <phoneticPr fontId="13"/>
  </si>
  <si>
    <t>R1-R3平均</t>
    <rPh sb="5" eb="7">
      <t>ヘイキン</t>
    </rPh>
    <phoneticPr fontId="13"/>
  </si>
  <si>
    <t>R4年度計</t>
    <rPh sb="2" eb="4">
      <t>ネンド</t>
    </rPh>
    <rPh sb="4" eb="5">
      <t>ケイ</t>
    </rPh>
    <phoneticPr fontId="13"/>
  </si>
  <si>
    <t>令和2年度</t>
    <rPh sb="0" eb="2">
      <t>レイワ</t>
    </rPh>
    <rPh sb="3" eb="5">
      <t>ネンド</t>
    </rPh>
    <rPh sb="4" eb="5">
      <t>ド</t>
    </rPh>
    <phoneticPr fontId="13"/>
  </si>
  <si>
    <t>令和4年度市町内総生産（支出側：名目）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</si>
  <si>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 xml:space="preserve"> </t>
    <phoneticPr fontId="13"/>
  </si>
  <si>
    <t xml:space="preserve"> </t>
    <phoneticPr fontId="13"/>
  </si>
  <si>
    <t xml:space="preserve"> </t>
    <phoneticPr fontId="13"/>
  </si>
  <si>
    <t>R4</t>
    <phoneticPr fontId="13"/>
  </si>
  <si>
    <r>
      <t>R4／</t>
    </r>
    <r>
      <rPr>
        <sz val="11"/>
        <rFont val="明朝"/>
        <family val="1"/>
        <charset val="128"/>
      </rPr>
      <t>R3</t>
    </r>
    <phoneticPr fontId="13"/>
  </si>
  <si>
    <t xml:space="preserve"> </t>
    <phoneticPr fontId="13"/>
  </si>
  <si>
    <t xml:space="preserve"> </t>
    <phoneticPr fontId="13"/>
  </si>
  <si>
    <t>H27基準</t>
    <rPh sb="3" eb="5">
      <t>キジュン</t>
    </rPh>
    <phoneticPr fontId="13"/>
  </si>
  <si>
    <t>令和元年度</t>
    <rPh sb="0" eb="2">
      <t>レイワ</t>
    </rPh>
    <rPh sb="2" eb="3">
      <t>ガン</t>
    </rPh>
    <rPh sb="3" eb="4">
      <t>ネン</t>
    </rPh>
    <rPh sb="4" eb="5">
      <t>ド</t>
    </rPh>
    <phoneticPr fontId="13"/>
  </si>
  <si>
    <t>令和3年度</t>
    <rPh sb="0" eb="2">
      <t>レイワ</t>
    </rPh>
    <phoneticPr fontId="22"/>
  </si>
  <si>
    <t>R3/5/24</t>
    <phoneticPr fontId="13"/>
  </si>
  <si>
    <t>令和5年度</t>
    <rPh sb="0" eb="2">
      <t>レイワ</t>
    </rPh>
    <rPh sb="3" eb="5">
      <t>ネンド</t>
    </rPh>
    <phoneticPr fontId="13"/>
  </si>
  <si>
    <t>R5/R4</t>
    <phoneticPr fontId="13"/>
  </si>
  <si>
    <t>H27連鎖</t>
    <rPh sb="3" eb="5">
      <t>レンサ</t>
    </rPh>
    <phoneticPr fontId="13"/>
  </si>
  <si>
    <t>　D．住宅・電気・ガス・水道</t>
    <rPh sb="3" eb="5">
      <t>ジュウタク</t>
    </rPh>
    <phoneticPr fontId="2"/>
  </si>
  <si>
    <t>　H．情報・通信</t>
    <rPh sb="3" eb="5">
      <t>ジョウホウ</t>
    </rPh>
    <phoneticPr fontId="2"/>
  </si>
  <si>
    <t>　I．娯楽・スポーツ・文化</t>
  </si>
  <si>
    <t xml:space="preserve">  J．教育サービス</t>
  </si>
  <si>
    <t xml:space="preserve">  K．外食・宿泊サービス</t>
  </si>
  <si>
    <t xml:space="preserve">  L．保険・金融サービスその他</t>
    <rPh sb="4" eb="6">
      <t>ホケン</t>
    </rPh>
    <rPh sb="7" eb="9">
      <t>キンユウ</t>
    </rPh>
    <phoneticPr fontId="2"/>
  </si>
  <si>
    <t>　M．個別ケア・社会保護・その他</t>
    <rPh sb="3" eb="5">
      <t>コベツ</t>
    </rPh>
    <rPh sb="8" eb="12">
      <t>シャカイホゴ</t>
    </rPh>
    <rPh sb="15" eb="16">
      <t>タ</t>
    </rPh>
    <phoneticPr fontId="2"/>
  </si>
  <si>
    <t>2 地方政府等最終消費支出</t>
    <rPh sb="2" eb="4">
      <t>チホウ</t>
    </rPh>
    <rPh sb="6" eb="7">
      <t>トウ</t>
    </rPh>
    <phoneticPr fontId="2"/>
  </si>
  <si>
    <t xml:space="preserve"> (1)  県</t>
  </si>
  <si>
    <t xml:space="preserve"> (2)市  町</t>
  </si>
  <si>
    <t xml:space="preserve"> (3)地方社会保障基金</t>
    <rPh sb="4" eb="6">
      <t>チホウ</t>
    </rPh>
    <rPh sb="6" eb="8">
      <t>シャカイ</t>
    </rPh>
    <rPh sb="8" eb="10">
      <t>ホショウ</t>
    </rPh>
    <rPh sb="10" eb="12">
      <t>キキン</t>
    </rPh>
    <phoneticPr fontId="2"/>
  </si>
  <si>
    <t xml:space="preserve">  a 民  間</t>
  </si>
  <si>
    <t xml:space="preserve">   （a） 住    宅</t>
  </si>
  <si>
    <t xml:space="preserve">   （b） 企業設備</t>
  </si>
  <si>
    <t xml:space="preserve">  b　 公  的</t>
  </si>
  <si>
    <t xml:space="preserve"> 　（c） 一般政府（中央政府等・地方政府等）</t>
    <rPh sb="11" eb="13">
      <t>チュウオウ</t>
    </rPh>
    <rPh sb="13" eb="16">
      <t>セイフナド</t>
    </rPh>
    <rPh sb="17" eb="19">
      <t>チホウ</t>
    </rPh>
    <rPh sb="19" eb="21">
      <t>セイフ</t>
    </rPh>
    <rPh sb="21" eb="22">
      <t>ナド</t>
    </rPh>
    <phoneticPr fontId="2"/>
  </si>
  <si>
    <t xml:space="preserve"> (2)在庫変動</t>
    <rPh sb="6" eb="8">
      <t>ヘンドウ</t>
    </rPh>
    <phoneticPr fontId="2"/>
  </si>
  <si>
    <t xml:space="preserve">   a 民間企業</t>
  </si>
  <si>
    <t xml:space="preserve">   b 公的（公的企業・一般政府）</t>
    <rPh sb="8" eb="10">
      <t>コウテキ</t>
    </rPh>
    <rPh sb="10" eb="12">
      <t>キギョウ</t>
    </rPh>
    <rPh sb="13" eb="15">
      <t>イッパン</t>
    </rPh>
    <rPh sb="15" eb="17">
      <t>セイフ</t>
    </rPh>
    <phoneticPr fontId="2"/>
  </si>
  <si>
    <t>　県民総所得(市場価格)</t>
  </si>
  <si>
    <t xml:space="preserve"> (5)中央政府等（準地域）への移出</t>
    <rPh sb="4" eb="6">
      <t>チュウオウ</t>
    </rPh>
    <rPh sb="6" eb="9">
      <t>セイフトウ</t>
    </rPh>
    <rPh sb="10" eb="13">
      <t>ジュンチイキ</t>
    </rPh>
    <rPh sb="16" eb="18">
      <t>イシュツ</t>
    </rPh>
    <phoneticPr fontId="12"/>
  </si>
  <si>
    <t>5  県内総支出(市場価格)(1+2+3+4)</t>
    <phoneticPr fontId="12"/>
  </si>
  <si>
    <t>６ 県内総生産（支出側／実質）［その１］</t>
    <rPh sb="5" eb="7">
      <t>セイサン</t>
    </rPh>
    <rPh sb="8" eb="10">
      <t>シシュツ</t>
    </rPh>
    <rPh sb="10" eb="11">
      <t>ガワ</t>
    </rPh>
    <phoneticPr fontId="17"/>
  </si>
  <si>
    <t xml:space="preserve"> (3)中央政府等（準地域）への移出</t>
    <rPh sb="4" eb="6">
      <t>チュウオウ</t>
    </rPh>
    <rPh sb="6" eb="9">
      <t>セイフトウ</t>
    </rPh>
    <rPh sb="10" eb="13">
      <t>ジュンチイキ</t>
    </rPh>
    <rPh sb="15" eb="16">
      <t>イニュウ</t>
    </rPh>
    <rPh sb="16" eb="17">
      <t>ユニュウ</t>
    </rPh>
    <rPh sb="17" eb="18">
      <t>デ</t>
    </rPh>
    <phoneticPr fontId="2"/>
  </si>
  <si>
    <t>国勢調査</t>
    <rPh sb="0" eb="2">
      <t>コクセイ</t>
    </rPh>
    <rPh sb="2" eb="4">
      <t>チョウサ</t>
    </rPh>
    <phoneticPr fontId="3"/>
  </si>
  <si>
    <t>補間補正後</t>
    <rPh sb="0" eb="2">
      <t>ホカン</t>
    </rPh>
    <rPh sb="2" eb="5">
      <t>ホセイゴ</t>
    </rPh>
    <phoneticPr fontId="4"/>
  </si>
  <si>
    <t>R2国調ベース</t>
    <rPh sb="2" eb="4">
      <t>コクチョウ</t>
    </rPh>
    <phoneticPr fontId="4"/>
  </si>
  <si>
    <t>差</t>
    <rPh sb="0" eb="1">
      <t>サ</t>
    </rPh>
    <phoneticPr fontId="4"/>
  </si>
  <si>
    <t>H26組替編</t>
    <rPh sb="3" eb="5">
      <t>クミカ</t>
    </rPh>
    <rPh sb="5" eb="6">
      <t>ヘン</t>
    </rPh>
    <phoneticPr fontId="13"/>
  </si>
  <si>
    <t>H31全国家計構造調査</t>
    <rPh sb="3" eb="5">
      <t>ゼンコク</t>
    </rPh>
    <rPh sb="5" eb="7">
      <t>カケイ</t>
    </rPh>
    <rPh sb="7" eb="9">
      <t>コウゾウ</t>
    </rPh>
    <rPh sb="9" eb="11">
      <t>チョウサ</t>
    </rPh>
    <phoneticPr fontId="13"/>
  </si>
  <si>
    <t>R２国勢調査　一般世帯</t>
    <rPh sb="2" eb="4">
      <t>コクセイ</t>
    </rPh>
    <rPh sb="4" eb="6">
      <t>チョウサ</t>
    </rPh>
    <rPh sb="7" eb="9">
      <t>イッパン</t>
    </rPh>
    <rPh sb="9" eb="11">
      <t>セタイ</t>
    </rPh>
    <phoneticPr fontId="13"/>
  </si>
  <si>
    <t>総世帯</t>
    <rPh sb="0" eb="3">
      <t>ソウセタイ</t>
    </rPh>
    <phoneticPr fontId="13"/>
  </si>
  <si>
    <t>二人以上</t>
    <rPh sb="0" eb="2">
      <t>フタリ</t>
    </rPh>
    <rPh sb="2" eb="4">
      <t>イジョウ</t>
    </rPh>
    <phoneticPr fontId="13"/>
  </si>
  <si>
    <t>単身</t>
    <rPh sb="0" eb="2">
      <t>タンシン</t>
    </rPh>
    <phoneticPr fontId="13"/>
  </si>
  <si>
    <t>A</t>
  </si>
  <si>
    <t>経済圏Ａ（神戸市・淡路地域）</t>
    <phoneticPr fontId="13"/>
  </si>
  <si>
    <t>B</t>
  </si>
  <si>
    <t>経済圏Ｂ（阪神南地域）</t>
    <phoneticPr fontId="13"/>
  </si>
  <si>
    <t>C</t>
  </si>
  <si>
    <t>経済圏Ｃ（阪神北地域）</t>
    <phoneticPr fontId="13"/>
  </si>
  <si>
    <t>D</t>
  </si>
  <si>
    <t>経済圏Ｄ（東播磨地域）</t>
    <phoneticPr fontId="13"/>
  </si>
  <si>
    <t>E</t>
  </si>
  <si>
    <t>経済圏Ｅ（北播磨地域）</t>
    <phoneticPr fontId="13"/>
  </si>
  <si>
    <t>F</t>
  </si>
  <si>
    <t>経済圏Ｆ（中播磨地域）</t>
    <phoneticPr fontId="13"/>
  </si>
  <si>
    <t>G</t>
  </si>
  <si>
    <t>経済圏Ｇ（西播磨地域）</t>
    <phoneticPr fontId="13"/>
  </si>
  <si>
    <t>H</t>
  </si>
  <si>
    <t>経済圏Ｈ（但馬・丹波地域）</t>
    <phoneticPr fontId="13"/>
  </si>
  <si>
    <t>性質別</t>
    <rPh sb="0" eb="2">
      <t>セイシツ</t>
    </rPh>
    <rPh sb="2" eb="3">
      <t>ベツ</t>
    </rPh>
    <phoneticPr fontId="13"/>
  </si>
  <si>
    <t>直近三か年平均</t>
    <rPh sb="0" eb="2">
      <t>チョッキン</t>
    </rPh>
    <rPh sb="2" eb="3">
      <t>サン</t>
    </rPh>
    <rPh sb="4" eb="5">
      <t>ネン</t>
    </rPh>
    <rPh sb="5" eb="7">
      <t>ヘイキン</t>
    </rPh>
    <phoneticPr fontId="13"/>
  </si>
  <si>
    <t>2地方政府等最終消費支出</t>
    <rPh sb="1" eb="3">
      <t>チホウ</t>
    </rPh>
    <rPh sb="3" eb="6">
      <t>セイフトウ</t>
    </rPh>
    <rPh sb="6" eb="8">
      <t>サイシュウ</t>
    </rPh>
    <rPh sb="8" eb="10">
      <t>ショウヒ</t>
    </rPh>
    <rPh sb="10" eb="12">
      <t>シシュツ</t>
    </rPh>
    <phoneticPr fontId="13"/>
  </si>
  <si>
    <t>民間企業設備計</t>
    <rPh sb="0" eb="2">
      <t>ミンカン</t>
    </rPh>
    <rPh sb="2" eb="4">
      <t>キギョウ</t>
    </rPh>
    <rPh sb="4" eb="6">
      <t>セツビ</t>
    </rPh>
    <rPh sb="6" eb="7">
      <t>ケイ</t>
    </rPh>
    <phoneticPr fontId="13"/>
  </si>
  <si>
    <t>①建物・構築物・機械（製造）</t>
    <rPh sb="8" eb="10">
      <t>キカイ</t>
    </rPh>
    <rPh sb="11" eb="13">
      <t>セイゾウ</t>
    </rPh>
    <phoneticPr fontId="13"/>
  </si>
  <si>
    <t>②建物・構築物・機械（非製造）</t>
    <rPh sb="8" eb="10">
      <t>キカイ</t>
    </rPh>
    <rPh sb="11" eb="14">
      <t>ヒセイゾウ</t>
    </rPh>
    <phoneticPr fontId="13"/>
  </si>
  <si>
    <t>③育成生物資源（全産業）</t>
    <rPh sb="8" eb="11">
      <t>ゼンサンギョウ</t>
    </rPh>
    <phoneticPr fontId="13"/>
  </si>
  <si>
    <t>④R&amp;D・ソフトウェア（全産業）</t>
    <phoneticPr fontId="13"/>
  </si>
  <si>
    <t>⑤娯楽作品原本（全産業）</t>
    <phoneticPr fontId="13"/>
  </si>
  <si>
    <t>計</t>
    <rPh sb="0" eb="1">
      <t>ケイ</t>
    </rPh>
    <phoneticPr fontId="13"/>
  </si>
  <si>
    <t>製造業（再集計）</t>
    <rPh sb="0" eb="3">
      <t>セイゾウギョウ</t>
    </rPh>
    <rPh sb="4" eb="7">
      <t>サイシュウケイ</t>
    </rPh>
    <phoneticPr fontId="13"/>
  </si>
  <si>
    <t>非製造業（再集計）</t>
    <rPh sb="0" eb="4">
      <t>ヒセイゾウギョウ</t>
    </rPh>
    <rPh sb="5" eb="8">
      <t>サイシュウケイ</t>
    </rPh>
    <phoneticPr fontId="13"/>
  </si>
  <si>
    <t>内需</t>
    <rPh sb="0" eb="2">
      <t>ナイジュ</t>
    </rPh>
    <phoneticPr fontId="13"/>
  </si>
  <si>
    <t>民間投資</t>
    <rPh sb="0" eb="1">
      <t>ミンカン</t>
    </rPh>
    <rPh sb="1" eb="3">
      <t>トウシ</t>
    </rPh>
    <phoneticPr fontId="13"/>
  </si>
  <si>
    <t>公的投資</t>
    <rPh sb="0" eb="2">
      <t>コウテキ</t>
    </rPh>
    <rPh sb="2" eb="4">
      <t>トウシ</t>
    </rPh>
    <phoneticPr fontId="13"/>
  </si>
  <si>
    <t>中央政府等（準地域）への移出</t>
  </si>
  <si>
    <t>県内総支出と照合</t>
    <rPh sb="0" eb="1">
      <t>ケン</t>
    </rPh>
    <rPh sb="1" eb="2">
      <t>ナイ</t>
    </rPh>
    <rPh sb="2" eb="5">
      <t>ソウシシュツ</t>
    </rPh>
    <rPh sb="6" eb="8">
      <t>ショウゴウ</t>
    </rPh>
    <phoneticPr fontId="13"/>
  </si>
  <si>
    <t>宝塚市</t>
    <phoneticPr fontId="13"/>
  </si>
  <si>
    <t>市町内総生産（名目）時系列表（平成18年度～）県民経済計算改定後</t>
    <rPh sb="2" eb="3">
      <t>ナイ</t>
    </rPh>
    <rPh sb="3" eb="4">
      <t>ソウ</t>
    </rPh>
    <rPh sb="7" eb="9">
      <t>メイモク</t>
    </rPh>
    <rPh sb="10" eb="13">
      <t>ジケイレツ</t>
    </rPh>
    <rPh sb="13" eb="14">
      <t>ヒョウ</t>
    </rPh>
    <rPh sb="15" eb="17">
      <t>ヘイセイ</t>
    </rPh>
    <rPh sb="19" eb="21">
      <t>ネンド</t>
    </rPh>
    <rPh sb="23" eb="25">
      <t>ケンミン</t>
    </rPh>
    <rPh sb="25" eb="27">
      <t>ケイザイ</t>
    </rPh>
    <rPh sb="27" eb="29">
      <t>ケイサン</t>
    </rPh>
    <rPh sb="29" eb="31">
      <t>カイテイ</t>
    </rPh>
    <rPh sb="31" eb="32">
      <t>ゴ</t>
    </rPh>
    <phoneticPr fontId="12"/>
  </si>
  <si>
    <t>市町内総生産（実質）時系列表（平成23年度～）県民経済計算改定後</t>
    <rPh sb="2" eb="3">
      <t>ナイ</t>
    </rPh>
    <rPh sb="3" eb="4">
      <t>ソウ</t>
    </rPh>
    <rPh sb="7" eb="9">
      <t>ジッシツ</t>
    </rPh>
    <rPh sb="10" eb="13">
      <t>ジケイレツ</t>
    </rPh>
    <rPh sb="13" eb="14">
      <t>ヒョウ</t>
    </rPh>
    <rPh sb="15" eb="17">
      <t>ヘイセイ</t>
    </rPh>
    <rPh sb="19" eb="21">
      <t>ネンド</t>
    </rPh>
    <rPh sb="23" eb="25">
      <t>ケンミン</t>
    </rPh>
    <rPh sb="25" eb="27">
      <t>ケイザイ</t>
    </rPh>
    <rPh sb="27" eb="29">
      <t>ケイサン</t>
    </rPh>
    <rPh sb="29" eb="31">
      <t>カイテイ</t>
    </rPh>
    <rPh sb="31" eb="32">
      <t>ゴ</t>
    </rPh>
    <phoneticPr fontId="12"/>
  </si>
  <si>
    <t>県民経済計算</t>
  </si>
  <si>
    <t>県民経済計算</t>
    <rPh sb="0" eb="2">
      <t>ケンミン</t>
    </rPh>
    <rPh sb="2" eb="4">
      <t>ケイザイ</t>
    </rPh>
    <rPh sb="4" eb="6">
      <t>ケイサン</t>
    </rPh>
    <phoneticPr fontId="13"/>
  </si>
  <si>
    <t>検算用</t>
  </si>
  <si>
    <t>地方政府等最終消費支出</t>
    <rPh sb="0" eb="2">
      <t>チホウ</t>
    </rPh>
    <rPh sb="2" eb="4">
      <t>セイフ</t>
    </rPh>
    <rPh sb="4" eb="5">
      <t>トウ</t>
    </rPh>
    <rPh sb="5" eb="7">
      <t>サイシュウ</t>
    </rPh>
    <rPh sb="7" eb="9">
      <t>ショウヒ</t>
    </rPh>
    <rPh sb="9" eb="11">
      <t>シシュツ</t>
    </rPh>
    <phoneticPr fontId="13"/>
  </si>
  <si>
    <t>分割値</t>
    <rPh sb="0" eb="2">
      <t>ブンカツ</t>
    </rPh>
    <rPh sb="2" eb="3">
      <t>チ</t>
    </rPh>
    <phoneticPr fontId="12"/>
  </si>
  <si>
    <t>地方政府按分</t>
    <rPh sb="0" eb="2">
      <t>チホウ</t>
    </rPh>
    <rPh sb="2" eb="4">
      <t>セイフ</t>
    </rPh>
    <rPh sb="4" eb="6">
      <t>アンブン</t>
    </rPh>
    <phoneticPr fontId="12"/>
  </si>
  <si>
    <t>総生産按分</t>
    <rPh sb="0" eb="3">
      <t>ソウセイサン</t>
    </rPh>
    <rPh sb="3" eb="5">
      <t>アンブン</t>
    </rPh>
    <phoneticPr fontId="12"/>
  </si>
  <si>
    <t>需要按分</t>
    <rPh sb="0" eb="2">
      <t>ジュヨウ</t>
    </rPh>
    <rPh sb="2" eb="4">
      <t>アンブン</t>
    </rPh>
    <phoneticPr fontId="12"/>
  </si>
  <si>
    <t>全体－不突合</t>
    <rPh sb="0" eb="2">
      <t>ゼンタイ</t>
    </rPh>
    <rPh sb="3" eb="6">
      <t>フトツゴウ</t>
    </rPh>
    <phoneticPr fontId="12"/>
  </si>
  <si>
    <t>純移出入＝移輸出－移輸入</t>
    <rPh sb="0" eb="1">
      <t>ジュン</t>
    </rPh>
    <rPh sb="1" eb="3">
      <t>イシュツ</t>
    </rPh>
    <rPh sb="3" eb="4">
      <t>ニュウ</t>
    </rPh>
    <rPh sb="5" eb="6">
      <t>イ</t>
    </rPh>
    <rPh sb="6" eb="8">
      <t>ユシュツ</t>
    </rPh>
    <rPh sb="9" eb="10">
      <t>イ</t>
    </rPh>
    <rPh sb="10" eb="12">
      <t>ユニュウ</t>
    </rPh>
    <phoneticPr fontId="13"/>
  </si>
  <si>
    <t>県内総支出</t>
    <rPh sb="0" eb="2">
      <t>ケンナイ</t>
    </rPh>
    <rPh sb="2" eb="5">
      <t>ソウシシュツ</t>
    </rPh>
    <phoneticPr fontId="12"/>
  </si>
  <si>
    <t>純移出入＝移輸出－移輸入+FISIM+中央政府+</t>
    <rPh sb="0" eb="1">
      <t>ジュン</t>
    </rPh>
    <rPh sb="1" eb="3">
      <t>イシュツ</t>
    </rPh>
    <rPh sb="3" eb="4">
      <t>ニュウ</t>
    </rPh>
    <rPh sb="5" eb="6">
      <t>イ</t>
    </rPh>
    <rPh sb="6" eb="8">
      <t>ユシュツ</t>
    </rPh>
    <rPh sb="9" eb="10">
      <t>イ</t>
    </rPh>
    <rPh sb="10" eb="12">
      <t>ユニュウ</t>
    </rPh>
    <rPh sb="19" eb="21">
      <t>チュウオウ</t>
    </rPh>
    <rPh sb="21" eb="23">
      <t>セイフ</t>
    </rPh>
    <phoneticPr fontId="13"/>
  </si>
  <si>
    <t>経済圏Ａ（神戸市・淡路地域）</t>
  </si>
  <si>
    <t>経済圏Ｂ（阪神南地域）</t>
  </si>
  <si>
    <t>経済圏Ｃ（阪神北地域）</t>
  </si>
  <si>
    <t>経済圏Ｄ（東播磨地域）</t>
  </si>
  <si>
    <t>経済圏Ｅ（北播磨地域）</t>
  </si>
  <si>
    <t>経済圏Ｆ（中播磨地域）</t>
  </si>
  <si>
    <t>経済圏Ｇ（西播磨地域）</t>
  </si>
  <si>
    <t>経済圏Ｈ（但馬・丹波地域）</t>
  </si>
  <si>
    <t>H27国勢調査　一般世帯</t>
    <rPh sb="3" eb="5">
      <t>コクセイ</t>
    </rPh>
    <rPh sb="5" eb="7">
      <t>チョウサ</t>
    </rPh>
    <rPh sb="8" eb="10">
      <t>イッパン</t>
    </rPh>
    <rPh sb="10" eb="12">
      <t>セタイ</t>
    </rPh>
    <phoneticPr fontId="13"/>
  </si>
  <si>
    <t>平成26年組替</t>
    <rPh sb="0" eb="2">
      <t>ヘイセイ</t>
    </rPh>
    <rPh sb="4" eb="5">
      <t>ネン</t>
    </rPh>
    <rPh sb="5" eb="7">
      <t>クミカ</t>
    </rPh>
    <phoneticPr fontId="13"/>
  </si>
  <si>
    <t>東北播磨地域</t>
    <rPh sb="0" eb="1">
      <t>ヒガシ</t>
    </rPh>
    <rPh sb="1" eb="2">
      <t>キタ</t>
    </rPh>
    <rPh sb="2" eb="4">
      <t>ハリマ</t>
    </rPh>
    <rPh sb="4" eb="6">
      <t>チイキ</t>
    </rPh>
    <phoneticPr fontId="13"/>
  </si>
  <si>
    <t>中西播磨地域</t>
    <rPh sb="0" eb="1">
      <t>ナカ</t>
    </rPh>
    <rPh sb="1" eb="2">
      <t>ニシ</t>
    </rPh>
    <rPh sb="2" eb="4">
      <t>ハリマ</t>
    </rPh>
    <rPh sb="4" eb="6">
      <t>チイキ</t>
    </rPh>
    <phoneticPr fontId="13"/>
  </si>
  <si>
    <t>平成31年調整</t>
    <rPh sb="0" eb="2">
      <t>ヘイセイ</t>
    </rPh>
    <rPh sb="4" eb="5">
      <t>ネン</t>
    </rPh>
    <rPh sb="5" eb="7">
      <t>チョウセイ</t>
    </rPh>
    <phoneticPr fontId="13"/>
  </si>
  <si>
    <t>同左　世帯分布数</t>
    <rPh sb="0" eb="2">
      <t>ドウサ</t>
    </rPh>
    <rPh sb="3" eb="5">
      <t>セタイ</t>
    </rPh>
    <rPh sb="5" eb="7">
      <t>ブンプ</t>
    </rPh>
    <rPh sb="7" eb="8">
      <t>スウ</t>
    </rPh>
    <phoneticPr fontId="13"/>
  </si>
  <si>
    <t>照合</t>
    <rPh sb="0" eb="2">
      <t>ショウゴウ</t>
    </rPh>
    <phoneticPr fontId="12"/>
  </si>
  <si>
    <t>県内総支出</t>
    <rPh sb="0" eb="1">
      <t>ケン</t>
    </rPh>
    <rPh sb="1" eb="2">
      <t>ナイ</t>
    </rPh>
    <rPh sb="2" eb="5">
      <t>ソウシシュツ</t>
    </rPh>
    <phoneticPr fontId="13"/>
  </si>
  <si>
    <t>←神戸市に集めた市町分割の端数処理調整がおかしくないかの確認</t>
    <rPh sb="1" eb="4">
      <t>コウベシ</t>
    </rPh>
    <rPh sb="5" eb="6">
      <t>アツ</t>
    </rPh>
    <rPh sb="8" eb="10">
      <t>シチョウ</t>
    </rPh>
    <rPh sb="10" eb="12">
      <t>ブンカツ</t>
    </rPh>
    <rPh sb="13" eb="15">
      <t>ハスウ</t>
    </rPh>
    <rPh sb="15" eb="17">
      <t>ショリ</t>
    </rPh>
    <rPh sb="17" eb="19">
      <t>チョウセイ</t>
    </rPh>
    <rPh sb="28" eb="30">
      <t>カクニン</t>
    </rPh>
    <phoneticPr fontId="13"/>
  </si>
  <si>
    <t>県内総支出</t>
    <rPh sb="0" eb="2">
      <t>ケンナイ</t>
    </rPh>
    <rPh sb="2" eb="5">
      <t>ソウシシュツ</t>
    </rPh>
    <phoneticPr fontId="13"/>
  </si>
  <si>
    <t>H18</t>
  </si>
  <si>
    <t>H19</t>
  </si>
  <si>
    <t>H20</t>
  </si>
  <si>
    <t>令和２年度</t>
    <rPh sb="0" eb="2">
      <t>レイワ</t>
    </rPh>
    <rPh sb="3" eb="5">
      <t>ネンド</t>
    </rPh>
    <phoneticPr fontId="13"/>
  </si>
  <si>
    <t>市町内総生産（支出側：名目、平成27年基準）</t>
    <rPh sb="0" eb="3">
      <t>シチョウナイ</t>
    </rPh>
    <rPh sb="3" eb="4">
      <t>ソウ</t>
    </rPh>
    <rPh sb="4" eb="6">
      <t>セイサン</t>
    </rPh>
    <rPh sb="7" eb="9">
      <t>シシュツ</t>
    </rPh>
    <rPh sb="9" eb="10">
      <t>ガワ</t>
    </rPh>
    <rPh sb="11" eb="12">
      <t>メイ</t>
    </rPh>
    <rPh sb="12" eb="13">
      <t>メ</t>
    </rPh>
    <rPh sb="14" eb="16">
      <t>ヘイセイ</t>
    </rPh>
    <rPh sb="18" eb="19">
      <t>ネン</t>
    </rPh>
    <rPh sb="19" eb="21">
      <t>キジュン</t>
    </rPh>
    <phoneticPr fontId="13"/>
  </si>
  <si>
    <t>需要計（除非製造業設備投資、民間在庫）</t>
    <rPh sb="0" eb="2">
      <t>ジュヨウ</t>
    </rPh>
    <rPh sb="2" eb="3">
      <t>ケイ</t>
    </rPh>
    <rPh sb="4" eb="5">
      <t>ノゾ</t>
    </rPh>
    <rPh sb="5" eb="6">
      <t>ヒ</t>
    </rPh>
    <rPh sb="6" eb="9">
      <t>セイゾウギョウ</t>
    </rPh>
    <rPh sb="9" eb="11">
      <t>セツビ</t>
    </rPh>
    <rPh sb="11" eb="13">
      <t>トウシ</t>
    </rPh>
    <rPh sb="14" eb="16">
      <t>ミンカン</t>
    </rPh>
    <rPh sb="16" eb="18">
      <t>ザイコ</t>
    </rPh>
    <phoneticPr fontId="13"/>
  </si>
  <si>
    <t>他シートで使用</t>
    <rPh sb="0" eb="1">
      <t>タ</t>
    </rPh>
    <rPh sb="5" eb="7">
      <t>シヨウ</t>
    </rPh>
    <phoneticPr fontId="13"/>
  </si>
  <si>
    <t>検算まとめ（一致確認）</t>
    <rPh sb="0" eb="2">
      <t>ケンザン</t>
    </rPh>
    <rPh sb="6" eb="8">
      <t>イッチ</t>
    </rPh>
    <rPh sb="8" eb="10">
      <t>カクニン</t>
    </rPh>
    <phoneticPr fontId="13"/>
  </si>
  <si>
    <t>県民経済計算</t>
    <rPh sb="0" eb="6">
      <t>ケンミンケイザイケイサン</t>
    </rPh>
    <phoneticPr fontId="13"/>
  </si>
  <si>
    <t>横計（生産側）</t>
    <rPh sb="0" eb="1">
      <t>ヨコ</t>
    </rPh>
    <rPh sb="1" eb="2">
      <t>ケイ</t>
    </rPh>
    <rPh sb="3" eb="6">
      <t>セイサンガワ</t>
    </rPh>
    <phoneticPr fontId="13"/>
  </si>
  <si>
    <t>内需計（除非製造業設備投資、民間在庫）</t>
    <rPh sb="0" eb="2">
      <t>ナイジュ</t>
    </rPh>
    <rPh sb="2" eb="3">
      <t>ケイ</t>
    </rPh>
    <rPh sb="4" eb="5">
      <t>ノゾ</t>
    </rPh>
    <rPh sb="5" eb="6">
      <t>ヒ</t>
    </rPh>
    <rPh sb="6" eb="9">
      <t>セイゾウギョウ</t>
    </rPh>
    <rPh sb="9" eb="11">
      <t>セツビ</t>
    </rPh>
    <rPh sb="11" eb="13">
      <t>トウシ</t>
    </rPh>
    <rPh sb="14" eb="16">
      <t>ミンカン</t>
    </rPh>
    <rPh sb="16" eb="18">
      <t>ザイコ</t>
    </rPh>
    <phoneticPr fontId="13"/>
  </si>
  <si>
    <t>市町歳出額（人件費＋物件費＋維持補修費）</t>
    <rPh sb="0" eb="2">
      <t>シチョウ</t>
    </rPh>
    <rPh sb="2" eb="4">
      <t>サイシュツ</t>
    </rPh>
    <rPh sb="4" eb="5">
      <t>ガク</t>
    </rPh>
    <rPh sb="6" eb="9">
      <t>ジンケンヒ</t>
    </rPh>
    <rPh sb="10" eb="12">
      <t>ブッケン</t>
    </rPh>
    <rPh sb="12" eb="13">
      <t>ヒ</t>
    </rPh>
    <rPh sb="14" eb="16">
      <t>イジ</t>
    </rPh>
    <rPh sb="16" eb="18">
      <t>ホシュウ</t>
    </rPh>
    <rPh sb="18" eb="19">
      <t>ヒ</t>
    </rPh>
    <phoneticPr fontId="13"/>
  </si>
  <si>
    <t>県内総支出</t>
    <rPh sb="0" eb="2">
      <t>ケンナイ</t>
    </rPh>
    <rPh sb="2" eb="5">
      <t>ソウシシュツ</t>
    </rPh>
    <phoneticPr fontId="13"/>
  </si>
  <si>
    <t>算式</t>
    <rPh sb="0" eb="2">
      <t>サンシキ</t>
    </rPh>
    <phoneticPr fontId="12"/>
  </si>
  <si>
    <t>内需計（除非製造業設備投資、民間在庫）</t>
    <rPh sb="0" eb="3">
      <t>ナイジュケイ</t>
    </rPh>
    <rPh sb="4" eb="5">
      <t>ノゾ</t>
    </rPh>
    <rPh sb="5" eb="6">
      <t>ヒ</t>
    </rPh>
    <rPh sb="6" eb="9">
      <t>セイゾウギョウ</t>
    </rPh>
    <rPh sb="9" eb="11">
      <t>セツビ</t>
    </rPh>
    <rPh sb="11" eb="13">
      <t>トウシ</t>
    </rPh>
    <rPh sb="14" eb="16">
      <t>ミンカン</t>
    </rPh>
    <rPh sb="16" eb="18">
      <t>ザイコ</t>
    </rPh>
    <phoneticPr fontId="13"/>
  </si>
  <si>
    <t>端数処理（５程度まで）</t>
    <rPh sb="0" eb="2">
      <t>ハスウ</t>
    </rPh>
    <rPh sb="2" eb="4">
      <t>ショリ</t>
    </rPh>
    <rPh sb="6" eb="8">
      <t>テイド</t>
    </rPh>
    <phoneticPr fontId="13"/>
  </si>
  <si>
    <t>県内総支出（県除き。地方社保は未分割）</t>
    <rPh sb="0" eb="2">
      <t>ケンナイ</t>
    </rPh>
    <rPh sb="2" eb="5">
      <t>ソウシシュツ</t>
    </rPh>
    <rPh sb="6" eb="7">
      <t>ケン</t>
    </rPh>
    <rPh sb="7" eb="8">
      <t>ノゾ</t>
    </rPh>
    <rPh sb="10" eb="12">
      <t>チホウ</t>
    </rPh>
    <rPh sb="12" eb="14">
      <t>シャホ</t>
    </rPh>
    <rPh sb="15" eb="16">
      <t>ミ</t>
    </rPh>
    <rPh sb="16" eb="18">
      <t>ブンカツ</t>
    </rPh>
    <phoneticPr fontId="13"/>
  </si>
  <si>
    <t>←式注意。メモ参照</t>
    <rPh sb="1" eb="2">
      <t>シキ</t>
    </rPh>
    <rPh sb="2" eb="4">
      <t>チュウイ</t>
    </rPh>
    <rPh sb="7" eb="9">
      <t>サンショウ</t>
    </rPh>
    <phoneticPr fontId="13"/>
  </si>
  <si>
    <t>【地方政府等から県のみを控除した数値】</t>
    <rPh sb="1" eb="3">
      <t>チホウ</t>
    </rPh>
    <rPh sb="3" eb="5">
      <t>セイフ</t>
    </rPh>
    <rPh sb="5" eb="6">
      <t>トウ</t>
    </rPh>
    <rPh sb="8" eb="9">
      <t>ケン</t>
    </rPh>
    <rPh sb="12" eb="14">
      <t>コウジョ</t>
    </rPh>
    <rPh sb="16" eb="18">
      <t>スウチ</t>
    </rPh>
    <phoneticPr fontId="13"/>
  </si>
  <si>
    <t>地方政府等消費支出</t>
    <rPh sb="0" eb="2">
      <t>チホウ</t>
    </rPh>
    <rPh sb="2" eb="5">
      <t>セイフトウ</t>
    </rPh>
    <rPh sb="5" eb="9">
      <t>ショウヒシシュツ</t>
    </rPh>
    <phoneticPr fontId="13"/>
  </si>
  <si>
    <t>市町内需要</t>
    <rPh sb="0" eb="3">
      <t>シチョウナイ</t>
    </rPh>
    <rPh sb="3" eb="5">
      <t>ジュヨウ</t>
    </rPh>
    <phoneticPr fontId="13"/>
  </si>
  <si>
    <t>中央政府等（準地域への移出）</t>
    <rPh sb="0" eb="2">
      <t>チュウオウ</t>
    </rPh>
    <rPh sb="2" eb="5">
      <t>セイフトウ</t>
    </rPh>
    <rPh sb="6" eb="9">
      <t>ジュンチイキ</t>
    </rPh>
    <rPh sb="11" eb="13">
      <t>イシュツ</t>
    </rPh>
    <phoneticPr fontId="13"/>
  </si>
  <si>
    <t>純移出入・統計上の不突合</t>
    <rPh sb="0" eb="1">
      <t>ジュン</t>
    </rPh>
    <rPh sb="1" eb="3">
      <t>イシュツ</t>
    </rPh>
    <rPh sb="3" eb="4">
      <t>イリ</t>
    </rPh>
    <rPh sb="5" eb="8">
      <t>トウケイジョウ</t>
    </rPh>
    <rPh sb="9" eb="12">
      <t>フトツゴウ</t>
    </rPh>
    <phoneticPr fontId="13"/>
  </si>
  <si>
    <t>-</t>
  </si>
  <si>
    <t>(単位：％）</t>
    <rPh sb="1" eb="3">
      <t>タンイ</t>
    </rPh>
    <phoneticPr fontId="13"/>
  </si>
  <si>
    <t>表6</t>
    <rPh sb="0" eb="1">
      <t>ヒョウ</t>
    </rPh>
    <phoneticPr fontId="13"/>
  </si>
  <si>
    <t>年度</t>
    <rPh sb="0" eb="2">
      <t>ネンド</t>
    </rPh>
    <phoneticPr fontId="13"/>
  </si>
  <si>
    <t>表8</t>
    <rPh sb="0" eb="1">
      <t>ヒョウ</t>
    </rPh>
    <phoneticPr fontId="13"/>
  </si>
  <si>
    <t>参考表1　市町内需要額（民間・公的）推計資料</t>
    <rPh sb="0" eb="2">
      <t>サンコウ</t>
    </rPh>
    <rPh sb="2" eb="3">
      <t>ヒョウ</t>
    </rPh>
    <rPh sb="5" eb="8">
      <t>シチョウナイ</t>
    </rPh>
    <rPh sb="8" eb="11">
      <t>ジュヨウガク</t>
    </rPh>
    <rPh sb="12" eb="14">
      <t>ミンカン</t>
    </rPh>
    <rPh sb="15" eb="17">
      <t>コウテキ</t>
    </rPh>
    <rPh sb="18" eb="20">
      <t>スイケイ</t>
    </rPh>
    <rPh sb="20" eb="22">
      <t>シリョウ</t>
    </rPh>
    <phoneticPr fontId="13"/>
  </si>
  <si>
    <t>参考表2　  推計に利用した主なデータ</t>
    <rPh sb="0" eb="2">
      <t>サンコウ</t>
    </rPh>
    <rPh sb="2" eb="3">
      <t>ヒョウ</t>
    </rPh>
    <rPh sb="7" eb="9">
      <t>スイケイ</t>
    </rPh>
    <rPh sb="10" eb="12">
      <t>リヨウ</t>
    </rPh>
    <rPh sb="14" eb="15">
      <t>オモ</t>
    </rPh>
    <phoneticPr fontId="13"/>
  </si>
  <si>
    <t>項目</t>
    <rPh sb="0" eb="2">
      <t>コウモク</t>
    </rPh>
    <phoneticPr fontId="13"/>
  </si>
  <si>
    <t>資料</t>
    <rPh sb="0" eb="2">
      <t>シリョウ</t>
    </rPh>
    <phoneticPr fontId="13"/>
  </si>
  <si>
    <t>出所</t>
    <rPh sb="0" eb="2">
      <t>シュッショ</t>
    </rPh>
    <phoneticPr fontId="13"/>
  </si>
  <si>
    <t>備考</t>
    <rPh sb="0" eb="2">
      <t>ビコウ</t>
    </rPh>
    <phoneticPr fontId="13"/>
  </si>
  <si>
    <t>家計最終消費支出</t>
    <rPh sb="0" eb="2">
      <t>カケイ</t>
    </rPh>
    <rPh sb="2" eb="4">
      <t>サイシュウ</t>
    </rPh>
    <rPh sb="4" eb="6">
      <t>ショウヒ</t>
    </rPh>
    <rPh sb="6" eb="8">
      <t>シシュツ</t>
    </rPh>
    <phoneticPr fontId="13"/>
  </si>
  <si>
    <t>全国消費実態調査</t>
    <rPh sb="0" eb="2">
      <t>ゼンコク</t>
    </rPh>
    <rPh sb="2" eb="4">
      <t>ショウヒ</t>
    </rPh>
    <rPh sb="4" eb="6">
      <t>ジッタイ</t>
    </rPh>
    <rPh sb="6" eb="8">
      <t>チョウサ</t>
    </rPh>
    <phoneticPr fontId="13"/>
  </si>
  <si>
    <t>国勢調査・県推計人口</t>
    <rPh sb="0" eb="2">
      <t>コクセイ</t>
    </rPh>
    <rPh sb="2" eb="4">
      <t>チョウサ</t>
    </rPh>
    <rPh sb="5" eb="6">
      <t>ケン</t>
    </rPh>
    <rPh sb="6" eb="8">
      <t>スイケイ</t>
    </rPh>
    <rPh sb="8" eb="10">
      <t>ジンコウ</t>
    </rPh>
    <phoneticPr fontId="13"/>
  </si>
  <si>
    <t>平成22年12月</t>
    <rPh sb="0" eb="2">
      <t>ヘイセイ</t>
    </rPh>
    <rPh sb="4" eb="5">
      <t>ネン</t>
    </rPh>
    <rPh sb="7" eb="8">
      <t>ガツ</t>
    </rPh>
    <phoneticPr fontId="13"/>
  </si>
  <si>
    <t>家計調査（神戸市・近畿）</t>
    <rPh sb="0" eb="2">
      <t>カケイ</t>
    </rPh>
    <rPh sb="2" eb="4">
      <t>チョウサ</t>
    </rPh>
    <rPh sb="5" eb="8">
      <t>コウベシ</t>
    </rPh>
    <rPh sb="9" eb="11">
      <t>キンキ</t>
    </rPh>
    <phoneticPr fontId="13"/>
  </si>
  <si>
    <t>総務省</t>
    <rPh sb="0" eb="3">
      <t>ソウムショウ</t>
    </rPh>
    <phoneticPr fontId="13"/>
  </si>
  <si>
    <t>世帯</t>
    <rPh sb="0" eb="2">
      <t>セタイ</t>
    </rPh>
    <phoneticPr fontId="13"/>
  </si>
  <si>
    <t>令和2年国勢調査・県推計人口</t>
    <rPh sb="0" eb="2">
      <t>レイワ</t>
    </rPh>
    <rPh sb="3" eb="4">
      <t>ネン</t>
    </rPh>
    <rPh sb="4" eb="6">
      <t>コクセイ</t>
    </rPh>
    <rPh sb="6" eb="8">
      <t>チョウサ</t>
    </rPh>
    <rPh sb="9" eb="10">
      <t>ケン</t>
    </rPh>
    <rPh sb="10" eb="12">
      <t>スイケイ</t>
    </rPh>
    <rPh sb="12" eb="14">
      <t>ジンコウ</t>
    </rPh>
    <phoneticPr fontId="13"/>
  </si>
  <si>
    <t>今回改定</t>
    <rPh sb="0" eb="2">
      <t>コンカイ</t>
    </rPh>
    <rPh sb="2" eb="4">
      <t>カイテイ</t>
    </rPh>
    <phoneticPr fontId="13"/>
  </si>
  <si>
    <t>統計課</t>
    <rPh sb="0" eb="2">
      <t>トウケイ</t>
    </rPh>
    <rPh sb="2" eb="3">
      <t>カ</t>
    </rPh>
    <phoneticPr fontId="13"/>
  </si>
  <si>
    <t>人件費</t>
    <rPh sb="0" eb="3">
      <t>ジンケンヒ</t>
    </rPh>
    <phoneticPr fontId="13"/>
  </si>
  <si>
    <t>物件費</t>
    <rPh sb="0" eb="2">
      <t>ブッケン</t>
    </rPh>
    <rPh sb="2" eb="3">
      <t>ヒ</t>
    </rPh>
    <phoneticPr fontId="13"/>
  </si>
  <si>
    <t>兵庫県市町振興課調べ</t>
    <rPh sb="0" eb="2">
      <t>ヒョウゴ</t>
    </rPh>
    <rPh sb="2" eb="3">
      <t>ケン</t>
    </rPh>
    <rPh sb="3" eb="5">
      <t>シチョウ</t>
    </rPh>
    <rPh sb="5" eb="7">
      <t>シンコウ</t>
    </rPh>
    <rPh sb="7" eb="8">
      <t>カ</t>
    </rPh>
    <rPh sb="8" eb="9">
      <t>シラ</t>
    </rPh>
    <phoneticPr fontId="13"/>
  </si>
  <si>
    <t>人件費・物件費・維持補修費</t>
    <rPh sb="0" eb="3">
      <t>ジンケンヒ</t>
    </rPh>
    <rPh sb="4" eb="6">
      <t>ブッケン</t>
    </rPh>
    <rPh sb="6" eb="7">
      <t>ヒ</t>
    </rPh>
    <rPh sb="8" eb="10">
      <t>イジ</t>
    </rPh>
    <rPh sb="10" eb="13">
      <t>ホシュウヒ</t>
    </rPh>
    <phoneticPr fontId="13"/>
  </si>
  <si>
    <t>H21年度～</t>
    <rPh sb="3" eb="5">
      <t>ネンド</t>
    </rPh>
    <phoneticPr fontId="13"/>
  </si>
  <si>
    <t>維持補修費</t>
    <rPh sb="0" eb="2">
      <t>イジ</t>
    </rPh>
    <rPh sb="2" eb="4">
      <t>ホシュウ</t>
    </rPh>
    <rPh sb="4" eb="5">
      <t>ヒ</t>
    </rPh>
    <phoneticPr fontId="13"/>
  </si>
  <si>
    <t>兵庫県市町振興課調べ（決算額・予算額直接照会）</t>
    <rPh sb="0" eb="2">
      <t>ヒョウゴ</t>
    </rPh>
    <rPh sb="2" eb="3">
      <t>ケン</t>
    </rPh>
    <rPh sb="3" eb="5">
      <t>シチョウ</t>
    </rPh>
    <rPh sb="5" eb="7">
      <t>シンコウ</t>
    </rPh>
    <rPh sb="7" eb="8">
      <t>カ</t>
    </rPh>
    <rPh sb="8" eb="9">
      <t>シラ</t>
    </rPh>
    <rPh sb="11" eb="14">
      <t>ケッサンガク</t>
    </rPh>
    <rPh sb="15" eb="18">
      <t>ヨサンガク</t>
    </rPh>
    <rPh sb="18" eb="20">
      <t>チョクセツ</t>
    </rPh>
    <rPh sb="20" eb="22">
      <t>ショウカイ</t>
    </rPh>
    <phoneticPr fontId="13"/>
  </si>
  <si>
    <t>住宅投資</t>
    <rPh sb="0" eb="2">
      <t>ジュウタク</t>
    </rPh>
    <rPh sb="2" eb="4">
      <t>トウシ</t>
    </rPh>
    <phoneticPr fontId="13"/>
  </si>
  <si>
    <t>新設住宅着工戸数</t>
    <rPh sb="0" eb="2">
      <t>シンセツ</t>
    </rPh>
    <rPh sb="2" eb="4">
      <t>ジュウタク</t>
    </rPh>
    <rPh sb="4" eb="6">
      <t>チャッコウ</t>
    </rPh>
    <rPh sb="6" eb="8">
      <t>コスウ</t>
    </rPh>
    <phoneticPr fontId="13"/>
  </si>
  <si>
    <t>兵庫県都市政策課調べ</t>
    <rPh sb="0" eb="3">
      <t>ヒョウゴケン</t>
    </rPh>
    <rPh sb="3" eb="5">
      <t>トシ</t>
    </rPh>
    <rPh sb="5" eb="7">
      <t>セイサク</t>
    </rPh>
    <rPh sb="7" eb="8">
      <t>カ</t>
    </rPh>
    <rPh sb="8" eb="9">
      <t>シラ</t>
    </rPh>
    <phoneticPr fontId="13"/>
  </si>
  <si>
    <t>兵庫県住宅政策課調べ</t>
    <rPh sb="0" eb="3">
      <t>ヒョウゴケン</t>
    </rPh>
    <rPh sb="3" eb="5">
      <t>ジュウタク</t>
    </rPh>
    <rPh sb="5" eb="7">
      <t>セイサク</t>
    </rPh>
    <rPh sb="7" eb="8">
      <t>カ</t>
    </rPh>
    <rPh sb="8" eb="9">
      <t>シラ</t>
    </rPh>
    <phoneticPr fontId="13"/>
  </si>
  <si>
    <t>住宅政策課</t>
    <rPh sb="0" eb="2">
      <t>ジュウタク</t>
    </rPh>
    <rPh sb="2" eb="4">
      <t>セイサク</t>
    </rPh>
    <rPh sb="4" eb="5">
      <t>カ</t>
    </rPh>
    <phoneticPr fontId="13"/>
  </si>
  <si>
    <t>設備投資（製造業）</t>
    <rPh sb="0" eb="2">
      <t>セツビ</t>
    </rPh>
    <rPh sb="2" eb="4">
      <t>トウシ</t>
    </rPh>
    <rPh sb="5" eb="8">
      <t>セイゾウギョウ</t>
    </rPh>
    <phoneticPr fontId="13"/>
  </si>
  <si>
    <t>有形固定資産投資総額</t>
    <rPh sb="0" eb="2">
      <t>ユウケイ</t>
    </rPh>
    <rPh sb="2" eb="4">
      <t>コテイ</t>
    </rPh>
    <rPh sb="4" eb="6">
      <t>シサン</t>
    </rPh>
    <rPh sb="6" eb="8">
      <t>トウシ</t>
    </rPh>
    <rPh sb="8" eb="10">
      <t>ソウガク</t>
    </rPh>
    <phoneticPr fontId="13"/>
  </si>
  <si>
    <t>工業統計</t>
    <rPh sb="0" eb="2">
      <t>コウギョウ</t>
    </rPh>
    <rPh sb="2" eb="4">
      <t>トウケイ</t>
    </rPh>
    <phoneticPr fontId="13"/>
  </si>
  <si>
    <t>平成30年有形固定資産投資総額</t>
    <rPh sb="0" eb="2">
      <t>ヘイセイ</t>
    </rPh>
    <rPh sb="4" eb="5">
      <t>ネン</t>
    </rPh>
    <rPh sb="5" eb="7">
      <t>ユウケイ</t>
    </rPh>
    <rPh sb="7" eb="9">
      <t>コテイ</t>
    </rPh>
    <rPh sb="9" eb="11">
      <t>シサン</t>
    </rPh>
    <rPh sb="11" eb="13">
      <t>トウシ</t>
    </rPh>
    <rPh sb="13" eb="15">
      <t>ソウガク</t>
    </rPh>
    <phoneticPr fontId="13"/>
  </si>
  <si>
    <t>2019年工業統計調査</t>
    <rPh sb="4" eb="5">
      <t>ネン</t>
    </rPh>
    <rPh sb="5" eb="7">
      <t>コウギョウ</t>
    </rPh>
    <rPh sb="7" eb="9">
      <t>トウケイ</t>
    </rPh>
    <rPh sb="9" eb="11">
      <t>チョウサ</t>
    </rPh>
    <phoneticPr fontId="13"/>
  </si>
  <si>
    <t>令和2年9月</t>
    <rPh sb="0" eb="2">
      <t>レイワ</t>
    </rPh>
    <rPh sb="3" eb="4">
      <t>ネン</t>
    </rPh>
    <rPh sb="5" eb="6">
      <t>ガツ</t>
    </rPh>
    <phoneticPr fontId="13"/>
  </si>
  <si>
    <t>設備投資（非製造業）</t>
    <rPh sb="0" eb="2">
      <t>セツビ</t>
    </rPh>
    <rPh sb="2" eb="4">
      <t>トウシ</t>
    </rPh>
    <rPh sb="5" eb="6">
      <t>ヒ</t>
    </rPh>
    <rPh sb="6" eb="9">
      <t>セイゾウギョウ</t>
    </rPh>
    <phoneticPr fontId="13"/>
  </si>
  <si>
    <t>市町内総生産（市町付加価値額計）</t>
    <rPh sb="0" eb="3">
      <t>シチョウナイ</t>
    </rPh>
    <rPh sb="3" eb="4">
      <t>ソウ</t>
    </rPh>
    <rPh sb="4" eb="6">
      <t>セイサン</t>
    </rPh>
    <rPh sb="7" eb="9">
      <t>シチョウ</t>
    </rPh>
    <rPh sb="9" eb="11">
      <t>フカ</t>
    </rPh>
    <rPh sb="11" eb="13">
      <t>カチ</t>
    </rPh>
    <rPh sb="13" eb="14">
      <t>ガク</t>
    </rPh>
    <rPh sb="14" eb="15">
      <t>ケイ</t>
    </rPh>
    <phoneticPr fontId="13"/>
  </si>
  <si>
    <t>市町民経済計算</t>
    <rPh sb="0" eb="2">
      <t>シチョウ</t>
    </rPh>
    <rPh sb="2" eb="3">
      <t>ミン</t>
    </rPh>
    <rPh sb="3" eb="5">
      <t>ケイザイ</t>
    </rPh>
    <rPh sb="5" eb="7">
      <t>ケイサン</t>
    </rPh>
    <phoneticPr fontId="13"/>
  </si>
  <si>
    <t>普通建設事業費</t>
    <rPh sb="0" eb="2">
      <t>フツウ</t>
    </rPh>
    <rPh sb="2" eb="4">
      <t>ケンセツ</t>
    </rPh>
    <rPh sb="4" eb="7">
      <t>ジギョウヒ</t>
    </rPh>
    <phoneticPr fontId="13"/>
  </si>
  <si>
    <t>在庫品増加</t>
    <rPh sb="0" eb="3">
      <t>ザイコヒン</t>
    </rPh>
    <rPh sb="3" eb="5">
      <t>ゾウカ</t>
    </rPh>
    <phoneticPr fontId="13"/>
  </si>
  <si>
    <t>災害復旧事業費</t>
    <rPh sb="0" eb="2">
      <t>サイガイ</t>
    </rPh>
    <rPh sb="2" eb="4">
      <t>フッキュウ</t>
    </rPh>
    <rPh sb="4" eb="7">
      <t>ジギョウヒ</t>
    </rPh>
    <phoneticPr fontId="13"/>
  </si>
  <si>
    <t>土木費</t>
    <rPh sb="0" eb="3">
      <t>ドボクヒ</t>
    </rPh>
    <phoneticPr fontId="13"/>
  </si>
  <si>
    <t>災害復旧費</t>
    <rPh sb="0" eb="2">
      <t>サイガイ</t>
    </rPh>
    <rPh sb="2" eb="4">
      <t>フッキュウ</t>
    </rPh>
    <rPh sb="4" eb="5">
      <t>ヒ</t>
    </rPh>
    <phoneticPr fontId="13"/>
  </si>
  <si>
    <t>兵庫県市町振興課調べ</t>
    <rPh sb="0" eb="3">
      <t>ヒョウゴケン</t>
    </rPh>
    <rPh sb="3" eb="5">
      <t>シチョウ</t>
    </rPh>
    <rPh sb="5" eb="7">
      <t>シンコウ</t>
    </rPh>
    <rPh sb="7" eb="8">
      <t>カ</t>
    </rPh>
    <rPh sb="8" eb="9">
      <t>シラ</t>
    </rPh>
    <phoneticPr fontId="13"/>
  </si>
  <si>
    <t>移出入</t>
    <rPh sb="0" eb="2">
      <t>イシュツ</t>
    </rPh>
    <rPh sb="2" eb="3">
      <t>ニュウ</t>
    </rPh>
    <phoneticPr fontId="13"/>
  </si>
  <si>
    <t>四半期別兵庫県内GDP速報</t>
    <rPh sb="0" eb="3">
      <t>シハンキ</t>
    </rPh>
    <rPh sb="3" eb="4">
      <t>ベツ</t>
    </rPh>
    <rPh sb="4" eb="7">
      <t>ヒョウゴケン</t>
    </rPh>
    <rPh sb="7" eb="8">
      <t>ナイ</t>
    </rPh>
    <rPh sb="11" eb="13">
      <t>ソクホウ</t>
    </rPh>
    <phoneticPr fontId="13"/>
  </si>
  <si>
    <t>市町内総生産（支出側）</t>
    <rPh sb="0" eb="3">
      <t>シチョウナイ</t>
    </rPh>
    <rPh sb="3" eb="6">
      <t>ソウセイサン</t>
    </rPh>
    <rPh sb="7" eb="9">
      <t>シシュツ</t>
    </rPh>
    <rPh sb="9" eb="10">
      <t>ガワ</t>
    </rPh>
    <phoneticPr fontId="13"/>
  </si>
  <si>
    <t>その他（純移出入・統計上の不突合</t>
    <rPh sb="2" eb="3">
      <t>タ</t>
    </rPh>
    <rPh sb="4" eb="5">
      <t>ジュン</t>
    </rPh>
    <rPh sb="5" eb="7">
      <t>イシュツ</t>
    </rPh>
    <rPh sb="7" eb="8">
      <t>ニュウ</t>
    </rPh>
    <rPh sb="9" eb="11">
      <t>トウケイ</t>
    </rPh>
    <rPh sb="11" eb="12">
      <t>ウエ</t>
    </rPh>
    <rPh sb="13" eb="14">
      <t>フ</t>
    </rPh>
    <rPh sb="14" eb="15">
      <t>トツ</t>
    </rPh>
    <rPh sb="15" eb="16">
      <t>ゴウ</t>
    </rPh>
    <phoneticPr fontId="13"/>
  </si>
  <si>
    <t>残差（６－（１＋２＋３＋４））</t>
    <rPh sb="0" eb="2">
      <t>ザンサ</t>
    </rPh>
    <phoneticPr fontId="13"/>
  </si>
  <si>
    <t>県民経済計算速報値</t>
    <rPh sb="0" eb="2">
      <t>ケンミン</t>
    </rPh>
    <rPh sb="2" eb="4">
      <t>ケイザイ</t>
    </rPh>
    <rPh sb="4" eb="6">
      <t>ケイサン</t>
    </rPh>
    <rPh sb="6" eb="8">
      <t>ソクホウ</t>
    </rPh>
    <rPh sb="8" eb="9">
      <t>アタイ</t>
    </rPh>
    <phoneticPr fontId="13"/>
  </si>
  <si>
    <t>市町内総生産</t>
    <rPh sb="0" eb="3">
      <t>シチョウナイ</t>
    </rPh>
    <rPh sb="3" eb="4">
      <t>ソウ</t>
    </rPh>
    <rPh sb="4" eb="6">
      <t>セイサン</t>
    </rPh>
    <phoneticPr fontId="13"/>
  </si>
  <si>
    <t>①</t>
    <phoneticPr fontId="12"/>
  </si>
  <si>
    <t>純移出入＋統計上の不突合</t>
    <rPh sb="0" eb="1">
      <t>ジュン</t>
    </rPh>
    <rPh sb="1" eb="3">
      <t>イシュツ</t>
    </rPh>
    <rPh sb="3" eb="4">
      <t>ニュウ</t>
    </rPh>
    <rPh sb="5" eb="7">
      <t>トウケイ</t>
    </rPh>
    <rPh sb="7" eb="8">
      <t>ウエ</t>
    </rPh>
    <rPh sb="9" eb="10">
      <t>フ</t>
    </rPh>
    <rPh sb="10" eb="11">
      <t>トツ</t>
    </rPh>
    <rPh sb="11" eb="12">
      <t>ゴウ</t>
    </rPh>
    <phoneticPr fontId="12"/>
  </si>
  <si>
    <t>参</t>
    <rPh sb="0" eb="1">
      <t>サン</t>
    </rPh>
    <phoneticPr fontId="13"/>
  </si>
  <si>
    <t>②</t>
    <phoneticPr fontId="12"/>
  </si>
  <si>
    <t>純移輸出入</t>
    <rPh sb="0" eb="1">
      <t>ジュン</t>
    </rPh>
    <rPh sb="1" eb="2">
      <t>ウツリ</t>
    </rPh>
    <rPh sb="2" eb="5">
      <t>ユシュツニュウ</t>
    </rPh>
    <phoneticPr fontId="12"/>
  </si>
  <si>
    <t>①－⑤</t>
    <phoneticPr fontId="12"/>
  </si>
  <si>
    <t>③</t>
    <phoneticPr fontId="12"/>
  </si>
  <si>
    <t>移輸出</t>
    <rPh sb="0" eb="1">
      <t>イ</t>
    </rPh>
    <rPh sb="1" eb="3">
      <t>ユシュツ</t>
    </rPh>
    <phoneticPr fontId="12"/>
  </si>
  <si>
    <t>②＋④</t>
    <phoneticPr fontId="12"/>
  </si>
  <si>
    <t>考</t>
    <rPh sb="0" eb="1">
      <t>カンガ</t>
    </rPh>
    <phoneticPr fontId="13"/>
  </si>
  <si>
    <t>④</t>
    <phoneticPr fontId="12"/>
  </si>
  <si>
    <t>移輸入</t>
    <rPh sb="0" eb="1">
      <t>イ</t>
    </rPh>
    <rPh sb="1" eb="3">
      <t>ユニュウ</t>
    </rPh>
    <phoneticPr fontId="12"/>
  </si>
  <si>
    <t>市町内需要合計市町比率で按分</t>
    <rPh sb="0" eb="3">
      <t>シチョウナイ</t>
    </rPh>
    <rPh sb="3" eb="5">
      <t>ジュヨウ</t>
    </rPh>
    <rPh sb="5" eb="7">
      <t>ゴウケイ</t>
    </rPh>
    <rPh sb="7" eb="9">
      <t>シチョウ</t>
    </rPh>
    <rPh sb="9" eb="11">
      <t>ヒリツ</t>
    </rPh>
    <rPh sb="12" eb="14">
      <t>アンブン</t>
    </rPh>
    <phoneticPr fontId="12"/>
  </si>
  <si>
    <t>⑤</t>
    <phoneticPr fontId="13"/>
  </si>
  <si>
    <t>FISIM移出入（純）</t>
    <rPh sb="5" eb="7">
      <t>イシュツ</t>
    </rPh>
    <rPh sb="7" eb="8">
      <t>ニュウ</t>
    </rPh>
    <rPh sb="9" eb="10">
      <t>ジュン</t>
    </rPh>
    <phoneticPr fontId="13"/>
  </si>
  <si>
    <t>市町総生産（支出側）市町比率で按分</t>
    <rPh sb="0" eb="2">
      <t>シチョウ</t>
    </rPh>
    <rPh sb="2" eb="5">
      <t>ソウセイサン</t>
    </rPh>
    <rPh sb="6" eb="8">
      <t>シシュツ</t>
    </rPh>
    <rPh sb="8" eb="9">
      <t>ガワ</t>
    </rPh>
    <rPh sb="10" eb="12">
      <t>シチョウ</t>
    </rPh>
    <rPh sb="12" eb="14">
      <t>ヒリツ</t>
    </rPh>
    <rPh sb="15" eb="17">
      <t>アンブン</t>
    </rPh>
    <phoneticPr fontId="12"/>
  </si>
  <si>
    <t>⑥</t>
    <phoneticPr fontId="12"/>
  </si>
  <si>
    <t>統計上の不突合</t>
    <rPh sb="0" eb="2">
      <t>トウケイ</t>
    </rPh>
    <rPh sb="2" eb="3">
      <t>ウエ</t>
    </rPh>
    <rPh sb="4" eb="5">
      <t>フ</t>
    </rPh>
    <rPh sb="5" eb="6">
      <t>トツ</t>
    </rPh>
    <rPh sb="6" eb="7">
      <t>ゴウ</t>
    </rPh>
    <phoneticPr fontId="12"/>
  </si>
  <si>
    <t>⑦</t>
    <phoneticPr fontId="12"/>
  </si>
  <si>
    <t>総生産（支出側）</t>
    <rPh sb="0" eb="3">
      <t>ソウセイサン</t>
    </rPh>
    <rPh sb="4" eb="6">
      <t>シシュツ</t>
    </rPh>
    <rPh sb="6" eb="7">
      <t>ガワ</t>
    </rPh>
    <phoneticPr fontId="12"/>
  </si>
  <si>
    <t>表　GDP（全国・兵庫県）の推移</t>
    <rPh sb="0" eb="1">
      <t>ヒョウ</t>
    </rPh>
    <rPh sb="6" eb="8">
      <t>ゼンコク</t>
    </rPh>
    <rPh sb="9" eb="12">
      <t>ヒョウゴケン</t>
    </rPh>
    <rPh sb="14" eb="16">
      <t>スイイ</t>
    </rPh>
    <phoneticPr fontId="3"/>
  </si>
  <si>
    <t>（単位：億円）</t>
    <rPh sb="1" eb="3">
      <t>タンイ</t>
    </rPh>
    <rPh sb="4" eb="6">
      <t>オクエン</t>
    </rPh>
    <phoneticPr fontId="3"/>
  </si>
  <si>
    <t>項　目</t>
    <rPh sb="0" eb="1">
      <t>コウ</t>
    </rPh>
    <rPh sb="2" eb="3">
      <t>メ</t>
    </rPh>
    <phoneticPr fontId="13"/>
  </si>
  <si>
    <t>平成26年度</t>
    <rPh sb="0" eb="2">
      <t>ヘイセイ</t>
    </rPh>
    <rPh sb="4" eb="6">
      <t>ネンド</t>
    </rPh>
    <phoneticPr fontId="3"/>
  </si>
  <si>
    <t>平成27年度</t>
    <rPh sb="0" eb="2">
      <t>ヘイセイ</t>
    </rPh>
    <rPh sb="4" eb="6">
      <t>ネンド</t>
    </rPh>
    <phoneticPr fontId="3"/>
  </si>
  <si>
    <t>平成28年度</t>
    <rPh sb="0" eb="2">
      <t>ヘイセイ</t>
    </rPh>
    <rPh sb="4" eb="6">
      <t>ネンド</t>
    </rPh>
    <phoneticPr fontId="3"/>
  </si>
  <si>
    <t>平成29年度</t>
    <rPh sb="0" eb="2">
      <t>ヘイセイ</t>
    </rPh>
    <rPh sb="4" eb="6">
      <t>ネンド</t>
    </rPh>
    <phoneticPr fontId="3"/>
  </si>
  <si>
    <t>平成30年度</t>
    <rPh sb="0" eb="2">
      <t>ヘイセイ</t>
    </rPh>
    <rPh sb="4" eb="6">
      <t>ネンド</t>
    </rPh>
    <phoneticPr fontId="3"/>
  </si>
  <si>
    <t>令和元年度</t>
    <rPh sb="0" eb="2">
      <t>レイワ</t>
    </rPh>
    <rPh sb="2" eb="3">
      <t>ガン</t>
    </rPh>
    <rPh sb="3" eb="5">
      <t>ネンド</t>
    </rPh>
    <phoneticPr fontId="3"/>
  </si>
  <si>
    <t>令和2年度</t>
    <rPh sb="0" eb="2">
      <t>レイワ</t>
    </rPh>
    <rPh sb="3" eb="5">
      <t>ネンド</t>
    </rPh>
    <phoneticPr fontId="3"/>
  </si>
  <si>
    <t>令和3年度</t>
    <rPh sb="0" eb="2">
      <t>レイワ</t>
    </rPh>
    <rPh sb="3" eb="5">
      <t>ネンド</t>
    </rPh>
    <phoneticPr fontId="3"/>
  </si>
  <si>
    <t>令和4年度</t>
    <rPh sb="0" eb="2">
      <t>レイワ</t>
    </rPh>
    <rPh sb="3" eb="5">
      <t>ネンド</t>
    </rPh>
    <phoneticPr fontId="3"/>
  </si>
  <si>
    <t>2014年度</t>
    <rPh sb="4" eb="6">
      <t>ネンド</t>
    </rPh>
    <phoneticPr fontId="3"/>
  </si>
  <si>
    <t>2015年度</t>
    <rPh sb="4" eb="6">
      <t>ネンド</t>
    </rPh>
    <phoneticPr fontId="3"/>
  </si>
  <si>
    <t>2016年度</t>
    <rPh sb="4" eb="6">
      <t>ネンド</t>
    </rPh>
    <phoneticPr fontId="3"/>
  </si>
  <si>
    <t>2017年度</t>
    <rPh sb="4" eb="6">
      <t>ネンド</t>
    </rPh>
    <phoneticPr fontId="3"/>
  </si>
  <si>
    <t>2018年度</t>
    <rPh sb="4" eb="6">
      <t>ネンド</t>
    </rPh>
    <phoneticPr fontId="3"/>
  </si>
  <si>
    <t>2019年度</t>
    <rPh sb="4" eb="6">
      <t>ネンド</t>
    </rPh>
    <phoneticPr fontId="3"/>
  </si>
  <si>
    <t>2020年度</t>
    <rPh sb="4" eb="6">
      <t>ネンド</t>
    </rPh>
    <phoneticPr fontId="3"/>
  </si>
  <si>
    <t>2022年度</t>
    <rPh sb="4" eb="6">
      <t>ネンド</t>
    </rPh>
    <phoneticPr fontId="3"/>
  </si>
  <si>
    <t>全　国</t>
    <rPh sb="0" eb="1">
      <t>ゼン</t>
    </rPh>
    <rPh sb="2" eb="3">
      <t>クニ</t>
    </rPh>
    <phoneticPr fontId="3"/>
  </si>
  <si>
    <t>名目GDP</t>
    <rPh sb="0" eb="2">
      <t>メイモク</t>
    </rPh>
    <phoneticPr fontId="3"/>
  </si>
  <si>
    <t>実質GDP</t>
    <rPh sb="0" eb="2">
      <t>ジッシツ</t>
    </rPh>
    <phoneticPr fontId="3"/>
  </si>
  <si>
    <t>兵庫県</t>
    <rPh sb="0" eb="3">
      <t>ヒョウゴケン</t>
    </rPh>
    <phoneticPr fontId="3"/>
  </si>
  <si>
    <t>10億円</t>
    <rPh sb="2" eb="4">
      <t>オクエン</t>
    </rPh>
    <phoneticPr fontId="13"/>
  </si>
  <si>
    <t>国名目</t>
    <rPh sb="0" eb="1">
      <t>クニ</t>
    </rPh>
    <rPh sb="1" eb="3">
      <t>メイモク</t>
    </rPh>
    <phoneticPr fontId="13"/>
  </si>
  <si>
    <t>確報</t>
    <rPh sb="0" eb="2">
      <t>カクホウ</t>
    </rPh>
    <phoneticPr fontId="13"/>
  </si>
  <si>
    <t>国実質連鎖</t>
    <rPh sb="0" eb="1">
      <t>クニ</t>
    </rPh>
    <rPh sb="1" eb="3">
      <t>ジッシツ</t>
    </rPh>
    <rPh sb="3" eb="5">
      <t>レンサ</t>
    </rPh>
    <phoneticPr fontId="13"/>
  </si>
  <si>
    <t>百万円</t>
    <rPh sb="0" eb="1">
      <t>ヒャク</t>
    </rPh>
    <rPh sb="1" eb="3">
      <t>マンエン</t>
    </rPh>
    <phoneticPr fontId="13"/>
  </si>
  <si>
    <t>県名目</t>
    <rPh sb="0" eb="1">
      <t>ケン</t>
    </rPh>
    <rPh sb="1" eb="3">
      <t>メイモク</t>
    </rPh>
    <phoneticPr fontId="13"/>
  </si>
  <si>
    <t>県実質連鎖</t>
    <rPh sb="0" eb="1">
      <t>ケン</t>
    </rPh>
    <rPh sb="1" eb="3">
      <t>ジッシツ</t>
    </rPh>
    <rPh sb="3" eb="5">
      <t>レンサ</t>
    </rPh>
    <phoneticPr fontId="13"/>
  </si>
  <si>
    <t>実質</t>
    <rPh sb="0" eb="2">
      <t>ジッシツ</t>
    </rPh>
    <phoneticPr fontId="13"/>
  </si>
  <si>
    <t>名目</t>
    <rPh sb="0" eb="2">
      <t>メイモク</t>
    </rPh>
    <phoneticPr fontId="13"/>
  </si>
  <si>
    <t>1</t>
  </si>
  <si>
    <t>県民総所得(市場価格表示)</t>
    <rPh sb="3" eb="5">
      <t>ショトク</t>
    </rPh>
    <phoneticPr fontId="17"/>
  </si>
  <si>
    <t>７ 県内総生産（支出側／デフレーター）</t>
    <rPh sb="5" eb="7">
      <t>セイサン</t>
    </rPh>
    <rPh sb="8" eb="10">
      <t>シシュツ</t>
    </rPh>
    <rPh sb="10" eb="11">
      <t>ガワ</t>
    </rPh>
    <phoneticPr fontId="17"/>
  </si>
  <si>
    <t>項　　　　　　目</t>
  </si>
  <si>
    <t>平成23年度</t>
  </si>
  <si>
    <t>平成24年度</t>
  </si>
  <si>
    <t>平成25年度</t>
  </si>
  <si>
    <t>平成26年度</t>
  </si>
  <si>
    <t>平成27年度</t>
  </si>
  <si>
    <t>平成28年度</t>
  </si>
  <si>
    <t>平成29年度</t>
  </si>
  <si>
    <t>平成30年度</t>
    <rPh sb="0" eb="2">
      <t>ヘイセイ</t>
    </rPh>
    <phoneticPr fontId="13"/>
  </si>
  <si>
    <t>令和元年度</t>
    <rPh sb="0" eb="2">
      <t>レイワ</t>
    </rPh>
    <rPh sb="2" eb="4">
      <t>ガンネン</t>
    </rPh>
    <rPh sb="4" eb="5">
      <t>ド</t>
    </rPh>
    <phoneticPr fontId="47"/>
  </si>
  <si>
    <t>　A．食料・非アルコール</t>
  </si>
  <si>
    <t>　D．住宅・電気・ガス・水道</t>
    <rPh sb="3" eb="5">
      <t>ジュウタク</t>
    </rPh>
    <phoneticPr fontId="17"/>
  </si>
  <si>
    <t>　H．情報・通信</t>
    <rPh sb="3" eb="5">
      <t>ジョウホウ</t>
    </rPh>
    <phoneticPr fontId="17"/>
  </si>
  <si>
    <t xml:space="preserve">  L．保険・金融サービス</t>
  </si>
  <si>
    <t xml:space="preserve">  M．個別ケア・社会保護・その他</t>
  </si>
  <si>
    <t>【再掲】家計最終消費支出（除く持ち家の帰属家賃）</t>
    <rPh sb="4" eb="6">
      <t>カケイ</t>
    </rPh>
    <rPh sb="6" eb="8">
      <t>サイシュウ</t>
    </rPh>
    <rPh sb="8" eb="10">
      <t>ショウヒ</t>
    </rPh>
    <rPh sb="10" eb="12">
      <t>シシュツ</t>
    </rPh>
    <rPh sb="13" eb="14">
      <t>ノゾ</t>
    </rPh>
    <rPh sb="15" eb="16">
      <t>モ</t>
    </rPh>
    <rPh sb="17" eb="18">
      <t>ヤ</t>
    </rPh>
    <rPh sb="19" eb="21">
      <t>キゾク</t>
    </rPh>
    <rPh sb="21" eb="23">
      <t>ヤチン</t>
    </rPh>
    <phoneticPr fontId="17"/>
  </si>
  <si>
    <t>【再掲】持ち家の帰属家賃</t>
    <rPh sb="4" eb="5">
      <t>モ</t>
    </rPh>
    <rPh sb="6" eb="7">
      <t>ヤ</t>
    </rPh>
    <rPh sb="8" eb="10">
      <t>キゾク</t>
    </rPh>
    <rPh sb="10" eb="12">
      <t>ヤチン</t>
    </rPh>
    <phoneticPr fontId="17"/>
  </si>
  <si>
    <t>2 地方政府等最終消費支出</t>
    <rPh sb="2" eb="7">
      <t>チホウセイフトウ</t>
    </rPh>
    <phoneticPr fontId="17"/>
  </si>
  <si>
    <t xml:space="preserve"> (3)地方社会保障基金</t>
    <rPh sb="4" eb="6">
      <t>チホウ</t>
    </rPh>
    <phoneticPr fontId="17"/>
  </si>
  <si>
    <t>3 県内総資本形成</t>
    <rPh sb="2" eb="4">
      <t>ケンナイ</t>
    </rPh>
    <phoneticPr fontId="17"/>
  </si>
  <si>
    <t xml:space="preserve">   c 一般政府（中央政府等・地方政府等）</t>
  </si>
  <si>
    <t xml:space="preserve"> (2)在庫変動</t>
    <rPh sb="6" eb="8">
      <t>ヘンドウ</t>
    </rPh>
    <phoneticPr fontId="17"/>
  </si>
  <si>
    <t>4 財貨･ｻｰﾋﾞｽの移出入(純)・統計上の不突合</t>
    <rPh sb="15" eb="16">
      <t>ジュン</t>
    </rPh>
    <phoneticPr fontId="17"/>
  </si>
  <si>
    <t>5 県内総生産(市場価格表示)(1＋2＋3＋4）</t>
    <rPh sb="5" eb="7">
      <t>セイサン</t>
    </rPh>
    <phoneticPr fontId="17"/>
  </si>
  <si>
    <t>域外からの所得(純)</t>
    <rPh sb="0" eb="2">
      <t>イキガイ</t>
    </rPh>
    <phoneticPr fontId="17"/>
  </si>
  <si>
    <t>表5　市町内総生産（実質：平成27年連鎖価格）</t>
    <rPh sb="0" eb="1">
      <t>ヒョウ</t>
    </rPh>
    <rPh sb="3" eb="6">
      <t>シチョウナイ</t>
    </rPh>
    <rPh sb="6" eb="7">
      <t>ソウ</t>
    </rPh>
    <rPh sb="7" eb="9">
      <t>セイサン</t>
    </rPh>
    <rPh sb="10" eb="12">
      <t>ジッシツ</t>
    </rPh>
    <rPh sb="13" eb="15">
      <t>ヘイセイ</t>
    </rPh>
    <rPh sb="17" eb="18">
      <t>ネン</t>
    </rPh>
    <rPh sb="18" eb="20">
      <t>レンサ</t>
    </rPh>
    <rPh sb="20" eb="22">
      <t>カカク</t>
    </rPh>
    <phoneticPr fontId="13"/>
  </si>
  <si>
    <t>市町内総生産（支出側名目：平成27年基準）</t>
    <rPh sb="0" eb="3">
      <t>シチョウナイ</t>
    </rPh>
    <rPh sb="3" eb="4">
      <t>ソウ</t>
    </rPh>
    <rPh sb="4" eb="6">
      <t>セイサン</t>
    </rPh>
    <rPh sb="7" eb="9">
      <t>シシュツ</t>
    </rPh>
    <rPh sb="9" eb="10">
      <t>ガワ</t>
    </rPh>
    <rPh sb="10" eb="11">
      <t>メイ</t>
    </rPh>
    <rPh sb="11" eb="12">
      <t>メ</t>
    </rPh>
    <rPh sb="13" eb="15">
      <t>ヘイセイ</t>
    </rPh>
    <rPh sb="17" eb="18">
      <t>ネン</t>
    </rPh>
    <rPh sb="18" eb="20">
      <t>キジュン</t>
    </rPh>
    <phoneticPr fontId="13"/>
  </si>
  <si>
    <t>表7 　市町内総生産（実質：平成27年連鎖価格）</t>
    <rPh sb="0" eb="1">
      <t>ヒョウ</t>
    </rPh>
    <rPh sb="4" eb="7">
      <t>シチョウナイ</t>
    </rPh>
    <rPh sb="7" eb="8">
      <t>ソウ</t>
    </rPh>
    <rPh sb="8" eb="10">
      <t>セイサン</t>
    </rPh>
    <rPh sb="11" eb="13">
      <t>ジッシツ</t>
    </rPh>
    <rPh sb="14" eb="16">
      <t>ヘイセイ</t>
    </rPh>
    <rPh sb="18" eb="19">
      <t>ネン</t>
    </rPh>
    <rPh sb="19" eb="21">
      <t>レンサ</t>
    </rPh>
    <rPh sb="21" eb="23">
      <t>カカク</t>
    </rPh>
    <phoneticPr fontId="13"/>
  </si>
  <si>
    <t>全国</t>
    <rPh sb="0" eb="2">
      <t>ゼンコク</t>
    </rPh>
    <phoneticPr fontId="13"/>
  </si>
  <si>
    <t>市町内総生産（実質：平成27年連鎖価格）</t>
    <rPh sb="0" eb="3">
      <t>シチョウナイ</t>
    </rPh>
    <rPh sb="3" eb="4">
      <t>ソウ</t>
    </rPh>
    <rPh sb="4" eb="6">
      <t>セイサン</t>
    </rPh>
    <rPh sb="7" eb="9">
      <t>ジッシツ</t>
    </rPh>
    <rPh sb="10" eb="12">
      <t>ヘイセイ</t>
    </rPh>
    <rPh sb="14" eb="15">
      <t>ネン</t>
    </rPh>
    <rPh sb="15" eb="17">
      <t>レンサ</t>
    </rPh>
    <rPh sb="17" eb="19">
      <t>カカク</t>
    </rPh>
    <phoneticPr fontId="13"/>
  </si>
  <si>
    <t xml:space="preserve"> </t>
    <phoneticPr fontId="13"/>
  </si>
  <si>
    <t>兵庫県四半期別県民経済計算速報（QE）：デフレーター(平成27暦年基準）</t>
    <rPh sb="0" eb="2">
      <t>ヒョウゴ</t>
    </rPh>
    <rPh sb="7" eb="13">
      <t>ケンミンケイザイケイサン</t>
    </rPh>
    <rPh sb="27" eb="29">
      <t>ヘイセイ</t>
    </rPh>
    <rPh sb="31" eb="33">
      <t>レキネン</t>
    </rPh>
    <rPh sb="33" eb="35">
      <t>キジュン</t>
    </rPh>
    <phoneticPr fontId="12"/>
  </si>
  <si>
    <t>地方政府等</t>
    <rPh sb="0" eb="2">
      <t>チホウ</t>
    </rPh>
    <rPh sb="4" eb="5">
      <t>トウ</t>
    </rPh>
    <phoneticPr fontId="13"/>
  </si>
  <si>
    <t>最終消費支出</t>
    <rPh sb="0" eb="2">
      <t>サイシュウ</t>
    </rPh>
    <phoneticPr fontId="13"/>
  </si>
  <si>
    <t>丹波篠山市：篠山市より市名変更（令和元年５月～）</t>
    <rPh sb="0" eb="2">
      <t>タンバ</t>
    </rPh>
    <rPh sb="2" eb="5">
      <t>ササヤマシ</t>
    </rPh>
    <rPh sb="6" eb="9">
      <t>ササヤマシ</t>
    </rPh>
    <rPh sb="11" eb="13">
      <t>シメイ</t>
    </rPh>
    <rPh sb="13" eb="15">
      <t>ヘンコウ</t>
    </rPh>
    <rPh sb="16" eb="18">
      <t>レイワ</t>
    </rPh>
    <rPh sb="18" eb="20">
      <t>ガンネン</t>
    </rPh>
    <rPh sb="20" eb="22">
      <t>ゴガツ</t>
    </rPh>
    <phoneticPr fontId="13"/>
  </si>
  <si>
    <t xml:space="preserve"> </t>
    <phoneticPr fontId="13"/>
  </si>
  <si>
    <t>ｱｼﾞｱ太平洋研究所</t>
    <rPh sb="4" eb="7">
      <t>タイヘイヨウ</t>
    </rPh>
    <rPh sb="7" eb="10">
      <t>ケンキュウショ</t>
    </rPh>
    <phoneticPr fontId="13"/>
  </si>
  <si>
    <t xml:space="preserve"> </t>
    <phoneticPr fontId="4"/>
  </si>
  <si>
    <t>令和2年度</t>
    <rPh sb="0" eb="2">
      <t>レイワ</t>
    </rPh>
    <phoneticPr fontId="4"/>
  </si>
  <si>
    <t>市町別主要統計指標</t>
    <rPh sb="0" eb="3">
      <t>シチョウベツ</t>
    </rPh>
    <rPh sb="3" eb="5">
      <t>シュヨウ</t>
    </rPh>
    <rPh sb="5" eb="7">
      <t>トウケイ</t>
    </rPh>
    <rPh sb="7" eb="9">
      <t>シヒョウ</t>
    </rPh>
    <phoneticPr fontId="13"/>
  </si>
  <si>
    <t>純移輸出入－移輸入</t>
    <rPh sb="0" eb="1">
      <t>ジュン</t>
    </rPh>
    <rPh sb="1" eb="2">
      <t>イ</t>
    </rPh>
    <rPh sb="2" eb="4">
      <t>ユシュツ</t>
    </rPh>
    <rPh sb="4" eb="5">
      <t>ニュウ</t>
    </rPh>
    <rPh sb="6" eb="7">
      <t>イ</t>
    </rPh>
    <rPh sb="7" eb="9">
      <t>ユニュウ</t>
    </rPh>
    <phoneticPr fontId="12"/>
  </si>
  <si>
    <t>市町需要比率</t>
    <rPh sb="0" eb="2">
      <t>シチョウ</t>
    </rPh>
    <rPh sb="2" eb="4">
      <t>ジュヨウ</t>
    </rPh>
    <rPh sb="4" eb="6">
      <t>ヒリツ</t>
    </rPh>
    <phoneticPr fontId="12"/>
  </si>
  <si>
    <t>1次値</t>
    <rPh sb="1" eb="2">
      <t>ツギ</t>
    </rPh>
    <rPh sb="2" eb="3">
      <t>アタイ</t>
    </rPh>
    <phoneticPr fontId="13"/>
  </si>
  <si>
    <t>純移出入＝移輸出－移輸入</t>
    <rPh sb="0" eb="1">
      <t>ジュン</t>
    </rPh>
    <rPh sb="1" eb="3">
      <t>イシュツ</t>
    </rPh>
    <rPh sb="3" eb="4">
      <t>ニュウ</t>
    </rPh>
    <rPh sb="5" eb="6">
      <t>イ</t>
    </rPh>
    <rPh sb="6" eb="8">
      <t>ユシュツ</t>
    </rPh>
    <rPh sb="9" eb="10">
      <t>イ</t>
    </rPh>
    <rPh sb="10" eb="12">
      <t>ユニュウ</t>
    </rPh>
    <phoneticPr fontId="12"/>
  </si>
  <si>
    <t xml:space="preserve"> </t>
    <phoneticPr fontId="13"/>
  </si>
  <si>
    <t>APIRﾃﾞﾌﾚｰﾀｰ</t>
    <phoneticPr fontId="13"/>
  </si>
  <si>
    <t xml:space="preserve"> </t>
    <phoneticPr fontId="13"/>
  </si>
  <si>
    <t>市町民経済計算（確報）</t>
    <rPh sb="0" eb="2">
      <t>シチョウ</t>
    </rPh>
    <rPh sb="2" eb="3">
      <t>ミン</t>
    </rPh>
    <rPh sb="3" eb="5">
      <t>ケイザイ</t>
    </rPh>
    <rPh sb="5" eb="7">
      <t>ケイサン</t>
    </rPh>
    <rPh sb="8" eb="10">
      <t>カクホウ</t>
    </rPh>
    <phoneticPr fontId="13"/>
  </si>
  <si>
    <t xml:space="preserve"> </t>
    <phoneticPr fontId="13"/>
  </si>
  <si>
    <t>2021年度</t>
    <rPh sb="4" eb="6">
      <t>ネンド</t>
    </rPh>
    <phoneticPr fontId="3"/>
  </si>
  <si>
    <t>2015</t>
    <phoneticPr fontId="13"/>
  </si>
  <si>
    <t xml:space="preserve"> </t>
    <phoneticPr fontId="13"/>
  </si>
  <si>
    <t>四半期別兵庫県内ＧＤＰ速報（支出側） 実質原系列(平成27暦年連鎖方式)</t>
    <rPh sb="0" eb="3">
      <t>シハンキ</t>
    </rPh>
    <rPh sb="3" eb="4">
      <t>ベツ</t>
    </rPh>
    <rPh sb="4" eb="6">
      <t>ヒョウゴ</t>
    </rPh>
    <rPh sb="6" eb="8">
      <t>ケンナイ</t>
    </rPh>
    <rPh sb="11" eb="13">
      <t>ソクホウ</t>
    </rPh>
    <rPh sb="14" eb="16">
      <t>シシュツ</t>
    </rPh>
    <rPh sb="16" eb="17">
      <t>ガワ</t>
    </rPh>
    <rPh sb="19" eb="21">
      <t>ジッシツ</t>
    </rPh>
    <rPh sb="21" eb="24">
      <t>ゲンケイレツ</t>
    </rPh>
    <rPh sb="25" eb="27">
      <t>ヘイセイ</t>
    </rPh>
    <rPh sb="29" eb="30">
      <t>コヨミ</t>
    </rPh>
    <rPh sb="30" eb="31">
      <t>ネン</t>
    </rPh>
    <rPh sb="31" eb="33">
      <t>レンサ</t>
    </rPh>
    <rPh sb="33" eb="35">
      <t>ホウシキ</t>
    </rPh>
    <phoneticPr fontId="19"/>
  </si>
  <si>
    <t xml:space="preserve"> </t>
    <phoneticPr fontId="13"/>
  </si>
  <si>
    <t>令和3年</t>
    <rPh sb="0" eb="2">
      <t>レイワ</t>
    </rPh>
    <rPh sb="3" eb="4">
      <t>ネン</t>
    </rPh>
    <phoneticPr fontId="13"/>
  </si>
  <si>
    <t xml:space="preserve"> </t>
    <phoneticPr fontId="13"/>
  </si>
  <si>
    <t>2015連鎖</t>
    <rPh sb="4" eb="6">
      <t>レンサ</t>
    </rPh>
    <phoneticPr fontId="3"/>
  </si>
  <si>
    <t>2015年基準</t>
    <rPh sb="4" eb="5">
      <t>ネン</t>
    </rPh>
    <rPh sb="5" eb="7">
      <t>キジュン</t>
    </rPh>
    <phoneticPr fontId="13"/>
  </si>
  <si>
    <t xml:space="preserve"> </t>
    <phoneticPr fontId="13"/>
  </si>
  <si>
    <t>R2決算</t>
    <rPh sb="2" eb="4">
      <t>ケッサン</t>
    </rPh>
    <phoneticPr fontId="13"/>
  </si>
  <si>
    <t>R1決算</t>
    <rPh sb="2" eb="4">
      <t>ケッサン</t>
    </rPh>
    <phoneticPr fontId="13"/>
  </si>
  <si>
    <t>令和3年度</t>
    <rPh sb="0" eb="2">
      <t>レイワ</t>
    </rPh>
    <rPh sb="3" eb="5">
      <t>ネンド</t>
    </rPh>
    <phoneticPr fontId="13"/>
  </si>
  <si>
    <t>令和4年度</t>
    <rPh sb="0" eb="2">
      <t>レイワ</t>
    </rPh>
    <rPh sb="3" eb="5">
      <t>ネンド</t>
    </rPh>
    <phoneticPr fontId="13"/>
  </si>
  <si>
    <t xml:space="preserve"> </t>
    <phoneticPr fontId="12"/>
  </si>
  <si>
    <t xml:space="preserve"> </t>
    <phoneticPr fontId="12"/>
  </si>
  <si>
    <t>令和元年度</t>
    <rPh sb="0" eb="2">
      <t>レイワ</t>
    </rPh>
    <rPh sb="2" eb="5">
      <t>ガンネンド</t>
    </rPh>
    <phoneticPr fontId="12"/>
  </si>
  <si>
    <t>令和2年度</t>
    <rPh sb="0" eb="2">
      <t>レイワ</t>
    </rPh>
    <rPh sb="3" eb="5">
      <t>ネンド</t>
    </rPh>
    <phoneticPr fontId="12"/>
  </si>
  <si>
    <t>2015年基準</t>
    <rPh sb="4" eb="5">
      <t>ネン</t>
    </rPh>
    <rPh sb="5" eb="7">
      <t>キジュン</t>
    </rPh>
    <phoneticPr fontId="12"/>
  </si>
  <si>
    <t>1次値推計補正</t>
    <rPh sb="1" eb="2">
      <t>ツギ</t>
    </rPh>
    <rPh sb="2" eb="3">
      <t>アタイ</t>
    </rPh>
    <rPh sb="3" eb="5">
      <t>スイケイ</t>
    </rPh>
    <rPh sb="5" eb="7">
      <t>ホセイ</t>
    </rPh>
    <phoneticPr fontId="12"/>
  </si>
  <si>
    <t>未推計</t>
    <rPh sb="0" eb="1">
      <t>ミ</t>
    </rPh>
    <rPh sb="1" eb="3">
      <t>スイケイ</t>
    </rPh>
    <phoneticPr fontId="13"/>
  </si>
  <si>
    <t xml:space="preserve"> </t>
    <phoneticPr fontId="13"/>
  </si>
  <si>
    <t>令和3年度</t>
    <rPh sb="0" eb="2">
      <t>レイワ</t>
    </rPh>
    <rPh sb="3" eb="5">
      <t>ネンド</t>
    </rPh>
    <rPh sb="4" eb="5">
      <t>ド</t>
    </rPh>
    <phoneticPr fontId="13"/>
  </si>
  <si>
    <t>R4/5/24</t>
    <phoneticPr fontId="13"/>
  </si>
  <si>
    <t>令和5年度市町内総生産（支出側：名目）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</si>
  <si>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令和4年度</t>
    <rPh sb="0" eb="2">
      <t>レイワ</t>
    </rPh>
    <phoneticPr fontId="22"/>
  </si>
  <si>
    <t>世帯当たり消費支出（令和2年）</t>
    <rPh sb="0" eb="2">
      <t>セタイ</t>
    </rPh>
    <rPh sb="2" eb="3">
      <t>ア</t>
    </rPh>
    <rPh sb="5" eb="7">
      <t>ショウヒ</t>
    </rPh>
    <rPh sb="7" eb="9">
      <t>シシュツ</t>
    </rPh>
    <rPh sb="10" eb="12">
      <t>レイワ</t>
    </rPh>
    <rPh sb="13" eb="14">
      <t>ネン</t>
    </rPh>
    <phoneticPr fontId="13"/>
  </si>
  <si>
    <t>世帯当たり消費支出（令和3年）</t>
    <rPh sb="0" eb="2">
      <t>セタイ</t>
    </rPh>
    <rPh sb="2" eb="3">
      <t>ア</t>
    </rPh>
    <rPh sb="5" eb="7">
      <t>ショウヒ</t>
    </rPh>
    <rPh sb="7" eb="9">
      <t>シシュツ</t>
    </rPh>
    <rPh sb="10" eb="12">
      <t>レイワ</t>
    </rPh>
    <rPh sb="13" eb="14">
      <t>ネン</t>
    </rPh>
    <phoneticPr fontId="13"/>
  </si>
  <si>
    <t>令和5年</t>
    <rPh sb="0" eb="2">
      <t>レイワ</t>
    </rPh>
    <rPh sb="3" eb="4">
      <t>ネン</t>
    </rPh>
    <phoneticPr fontId="13"/>
  </si>
  <si>
    <t>R5</t>
    <phoneticPr fontId="13"/>
  </si>
  <si>
    <t>世帯数
2023年</t>
    <phoneticPr fontId="4"/>
  </si>
  <si>
    <t>R5年度計</t>
    <rPh sb="2" eb="4">
      <t>ネンド</t>
    </rPh>
    <rPh sb="4" eb="5">
      <t>ケイ</t>
    </rPh>
    <phoneticPr fontId="13"/>
  </si>
  <si>
    <r>
      <t>統計上の不突合</t>
    </r>
    <r>
      <rPr>
        <b/>
        <u/>
        <sz val="10"/>
        <rFont val="ＭＳ Ｐゴシック"/>
        <family val="3"/>
        <charset val="128"/>
      </rPr>
      <t>（計算上の仮値）</t>
    </r>
    <rPh sb="0" eb="2">
      <t>トウケイ</t>
    </rPh>
    <rPh sb="2" eb="3">
      <t>ウエ</t>
    </rPh>
    <rPh sb="4" eb="5">
      <t>フ</t>
    </rPh>
    <rPh sb="5" eb="6">
      <t>トツ</t>
    </rPh>
    <rPh sb="6" eb="7">
      <t>ゴウ</t>
    </rPh>
    <rPh sb="8" eb="11">
      <t>ケイサンジョウ</t>
    </rPh>
    <rPh sb="12" eb="13">
      <t>カリ</t>
    </rPh>
    <rPh sb="13" eb="14">
      <t>チ</t>
    </rPh>
    <phoneticPr fontId="13"/>
  </si>
  <si>
    <t>令和5年度</t>
    <rPh sb="0" eb="2">
      <t>レイワ</t>
    </rPh>
    <rPh sb="3" eb="5">
      <t>ネンド</t>
    </rPh>
    <phoneticPr fontId="3"/>
  </si>
  <si>
    <t>2023年度</t>
    <rPh sb="4" eb="6">
      <t>ネンド</t>
    </rPh>
    <phoneticPr fontId="3"/>
  </si>
  <si>
    <t>APIR</t>
    <phoneticPr fontId="13"/>
  </si>
  <si>
    <t>（資料）アジア太平洋研究所「関西エコノミックインサイト」</t>
    <rPh sb="1" eb="3">
      <t>シリョウ</t>
    </rPh>
    <rPh sb="7" eb="10">
      <t>タイヘイヨウ</t>
    </rPh>
    <rPh sb="10" eb="13">
      <t>ケンキュウショ</t>
    </rPh>
    <rPh sb="14" eb="16">
      <t>カンサイ</t>
    </rPh>
    <phoneticPr fontId="13"/>
  </si>
  <si>
    <t>表　令和5年度市町内総生産（支出側名目：平成27年基準）試算値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</si>
  <si>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令和3年度</t>
    <rPh sb="0" eb="2">
      <t>レイワ</t>
    </rPh>
    <rPh sb="3" eb="5">
      <t>ネンド</t>
    </rPh>
    <phoneticPr fontId="12"/>
  </si>
  <si>
    <t>令和4年度</t>
    <rPh sb="0" eb="2">
      <t>レイワ</t>
    </rPh>
    <rPh sb="3" eb="5">
      <t>ネンド</t>
    </rPh>
    <phoneticPr fontId="12"/>
  </si>
  <si>
    <t>令和5年度</t>
    <rPh sb="0" eb="2">
      <t>レイワ</t>
    </rPh>
    <rPh sb="3" eb="5">
      <t>ネンド</t>
    </rPh>
    <phoneticPr fontId="12"/>
  </si>
  <si>
    <t>令和6年度</t>
    <rPh sb="0" eb="2">
      <t>レイワ</t>
    </rPh>
    <rPh sb="3" eb="5">
      <t>ネンド</t>
    </rPh>
    <phoneticPr fontId="13"/>
  </si>
  <si>
    <t>R6/R5</t>
    <phoneticPr fontId="13"/>
  </si>
  <si>
    <t>4-6</t>
    <phoneticPr fontId="13"/>
  </si>
  <si>
    <t>7-9</t>
    <phoneticPr fontId="13"/>
  </si>
  <si>
    <t>10-12</t>
    <phoneticPr fontId="13"/>
  </si>
  <si>
    <t>1-3</t>
    <phoneticPr fontId="13"/>
  </si>
  <si>
    <t>名目</t>
    <rPh sb="0" eb="2">
      <t>メイモク</t>
    </rPh>
    <phoneticPr fontId="13"/>
  </si>
  <si>
    <t>実質</t>
    <rPh sb="0" eb="2">
      <t>ジッシツ</t>
    </rPh>
    <phoneticPr fontId="13"/>
  </si>
  <si>
    <t xml:space="preserve"> </t>
    <phoneticPr fontId="13"/>
  </si>
  <si>
    <t>世帯当たり消費支出（令和4年）</t>
    <rPh sb="0" eb="2">
      <t>セタイ</t>
    </rPh>
    <rPh sb="2" eb="3">
      <t>ア</t>
    </rPh>
    <rPh sb="5" eb="7">
      <t>ショウヒ</t>
    </rPh>
    <rPh sb="7" eb="9">
      <t>シシュツ</t>
    </rPh>
    <rPh sb="10" eb="12">
      <t>レイワ</t>
    </rPh>
    <rPh sb="13" eb="14">
      <t>ネン</t>
    </rPh>
    <phoneticPr fontId="13"/>
  </si>
  <si>
    <t>令和2年度</t>
    <rPh sb="0" eb="2">
      <t>レイワ</t>
    </rPh>
    <rPh sb="3" eb="4">
      <t>ネン</t>
    </rPh>
    <rPh sb="4" eb="5">
      <t>ド</t>
    </rPh>
    <phoneticPr fontId="13"/>
  </si>
  <si>
    <t>5年/1-3月</t>
    <rPh sb="1" eb="2">
      <t>ネン</t>
    </rPh>
    <rPh sb="6" eb="7">
      <t>ツキ</t>
    </rPh>
    <phoneticPr fontId="22"/>
  </si>
  <si>
    <t>令和4年度</t>
    <rPh sb="0" eb="2">
      <t>レイワ</t>
    </rPh>
    <rPh sb="3" eb="5">
      <t>ネンド</t>
    </rPh>
    <rPh sb="4" eb="5">
      <t>ド</t>
    </rPh>
    <phoneticPr fontId="13"/>
  </si>
  <si>
    <t>令和2年度確報</t>
    <rPh sb="0" eb="2">
      <t>レイワ</t>
    </rPh>
    <rPh sb="3" eb="5">
      <t>ネンド</t>
    </rPh>
    <rPh sb="5" eb="7">
      <t>カクホウ</t>
    </rPh>
    <phoneticPr fontId="13"/>
  </si>
  <si>
    <t>県外等からの要素所得(純)</t>
    <rPh sb="0" eb="2">
      <t>ケンガイ</t>
    </rPh>
    <rPh sb="2" eb="3">
      <t>トウ</t>
    </rPh>
    <rPh sb="6" eb="8">
      <t>ヨウソ</t>
    </rPh>
    <phoneticPr fontId="2"/>
  </si>
  <si>
    <t>R2年度県民経済確報</t>
    <rPh sb="2" eb="4">
      <t>ネンド</t>
    </rPh>
    <rPh sb="4" eb="6">
      <t>ケンミン</t>
    </rPh>
    <rPh sb="6" eb="8">
      <t>ケイザイ</t>
    </rPh>
    <rPh sb="8" eb="10">
      <t>カクホウ</t>
    </rPh>
    <phoneticPr fontId="13"/>
  </si>
  <si>
    <t>生産系列からリンク：実質市町GDP試算「実質時系列（調整後）</t>
    <rPh sb="0" eb="2">
      <t>セイサン</t>
    </rPh>
    <rPh sb="2" eb="4">
      <t>ケイレツ</t>
    </rPh>
    <rPh sb="10" eb="12">
      <t>ジッシツ</t>
    </rPh>
    <rPh sb="12" eb="14">
      <t>シチョウ</t>
    </rPh>
    <rPh sb="17" eb="19">
      <t>シサン</t>
    </rPh>
    <rPh sb="20" eb="22">
      <t>ジッシツ</t>
    </rPh>
    <rPh sb="22" eb="25">
      <t>ジケイレツ</t>
    </rPh>
    <rPh sb="26" eb="29">
      <t>チョウセイゴ</t>
    </rPh>
    <phoneticPr fontId="13"/>
  </si>
  <si>
    <t>R5.1.24公表</t>
    <rPh sb="7" eb="9">
      <t>コウヒョウ</t>
    </rPh>
    <phoneticPr fontId="13"/>
  </si>
  <si>
    <t>参考</t>
    <rPh sb="0" eb="2">
      <t>サンコウ</t>
    </rPh>
    <phoneticPr fontId="13"/>
  </si>
  <si>
    <t>2地方政府等最終消費支出（１）県</t>
    <rPh sb="1" eb="3">
      <t>チホウ</t>
    </rPh>
    <rPh sb="3" eb="5">
      <t>セイフ</t>
    </rPh>
    <rPh sb="5" eb="6">
      <t>トウ</t>
    </rPh>
    <rPh sb="6" eb="8">
      <t>サイシュウ</t>
    </rPh>
    <rPh sb="8" eb="10">
      <t>ショウヒ</t>
    </rPh>
    <rPh sb="10" eb="12">
      <t>シシュツ</t>
    </rPh>
    <rPh sb="15" eb="16">
      <t>ケン</t>
    </rPh>
    <phoneticPr fontId="13"/>
  </si>
  <si>
    <t>中央政府等（準地域）への移出　※</t>
    <phoneticPr fontId="12"/>
  </si>
  <si>
    <t>※地方政府等最終消費支出の県値含む</t>
    <rPh sb="1" eb="3">
      <t>チホウ</t>
    </rPh>
    <rPh sb="3" eb="5">
      <t>セイフ</t>
    </rPh>
    <rPh sb="5" eb="6">
      <t>トウ</t>
    </rPh>
    <rPh sb="6" eb="8">
      <t>サイシュウ</t>
    </rPh>
    <rPh sb="8" eb="10">
      <t>ショウヒ</t>
    </rPh>
    <rPh sb="10" eb="12">
      <t>シシュツ</t>
    </rPh>
    <rPh sb="13" eb="15">
      <t>ケンチ</t>
    </rPh>
    <rPh sb="15" eb="16">
      <t>フク</t>
    </rPh>
    <phoneticPr fontId="12"/>
  </si>
  <si>
    <r>
      <t>R</t>
    </r>
    <r>
      <rPr>
        <sz val="10"/>
        <rFont val="游ゴシック"/>
        <family val="1"/>
        <charset val="128"/>
      </rPr>
      <t>1</t>
    </r>
    <r>
      <rPr>
        <sz val="10"/>
        <rFont val="明朝"/>
        <family val="1"/>
        <charset val="128"/>
      </rPr>
      <t>／H3</t>
    </r>
    <r>
      <rPr>
        <sz val="10"/>
        <rFont val="游ゴシック"/>
        <family val="1"/>
        <charset val="128"/>
      </rPr>
      <t>0</t>
    </r>
    <phoneticPr fontId="13"/>
  </si>
  <si>
    <t xml:space="preserve"> </t>
    <phoneticPr fontId="13"/>
  </si>
  <si>
    <t>R5/5/30</t>
    <phoneticPr fontId="13"/>
  </si>
  <si>
    <t xml:space="preserve"> </t>
    <phoneticPr fontId="12"/>
  </si>
  <si>
    <t xml:space="preserve"> </t>
    <phoneticPr fontId="13"/>
  </si>
  <si>
    <t>補正</t>
    <rPh sb="0" eb="2">
      <t>ホセイ</t>
    </rPh>
    <phoneticPr fontId="12"/>
  </si>
  <si>
    <t>令和5年度</t>
    <rPh sb="0" eb="2">
      <t>レイワ</t>
    </rPh>
    <phoneticPr fontId="22"/>
  </si>
  <si>
    <t>6年/1-3月</t>
    <rPh sb="1" eb="2">
      <t>ネン</t>
    </rPh>
    <rPh sb="6" eb="7">
      <t>ツキ</t>
    </rPh>
    <phoneticPr fontId="22"/>
  </si>
  <si>
    <t>R5.4-6</t>
    <phoneticPr fontId="13"/>
  </si>
  <si>
    <t>R6年度計</t>
    <rPh sb="2" eb="4">
      <t>ネンド</t>
    </rPh>
    <rPh sb="4" eb="5">
      <t>ケイ</t>
    </rPh>
    <phoneticPr fontId="13"/>
  </si>
  <si>
    <t>令和6年度</t>
    <rPh sb="0" eb="2">
      <t>レイワ</t>
    </rPh>
    <rPh sb="3" eb="5">
      <t>ネンド</t>
    </rPh>
    <phoneticPr fontId="3"/>
  </si>
  <si>
    <t>2024年度</t>
    <rPh sb="4" eb="6">
      <t>ネンド</t>
    </rPh>
    <phoneticPr fontId="3"/>
  </si>
  <si>
    <t>令和3年度</t>
    <rPh sb="0" eb="2">
      <t>レイワ</t>
    </rPh>
    <phoneticPr fontId="4"/>
  </si>
  <si>
    <t>R3決算</t>
    <rPh sb="2" eb="4">
      <t>ケッサン</t>
    </rPh>
    <phoneticPr fontId="13"/>
  </si>
  <si>
    <t>R6</t>
    <phoneticPr fontId="13"/>
  </si>
  <si>
    <t xml:space="preserve"> </t>
    <phoneticPr fontId="13"/>
  </si>
  <si>
    <t>令和6年度市町内総生産（支出側：名目）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</si>
  <si>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R6/R5</t>
    <phoneticPr fontId="13"/>
  </si>
  <si>
    <t>令和6年度</t>
    <rPh sb="0" eb="2">
      <t>レイワ</t>
    </rPh>
    <rPh sb="3" eb="5">
      <t>ネンド</t>
    </rPh>
    <phoneticPr fontId="12"/>
  </si>
  <si>
    <t>ﾃﾞﾌﾚｰﾀｰ</t>
    <phoneticPr fontId="13"/>
  </si>
  <si>
    <t>令和7年度</t>
    <rPh sb="0" eb="2">
      <t>レイワ</t>
    </rPh>
    <rPh sb="3" eb="5">
      <t>ネンド</t>
    </rPh>
    <phoneticPr fontId="13"/>
  </si>
  <si>
    <t>令和7年度</t>
    <rPh sb="0" eb="2">
      <t>レイワ</t>
    </rPh>
    <rPh sb="3" eb="5">
      <t>ネンド</t>
    </rPh>
    <phoneticPr fontId="3"/>
  </si>
  <si>
    <t>2025年度</t>
    <rPh sb="4" eb="6">
      <t>ネンド</t>
    </rPh>
    <phoneticPr fontId="3"/>
  </si>
  <si>
    <t>令和元年全国家計構造調査</t>
    <rPh sb="0" eb="2">
      <t>レイワ</t>
    </rPh>
    <rPh sb="2" eb="3">
      <t>ガン</t>
    </rPh>
    <rPh sb="3" eb="4">
      <t>ネン</t>
    </rPh>
    <rPh sb="4" eb="6">
      <t>ゼンコク</t>
    </rPh>
    <rPh sb="6" eb="8">
      <t>カケイ</t>
    </rPh>
    <rPh sb="8" eb="10">
      <t>コウゾウ</t>
    </rPh>
    <rPh sb="10" eb="12">
      <t>チョウサ</t>
    </rPh>
    <phoneticPr fontId="13"/>
  </si>
  <si>
    <t xml:space="preserve"> </t>
    <phoneticPr fontId="13"/>
  </si>
  <si>
    <t>市町内総生産（名目）　時系列表－実数</t>
    <rPh sb="2" eb="3">
      <t>ナイ</t>
    </rPh>
    <rPh sb="3" eb="6">
      <t>ソウセイサン</t>
    </rPh>
    <rPh sb="7" eb="9">
      <t>メイモク</t>
    </rPh>
    <rPh sb="11" eb="14">
      <t>ジケイレツ</t>
    </rPh>
    <rPh sb="14" eb="15">
      <t>ヒョウ</t>
    </rPh>
    <rPh sb="16" eb="18">
      <t>ジッスウ</t>
    </rPh>
    <phoneticPr fontId="19"/>
  </si>
  <si>
    <t>（単位：百万円）</t>
    <phoneticPr fontId="12"/>
  </si>
  <si>
    <t>年度</t>
    <rPh sb="0" eb="2">
      <t>ネンド</t>
    </rPh>
    <phoneticPr fontId="12"/>
  </si>
  <si>
    <t>平成</t>
    <rPh sb="0" eb="2">
      <t>ヘイセイ</t>
    </rPh>
    <phoneticPr fontId="12"/>
  </si>
  <si>
    <t>令和</t>
    <rPh sb="0" eb="2">
      <t>レイワ</t>
    </rPh>
    <phoneticPr fontId="12"/>
  </si>
  <si>
    <t>23年度</t>
    <rPh sb="2" eb="4">
      <t>ネンド</t>
    </rPh>
    <phoneticPr fontId="12"/>
  </si>
  <si>
    <t>24年度</t>
    <rPh sb="2" eb="4">
      <t>ネンド</t>
    </rPh>
    <phoneticPr fontId="12"/>
  </si>
  <si>
    <t>26年度</t>
    <rPh sb="2" eb="4">
      <t>ネンド</t>
    </rPh>
    <phoneticPr fontId="12"/>
  </si>
  <si>
    <t>27年度</t>
    <rPh sb="2" eb="4">
      <t>ネンド</t>
    </rPh>
    <phoneticPr fontId="12"/>
  </si>
  <si>
    <t>28年度</t>
    <rPh sb="2" eb="4">
      <t>ネンド</t>
    </rPh>
    <phoneticPr fontId="12"/>
  </si>
  <si>
    <t>29年度</t>
    <rPh sb="2" eb="4">
      <t>ネンド</t>
    </rPh>
    <phoneticPr fontId="12"/>
  </si>
  <si>
    <t>30年度</t>
    <rPh sb="2" eb="4">
      <t>ネンド</t>
    </rPh>
    <phoneticPr fontId="12"/>
  </si>
  <si>
    <t>元年度</t>
    <rPh sb="0" eb="2">
      <t>ガンネン</t>
    </rPh>
    <rPh sb="2" eb="3">
      <t>ド</t>
    </rPh>
    <phoneticPr fontId="12"/>
  </si>
  <si>
    <t>２年度</t>
    <rPh sb="1" eb="3">
      <t>ネンド</t>
    </rPh>
    <rPh sb="2" eb="3">
      <t>ド</t>
    </rPh>
    <phoneticPr fontId="12"/>
  </si>
  <si>
    <t>３年度</t>
    <rPh sb="1" eb="3">
      <t>ネンド</t>
    </rPh>
    <rPh sb="2" eb="3">
      <t>ド</t>
    </rPh>
    <phoneticPr fontId="12"/>
  </si>
  <si>
    <t>西脇市</t>
    <phoneticPr fontId="12"/>
  </si>
  <si>
    <t>三木市</t>
    <phoneticPr fontId="12"/>
  </si>
  <si>
    <t>佐用町</t>
    <phoneticPr fontId="12"/>
  </si>
  <si>
    <t>豊岡市</t>
    <phoneticPr fontId="12"/>
  </si>
  <si>
    <t>丹波篠山市</t>
    <rPh sb="0" eb="2">
      <t>タンバ</t>
    </rPh>
    <rPh sb="4" eb="5">
      <t>シ</t>
    </rPh>
    <phoneticPr fontId="19"/>
  </si>
  <si>
    <t>洲本市</t>
    <phoneticPr fontId="12"/>
  </si>
  <si>
    <t>〔試算値〕市町内総生産（実質）</t>
    <rPh sb="1" eb="4">
      <t>シサンチ</t>
    </rPh>
    <rPh sb="7" eb="8">
      <t>ナイ</t>
    </rPh>
    <rPh sb="8" eb="9">
      <t>ソウ</t>
    </rPh>
    <rPh sb="12" eb="14">
      <t>ジッシツ</t>
    </rPh>
    <phoneticPr fontId="12"/>
  </si>
  <si>
    <t>24年度</t>
    <phoneticPr fontId="12"/>
  </si>
  <si>
    <t>25年度</t>
    <phoneticPr fontId="12"/>
  </si>
  <si>
    <r>
      <t>27年度</t>
    </r>
    <r>
      <rPr>
        <sz val="14"/>
        <rFont val="明朝"/>
        <family val="1"/>
        <charset val="128"/>
      </rPr>
      <t/>
    </r>
  </si>
  <si>
    <t>28年度</t>
    <phoneticPr fontId="12"/>
  </si>
  <si>
    <t>29年度</t>
    <phoneticPr fontId="12"/>
  </si>
  <si>
    <t>30年度</t>
    <phoneticPr fontId="12"/>
  </si>
  <si>
    <t>中播磨地域</t>
    <rPh sb="0" eb="1">
      <t>ナカ</t>
    </rPh>
    <rPh sb="1" eb="3">
      <t>ハリマ</t>
    </rPh>
    <rPh sb="3" eb="5">
      <t>チイキ</t>
    </rPh>
    <phoneticPr fontId="12"/>
  </si>
  <si>
    <t>25年度</t>
    <rPh sb="2" eb="4">
      <t>ネンド</t>
    </rPh>
    <phoneticPr fontId="12"/>
  </si>
  <si>
    <t>26年度</t>
    <phoneticPr fontId="12"/>
  </si>
  <si>
    <t>県内総支出（名目）</t>
    <phoneticPr fontId="12"/>
  </si>
  <si>
    <t>　　　　項　　　　　　目</t>
  </si>
  <si>
    <r>
      <t>平成22年度</t>
    </r>
    <r>
      <rPr>
        <sz val="14"/>
        <rFont val="明朝"/>
        <family val="1"/>
        <charset val="128"/>
      </rPr>
      <t/>
    </r>
    <rPh sb="0" eb="2">
      <t>ヘイセイ</t>
    </rPh>
    <rPh sb="4" eb="6">
      <t>ネンド</t>
    </rPh>
    <phoneticPr fontId="12"/>
  </si>
  <si>
    <t>平成26年度</t>
    <rPh sb="0" eb="2">
      <t>ヘイセイ</t>
    </rPh>
    <rPh sb="4" eb="6">
      <t>ネンド</t>
    </rPh>
    <phoneticPr fontId="12"/>
  </si>
  <si>
    <t>平成27年度</t>
    <rPh sb="0" eb="2">
      <t>ヘイセイ</t>
    </rPh>
    <rPh sb="4" eb="6">
      <t>ネンド</t>
    </rPh>
    <phoneticPr fontId="12"/>
  </si>
  <si>
    <t>平成28年度</t>
    <rPh sb="0" eb="2">
      <t>ヘイセイ</t>
    </rPh>
    <rPh sb="4" eb="6">
      <t>ネンド</t>
    </rPh>
    <phoneticPr fontId="12"/>
  </si>
  <si>
    <t>平成29年度</t>
    <rPh sb="0" eb="2">
      <t>ヘイセイ</t>
    </rPh>
    <rPh sb="4" eb="6">
      <t>ネンド</t>
    </rPh>
    <phoneticPr fontId="12"/>
  </si>
  <si>
    <t>平成30年度</t>
    <rPh sb="0" eb="2">
      <t>ヘイセイ</t>
    </rPh>
    <rPh sb="4" eb="6">
      <t>ネンド</t>
    </rPh>
    <phoneticPr fontId="12"/>
  </si>
  <si>
    <t xml:space="preserve"> (1)家計最終消費支出</t>
    <phoneticPr fontId="12"/>
  </si>
  <si>
    <t>　A．食料・非アルコール</t>
    <phoneticPr fontId="12"/>
  </si>
  <si>
    <t>　D．住宅・電気・ガス・水道</t>
    <rPh sb="3" eb="5">
      <t>ジュウタク</t>
    </rPh>
    <phoneticPr fontId="12"/>
  </si>
  <si>
    <t>　H．情報・通信</t>
    <rPh sb="3" eb="5">
      <t>ジョウホウ</t>
    </rPh>
    <phoneticPr fontId="12"/>
  </si>
  <si>
    <t>　I．娯楽・スポーツ・文化</t>
    <phoneticPr fontId="12"/>
  </si>
  <si>
    <t xml:space="preserve">  J．教育サービス</t>
    <phoneticPr fontId="12"/>
  </si>
  <si>
    <t xml:space="preserve">  K．外食・宿泊サービス</t>
    <phoneticPr fontId="12"/>
  </si>
  <si>
    <t xml:space="preserve">  L．保険・金融サービス</t>
    <rPh sb="4" eb="6">
      <t>ホケン</t>
    </rPh>
    <rPh sb="7" eb="9">
      <t>キンユウ</t>
    </rPh>
    <phoneticPr fontId="12"/>
  </si>
  <si>
    <t>　M．個別ケア・社会保護・その他</t>
    <rPh sb="3" eb="5">
      <t>コベツ</t>
    </rPh>
    <rPh sb="8" eb="12">
      <t>シャカイホゴ</t>
    </rPh>
    <rPh sb="15" eb="16">
      <t>タ</t>
    </rPh>
    <phoneticPr fontId="12"/>
  </si>
  <si>
    <t xml:space="preserve"> (2)対家計民間非営利団体最終消費支出</t>
    <phoneticPr fontId="12"/>
  </si>
  <si>
    <t>2 地方政府等最終消費支出</t>
    <rPh sb="2" eb="4">
      <t>チホウ</t>
    </rPh>
    <rPh sb="6" eb="7">
      <t>トウ</t>
    </rPh>
    <phoneticPr fontId="12"/>
  </si>
  <si>
    <t xml:space="preserve"> (1)  県</t>
    <phoneticPr fontId="12"/>
  </si>
  <si>
    <t xml:space="preserve"> (2)市  町</t>
    <phoneticPr fontId="12"/>
  </si>
  <si>
    <t xml:space="preserve"> (3)地方社会保障基金</t>
    <rPh sb="4" eb="6">
      <t>チホウ</t>
    </rPh>
    <rPh sb="6" eb="8">
      <t>シャカイ</t>
    </rPh>
    <rPh sb="8" eb="10">
      <t>ホショウ</t>
    </rPh>
    <rPh sb="10" eb="12">
      <t>キキン</t>
    </rPh>
    <phoneticPr fontId="12"/>
  </si>
  <si>
    <t>【再掲】1+2+4（4は中央政府等への移出のみ）</t>
    <rPh sb="12" eb="14">
      <t>チュウオウ</t>
    </rPh>
    <rPh sb="14" eb="17">
      <t>セイフトウ</t>
    </rPh>
    <rPh sb="19" eb="21">
      <t>イシュツ</t>
    </rPh>
    <phoneticPr fontId="12"/>
  </si>
  <si>
    <t>R3年度推計時に数式変更 W6+W24-W31 ⇒ W6+W24-W31+W49</t>
    <rPh sb="2" eb="4">
      <t>ネンド</t>
    </rPh>
    <rPh sb="4" eb="6">
      <t>スイケイ</t>
    </rPh>
    <rPh sb="6" eb="7">
      <t>ジ</t>
    </rPh>
    <rPh sb="8" eb="10">
      <t>スウシキ</t>
    </rPh>
    <rPh sb="10" eb="12">
      <t>ヘンコウ</t>
    </rPh>
    <phoneticPr fontId="12"/>
  </si>
  <si>
    <t>→分配系列（所５）へ</t>
    <rPh sb="1" eb="3">
      <t>ブンパイ</t>
    </rPh>
    <rPh sb="3" eb="5">
      <t>ケイレツ</t>
    </rPh>
    <rPh sb="6" eb="7">
      <t>トコロ</t>
    </rPh>
    <phoneticPr fontId="12"/>
  </si>
  <si>
    <t xml:space="preserve"> (1)総固定資本形成</t>
    <phoneticPr fontId="12"/>
  </si>
  <si>
    <t xml:space="preserve">  a 民  間</t>
    <phoneticPr fontId="12"/>
  </si>
  <si>
    <t xml:space="preserve">   （a） 住    宅</t>
    <phoneticPr fontId="12"/>
  </si>
  <si>
    <t xml:space="preserve">   （b） 企業設備</t>
    <phoneticPr fontId="12"/>
  </si>
  <si>
    <t xml:space="preserve">  b　 公  的</t>
    <phoneticPr fontId="12"/>
  </si>
  <si>
    <t xml:space="preserve"> 　（c） 一般政府（中央政府等・地方政府等）</t>
    <rPh sb="11" eb="13">
      <t>チュウオウ</t>
    </rPh>
    <rPh sb="13" eb="16">
      <t>セイフナド</t>
    </rPh>
    <rPh sb="17" eb="19">
      <t>チホウ</t>
    </rPh>
    <rPh sb="19" eb="21">
      <t>セイフ</t>
    </rPh>
    <rPh sb="21" eb="22">
      <t>ナド</t>
    </rPh>
    <phoneticPr fontId="12"/>
  </si>
  <si>
    <t xml:space="preserve"> (2)在庫変動</t>
    <rPh sb="6" eb="8">
      <t>ヘンドウ</t>
    </rPh>
    <phoneticPr fontId="12"/>
  </si>
  <si>
    <t xml:space="preserve">   a 民間企業</t>
    <phoneticPr fontId="12"/>
  </si>
  <si>
    <t xml:space="preserve">   b 公的（公的企業・一般政府）</t>
    <rPh sb="8" eb="10">
      <t>コウテキ</t>
    </rPh>
    <rPh sb="10" eb="12">
      <t>キギョウ</t>
    </rPh>
    <rPh sb="13" eb="15">
      <t>イッパン</t>
    </rPh>
    <rPh sb="15" eb="17">
      <t>セイフ</t>
    </rPh>
    <phoneticPr fontId="12"/>
  </si>
  <si>
    <t>4 財貨･ｻｰﾋﾞｽの移出入(純)・統計上の不突合</t>
    <rPh sb="13" eb="14">
      <t>ニュウ</t>
    </rPh>
    <rPh sb="15" eb="16">
      <t>ジュン</t>
    </rPh>
    <rPh sb="18" eb="20">
      <t>トウケイ</t>
    </rPh>
    <rPh sb="20" eb="21">
      <t>ウエ</t>
    </rPh>
    <rPh sb="22" eb="24">
      <t>フトツゴウ</t>
    </rPh>
    <rPh sb="24" eb="25">
      <t>ア</t>
    </rPh>
    <phoneticPr fontId="17"/>
  </si>
  <si>
    <t>（3）著作権等サービスの移出入（純）</t>
    <rPh sb="3" eb="6">
      <t>チョサクケン</t>
    </rPh>
    <rPh sb="6" eb="7">
      <t>トウ</t>
    </rPh>
    <rPh sb="12" eb="13">
      <t>イ</t>
    </rPh>
    <rPh sb="13" eb="15">
      <t>シュツニュウ</t>
    </rPh>
    <rPh sb="16" eb="17">
      <t>ジュン</t>
    </rPh>
    <phoneticPr fontId="12"/>
  </si>
  <si>
    <t>(1)に内包（ガイドラインP3-44）</t>
    <rPh sb="4" eb="6">
      <t>ナイホウ</t>
    </rPh>
    <phoneticPr fontId="12"/>
  </si>
  <si>
    <t>県内総支出(F)－（民間最終消費支出(A)＋政府最終消費支出(B)＋県内総資本形成（C)＋財貨・サービスの移出(D)－財貨・サービスの移入(E)）</t>
    <rPh sb="0" eb="2">
      <t>ケンナイ</t>
    </rPh>
    <rPh sb="2" eb="5">
      <t>ソウシシュツ</t>
    </rPh>
    <rPh sb="10" eb="12">
      <t>ミンカン</t>
    </rPh>
    <rPh sb="12" eb="14">
      <t>サイシュウ</t>
    </rPh>
    <rPh sb="14" eb="16">
      <t>ショウヒ</t>
    </rPh>
    <rPh sb="16" eb="18">
      <t>シシュツ</t>
    </rPh>
    <rPh sb="22" eb="24">
      <t>セイフ</t>
    </rPh>
    <rPh sb="24" eb="26">
      <t>サイシュウ</t>
    </rPh>
    <rPh sb="26" eb="28">
      <t>ショウヒ</t>
    </rPh>
    <rPh sb="28" eb="30">
      <t>シシュツ</t>
    </rPh>
    <rPh sb="34" eb="36">
      <t>ケンナイ</t>
    </rPh>
    <rPh sb="36" eb="39">
      <t>ソウシホン</t>
    </rPh>
    <rPh sb="39" eb="41">
      <t>ケイセイ</t>
    </rPh>
    <rPh sb="45" eb="47">
      <t>ザイカ</t>
    </rPh>
    <rPh sb="53" eb="55">
      <t>イシュツ</t>
    </rPh>
    <rPh sb="59" eb="61">
      <t>ザイカ</t>
    </rPh>
    <rPh sb="67" eb="69">
      <t>イニュウ</t>
    </rPh>
    <phoneticPr fontId="12"/>
  </si>
  <si>
    <t>参</t>
    <phoneticPr fontId="12"/>
  </si>
  <si>
    <t>　県外等からの要素所得(純)</t>
    <rPh sb="1" eb="3">
      <t>ケンガイ</t>
    </rPh>
    <rPh sb="3" eb="4">
      <t>トウ</t>
    </rPh>
    <rPh sb="7" eb="9">
      <t>ヨウソ</t>
    </rPh>
    <phoneticPr fontId="17"/>
  </si>
  <si>
    <t>5'  県内総支出(不突合除く)</t>
    <rPh sb="10" eb="11">
      <t>フ</t>
    </rPh>
    <rPh sb="11" eb="12">
      <t>トツ</t>
    </rPh>
    <rPh sb="12" eb="13">
      <t>ゴウ</t>
    </rPh>
    <rPh sb="13" eb="14">
      <t>ノゾ</t>
    </rPh>
    <phoneticPr fontId="12"/>
  </si>
  <si>
    <t>小計(1+2+3)</t>
    <rPh sb="0" eb="2">
      <t>ショウケイ</t>
    </rPh>
    <phoneticPr fontId="12"/>
  </si>
  <si>
    <t>5県内総支出（=県内総生産）</t>
    <rPh sb="1" eb="3">
      <t>ケンナイ</t>
    </rPh>
    <rPh sb="3" eb="4">
      <t>ソウセイサン</t>
    </rPh>
    <rPh sb="4" eb="6">
      <t>シシュツ</t>
    </rPh>
    <rPh sb="8" eb="10">
      <t>ケンナイ</t>
    </rPh>
    <rPh sb="10" eb="13">
      <t>ソウセイサン</t>
    </rPh>
    <phoneticPr fontId="12"/>
  </si>
  <si>
    <t>国民経済計算</t>
    <rPh sb="0" eb="2">
      <t>コクミン</t>
    </rPh>
    <rPh sb="2" eb="4">
      <t>ケイザイ</t>
    </rPh>
    <rPh sb="4" eb="6">
      <t>ケイサン</t>
    </rPh>
    <phoneticPr fontId="12"/>
  </si>
  <si>
    <t>２．　政府最終消費支出</t>
  </si>
  <si>
    <t>　　（再掲）</t>
  </si>
  <si>
    <t>　　　家計現実最終消費</t>
  </si>
  <si>
    <t>　　　政府現実最終消費</t>
  </si>
  <si>
    <t>県民所得（分配）</t>
    <rPh sb="0" eb="2">
      <t>ケンミン</t>
    </rPh>
    <rPh sb="2" eb="4">
      <t>ショトク</t>
    </rPh>
    <rPh sb="5" eb="7">
      <t>ブンパイ</t>
    </rPh>
    <phoneticPr fontId="12"/>
  </si>
  <si>
    <t>県内純生産（要素費用表示）</t>
    <rPh sb="0" eb="2">
      <t>ケンナイ</t>
    </rPh>
    <rPh sb="2" eb="3">
      <t>ジュン</t>
    </rPh>
    <rPh sb="3" eb="5">
      <t>セイサン</t>
    </rPh>
    <rPh sb="6" eb="8">
      <t>ヨウソ</t>
    </rPh>
    <rPh sb="8" eb="10">
      <t>ヒヨウ</t>
    </rPh>
    <rPh sb="10" eb="12">
      <t>ヒョウジ</t>
    </rPh>
    <phoneticPr fontId="12"/>
  </si>
  <si>
    <t>県外等からの要素所得(純)</t>
    <rPh sb="0" eb="2">
      <t>ケンガイ</t>
    </rPh>
    <rPh sb="2" eb="3">
      <t>トウ</t>
    </rPh>
    <rPh sb="6" eb="8">
      <t>ヨウソ</t>
    </rPh>
    <phoneticPr fontId="17"/>
  </si>
  <si>
    <t>純移出額</t>
    <rPh sb="0" eb="1">
      <t>ジュン</t>
    </rPh>
    <rPh sb="1" eb="3">
      <t>イシュツ</t>
    </rPh>
    <rPh sb="3" eb="4">
      <t>ガク</t>
    </rPh>
    <phoneticPr fontId="12"/>
  </si>
  <si>
    <t>県内総支出に対する不突合構成比</t>
    <rPh sb="0" eb="2">
      <t>ケンナイ</t>
    </rPh>
    <rPh sb="2" eb="5">
      <t>ソウシシュツ</t>
    </rPh>
    <rPh sb="6" eb="7">
      <t>タイ</t>
    </rPh>
    <rPh sb="9" eb="10">
      <t>フ</t>
    </rPh>
    <rPh sb="10" eb="11">
      <t>ツツ</t>
    </rPh>
    <rPh sb="11" eb="12">
      <t>ア</t>
    </rPh>
    <rPh sb="12" eb="15">
      <t>コウセイヒ</t>
    </rPh>
    <phoneticPr fontId="12"/>
  </si>
  <si>
    <t>平成25年度</t>
    <rPh sb="0" eb="2">
      <t>ヘイセイ</t>
    </rPh>
    <rPh sb="4" eb="6">
      <t>ネンド</t>
    </rPh>
    <phoneticPr fontId="12"/>
  </si>
  <si>
    <t xml:space="preserve"> (4)FISIM移出入(純)</t>
    <rPh sb="9" eb="11">
      <t>イシュツ</t>
    </rPh>
    <rPh sb="11" eb="12">
      <t>ニュウ</t>
    </rPh>
    <rPh sb="13" eb="14">
      <t>ジュン</t>
    </rPh>
    <phoneticPr fontId="12"/>
  </si>
  <si>
    <t xml:space="preserve"> (6)統計上の不突合</t>
    <rPh sb="4" eb="6">
      <t>トウケイ</t>
    </rPh>
    <rPh sb="6" eb="7">
      <t>ウエ</t>
    </rPh>
    <rPh sb="8" eb="9">
      <t>フ</t>
    </rPh>
    <rPh sb="9" eb="10">
      <t>トツ</t>
    </rPh>
    <rPh sb="10" eb="11">
      <t>ア</t>
    </rPh>
    <phoneticPr fontId="12"/>
  </si>
  <si>
    <t xml:space="preserve"> (2)（控除）財貨・ｻｰﾋﾞｽの移入(FISIM除く)</t>
    <rPh sb="5" eb="7">
      <t>コウジョ</t>
    </rPh>
    <rPh sb="8" eb="10">
      <t>ザイカ</t>
    </rPh>
    <rPh sb="17" eb="18">
      <t>イニュウ</t>
    </rPh>
    <rPh sb="18" eb="19">
      <t>ユニュウ</t>
    </rPh>
    <phoneticPr fontId="12"/>
  </si>
  <si>
    <t>令和3年度</t>
    <rPh sb="0" eb="2">
      <t>レイワ</t>
    </rPh>
    <rPh sb="3" eb="4">
      <t>ネン</t>
    </rPh>
    <rPh sb="4" eb="5">
      <t>ド</t>
    </rPh>
    <phoneticPr fontId="13"/>
  </si>
  <si>
    <r>
      <t xml:space="preserve"> (4)</t>
    </r>
    <r>
      <rPr>
        <sz val="10"/>
        <rFont val="ＭＳ Ｐゴシック"/>
        <family val="3"/>
        <charset val="128"/>
      </rPr>
      <t>FISIM移出入(純)</t>
    </r>
    <rPh sb="9" eb="11">
      <t>イシュツ</t>
    </rPh>
    <rPh sb="11" eb="12">
      <t>ニュウ</t>
    </rPh>
    <rPh sb="13" eb="14">
      <t>ジュン</t>
    </rPh>
    <phoneticPr fontId="12"/>
  </si>
  <si>
    <r>
      <t xml:space="preserve"> (6</t>
    </r>
    <r>
      <rPr>
        <sz val="10"/>
        <rFont val="ＭＳ Ｐゴシック"/>
        <family val="3"/>
        <charset val="128"/>
      </rPr>
      <t>)統計上の不突合</t>
    </r>
    <rPh sb="4" eb="6">
      <t>トウケイ</t>
    </rPh>
    <rPh sb="6" eb="7">
      <t>ウエ</t>
    </rPh>
    <rPh sb="8" eb="9">
      <t>フ</t>
    </rPh>
    <rPh sb="9" eb="10">
      <t>トツ</t>
    </rPh>
    <rPh sb="10" eb="11">
      <t>ア</t>
    </rPh>
    <phoneticPr fontId="12"/>
  </si>
  <si>
    <t>平成18年度</t>
    <phoneticPr fontId="13"/>
  </si>
  <si>
    <t>平成19年度</t>
    <phoneticPr fontId="13"/>
  </si>
  <si>
    <t>平成20年度</t>
    <phoneticPr fontId="13"/>
  </si>
  <si>
    <t>平成21年度</t>
    <phoneticPr fontId="13"/>
  </si>
  <si>
    <t>平成22年度</t>
    <phoneticPr fontId="13"/>
  </si>
  <si>
    <t>R5.7-9</t>
    <phoneticPr fontId="13"/>
  </si>
  <si>
    <t>R5.10-12</t>
    <phoneticPr fontId="13"/>
  </si>
  <si>
    <t>R6.1-3</t>
    <phoneticPr fontId="13"/>
  </si>
  <si>
    <t xml:space="preserve"> </t>
    <phoneticPr fontId="12"/>
  </si>
  <si>
    <t>R6/6/7</t>
    <phoneticPr fontId="13"/>
  </si>
  <si>
    <t>R4決算</t>
    <rPh sb="2" eb="4">
      <t>ケッサン</t>
    </rPh>
    <phoneticPr fontId="13"/>
  </si>
  <si>
    <t>丹波篠山市</t>
    <rPh sb="0" eb="2">
      <t>タンバ</t>
    </rPh>
    <phoneticPr fontId="13"/>
  </si>
  <si>
    <t>普通建設
事業費</t>
  </si>
  <si>
    <t>災害復旧
事業費</t>
  </si>
  <si>
    <t>４年度</t>
    <rPh sb="1" eb="3">
      <t>ネンド</t>
    </rPh>
    <phoneticPr fontId="3"/>
  </si>
  <si>
    <t>…</t>
  </si>
  <si>
    <t>県市町振興課</t>
    <phoneticPr fontId="13"/>
  </si>
  <si>
    <t>令和5年度</t>
    <rPh sb="0" eb="2">
      <t>レイワ</t>
    </rPh>
    <rPh sb="3" eb="5">
      <t>ネンド</t>
    </rPh>
    <rPh sb="4" eb="5">
      <t>ド</t>
    </rPh>
    <phoneticPr fontId="13"/>
  </si>
  <si>
    <t>2024年6月推計</t>
    <rPh sb="4" eb="5">
      <t>ネン</t>
    </rPh>
    <rPh sb="6" eb="7">
      <t>ガツ</t>
    </rPh>
    <rPh sb="7" eb="9">
      <t>スイケイ</t>
    </rPh>
    <phoneticPr fontId="12"/>
  </si>
  <si>
    <t>表 　R6/R5市町内総生産（支出側名目：平成27年基準）試算値</t>
    <rPh sb="0" eb="1">
      <t>ヒョウ</t>
    </rPh>
    <rPh sb="8" eb="11">
      <t>シチョウナイ</t>
    </rPh>
    <rPh sb="11" eb="14">
      <t>ソウセイサン</t>
    </rPh>
    <rPh sb="15" eb="17">
      <t>シシュツ</t>
    </rPh>
    <rPh sb="17" eb="18">
      <t>ガワ</t>
    </rPh>
    <rPh sb="18" eb="20">
      <t>メイモク</t>
    </rPh>
    <rPh sb="21" eb="23">
      <t>ヘイセイ</t>
    </rPh>
    <rPh sb="25" eb="26">
      <t>ネン</t>
    </rPh>
    <rPh sb="26" eb="28">
      <t>キジュン</t>
    </rPh>
    <rPh sb="29" eb="32">
      <t>シサンチ</t>
    </rPh>
    <phoneticPr fontId="13"/>
  </si>
  <si>
    <t>表　令和6年度市町内総生産（支出側名目：平成27年基準）試算値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</si>
  <si>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令和6年度</t>
    <rPh sb="0" eb="2">
      <t>レイワ</t>
    </rPh>
    <phoneticPr fontId="22"/>
  </si>
  <si>
    <t>7年/1-3月</t>
    <rPh sb="1" eb="2">
      <t>ネン</t>
    </rPh>
    <rPh sb="6" eb="7">
      <t>ツキ</t>
    </rPh>
    <phoneticPr fontId="22"/>
  </si>
  <si>
    <t>R7/R6</t>
    <phoneticPr fontId="13"/>
  </si>
  <si>
    <t>令和7年度</t>
    <rPh sb="0" eb="2">
      <t>レイワ</t>
    </rPh>
    <rPh sb="3" eb="5">
      <t>ネンド</t>
    </rPh>
    <phoneticPr fontId="13"/>
  </si>
  <si>
    <t>R6.4-6</t>
    <phoneticPr fontId="13"/>
  </si>
  <si>
    <t>R6.7-9</t>
    <phoneticPr fontId="13"/>
  </si>
  <si>
    <t>R6.10-12</t>
    <phoneticPr fontId="13"/>
  </si>
  <si>
    <t>R7.1-3</t>
    <phoneticPr fontId="13"/>
  </si>
  <si>
    <t>R2-R6平均</t>
    <rPh sb="5" eb="7">
      <t>ヘイキン</t>
    </rPh>
    <phoneticPr fontId="13"/>
  </si>
  <si>
    <t>R4-R6平均</t>
    <rPh sb="5" eb="7">
      <t>ヘイキン</t>
    </rPh>
    <phoneticPr fontId="13"/>
  </si>
  <si>
    <t>R7</t>
    <phoneticPr fontId="13"/>
  </si>
  <si>
    <t>令和7年度市町内総生産（支出側：名目）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</si>
  <si>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令和7年度</t>
    <rPh sb="0" eb="2">
      <t>レイワ</t>
    </rPh>
    <rPh sb="3" eb="5">
      <t>ネンド</t>
    </rPh>
    <phoneticPr fontId="12"/>
  </si>
  <si>
    <t>令和6年</t>
    <rPh sb="0" eb="2">
      <t>レイワ</t>
    </rPh>
    <rPh sb="3" eb="4">
      <t>ネン</t>
    </rPh>
    <phoneticPr fontId="13"/>
  </si>
  <si>
    <t>前年同期比</t>
    <rPh sb="0" eb="2">
      <t>ゼンネン</t>
    </rPh>
    <rPh sb="2" eb="5">
      <t>ドウキヒ</t>
    </rPh>
    <phoneticPr fontId="13"/>
  </si>
  <si>
    <t>見通し</t>
    <rPh sb="0" eb="2">
      <t>ミトオ</t>
    </rPh>
    <phoneticPr fontId="13"/>
  </si>
  <si>
    <t>表　令和7年度市町内総生産（支出側名目：平成27年基準）試算値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</si>
  <si>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表 　R7/R6市町内総生産（支出側名目：平成27年基準）試算値</t>
    <rPh sb="0" eb="1">
      <t>ヒョウ</t>
    </rPh>
    <rPh sb="8" eb="11">
      <t>シチョウナイ</t>
    </rPh>
    <rPh sb="11" eb="14">
      <t>ソウセイサン</t>
    </rPh>
    <rPh sb="15" eb="17">
      <t>シシュツ</t>
    </rPh>
    <rPh sb="17" eb="18">
      <t>ガワ</t>
    </rPh>
    <rPh sb="18" eb="20">
      <t>メイモク</t>
    </rPh>
    <rPh sb="21" eb="23">
      <t>ヘイセイ</t>
    </rPh>
    <rPh sb="25" eb="26">
      <t>ネン</t>
    </rPh>
    <rPh sb="26" eb="28">
      <t>キジュン</t>
    </rPh>
    <rPh sb="29" eb="32">
      <t>シサンチ</t>
    </rPh>
    <phoneticPr fontId="13"/>
  </si>
  <si>
    <t>世帯当たり消費支出（令和5年）</t>
    <rPh sb="0" eb="2">
      <t>セタイ</t>
    </rPh>
    <rPh sb="2" eb="3">
      <t>ア</t>
    </rPh>
    <rPh sb="5" eb="7">
      <t>ショウヒ</t>
    </rPh>
    <rPh sb="7" eb="9">
      <t>シシュツ</t>
    </rPh>
    <rPh sb="10" eb="12">
      <t>レイワ</t>
    </rPh>
    <rPh sb="13" eb="14">
      <t>ネン</t>
    </rPh>
    <phoneticPr fontId="13"/>
  </si>
  <si>
    <t>世帯当たり消費支出（令和6年）</t>
    <rPh sb="0" eb="2">
      <t>セタイ</t>
    </rPh>
    <rPh sb="2" eb="3">
      <t>ア</t>
    </rPh>
    <rPh sb="5" eb="7">
      <t>ショウヒ</t>
    </rPh>
    <rPh sb="7" eb="9">
      <t>シシュツ</t>
    </rPh>
    <rPh sb="10" eb="12">
      <t>レイワ</t>
    </rPh>
    <rPh sb="13" eb="14">
      <t>ネン</t>
    </rPh>
    <phoneticPr fontId="13"/>
  </si>
  <si>
    <t>令和4年</t>
    <rPh sb="0" eb="2">
      <t>レイワ</t>
    </rPh>
    <rPh sb="3" eb="4">
      <t>ネン</t>
    </rPh>
    <phoneticPr fontId="13"/>
  </si>
  <si>
    <t>令和5年</t>
    <rPh sb="0" eb="2">
      <t>レイワ</t>
    </rPh>
    <rPh sb="3" eb="4">
      <t>ネン</t>
    </rPh>
    <phoneticPr fontId="13"/>
  </si>
  <si>
    <t>令和6年</t>
    <rPh sb="0" eb="2">
      <t>レイワ</t>
    </rPh>
    <rPh sb="3" eb="4">
      <t>ネン</t>
    </rPh>
    <phoneticPr fontId="13"/>
  </si>
  <si>
    <t>　</t>
    <phoneticPr fontId="13"/>
  </si>
  <si>
    <t>関西地域域内総生産（アジア太平洋研究所推計）</t>
    <rPh sb="0" eb="2">
      <t>カンサイ</t>
    </rPh>
    <rPh sb="2" eb="4">
      <t>チイキ</t>
    </rPh>
    <rPh sb="4" eb="6">
      <t>イキナイ</t>
    </rPh>
    <rPh sb="6" eb="9">
      <t>ソウセイサン</t>
    </rPh>
    <rPh sb="13" eb="16">
      <t>タイヘイヨウ</t>
    </rPh>
    <rPh sb="16" eb="19">
      <t>ケンキュウショ</t>
    </rPh>
    <rPh sb="19" eb="21">
      <t>スイケイ</t>
    </rPh>
    <phoneticPr fontId="13"/>
  </si>
  <si>
    <t>令和8年度</t>
    <rPh sb="0" eb="2">
      <t>レイワ</t>
    </rPh>
    <rPh sb="3" eb="5">
      <t>ネンド</t>
    </rPh>
    <phoneticPr fontId="13"/>
  </si>
  <si>
    <t>APIR 一般財団法人アジア太平洋研究所</t>
  </si>
  <si>
    <t xml:space="preserve">  L．保険・金融サービスその他</t>
    <rPh sb="4" eb="6">
      <t>ホケン</t>
    </rPh>
    <rPh sb="7" eb="9">
      <t>キンユウ</t>
    </rPh>
    <phoneticPr fontId="12"/>
  </si>
  <si>
    <t xml:space="preserve"> (1)財貨・ｻｰﾋﾞｽの移出</t>
    <rPh sb="4" eb="6">
      <t>ザイカ</t>
    </rPh>
    <rPh sb="13" eb="14">
      <t>イシュツ</t>
    </rPh>
    <rPh sb="14" eb="15">
      <t>ユシュツ</t>
    </rPh>
    <phoneticPr fontId="12"/>
  </si>
  <si>
    <t xml:space="preserve"> (2)（控除）財貨・ｻｰﾋﾞｽの移入</t>
    <rPh sb="5" eb="7">
      <t>コウジョ</t>
    </rPh>
    <rPh sb="8" eb="10">
      <t>ザイカ</t>
    </rPh>
    <rPh sb="17" eb="18">
      <t>イニュウ</t>
    </rPh>
    <rPh sb="18" eb="19">
      <t>ユニュウ</t>
    </rPh>
    <phoneticPr fontId="12"/>
  </si>
  <si>
    <t xml:space="preserve"> (3)中央政府等（準地域）への移出</t>
    <rPh sb="4" eb="6">
      <t>チュウオウ</t>
    </rPh>
    <rPh sb="6" eb="9">
      <t>セイフトウ</t>
    </rPh>
    <rPh sb="10" eb="13">
      <t>ジュンチイキ</t>
    </rPh>
    <rPh sb="15" eb="16">
      <t>イニュウ</t>
    </rPh>
    <rPh sb="16" eb="17">
      <t>ユニュウ</t>
    </rPh>
    <rPh sb="17" eb="18">
      <t>デ</t>
    </rPh>
    <phoneticPr fontId="12"/>
  </si>
  <si>
    <t>5  県内総支出(市場価格)(1+2+3+4)</t>
  </si>
  <si>
    <t>　県民総所得(市場価格)</t>
    <rPh sb="4" eb="6">
      <t>ショトク</t>
    </rPh>
    <phoneticPr fontId="12"/>
  </si>
  <si>
    <t>フロー編　Ⅳ.主要系列表</t>
    <rPh sb="3" eb="4">
      <t>ヘン</t>
    </rPh>
    <rPh sb="7" eb="9">
      <t>シュヨウ</t>
    </rPh>
    <rPh sb="9" eb="11">
      <t>ケイレツ</t>
    </rPh>
    <rPh sb="11" eb="12">
      <t>ヒョウ</t>
    </rPh>
    <phoneticPr fontId="12"/>
  </si>
  <si>
    <t>(1)国内総生産（支出側）　名目　年度</t>
    <rPh sb="3" eb="5">
      <t>コクナイ</t>
    </rPh>
    <rPh sb="5" eb="8">
      <t>ソウセイサン</t>
    </rPh>
    <rPh sb="9" eb="11">
      <t>シシュツ</t>
    </rPh>
    <rPh sb="11" eb="12">
      <t>ガワ</t>
    </rPh>
    <rPh sb="14" eb="16">
      <t>メイモク</t>
    </rPh>
    <rPh sb="17" eb="19">
      <t>ネンド</t>
    </rPh>
    <phoneticPr fontId="12"/>
  </si>
  <si>
    <t>https://www.esri.cao.go.jp/jp/sna/data/data_list/kakuhou/files/2022/2022_kaku_top.html</t>
    <phoneticPr fontId="12"/>
  </si>
  <si>
    <t>４年度</t>
    <rPh sb="1" eb="3">
      <t>ネンド</t>
    </rPh>
    <rPh sb="2" eb="3">
      <t>ド</t>
    </rPh>
    <phoneticPr fontId="12"/>
  </si>
  <si>
    <t>令和4年度</t>
    <rPh sb="0" eb="2">
      <t>レイワ</t>
    </rPh>
    <rPh sb="3" eb="4">
      <t>ネン</t>
    </rPh>
    <rPh sb="4" eb="5">
      <t>ド</t>
    </rPh>
    <phoneticPr fontId="13"/>
  </si>
  <si>
    <t>令和4年度確報</t>
    <rPh sb="0" eb="2">
      <t>レイワ</t>
    </rPh>
    <rPh sb="3" eb="5">
      <t>ネンド</t>
    </rPh>
    <rPh sb="5" eb="7">
      <t>カクホウ</t>
    </rPh>
    <phoneticPr fontId="13"/>
  </si>
  <si>
    <t>R4固定</t>
    <rPh sb="2" eb="4">
      <t>コテイ</t>
    </rPh>
    <phoneticPr fontId="13"/>
  </si>
  <si>
    <t>～令和7年2月</t>
    <rPh sb="1" eb="3">
      <t>レイワ</t>
    </rPh>
    <rPh sb="4" eb="5">
      <t>ネン</t>
    </rPh>
    <rPh sb="6" eb="7">
      <t>ガツ</t>
    </rPh>
    <phoneticPr fontId="13"/>
  </si>
  <si>
    <t>令和8年度</t>
    <rPh sb="0" eb="2">
      <t>レイワ</t>
    </rPh>
    <rPh sb="3" eb="5">
      <t>ネンド</t>
    </rPh>
    <phoneticPr fontId="3"/>
  </si>
  <si>
    <t>2026年度</t>
    <rPh sb="4" eb="6">
      <t>ネンド</t>
    </rPh>
    <phoneticPr fontId="3"/>
  </si>
  <si>
    <t>令和4年度</t>
    <rPh sb="0" eb="2">
      <t>レイワ</t>
    </rPh>
    <phoneticPr fontId="4"/>
  </si>
  <si>
    <t>令和6年度</t>
    <rPh sb="0" eb="2">
      <t>レイワ</t>
    </rPh>
    <rPh sb="3" eb="5">
      <t>ネンド</t>
    </rPh>
    <rPh sb="4" eb="5">
      <t>ド</t>
    </rPh>
    <phoneticPr fontId="13"/>
  </si>
  <si>
    <t>R7/6/7</t>
    <phoneticPr fontId="13"/>
  </si>
  <si>
    <t>R5決算</t>
    <rPh sb="2" eb="4">
      <t>ケッサン</t>
    </rPh>
    <phoneticPr fontId="13"/>
  </si>
  <si>
    <t>令和5年度</t>
    <rPh sb="0" eb="2">
      <t>レイワ</t>
    </rPh>
    <phoneticPr fontId="4"/>
  </si>
  <si>
    <t>5年度</t>
    <rPh sb="1" eb="3">
      <t>ネンド</t>
    </rPh>
    <phoneticPr fontId="3"/>
  </si>
  <si>
    <t>R8/R7</t>
    <phoneticPr fontId="13"/>
  </si>
  <si>
    <t>R5-R7平均</t>
    <rPh sb="5" eb="7">
      <t>ヘイキン</t>
    </rPh>
    <phoneticPr fontId="13"/>
  </si>
  <si>
    <t>令和7年
(2025)</t>
    <rPh sb="0" eb="1">
      <t>レイ</t>
    </rPh>
    <rPh sb="1" eb="2">
      <t>ワ</t>
    </rPh>
    <rPh sb="3" eb="4">
      <t>ネン</t>
    </rPh>
    <phoneticPr fontId="16"/>
  </si>
  <si>
    <t>令和6年
(2024)</t>
    <rPh sb="0" eb="1">
      <t>レイ</t>
    </rPh>
    <rPh sb="1" eb="2">
      <t>ワ</t>
    </rPh>
    <rPh sb="3" eb="4">
      <t>ネン</t>
    </rPh>
    <phoneticPr fontId="16"/>
  </si>
  <si>
    <t>令和8年
(2026)</t>
    <rPh sb="0" eb="1">
      <t>レイ</t>
    </rPh>
    <rPh sb="1" eb="2">
      <t>ワ</t>
    </rPh>
    <rPh sb="3" eb="4">
      <t>ネン</t>
    </rPh>
    <phoneticPr fontId="16"/>
  </si>
  <si>
    <t>令和8年度市町内総生産（支出側：名目）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</si>
  <si>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R8</t>
    <phoneticPr fontId="13"/>
  </si>
  <si>
    <t>令和8年度</t>
    <rPh sb="0" eb="2">
      <t>レイワ</t>
    </rPh>
    <rPh sb="3" eb="5">
      <t>ネンド</t>
    </rPh>
    <phoneticPr fontId="12"/>
  </si>
  <si>
    <t>表　令和8年度市町内総生産（支出側名目：平成27年基準）試算値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</si>
  <si>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表 　R8/R7市町内総生産（支出側名目：平成27年基準）試算値</t>
    <rPh sb="0" eb="1">
      <t>ヒョウ</t>
    </rPh>
    <rPh sb="8" eb="11">
      <t>シチョウナイ</t>
    </rPh>
    <rPh sb="11" eb="14">
      <t>ソウセイサン</t>
    </rPh>
    <rPh sb="15" eb="17">
      <t>シシュツ</t>
    </rPh>
    <rPh sb="17" eb="18">
      <t>ガワ</t>
    </rPh>
    <rPh sb="18" eb="20">
      <t>メイモク</t>
    </rPh>
    <rPh sb="21" eb="23">
      <t>ヘイセイ</t>
    </rPh>
    <rPh sb="25" eb="26">
      <t>ネン</t>
    </rPh>
    <rPh sb="26" eb="28">
      <t>キジュン</t>
    </rPh>
    <rPh sb="29" eb="32">
      <t>シサンチ</t>
    </rPh>
    <phoneticPr fontId="13"/>
  </si>
  <si>
    <t>令和7年度</t>
    <rPh sb="0" eb="2">
      <t>レイワ</t>
    </rPh>
    <phoneticPr fontId="22"/>
  </si>
  <si>
    <t>8年/1-3月</t>
    <rPh sb="1" eb="2">
      <t>ネン</t>
    </rPh>
    <rPh sb="6" eb="7">
      <t>ツキ</t>
    </rPh>
    <phoneticPr fontId="22"/>
  </si>
  <si>
    <t>令和7年6月</t>
    <rPh sb="0" eb="2">
      <t>レイワ</t>
    </rPh>
    <rPh sb="3" eb="4">
      <t>ネン</t>
    </rPh>
    <rPh sb="5" eb="6">
      <t>ガツ</t>
    </rPh>
    <phoneticPr fontId="13"/>
  </si>
  <si>
    <t>令和6年新設住宅着工戸数</t>
    <rPh sb="0" eb="2">
      <t>レイワ</t>
    </rPh>
    <rPh sb="3" eb="4">
      <t>ネン</t>
    </rPh>
    <rPh sb="4" eb="6">
      <t>シンセツ</t>
    </rPh>
    <rPh sb="6" eb="8">
      <t>ジュウタク</t>
    </rPh>
    <rPh sb="8" eb="10">
      <t>チャッコウ</t>
    </rPh>
    <rPh sb="10" eb="12">
      <t>コスウ</t>
    </rPh>
    <phoneticPr fontId="13"/>
  </si>
  <si>
    <t>令和9年度</t>
    <rPh sb="0" eb="2">
      <t>レイワ</t>
    </rPh>
    <rPh sb="3" eb="5">
      <t>ネンド</t>
    </rPh>
    <phoneticPr fontId="13"/>
  </si>
  <si>
    <t>R9/R8</t>
    <phoneticPr fontId="13"/>
  </si>
  <si>
    <t>R7.4-6</t>
    <phoneticPr fontId="13"/>
  </si>
  <si>
    <t>R7.7-9</t>
    <phoneticPr fontId="13"/>
  </si>
  <si>
    <t>R7.10-12</t>
    <phoneticPr fontId="13"/>
  </si>
  <si>
    <t>R8.1-3</t>
    <phoneticPr fontId="13"/>
  </si>
  <si>
    <t>R7年度</t>
    <rPh sb="2" eb="4">
      <t>ネンド</t>
    </rPh>
    <phoneticPr fontId="13"/>
  </si>
  <si>
    <t>令和7年10月</t>
    <rPh sb="0" eb="2">
      <t>レイワ</t>
    </rPh>
    <rPh sb="3" eb="4">
      <t>ネン</t>
    </rPh>
    <rPh sb="6" eb="7">
      <t>ガツ</t>
    </rPh>
    <phoneticPr fontId="13"/>
  </si>
  <si>
    <t>令和9年度市町内総生産（支出側：名目）</t>
    <rPh sb="0" eb="2">
      <t>レイワ</t>
    </rPh>
    <rPh sb="3" eb="5">
      <t>ネンド</t>
    </rPh>
    <rPh sb="5" eb="8">
      <t>シチョウナイ</t>
    </rPh>
    <rPh sb="8" eb="11">
      <t>ソウセイサン</t>
    </rPh>
    <rPh sb="12" eb="14">
      <t>シシュツ</t>
    </rPh>
    <rPh sb="14" eb="15">
      <t>ガワ</t>
    </rPh>
    <rPh sb="16" eb="18">
      <t>メイモク</t>
    </rPh>
    <phoneticPr fontId="13"/>
  </si>
  <si>
    <t>令和7年</t>
    <rPh sb="0" eb="2">
      <t>レイワ</t>
    </rPh>
    <rPh sb="3" eb="4">
      <t>ネン</t>
    </rPh>
    <phoneticPr fontId="13"/>
  </si>
  <si>
    <t>R8.3.31公表</t>
    <rPh sb="7" eb="9">
      <t>コウヒョウ</t>
    </rPh>
    <phoneticPr fontId="13"/>
  </si>
  <si>
    <t>関西ｴｺﾉﾐｯｸｲﾝｻｲﾄNo78</t>
    <rPh sb="0" eb="2">
      <t>カンサイ</t>
    </rPh>
    <phoneticPr fontId="13"/>
  </si>
  <si>
    <t>令和2年度</t>
    <rPh sb="0" eb="2">
      <t>レイワ</t>
    </rPh>
    <rPh sb="3" eb="5">
      <t>ネンド</t>
    </rPh>
    <rPh sb="4" eb="5">
      <t>ド</t>
    </rPh>
    <phoneticPr fontId="47"/>
  </si>
  <si>
    <t>令和3年度</t>
    <rPh sb="0" eb="2">
      <t>レイワ</t>
    </rPh>
    <rPh sb="3" eb="5">
      <t>ネンド</t>
    </rPh>
    <rPh sb="4" eb="5">
      <t>ド</t>
    </rPh>
    <phoneticPr fontId="47"/>
  </si>
  <si>
    <t>令和4年度</t>
    <rPh sb="0" eb="2">
      <t>レイワ</t>
    </rPh>
    <rPh sb="3" eb="5">
      <t>ネンド</t>
    </rPh>
    <rPh sb="4" eb="5">
      <t>ド</t>
    </rPh>
    <phoneticPr fontId="47"/>
  </si>
  <si>
    <t>令和5年度</t>
    <rPh sb="0" eb="2">
      <t>レイワ</t>
    </rPh>
    <rPh sb="3" eb="5">
      <t>ネンド</t>
    </rPh>
    <rPh sb="4" eb="5">
      <t>ド</t>
    </rPh>
    <phoneticPr fontId="47"/>
  </si>
  <si>
    <t>2026.3.3推計</t>
    <rPh sb="8" eb="10">
      <t>スイケイ</t>
    </rPh>
    <phoneticPr fontId="13"/>
  </si>
  <si>
    <t>令和9年度</t>
    <rPh sb="0" eb="2">
      <t>レイワ</t>
    </rPh>
    <rPh sb="3" eb="5">
      <t>ネンド</t>
    </rPh>
    <phoneticPr fontId="3"/>
  </si>
  <si>
    <t>2027年度</t>
    <rPh sb="4" eb="6">
      <t>ネンド</t>
    </rPh>
    <phoneticPr fontId="3"/>
  </si>
  <si>
    <t>　      兵庫県統計課「兵庫県民経済計算」、「四半期別兵庫県内GDP速報」、兵庫県立大学地域経済指標研究会試算（令和8年3月）</t>
    <rPh sb="7" eb="10">
      <t>ヒョウゴケン</t>
    </rPh>
    <rPh sb="10" eb="12">
      <t>トウケイ</t>
    </rPh>
    <rPh sb="12" eb="13">
      <t>カ</t>
    </rPh>
    <rPh sb="14" eb="16">
      <t>ヒョウゴ</t>
    </rPh>
    <rPh sb="16" eb="18">
      <t>ケンミン</t>
    </rPh>
    <rPh sb="18" eb="20">
      <t>ケイザイ</t>
    </rPh>
    <rPh sb="20" eb="22">
      <t>ケイサン</t>
    </rPh>
    <rPh sb="25" eb="28">
      <t>シハンキ</t>
    </rPh>
    <rPh sb="28" eb="29">
      <t>ベツ</t>
    </rPh>
    <rPh sb="29" eb="31">
      <t>ヒョウゴ</t>
    </rPh>
    <rPh sb="31" eb="33">
      <t>ケンナイ</t>
    </rPh>
    <rPh sb="36" eb="38">
      <t>ソクホウ</t>
    </rPh>
    <rPh sb="40" eb="42">
      <t>ヒョウゴ</t>
    </rPh>
    <rPh sb="42" eb="44">
      <t>ケンリツ</t>
    </rPh>
    <rPh sb="44" eb="46">
      <t>ダイガク</t>
    </rPh>
    <rPh sb="46" eb="48">
      <t>チイキ</t>
    </rPh>
    <rPh sb="48" eb="50">
      <t>ケイザイ</t>
    </rPh>
    <rPh sb="50" eb="52">
      <t>シヒョウ</t>
    </rPh>
    <rPh sb="52" eb="55">
      <t>ケンキュウカイ</t>
    </rPh>
    <rPh sb="55" eb="57">
      <t>シサン</t>
    </rPh>
    <rPh sb="58" eb="60">
      <t>レイワ</t>
    </rPh>
    <rPh sb="61" eb="62">
      <t>ネン</t>
    </rPh>
    <rPh sb="63" eb="64">
      <t>ツキ</t>
    </rPh>
    <phoneticPr fontId="3"/>
  </si>
  <si>
    <t>(出所)内閣府「国民経済計算」、「四半期別GDP速報」(令和8年3月10日)</t>
    <rPh sb="1" eb="3">
      <t>シュッショ</t>
    </rPh>
    <rPh sb="4" eb="7">
      <t>ナイカクフ</t>
    </rPh>
    <rPh sb="8" eb="10">
      <t>コクミン</t>
    </rPh>
    <rPh sb="10" eb="12">
      <t>ケイザイ</t>
    </rPh>
    <rPh sb="12" eb="14">
      <t>ケイサン</t>
    </rPh>
    <rPh sb="17" eb="20">
      <t>シハンキ</t>
    </rPh>
    <rPh sb="20" eb="21">
      <t>ベツ</t>
    </rPh>
    <rPh sb="24" eb="26">
      <t>ソクホウ</t>
    </rPh>
    <rPh sb="28" eb="30">
      <t>レイワ</t>
    </rPh>
    <rPh sb="31" eb="32">
      <t>ネン</t>
    </rPh>
    <rPh sb="33" eb="34">
      <t>ガツ</t>
    </rPh>
    <rPh sb="36" eb="37">
      <t>ニチ</t>
    </rPh>
    <phoneticPr fontId="3"/>
  </si>
  <si>
    <t xml:space="preserve">        アジア太平洋研究所推計「第155回景気分析と予測」(令和8年3月）</t>
    <rPh sb="11" eb="14">
      <t>タイヘイヨウ</t>
    </rPh>
    <rPh sb="14" eb="17">
      <t>ケンキュウショ</t>
    </rPh>
    <rPh sb="17" eb="19">
      <t>スイケイ</t>
    </rPh>
    <rPh sb="20" eb="21">
      <t>ダイ</t>
    </rPh>
    <rPh sb="24" eb="25">
      <t>カイ</t>
    </rPh>
    <rPh sb="25" eb="27">
      <t>ケイキ</t>
    </rPh>
    <rPh sb="27" eb="29">
      <t>ブンセキ</t>
    </rPh>
    <rPh sb="30" eb="32">
      <t>ヨソク</t>
    </rPh>
    <rPh sb="34" eb="36">
      <t>レイワ</t>
    </rPh>
    <rPh sb="37" eb="38">
      <t>ネン</t>
    </rPh>
    <rPh sb="39" eb="40">
      <t>ガツ</t>
    </rPh>
    <phoneticPr fontId="13"/>
  </si>
  <si>
    <t>R6-R8平均</t>
    <rPh sb="5" eb="7">
      <t>ヘイキン</t>
    </rPh>
    <phoneticPr fontId="13"/>
  </si>
  <si>
    <t>5年度</t>
    <rPh sb="1" eb="3">
      <t>ネンド</t>
    </rPh>
    <rPh sb="2" eb="3">
      <t>ド</t>
    </rPh>
    <phoneticPr fontId="12"/>
  </si>
  <si>
    <t>　　</t>
  </si>
  <si>
    <t>市町民経済計算試算(2026.3)</t>
    <rPh sb="0" eb="3">
      <t>シチョウミン</t>
    </rPh>
    <rPh sb="3" eb="5">
      <t>ケイザイ</t>
    </rPh>
    <rPh sb="5" eb="7">
      <t>ケイサン</t>
    </rPh>
    <rPh sb="7" eb="9">
      <t>シサン</t>
    </rPh>
    <phoneticPr fontId="13"/>
  </si>
  <si>
    <t>令和8年3月</t>
    <rPh sb="0" eb="2">
      <t>レイワ</t>
    </rPh>
    <rPh sb="3" eb="4">
      <t>ネン</t>
    </rPh>
    <rPh sb="5" eb="6">
      <t>ガツ</t>
    </rPh>
    <phoneticPr fontId="13"/>
  </si>
  <si>
    <t>令和7年10-12月期</t>
    <rPh sb="0" eb="2">
      <t>レイワ</t>
    </rPh>
    <rPh sb="3" eb="4">
      <t>ネン</t>
    </rPh>
    <rPh sb="9" eb="10">
      <t>ツキ</t>
    </rPh>
    <rPh sb="10" eb="11">
      <t>キ</t>
    </rPh>
    <phoneticPr fontId="13"/>
  </si>
  <si>
    <t>令和5年度(平成27年基準)</t>
    <rPh sb="0" eb="2">
      <t>レイワ</t>
    </rPh>
    <rPh sb="3" eb="5">
      <t>ネンド</t>
    </rPh>
    <rPh sb="6" eb="8">
      <t>ヘイセイ</t>
    </rPh>
    <rPh sb="10" eb="11">
      <t>ネン</t>
    </rPh>
    <rPh sb="11" eb="13">
      <t>キジュン</t>
    </rPh>
    <phoneticPr fontId="13"/>
  </si>
  <si>
    <t>R3-R7平均</t>
    <rPh sb="5" eb="7">
      <t>ヘイキン</t>
    </rPh>
    <phoneticPr fontId="13"/>
  </si>
  <si>
    <t>R4-R8平均</t>
    <rPh sb="5" eb="7">
      <t>ヘイキン</t>
    </rPh>
    <phoneticPr fontId="13"/>
  </si>
  <si>
    <t>令和9年
(2027)</t>
    <rPh sb="0" eb="1">
      <t>レイ</t>
    </rPh>
    <rPh sb="1" eb="2">
      <t>ワ</t>
    </rPh>
    <rPh sb="3" eb="4">
      <t>ネン</t>
    </rPh>
    <phoneticPr fontId="16"/>
  </si>
  <si>
    <t>R9</t>
    <phoneticPr fontId="13"/>
  </si>
  <si>
    <t>令和9年度</t>
    <rPh sb="0" eb="2">
      <t>レイワ</t>
    </rPh>
    <rPh sb="3" eb="5">
      <t>ネンド</t>
    </rPh>
    <phoneticPr fontId="12"/>
  </si>
  <si>
    <t>表　令和9年度市町内総生産（支出側名目：平成27年基準）試算値</t>
    <rPh sb="0" eb="1">
      <t>ヒョウ</t>
    </rPh>
    <rPh sb="2" eb="4">
      <t>レイワ</t>
    </rPh>
    <rPh sb="5" eb="7">
      <t>ネンド</t>
    </rPh>
    <rPh sb="7" eb="10">
      <t>シチョウナイ</t>
    </rPh>
    <rPh sb="10" eb="13">
      <t>ソウセイサン</t>
    </rPh>
    <rPh sb="14" eb="16">
      <t>シシュツ</t>
    </rPh>
    <rPh sb="16" eb="17">
      <t>ガワ</t>
    </rPh>
    <rPh sb="17" eb="19">
      <t>メイモク</t>
    </rPh>
    <rPh sb="20" eb="22">
      <t>ヘイセイ</t>
    </rPh>
    <rPh sb="24" eb="25">
      <t>ネン</t>
    </rPh>
    <rPh sb="25" eb="27">
      <t>キジュン</t>
    </rPh>
    <rPh sb="28" eb="31">
      <t>シサンチ</t>
    </rPh>
    <phoneticPr fontId="13"/>
  </si>
  <si>
    <t>表 　R9/R8市町内総生産（支出側名目：平成27年基準）試算値</t>
    <rPh sb="0" eb="1">
      <t>ヒョウ</t>
    </rPh>
    <rPh sb="8" eb="11">
      <t>シチョウナイ</t>
    </rPh>
    <rPh sb="11" eb="14">
      <t>ソウセイサン</t>
    </rPh>
    <rPh sb="15" eb="17">
      <t>シシュツ</t>
    </rPh>
    <rPh sb="17" eb="18">
      <t>ガワ</t>
    </rPh>
    <rPh sb="18" eb="20">
      <t>メイモク</t>
    </rPh>
    <rPh sb="21" eb="23">
      <t>ヘイセイ</t>
    </rPh>
    <rPh sb="25" eb="26">
      <t>ネン</t>
    </rPh>
    <rPh sb="26" eb="28">
      <t>キジュン</t>
    </rPh>
    <rPh sb="29" eb="32">
      <t>シサンチ</t>
    </rPh>
    <phoneticPr fontId="13"/>
  </si>
  <si>
    <t>R5固定</t>
    <rPh sb="2" eb="4">
      <t>コテイ</t>
    </rPh>
    <phoneticPr fontId="13"/>
  </si>
  <si>
    <t>地　域　別　経　済　動　向　指　標</t>
    <rPh sb="0" eb="1">
      <t>チ</t>
    </rPh>
    <rPh sb="2" eb="3">
      <t>イキ</t>
    </rPh>
    <rPh sb="4" eb="5">
      <t>ベツ</t>
    </rPh>
    <rPh sb="6" eb="7">
      <t>ヘ</t>
    </rPh>
    <rPh sb="8" eb="9">
      <t>スミ</t>
    </rPh>
    <rPh sb="10" eb="11">
      <t>ドウ</t>
    </rPh>
    <rPh sb="12" eb="13">
      <t>ムカイ</t>
    </rPh>
    <rPh sb="14" eb="15">
      <t>ユビ</t>
    </rPh>
    <rPh sb="16" eb="17">
      <t>シルベ</t>
    </rPh>
    <phoneticPr fontId="69"/>
  </si>
  <si>
    <t>　</t>
    <phoneticPr fontId="69"/>
  </si>
  <si>
    <t>兵庫県地域経済指標研究会</t>
    <rPh sb="2" eb="3">
      <t>ケン</t>
    </rPh>
    <rPh sb="3" eb="5">
      <t>チイキ</t>
    </rPh>
    <rPh sb="5" eb="7">
      <t>ケイザイ</t>
    </rPh>
    <rPh sb="7" eb="9">
      <t>シヒョウ</t>
    </rPh>
    <rPh sb="9" eb="12">
      <t>ケンキュウカイ</t>
    </rPh>
    <phoneticPr fontId="69"/>
  </si>
  <si>
    <t>地域別経済動向指標公表予定</t>
    <rPh sb="0" eb="2">
      <t>チイキ</t>
    </rPh>
    <rPh sb="2" eb="3">
      <t>ベツ</t>
    </rPh>
    <rPh sb="3" eb="5">
      <t>ケイザイ</t>
    </rPh>
    <rPh sb="5" eb="7">
      <t>ドウコウ</t>
    </rPh>
    <rPh sb="7" eb="9">
      <t>シヒョウ</t>
    </rPh>
    <rPh sb="9" eb="11">
      <t>コウヒョウ</t>
    </rPh>
    <rPh sb="11" eb="13">
      <t>ヨテイ</t>
    </rPh>
    <phoneticPr fontId="12"/>
  </si>
  <si>
    <t>年月</t>
    <rPh sb="0" eb="1">
      <t>ネン</t>
    </rPh>
    <rPh sb="1" eb="2">
      <t>ツキ</t>
    </rPh>
    <phoneticPr fontId="12"/>
  </si>
  <si>
    <t>公表予定日</t>
    <rPh sb="0" eb="2">
      <t>コウヒョウ</t>
    </rPh>
    <rPh sb="2" eb="4">
      <t>ヨテイ</t>
    </rPh>
    <rPh sb="4" eb="5">
      <t>ヒ</t>
    </rPh>
    <phoneticPr fontId="12"/>
  </si>
  <si>
    <t>備　　考　</t>
    <rPh sb="0" eb="1">
      <t>ソナエ</t>
    </rPh>
    <rPh sb="3" eb="4">
      <t>コウ</t>
    </rPh>
    <phoneticPr fontId="69"/>
  </si>
  <si>
    <t xml:space="preserve"> </t>
    <phoneticPr fontId="69"/>
  </si>
  <si>
    <t>2025年12月推計</t>
    <rPh sb="4" eb="5">
      <t>ネン</t>
    </rPh>
    <rPh sb="7" eb="8">
      <t>ガツ</t>
    </rPh>
    <rPh sb="8" eb="10">
      <t>スイケイ</t>
    </rPh>
    <phoneticPr fontId="12"/>
  </si>
  <si>
    <t>2026年3月推計</t>
    <rPh sb="4" eb="5">
      <t>ネン</t>
    </rPh>
    <rPh sb="6" eb="7">
      <t>ガツ</t>
    </rPh>
    <rPh sb="7" eb="9">
      <t>スイケイ</t>
    </rPh>
    <phoneticPr fontId="12"/>
  </si>
  <si>
    <t>　この資料に関するお問い合わせ先</t>
    <phoneticPr fontId="69"/>
  </si>
  <si>
    <t>兵庫県立大学 ソーシャルデータサイエンス研究所特任教授　芦谷　恒憲</t>
    <rPh sb="0" eb="2">
      <t>ヒョウゴ</t>
    </rPh>
    <rPh sb="2" eb="4">
      <t>ケンリツ</t>
    </rPh>
    <rPh sb="4" eb="6">
      <t>ダイガク</t>
    </rPh>
    <rPh sb="20" eb="23">
      <t>ケンキュウショ</t>
    </rPh>
    <rPh sb="23" eb="25">
      <t>トクニン</t>
    </rPh>
    <rPh sb="25" eb="27">
      <t>キョウジュ</t>
    </rPh>
    <rPh sb="28" eb="30">
      <t>アシヤ</t>
    </rPh>
    <rPh sb="31" eb="33">
      <t>ツネノリ</t>
    </rPh>
    <phoneticPr fontId="69"/>
  </si>
  <si>
    <t>2026年6月推計</t>
    <rPh sb="4" eb="5">
      <t>ネン</t>
    </rPh>
    <rPh sb="6" eb="7">
      <t>ガツ</t>
    </rPh>
    <rPh sb="7" eb="9">
      <t>スイケイ</t>
    </rPh>
    <phoneticPr fontId="12"/>
  </si>
  <si>
    <t xml:space="preserve">                                      (  TEL 県立大学 078-794-5184)</t>
    <rPh sb="45" eb="47">
      <t>ケンリツ</t>
    </rPh>
    <rPh sb="47" eb="49">
      <t>ダイガク</t>
    </rPh>
    <phoneticPr fontId="69"/>
  </si>
  <si>
    <t>2026年9月推計</t>
    <rPh sb="4" eb="5">
      <t>ネン</t>
    </rPh>
    <rPh sb="6" eb="7">
      <t>ガツ</t>
    </rPh>
    <rPh sb="7" eb="9">
      <t>スイケイ</t>
    </rPh>
    <phoneticPr fontId="12"/>
  </si>
  <si>
    <t>公表値</t>
    <rPh sb="0" eb="3">
      <t>コウヒョウチ</t>
    </rPh>
    <phoneticPr fontId="13"/>
  </si>
  <si>
    <t>令和5年度</t>
    <rPh sb="0" eb="2">
      <t>レイワ</t>
    </rPh>
    <rPh sb="3" eb="4">
      <t>ネン</t>
    </rPh>
    <rPh sb="4" eb="5">
      <t>ド</t>
    </rPh>
    <phoneticPr fontId="13"/>
  </si>
  <si>
    <t>備考</t>
    <rPh sb="0" eb="2">
      <t>ビコウ</t>
    </rPh>
    <phoneticPr fontId="69"/>
  </si>
  <si>
    <t>(資料）兵庫県地域経済指標研究会</t>
    <rPh sb="1" eb="3">
      <t>シリョウ</t>
    </rPh>
    <rPh sb="4" eb="7">
      <t>ヒョウゴケン</t>
    </rPh>
    <rPh sb="7" eb="9">
      <t>チイキ</t>
    </rPh>
    <rPh sb="9" eb="11">
      <t>ケイザイ</t>
    </rPh>
    <rPh sb="11" eb="13">
      <t>シヒョウ</t>
    </rPh>
    <rPh sb="13" eb="16">
      <t>ケンキュウカイ</t>
    </rPh>
    <phoneticPr fontId="69"/>
  </si>
  <si>
    <t>内容</t>
    <rPh sb="0" eb="2">
      <t>ナイヨウ</t>
    </rPh>
    <phoneticPr fontId="69"/>
  </si>
  <si>
    <t>推計方法</t>
    <rPh sb="0" eb="2">
      <t>スイケイ</t>
    </rPh>
    <rPh sb="2" eb="4">
      <t>ホウホウ</t>
    </rPh>
    <phoneticPr fontId="13"/>
  </si>
  <si>
    <t>概要グラフ</t>
    <rPh sb="0" eb="2">
      <t>ガイヨウ</t>
    </rPh>
    <phoneticPr fontId="13"/>
  </si>
  <si>
    <t>概要統計表1</t>
    <rPh sb="0" eb="2">
      <t>ガイヨウ</t>
    </rPh>
    <rPh sb="2" eb="5">
      <t>トウケイヒョウ</t>
    </rPh>
    <phoneticPr fontId="13"/>
  </si>
  <si>
    <t>概要統計表2</t>
    <rPh sb="0" eb="2">
      <t>ガイヨウ</t>
    </rPh>
    <rPh sb="2" eb="5">
      <t>トウケイヒョウ</t>
    </rPh>
    <phoneticPr fontId="13"/>
  </si>
  <si>
    <t>名目時系列</t>
    <rPh sb="0" eb="2">
      <t>メイモク</t>
    </rPh>
    <rPh sb="2" eb="5">
      <t>ジケイレツ</t>
    </rPh>
    <phoneticPr fontId="13"/>
  </si>
  <si>
    <t>実質時系列</t>
    <rPh sb="0" eb="2">
      <t>ジッシツ</t>
    </rPh>
    <rPh sb="2" eb="5">
      <t>ジケイレツ</t>
    </rPh>
    <phoneticPr fontId="13"/>
  </si>
  <si>
    <t>H18</t>
    <phoneticPr fontId="13"/>
  </si>
  <si>
    <t>H19</t>
    <phoneticPr fontId="13"/>
  </si>
  <si>
    <t>H20</t>
    <phoneticPr fontId="13"/>
  </si>
  <si>
    <t>2006年度市町内総生産(支出側：名目）</t>
    <rPh sb="4" eb="6">
      <t>ネンド</t>
    </rPh>
    <rPh sb="6" eb="9">
      <t>シチョウナイ</t>
    </rPh>
    <rPh sb="9" eb="12">
      <t>ソウセイサン</t>
    </rPh>
    <rPh sb="13" eb="16">
      <t>シシュツガワ</t>
    </rPh>
    <rPh sb="17" eb="19">
      <t>メイモク</t>
    </rPh>
    <phoneticPr fontId="13"/>
  </si>
  <si>
    <t>2007年度市町内総生産(支出側：名目）</t>
    <rPh sb="4" eb="6">
      <t>ネンド</t>
    </rPh>
    <rPh sb="6" eb="9">
      <t>シチョウナイ</t>
    </rPh>
    <rPh sb="9" eb="12">
      <t>ソウセイサン</t>
    </rPh>
    <rPh sb="13" eb="16">
      <t>シシュツガワ</t>
    </rPh>
    <rPh sb="17" eb="19">
      <t>メイモク</t>
    </rPh>
    <phoneticPr fontId="13"/>
  </si>
  <si>
    <t>2008年度市町内総生産(支出側：名目）</t>
    <rPh sb="4" eb="6">
      <t>ネンド</t>
    </rPh>
    <rPh sb="6" eb="9">
      <t>シチョウナイ</t>
    </rPh>
    <rPh sb="9" eb="12">
      <t>ソウセイサン</t>
    </rPh>
    <rPh sb="13" eb="16">
      <t>シシュツガワ</t>
    </rPh>
    <rPh sb="17" eb="19">
      <t>メイモク</t>
    </rPh>
    <phoneticPr fontId="13"/>
  </si>
  <si>
    <t>2009年度市町内総生産(支出側：名目）</t>
    <rPh sb="4" eb="6">
      <t>ネンド</t>
    </rPh>
    <rPh sb="6" eb="9">
      <t>シチョウナイ</t>
    </rPh>
    <rPh sb="9" eb="12">
      <t>ソウセイサン</t>
    </rPh>
    <rPh sb="13" eb="16">
      <t>シシュツガワ</t>
    </rPh>
    <rPh sb="17" eb="19">
      <t>メイモク</t>
    </rPh>
    <phoneticPr fontId="13"/>
  </si>
  <si>
    <t>2010年度市町内総生産(支出側：名目）</t>
    <rPh sb="4" eb="6">
      <t>ネンド</t>
    </rPh>
    <rPh sb="6" eb="9">
      <t>シチョウナイ</t>
    </rPh>
    <rPh sb="9" eb="12">
      <t>ソウセイサン</t>
    </rPh>
    <rPh sb="13" eb="16">
      <t>シシュツガワ</t>
    </rPh>
    <rPh sb="17" eb="19">
      <t>メイモク</t>
    </rPh>
    <phoneticPr fontId="13"/>
  </si>
  <si>
    <t>2011年度市町内総生産(支出側：名目）</t>
    <rPh sb="4" eb="6">
      <t>ネンド</t>
    </rPh>
    <rPh sb="6" eb="9">
      <t>シチョウナイ</t>
    </rPh>
    <rPh sb="9" eb="12">
      <t>ソウセイサン</t>
    </rPh>
    <rPh sb="13" eb="16">
      <t>シシュツガワ</t>
    </rPh>
    <rPh sb="17" eb="19">
      <t>メイモク</t>
    </rPh>
    <phoneticPr fontId="13"/>
  </si>
  <si>
    <t>2012年度市町内総生産(支出側：名目）</t>
    <rPh sb="4" eb="6">
      <t>ネンド</t>
    </rPh>
    <rPh sb="6" eb="9">
      <t>シチョウナイ</t>
    </rPh>
    <rPh sb="9" eb="12">
      <t>ソウセイサン</t>
    </rPh>
    <rPh sb="13" eb="16">
      <t>シシュツガワ</t>
    </rPh>
    <rPh sb="17" eb="19">
      <t>メイモク</t>
    </rPh>
    <phoneticPr fontId="13"/>
  </si>
  <si>
    <t>2013年度市町内総生産(支出側：名目）</t>
    <rPh sb="4" eb="6">
      <t>ネンド</t>
    </rPh>
    <rPh sb="6" eb="9">
      <t>シチョウナイ</t>
    </rPh>
    <rPh sb="9" eb="12">
      <t>ソウセイサン</t>
    </rPh>
    <rPh sb="13" eb="16">
      <t>シシュツガワ</t>
    </rPh>
    <rPh sb="17" eb="19">
      <t>メイモク</t>
    </rPh>
    <phoneticPr fontId="13"/>
  </si>
  <si>
    <t>2014年度市町内総生産(支出側：名目）</t>
    <rPh sb="4" eb="6">
      <t>ネンド</t>
    </rPh>
    <rPh sb="6" eb="9">
      <t>シチョウナイ</t>
    </rPh>
    <rPh sb="9" eb="12">
      <t>ソウセイサン</t>
    </rPh>
    <rPh sb="13" eb="16">
      <t>シシュツガワ</t>
    </rPh>
    <rPh sb="17" eb="19">
      <t>メイモク</t>
    </rPh>
    <phoneticPr fontId="13"/>
  </si>
  <si>
    <t>2015年度市町内総生産(支出側：名目）</t>
    <rPh sb="4" eb="6">
      <t>ネンド</t>
    </rPh>
    <rPh sb="6" eb="9">
      <t>シチョウナイ</t>
    </rPh>
    <rPh sb="9" eb="12">
      <t>ソウセイサン</t>
    </rPh>
    <rPh sb="13" eb="16">
      <t>シシュツガワ</t>
    </rPh>
    <rPh sb="17" eb="19">
      <t>メイモク</t>
    </rPh>
    <phoneticPr fontId="13"/>
  </si>
  <si>
    <t>2016年度市町内総生産(支出側：名目）</t>
    <rPh sb="4" eb="6">
      <t>ネンド</t>
    </rPh>
    <rPh sb="6" eb="9">
      <t>シチョウナイ</t>
    </rPh>
    <rPh sb="9" eb="12">
      <t>ソウセイサン</t>
    </rPh>
    <rPh sb="13" eb="16">
      <t>シシュツガワ</t>
    </rPh>
    <rPh sb="17" eb="19">
      <t>メイモク</t>
    </rPh>
    <phoneticPr fontId="13"/>
  </si>
  <si>
    <t>2017年度市町内総生産(支出側：名目）</t>
    <rPh sb="4" eb="6">
      <t>ネンド</t>
    </rPh>
    <rPh sb="6" eb="9">
      <t>シチョウナイ</t>
    </rPh>
    <rPh sb="9" eb="12">
      <t>ソウセイサン</t>
    </rPh>
    <rPh sb="13" eb="16">
      <t>シシュツガワ</t>
    </rPh>
    <rPh sb="17" eb="19">
      <t>メイモク</t>
    </rPh>
    <phoneticPr fontId="13"/>
  </si>
  <si>
    <t>2018年度市町内総生産(支出側：名目）</t>
    <rPh sb="4" eb="6">
      <t>ネンド</t>
    </rPh>
    <rPh sb="6" eb="9">
      <t>シチョウナイ</t>
    </rPh>
    <rPh sb="9" eb="12">
      <t>ソウセイサン</t>
    </rPh>
    <rPh sb="13" eb="16">
      <t>シシュツガワ</t>
    </rPh>
    <rPh sb="17" eb="19">
      <t>メイモク</t>
    </rPh>
    <phoneticPr fontId="13"/>
  </si>
  <si>
    <t>2019年度市町内総生産(支出側：名目）</t>
    <rPh sb="4" eb="6">
      <t>ネンド</t>
    </rPh>
    <rPh sb="6" eb="9">
      <t>シチョウナイ</t>
    </rPh>
    <rPh sb="9" eb="12">
      <t>ソウセイサン</t>
    </rPh>
    <rPh sb="13" eb="16">
      <t>シシュツガワ</t>
    </rPh>
    <rPh sb="17" eb="19">
      <t>メイモク</t>
    </rPh>
    <phoneticPr fontId="13"/>
  </si>
  <si>
    <t>2020年度市町内総生産(支出側：名目）</t>
    <rPh sb="4" eb="6">
      <t>ネンド</t>
    </rPh>
    <rPh sb="6" eb="9">
      <t>シチョウナイ</t>
    </rPh>
    <rPh sb="9" eb="12">
      <t>ソウセイサン</t>
    </rPh>
    <rPh sb="13" eb="16">
      <t>シシュツガワ</t>
    </rPh>
    <rPh sb="17" eb="19">
      <t>メイモク</t>
    </rPh>
    <phoneticPr fontId="13"/>
  </si>
  <si>
    <t>2021年度市町内総生産(支出側：名目）</t>
    <rPh sb="4" eb="6">
      <t>ネンド</t>
    </rPh>
    <rPh sb="6" eb="9">
      <t>シチョウナイ</t>
    </rPh>
    <rPh sb="9" eb="12">
      <t>ソウセイサン</t>
    </rPh>
    <rPh sb="13" eb="16">
      <t>シシュツガワ</t>
    </rPh>
    <rPh sb="17" eb="19">
      <t>メイモク</t>
    </rPh>
    <phoneticPr fontId="13"/>
  </si>
  <si>
    <t>2022年度市町内総生産(支出側：名目）</t>
    <rPh sb="4" eb="6">
      <t>ネンド</t>
    </rPh>
    <rPh sb="6" eb="9">
      <t>シチョウナイ</t>
    </rPh>
    <rPh sb="9" eb="12">
      <t>ソウセイサン</t>
    </rPh>
    <rPh sb="13" eb="16">
      <t>シシュツガワ</t>
    </rPh>
    <rPh sb="17" eb="19">
      <t>メイモク</t>
    </rPh>
    <phoneticPr fontId="13"/>
  </si>
  <si>
    <t>2023年度市町内総生産(支出側：名目）</t>
    <rPh sb="4" eb="6">
      <t>ネンド</t>
    </rPh>
    <rPh sb="6" eb="9">
      <t>シチョウナイ</t>
    </rPh>
    <rPh sb="9" eb="12">
      <t>ソウセイサン</t>
    </rPh>
    <rPh sb="13" eb="16">
      <t>シシュツガワ</t>
    </rPh>
    <rPh sb="17" eb="19">
      <t>メイモク</t>
    </rPh>
    <phoneticPr fontId="13"/>
  </si>
  <si>
    <t>2024年度市町内総生産(支出側：名目）</t>
    <rPh sb="4" eb="6">
      <t>ネンド</t>
    </rPh>
    <rPh sb="6" eb="9">
      <t>シチョウナイ</t>
    </rPh>
    <rPh sb="9" eb="12">
      <t>ソウセイサン</t>
    </rPh>
    <rPh sb="13" eb="16">
      <t>シシュツガワ</t>
    </rPh>
    <rPh sb="17" eb="19">
      <t>メイモク</t>
    </rPh>
    <phoneticPr fontId="13"/>
  </si>
  <si>
    <t>2025年度市町内総生産(支出側：名目）</t>
    <rPh sb="4" eb="6">
      <t>ネンド</t>
    </rPh>
    <rPh sb="6" eb="9">
      <t>シチョウナイ</t>
    </rPh>
    <rPh sb="9" eb="12">
      <t>ソウセイサン</t>
    </rPh>
    <rPh sb="13" eb="16">
      <t>シシュツガワ</t>
    </rPh>
    <rPh sb="17" eb="19">
      <t>メイモク</t>
    </rPh>
    <phoneticPr fontId="13"/>
  </si>
  <si>
    <t>2026年度市町内総生産(支出側：名目）</t>
    <rPh sb="4" eb="6">
      <t>ネンド</t>
    </rPh>
    <rPh sb="6" eb="9">
      <t>シチョウナイ</t>
    </rPh>
    <rPh sb="9" eb="12">
      <t>ソウセイサン</t>
    </rPh>
    <rPh sb="13" eb="16">
      <t>シシュツガワ</t>
    </rPh>
    <rPh sb="17" eb="19">
      <t>メイモク</t>
    </rPh>
    <phoneticPr fontId="13"/>
  </si>
  <si>
    <t>2027年度市町内総生産(支出側：名目）</t>
    <rPh sb="4" eb="6">
      <t>ネンド</t>
    </rPh>
    <rPh sb="6" eb="9">
      <t>シチョウナイ</t>
    </rPh>
    <rPh sb="9" eb="12">
      <t>ソウセイサン</t>
    </rPh>
    <rPh sb="13" eb="16">
      <t>シシュツガワ</t>
    </rPh>
    <rPh sb="17" eb="19">
      <t>メイモク</t>
    </rPh>
    <phoneticPr fontId="13"/>
  </si>
  <si>
    <t>名目時系列統計表</t>
    <rPh sb="0" eb="2">
      <t>メイモク</t>
    </rPh>
    <rPh sb="2" eb="5">
      <t>ジケイレツ</t>
    </rPh>
    <rPh sb="5" eb="8">
      <t>トウケイヒョウ</t>
    </rPh>
    <phoneticPr fontId="13"/>
  </si>
  <si>
    <t>実質(2015年基準)統計表</t>
    <rPh sb="0" eb="2">
      <t>ジッシツ</t>
    </rPh>
    <rPh sb="7" eb="8">
      <t>ネン</t>
    </rPh>
    <rPh sb="8" eb="10">
      <t>キジュン</t>
    </rPh>
    <rPh sb="11" eb="13">
      <t>トウケイ</t>
    </rPh>
    <rPh sb="13" eb="14">
      <t>ヒョウ</t>
    </rPh>
    <phoneticPr fontId="13"/>
  </si>
  <si>
    <t>国・兵庫県比較表</t>
    <rPh sb="0" eb="1">
      <t>クニ</t>
    </rPh>
    <rPh sb="2" eb="5">
      <t>ヒョウゴケン</t>
    </rPh>
    <rPh sb="5" eb="7">
      <t>ヒカク</t>
    </rPh>
    <rPh sb="7" eb="8">
      <t>ヒョウ</t>
    </rPh>
    <phoneticPr fontId="13"/>
  </si>
  <si>
    <t>推計方法、推計データ概要</t>
    <rPh sb="0" eb="2">
      <t>スイケイ</t>
    </rPh>
    <rPh sb="2" eb="4">
      <t>ホウホウ</t>
    </rPh>
    <rPh sb="5" eb="7">
      <t>スイケイ</t>
    </rPh>
    <rPh sb="10" eb="12">
      <t>ガイヨウ</t>
    </rPh>
    <phoneticPr fontId="13"/>
  </si>
  <si>
    <t>兵庫県内10地域項目別統計表</t>
    <rPh sb="0" eb="2">
      <t>ヒョウゴ</t>
    </rPh>
    <rPh sb="2" eb="4">
      <t>ケンナイ</t>
    </rPh>
    <rPh sb="6" eb="8">
      <t>チイキ</t>
    </rPh>
    <rPh sb="8" eb="11">
      <t>コウモクベツ</t>
    </rPh>
    <rPh sb="11" eb="14">
      <t>トウケイヒョウ</t>
    </rPh>
    <phoneticPr fontId="13"/>
  </si>
  <si>
    <t>兵庫県内10地域時系列統計表</t>
    <rPh sb="0" eb="2">
      <t>ヒョウゴ</t>
    </rPh>
    <rPh sb="2" eb="4">
      <t>ケンナイ</t>
    </rPh>
    <rPh sb="6" eb="8">
      <t>チイキ</t>
    </rPh>
    <rPh sb="8" eb="11">
      <t>ジケイレツ</t>
    </rPh>
    <rPh sb="11" eb="14">
      <t>トウケイヒョウ</t>
    </rPh>
    <phoneticPr fontId="13"/>
  </si>
  <si>
    <t>地域別経済動向指標 目次</t>
    <rPh sb="0" eb="2">
      <t>チイキ</t>
    </rPh>
    <rPh sb="2" eb="3">
      <t>ベツ</t>
    </rPh>
    <rPh sb="3" eb="5">
      <t>ケイザイ</t>
    </rPh>
    <rPh sb="5" eb="7">
      <t>ドウコウ</t>
    </rPh>
    <rPh sb="7" eb="9">
      <t>シヒョウ</t>
    </rPh>
    <rPh sb="10" eb="11">
      <t>メ</t>
    </rPh>
    <rPh sb="11" eb="12">
      <t>ツギ</t>
    </rPh>
    <phoneticPr fontId="69"/>
  </si>
  <si>
    <t>No</t>
    <phoneticPr fontId="13"/>
  </si>
  <si>
    <t>R7.4-12</t>
    <phoneticPr fontId="13"/>
  </si>
  <si>
    <t>令和6年度市町別決算</t>
    <rPh sb="0" eb="2">
      <t>レイワ</t>
    </rPh>
    <rPh sb="3" eb="5">
      <t>ネンド</t>
    </rPh>
    <rPh sb="5" eb="7">
      <t>シチョウ</t>
    </rPh>
    <rPh sb="7" eb="8">
      <t>ベツ</t>
    </rPh>
    <rPh sb="8" eb="10">
      <t>ケッサン</t>
    </rPh>
    <phoneticPr fontId="13"/>
  </si>
  <si>
    <t>6年度</t>
    <rPh sb="1" eb="3">
      <t>ネンド</t>
    </rPh>
    <phoneticPr fontId="3"/>
  </si>
  <si>
    <t>令和6年度</t>
    <rPh sb="0" eb="2">
      <t>レイワ</t>
    </rPh>
    <phoneticPr fontId="4"/>
  </si>
  <si>
    <t>R6決算</t>
    <rPh sb="2" eb="4">
      <t>ケッサン</t>
    </rPh>
    <phoneticPr fontId="13"/>
  </si>
  <si>
    <t>2026/4/13</t>
    <phoneticPr fontId="13"/>
  </si>
  <si>
    <t>― 2026年3月推計 ―</t>
    <rPh sb="9" eb="11">
      <t>スイケイ</t>
    </rPh>
    <phoneticPr fontId="6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</si>
</sst>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quot;¥&quot;\!\ ###&quot;¥&quot;\!\ ##0"/>
    <numFmt numFmtId="177" formatCode="#,##0;&quot;▲ &quot;#,##0"/>
    <numFmt numFmtId="178" formatCode="0_);[Red]\(0\)"/>
    <numFmt numFmtId="179" formatCode="#,##0.0;[Red]\-#,##0.0"/>
    <numFmt numFmtId="180" formatCode="#,##0.000;[Red]\-#,##0.000"/>
    <numFmt numFmtId="181" formatCode="#,##0.00000;[Red]\-#,##0.00000"/>
    <numFmt numFmtId="182" formatCode="#,##0.000000;[Red]\-#,##0.000000"/>
    <numFmt numFmtId="183" formatCode="#,##0.0;&quot;▲ &quot;#,##0.0"/>
    <numFmt numFmtId="184" formatCode="0;&quot;▲ &quot;0"/>
    <numFmt numFmtId="185" formatCode="0.0_ ;[Red]\-0.0\ "/>
    <numFmt numFmtId="186" formatCode="0.0%"/>
    <numFmt numFmtId="187" formatCode="0_);\(0\)"/>
    <numFmt numFmtId="188" formatCode="#,##0.00;&quot;▲ &quot;#,##0.00"/>
    <numFmt numFmtId="189" formatCode="#,##0_ "/>
    <numFmt numFmtId="190" formatCode="0_ "/>
    <numFmt numFmtId="191" formatCode="#,##0.0000000;[Red]\-#,##0.0000000"/>
    <numFmt numFmtId="192" formatCode="0.0;&quot;▲ &quot;0.0"/>
    <numFmt numFmtId="193" formatCode="0.0"/>
    <numFmt numFmtId="194" formatCode="0.0_);[Red]\(0.0\)"/>
    <numFmt numFmtId="195" formatCode="#,##0.000;&quot;▲ &quot;#,##0.000"/>
    <numFmt numFmtId="196" formatCode="#,##0.0000;[Red]\-#,##0.0000"/>
    <numFmt numFmtId="197" formatCode="#,##0;\▲#,##0"/>
    <numFmt numFmtId="198" formatCode="#,##0.000;\-#,##0.000"/>
    <numFmt numFmtId="199" formatCode="#,##0.0_ ;[Red]\-#,##0.0\ "/>
    <numFmt numFmtId="200" formatCode="#,##0_);[Red]\(#,##0\)"/>
    <numFmt numFmtId="201" formatCode="0.0_ "/>
  </numFmts>
  <fonts count="77">
    <font>
      <sz val="14"/>
      <name val="明朝"/>
      <family val="1"/>
      <charset val="128"/>
    </font>
    <font>
      <b/>
      <sz val="11"/>
      <name val="ＭＳ Ｐゴシック"/>
      <family val="3"/>
      <charset val="128"/>
    </font>
    <font>
      <sz val="11"/>
      <name val="ＭＳ Ｐゴシック"/>
      <family val="3"/>
      <charset val="128"/>
    </font>
    <font>
      <sz val="14"/>
      <name val="ＭＳ 明朝"/>
      <family val="1"/>
      <charset val="128"/>
    </font>
    <font>
      <sz val="7"/>
      <name val="ＭＳ Ｐ明朝"/>
      <family val="1"/>
      <charset val="128"/>
    </font>
    <font>
      <sz val="9"/>
      <name val="ＭＳ 明朝"/>
      <family val="1"/>
      <charset val="128"/>
    </font>
    <font>
      <sz val="9"/>
      <name val="ＭＳ Ｐゴシック"/>
      <family val="3"/>
      <charset val="128"/>
    </font>
    <font>
      <b/>
      <sz val="9"/>
      <name val="ＭＳ Ｐゴシック"/>
      <family val="3"/>
      <charset val="128"/>
    </font>
    <font>
      <sz val="8"/>
      <name val="ＭＳ ゴシック"/>
      <family val="3"/>
      <charset val="128"/>
    </font>
    <font>
      <u/>
      <sz val="10"/>
      <color indexed="12"/>
      <name val="明朝"/>
      <family val="1"/>
      <charset val="128"/>
    </font>
    <font>
      <sz val="11"/>
      <color indexed="8"/>
      <name val="ＭＳ Ｐゴシック"/>
      <family val="3"/>
      <charset val="128"/>
    </font>
    <font>
      <u/>
      <sz val="10"/>
      <color indexed="36"/>
      <name val="明朝"/>
      <family val="1"/>
      <charset val="128"/>
    </font>
    <font>
      <sz val="6"/>
      <name val="ＭＳ Ｐゴシック"/>
      <family val="3"/>
      <charset val="128"/>
    </font>
    <font>
      <sz val="7"/>
      <name val="明朝"/>
      <family val="1"/>
      <charset val="128"/>
    </font>
    <font>
      <sz val="11"/>
      <name val="明朝"/>
      <family val="1"/>
      <charset val="128"/>
    </font>
    <font>
      <b/>
      <sz val="11"/>
      <name val="明朝"/>
      <family val="1"/>
      <charset val="128"/>
    </font>
    <font>
      <sz val="9"/>
      <name val="明朝"/>
      <family val="1"/>
      <charset val="128"/>
    </font>
    <font>
      <sz val="7"/>
      <name val="ＭＳ Ｐゴシック"/>
      <family val="3"/>
      <charset val="128"/>
    </font>
    <font>
      <b/>
      <sz val="11"/>
      <color indexed="8"/>
      <name val="ＭＳ Ｐゴシック"/>
      <family val="3"/>
      <charset val="128"/>
    </font>
    <font>
      <sz val="6"/>
      <name val="ＭＳ Ｐ明朝"/>
      <family val="1"/>
      <charset val="128"/>
    </font>
    <font>
      <sz val="11"/>
      <name val="ＭＳ 明朝"/>
      <family val="1"/>
      <charset val="128"/>
    </font>
    <font>
      <sz val="10"/>
      <name val="ＭＳ 明朝"/>
      <family val="1"/>
      <charset val="128"/>
    </font>
    <font>
      <sz val="10"/>
      <name val="ＭＳ Ｐゴシック"/>
      <family val="3"/>
      <charset val="128"/>
    </font>
    <font>
      <b/>
      <sz val="10"/>
      <name val="ＭＳ Ｐゴシック"/>
      <family val="3"/>
      <charset val="128"/>
    </font>
    <font>
      <sz val="10"/>
      <color indexed="8"/>
      <name val="ＭＳ Ｐゴシック"/>
      <family val="3"/>
      <charset val="128"/>
    </font>
    <font>
      <sz val="6"/>
      <name val="ＭＳ 明朝"/>
      <family val="1"/>
      <charset val="128"/>
    </font>
    <font>
      <sz val="10.5"/>
      <name val="ＭＳ Ｐゴシック"/>
      <family val="3"/>
      <charset val="128"/>
    </font>
    <font>
      <b/>
      <sz val="10.5"/>
      <name val="ＭＳ Ｐゴシック"/>
      <family val="3"/>
      <charset val="128"/>
    </font>
    <font>
      <b/>
      <sz val="10.5"/>
      <color indexed="8"/>
      <name val="ＭＳ Ｐゴシック"/>
      <family val="3"/>
      <charset val="128"/>
    </font>
    <font>
      <sz val="10"/>
      <name val="明朝"/>
      <family val="1"/>
      <charset val="128"/>
    </font>
    <font>
      <sz val="8"/>
      <name val="明朝"/>
      <family val="1"/>
      <charset val="128"/>
    </font>
    <font>
      <sz val="11"/>
      <name val="ＭＳ ゴシック"/>
      <family val="3"/>
      <charset val="128"/>
    </font>
    <font>
      <sz val="14"/>
      <name val="明朝"/>
      <family val="1"/>
      <charset val="128"/>
    </font>
    <font>
      <sz val="14"/>
      <name val="ＭＳ Ｐゴシック"/>
      <family val="3"/>
      <charset val="128"/>
    </font>
    <font>
      <sz val="11"/>
      <name val="ＭＳ Ｐゴシック"/>
      <family val="3"/>
      <charset val="128"/>
      <scheme val="minor"/>
    </font>
    <font>
      <b/>
      <sz val="11"/>
      <name val="ＭＳ Ｐゴシック"/>
      <family val="3"/>
      <charset val="128"/>
      <scheme val="minor"/>
    </font>
    <font>
      <sz val="11"/>
      <name val="游ゴシック"/>
      <family val="1"/>
      <charset val="128"/>
    </font>
    <font>
      <sz val="10"/>
      <name val="游ゴシック"/>
      <family val="1"/>
      <charset val="128"/>
    </font>
    <font>
      <sz val="10"/>
      <name val="ＭＳ Ｐゴシック"/>
      <family val="3"/>
      <charset val="128"/>
      <scheme val="minor"/>
    </font>
    <font>
      <sz val="9"/>
      <color indexed="8"/>
      <name val="ＭＳ Ｐゴシック"/>
      <family val="3"/>
      <charset val="128"/>
      <scheme val="minor"/>
    </font>
    <font>
      <sz val="10"/>
      <color indexed="8"/>
      <name val="ＭＳ Ｐゴシック"/>
      <family val="3"/>
      <charset val="128"/>
      <scheme val="minor"/>
    </font>
    <font>
      <sz val="11"/>
      <color indexed="8"/>
      <name val="ＭＳ Ｐゴシック"/>
      <family val="3"/>
      <charset val="128"/>
      <scheme val="minor"/>
    </font>
    <font>
      <sz val="11"/>
      <name val="明朝"/>
      <family val="1"/>
    </font>
    <font>
      <sz val="9"/>
      <color indexed="81"/>
      <name val="MS P ゴシック"/>
      <family val="3"/>
      <charset val="128"/>
    </font>
    <font>
      <b/>
      <sz val="9"/>
      <color indexed="81"/>
      <name val="MS P ゴシック"/>
      <family val="3"/>
      <charset val="128"/>
    </font>
    <font>
      <sz val="11"/>
      <color rgb="FFFF0000"/>
      <name val="ＭＳ Ｐゴシック"/>
      <family val="3"/>
      <charset val="128"/>
    </font>
    <font>
      <sz val="10.5"/>
      <color rgb="FFFF0000"/>
      <name val="ＭＳ Ｐゴシック"/>
      <family val="3"/>
      <charset val="128"/>
    </font>
    <font>
      <sz val="7"/>
      <name val="Terminal"/>
      <family val="3"/>
      <charset val="255"/>
    </font>
    <font>
      <sz val="14"/>
      <name val="Terminal"/>
      <family val="3"/>
      <charset val="255"/>
    </font>
    <font>
      <sz val="9"/>
      <color indexed="63"/>
      <name val="ＭＳ Ｐゴシック"/>
      <family val="3"/>
      <charset val="128"/>
    </font>
    <font>
      <sz val="8"/>
      <name val="ＭＳ Ｐゴシック"/>
      <family val="3"/>
      <charset val="128"/>
    </font>
    <font>
      <sz val="11"/>
      <color theme="1"/>
      <name val="ＭＳ Ｐゴシック"/>
      <family val="3"/>
      <charset val="128"/>
    </font>
    <font>
      <b/>
      <sz val="11"/>
      <color theme="1"/>
      <name val="ＭＳ Ｐゴシック"/>
      <family val="3"/>
      <charset val="128"/>
    </font>
    <font>
      <sz val="11"/>
      <color rgb="FFFF0000"/>
      <name val="ＭＳ Ｐゴシック"/>
      <family val="3"/>
      <charset val="128"/>
      <scheme val="minor"/>
    </font>
    <font>
      <b/>
      <u/>
      <sz val="11"/>
      <color rgb="FFFF0000"/>
      <name val="ＭＳ Ｐゴシック"/>
      <family val="3"/>
      <charset val="128"/>
      <scheme val="minor"/>
    </font>
    <font>
      <b/>
      <u/>
      <sz val="10"/>
      <name val="ＭＳ Ｐゴシック"/>
      <family val="3"/>
      <charset val="128"/>
    </font>
    <font>
      <sz val="11"/>
      <name val="ＭＳ Ｐゴシック"/>
      <family val="3"/>
      <charset val="128"/>
      <scheme val="major"/>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0.5"/>
      <color indexed="8"/>
      <name val="ＭＳ Ｐゴシック"/>
      <family val="3"/>
      <charset val="128"/>
    </font>
    <font>
      <sz val="10"/>
      <color indexed="81"/>
      <name val="ＭＳ Ｐゴシック"/>
      <family val="3"/>
      <charset val="128"/>
    </font>
    <font>
      <sz val="10"/>
      <color indexed="81"/>
      <name val="ＭＳ 明朝"/>
      <family val="1"/>
      <charset val="128"/>
    </font>
    <font>
      <sz val="12"/>
      <color rgb="FF006100"/>
      <name val="ＭＳ 明朝"/>
      <family val="2"/>
      <charset val="128"/>
    </font>
    <font>
      <sz val="12"/>
      <name val="ＭＳ Ｐゴシック"/>
      <family val="3"/>
      <charset val="128"/>
    </font>
    <font>
      <u/>
      <sz val="14"/>
      <color theme="10"/>
      <name val="明朝"/>
      <family val="1"/>
      <charset val="128"/>
    </font>
    <font>
      <u/>
      <sz val="11"/>
      <color theme="10"/>
      <name val="ＭＳ Ｐゴシック"/>
      <family val="3"/>
      <charset val="128"/>
      <scheme val="minor"/>
    </font>
    <font>
      <i/>
      <sz val="11"/>
      <name val="ＭＳ Ｐゴシック"/>
      <family val="3"/>
      <charset val="128"/>
    </font>
    <font>
      <sz val="30"/>
      <color theme="1"/>
      <name val="ＭＳ 明朝"/>
      <family val="1"/>
      <charset val="128"/>
    </font>
    <font>
      <sz val="6"/>
      <name val="ＭＳ Ｐゴシック"/>
      <family val="2"/>
      <charset val="128"/>
      <scheme val="minor"/>
    </font>
    <font>
      <sz val="22"/>
      <color theme="1"/>
      <name val="ＭＳ 明朝"/>
      <family val="1"/>
      <charset val="128"/>
    </font>
    <font>
      <sz val="18"/>
      <color theme="1"/>
      <name val="ＭＳ 明朝"/>
      <family val="1"/>
      <charset val="128"/>
    </font>
    <font>
      <sz val="20"/>
      <color theme="1"/>
      <name val="ＭＳ 明朝"/>
      <family val="1"/>
      <charset val="128"/>
    </font>
    <font>
      <b/>
      <sz val="11"/>
      <color rgb="FF222222"/>
      <name val="ＭＳ Ｐゴシック"/>
      <family val="3"/>
      <charset val="128"/>
    </font>
    <font>
      <u/>
      <sz val="11"/>
      <name val="ＭＳ Ｐゴシック"/>
      <family val="3"/>
      <charset val="128"/>
    </font>
    <font>
      <u/>
      <sz val="11"/>
      <color theme="10"/>
      <name val="ＭＳ Ｐゴシック"/>
      <family val="3"/>
      <charset val="128"/>
    </font>
    <font>
      <sz val="10.5"/>
      <color theme="1"/>
      <name val="ＭＳ 明朝"/>
      <family val="1"/>
      <charset val="128"/>
    </font>
  </fonts>
  <fills count="24">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indexed="9"/>
        <bgColor indexed="8"/>
      </patternFill>
    </fill>
    <fill>
      <patternFill patternType="solid">
        <fgColor indexed="43"/>
        <bgColor indexed="8"/>
      </patternFill>
    </fill>
    <fill>
      <patternFill patternType="solid">
        <fgColor indexed="42"/>
        <bgColor indexed="64"/>
      </patternFill>
    </fill>
    <fill>
      <patternFill patternType="solid">
        <fgColor indexed="13"/>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indexed="22"/>
        <bgColor indexed="64"/>
      </patternFill>
    </fill>
    <fill>
      <patternFill patternType="solid">
        <fgColor rgb="FFC6EFCE"/>
      </patternFill>
    </fill>
    <fill>
      <patternFill patternType="solid">
        <fgColor rgb="FFFFFFCC"/>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hair">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top/>
      <bottom style="hair">
        <color indexed="64"/>
      </bottom>
      <diagonal/>
    </border>
    <border>
      <left/>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25">
    <xf numFmtId="37" fontId="0" fillId="0" borderId="0"/>
    <xf numFmtId="9"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2" fillId="0" borderId="0"/>
    <xf numFmtId="0" fontId="8" fillId="0" borderId="0"/>
    <xf numFmtId="0" fontId="2" fillId="0" borderId="0"/>
    <xf numFmtId="0" fontId="2" fillId="0" borderId="0"/>
    <xf numFmtId="0" fontId="22" fillId="0" borderId="0"/>
    <xf numFmtId="37" fontId="32" fillId="0" borderId="0"/>
    <xf numFmtId="0" fontId="21" fillId="0" borderId="0"/>
    <xf numFmtId="0" fontId="21" fillId="0" borderId="0"/>
    <xf numFmtId="0" fontId="21" fillId="0" borderId="0"/>
    <xf numFmtId="0" fontId="21" fillId="0" borderId="0"/>
    <xf numFmtId="0" fontId="22" fillId="0" borderId="0"/>
    <xf numFmtId="0" fontId="10" fillId="0" borderId="0"/>
    <xf numFmtId="0" fontId="22" fillId="0" borderId="0"/>
    <xf numFmtId="0" fontId="5" fillId="0" borderId="0"/>
    <xf numFmtId="0" fontId="14" fillId="0" borderId="0"/>
    <xf numFmtId="0" fontId="3" fillId="0" borderId="0"/>
    <xf numFmtId="0" fontId="48" fillId="0" borderId="0"/>
    <xf numFmtId="38" fontId="2" fillId="0" borderId="0" applyFont="0" applyFill="0" applyBorder="0" applyAlignment="0" applyProtection="0">
      <alignment vertical="center"/>
    </xf>
    <xf numFmtId="0" fontId="2" fillId="0" borderId="0">
      <alignment vertical="center"/>
    </xf>
    <xf numFmtId="0" fontId="63" fillId="22" borderId="0" applyNumberFormat="0" applyBorder="0" applyAlignment="0" applyProtection="0">
      <alignment vertical="center"/>
    </xf>
    <xf numFmtId="37" fontId="65" fillId="0" borderId="0" applyNumberFormat="0" applyFill="0" applyBorder="0" applyAlignment="0" applyProtection="0"/>
  </cellStyleXfs>
  <cellXfs count="2330">
    <xf numFmtId="37" fontId="0" fillId="0" borderId="0" xfId="0"/>
    <xf numFmtId="37" fontId="6" fillId="0" borderId="0" xfId="0" applyFont="1"/>
    <xf numFmtId="0" fontId="6" fillId="2" borderId="1" xfId="15" applyFont="1" applyFill="1" applyBorder="1" applyAlignment="1">
      <alignment horizontal="center" vertical="center" wrapText="1"/>
    </xf>
    <xf numFmtId="57" fontId="6" fillId="2" borderId="1" xfId="0" applyNumberFormat="1" applyFont="1" applyFill="1" applyBorder="1" applyAlignment="1">
      <alignment horizontal="center" vertical="center"/>
    </xf>
    <xf numFmtId="0" fontId="6" fillId="0" borderId="0" xfId="5" applyFont="1" applyAlignment="1">
      <alignment horizontal="center" vertical="center" wrapText="1"/>
    </xf>
    <xf numFmtId="0" fontId="7" fillId="0" borderId="0" xfId="5" applyFont="1"/>
    <xf numFmtId="0" fontId="6" fillId="0" borderId="0" xfId="5" applyFont="1" applyAlignment="1">
      <alignment horizontal="right"/>
    </xf>
    <xf numFmtId="49" fontId="7" fillId="0" borderId="2" xfId="5" applyNumberFormat="1" applyFont="1" applyBorder="1"/>
    <xf numFmtId="57" fontId="6" fillId="0" borderId="0" xfId="5" applyNumberFormat="1" applyFont="1" applyAlignment="1">
      <alignment horizontal="center" vertical="center" wrapText="1"/>
    </xf>
    <xf numFmtId="0" fontId="6" fillId="2" borderId="3" xfId="15" applyFont="1" applyFill="1" applyBorder="1" applyAlignment="1">
      <alignment horizontal="center" vertical="center" wrapText="1"/>
    </xf>
    <xf numFmtId="57" fontId="6" fillId="2" borderId="3" xfId="0" applyNumberFormat="1" applyFont="1" applyFill="1" applyBorder="1" applyAlignment="1">
      <alignment horizontal="center" vertical="center"/>
    </xf>
    <xf numFmtId="38" fontId="6" fillId="0" borderId="0" xfId="2" applyFont="1" applyFill="1" applyBorder="1" applyAlignment="1">
      <alignment horizontal="right" vertical="center" wrapText="1"/>
    </xf>
    <xf numFmtId="0" fontId="6" fillId="0" borderId="0" xfId="5" applyFont="1" applyAlignment="1">
      <alignment horizontal="right" vertical="center"/>
    </xf>
    <xf numFmtId="0" fontId="6" fillId="0" borderId="4" xfId="5" applyFont="1" applyBorder="1" applyAlignment="1">
      <alignment horizontal="right" vertical="center"/>
    </xf>
    <xf numFmtId="0" fontId="6" fillId="0" borderId="0" xfId="5" applyFont="1"/>
    <xf numFmtId="0" fontId="7" fillId="0" borderId="0" xfId="17" applyFont="1"/>
    <xf numFmtId="0" fontId="6" fillId="0" borderId="0" xfId="17" applyFont="1"/>
    <xf numFmtId="49" fontId="6" fillId="0" borderId="2" xfId="5" applyNumberFormat="1" applyFont="1" applyBorder="1" applyAlignment="1">
      <alignment horizontal="right"/>
    </xf>
    <xf numFmtId="0" fontId="6" fillId="0" borderId="0" xfId="17" applyFont="1" applyAlignment="1">
      <alignment horizontal="right"/>
    </xf>
    <xf numFmtId="37" fontId="7" fillId="0" borderId="2" xfId="0" applyFont="1" applyBorder="1"/>
    <xf numFmtId="49" fontId="6" fillId="0" borderId="2" xfId="5" applyNumberFormat="1" applyFont="1" applyBorder="1"/>
    <xf numFmtId="37" fontId="7" fillId="0" borderId="2" xfId="0" applyFont="1" applyBorder="1" applyAlignment="1">
      <alignment horizontal="left"/>
    </xf>
    <xf numFmtId="176" fontId="7" fillId="0" borderId="2" xfId="17" applyNumberFormat="1" applyFont="1" applyBorder="1" applyAlignment="1">
      <alignment horizontal="left"/>
    </xf>
    <xf numFmtId="0" fontId="7" fillId="0" borderId="2" xfId="5" applyFont="1" applyBorder="1"/>
    <xf numFmtId="176" fontId="7" fillId="0" borderId="2" xfId="17" applyNumberFormat="1" applyFont="1" applyBorder="1"/>
    <xf numFmtId="0" fontId="6" fillId="0" borderId="5" xfId="17" applyFont="1" applyBorder="1"/>
    <xf numFmtId="38" fontId="6" fillId="0" borderId="5" xfId="2" applyFont="1" applyFill="1" applyBorder="1" applyProtection="1"/>
    <xf numFmtId="38" fontId="6" fillId="0" borderId="5" xfId="2" applyFont="1" applyFill="1" applyBorder="1"/>
    <xf numFmtId="49" fontId="6" fillId="0" borderId="6" xfId="5" applyNumberFormat="1" applyFont="1" applyBorder="1"/>
    <xf numFmtId="38" fontId="6" fillId="0" borderId="0" xfId="2" applyFont="1" applyFill="1" applyBorder="1" applyAlignment="1" applyProtection="1">
      <alignment horizontal="left"/>
    </xf>
    <xf numFmtId="37" fontId="6" fillId="0" borderId="0" xfId="0" applyFont="1" applyProtection="1">
      <protection locked="0"/>
    </xf>
    <xf numFmtId="37" fontId="7" fillId="0" borderId="0" xfId="0" applyFont="1"/>
    <xf numFmtId="0" fontId="6" fillId="0" borderId="5" xfId="5" applyFont="1" applyBorder="1"/>
    <xf numFmtId="0" fontId="6" fillId="0" borderId="5" xfId="5" applyFont="1" applyBorder="1" applyAlignment="1">
      <alignment horizontal="right"/>
    </xf>
    <xf numFmtId="3" fontId="6" fillId="0" borderId="0" xfId="5" applyNumberFormat="1" applyFont="1"/>
    <xf numFmtId="0" fontId="6" fillId="0" borderId="2" xfId="5" applyFont="1" applyBorder="1"/>
    <xf numFmtId="3" fontId="6" fillId="0" borderId="0" xfId="2" applyNumberFormat="1" applyFont="1" applyFill="1" applyBorder="1" applyProtection="1"/>
    <xf numFmtId="3" fontId="6" fillId="0" borderId="0" xfId="2" applyNumberFormat="1" applyFont="1" applyFill="1" applyBorder="1" applyProtection="1">
      <protection locked="0"/>
    </xf>
    <xf numFmtId="3" fontId="6" fillId="0" borderId="0" xfId="2" applyNumberFormat="1" applyFont="1" applyFill="1" applyBorder="1" applyAlignment="1"/>
    <xf numFmtId="3" fontId="6" fillId="0" borderId="0" xfId="2" applyNumberFormat="1" applyFont="1" applyFill="1" applyBorder="1" applyAlignment="1" applyProtection="1"/>
    <xf numFmtId="3" fontId="6" fillId="0" borderId="0" xfId="0" applyNumberFormat="1" applyFont="1"/>
    <xf numFmtId="3" fontId="6" fillId="0" borderId="0" xfId="2" applyNumberFormat="1" applyFont="1" applyFill="1" applyBorder="1" applyAlignment="1" applyProtection="1">
      <alignment horizontal="right"/>
      <protection locked="0"/>
    </xf>
    <xf numFmtId="57" fontId="6" fillId="2" borderId="7" xfId="0" applyNumberFormat="1" applyFont="1" applyFill="1" applyBorder="1" applyAlignment="1">
      <alignment horizontal="center" vertical="center"/>
    </xf>
    <xf numFmtId="0" fontId="6" fillId="2" borderId="7" xfId="15" applyFont="1" applyFill="1" applyBorder="1" applyAlignment="1">
      <alignment horizontal="center" vertical="center" wrapText="1"/>
    </xf>
    <xf numFmtId="0" fontId="6" fillId="0" borderId="0" xfId="5" applyFont="1" applyAlignment="1">
      <alignment horizontal="center"/>
    </xf>
    <xf numFmtId="38" fontId="6" fillId="0" borderId="0" xfId="2" applyFont="1" applyBorder="1" applyAlignment="1" applyProtection="1">
      <alignment vertical="center"/>
    </xf>
    <xf numFmtId="3" fontId="6" fillId="0" borderId="0" xfId="0" applyNumberFormat="1" applyFont="1" applyAlignment="1">
      <alignment vertical="center"/>
    </xf>
    <xf numFmtId="3" fontId="6" fillId="0" borderId="0" xfId="7" applyNumberFormat="1" applyFont="1" applyAlignment="1">
      <alignment vertical="center"/>
    </xf>
    <xf numFmtId="37" fontId="6" fillId="0" borderId="0" xfId="0" applyFont="1" applyAlignment="1">
      <alignment vertical="center"/>
    </xf>
    <xf numFmtId="37" fontId="14" fillId="0" borderId="0" xfId="0" applyFont="1"/>
    <xf numFmtId="0" fontId="6" fillId="3" borderId="1" xfId="15" applyFont="1" applyFill="1" applyBorder="1" applyAlignment="1">
      <alignment horizontal="center" vertical="center" wrapText="1"/>
    </xf>
    <xf numFmtId="57" fontId="6" fillId="3" borderId="1" xfId="0" applyNumberFormat="1" applyFont="1" applyFill="1" applyBorder="1" applyAlignment="1">
      <alignment horizontal="center" vertical="center"/>
    </xf>
    <xf numFmtId="38" fontId="6" fillId="3" borderId="0" xfId="2" applyFont="1" applyFill="1" applyBorder="1" applyAlignment="1">
      <alignment horizontal="right" vertical="center" wrapText="1"/>
    </xf>
    <xf numFmtId="3" fontId="6" fillId="3" borderId="0" xfId="2" applyNumberFormat="1" applyFont="1" applyFill="1" applyBorder="1" applyProtection="1"/>
    <xf numFmtId="3" fontId="6" fillId="3" borderId="0" xfId="2" applyNumberFormat="1" applyFont="1" applyFill="1" applyBorder="1" applyProtection="1">
      <protection locked="0"/>
    </xf>
    <xf numFmtId="37" fontId="6" fillId="3" borderId="0" xfId="0" applyFont="1" applyFill="1" applyAlignment="1">
      <alignment vertical="center"/>
    </xf>
    <xf numFmtId="38" fontId="6" fillId="3" borderId="0" xfId="2" applyFont="1" applyFill="1" applyBorder="1" applyAlignment="1" applyProtection="1">
      <alignment horizontal="right" vertical="center"/>
    </xf>
    <xf numFmtId="37" fontId="16" fillId="3" borderId="0" xfId="0" applyFont="1" applyFill="1"/>
    <xf numFmtId="37" fontId="6" fillId="3" borderId="0" xfId="0" applyFont="1" applyFill="1" applyAlignment="1">
      <alignment horizontal="right" vertical="center"/>
    </xf>
    <xf numFmtId="38" fontId="6" fillId="3" borderId="5" xfId="2" applyFont="1" applyFill="1" applyBorder="1" applyProtection="1"/>
    <xf numFmtId="38" fontId="2" fillId="4" borderId="12" xfId="2" applyFont="1" applyFill="1" applyBorder="1" applyAlignment="1">
      <alignment horizontal="right" vertical="center"/>
    </xf>
    <xf numFmtId="38" fontId="2" fillId="4" borderId="13" xfId="2" applyFont="1" applyFill="1" applyBorder="1" applyAlignment="1">
      <alignment vertical="center"/>
    </xf>
    <xf numFmtId="38" fontId="2" fillId="4" borderId="0" xfId="2" applyFont="1" applyFill="1" applyBorder="1" applyAlignment="1">
      <alignment vertical="center"/>
    </xf>
    <xf numFmtId="38" fontId="2" fillId="4" borderId="3" xfId="2" applyFont="1" applyFill="1" applyBorder="1" applyAlignment="1">
      <alignment vertical="center"/>
    </xf>
    <xf numFmtId="38" fontId="2" fillId="4" borderId="14" xfId="2" applyFont="1" applyFill="1" applyBorder="1" applyAlignment="1">
      <alignment vertical="center"/>
    </xf>
    <xf numFmtId="37" fontId="1" fillId="0" borderId="0" xfId="0" applyFont="1"/>
    <xf numFmtId="38" fontId="2" fillId="4" borderId="0" xfId="2" applyFont="1" applyFill="1" applyAlignment="1">
      <alignment vertical="center"/>
    </xf>
    <xf numFmtId="38" fontId="2" fillId="4" borderId="15" xfId="2" applyFont="1" applyFill="1" applyBorder="1" applyAlignment="1">
      <alignment vertical="center"/>
    </xf>
    <xf numFmtId="38" fontId="2" fillId="4" borderId="12" xfId="2" applyFont="1" applyFill="1" applyBorder="1" applyAlignment="1">
      <alignment vertical="center"/>
    </xf>
    <xf numFmtId="38" fontId="2" fillId="4" borderId="16" xfId="2" applyFont="1" applyFill="1" applyBorder="1" applyAlignment="1">
      <alignment vertical="center"/>
    </xf>
    <xf numFmtId="38" fontId="2" fillId="4" borderId="5" xfId="2" applyFont="1" applyFill="1" applyBorder="1" applyAlignment="1">
      <alignment vertical="center"/>
    </xf>
    <xf numFmtId="38" fontId="2" fillId="4" borderId="17" xfId="2" applyFont="1" applyFill="1" applyBorder="1" applyAlignment="1">
      <alignment vertical="center"/>
    </xf>
    <xf numFmtId="37" fontId="1" fillId="0" borderId="0" xfId="0" applyFont="1" applyAlignment="1">
      <alignment vertical="center"/>
    </xf>
    <xf numFmtId="37" fontId="2" fillId="0" borderId="0" xfId="0" applyFont="1" applyAlignment="1">
      <alignment vertical="center"/>
    </xf>
    <xf numFmtId="37" fontId="2" fillId="0" borderId="0" xfId="0" applyFont="1" applyAlignment="1">
      <alignment horizontal="right" vertical="center"/>
    </xf>
    <xf numFmtId="37" fontId="2" fillId="0" borderId="0" xfId="0" applyFont="1"/>
    <xf numFmtId="38" fontId="2" fillId="0" borderId="0" xfId="2" applyFont="1"/>
    <xf numFmtId="37" fontId="2" fillId="0" borderId="0" xfId="0" applyFont="1" applyAlignment="1">
      <alignment horizontal="center" vertical="center"/>
    </xf>
    <xf numFmtId="37" fontId="1" fillId="0" borderId="0" xfId="0" applyFont="1" applyAlignment="1">
      <alignment horizontal="center" vertical="center"/>
    </xf>
    <xf numFmtId="177" fontId="2" fillId="0" borderId="0" xfId="2" applyNumberFormat="1" applyFont="1" applyBorder="1"/>
    <xf numFmtId="177" fontId="2" fillId="0" borderId="12" xfId="2" applyNumberFormat="1" applyFont="1" applyBorder="1"/>
    <xf numFmtId="177" fontId="2" fillId="0" borderId="5" xfId="2" applyNumberFormat="1" applyFont="1" applyBorder="1"/>
    <xf numFmtId="177" fontId="2" fillId="0" borderId="14" xfId="2" applyNumberFormat="1" applyFont="1" applyBorder="1"/>
    <xf numFmtId="178" fontId="2" fillId="0" borderId="12" xfId="0" applyNumberFormat="1" applyFont="1" applyBorder="1" applyAlignment="1">
      <alignment vertical="center"/>
    </xf>
    <xf numFmtId="37" fontId="2" fillId="0" borderId="14" xfId="0" applyFont="1" applyBorder="1" applyAlignment="1">
      <alignment vertical="center"/>
    </xf>
    <xf numFmtId="38" fontId="6" fillId="0" borderId="0" xfId="2" applyFont="1" applyFill="1" applyBorder="1" applyAlignment="1">
      <alignment horizontal="right"/>
    </xf>
    <xf numFmtId="0" fontId="1" fillId="0" borderId="0" xfId="5" applyFont="1"/>
    <xf numFmtId="49" fontId="1" fillId="0" borderId="0" xfId="5" applyNumberFormat="1" applyFont="1"/>
    <xf numFmtId="0" fontId="1" fillId="0" borderId="0" xfId="17" applyFont="1"/>
    <xf numFmtId="0" fontId="2" fillId="0" borderId="0" xfId="17" applyFont="1"/>
    <xf numFmtId="49" fontId="2" fillId="0" borderId="0" xfId="5" applyNumberFormat="1" applyFont="1"/>
    <xf numFmtId="37" fontId="1" fillId="0" borderId="0" xfId="0" applyFont="1" applyAlignment="1">
      <alignment horizontal="left"/>
    </xf>
    <xf numFmtId="0" fontId="2" fillId="0" borderId="0" xfId="5" applyFont="1"/>
    <xf numFmtId="176" fontId="1" fillId="0" borderId="0" xfId="17" applyNumberFormat="1" applyFont="1" applyAlignment="1">
      <alignment horizontal="left"/>
    </xf>
    <xf numFmtId="176" fontId="1" fillId="0" borderId="0" xfId="17" applyNumberFormat="1" applyFont="1"/>
    <xf numFmtId="37" fontId="15" fillId="0" borderId="0" xfId="0" applyFont="1"/>
    <xf numFmtId="49" fontId="1" fillId="0" borderId="2" xfId="5" applyNumberFormat="1" applyFont="1" applyBorder="1"/>
    <xf numFmtId="37" fontId="1" fillId="0" borderId="2" xfId="0" applyFont="1" applyBorder="1"/>
    <xf numFmtId="49" fontId="2" fillId="0" borderId="2" xfId="5" applyNumberFormat="1" applyFont="1" applyBorder="1"/>
    <xf numFmtId="37" fontId="1" fillId="0" borderId="2" xfId="0" applyFont="1" applyBorder="1" applyAlignment="1">
      <alignment horizontal="left"/>
    </xf>
    <xf numFmtId="0" fontId="2" fillId="0" borderId="2" xfId="5" applyFont="1" applyBorder="1"/>
    <xf numFmtId="176" fontId="1" fillId="0" borderId="2" xfId="17" applyNumberFormat="1" applyFont="1" applyBorder="1" applyAlignment="1">
      <alignment horizontal="left"/>
    </xf>
    <xf numFmtId="0" fontId="1" fillId="0" borderId="2" xfId="5" applyFont="1" applyBorder="1"/>
    <xf numFmtId="176" fontId="1" fillId="0" borderId="2" xfId="17" applyNumberFormat="1" applyFont="1" applyBorder="1"/>
    <xf numFmtId="177" fontId="22" fillId="0" borderId="0" xfId="0" applyNumberFormat="1" applyFont="1"/>
    <xf numFmtId="177" fontId="22" fillId="0" borderId="14" xfId="0" applyNumberFormat="1" applyFont="1" applyBorder="1"/>
    <xf numFmtId="177" fontId="22" fillId="0" borderId="0" xfId="0" applyNumberFormat="1" applyFont="1" applyAlignment="1">
      <alignment horizontal="right"/>
    </xf>
    <xf numFmtId="177" fontId="22" fillId="0" borderId="14" xfId="0" quotePrefix="1" applyNumberFormat="1" applyFont="1" applyBorder="1" applyAlignment="1">
      <alignment horizontal="center" vertical="center"/>
    </xf>
    <xf numFmtId="177" fontId="22" fillId="0" borderId="14" xfId="0" applyNumberFormat="1" applyFont="1" applyBorder="1" applyAlignment="1">
      <alignment horizontal="center" vertical="center"/>
    </xf>
    <xf numFmtId="177" fontId="22" fillId="0" borderId="14" xfId="0" quotePrefix="1" applyNumberFormat="1" applyFont="1" applyBorder="1" applyAlignment="1">
      <alignment horizontal="left"/>
    </xf>
    <xf numFmtId="177" fontId="22" fillId="0" borderId="14" xfId="0" quotePrefix="1" applyNumberFormat="1" applyFont="1" applyBorder="1" applyAlignment="1">
      <alignment horizontal="center"/>
    </xf>
    <xf numFmtId="177" fontId="22" fillId="0" borderId="14" xfId="0" applyNumberFormat="1" applyFont="1" applyBorder="1" applyAlignment="1">
      <alignment horizontal="center"/>
    </xf>
    <xf numFmtId="177" fontId="22" fillId="0" borderId="0" xfId="13" applyNumberFormat="1" applyFont="1"/>
    <xf numFmtId="177" fontId="22" fillId="0" borderId="0" xfId="12" applyNumberFormat="1" applyFont="1"/>
    <xf numFmtId="177" fontId="22" fillId="0" borderId="0" xfId="11" applyNumberFormat="1" applyFont="1"/>
    <xf numFmtId="177" fontId="22" fillId="0" borderId="0" xfId="10" applyNumberFormat="1" applyFont="1"/>
    <xf numFmtId="177" fontId="22" fillId="0" borderId="14" xfId="0" quotePrefix="1" applyNumberFormat="1" applyFont="1" applyBorder="1" applyAlignment="1">
      <alignment horizontal="center" vertical="center" wrapText="1"/>
    </xf>
    <xf numFmtId="177" fontId="22" fillId="0" borderId="14" xfId="0" applyNumberFormat="1" applyFont="1" applyBorder="1" applyAlignment="1">
      <alignment horizontal="center" vertical="center" wrapText="1"/>
    </xf>
    <xf numFmtId="177" fontId="22" fillId="0" borderId="0" xfId="13" applyNumberFormat="1" applyFont="1" applyAlignment="1">
      <alignment horizontal="left"/>
    </xf>
    <xf numFmtId="177" fontId="22" fillId="0" borderId="0" xfId="10" applyNumberFormat="1" applyFont="1" applyAlignment="1">
      <alignment horizontal="left"/>
    </xf>
    <xf numFmtId="177" fontId="22" fillId="0" borderId="0" xfId="13" quotePrefix="1" applyNumberFormat="1" applyFont="1" applyAlignment="1">
      <alignment horizontal="left"/>
    </xf>
    <xf numFmtId="177" fontId="22" fillId="3" borderId="14" xfId="0" applyNumberFormat="1" applyFont="1" applyFill="1" applyBorder="1"/>
    <xf numFmtId="177" fontId="22" fillId="3" borderId="0" xfId="0" applyNumberFormat="1" applyFont="1" applyFill="1"/>
    <xf numFmtId="177" fontId="22" fillId="3" borderId="14" xfId="0" applyNumberFormat="1" applyFont="1" applyFill="1" applyBorder="1" applyAlignment="1">
      <alignment horizontal="center" vertical="center" wrapText="1"/>
    </xf>
    <xf numFmtId="177" fontId="22" fillId="3" borderId="0" xfId="0" applyNumberFormat="1" applyFont="1" applyFill="1" applyAlignment="1">
      <alignment horizontal="right"/>
    </xf>
    <xf numFmtId="177" fontId="23" fillId="0" borderId="0" xfId="0" applyNumberFormat="1" applyFont="1"/>
    <xf numFmtId="177" fontId="23" fillId="0" borderId="0" xfId="10" applyNumberFormat="1" applyFont="1"/>
    <xf numFmtId="0" fontId="1" fillId="0" borderId="12" xfId="5" applyFont="1" applyBorder="1"/>
    <xf numFmtId="37" fontId="1" fillId="0" borderId="12" xfId="0" applyFont="1" applyBorder="1"/>
    <xf numFmtId="0" fontId="2" fillId="0" borderId="12" xfId="5" applyFont="1" applyBorder="1"/>
    <xf numFmtId="37" fontId="2" fillId="0" borderId="12" xfId="0" applyFont="1" applyBorder="1"/>
    <xf numFmtId="0" fontId="2" fillId="0" borderId="5" xfId="5" applyFont="1" applyBorder="1"/>
    <xf numFmtId="37" fontId="2" fillId="0" borderId="5" xfId="0" applyFont="1" applyBorder="1"/>
    <xf numFmtId="38" fontId="2" fillId="0" borderId="0" xfId="2" applyFont="1" applyBorder="1"/>
    <xf numFmtId="177" fontId="22" fillId="3" borderId="0" xfId="10" applyNumberFormat="1" applyFont="1" applyFill="1"/>
    <xf numFmtId="0" fontId="23" fillId="0" borderId="0" xfId="5" applyFont="1"/>
    <xf numFmtId="0" fontId="22" fillId="0" borderId="0" xfId="5" applyFont="1" applyAlignment="1">
      <alignment horizontal="center"/>
    </xf>
    <xf numFmtId="0" fontId="22" fillId="4" borderId="12" xfId="0" applyNumberFormat="1" applyFont="1" applyFill="1" applyBorder="1" applyAlignment="1">
      <alignment horizontal="center" vertical="center" wrapText="1"/>
    </xf>
    <xf numFmtId="0" fontId="22" fillId="0" borderId="12" xfId="0" applyNumberFormat="1" applyFont="1" applyBorder="1" applyAlignment="1">
      <alignment horizontal="center" vertical="center" wrapText="1"/>
    </xf>
    <xf numFmtId="0" fontId="24" fillId="5" borderId="0" xfId="15" applyFont="1" applyFill="1" applyAlignment="1">
      <alignment horizontal="center" vertical="center" wrapText="1"/>
    </xf>
    <xf numFmtId="0" fontId="24" fillId="4" borderId="0" xfId="15" applyFont="1" applyFill="1" applyAlignment="1">
      <alignment horizontal="center" vertical="center" wrapText="1"/>
    </xf>
    <xf numFmtId="0" fontId="22" fillId="4" borderId="0" xfId="15" applyFont="1" applyFill="1" applyAlignment="1">
      <alignment horizontal="center" vertical="center" wrapText="1"/>
    </xf>
    <xf numFmtId="0" fontId="22" fillId="0" borderId="0" xfId="5" applyFont="1" applyAlignment="1">
      <alignment horizontal="center" vertical="center" wrapText="1"/>
    </xf>
    <xf numFmtId="0" fontId="22" fillId="0" borderId="0" xfId="15" applyFont="1" applyAlignment="1">
      <alignment horizontal="center" vertical="center" wrapText="1"/>
    </xf>
    <xf numFmtId="0" fontId="24" fillId="5" borderId="5" xfId="15" applyFont="1" applyFill="1" applyBorder="1" applyAlignment="1">
      <alignment horizontal="center" vertical="center" wrapText="1"/>
    </xf>
    <xf numFmtId="0" fontId="24" fillId="4" borderId="5" xfId="15" applyFont="1" applyFill="1" applyBorder="1" applyAlignment="1">
      <alignment horizontal="center" vertical="center" wrapText="1"/>
    </xf>
    <xf numFmtId="0" fontId="24" fillId="0" borderId="5" xfId="15" applyFont="1" applyBorder="1" applyAlignment="1">
      <alignment horizontal="center" vertical="center" wrapText="1"/>
    </xf>
    <xf numFmtId="38" fontId="22" fillId="0" borderId="0" xfId="2" applyFont="1" applyBorder="1" applyProtection="1"/>
    <xf numFmtId="38" fontId="22" fillId="0" borderId="0" xfId="2" applyFont="1" applyBorder="1" applyAlignment="1" applyProtection="1">
      <alignment horizontal="right"/>
    </xf>
    <xf numFmtId="38" fontId="22" fillId="0" borderId="0" xfId="2" applyFont="1" applyFill="1" applyBorder="1" applyAlignment="1" applyProtection="1">
      <alignment horizontal="right"/>
    </xf>
    <xf numFmtId="0" fontId="23" fillId="0" borderId="0" xfId="17" applyFont="1"/>
    <xf numFmtId="38" fontId="22" fillId="0" borderId="0" xfId="2" applyFont="1" applyBorder="1" applyProtection="1">
      <protection locked="0"/>
    </xf>
    <xf numFmtId="38" fontId="22" fillId="0" borderId="0" xfId="2" applyFont="1" applyBorder="1" applyAlignment="1" applyProtection="1">
      <alignment horizontal="right"/>
      <protection locked="0"/>
    </xf>
    <xf numFmtId="38" fontId="22" fillId="0" borderId="0" xfId="2" applyFont="1" applyFill="1" applyBorder="1" applyAlignment="1" applyProtection="1">
      <alignment horizontal="right"/>
      <protection locked="0"/>
    </xf>
    <xf numFmtId="38" fontId="22" fillId="0" borderId="0" xfId="2" applyFont="1" applyBorder="1" applyAlignment="1">
      <alignment horizontal="right"/>
    </xf>
    <xf numFmtId="38" fontId="22" fillId="0" borderId="0" xfId="2" applyFont="1" applyFill="1" applyBorder="1" applyAlignment="1">
      <alignment horizontal="right"/>
    </xf>
    <xf numFmtId="0" fontId="22" fillId="0" borderId="0" xfId="17" applyFont="1"/>
    <xf numFmtId="37" fontId="22" fillId="0" borderId="0" xfId="0" applyFont="1"/>
    <xf numFmtId="0" fontId="22" fillId="0" borderId="0" xfId="5" applyFont="1"/>
    <xf numFmtId="38" fontId="22" fillId="0" borderId="0" xfId="2" applyFont="1" applyFill="1" applyBorder="1" applyAlignment="1" applyProtection="1">
      <protection locked="0"/>
    </xf>
    <xf numFmtId="38" fontId="22" fillId="0" borderId="0" xfId="2" applyFont="1" applyFill="1" applyBorder="1" applyProtection="1">
      <protection locked="0"/>
    </xf>
    <xf numFmtId="37" fontId="22" fillId="0" borderId="0" xfId="0" applyFont="1" applyAlignment="1">
      <alignment horizontal="center" vertical="center" wrapText="1"/>
    </xf>
    <xf numFmtId="38" fontId="22" fillId="0" borderId="0" xfId="2" applyFont="1" applyBorder="1" applyAlignment="1" applyProtection="1">
      <alignment vertical="center"/>
      <protection locked="0"/>
    </xf>
    <xf numFmtId="38" fontId="22" fillId="0" borderId="0" xfId="2" applyFont="1" applyBorder="1" applyAlignment="1" applyProtection="1">
      <alignment horizontal="right" vertical="center"/>
      <protection locked="0"/>
    </xf>
    <xf numFmtId="38" fontId="22" fillId="0" borderId="0" xfId="2" applyFont="1" applyBorder="1" applyAlignment="1" applyProtection="1">
      <protection locked="0"/>
    </xf>
    <xf numFmtId="37" fontId="23" fillId="0" borderId="0" xfId="0" applyFont="1"/>
    <xf numFmtId="37" fontId="22" fillId="0" borderId="0" xfId="0" applyFont="1" applyAlignment="1">
      <alignment horizontal="center"/>
    </xf>
    <xf numFmtId="49" fontId="23" fillId="0" borderId="0" xfId="5" applyNumberFormat="1" applyFont="1"/>
    <xf numFmtId="49" fontId="22" fillId="0" borderId="0" xfId="5" applyNumberFormat="1" applyFont="1"/>
    <xf numFmtId="37" fontId="23" fillId="0" borderId="0" xfId="0" applyFont="1" applyAlignment="1">
      <alignment horizontal="left"/>
    </xf>
    <xf numFmtId="176" fontId="23" fillId="0" borderId="0" xfId="17" applyNumberFormat="1" applyFont="1" applyAlignment="1">
      <alignment horizontal="left"/>
    </xf>
    <xf numFmtId="176" fontId="22" fillId="0" borderId="0" xfId="17" applyNumberFormat="1" applyFont="1"/>
    <xf numFmtId="176" fontId="23" fillId="0" borderId="0" xfId="17" applyNumberFormat="1" applyFont="1"/>
    <xf numFmtId="0" fontId="22" fillId="3" borderId="12" xfId="0" applyNumberFormat="1" applyFont="1" applyFill="1" applyBorder="1" applyAlignment="1">
      <alignment horizontal="center" vertical="center" wrapText="1"/>
    </xf>
    <xf numFmtId="0" fontId="22" fillId="3" borderId="0" xfId="15" applyFont="1" applyFill="1" applyAlignment="1">
      <alignment horizontal="center" vertical="center" wrapText="1"/>
    </xf>
    <xf numFmtId="0" fontId="24" fillId="3" borderId="5" xfId="15" applyFont="1" applyFill="1" applyBorder="1" applyAlignment="1">
      <alignment horizontal="center" vertical="center" wrapText="1"/>
    </xf>
    <xf numFmtId="38" fontId="22" fillId="3" borderId="0" xfId="2" applyFont="1" applyFill="1" applyBorder="1" applyAlignment="1" applyProtection="1">
      <alignment horizontal="right"/>
    </xf>
    <xf numFmtId="37" fontId="22" fillId="3" borderId="12" xfId="0" applyFont="1" applyFill="1" applyBorder="1"/>
    <xf numFmtId="37" fontId="22" fillId="3" borderId="5" xfId="0" applyFont="1" applyFill="1" applyBorder="1"/>
    <xf numFmtId="37" fontId="22" fillId="3" borderId="0" xfId="0" applyFont="1" applyFill="1"/>
    <xf numFmtId="0" fontId="24" fillId="6" borderId="0" xfId="15" applyFont="1" applyFill="1" applyAlignment="1">
      <alignment horizontal="center" vertical="center" wrapText="1"/>
    </xf>
    <xf numFmtId="0" fontId="24" fillId="6" borderId="5" xfId="15" applyFont="1" applyFill="1" applyBorder="1" applyAlignment="1">
      <alignment horizontal="center" vertical="center" wrapText="1"/>
    </xf>
    <xf numFmtId="38" fontId="22" fillId="3" borderId="0" xfId="2" applyFont="1" applyFill="1" applyBorder="1" applyProtection="1"/>
    <xf numFmtId="0" fontId="24" fillId="3" borderId="0" xfId="15" applyFont="1" applyFill="1" applyAlignment="1">
      <alignment horizontal="center" vertical="center" wrapText="1"/>
    </xf>
    <xf numFmtId="177" fontId="22" fillId="0" borderId="12" xfId="0" quotePrefix="1" applyNumberFormat="1" applyFont="1" applyBorder="1" applyAlignment="1">
      <alignment horizontal="left"/>
    </xf>
    <xf numFmtId="177" fontId="22" fillId="0" borderId="12" xfId="0" applyNumberFormat="1" applyFont="1" applyBorder="1" applyAlignment="1">
      <alignment horizontal="center"/>
    </xf>
    <xf numFmtId="177" fontId="22" fillId="3" borderId="12" xfId="0" applyNumberFormat="1" applyFont="1" applyFill="1" applyBorder="1"/>
    <xf numFmtId="37" fontId="0" fillId="0" borderId="12" xfId="0" applyBorder="1"/>
    <xf numFmtId="177" fontId="22" fillId="0" borderId="5" xfId="0" quotePrefix="1" applyNumberFormat="1" applyFont="1" applyBorder="1" applyAlignment="1">
      <alignment horizontal="left"/>
    </xf>
    <xf numFmtId="177" fontId="22" fillId="0" borderId="5" xfId="0" quotePrefix="1" applyNumberFormat="1" applyFont="1" applyBorder="1" applyAlignment="1">
      <alignment horizontal="center"/>
    </xf>
    <xf numFmtId="177" fontId="22" fillId="0" borderId="5" xfId="0" applyNumberFormat="1" applyFont="1" applyBorder="1" applyAlignment="1">
      <alignment horizontal="center"/>
    </xf>
    <xf numFmtId="177" fontId="22" fillId="3" borderId="5" xfId="0" applyNumberFormat="1" applyFont="1" applyFill="1" applyBorder="1"/>
    <xf numFmtId="37" fontId="0" fillId="0" borderId="5" xfId="0" applyBorder="1"/>
    <xf numFmtId="177" fontId="22" fillId="3" borderId="0" xfId="13" applyNumberFormat="1" applyFont="1" applyFill="1"/>
    <xf numFmtId="38" fontId="2" fillId="0" borderId="5" xfId="5" applyNumberFormat="1" applyFont="1" applyBorder="1"/>
    <xf numFmtId="37" fontId="2" fillId="3" borderId="5" xfId="0" applyFont="1" applyFill="1" applyBorder="1"/>
    <xf numFmtId="38" fontId="2" fillId="3" borderId="0" xfId="2" applyFont="1" applyFill="1"/>
    <xf numFmtId="38" fontId="2" fillId="7" borderId="0" xfId="2" applyFont="1" applyFill="1"/>
    <xf numFmtId="38" fontId="2" fillId="3" borderId="0" xfId="2" applyFont="1" applyFill="1" applyBorder="1"/>
    <xf numFmtId="38" fontId="2" fillId="7" borderId="0" xfId="2" applyFont="1" applyFill="1" applyBorder="1"/>
    <xf numFmtId="37" fontId="2" fillId="3" borderId="0" xfId="0" applyFont="1" applyFill="1"/>
    <xf numFmtId="49" fontId="2" fillId="0" borderId="5" xfId="5" applyNumberFormat="1" applyFont="1" applyBorder="1"/>
    <xf numFmtId="49" fontId="2" fillId="0" borderId="6" xfId="5" applyNumberFormat="1" applyFont="1" applyBorder="1"/>
    <xf numFmtId="49" fontId="1" fillId="0" borderId="12" xfId="5" applyNumberFormat="1" applyFont="1" applyBorder="1"/>
    <xf numFmtId="0" fontId="2" fillId="0" borderId="5" xfId="17" applyFont="1" applyBorder="1"/>
    <xf numFmtId="49" fontId="1" fillId="0" borderId="4" xfId="5" applyNumberFormat="1" applyFont="1" applyBorder="1"/>
    <xf numFmtId="38" fontId="2" fillId="3" borderId="12" xfId="2" applyFont="1" applyFill="1" applyBorder="1"/>
    <xf numFmtId="38" fontId="2" fillId="0" borderId="12" xfId="2" applyFont="1" applyBorder="1"/>
    <xf numFmtId="38" fontId="2" fillId="3" borderId="5" xfId="2" applyFont="1" applyFill="1" applyBorder="1"/>
    <xf numFmtId="38" fontId="2" fillId="0" borderId="5" xfId="2" applyFont="1" applyBorder="1"/>
    <xf numFmtId="177" fontId="22" fillId="0" borderId="12" xfId="13" applyNumberFormat="1" applyFont="1" applyBorder="1" applyAlignment="1">
      <alignment horizontal="left"/>
    </xf>
    <xf numFmtId="177" fontId="22" fillId="0" borderId="12" xfId="13" applyNumberFormat="1" applyFont="1" applyBorder="1"/>
    <xf numFmtId="177" fontId="22" fillId="3" borderId="12" xfId="13" applyNumberFormat="1" applyFont="1" applyFill="1" applyBorder="1"/>
    <xf numFmtId="177" fontId="22" fillId="0" borderId="5" xfId="13" applyNumberFormat="1" applyFont="1" applyBorder="1"/>
    <xf numFmtId="177" fontId="22" fillId="3" borderId="5" xfId="13" applyNumberFormat="1" applyFont="1" applyFill="1" applyBorder="1"/>
    <xf numFmtId="177" fontId="22" fillId="0" borderId="12" xfId="0" applyNumberFormat="1" applyFont="1" applyBorder="1"/>
    <xf numFmtId="177" fontId="22" fillId="0" borderId="12" xfId="0" applyNumberFormat="1" applyFont="1" applyBorder="1" applyAlignment="1">
      <alignment horizontal="right"/>
    </xf>
    <xf numFmtId="177" fontId="22" fillId="0" borderId="5" xfId="0" applyNumberFormat="1" applyFont="1" applyBorder="1"/>
    <xf numFmtId="177" fontId="22" fillId="0" borderId="5" xfId="0" applyNumberFormat="1" applyFont="1" applyBorder="1" applyAlignment="1">
      <alignment horizontal="right"/>
    </xf>
    <xf numFmtId="177" fontId="22" fillId="3" borderId="12" xfId="0" applyNumberFormat="1" applyFont="1" applyFill="1" applyBorder="1" applyAlignment="1">
      <alignment horizontal="right"/>
    </xf>
    <xf numFmtId="177" fontId="22" fillId="3" borderId="5" xfId="0" applyNumberFormat="1" applyFont="1" applyFill="1" applyBorder="1" applyAlignment="1">
      <alignment horizontal="right"/>
    </xf>
    <xf numFmtId="38" fontId="26" fillId="3" borderId="0" xfId="2" applyFont="1" applyFill="1" applyBorder="1" applyAlignment="1">
      <alignment horizontal="right" vertical="center"/>
    </xf>
    <xf numFmtId="38" fontId="26" fillId="3" borderId="22" xfId="2" applyFont="1" applyFill="1" applyBorder="1" applyAlignment="1">
      <alignment horizontal="right" vertical="center"/>
    </xf>
    <xf numFmtId="37" fontId="22" fillId="0" borderId="12" xfId="0" applyFont="1" applyBorder="1" applyAlignment="1">
      <alignment horizontal="center" vertical="center"/>
    </xf>
    <xf numFmtId="37" fontId="22" fillId="0" borderId="23" xfId="0" applyFont="1" applyBorder="1" applyAlignment="1">
      <alignment horizontal="center" vertical="center"/>
    </xf>
    <xf numFmtId="37" fontId="22" fillId="4" borderId="12" xfId="0" applyFont="1" applyFill="1" applyBorder="1" applyAlignment="1">
      <alignment horizontal="center" vertical="center"/>
    </xf>
    <xf numFmtId="37" fontId="22" fillId="0" borderId="5" xfId="0" applyFont="1" applyBorder="1" applyAlignment="1">
      <alignment horizontal="center" vertical="center"/>
    </xf>
    <xf numFmtId="37" fontId="22" fillId="0" borderId="24" xfId="0" applyFont="1" applyBorder="1" applyAlignment="1">
      <alignment horizontal="center" vertical="center"/>
    </xf>
    <xf numFmtId="37" fontId="22" fillId="0" borderId="5" xfId="0" applyFont="1" applyBorder="1" applyAlignment="1">
      <alignment horizontal="center"/>
    </xf>
    <xf numFmtId="37" fontId="22" fillId="0" borderId="5" xfId="0" applyFont="1" applyBorder="1" applyAlignment="1">
      <alignment vertical="center"/>
    </xf>
    <xf numFmtId="38" fontId="2" fillId="8" borderId="0" xfId="2" applyFont="1" applyFill="1"/>
    <xf numFmtId="38" fontId="2" fillId="0" borderId="0" xfId="2" applyFont="1" applyAlignment="1"/>
    <xf numFmtId="37" fontId="26" fillId="0" borderId="0" xfId="0" applyFont="1" applyAlignment="1">
      <alignment horizontal="center" vertical="center"/>
    </xf>
    <xf numFmtId="37" fontId="26" fillId="0" borderId="20" xfId="0" applyFont="1" applyBorder="1" applyAlignment="1">
      <alignment horizontal="center" vertical="center"/>
    </xf>
    <xf numFmtId="37" fontId="26" fillId="4" borderId="0" xfId="0" applyFont="1" applyFill="1" applyAlignment="1">
      <alignment horizontal="center" vertical="center"/>
    </xf>
    <xf numFmtId="37" fontId="26" fillId="0" borderId="0" xfId="0" applyFont="1" applyAlignment="1">
      <alignment horizontal="right" vertical="center"/>
    </xf>
    <xf numFmtId="37" fontId="26" fillId="0" borderId="12" xfId="0" applyFont="1" applyBorder="1" applyAlignment="1">
      <alignment horizontal="center" vertical="center"/>
    </xf>
    <xf numFmtId="37" fontId="26" fillId="0" borderId="23" xfId="0" applyFont="1" applyBorder="1" applyAlignment="1">
      <alignment horizontal="center" vertical="center"/>
    </xf>
    <xf numFmtId="37" fontId="26" fillId="4" borderId="12" xfId="0" applyFont="1" applyFill="1" applyBorder="1" applyAlignment="1">
      <alignment horizontal="center" vertical="center"/>
    </xf>
    <xf numFmtId="37" fontId="26" fillId="0" borderId="0" xfId="0" applyFont="1"/>
    <xf numFmtId="37" fontId="26" fillId="0" borderId="0" xfId="0" applyFont="1" applyAlignment="1">
      <alignment vertical="center"/>
    </xf>
    <xf numFmtId="37" fontId="26" fillId="0" borderId="20" xfId="0" applyFont="1" applyBorder="1" applyAlignment="1">
      <alignment horizontal="distributed" vertical="center"/>
    </xf>
    <xf numFmtId="38" fontId="26" fillId="0" borderId="0" xfId="2" applyFont="1" applyFill="1" applyBorder="1" applyAlignment="1">
      <alignment vertical="center"/>
    </xf>
    <xf numFmtId="37" fontId="26" fillId="3" borderId="0" xfId="0" applyFont="1" applyFill="1" applyAlignment="1">
      <alignment horizontal="center" vertical="center"/>
    </xf>
    <xf numFmtId="37" fontId="26" fillId="3" borderId="20" xfId="0" applyFont="1" applyFill="1" applyBorder="1" applyAlignment="1">
      <alignment horizontal="distributed" vertical="center"/>
    </xf>
    <xf numFmtId="38" fontId="26" fillId="3" borderId="0" xfId="2" applyFont="1" applyFill="1" applyBorder="1" applyAlignment="1">
      <alignment vertical="center"/>
    </xf>
    <xf numFmtId="37" fontId="26" fillId="3" borderId="21" xfId="0" applyFont="1" applyFill="1" applyBorder="1" applyAlignment="1">
      <alignment horizontal="center" vertical="center"/>
    </xf>
    <xf numFmtId="37" fontId="26" fillId="3" borderId="22" xfId="0" applyFont="1" applyFill="1" applyBorder="1" applyAlignment="1">
      <alignment horizontal="distributed" vertical="center"/>
    </xf>
    <xf numFmtId="37" fontId="26" fillId="4" borderId="20" xfId="0" applyFont="1" applyFill="1" applyBorder="1" applyAlignment="1">
      <alignment horizontal="distributed" vertical="center"/>
    </xf>
    <xf numFmtId="38" fontId="26" fillId="4" borderId="0" xfId="2" applyFont="1" applyFill="1" applyBorder="1" applyAlignment="1">
      <alignment vertical="center"/>
    </xf>
    <xf numFmtId="0" fontId="26" fillId="0" borderId="0" xfId="8" applyFont="1" applyAlignment="1">
      <alignment horizontal="center" vertical="center"/>
    </xf>
    <xf numFmtId="0" fontId="26" fillId="0" borderId="20" xfId="8" applyFont="1" applyBorder="1" applyAlignment="1">
      <alignment horizontal="distributed" vertical="center"/>
    </xf>
    <xf numFmtId="0" fontId="26" fillId="3" borderId="0" xfId="8" applyFont="1" applyFill="1" applyAlignment="1">
      <alignment horizontal="center" vertical="center"/>
    </xf>
    <xf numFmtId="0" fontId="26" fillId="3" borderId="20" xfId="8" applyFont="1" applyFill="1" applyBorder="1" applyAlignment="1">
      <alignment horizontal="distributed" vertical="center"/>
    </xf>
    <xf numFmtId="37" fontId="2" fillId="8" borderId="0" xfId="0" applyFont="1" applyFill="1"/>
    <xf numFmtId="38" fontId="26" fillId="8" borderId="0" xfId="2" applyFont="1" applyFill="1" applyBorder="1" applyAlignment="1">
      <alignment vertical="center"/>
    </xf>
    <xf numFmtId="38" fontId="26" fillId="4" borderId="0" xfId="2" applyFont="1" applyFill="1" applyBorder="1" applyAlignment="1">
      <alignment horizontal="right" vertical="center"/>
    </xf>
    <xf numFmtId="37" fontId="2" fillId="7" borderId="0" xfId="0" applyFont="1" applyFill="1"/>
    <xf numFmtId="37" fontId="2" fillId="0" borderId="5" xfId="0" applyFont="1" applyBorder="1" applyAlignment="1">
      <alignment vertical="center"/>
    </xf>
    <xf numFmtId="37" fontId="1" fillId="0" borderId="5" xfId="0" applyFont="1" applyBorder="1" applyAlignment="1">
      <alignment horizontal="center" vertical="center"/>
    </xf>
    <xf numFmtId="37" fontId="27" fillId="0" borderId="0" xfId="0" applyFont="1" applyAlignment="1">
      <alignment vertical="center"/>
    </xf>
    <xf numFmtId="38" fontId="28" fillId="4" borderId="0" xfId="2" applyFont="1" applyFill="1" applyAlignment="1">
      <alignment vertical="center"/>
    </xf>
    <xf numFmtId="38" fontId="26" fillId="4" borderId="0" xfId="2" applyFont="1" applyFill="1" applyAlignment="1">
      <alignment vertical="center"/>
    </xf>
    <xf numFmtId="38" fontId="27" fillId="4" borderId="0" xfId="2" applyFont="1" applyFill="1" applyAlignment="1">
      <alignment vertical="center"/>
    </xf>
    <xf numFmtId="38" fontId="26" fillId="4" borderId="25" xfId="2" applyFont="1" applyFill="1" applyBorder="1" applyAlignment="1">
      <alignment vertical="center"/>
    </xf>
    <xf numFmtId="38" fontId="26" fillId="4" borderId="26" xfId="2" applyFont="1" applyFill="1" applyBorder="1" applyAlignment="1">
      <alignment vertical="center"/>
    </xf>
    <xf numFmtId="38" fontId="26" fillId="4" borderId="26" xfId="2" applyFont="1" applyFill="1" applyBorder="1" applyAlignment="1">
      <alignment horizontal="right" vertical="center"/>
    </xf>
    <xf numFmtId="38" fontId="26" fillId="4" borderId="13" xfId="2" applyFont="1" applyFill="1" applyBorder="1" applyAlignment="1">
      <alignment vertical="center"/>
    </xf>
    <xf numFmtId="38" fontId="26" fillId="4" borderId="16" xfId="2" applyFont="1" applyFill="1" applyBorder="1" applyAlignment="1">
      <alignment vertical="center"/>
    </xf>
    <xf numFmtId="38" fontId="26" fillId="4" borderId="5" xfId="2" applyFont="1" applyFill="1" applyBorder="1" applyAlignment="1">
      <alignment vertical="center"/>
    </xf>
    <xf numFmtId="38" fontId="26" fillId="4" borderId="12" xfId="2" applyFont="1" applyFill="1" applyBorder="1" applyAlignment="1">
      <alignment vertical="center"/>
    </xf>
    <xf numFmtId="38" fontId="26" fillId="4" borderId="17" xfId="2" applyFont="1" applyFill="1" applyBorder="1" applyAlignment="1">
      <alignment vertical="center"/>
    </xf>
    <xf numFmtId="38" fontId="26" fillId="4" borderId="14" xfId="2" applyFont="1" applyFill="1" applyBorder="1" applyAlignment="1">
      <alignment vertical="center"/>
    </xf>
    <xf numFmtId="38" fontId="26" fillId="4" borderId="15" xfId="2" applyFont="1" applyFill="1" applyBorder="1" applyAlignment="1">
      <alignment vertical="center"/>
    </xf>
    <xf numFmtId="38" fontId="26" fillId="0" borderId="0" xfId="0" applyNumberFormat="1" applyFont="1" applyAlignment="1">
      <alignment vertical="center"/>
    </xf>
    <xf numFmtId="37" fontId="26" fillId="0" borderId="11" xfId="0" applyFont="1" applyBorder="1" applyAlignment="1">
      <alignment vertical="top" wrapText="1"/>
    </xf>
    <xf numFmtId="38" fontId="2" fillId="4" borderId="0" xfId="2" applyFont="1" applyFill="1"/>
    <xf numFmtId="178" fontId="2" fillId="4" borderId="12" xfId="0" applyNumberFormat="1" applyFont="1" applyFill="1" applyBorder="1" applyAlignment="1">
      <alignment vertical="center"/>
    </xf>
    <xf numFmtId="37" fontId="2" fillId="4" borderId="0" xfId="0" applyFont="1" applyFill="1" applyAlignment="1">
      <alignment horizontal="center" vertical="center"/>
    </xf>
    <xf numFmtId="37" fontId="1" fillId="4" borderId="5" xfId="0" applyFont="1" applyFill="1" applyBorder="1" applyAlignment="1">
      <alignment horizontal="center" vertical="center"/>
    </xf>
    <xf numFmtId="37" fontId="26" fillId="0" borderId="5" xfId="0" applyFont="1" applyBorder="1" applyAlignment="1">
      <alignment vertical="center"/>
    </xf>
    <xf numFmtId="177" fontId="26" fillId="4" borderId="0" xfId="0" applyNumberFormat="1" applyFont="1" applyFill="1"/>
    <xf numFmtId="37" fontId="26" fillId="4" borderId="12" xfId="0" applyFont="1" applyFill="1" applyBorder="1" applyAlignment="1">
      <alignment vertical="top" wrapText="1"/>
    </xf>
    <xf numFmtId="37" fontId="26" fillId="4" borderId="4" xfId="0" applyFont="1" applyFill="1" applyBorder="1" applyAlignment="1">
      <alignment vertical="top" wrapText="1"/>
    </xf>
    <xf numFmtId="37" fontId="26" fillId="4" borderId="11" xfId="0" applyFont="1" applyFill="1" applyBorder="1" applyAlignment="1">
      <alignment vertical="top" wrapText="1"/>
    </xf>
    <xf numFmtId="38" fontId="22" fillId="0" borderId="0" xfId="2" applyFont="1" applyBorder="1"/>
    <xf numFmtId="38" fontId="22" fillId="3" borderId="0" xfId="2" applyFont="1" applyFill="1" applyBorder="1"/>
    <xf numFmtId="38" fontId="22" fillId="4" borderId="0" xfId="2" applyFont="1" applyFill="1" applyBorder="1"/>
    <xf numFmtId="177" fontId="22" fillId="4" borderId="0" xfId="0" applyNumberFormat="1" applyFont="1" applyFill="1"/>
    <xf numFmtId="38" fontId="6" fillId="0" borderId="0" xfId="2" applyFont="1" applyFill="1" applyBorder="1" applyProtection="1"/>
    <xf numFmtId="38" fontId="6" fillId="0" borderId="0" xfId="2" applyFont="1" applyFill="1" applyBorder="1"/>
    <xf numFmtId="37" fontId="26" fillId="0" borderId="12" xfId="0" applyFont="1" applyBorder="1" applyAlignment="1">
      <alignment vertical="top" wrapText="1"/>
    </xf>
    <xf numFmtId="177" fontId="26" fillId="4" borderId="12" xfId="0" applyNumberFormat="1" applyFont="1" applyFill="1" applyBorder="1"/>
    <xf numFmtId="38" fontId="2" fillId="0" borderId="0" xfId="2" applyFont="1" applyFill="1" applyBorder="1" applyAlignment="1">
      <alignment horizontal="center" vertical="center"/>
    </xf>
    <xf numFmtId="0" fontId="2" fillId="0" borderId="8" xfId="5" applyFont="1" applyBorder="1"/>
    <xf numFmtId="0" fontId="2" fillId="0" borderId="9" xfId="5" applyFont="1" applyBorder="1"/>
    <xf numFmtId="0" fontId="2" fillId="0" borderId="12" xfId="5" applyFont="1" applyBorder="1" applyAlignment="1">
      <alignment horizontal="right"/>
    </xf>
    <xf numFmtId="37" fontId="26" fillId="0" borderId="8" xfId="0" applyFont="1" applyBorder="1" applyAlignment="1">
      <alignment vertical="top" wrapText="1"/>
    </xf>
    <xf numFmtId="37" fontId="2" fillId="0" borderId="18" xfId="0" applyFont="1" applyBorder="1" applyAlignment="1">
      <alignment horizontal="center" vertical="center"/>
    </xf>
    <xf numFmtId="38" fontId="2" fillId="0" borderId="3" xfId="2" applyFont="1" applyFill="1" applyBorder="1" applyAlignment="1">
      <alignment horizontal="center" vertical="center"/>
    </xf>
    <xf numFmtId="38" fontId="2" fillId="0" borderId="18" xfId="2" applyFont="1" applyFill="1" applyBorder="1" applyAlignment="1">
      <alignment horizontal="center" vertical="center"/>
    </xf>
    <xf numFmtId="38" fontId="2" fillId="0" borderId="8" xfId="2" applyFont="1" applyFill="1" applyBorder="1" applyAlignment="1">
      <alignment horizontal="center" vertical="center"/>
    </xf>
    <xf numFmtId="38" fontId="2" fillId="0" borderId="9" xfId="2" applyFont="1" applyFill="1" applyBorder="1" applyAlignment="1">
      <alignment horizontal="center" vertical="center"/>
    </xf>
    <xf numFmtId="37" fontId="2" fillId="0" borderId="8" xfId="0" applyFont="1" applyBorder="1" applyAlignment="1">
      <alignment horizontal="center" vertical="center"/>
    </xf>
    <xf numFmtId="0" fontId="1" fillId="0" borderId="4" xfId="5" applyFont="1" applyBorder="1"/>
    <xf numFmtId="49" fontId="1" fillId="0" borderId="14" xfId="5" applyNumberFormat="1" applyFont="1" applyBorder="1"/>
    <xf numFmtId="37" fontId="1" fillId="0" borderId="12" xfId="0" applyFont="1" applyBorder="1" applyAlignment="1">
      <alignment horizontal="left"/>
    </xf>
    <xf numFmtId="177" fontId="26" fillId="4" borderId="8" xfId="0" applyNumberFormat="1" applyFont="1" applyFill="1" applyBorder="1"/>
    <xf numFmtId="177" fontId="26" fillId="4" borderId="18" xfId="0" applyNumberFormat="1" applyFont="1" applyFill="1" applyBorder="1"/>
    <xf numFmtId="177" fontId="2" fillId="7" borderId="0" xfId="2" applyNumberFormat="1" applyFont="1" applyFill="1" applyBorder="1"/>
    <xf numFmtId="177" fontId="2" fillId="7" borderId="12" xfId="2" applyNumberFormat="1" applyFont="1" applyFill="1" applyBorder="1"/>
    <xf numFmtId="177" fontId="2" fillId="7" borderId="5" xfId="2" applyNumberFormat="1" applyFont="1" applyFill="1" applyBorder="1"/>
    <xf numFmtId="37" fontId="26" fillId="4" borderId="8" xfId="0" applyFont="1" applyFill="1" applyBorder="1" applyAlignment="1">
      <alignment vertical="top" wrapText="1"/>
    </xf>
    <xf numFmtId="37" fontId="29" fillId="0" borderId="0" xfId="0" applyFont="1" applyAlignment="1">
      <alignment vertical="top" wrapText="1"/>
    </xf>
    <xf numFmtId="183" fontId="14" fillId="0" borderId="0" xfId="2" applyNumberFormat="1" applyFont="1"/>
    <xf numFmtId="38" fontId="26" fillId="4" borderId="2" xfId="2" applyFont="1" applyFill="1" applyBorder="1" applyAlignment="1">
      <alignment vertical="center"/>
    </xf>
    <xf numFmtId="37" fontId="2" fillId="4" borderId="0" xfId="0" applyFont="1" applyFill="1"/>
    <xf numFmtId="177" fontId="2" fillId="4" borderId="0" xfId="2" applyNumberFormat="1" applyFont="1" applyFill="1" applyBorder="1"/>
    <xf numFmtId="177" fontId="2" fillId="4" borderId="12" xfId="2" applyNumberFormat="1" applyFont="1" applyFill="1" applyBorder="1"/>
    <xf numFmtId="177" fontId="2" fillId="4" borderId="5" xfId="2" applyNumberFormat="1" applyFont="1" applyFill="1" applyBorder="1"/>
    <xf numFmtId="37" fontId="2" fillId="4" borderId="14" xfId="0" applyFont="1" applyFill="1" applyBorder="1"/>
    <xf numFmtId="178" fontId="2" fillId="3" borderId="12" xfId="0" applyNumberFormat="1" applyFont="1" applyFill="1" applyBorder="1" applyAlignment="1">
      <alignment vertical="center"/>
    </xf>
    <xf numFmtId="37" fontId="2" fillId="3" borderId="0" xfId="0" applyFont="1" applyFill="1" applyAlignment="1">
      <alignment horizontal="center" vertical="center"/>
    </xf>
    <xf numFmtId="37" fontId="2" fillId="3" borderId="0" xfId="0" applyFont="1" applyFill="1" applyAlignment="1">
      <alignment vertical="center"/>
    </xf>
    <xf numFmtId="37" fontId="1" fillId="3" borderId="0" xfId="0" applyFont="1" applyFill="1" applyAlignment="1">
      <alignment horizontal="center" vertical="center"/>
    </xf>
    <xf numFmtId="37" fontId="2" fillId="0" borderId="5" xfId="0" applyFont="1" applyBorder="1" applyAlignment="1">
      <alignment horizontal="center" vertical="center"/>
    </xf>
    <xf numFmtId="177" fontId="2" fillId="0" borderId="5" xfId="0" quotePrefix="1" applyNumberFormat="1" applyFont="1" applyBorder="1" applyAlignment="1">
      <alignment horizontal="left"/>
    </xf>
    <xf numFmtId="177" fontId="2" fillId="0" borderId="0" xfId="10" applyNumberFormat="1" applyFont="1"/>
    <xf numFmtId="177" fontId="2" fillId="0" borderId="12" xfId="10" applyNumberFormat="1" applyFont="1" applyBorder="1" applyAlignment="1">
      <alignment horizontal="left"/>
    </xf>
    <xf numFmtId="177" fontId="2" fillId="0" borderId="5" xfId="10" applyNumberFormat="1" applyFont="1" applyBorder="1"/>
    <xf numFmtId="37" fontId="26" fillId="0" borderId="12" xfId="0" applyFont="1" applyBorder="1" applyAlignment="1">
      <alignment vertical="center"/>
    </xf>
    <xf numFmtId="37" fontId="26" fillId="0" borderId="23" xfId="0" applyFont="1" applyBorder="1" applyAlignment="1">
      <alignment horizontal="distributed" vertical="center"/>
    </xf>
    <xf numFmtId="38" fontId="26" fillId="0" borderId="12" xfId="2" applyFont="1" applyFill="1" applyBorder="1" applyAlignment="1">
      <alignment vertical="center"/>
    </xf>
    <xf numFmtId="38" fontId="26" fillId="0" borderId="0" xfId="0" applyNumberFormat="1" applyFont="1"/>
    <xf numFmtId="38" fontId="2" fillId="4" borderId="0" xfId="2" applyFont="1" applyFill="1" applyBorder="1"/>
    <xf numFmtId="38" fontId="26" fillId="3" borderId="0" xfId="0" applyNumberFormat="1" applyFont="1" applyFill="1"/>
    <xf numFmtId="38" fontId="26" fillId="8" borderId="0" xfId="0" applyNumberFormat="1" applyFont="1" applyFill="1"/>
    <xf numFmtId="0" fontId="26" fillId="3" borderId="5" xfId="8" applyFont="1" applyFill="1" applyBorder="1" applyAlignment="1">
      <alignment horizontal="center" vertical="center"/>
    </xf>
    <xf numFmtId="0" fontId="26" fillId="3" borderId="24" xfId="8" applyFont="1" applyFill="1" applyBorder="1" applyAlignment="1">
      <alignment horizontal="distributed" vertical="center"/>
    </xf>
    <xf numFmtId="38" fontId="26" fillId="3" borderId="5" xfId="2" applyFont="1" applyFill="1" applyBorder="1" applyAlignment="1">
      <alignment vertical="center"/>
    </xf>
    <xf numFmtId="38" fontId="26" fillId="8" borderId="5" xfId="2" applyFont="1" applyFill="1" applyBorder="1" applyAlignment="1">
      <alignment vertical="center"/>
    </xf>
    <xf numFmtId="38" fontId="26" fillId="0" borderId="5" xfId="0" applyNumberFormat="1" applyFont="1" applyBorder="1"/>
    <xf numFmtId="38" fontId="26" fillId="3" borderId="5" xfId="2" applyFont="1" applyFill="1" applyBorder="1" applyAlignment="1">
      <alignment horizontal="right" vertical="center"/>
    </xf>
    <xf numFmtId="38" fontId="2" fillId="4" borderId="5" xfId="2" applyFont="1" applyFill="1" applyBorder="1"/>
    <xf numFmtId="37" fontId="29" fillId="3" borderId="0" xfId="0" applyFont="1" applyFill="1" applyAlignment="1">
      <alignment vertical="top" wrapText="1"/>
    </xf>
    <xf numFmtId="37" fontId="30" fillId="0" borderId="0" xfId="0" applyFont="1" applyAlignment="1">
      <alignment vertical="top" wrapText="1"/>
    </xf>
    <xf numFmtId="176" fontId="1" fillId="0" borderId="12" xfId="17" applyNumberFormat="1" applyFont="1" applyBorder="1"/>
    <xf numFmtId="176" fontId="1" fillId="0" borderId="12" xfId="17" applyNumberFormat="1" applyFont="1" applyBorder="1" applyAlignment="1">
      <alignment horizontal="left"/>
    </xf>
    <xf numFmtId="38" fontId="26" fillId="4" borderId="12" xfId="2" applyFont="1" applyFill="1" applyBorder="1" applyAlignment="1">
      <alignment horizontal="right" vertical="center"/>
    </xf>
    <xf numFmtId="38" fontId="26" fillId="7" borderId="12" xfId="2" applyFont="1" applyFill="1" applyBorder="1" applyAlignment="1">
      <alignment vertical="center"/>
    </xf>
    <xf numFmtId="38" fontId="26" fillId="7" borderId="0" xfId="2" applyFont="1" applyFill="1" applyBorder="1" applyAlignment="1">
      <alignment vertical="center"/>
    </xf>
    <xf numFmtId="37" fontId="26" fillId="0" borderId="18" xfId="0" applyFont="1" applyBorder="1" applyAlignment="1">
      <alignment horizontal="center" vertical="top" wrapText="1"/>
    </xf>
    <xf numFmtId="37" fontId="26" fillId="0" borderId="0" xfId="0" applyFont="1" applyAlignment="1">
      <alignment vertical="top" wrapText="1"/>
    </xf>
    <xf numFmtId="37" fontId="26" fillId="0" borderId="19" xfId="0" applyFont="1" applyBorder="1" applyAlignment="1">
      <alignment vertical="top" wrapText="1"/>
    </xf>
    <xf numFmtId="37" fontId="2" fillId="0" borderId="5" xfId="0" applyFont="1" applyBorder="1" applyAlignment="1">
      <alignment horizontal="center"/>
    </xf>
    <xf numFmtId="37" fontId="29" fillId="0" borderId="0" xfId="0" applyFont="1"/>
    <xf numFmtId="38" fontId="6" fillId="0" borderId="0" xfId="5" applyNumberFormat="1" applyFont="1"/>
    <xf numFmtId="0" fontId="2" fillId="0" borderId="18" xfId="5" applyFont="1" applyBorder="1"/>
    <xf numFmtId="183" fontId="2" fillId="0" borderId="0" xfId="2" applyNumberFormat="1" applyFont="1" applyBorder="1"/>
    <xf numFmtId="183" fontId="2" fillId="0" borderId="5" xfId="2" applyNumberFormat="1" applyFont="1" applyBorder="1"/>
    <xf numFmtId="38" fontId="22" fillId="4" borderId="5" xfId="2" applyFont="1" applyFill="1" applyBorder="1"/>
    <xf numFmtId="177" fontId="22" fillId="0" borderId="3" xfId="9" applyNumberFormat="1" applyFont="1" applyBorder="1"/>
    <xf numFmtId="177" fontId="22" fillId="0" borderId="14" xfId="9" applyNumberFormat="1" applyFont="1" applyBorder="1"/>
    <xf numFmtId="177" fontId="22" fillId="0" borderId="18" xfId="9" applyNumberFormat="1" applyFont="1" applyBorder="1"/>
    <xf numFmtId="177" fontId="22" fillId="0" borderId="0" xfId="9" applyNumberFormat="1" applyFont="1"/>
    <xf numFmtId="177" fontId="22" fillId="0" borderId="9" xfId="9" applyNumberFormat="1" applyFont="1" applyBorder="1"/>
    <xf numFmtId="177" fontId="22" fillId="0" borderId="5" xfId="9" applyNumberFormat="1" applyFont="1" applyBorder="1"/>
    <xf numFmtId="0" fontId="24" fillId="0" borderId="11" xfId="7" applyFont="1" applyBorder="1" applyAlignment="1">
      <alignment horizontal="center" vertical="center" wrapText="1"/>
    </xf>
    <xf numFmtId="0" fontId="24" fillId="0" borderId="19" xfId="15" applyFont="1" applyBorder="1" applyAlignment="1">
      <alignment horizontal="center" vertical="center" wrapText="1"/>
    </xf>
    <xf numFmtId="0" fontId="24" fillId="0" borderId="29" xfId="15" applyFont="1" applyBorder="1" applyAlignment="1">
      <alignment horizontal="center" vertical="center" wrapText="1"/>
    </xf>
    <xf numFmtId="38" fontId="24" fillId="0" borderId="1" xfId="2" applyFont="1" applyBorder="1"/>
    <xf numFmtId="38" fontId="24" fillId="0" borderId="1" xfId="2" applyFont="1" applyBorder="1" applyAlignment="1">
      <alignment vertical="center"/>
    </xf>
    <xf numFmtId="38" fontId="24" fillId="0" borderId="11" xfId="2" applyFont="1" applyBorder="1" applyAlignment="1">
      <alignment vertical="center"/>
    </xf>
    <xf numFmtId="38" fontId="24" fillId="0" borderId="19" xfId="2" applyFont="1" applyBorder="1" applyAlignment="1">
      <alignment vertical="center"/>
    </xf>
    <xf numFmtId="38" fontId="24" fillId="0" borderId="29" xfId="2" applyFont="1" applyBorder="1" applyAlignment="1">
      <alignment vertical="center"/>
    </xf>
    <xf numFmtId="177" fontId="22" fillId="0" borderId="11" xfId="0" applyNumberFormat="1" applyFont="1" applyBorder="1"/>
    <xf numFmtId="177" fontId="22" fillId="0" borderId="19" xfId="0" applyNumberFormat="1" applyFont="1" applyBorder="1"/>
    <xf numFmtId="177" fontId="22" fillId="0" borderId="1" xfId="9" applyNumberFormat="1" applyFont="1" applyBorder="1"/>
    <xf numFmtId="177" fontId="22" fillId="0" borderId="19" xfId="9" applyNumberFormat="1" applyFont="1" applyBorder="1"/>
    <xf numFmtId="177" fontId="22" fillId="0" borderId="29" xfId="9" applyNumberFormat="1" applyFont="1" applyBorder="1"/>
    <xf numFmtId="37" fontId="2" fillId="4" borderId="5" xfId="0" applyFont="1" applyFill="1" applyBorder="1"/>
    <xf numFmtId="179" fontId="2" fillId="4" borderId="0" xfId="2" applyNumberFormat="1" applyFont="1" applyFill="1"/>
    <xf numFmtId="37" fontId="2" fillId="0" borderId="14" xfId="0" applyFont="1" applyBorder="1"/>
    <xf numFmtId="183" fontId="26" fillId="0" borderId="0" xfId="0" applyNumberFormat="1" applyFont="1"/>
    <xf numFmtId="183" fontId="26" fillId="0" borderId="0" xfId="2" applyNumberFormat="1" applyFont="1" applyBorder="1"/>
    <xf numFmtId="57" fontId="6" fillId="0" borderId="0" xfId="5" applyNumberFormat="1" applyFont="1"/>
    <xf numFmtId="0" fontId="6" fillId="8" borderId="0" xfId="5" applyFont="1" applyFill="1"/>
    <xf numFmtId="177" fontId="2" fillId="3" borderId="0" xfId="2" applyNumberFormat="1" applyFont="1" applyFill="1" applyBorder="1"/>
    <xf numFmtId="0" fontId="24" fillId="0" borderId="8" xfId="7" applyFont="1" applyBorder="1" applyAlignment="1">
      <alignment horizontal="center" vertical="center" wrapText="1"/>
    </xf>
    <xf numFmtId="0" fontId="24" fillId="0" borderId="18" xfId="15" applyFont="1" applyBorder="1" applyAlignment="1">
      <alignment horizontal="center" vertical="center" wrapText="1"/>
    </xf>
    <xf numFmtId="0" fontId="24" fillId="0" borderId="9" xfId="15" applyFont="1" applyBorder="1" applyAlignment="1">
      <alignment horizontal="center" vertical="center" wrapText="1"/>
    </xf>
    <xf numFmtId="0" fontId="24" fillId="0" borderId="4" xfId="7" applyFont="1" applyBorder="1" applyAlignment="1">
      <alignment horizontal="center" vertical="center" wrapText="1"/>
    </xf>
    <xf numFmtId="0" fontId="24" fillId="0" borderId="2" xfId="15" applyFont="1" applyBorder="1" applyAlignment="1">
      <alignment horizontal="center" vertical="center" wrapText="1"/>
    </xf>
    <xf numFmtId="0" fontId="24" fillId="0" borderId="6" xfId="15" applyFont="1" applyBorder="1" applyAlignment="1">
      <alignment horizontal="center" vertical="center" wrapText="1"/>
    </xf>
    <xf numFmtId="38" fontId="14" fillId="0" borderId="0" xfId="2" applyFont="1" applyBorder="1"/>
    <xf numFmtId="37" fontId="2" fillId="0" borderId="12" xfId="0" applyFont="1" applyBorder="1" applyAlignment="1">
      <alignment horizontal="center" vertical="center"/>
    </xf>
    <xf numFmtId="38" fontId="2" fillId="0" borderId="5" xfId="2" applyFont="1" applyFill="1" applyBorder="1" applyAlignment="1">
      <alignment horizontal="center" vertical="center"/>
    </xf>
    <xf numFmtId="183" fontId="26" fillId="0" borderId="12" xfId="2" applyNumberFormat="1" applyFont="1" applyBorder="1"/>
    <xf numFmtId="183" fontId="26" fillId="0" borderId="5" xfId="2" applyNumberFormat="1" applyFont="1" applyBorder="1"/>
    <xf numFmtId="37" fontId="26" fillId="7" borderId="12" xfId="0" applyFont="1" applyFill="1" applyBorder="1" applyAlignment="1">
      <alignment vertical="center"/>
    </xf>
    <xf numFmtId="37" fontId="26" fillId="7" borderId="0" xfId="0" applyFont="1" applyFill="1" applyAlignment="1">
      <alignment horizontal="center" vertical="center"/>
    </xf>
    <xf numFmtId="37" fontId="26" fillId="7" borderId="5" xfId="0" applyFont="1" applyFill="1" applyBorder="1" applyAlignment="1">
      <alignment vertical="center"/>
    </xf>
    <xf numFmtId="38" fontId="26" fillId="7" borderId="5" xfId="2" applyFont="1" applyFill="1" applyBorder="1" applyAlignment="1">
      <alignment vertical="center"/>
    </xf>
    <xf numFmtId="38" fontId="26" fillId="7" borderId="14" xfId="2" applyFont="1" applyFill="1" applyBorder="1" applyAlignment="1">
      <alignment vertical="center"/>
    </xf>
    <xf numFmtId="37" fontId="26" fillId="7" borderId="27" xfId="0" applyFont="1" applyFill="1" applyBorder="1" applyAlignment="1">
      <alignment vertical="center"/>
    </xf>
    <xf numFmtId="37" fontId="26" fillId="7" borderId="19" xfId="0" applyFont="1" applyFill="1" applyBorder="1" applyAlignment="1">
      <alignment horizontal="center" vertical="center"/>
    </xf>
    <xf numFmtId="37" fontId="26" fillId="4" borderId="18" xfId="0" applyFont="1" applyFill="1" applyBorder="1" applyAlignment="1">
      <alignment horizontal="center" vertical="top" wrapText="1"/>
    </xf>
    <xf numFmtId="177" fontId="26" fillId="4" borderId="12" xfId="2" applyNumberFormat="1" applyFont="1" applyFill="1" applyBorder="1"/>
    <xf numFmtId="177" fontId="26" fillId="4" borderId="0" xfId="2" applyNumberFormat="1" applyFont="1" applyFill="1" applyBorder="1"/>
    <xf numFmtId="177" fontId="26" fillId="4" borderId="5" xfId="2" applyNumberFormat="1" applyFont="1" applyFill="1" applyBorder="1"/>
    <xf numFmtId="177" fontId="26" fillId="4" borderId="4" xfId="2" applyNumberFormat="1" applyFont="1" applyFill="1" applyBorder="1"/>
    <xf numFmtId="177" fontId="26" fillId="4" borderId="2" xfId="2" applyNumberFormat="1" applyFont="1" applyFill="1" applyBorder="1"/>
    <xf numFmtId="177" fontId="26" fillId="4" borderId="8" xfId="2" applyNumberFormat="1" applyFont="1" applyFill="1" applyBorder="1"/>
    <xf numFmtId="177" fontId="26" fillId="4" borderId="18" xfId="2" applyNumberFormat="1" applyFont="1" applyFill="1" applyBorder="1"/>
    <xf numFmtId="179" fontId="2" fillId="3" borderId="0" xfId="2" applyNumberFormat="1" applyFont="1" applyFill="1"/>
    <xf numFmtId="0" fontId="22" fillId="0" borderId="5" xfId="17" applyFont="1" applyBorder="1"/>
    <xf numFmtId="49" fontId="22" fillId="0" borderId="5" xfId="5" applyNumberFormat="1" applyFont="1" applyBorder="1"/>
    <xf numFmtId="38" fontId="22" fillId="0" borderId="5" xfId="2" applyFont="1" applyFill="1" applyBorder="1" applyAlignment="1">
      <alignment horizontal="right"/>
    </xf>
    <xf numFmtId="38" fontId="22" fillId="3" borderId="5" xfId="2" applyFont="1" applyFill="1" applyBorder="1" applyAlignment="1" applyProtection="1">
      <alignment horizontal="right"/>
    </xf>
    <xf numFmtId="38" fontId="22" fillId="0" borderId="5" xfId="2" applyFont="1" applyBorder="1"/>
    <xf numFmtId="38" fontId="22" fillId="3" borderId="5" xfId="2" applyFont="1" applyFill="1" applyBorder="1"/>
    <xf numFmtId="38" fontId="22" fillId="3" borderId="12" xfId="2" applyFont="1" applyFill="1" applyBorder="1"/>
    <xf numFmtId="37" fontId="2" fillId="3" borderId="14" xfId="0" applyFont="1" applyFill="1" applyBorder="1" applyAlignment="1">
      <alignment vertical="center"/>
    </xf>
    <xf numFmtId="38" fontId="24" fillId="4" borderId="8" xfId="2" applyFont="1" applyFill="1" applyBorder="1"/>
    <xf numFmtId="38" fontId="24" fillId="4" borderId="11" xfId="2" applyFont="1" applyFill="1" applyBorder="1"/>
    <xf numFmtId="38" fontId="24" fillId="4" borderId="4" xfId="2" applyFont="1" applyFill="1" applyBorder="1"/>
    <xf numFmtId="38" fontId="24" fillId="4" borderId="8" xfId="2" applyFont="1" applyFill="1" applyBorder="1" applyAlignment="1">
      <alignment vertical="center"/>
    </xf>
    <xf numFmtId="38" fontId="24" fillId="4" borderId="11" xfId="2" applyFont="1" applyFill="1" applyBorder="1" applyAlignment="1">
      <alignment vertical="center"/>
    </xf>
    <xf numFmtId="38" fontId="24" fillId="4" borderId="4" xfId="2" applyFont="1" applyFill="1" applyBorder="1" applyAlignment="1">
      <alignment vertical="center"/>
    </xf>
    <xf numFmtId="38" fontId="24" fillId="4" borderId="18" xfId="2" applyFont="1" applyFill="1" applyBorder="1" applyAlignment="1">
      <alignment vertical="center"/>
    </xf>
    <xf numFmtId="38" fontId="24" fillId="4" borderId="19" xfId="2" applyFont="1" applyFill="1" applyBorder="1" applyAlignment="1">
      <alignment vertical="center"/>
    </xf>
    <xf numFmtId="38" fontId="24" fillId="4" borderId="2" xfId="2" applyFont="1" applyFill="1" applyBorder="1" applyAlignment="1">
      <alignment vertical="center"/>
    </xf>
    <xf numFmtId="38" fontId="24" fillId="4" borderId="9" xfId="2" applyFont="1" applyFill="1" applyBorder="1" applyAlignment="1">
      <alignment vertical="center"/>
    </xf>
    <xf numFmtId="38" fontId="24" fillId="4" borderId="29" xfId="2" applyFont="1" applyFill="1" applyBorder="1" applyAlignment="1">
      <alignment vertical="center"/>
    </xf>
    <xf numFmtId="38" fontId="24" fillId="4" borderId="6" xfId="2" applyFont="1" applyFill="1" applyBorder="1" applyAlignment="1">
      <alignment vertical="center"/>
    </xf>
    <xf numFmtId="38" fontId="22" fillId="4" borderId="12" xfId="2" applyFont="1" applyFill="1" applyBorder="1"/>
    <xf numFmtId="37" fontId="26" fillId="4" borderId="0" xfId="0" applyFont="1" applyFill="1" applyAlignment="1">
      <alignment vertical="top" wrapText="1"/>
    </xf>
    <xf numFmtId="38" fontId="22" fillId="7" borderId="0" xfId="2" applyFont="1" applyFill="1" applyBorder="1"/>
    <xf numFmtId="177" fontId="26" fillId="4" borderId="11" xfId="2" applyNumberFormat="1" applyFont="1" applyFill="1" applyBorder="1"/>
    <xf numFmtId="177" fontId="26" fillId="4" borderId="19" xfId="2" applyNumberFormat="1" applyFont="1" applyFill="1" applyBorder="1"/>
    <xf numFmtId="177" fontId="26" fillId="4" borderId="6" xfId="2" applyNumberFormat="1" applyFont="1" applyFill="1" applyBorder="1"/>
    <xf numFmtId="0" fontId="22" fillId="8" borderId="12" xfId="0" applyNumberFormat="1" applyFont="1" applyFill="1" applyBorder="1" applyAlignment="1">
      <alignment horizontal="center" vertical="center" wrapText="1"/>
    </xf>
    <xf numFmtId="0" fontId="22" fillId="8" borderId="0" xfId="15" applyFont="1" applyFill="1" applyAlignment="1">
      <alignment horizontal="center" vertical="center" wrapText="1"/>
    </xf>
    <xf numFmtId="0" fontId="24" fillId="8" borderId="5" xfId="15" applyFont="1" applyFill="1" applyBorder="1" applyAlignment="1">
      <alignment horizontal="center" vertical="center" wrapText="1"/>
    </xf>
    <xf numFmtId="37" fontId="22" fillId="0" borderId="0" xfId="0" quotePrefix="1" applyFont="1"/>
    <xf numFmtId="177" fontId="26" fillId="4" borderId="9" xfId="2" applyNumberFormat="1" applyFont="1" applyFill="1" applyBorder="1"/>
    <xf numFmtId="177" fontId="26" fillId="8" borderId="0" xfId="0" applyNumberFormat="1" applyFont="1" applyFill="1"/>
    <xf numFmtId="38" fontId="22" fillId="7" borderId="12" xfId="2" applyFont="1" applyFill="1" applyBorder="1"/>
    <xf numFmtId="57" fontId="6" fillId="11" borderId="1" xfId="0" applyNumberFormat="1" applyFont="1" applyFill="1" applyBorder="1" applyAlignment="1">
      <alignment horizontal="center" vertical="center"/>
    </xf>
    <xf numFmtId="37" fontId="26" fillId="9" borderId="12" xfId="0" applyFont="1" applyFill="1" applyBorder="1" applyAlignment="1">
      <alignment horizontal="center" vertical="center"/>
    </xf>
    <xf numFmtId="37" fontId="2" fillId="9" borderId="5" xfId="0" applyFont="1" applyFill="1" applyBorder="1"/>
    <xf numFmtId="38" fontId="26" fillId="9" borderId="12" xfId="2" applyFont="1" applyFill="1" applyBorder="1" applyAlignment="1">
      <alignment vertical="center"/>
    </xf>
    <xf numFmtId="38" fontId="26" fillId="9" borderId="0" xfId="2" applyFont="1" applyFill="1" applyBorder="1" applyAlignment="1">
      <alignment vertical="center"/>
    </xf>
    <xf numFmtId="37" fontId="2" fillId="9" borderId="0" xfId="0" applyFont="1" applyFill="1"/>
    <xf numFmtId="37" fontId="2" fillId="9" borderId="5" xfId="0" applyFont="1" applyFill="1" applyBorder="1" applyAlignment="1">
      <alignment horizontal="center"/>
    </xf>
    <xf numFmtId="37" fontId="26" fillId="9" borderId="4" xfId="0" applyFont="1" applyFill="1" applyBorder="1" applyAlignment="1">
      <alignment vertical="top" wrapText="1"/>
    </xf>
    <xf numFmtId="37" fontId="2" fillId="13" borderId="0" xfId="0" applyFont="1" applyFill="1"/>
    <xf numFmtId="177" fontId="2" fillId="13" borderId="14" xfId="2" applyNumberFormat="1" applyFont="1" applyFill="1" applyBorder="1"/>
    <xf numFmtId="177" fontId="2" fillId="13" borderId="12" xfId="2" applyNumberFormat="1" applyFont="1" applyFill="1" applyBorder="1"/>
    <xf numFmtId="177" fontId="2" fillId="13" borderId="0" xfId="2" applyNumberFormat="1" applyFont="1" applyFill="1" applyBorder="1"/>
    <xf numFmtId="177" fontId="2" fillId="13" borderId="5" xfId="2" applyNumberFormat="1" applyFont="1" applyFill="1" applyBorder="1"/>
    <xf numFmtId="37" fontId="2" fillId="13" borderId="5" xfId="0" applyFont="1" applyFill="1" applyBorder="1"/>
    <xf numFmtId="37" fontId="2" fillId="13" borderId="14" xfId="0" applyFont="1" applyFill="1" applyBorder="1"/>
    <xf numFmtId="37" fontId="26" fillId="13" borderId="12" xfId="0" applyFont="1" applyFill="1" applyBorder="1" applyAlignment="1">
      <alignment horizontal="center" vertical="center"/>
    </xf>
    <xf numFmtId="38" fontId="26" fillId="13" borderId="12" xfId="2" applyFont="1" applyFill="1" applyBorder="1" applyAlignment="1">
      <alignment vertical="center"/>
    </xf>
    <xf numFmtId="38" fontId="26" fillId="13" borderId="0" xfId="2" applyFont="1" applyFill="1" applyBorder="1" applyAlignment="1">
      <alignment vertical="center"/>
    </xf>
    <xf numFmtId="189" fontId="33" fillId="4" borderId="14" xfId="0" applyNumberFormat="1" applyFont="1" applyFill="1" applyBorder="1" applyAlignment="1">
      <alignment horizontal="center" vertical="center" shrinkToFit="1"/>
    </xf>
    <xf numFmtId="189" fontId="22" fillId="4" borderId="14" xfId="0" applyNumberFormat="1" applyFont="1" applyFill="1" applyBorder="1" applyAlignment="1">
      <alignment horizontal="center" vertical="center" shrinkToFit="1"/>
    </xf>
    <xf numFmtId="38" fontId="22" fillId="0" borderId="0" xfId="2" applyFont="1"/>
    <xf numFmtId="38" fontId="22" fillId="4" borderId="0" xfId="2" applyFont="1" applyFill="1"/>
    <xf numFmtId="37" fontId="22" fillId="4" borderId="0" xfId="0" applyFont="1" applyFill="1"/>
    <xf numFmtId="37" fontId="22" fillId="0" borderId="5" xfId="0" applyFont="1" applyBorder="1"/>
    <xf numFmtId="37" fontId="22" fillId="4" borderId="5" xfId="0" applyFont="1" applyFill="1" applyBorder="1"/>
    <xf numFmtId="183" fontId="2" fillId="0" borderId="12" xfId="2" applyNumberFormat="1" applyFont="1" applyBorder="1"/>
    <xf numFmtId="37" fontId="26" fillId="4" borderId="2" xfId="0" applyFont="1" applyFill="1" applyBorder="1" applyAlignment="1">
      <alignment horizontal="center" vertical="top" wrapText="1"/>
    </xf>
    <xf numFmtId="184" fontId="2" fillId="7" borderId="12" xfId="0" applyNumberFormat="1" applyFont="1" applyFill="1" applyBorder="1"/>
    <xf numFmtId="184" fontId="2" fillId="15" borderId="12" xfId="0" applyNumberFormat="1" applyFont="1" applyFill="1" applyBorder="1"/>
    <xf numFmtId="37" fontId="2" fillId="15" borderId="5" xfId="0" applyFont="1" applyFill="1" applyBorder="1"/>
    <xf numFmtId="179" fontId="2" fillId="0" borderId="0" xfId="2" applyNumberFormat="1" applyFont="1"/>
    <xf numFmtId="181" fontId="2" fillId="0" borderId="0" xfId="2" applyNumberFormat="1" applyFont="1"/>
    <xf numFmtId="181" fontId="2" fillId="0" borderId="12" xfId="2" applyNumberFormat="1" applyFont="1" applyBorder="1"/>
    <xf numFmtId="181" fontId="2" fillId="0" borderId="0" xfId="2" applyNumberFormat="1" applyFont="1" applyBorder="1"/>
    <xf numFmtId="181" fontId="2" fillId="0" borderId="5" xfId="2" applyNumberFormat="1" applyFont="1" applyBorder="1"/>
    <xf numFmtId="179" fontId="2" fillId="0" borderId="12" xfId="2" applyNumberFormat="1" applyFont="1" applyBorder="1"/>
    <xf numFmtId="179" fontId="2" fillId="0" borderId="0" xfId="2" applyNumberFormat="1" applyFont="1" applyBorder="1"/>
    <xf numFmtId="179" fontId="2" fillId="0" borderId="5" xfId="2" applyNumberFormat="1" applyFont="1" applyBorder="1"/>
    <xf numFmtId="38" fontId="2" fillId="15" borderId="12" xfId="2" applyFont="1" applyFill="1" applyBorder="1"/>
    <xf numFmtId="181" fontId="2" fillId="12" borderId="12" xfId="2" applyNumberFormat="1" applyFont="1" applyFill="1" applyBorder="1"/>
    <xf numFmtId="179" fontId="2" fillId="7" borderId="5" xfId="2" applyNumberFormat="1" applyFont="1" applyFill="1" applyBorder="1"/>
    <xf numFmtId="179" fontId="2" fillId="15" borderId="5" xfId="2" applyNumberFormat="1" applyFont="1" applyFill="1" applyBorder="1"/>
    <xf numFmtId="37" fontId="2" fillId="12" borderId="0" xfId="0" applyFont="1" applyFill="1"/>
    <xf numFmtId="37" fontId="2" fillId="15" borderId="0" xfId="0" applyFont="1" applyFill="1"/>
    <xf numFmtId="49" fontId="2" fillId="9" borderId="0" xfId="5" applyNumberFormat="1" applyFont="1" applyFill="1"/>
    <xf numFmtId="37" fontId="22" fillId="4" borderId="0" xfId="0" quotePrefix="1" applyFont="1" applyFill="1"/>
    <xf numFmtId="37" fontId="22" fillId="7" borderId="0" xfId="0" applyFont="1" applyFill="1"/>
    <xf numFmtId="37" fontId="33" fillId="0" borderId="0" xfId="0" applyFont="1"/>
    <xf numFmtId="38" fontId="22" fillId="3" borderId="0" xfId="2" applyFont="1" applyFill="1"/>
    <xf numFmtId="37" fontId="33" fillId="4" borderId="0" xfId="0" applyFont="1" applyFill="1"/>
    <xf numFmtId="37" fontId="33" fillId="0" borderId="19" xfId="0" applyFont="1" applyBorder="1"/>
    <xf numFmtId="37" fontId="1" fillId="9" borderId="0" xfId="0" applyFont="1" applyFill="1"/>
    <xf numFmtId="37" fontId="26" fillId="9" borderId="0" xfId="0" applyFont="1" applyFill="1"/>
    <xf numFmtId="0" fontId="2" fillId="9" borderId="8" xfId="5" applyFont="1" applyFill="1" applyBorder="1"/>
    <xf numFmtId="0" fontId="2" fillId="9" borderId="4" xfId="5" applyFont="1" applyFill="1" applyBorder="1" applyAlignment="1">
      <alignment horizontal="right"/>
    </xf>
    <xf numFmtId="37" fontId="26" fillId="9" borderId="12" xfId="0" applyFont="1" applyFill="1" applyBorder="1" applyAlignment="1">
      <alignment vertical="top" wrapText="1"/>
    </xf>
    <xf numFmtId="0" fontId="2" fillId="9" borderId="18" xfId="5" applyFont="1" applyFill="1" applyBorder="1"/>
    <xf numFmtId="0" fontId="2" fillId="9" borderId="2" xfId="5" applyFont="1" applyFill="1" applyBorder="1"/>
    <xf numFmtId="37" fontId="26" fillId="9" borderId="8" xfId="0" applyFont="1" applyFill="1" applyBorder="1" applyAlignment="1">
      <alignment vertical="top" wrapText="1"/>
    </xf>
    <xf numFmtId="37" fontId="26" fillId="9" borderId="11" xfId="0" applyFont="1" applyFill="1" applyBorder="1" applyAlignment="1">
      <alignment vertical="top" wrapText="1"/>
    </xf>
    <xf numFmtId="37" fontId="26" fillId="9" borderId="0" xfId="0" quotePrefix="1" applyFont="1" applyFill="1" applyAlignment="1">
      <alignment vertical="top" wrapText="1"/>
    </xf>
    <xf numFmtId="0" fontId="2" fillId="9" borderId="3" xfId="5" applyFont="1" applyFill="1" applyBorder="1"/>
    <xf numFmtId="49" fontId="1" fillId="9" borderId="14" xfId="5" applyNumberFormat="1" applyFont="1" applyFill="1" applyBorder="1"/>
    <xf numFmtId="189" fontId="2" fillId="9" borderId="18" xfId="5" applyNumberFormat="1" applyFont="1" applyFill="1" applyBorder="1"/>
    <xf numFmtId="177" fontId="2" fillId="9" borderId="18" xfId="0" applyNumberFormat="1" applyFont="1" applyFill="1" applyBorder="1"/>
    <xf numFmtId="177" fontId="2" fillId="9" borderId="0" xfId="0" applyNumberFormat="1" applyFont="1" applyFill="1"/>
    <xf numFmtId="177" fontId="2" fillId="9" borderId="2" xfId="0" applyNumberFormat="1" applyFont="1" applyFill="1" applyBorder="1"/>
    <xf numFmtId="189" fontId="2" fillId="9" borderId="9" xfId="5" applyNumberFormat="1" applyFont="1" applyFill="1" applyBorder="1"/>
    <xf numFmtId="177" fontId="2" fillId="9" borderId="9" xfId="0" applyNumberFormat="1" applyFont="1" applyFill="1" applyBorder="1"/>
    <xf numFmtId="177" fontId="2" fillId="9" borderId="5" xfId="0" applyNumberFormat="1" applyFont="1" applyFill="1" applyBorder="1"/>
    <xf numFmtId="177" fontId="2" fillId="9" borderId="6" xfId="0" applyNumberFormat="1" applyFont="1" applyFill="1" applyBorder="1"/>
    <xf numFmtId="37" fontId="2" fillId="9" borderId="2" xfId="0" applyFont="1" applyFill="1" applyBorder="1"/>
    <xf numFmtId="37" fontId="2" fillId="9" borderId="6" xfId="0" applyFont="1" applyFill="1" applyBorder="1"/>
    <xf numFmtId="49" fontId="1" fillId="9" borderId="7" xfId="5" applyNumberFormat="1" applyFont="1" applyFill="1" applyBorder="1"/>
    <xf numFmtId="38" fontId="6" fillId="13" borderId="0" xfId="2" applyFont="1" applyFill="1" applyBorder="1"/>
    <xf numFmtId="0" fontId="6" fillId="9" borderId="0" xfId="5" applyFont="1" applyFill="1"/>
    <xf numFmtId="183" fontId="2" fillId="10" borderId="0" xfId="2" applyNumberFormat="1" applyFont="1" applyFill="1" applyBorder="1"/>
    <xf numFmtId="38" fontId="26" fillId="13" borderId="5" xfId="2" applyFont="1" applyFill="1" applyBorder="1" applyAlignment="1">
      <alignment vertical="center"/>
    </xf>
    <xf numFmtId="37" fontId="2" fillId="10" borderId="5" xfId="0" applyFont="1" applyFill="1" applyBorder="1"/>
    <xf numFmtId="180" fontId="2" fillId="0" borderId="0" xfId="2" applyNumberFormat="1" applyFont="1"/>
    <xf numFmtId="180" fontId="2" fillId="0" borderId="12" xfId="2" applyNumberFormat="1" applyFont="1" applyBorder="1"/>
    <xf numFmtId="180" fontId="2" fillId="0" borderId="0" xfId="2" applyNumberFormat="1" applyFont="1" applyBorder="1"/>
    <xf numFmtId="180" fontId="2" fillId="0" borderId="5" xfId="2" applyNumberFormat="1" applyFont="1" applyBorder="1"/>
    <xf numFmtId="37" fontId="2" fillId="0" borderId="14" xfId="0" applyFont="1" applyBorder="1" applyAlignment="1">
      <alignment vertical="top" wrapText="1"/>
    </xf>
    <xf numFmtId="37" fontId="2" fillId="10" borderId="14" xfId="0" applyFont="1" applyFill="1" applyBorder="1" applyAlignment="1">
      <alignment wrapText="1"/>
    </xf>
    <xf numFmtId="38" fontId="26" fillId="4" borderId="6" xfId="2" applyFont="1" applyFill="1" applyBorder="1" applyAlignment="1">
      <alignment vertical="center"/>
    </xf>
    <xf numFmtId="190" fontId="2" fillId="15" borderId="12" xfId="0" applyNumberFormat="1" applyFont="1" applyFill="1" applyBorder="1"/>
    <xf numFmtId="177" fontId="2" fillId="15" borderId="12" xfId="2" applyNumberFormat="1" applyFont="1" applyFill="1" applyBorder="1"/>
    <xf numFmtId="177" fontId="2" fillId="15" borderId="0" xfId="2" applyNumberFormat="1" applyFont="1" applyFill="1" applyBorder="1"/>
    <xf numFmtId="177" fontId="2" fillId="15" borderId="5" xfId="2" applyNumberFormat="1" applyFont="1" applyFill="1" applyBorder="1"/>
    <xf numFmtId="177" fontId="26" fillId="13" borderId="0" xfId="2" applyNumberFormat="1" applyFont="1" applyFill="1" applyBorder="1"/>
    <xf numFmtId="177" fontId="26" fillId="13" borderId="0" xfId="0" applyNumberFormat="1" applyFont="1" applyFill="1"/>
    <xf numFmtId="49" fontId="1" fillId="0" borderId="5" xfId="5" applyNumberFormat="1" applyFont="1" applyBorder="1"/>
    <xf numFmtId="37" fontId="2" fillId="0" borderId="9" xfId="0" applyFont="1" applyBorder="1" applyAlignment="1">
      <alignment horizontal="center" vertical="center"/>
    </xf>
    <xf numFmtId="177" fontId="26" fillId="13" borderId="5" xfId="2" applyNumberFormat="1" applyFont="1" applyFill="1" applyBorder="1"/>
    <xf numFmtId="177" fontId="26" fillId="13" borderId="5" xfId="0" applyNumberFormat="1" applyFont="1" applyFill="1" applyBorder="1"/>
    <xf numFmtId="177" fontId="26" fillId="13" borderId="12" xfId="2" applyNumberFormat="1" applyFont="1" applyFill="1" applyBorder="1"/>
    <xf numFmtId="177" fontId="26" fillId="13" borderId="12" xfId="0" applyNumberFormat="1" applyFont="1" applyFill="1" applyBorder="1"/>
    <xf numFmtId="177" fontId="26" fillId="13" borderId="19" xfId="2" applyNumberFormat="1" applyFont="1" applyFill="1" applyBorder="1"/>
    <xf numFmtId="177" fontId="26" fillId="13" borderId="11" xfId="2" applyNumberFormat="1" applyFont="1" applyFill="1" applyBorder="1"/>
    <xf numFmtId="177" fontId="26" fillId="13" borderId="29" xfId="2" applyNumberFormat="1" applyFont="1" applyFill="1" applyBorder="1"/>
    <xf numFmtId="177" fontId="26" fillId="0" borderId="29" xfId="2" applyNumberFormat="1" applyFont="1" applyBorder="1"/>
    <xf numFmtId="37" fontId="26" fillId="9" borderId="0" xfId="0" applyFont="1" applyFill="1" applyAlignment="1">
      <alignment vertical="center"/>
    </xf>
    <xf numFmtId="38" fontId="26" fillId="15" borderId="12" xfId="2" applyFont="1" applyFill="1" applyBorder="1" applyAlignment="1">
      <alignment vertical="center"/>
    </xf>
    <xf numFmtId="38" fontId="26" fillId="15" borderId="0" xfId="2" applyFont="1" applyFill="1" applyBorder="1" applyAlignment="1">
      <alignment vertical="center"/>
    </xf>
    <xf numFmtId="38" fontId="26" fillId="15" borderId="5" xfId="2" applyFont="1" applyFill="1" applyBorder="1" applyAlignment="1">
      <alignment vertical="center"/>
    </xf>
    <xf numFmtId="37" fontId="26" fillId="7" borderId="19" xfId="0" applyFont="1" applyFill="1" applyBorder="1" applyAlignment="1">
      <alignment vertical="center"/>
    </xf>
    <xf numFmtId="178" fontId="2" fillId="10" borderId="12" xfId="0" applyNumberFormat="1" applyFont="1" applyFill="1" applyBorder="1"/>
    <xf numFmtId="40" fontId="2" fillId="13" borderId="0" xfId="2" applyNumberFormat="1" applyFont="1" applyFill="1" applyBorder="1"/>
    <xf numFmtId="177" fontId="26" fillId="13" borderId="4" xfId="2" applyNumberFormat="1" applyFont="1" applyFill="1" applyBorder="1"/>
    <xf numFmtId="177" fontId="26" fillId="13" borderId="2" xfId="2" applyNumberFormat="1" applyFont="1" applyFill="1" applyBorder="1"/>
    <xf numFmtId="177" fontId="26" fillId="13" borderId="6" xfId="2" applyNumberFormat="1" applyFont="1" applyFill="1" applyBorder="1"/>
    <xf numFmtId="177" fontId="26" fillId="13" borderId="8" xfId="2" applyNumberFormat="1" applyFont="1" applyFill="1" applyBorder="1"/>
    <xf numFmtId="177" fontId="26" fillId="13" borderId="18" xfId="2" applyNumberFormat="1" applyFont="1" applyFill="1" applyBorder="1"/>
    <xf numFmtId="177" fontId="26" fillId="13" borderId="9" xfId="2" applyNumberFormat="1" applyFont="1" applyFill="1" applyBorder="1"/>
    <xf numFmtId="38" fontId="26" fillId="10" borderId="0" xfId="2" applyFont="1" applyFill="1" applyAlignment="1">
      <alignment vertical="center"/>
    </xf>
    <xf numFmtId="37" fontId="26" fillId="15" borderId="12" xfId="0" applyFont="1" applyFill="1" applyBorder="1" applyAlignment="1">
      <alignment horizontal="center" vertical="center"/>
    </xf>
    <xf numFmtId="37" fontId="2" fillId="15" borderId="5" xfId="0" applyFont="1" applyFill="1" applyBorder="1" applyAlignment="1">
      <alignment horizontal="center"/>
    </xf>
    <xf numFmtId="178" fontId="2" fillId="15" borderId="12" xfId="0" applyNumberFormat="1" applyFont="1" applyFill="1" applyBorder="1"/>
    <xf numFmtId="37" fontId="26" fillId="13" borderId="0" xfId="0" applyFont="1" applyFill="1" applyAlignment="1">
      <alignment vertical="center"/>
    </xf>
    <xf numFmtId="37" fontId="2" fillId="10" borderId="0" xfId="0" applyFont="1" applyFill="1"/>
    <xf numFmtId="57" fontId="6" fillId="10" borderId="1" xfId="0" applyNumberFormat="1" applyFont="1" applyFill="1" applyBorder="1" applyAlignment="1">
      <alignment horizontal="center" vertical="center"/>
    </xf>
    <xf numFmtId="178" fontId="2" fillId="13" borderId="11" xfId="0" applyNumberFormat="1" applyFont="1" applyFill="1" applyBorder="1" applyAlignment="1">
      <alignment vertical="center"/>
    </xf>
    <xf numFmtId="37" fontId="2" fillId="13" borderId="19" xfId="0" applyFont="1" applyFill="1" applyBorder="1"/>
    <xf numFmtId="177" fontId="26" fillId="0" borderId="0" xfId="2" applyNumberFormat="1" applyFont="1" applyBorder="1"/>
    <xf numFmtId="177" fontId="26" fillId="0" borderId="5" xfId="2" applyNumberFormat="1" applyFont="1" applyBorder="1"/>
    <xf numFmtId="183" fontId="2" fillId="9" borderId="0" xfId="0" applyNumberFormat="1" applyFont="1" applyFill="1"/>
    <xf numFmtId="183" fontId="2" fillId="9" borderId="2" xfId="0" applyNumberFormat="1" applyFont="1" applyFill="1" applyBorder="1"/>
    <xf numFmtId="183" fontId="2" fillId="9" borderId="5" xfId="0" applyNumberFormat="1" applyFont="1" applyFill="1" applyBorder="1"/>
    <xf numFmtId="183" fontId="2" fillId="9" borderId="6" xfId="0" applyNumberFormat="1" applyFont="1" applyFill="1" applyBorder="1"/>
    <xf numFmtId="183" fontId="2" fillId="9" borderId="14" xfId="0" applyNumberFormat="1" applyFont="1" applyFill="1" applyBorder="1"/>
    <xf numFmtId="183" fontId="2" fillId="9" borderId="7" xfId="0" applyNumberFormat="1" applyFont="1" applyFill="1" applyBorder="1"/>
    <xf numFmtId="177" fontId="2" fillId="15" borderId="0" xfId="2" applyNumberFormat="1" applyFont="1" applyFill="1"/>
    <xf numFmtId="177" fontId="2" fillId="10" borderId="0" xfId="2" applyNumberFormat="1" applyFont="1" applyFill="1"/>
    <xf numFmtId="177" fontId="2" fillId="3" borderId="0" xfId="2" applyNumberFormat="1" applyFont="1" applyFill="1"/>
    <xf numFmtId="177" fontId="2" fillId="10" borderId="12" xfId="2" applyNumberFormat="1" applyFont="1" applyFill="1" applyBorder="1"/>
    <xf numFmtId="177" fontId="2" fillId="10" borderId="5" xfId="2" applyNumberFormat="1" applyFont="1" applyFill="1" applyBorder="1"/>
    <xf numFmtId="177" fontId="2" fillId="11" borderId="0" xfId="2" applyNumberFormat="1" applyFont="1" applyFill="1" applyBorder="1"/>
    <xf numFmtId="177" fontId="2" fillId="10" borderId="0" xfId="2" applyNumberFormat="1" applyFont="1" applyFill="1" applyBorder="1"/>
    <xf numFmtId="177" fontId="2" fillId="0" borderId="0" xfId="2" applyNumberFormat="1" applyFont="1"/>
    <xf numFmtId="183" fontId="2" fillId="0" borderId="0" xfId="2" applyNumberFormat="1" applyFont="1"/>
    <xf numFmtId="177" fontId="2" fillId="14" borderId="0" xfId="2" applyNumberFormat="1" applyFont="1" applyFill="1" applyBorder="1"/>
    <xf numFmtId="177" fontId="2" fillId="14" borderId="0" xfId="2" applyNumberFormat="1" applyFont="1" applyFill="1"/>
    <xf numFmtId="178" fontId="2" fillId="11" borderId="12" xfId="0" applyNumberFormat="1" applyFont="1" applyFill="1" applyBorder="1"/>
    <xf numFmtId="37" fontId="2" fillId="11" borderId="5" xfId="0" applyFont="1" applyFill="1" applyBorder="1"/>
    <xf numFmtId="179" fontId="2" fillId="11" borderId="0" xfId="2" applyNumberFormat="1" applyFont="1" applyFill="1" applyBorder="1"/>
    <xf numFmtId="179" fontId="2" fillId="11" borderId="5" xfId="2" applyNumberFormat="1" applyFont="1" applyFill="1" applyBorder="1"/>
    <xf numFmtId="179" fontId="2" fillId="11" borderId="0" xfId="2" applyNumberFormat="1" applyFont="1" applyFill="1"/>
    <xf numFmtId="179" fontId="2" fillId="11" borderId="12" xfId="2" applyNumberFormat="1" applyFont="1" applyFill="1" applyBorder="1"/>
    <xf numFmtId="183" fontId="2" fillId="10" borderId="0" xfId="2" applyNumberFormat="1" applyFont="1" applyFill="1"/>
    <xf numFmtId="183" fontId="2" fillId="3" borderId="0" xfId="2" applyNumberFormat="1" applyFont="1" applyFill="1"/>
    <xf numFmtId="183" fontId="2" fillId="14" borderId="0" xfId="2" applyNumberFormat="1" applyFont="1" applyFill="1"/>
    <xf numFmtId="183" fontId="2" fillId="10" borderId="12" xfId="2" applyNumberFormat="1" applyFont="1" applyFill="1" applyBorder="1"/>
    <xf numFmtId="183" fontId="2" fillId="3" borderId="0" xfId="2" applyNumberFormat="1" applyFont="1" applyFill="1" applyBorder="1"/>
    <xf numFmtId="183" fontId="2" fillId="10" borderId="5" xfId="2" applyNumberFormat="1" applyFont="1" applyFill="1" applyBorder="1"/>
    <xf numFmtId="183" fontId="2" fillId="14" borderId="0" xfId="2" applyNumberFormat="1" applyFont="1" applyFill="1" applyBorder="1"/>
    <xf numFmtId="37" fontId="34" fillId="0" borderId="0" xfId="0" applyFont="1"/>
    <xf numFmtId="37" fontId="35" fillId="0" borderId="0" xfId="0" applyFont="1"/>
    <xf numFmtId="37" fontId="34" fillId="3" borderId="0" xfId="0" applyFont="1" applyFill="1"/>
    <xf numFmtId="37" fontId="34" fillId="0" borderId="14" xfId="0" applyFont="1" applyBorder="1"/>
    <xf numFmtId="37" fontId="34" fillId="3" borderId="14" xfId="0" applyFont="1" applyFill="1" applyBorder="1"/>
    <xf numFmtId="0" fontId="35" fillId="0" borderId="0" xfId="5" applyFont="1"/>
    <xf numFmtId="49" fontId="35" fillId="0" borderId="0" xfId="5" applyNumberFormat="1" applyFont="1"/>
    <xf numFmtId="3" fontId="34" fillId="0" borderId="0" xfId="2" applyNumberFormat="1" applyFont="1" applyFill="1" applyBorder="1" applyProtection="1"/>
    <xf numFmtId="0" fontId="35" fillId="0" borderId="0" xfId="17" applyFont="1"/>
    <xf numFmtId="3" fontId="34" fillId="0" borderId="0" xfId="2" applyNumberFormat="1" applyFont="1" applyFill="1" applyBorder="1" applyProtection="1">
      <protection locked="0"/>
    </xf>
    <xf numFmtId="49" fontId="34" fillId="0" borderId="0" xfId="5" applyNumberFormat="1" applyFont="1" applyAlignment="1">
      <alignment horizontal="right"/>
    </xf>
    <xf numFmtId="0" fontId="34" fillId="0" borderId="0" xfId="17" applyFont="1"/>
    <xf numFmtId="0" fontId="34" fillId="0" borderId="0" xfId="17" applyFont="1" applyAlignment="1">
      <alignment horizontal="right"/>
    </xf>
    <xf numFmtId="49" fontId="34" fillId="0" borderId="0" xfId="5" applyNumberFormat="1" applyFont="1"/>
    <xf numFmtId="37" fontId="35" fillId="0" borderId="0" xfId="0" applyFont="1" applyAlignment="1">
      <alignment horizontal="left"/>
    </xf>
    <xf numFmtId="0" fontId="34" fillId="0" borderId="0" xfId="5" applyFont="1"/>
    <xf numFmtId="3" fontId="34" fillId="0" borderId="0" xfId="5" applyNumberFormat="1" applyFont="1"/>
    <xf numFmtId="3" fontId="34" fillId="0" borderId="0" xfId="2" applyNumberFormat="1" applyFont="1" applyFill="1" applyBorder="1" applyAlignment="1" applyProtection="1"/>
    <xf numFmtId="176" fontId="35" fillId="0" borderId="0" xfId="17" applyNumberFormat="1" applyFont="1" applyAlignment="1">
      <alignment horizontal="left"/>
    </xf>
    <xf numFmtId="176" fontId="35" fillId="0" borderId="0" xfId="17" applyNumberFormat="1" applyFont="1"/>
    <xf numFmtId="37" fontId="34" fillId="0" borderId="5" xfId="0" applyFont="1" applyBorder="1"/>
    <xf numFmtId="37" fontId="34" fillId="3" borderId="5" xfId="0" applyFont="1" applyFill="1" applyBorder="1"/>
    <xf numFmtId="37" fontId="2" fillId="10" borderId="5" xfId="0" applyFont="1" applyFill="1" applyBorder="1" applyAlignment="1">
      <alignment horizontal="center"/>
    </xf>
    <xf numFmtId="177" fontId="26" fillId="13" borderId="7" xfId="2" applyNumberFormat="1" applyFont="1" applyFill="1" applyBorder="1"/>
    <xf numFmtId="37" fontId="2" fillId="0" borderId="0" xfId="0" applyFont="1" applyAlignment="1">
      <alignment horizontal="center"/>
    </xf>
    <xf numFmtId="37" fontId="38" fillId="0" borderId="0" xfId="0" applyFont="1"/>
    <xf numFmtId="37" fontId="39" fillId="0" borderId="0" xfId="0" applyFont="1"/>
    <xf numFmtId="38" fontId="40" fillId="0" borderId="0" xfId="2" applyFont="1" applyFill="1"/>
    <xf numFmtId="37" fontId="34" fillId="7" borderId="12" xfId="0" applyFont="1" applyFill="1" applyBorder="1"/>
    <xf numFmtId="37" fontId="34" fillId="7" borderId="14" xfId="0" applyFont="1" applyFill="1" applyBorder="1"/>
    <xf numFmtId="37" fontId="34" fillId="3" borderId="12" xfId="0" applyFont="1" applyFill="1" applyBorder="1"/>
    <xf numFmtId="37" fontId="34" fillId="0" borderId="12" xfId="0" applyFont="1" applyBorder="1"/>
    <xf numFmtId="0" fontId="34" fillId="0" borderId="12" xfId="5" applyFont="1" applyBorder="1"/>
    <xf numFmtId="37" fontId="34" fillId="7" borderId="0" xfId="0" applyFont="1" applyFill="1"/>
    <xf numFmtId="38" fontId="34" fillId="0" borderId="12" xfId="2" applyFont="1" applyBorder="1"/>
    <xf numFmtId="37" fontId="34" fillId="4" borderId="12" xfId="0" applyFont="1" applyFill="1" applyBorder="1"/>
    <xf numFmtId="38" fontId="34" fillId="0" borderId="5" xfId="2" applyFont="1" applyBorder="1"/>
    <xf numFmtId="37" fontId="34" fillId="7" borderId="5" xfId="0" applyFont="1" applyFill="1" applyBorder="1"/>
    <xf numFmtId="37" fontId="34" fillId="8" borderId="5" xfId="0" applyFont="1" applyFill="1" applyBorder="1"/>
    <xf numFmtId="37" fontId="41" fillId="0" borderId="0" xfId="0" applyFont="1"/>
    <xf numFmtId="38" fontId="39" fillId="0" borderId="0" xfId="2" applyFont="1" applyFill="1"/>
    <xf numFmtId="37" fontId="39" fillId="0" borderId="12" xfId="0" applyFont="1" applyBorder="1" applyAlignment="1">
      <alignment vertical="top"/>
    </xf>
    <xf numFmtId="37" fontId="39" fillId="0" borderId="4" xfId="0" applyFont="1" applyBorder="1" applyAlignment="1">
      <alignment vertical="top" wrapText="1"/>
    </xf>
    <xf numFmtId="38" fontId="39" fillId="0" borderId="8" xfId="2" applyFont="1" applyFill="1" applyBorder="1" applyAlignment="1">
      <alignment vertical="top" wrapText="1"/>
    </xf>
    <xf numFmtId="38" fontId="39" fillId="0" borderId="4" xfId="2" applyFont="1" applyFill="1" applyBorder="1" applyAlignment="1">
      <alignment vertical="top" wrapText="1"/>
    </xf>
    <xf numFmtId="38" fontId="39" fillId="0" borderId="12" xfId="2" applyFont="1" applyFill="1" applyBorder="1" applyAlignment="1">
      <alignment vertical="top" wrapText="1"/>
    </xf>
    <xf numFmtId="38" fontId="39" fillId="0" borderId="0" xfId="2" applyFont="1" applyFill="1" applyBorder="1" applyAlignment="1">
      <alignment vertical="top" wrapText="1"/>
    </xf>
    <xf numFmtId="38" fontId="41" fillId="0" borderId="0" xfId="2" applyFont="1" applyFill="1" applyBorder="1" applyAlignment="1">
      <alignment vertical="top" wrapText="1"/>
    </xf>
    <xf numFmtId="37" fontId="39" fillId="0" borderId="0" xfId="0" applyFont="1" applyAlignment="1">
      <alignment vertical="top" wrapText="1"/>
    </xf>
    <xf numFmtId="37" fontId="39" fillId="0" borderId="2" xfId="0" applyFont="1" applyBorder="1" applyAlignment="1">
      <alignment vertical="top" wrapText="1"/>
    </xf>
    <xf numFmtId="38" fontId="39" fillId="0" borderId="18" xfId="2" applyFont="1" applyFill="1" applyBorder="1" applyAlignment="1">
      <alignment vertical="top" wrapText="1"/>
    </xf>
    <xf numFmtId="38" fontId="39" fillId="0" borderId="11" xfId="2" applyFont="1" applyFill="1" applyBorder="1" applyAlignment="1">
      <alignment vertical="top" wrapText="1"/>
    </xf>
    <xf numFmtId="38" fontId="39" fillId="3" borderId="8" xfId="2" applyFont="1" applyFill="1" applyBorder="1" applyAlignment="1">
      <alignment vertical="top" wrapText="1"/>
    </xf>
    <xf numFmtId="38" fontId="39" fillId="0" borderId="19" xfId="2" applyFont="1" applyFill="1" applyBorder="1" applyAlignment="1">
      <alignment vertical="top" wrapText="1"/>
    </xf>
    <xf numFmtId="38" fontId="39" fillId="3" borderId="18" xfId="2" applyFont="1" applyFill="1" applyBorder="1" applyAlignment="1">
      <alignment vertical="top" wrapText="1"/>
    </xf>
    <xf numFmtId="37" fontId="39" fillId="0" borderId="5" xfId="0" applyFont="1" applyBorder="1"/>
    <xf numFmtId="37" fontId="39" fillId="0" borderId="6" xfId="0" applyFont="1" applyBorder="1"/>
    <xf numFmtId="38" fontId="41" fillId="0" borderId="5" xfId="2" applyFont="1" applyFill="1" applyBorder="1"/>
    <xf numFmtId="38" fontId="41" fillId="3" borderId="5" xfId="2" applyFont="1" applyFill="1" applyBorder="1"/>
    <xf numFmtId="38" fontId="41" fillId="0" borderId="0" xfId="2" applyFont="1" applyFill="1" applyBorder="1"/>
    <xf numFmtId="0" fontId="39" fillId="0" borderId="0" xfId="0" applyNumberFormat="1" applyFont="1" applyAlignment="1">
      <alignment horizontal="right"/>
    </xf>
    <xf numFmtId="0" fontId="39" fillId="0" borderId="2" xfId="0" applyNumberFormat="1" applyFont="1" applyBorder="1"/>
    <xf numFmtId="38" fontId="41" fillId="0" borderId="0" xfId="2" applyFont="1" applyFill="1"/>
    <xf numFmtId="38" fontId="41" fillId="3" borderId="0" xfId="2" applyFont="1" applyFill="1"/>
    <xf numFmtId="49" fontId="39" fillId="0" borderId="0" xfId="0" applyNumberFormat="1" applyFont="1" applyAlignment="1">
      <alignment horizontal="right"/>
    </xf>
    <xf numFmtId="49" fontId="39" fillId="0" borderId="0" xfId="7" applyNumberFormat="1" applyFont="1" applyAlignment="1">
      <alignment horizontal="right"/>
    </xf>
    <xf numFmtId="0" fontId="39" fillId="0" borderId="2" xfId="7" applyFont="1" applyBorder="1"/>
    <xf numFmtId="37" fontId="34" fillId="7" borderId="14" xfId="0" applyFont="1" applyFill="1" applyBorder="1" applyAlignment="1">
      <alignment horizontal="center"/>
    </xf>
    <xf numFmtId="37" fontId="34" fillId="0" borderId="14" xfId="0" applyFont="1" applyBorder="1" applyAlignment="1">
      <alignment horizontal="center"/>
    </xf>
    <xf numFmtId="37" fontId="34" fillId="7" borderId="12" xfId="0" applyFont="1" applyFill="1" applyBorder="1" applyAlignment="1">
      <alignment horizontal="center"/>
    </xf>
    <xf numFmtId="37" fontId="34" fillId="15" borderId="14" xfId="0" applyFont="1" applyFill="1" applyBorder="1"/>
    <xf numFmtId="184" fontId="2" fillId="13" borderId="12" xfId="0" applyNumberFormat="1" applyFont="1" applyFill="1" applyBorder="1"/>
    <xf numFmtId="37" fontId="2" fillId="0" borderId="0" xfId="0" quotePrefix="1" applyFont="1"/>
    <xf numFmtId="37" fontId="26" fillId="0" borderId="11" xfId="0" applyFont="1" applyBorder="1" applyAlignment="1">
      <alignment vertical="center"/>
    </xf>
    <xf numFmtId="37" fontId="26" fillId="0" borderId="19" xfId="0" applyFont="1" applyBorder="1" applyAlignment="1">
      <alignment horizontal="center" vertical="center"/>
    </xf>
    <xf numFmtId="177" fontId="6" fillId="0" borderId="0" xfId="5" applyNumberFormat="1" applyFont="1" applyAlignment="1">
      <alignment horizontal="right"/>
    </xf>
    <xf numFmtId="184" fontId="2" fillId="0" borderId="0" xfId="0" applyNumberFormat="1" applyFont="1" applyAlignment="1">
      <alignment horizontal="right"/>
    </xf>
    <xf numFmtId="37" fontId="1" fillId="13" borderId="0" xfId="0" applyFont="1" applyFill="1"/>
    <xf numFmtId="37" fontId="26" fillId="13" borderId="0" xfId="0" applyFont="1" applyFill="1"/>
    <xf numFmtId="37" fontId="36" fillId="0" borderId="0" xfId="0" applyFont="1"/>
    <xf numFmtId="37" fontId="42" fillId="0" borderId="0" xfId="0" applyFont="1"/>
    <xf numFmtId="37" fontId="2" fillId="11" borderId="5" xfId="0" applyFont="1" applyFill="1" applyBorder="1" applyAlignment="1">
      <alignment horizontal="center"/>
    </xf>
    <xf numFmtId="183" fontId="2" fillId="11" borderId="0" xfId="2" applyNumberFormat="1" applyFont="1" applyFill="1" applyBorder="1"/>
    <xf numFmtId="183" fontId="2" fillId="11" borderId="5" xfId="2" applyNumberFormat="1" applyFont="1" applyFill="1" applyBorder="1"/>
    <xf numFmtId="183" fontId="2" fillId="11" borderId="0" xfId="2" applyNumberFormat="1" applyFont="1" applyFill="1"/>
    <xf numFmtId="183" fontId="2" fillId="11" borderId="12" xfId="2" applyNumberFormat="1" applyFont="1" applyFill="1" applyBorder="1"/>
    <xf numFmtId="177" fontId="2" fillId="11" borderId="5" xfId="2" applyNumberFormat="1" applyFont="1" applyFill="1" applyBorder="1"/>
    <xf numFmtId="177" fontId="2" fillId="11" borderId="0" xfId="2" applyNumberFormat="1" applyFont="1" applyFill="1"/>
    <xf numFmtId="177" fontId="2" fillId="11" borderId="12" xfId="2" applyNumberFormat="1" applyFont="1" applyFill="1" applyBorder="1"/>
    <xf numFmtId="38" fontId="6" fillId="0" borderId="0" xfId="2" applyFont="1" applyFill="1" applyBorder="1" applyAlignment="1" applyProtection="1">
      <alignment vertical="center"/>
    </xf>
    <xf numFmtId="57" fontId="6" fillId="12" borderId="0" xfId="5" applyNumberFormat="1" applyFont="1" applyFill="1"/>
    <xf numFmtId="0" fontId="6" fillId="12" borderId="0" xfId="5" applyFont="1" applyFill="1"/>
    <xf numFmtId="38" fontId="41" fillId="0" borderId="12" xfId="2" applyFont="1" applyFill="1" applyBorder="1" applyAlignment="1">
      <alignment vertical="top" wrapText="1"/>
    </xf>
    <xf numFmtId="38" fontId="41" fillId="0" borderId="12" xfId="2" applyFont="1" applyFill="1" applyBorder="1"/>
    <xf numFmtId="37" fontId="34" fillId="0" borderId="8" xfId="0" applyFont="1" applyBorder="1"/>
    <xf numFmtId="37" fontId="34" fillId="0" borderId="4" xfId="0" applyFont="1" applyBorder="1"/>
    <xf numFmtId="37" fontId="34" fillId="0" borderId="18" xfId="0" applyFont="1" applyBorder="1"/>
    <xf numFmtId="37" fontId="34" fillId="0" borderId="2" xfId="0" applyFont="1" applyBorder="1"/>
    <xf numFmtId="38" fontId="26" fillId="16" borderId="0" xfId="2" applyFont="1" applyFill="1" applyAlignment="1">
      <alignment vertical="center"/>
    </xf>
    <xf numFmtId="37" fontId="26" fillId="16" borderId="27" xfId="0" applyFont="1" applyFill="1" applyBorder="1" applyAlignment="1">
      <alignment vertical="center"/>
    </xf>
    <xf numFmtId="37" fontId="26" fillId="16" borderId="28" xfId="0" applyFont="1" applyFill="1" applyBorder="1" applyAlignment="1">
      <alignment vertical="center"/>
    </xf>
    <xf numFmtId="37" fontId="26" fillId="16" borderId="19" xfId="0" applyFont="1" applyFill="1" applyBorder="1" applyAlignment="1">
      <alignment horizontal="center" vertical="center"/>
    </xf>
    <xf numFmtId="37" fontId="26" fillId="16" borderId="18" xfId="0" applyFont="1" applyFill="1" applyBorder="1" applyAlignment="1">
      <alignment horizontal="center" vertical="center"/>
    </xf>
    <xf numFmtId="37" fontId="26" fillId="16" borderId="19" xfId="0" applyFont="1" applyFill="1" applyBorder="1" applyAlignment="1">
      <alignment vertical="center"/>
    </xf>
    <xf numFmtId="37" fontId="26" fillId="16" borderId="18" xfId="0" applyFont="1" applyFill="1" applyBorder="1" applyAlignment="1">
      <alignment vertical="center"/>
    </xf>
    <xf numFmtId="38" fontId="26" fillId="16" borderId="12" xfId="2" applyFont="1" applyFill="1" applyBorder="1" applyAlignment="1">
      <alignment vertical="center"/>
    </xf>
    <xf numFmtId="38" fontId="26" fillId="16" borderId="0" xfId="2" applyFont="1" applyFill="1" applyBorder="1" applyAlignment="1">
      <alignment vertical="center"/>
    </xf>
    <xf numFmtId="38" fontId="26" fillId="16" borderId="14" xfId="2" applyFont="1" applyFill="1" applyBorder="1" applyAlignment="1">
      <alignment vertical="center"/>
    </xf>
    <xf numFmtId="38" fontId="26" fillId="16" borderId="5" xfId="2" applyFont="1" applyFill="1" applyBorder="1" applyAlignment="1">
      <alignment vertical="center"/>
    </xf>
    <xf numFmtId="38" fontId="26" fillId="16" borderId="0" xfId="0" applyNumberFormat="1" applyFont="1" applyFill="1" applyAlignment="1">
      <alignment vertical="center"/>
    </xf>
    <xf numFmtId="37" fontId="26" fillId="16" borderId="0" xfId="0" applyFont="1" applyFill="1" applyAlignment="1">
      <alignment vertical="center"/>
    </xf>
    <xf numFmtId="37" fontId="26" fillId="16" borderId="12" xfId="0" applyFont="1" applyFill="1" applyBorder="1" applyAlignment="1">
      <alignment vertical="center"/>
    </xf>
    <xf numFmtId="37" fontId="26" fillId="16" borderId="0" xfId="0" applyFont="1" applyFill="1" applyAlignment="1">
      <alignment horizontal="center" vertical="center"/>
    </xf>
    <xf numFmtId="37" fontId="26" fillId="16" borderId="5" xfId="0" applyFont="1" applyFill="1" applyBorder="1" applyAlignment="1">
      <alignment vertical="center"/>
    </xf>
    <xf numFmtId="189" fontId="22" fillId="4" borderId="3" xfId="0" applyNumberFormat="1" applyFont="1" applyFill="1" applyBorder="1" applyAlignment="1">
      <alignment horizontal="center" vertical="center" shrinkToFit="1"/>
    </xf>
    <xf numFmtId="177" fontId="22" fillId="3" borderId="7" xfId="0" applyNumberFormat="1" applyFont="1" applyFill="1" applyBorder="1" applyAlignment="1">
      <alignment horizontal="center" vertical="center" wrapText="1"/>
    </xf>
    <xf numFmtId="38" fontId="22" fillId="4" borderId="8" xfId="2" applyFont="1" applyFill="1" applyBorder="1"/>
    <xf numFmtId="38" fontId="22" fillId="4" borderId="4" xfId="2" applyFont="1" applyFill="1" applyBorder="1"/>
    <xf numFmtId="38" fontId="22" fillId="4" borderId="18" xfId="2" applyFont="1" applyFill="1" applyBorder="1"/>
    <xf numFmtId="38" fontId="22" fillId="4" borderId="2" xfId="2" applyFont="1" applyFill="1" applyBorder="1"/>
    <xf numFmtId="38" fontId="22" fillId="4" borderId="9" xfId="2" applyFont="1" applyFill="1" applyBorder="1"/>
    <xf numFmtId="38" fontId="22" fillId="4" borderId="6" xfId="2" applyFont="1" applyFill="1" applyBorder="1"/>
    <xf numFmtId="37" fontId="22" fillId="4" borderId="18" xfId="0" applyFont="1" applyFill="1" applyBorder="1"/>
    <xf numFmtId="37" fontId="22" fillId="4" borderId="9" xfId="0" applyFont="1" applyFill="1" applyBorder="1"/>
    <xf numFmtId="38" fontId="2" fillId="0" borderId="12" xfId="2" applyFont="1" applyFill="1" applyBorder="1" applyAlignment="1">
      <alignment vertical="center"/>
    </xf>
    <xf numFmtId="38" fontId="2" fillId="0" borderId="12" xfId="2" applyFont="1" applyFill="1" applyBorder="1" applyAlignment="1">
      <alignment horizontal="right" vertical="center"/>
    </xf>
    <xf numFmtId="38" fontId="2" fillId="0" borderId="0" xfId="2" applyFont="1" applyFill="1" applyBorder="1" applyAlignment="1">
      <alignment vertical="center"/>
    </xf>
    <xf numFmtId="38" fontId="2" fillId="0" borderId="5" xfId="2" applyFont="1" applyFill="1" applyBorder="1" applyAlignment="1">
      <alignment vertical="center"/>
    </xf>
    <xf numFmtId="38" fontId="2" fillId="0" borderId="14" xfId="2" applyFont="1" applyFill="1" applyBorder="1" applyAlignment="1">
      <alignment vertical="center"/>
    </xf>
    <xf numFmtId="177" fontId="2" fillId="0" borderId="0" xfId="2" applyNumberFormat="1" applyFont="1" applyFill="1" applyBorder="1"/>
    <xf numFmtId="177" fontId="2" fillId="0" borderId="12" xfId="2" applyNumberFormat="1" applyFont="1" applyFill="1" applyBorder="1"/>
    <xf numFmtId="177" fontId="2" fillId="0" borderId="5" xfId="2" applyNumberFormat="1" applyFont="1" applyFill="1" applyBorder="1"/>
    <xf numFmtId="177" fontId="2" fillId="0" borderId="14" xfId="2" applyNumberFormat="1" applyFont="1" applyFill="1" applyBorder="1"/>
    <xf numFmtId="38" fontId="2" fillId="0" borderId="0" xfId="2" applyFont="1" applyFill="1" applyBorder="1"/>
    <xf numFmtId="38" fontId="2" fillId="0" borderId="5" xfId="2" applyFont="1" applyFill="1" applyBorder="1"/>
    <xf numFmtId="38" fontId="2" fillId="0" borderId="12" xfId="2" applyFont="1" applyFill="1" applyBorder="1"/>
    <xf numFmtId="38" fontId="2" fillId="0" borderId="0" xfId="2" applyFont="1" applyFill="1"/>
    <xf numFmtId="49" fontId="2" fillId="0" borderId="2" xfId="5" applyNumberFormat="1" applyFont="1" applyBorder="1" applyAlignment="1">
      <alignment vertical="center"/>
    </xf>
    <xf numFmtId="38" fontId="2" fillId="0" borderId="0" xfId="2" applyFont="1" applyBorder="1" applyAlignment="1">
      <alignment vertical="center"/>
    </xf>
    <xf numFmtId="38" fontId="2" fillId="7" borderId="0" xfId="2" applyFont="1" applyFill="1" applyBorder="1" applyAlignment="1">
      <alignment vertical="center"/>
    </xf>
    <xf numFmtId="38" fontId="2" fillId="0" borderId="0" xfId="2" applyFont="1" applyAlignment="1">
      <alignment vertical="center"/>
    </xf>
    <xf numFmtId="37" fontId="1" fillId="0" borderId="12" xfId="0" applyFont="1" applyBorder="1" applyAlignment="1">
      <alignment vertical="center"/>
    </xf>
    <xf numFmtId="37" fontId="1" fillId="7" borderId="12" xfId="0" applyFont="1" applyFill="1" applyBorder="1" applyAlignment="1">
      <alignment vertical="center"/>
    </xf>
    <xf numFmtId="37" fontId="2" fillId="3" borderId="12" xfId="0" applyFont="1" applyFill="1" applyBorder="1" applyAlignment="1">
      <alignment vertical="center"/>
    </xf>
    <xf numFmtId="37" fontId="2" fillId="0" borderId="12" xfId="0" applyFont="1" applyBorder="1" applyAlignment="1">
      <alignment vertical="center"/>
    </xf>
    <xf numFmtId="0" fontId="2" fillId="3" borderId="12" xfId="5" applyFont="1" applyFill="1" applyBorder="1" applyAlignment="1">
      <alignment vertical="center"/>
    </xf>
    <xf numFmtId="0" fontId="2" fillId="0" borderId="12" xfId="5" applyFont="1" applyBorder="1" applyAlignment="1">
      <alignment vertical="center"/>
    </xf>
    <xf numFmtId="0" fontId="2" fillId="0" borderId="5" xfId="5" applyFont="1" applyBorder="1" applyAlignment="1">
      <alignment vertical="center"/>
    </xf>
    <xf numFmtId="0" fontId="2" fillId="7" borderId="5" xfId="5" applyFont="1" applyFill="1" applyBorder="1" applyAlignment="1">
      <alignment vertical="center"/>
    </xf>
    <xf numFmtId="38" fontId="2" fillId="3" borderId="5" xfId="5" applyNumberFormat="1" applyFont="1" applyFill="1" applyBorder="1" applyAlignment="1">
      <alignment vertical="center"/>
    </xf>
    <xf numFmtId="37" fontId="2" fillId="3" borderId="5" xfId="0" applyFont="1" applyFill="1" applyBorder="1" applyAlignment="1">
      <alignment vertical="center"/>
    </xf>
    <xf numFmtId="37" fontId="14" fillId="0" borderId="0" xfId="0" applyFont="1" applyAlignment="1">
      <alignment vertical="center"/>
    </xf>
    <xf numFmtId="49" fontId="1" fillId="0" borderId="4" xfId="5" applyNumberFormat="1" applyFont="1" applyBorder="1" applyAlignment="1">
      <alignment vertical="center"/>
    </xf>
    <xf numFmtId="49" fontId="1" fillId="7" borderId="12" xfId="5" applyNumberFormat="1" applyFont="1" applyFill="1" applyBorder="1" applyAlignment="1">
      <alignment vertical="center"/>
    </xf>
    <xf numFmtId="38" fontId="2" fillId="3" borderId="12" xfId="2" applyFont="1" applyFill="1" applyBorder="1" applyAlignment="1">
      <alignment vertical="center"/>
    </xf>
    <xf numFmtId="38" fontId="2" fillId="0" borderId="12" xfId="2" applyFont="1" applyBorder="1" applyAlignment="1">
      <alignment vertical="center"/>
    </xf>
    <xf numFmtId="49" fontId="1" fillId="0" borderId="2" xfId="5" applyNumberFormat="1" applyFont="1" applyBorder="1" applyAlignment="1">
      <alignment vertical="center"/>
    </xf>
    <xf numFmtId="49" fontId="1" fillId="7" borderId="0" xfId="5" applyNumberFormat="1" applyFont="1" applyFill="1" applyAlignment="1">
      <alignment vertical="center"/>
    </xf>
    <xf numFmtId="38" fontId="2" fillId="3" borderId="0" xfId="2" applyFont="1" applyFill="1" applyBorder="1" applyAlignment="1">
      <alignment vertical="center"/>
    </xf>
    <xf numFmtId="37" fontId="1" fillId="0" borderId="2" xfId="0" applyFont="1" applyBorder="1" applyAlignment="1">
      <alignment vertical="center"/>
    </xf>
    <xf numFmtId="37" fontId="1" fillId="7" borderId="0" xfId="0" applyFont="1" applyFill="1" applyAlignment="1">
      <alignment vertical="center"/>
    </xf>
    <xf numFmtId="49" fontId="2" fillId="7" borderId="0" xfId="5" applyNumberFormat="1" applyFont="1" applyFill="1" applyAlignment="1">
      <alignment vertical="center"/>
    </xf>
    <xf numFmtId="37" fontId="1" fillId="0" borderId="2" xfId="0" applyFont="1" applyBorder="1" applyAlignment="1">
      <alignment horizontal="left" vertical="center"/>
    </xf>
    <xf numFmtId="37" fontId="1" fillId="7" borderId="0" xfId="0" applyFont="1" applyFill="1" applyAlignment="1">
      <alignment horizontal="left" vertical="center"/>
    </xf>
    <xf numFmtId="0" fontId="2" fillId="0" borderId="2" xfId="5" applyFont="1" applyBorder="1" applyAlignment="1">
      <alignment vertical="center"/>
    </xf>
    <xf numFmtId="0" fontId="2" fillId="7" borderId="0" xfId="5" applyFont="1" applyFill="1" applyAlignment="1">
      <alignment vertical="center"/>
    </xf>
    <xf numFmtId="176" fontId="1" fillId="0" borderId="2" xfId="17" applyNumberFormat="1" applyFont="1" applyBorder="1" applyAlignment="1">
      <alignment horizontal="left" vertical="center"/>
    </xf>
    <xf numFmtId="176" fontId="1" fillId="7" borderId="0" xfId="17" applyNumberFormat="1" applyFont="1" applyFill="1" applyAlignment="1">
      <alignment horizontal="left" vertical="center"/>
    </xf>
    <xf numFmtId="0" fontId="1" fillId="0" borderId="2" xfId="5" applyFont="1" applyBorder="1" applyAlignment="1">
      <alignment vertical="center"/>
    </xf>
    <xf numFmtId="0" fontId="1" fillId="7" borderId="0" xfId="5" applyFont="1" applyFill="1" applyAlignment="1">
      <alignment vertical="center"/>
    </xf>
    <xf numFmtId="176" fontId="1" fillId="0" borderId="2" xfId="17" applyNumberFormat="1" applyFont="1" applyBorder="1" applyAlignment="1">
      <alignment vertical="center"/>
    </xf>
    <xf numFmtId="176" fontId="1" fillId="7" borderId="0" xfId="17" applyNumberFormat="1" applyFont="1" applyFill="1" applyAlignment="1">
      <alignment vertical="center"/>
    </xf>
    <xf numFmtId="49" fontId="2" fillId="0" borderId="6" xfId="5" applyNumberFormat="1" applyFont="1" applyBorder="1" applyAlignment="1">
      <alignment vertical="center"/>
    </xf>
    <xf numFmtId="49" fontId="2" fillId="7" borderId="5" xfId="5" applyNumberFormat="1" applyFont="1" applyFill="1" applyBorder="1" applyAlignment="1">
      <alignment vertical="center"/>
    </xf>
    <xf numFmtId="38" fontId="2" fillId="3" borderId="5" xfId="2" applyFont="1" applyFill="1" applyBorder="1" applyAlignment="1">
      <alignment vertical="center"/>
    </xf>
    <xf numFmtId="38" fontId="2" fillId="0" borderId="5" xfId="2" applyFont="1" applyBorder="1" applyAlignment="1">
      <alignment vertical="center"/>
    </xf>
    <xf numFmtId="37" fontId="1" fillId="0" borderId="14" xfId="0" applyFont="1" applyBorder="1" applyAlignment="1">
      <alignment vertical="center"/>
    </xf>
    <xf numFmtId="0" fontId="2" fillId="0" borderId="14" xfId="5" applyFont="1" applyBorder="1" applyAlignment="1">
      <alignment vertical="center"/>
    </xf>
    <xf numFmtId="37" fontId="1" fillId="0" borderId="5" xfId="0" applyFont="1" applyBorder="1" applyAlignment="1">
      <alignment vertical="center"/>
    </xf>
    <xf numFmtId="182" fontId="2" fillId="3" borderId="5" xfId="2" applyNumberFormat="1" applyFont="1" applyFill="1" applyBorder="1" applyAlignment="1">
      <alignment vertical="center"/>
    </xf>
    <xf numFmtId="182" fontId="2" fillId="0" borderId="5" xfId="2" applyNumberFormat="1" applyFont="1" applyFill="1" applyBorder="1" applyAlignment="1">
      <alignment vertical="center"/>
    </xf>
    <xf numFmtId="37" fontId="2" fillId="4" borderId="0" xfId="0" applyFont="1" applyFill="1" applyAlignment="1">
      <alignment vertical="center"/>
    </xf>
    <xf numFmtId="182" fontId="2" fillId="4" borderId="0" xfId="2" applyNumberFormat="1" applyFont="1" applyFill="1" applyBorder="1" applyAlignment="1">
      <alignment vertical="center"/>
    </xf>
    <xf numFmtId="182" fontId="2" fillId="0" borderId="0" xfId="2" applyNumberFormat="1" applyFont="1" applyFill="1" applyBorder="1" applyAlignment="1">
      <alignment vertical="center"/>
    </xf>
    <xf numFmtId="37" fontId="2" fillId="4" borderId="12" xfId="0" applyFont="1" applyFill="1" applyBorder="1" applyAlignment="1">
      <alignment vertical="center"/>
    </xf>
    <xf numFmtId="182" fontId="2" fillId="4" borderId="12" xfId="2" applyNumberFormat="1" applyFont="1" applyFill="1" applyBorder="1" applyAlignment="1">
      <alignment vertical="center"/>
    </xf>
    <xf numFmtId="37" fontId="2" fillId="4" borderId="5" xfId="5" applyNumberFormat="1" applyFont="1" applyFill="1" applyBorder="1" applyAlignment="1">
      <alignment vertical="center"/>
    </xf>
    <xf numFmtId="38" fontId="2" fillId="4" borderId="5" xfId="5" applyNumberFormat="1" applyFont="1" applyFill="1" applyBorder="1" applyAlignment="1">
      <alignment vertical="center"/>
    </xf>
    <xf numFmtId="0" fontId="2" fillId="4" borderId="5" xfId="5" applyFont="1" applyFill="1" applyBorder="1" applyAlignment="1">
      <alignment vertical="center"/>
    </xf>
    <xf numFmtId="37" fontId="2" fillId="4" borderId="5" xfId="0" applyFont="1" applyFill="1" applyBorder="1" applyAlignment="1">
      <alignment vertical="center"/>
    </xf>
    <xf numFmtId="49" fontId="1" fillId="7" borderId="2" xfId="5" applyNumberFormat="1" applyFont="1" applyFill="1" applyBorder="1" applyAlignment="1">
      <alignment vertical="center"/>
    </xf>
    <xf numFmtId="38" fontId="2" fillId="7" borderId="0" xfId="2" applyFont="1" applyFill="1" applyAlignment="1">
      <alignment vertical="center"/>
    </xf>
    <xf numFmtId="38" fontId="2" fillId="3" borderId="0" xfId="2" applyFont="1" applyFill="1" applyAlignment="1">
      <alignment vertical="center"/>
    </xf>
    <xf numFmtId="38" fontId="2" fillId="0" borderId="0" xfId="2" applyFont="1" applyFill="1" applyAlignment="1">
      <alignment vertical="center"/>
    </xf>
    <xf numFmtId="38" fontId="2" fillId="3" borderId="0" xfId="2" applyFont="1" applyFill="1" applyBorder="1" applyAlignment="1" applyProtection="1">
      <alignment vertical="center"/>
    </xf>
    <xf numFmtId="49" fontId="2" fillId="7" borderId="2" xfId="5" applyNumberFormat="1" applyFont="1" applyFill="1" applyBorder="1" applyAlignment="1">
      <alignment vertical="center"/>
    </xf>
    <xf numFmtId="38" fontId="2" fillId="3" borderId="0" xfId="2" applyFont="1" applyFill="1" applyBorder="1" applyAlignment="1" applyProtection="1">
      <alignment horizontal="left" vertical="center"/>
    </xf>
    <xf numFmtId="0" fontId="2" fillId="7" borderId="2" xfId="5" applyFont="1" applyFill="1" applyBorder="1" applyAlignment="1">
      <alignment vertical="center"/>
    </xf>
    <xf numFmtId="38" fontId="2" fillId="3" borderId="0" xfId="2" applyFont="1" applyFill="1" applyBorder="1" applyAlignment="1">
      <alignment horizontal="left" vertical="center"/>
    </xf>
    <xf numFmtId="178" fontId="2" fillId="0" borderId="0" xfId="0" applyNumberFormat="1" applyFont="1" applyAlignment="1">
      <alignment vertical="center"/>
    </xf>
    <xf numFmtId="184" fontId="2" fillId="0" borderId="12" xfId="0" applyNumberFormat="1" applyFont="1" applyBorder="1"/>
    <xf numFmtId="178" fontId="2" fillId="0" borderId="12" xfId="0" applyNumberFormat="1" applyFont="1" applyBorder="1"/>
    <xf numFmtId="177" fontId="2" fillId="0" borderId="14" xfId="0" applyNumberFormat="1" applyFont="1" applyBorder="1"/>
    <xf numFmtId="38" fontId="14" fillId="0" borderId="0" xfId="2" applyFont="1" applyFill="1" applyBorder="1"/>
    <xf numFmtId="37" fontId="34" fillId="0" borderId="6" xfId="0" applyFont="1" applyBorder="1"/>
    <xf numFmtId="9" fontId="34" fillId="0" borderId="0" xfId="1" applyFont="1"/>
    <xf numFmtId="37" fontId="34" fillId="0" borderId="3" xfId="0" applyFont="1" applyBorder="1"/>
    <xf numFmtId="37" fontId="34" fillId="15" borderId="7" xfId="0" applyFont="1" applyFill="1" applyBorder="1"/>
    <xf numFmtId="37" fontId="34" fillId="0" borderId="7" xfId="0" applyFont="1" applyBorder="1"/>
    <xf numFmtId="37" fontId="34" fillId="0" borderId="9" xfId="0" applyFont="1" applyBorder="1"/>
    <xf numFmtId="186" fontId="41" fillId="0" borderId="0" xfId="1" applyNumberFormat="1" applyFont="1" applyFill="1"/>
    <xf numFmtId="38" fontId="45" fillId="0" borderId="13" xfId="2" applyFont="1" applyFill="1" applyBorder="1" applyAlignment="1">
      <alignment vertical="center"/>
    </xf>
    <xf numFmtId="38" fontId="45" fillId="0" borderId="17" xfId="2" applyFont="1" applyFill="1" applyBorder="1" applyAlignment="1">
      <alignment vertical="center"/>
    </xf>
    <xf numFmtId="37" fontId="26" fillId="0" borderId="4" xfId="0" applyFont="1" applyBorder="1" applyAlignment="1">
      <alignment vertical="top" wrapText="1"/>
    </xf>
    <xf numFmtId="37" fontId="26" fillId="0" borderId="29" xfId="0" applyFont="1" applyBorder="1" applyAlignment="1">
      <alignment horizontal="center" vertical="top" wrapText="1"/>
    </xf>
    <xf numFmtId="37" fontId="26" fillId="0" borderId="5" xfId="0" applyFont="1" applyBorder="1" applyAlignment="1">
      <alignment vertical="top" wrapText="1"/>
    </xf>
    <xf numFmtId="37" fontId="26" fillId="0" borderId="29" xfId="0" applyFont="1" applyBorder="1" applyAlignment="1">
      <alignment vertical="top" wrapText="1"/>
    </xf>
    <xf numFmtId="37" fontId="26" fillId="0" borderId="9" xfId="0" applyFont="1" applyBorder="1" applyAlignment="1">
      <alignment horizontal="center" vertical="top" wrapText="1"/>
    </xf>
    <xf numFmtId="37" fontId="26" fillId="0" borderId="3" xfId="0" applyFont="1" applyBorder="1" applyAlignment="1">
      <alignment vertical="top" wrapText="1"/>
    </xf>
    <xf numFmtId="37" fontId="26" fillId="0" borderId="1" xfId="0" applyFont="1" applyBorder="1" applyAlignment="1">
      <alignment vertical="top" wrapText="1"/>
    </xf>
    <xf numFmtId="37" fontId="26" fillId="0" borderId="7" xfId="0" applyFont="1" applyBorder="1" applyAlignment="1">
      <alignment vertical="top" wrapText="1"/>
    </xf>
    <xf numFmtId="37" fontId="26" fillId="0" borderId="5" xfId="0" applyFont="1" applyBorder="1" applyAlignment="1">
      <alignment horizontal="center" vertical="top" wrapText="1"/>
    </xf>
    <xf numFmtId="177" fontId="26" fillId="0" borderId="11" xfId="0" applyNumberFormat="1" applyFont="1" applyBorder="1"/>
    <xf numFmtId="177" fontId="26" fillId="0" borderId="12" xfId="0" applyNumberFormat="1" applyFont="1" applyBorder="1"/>
    <xf numFmtId="177" fontId="26" fillId="0" borderId="4" xfId="0" applyNumberFormat="1" applyFont="1" applyBorder="1"/>
    <xf numFmtId="177" fontId="26" fillId="0" borderId="19" xfId="0" applyNumberFormat="1" applyFont="1" applyBorder="1"/>
    <xf numFmtId="177" fontId="26" fillId="0" borderId="0" xfId="0" applyNumberFormat="1" applyFont="1"/>
    <xf numFmtId="177" fontId="26" fillId="0" borderId="2" xfId="0" applyNumberFormat="1" applyFont="1" applyBorder="1"/>
    <xf numFmtId="177" fontId="26" fillId="0" borderId="1" xfId="0" applyNumberFormat="1" applyFont="1" applyBorder="1"/>
    <xf numFmtId="177" fontId="26" fillId="0" borderId="14" xfId="0" applyNumberFormat="1" applyFont="1" applyBorder="1"/>
    <xf numFmtId="177" fontId="26" fillId="0" borderId="7" xfId="0" applyNumberFormat="1" applyFont="1" applyBorder="1"/>
    <xf numFmtId="177" fontId="26" fillId="0" borderId="6" xfId="0" applyNumberFormat="1" applyFont="1" applyBorder="1"/>
    <xf numFmtId="177" fontId="26" fillId="0" borderId="29" xfId="0" applyNumberFormat="1" applyFont="1" applyBorder="1"/>
    <xf numFmtId="177" fontId="26" fillId="0" borderId="5" xfId="0" applyNumberFormat="1" applyFont="1" applyBorder="1"/>
    <xf numFmtId="191" fontId="26" fillId="0" borderId="0" xfId="2" applyNumberFormat="1" applyFont="1" applyFill="1" applyBorder="1"/>
    <xf numFmtId="37" fontId="14" fillId="0" borderId="8" xfId="0" applyFont="1" applyBorder="1"/>
    <xf numFmtId="37" fontId="36" fillId="0" borderId="8" xfId="0" applyFont="1" applyBorder="1"/>
    <xf numFmtId="37" fontId="14" fillId="0" borderId="4" xfId="0" applyFont="1" applyBorder="1"/>
    <xf numFmtId="37" fontId="36" fillId="0" borderId="3" xfId="0" applyFont="1" applyBorder="1"/>
    <xf numFmtId="37" fontId="14" fillId="0" borderId="7" xfId="0" applyFont="1" applyBorder="1"/>
    <xf numFmtId="37" fontId="36" fillId="0" borderId="8" xfId="0" applyFont="1" applyBorder="1" applyAlignment="1">
      <alignment vertical="center"/>
    </xf>
    <xf numFmtId="37" fontId="14" fillId="0" borderId="4" xfId="0" applyFont="1" applyBorder="1" applyAlignment="1">
      <alignment vertical="center"/>
    </xf>
    <xf numFmtId="37" fontId="36" fillId="0" borderId="9" xfId="0" applyFont="1" applyBorder="1" applyAlignment="1">
      <alignment vertical="center"/>
    </xf>
    <xf numFmtId="37" fontId="14" fillId="0" borderId="6" xfId="0" applyFont="1" applyBorder="1" applyAlignment="1">
      <alignment vertical="center"/>
    </xf>
    <xf numFmtId="37" fontId="29" fillId="0" borderId="3" xfId="0" applyFont="1" applyBorder="1" applyAlignment="1">
      <alignment vertical="center" wrapText="1"/>
    </xf>
    <xf numFmtId="37" fontId="30" fillId="0" borderId="7" xfId="0" applyFont="1" applyBorder="1" applyAlignment="1">
      <alignment vertical="center" wrapText="1"/>
    </xf>
    <xf numFmtId="38" fontId="26" fillId="0" borderId="0" xfId="2" applyFont="1" applyFill="1" applyBorder="1"/>
    <xf numFmtId="37" fontId="14" fillId="0" borderId="3" xfId="0" applyFont="1" applyBorder="1"/>
    <xf numFmtId="37" fontId="14" fillId="0" borderId="8" xfId="0" applyFont="1" applyBorder="1" applyAlignment="1">
      <alignment vertical="center"/>
    </xf>
    <xf numFmtId="37" fontId="26" fillId="0" borderId="19" xfId="0" applyFont="1" applyBorder="1" applyAlignment="1">
      <alignment horizontal="center" vertical="top" wrapText="1"/>
    </xf>
    <xf numFmtId="37" fontId="14" fillId="0" borderId="9" xfId="0" applyFont="1" applyBorder="1" applyAlignment="1">
      <alignment vertical="center"/>
    </xf>
    <xf numFmtId="177" fontId="26" fillId="0" borderId="8" xfId="0" applyNumberFormat="1" applyFont="1" applyBorder="1"/>
    <xf numFmtId="177" fontId="26" fillId="0" borderId="18" xfId="0" applyNumberFormat="1" applyFont="1" applyBorder="1"/>
    <xf numFmtId="177" fontId="26" fillId="0" borderId="3" xfId="0" applyNumberFormat="1" applyFont="1" applyBorder="1"/>
    <xf numFmtId="177" fontId="26" fillId="0" borderId="9" xfId="0" applyNumberFormat="1" applyFont="1" applyBorder="1"/>
    <xf numFmtId="37" fontId="27" fillId="0" borderId="0" xfId="0" applyFont="1"/>
    <xf numFmtId="37" fontId="26" fillId="0" borderId="0" xfId="0" applyFont="1" applyAlignment="1">
      <alignment horizontal="center" vertical="top" wrapText="1"/>
    </xf>
    <xf numFmtId="37" fontId="26" fillId="0" borderId="2" xfId="0" applyFont="1" applyBorder="1" applyAlignment="1">
      <alignment horizontal="center" vertical="top" wrapText="1"/>
    </xf>
    <xf numFmtId="177" fontId="26" fillId="0" borderId="8" xfId="2" applyNumberFormat="1" applyFont="1" applyFill="1" applyBorder="1"/>
    <xf numFmtId="177" fontId="26" fillId="0" borderId="11" xfId="2" applyNumberFormat="1" applyFont="1" applyFill="1" applyBorder="1"/>
    <xf numFmtId="177" fontId="26" fillId="0" borderId="12" xfId="2" applyNumberFormat="1" applyFont="1" applyFill="1" applyBorder="1"/>
    <xf numFmtId="177" fontId="26" fillId="0" borderId="4" xfId="2" applyNumberFormat="1" applyFont="1" applyFill="1" applyBorder="1"/>
    <xf numFmtId="177" fontId="26" fillId="0" borderId="18" xfId="2" applyNumberFormat="1" applyFont="1" applyFill="1" applyBorder="1"/>
    <xf numFmtId="177" fontId="26" fillId="0" borderId="19" xfId="2" applyNumberFormat="1" applyFont="1" applyFill="1" applyBorder="1"/>
    <xf numFmtId="177" fontId="26" fillId="0" borderId="0" xfId="2" applyNumberFormat="1" applyFont="1" applyFill="1" applyBorder="1"/>
    <xf numFmtId="177" fontId="26" fillId="0" borderId="2" xfId="2" applyNumberFormat="1" applyFont="1" applyFill="1" applyBorder="1"/>
    <xf numFmtId="177" fontId="26" fillId="0" borderId="9" xfId="2" applyNumberFormat="1" applyFont="1" applyFill="1" applyBorder="1"/>
    <xf numFmtId="177" fontId="26" fillId="0" borderId="29" xfId="2" applyNumberFormat="1" applyFont="1" applyFill="1" applyBorder="1"/>
    <xf numFmtId="177" fontId="26" fillId="0" borderId="5" xfId="2" applyNumberFormat="1" applyFont="1" applyFill="1" applyBorder="1"/>
    <xf numFmtId="177" fontId="26" fillId="0" borderId="6" xfId="2" applyNumberFormat="1" applyFont="1" applyFill="1" applyBorder="1"/>
    <xf numFmtId="38" fontId="26" fillId="0" borderId="18" xfId="2" applyFont="1" applyFill="1" applyBorder="1"/>
    <xf numFmtId="38" fontId="26" fillId="0" borderId="12" xfId="2" applyFont="1" applyFill="1" applyBorder="1"/>
    <xf numFmtId="38" fontId="26" fillId="0" borderId="29" xfId="2" applyFont="1" applyFill="1" applyBorder="1"/>
    <xf numFmtId="38" fontId="26" fillId="0" borderId="6" xfId="2" applyFont="1" applyFill="1" applyBorder="1"/>
    <xf numFmtId="183" fontId="14" fillId="0" borderId="0" xfId="2" applyNumberFormat="1" applyFont="1" applyFill="1"/>
    <xf numFmtId="177" fontId="26" fillId="0" borderId="1" xfId="2" applyNumberFormat="1" applyFont="1" applyFill="1" applyBorder="1"/>
    <xf numFmtId="37" fontId="26" fillId="0" borderId="0" xfId="0" applyFont="1" applyAlignment="1">
      <alignment horizontal="right"/>
    </xf>
    <xf numFmtId="37" fontId="26" fillId="0" borderId="2" xfId="0" applyFont="1" applyBorder="1" applyAlignment="1">
      <alignment vertical="top" wrapText="1"/>
    </xf>
    <xf numFmtId="177" fontId="26" fillId="0" borderId="7" xfId="2" applyNumberFormat="1" applyFont="1" applyFill="1" applyBorder="1"/>
    <xf numFmtId="177" fontId="26" fillId="0" borderId="14" xfId="2" applyNumberFormat="1" applyFont="1" applyFill="1" applyBorder="1"/>
    <xf numFmtId="177" fontId="26" fillId="0" borderId="3" xfId="2" applyNumberFormat="1" applyFont="1" applyFill="1" applyBorder="1"/>
    <xf numFmtId="38" fontId="26" fillId="0" borderId="5" xfId="2" applyFont="1" applyFill="1" applyBorder="1"/>
    <xf numFmtId="37" fontId="29" fillId="0" borderId="1" xfId="0" applyFont="1" applyBorder="1" applyAlignment="1">
      <alignment vertical="top" wrapText="1"/>
    </xf>
    <xf numFmtId="37" fontId="30" fillId="0" borderId="1" xfId="0" applyFont="1" applyBorder="1" applyAlignment="1">
      <alignment vertical="top" wrapText="1"/>
    </xf>
    <xf numFmtId="37" fontId="20" fillId="0" borderId="8" xfId="0" applyFont="1" applyBorder="1" applyAlignment="1">
      <alignment vertical="center"/>
    </xf>
    <xf numFmtId="37" fontId="20" fillId="0" borderId="9" xfId="0" applyFont="1" applyBorder="1" applyAlignment="1">
      <alignment vertical="center"/>
    </xf>
    <xf numFmtId="37" fontId="20" fillId="0" borderId="6" xfId="0" applyFont="1" applyBorder="1" applyAlignment="1">
      <alignment vertical="center"/>
    </xf>
    <xf numFmtId="37" fontId="2" fillId="0" borderId="0" xfId="0" applyFont="1" applyAlignment="1">
      <alignment horizontal="right"/>
    </xf>
    <xf numFmtId="180" fontId="2" fillId="0" borderId="12" xfId="2" applyNumberFormat="1" applyFont="1" applyFill="1" applyBorder="1"/>
    <xf numFmtId="180" fontId="2" fillId="0" borderId="0" xfId="2" applyNumberFormat="1" applyFont="1" applyFill="1" applyBorder="1"/>
    <xf numFmtId="180" fontId="2" fillId="0" borderId="5" xfId="2" applyNumberFormat="1" applyFont="1" applyFill="1" applyBorder="1"/>
    <xf numFmtId="38" fontId="45" fillId="0" borderId="14" xfId="2" applyFont="1" applyFill="1" applyBorder="1" applyAlignment="1">
      <alignment vertical="center"/>
    </xf>
    <xf numFmtId="184" fontId="2" fillId="0" borderId="14" xfId="2" applyNumberFormat="1" applyFont="1" applyFill="1" applyBorder="1"/>
    <xf numFmtId="184" fontId="2" fillId="0" borderId="0" xfId="0" applyNumberFormat="1" applyFont="1"/>
    <xf numFmtId="178" fontId="2" fillId="0" borderId="0" xfId="0" applyNumberFormat="1" applyFont="1"/>
    <xf numFmtId="37" fontId="45" fillId="0" borderId="0" xfId="0" applyFont="1"/>
    <xf numFmtId="37" fontId="26" fillId="0" borderId="28" xfId="0" applyFont="1" applyBorder="1" applyAlignment="1">
      <alignment vertical="center"/>
    </xf>
    <xf numFmtId="37" fontId="2" fillId="0" borderId="11" xfId="0" applyFont="1" applyBorder="1"/>
    <xf numFmtId="37" fontId="26" fillId="0" borderId="18" xfId="0" applyFont="1" applyBorder="1" applyAlignment="1">
      <alignment horizontal="center" vertical="center"/>
    </xf>
    <xf numFmtId="37" fontId="2" fillId="0" borderId="19" xfId="0" applyFont="1" applyBorder="1"/>
    <xf numFmtId="37" fontId="26" fillId="0" borderId="18" xfId="0" applyFont="1" applyBorder="1" applyAlignment="1">
      <alignment vertical="center"/>
    </xf>
    <xf numFmtId="37" fontId="26" fillId="0" borderId="19" xfId="0" applyFont="1" applyBorder="1" applyAlignment="1">
      <alignment vertical="center"/>
    </xf>
    <xf numFmtId="38" fontId="46" fillId="4" borderId="14" xfId="2" applyFont="1" applyFill="1" applyBorder="1" applyAlignment="1">
      <alignment vertical="center"/>
    </xf>
    <xf numFmtId="177" fontId="26" fillId="4" borderId="14" xfId="2" applyNumberFormat="1" applyFont="1" applyFill="1" applyBorder="1" applyAlignment="1">
      <alignment vertical="center"/>
    </xf>
    <xf numFmtId="38" fontId="14" fillId="0" borderId="4" xfId="2" applyFont="1" applyFill="1" applyBorder="1" applyAlignment="1">
      <alignment vertical="center"/>
    </xf>
    <xf numFmtId="38" fontId="20" fillId="0" borderId="4" xfId="2" applyFont="1" applyFill="1" applyBorder="1" applyAlignment="1">
      <alignment vertical="center"/>
    </xf>
    <xf numFmtId="38" fontId="2" fillId="9" borderId="8" xfId="2" applyFont="1" applyFill="1" applyBorder="1" applyAlignment="1">
      <alignment vertical="center"/>
    </xf>
    <xf numFmtId="38" fontId="2" fillId="9" borderId="4" xfId="2" applyFont="1" applyFill="1" applyBorder="1" applyAlignment="1">
      <alignment horizontal="right" vertical="center"/>
    </xf>
    <xf numFmtId="178" fontId="2" fillId="9" borderId="8" xfId="0" applyNumberFormat="1" applyFont="1" applyFill="1" applyBorder="1" applyAlignment="1">
      <alignment vertical="center"/>
    </xf>
    <xf numFmtId="178" fontId="2" fillId="9" borderId="12" xfId="0" applyNumberFormat="1" applyFont="1" applyFill="1" applyBorder="1" applyAlignment="1">
      <alignment vertical="center"/>
    </xf>
    <xf numFmtId="178" fontId="2" fillId="13" borderId="12" xfId="0" applyNumberFormat="1" applyFont="1" applyFill="1" applyBorder="1" applyAlignment="1">
      <alignment vertical="center"/>
    </xf>
    <xf numFmtId="37" fontId="2" fillId="9" borderId="12" xfId="0" applyFont="1" applyFill="1" applyBorder="1"/>
    <xf numFmtId="38" fontId="2" fillId="9" borderId="18" xfId="2" applyFont="1" applyFill="1" applyBorder="1" applyAlignment="1">
      <alignment vertical="center"/>
    </xf>
    <xf numFmtId="38" fontId="2" fillId="9" borderId="2" xfId="2" applyFont="1" applyFill="1" applyBorder="1" applyAlignment="1">
      <alignment vertical="center"/>
    </xf>
    <xf numFmtId="37" fontId="2" fillId="9" borderId="18" xfId="0" applyFont="1" applyFill="1" applyBorder="1" applyAlignment="1">
      <alignment horizontal="center" vertical="center"/>
    </xf>
    <xf numFmtId="37" fontId="2" fillId="9" borderId="0" xfId="0" applyFont="1" applyFill="1" applyAlignment="1">
      <alignment horizontal="center" vertical="center"/>
    </xf>
    <xf numFmtId="37" fontId="2" fillId="9" borderId="18" xfId="0" applyFont="1" applyFill="1" applyBorder="1"/>
    <xf numFmtId="37" fontId="2" fillId="9" borderId="19" xfId="0" applyFont="1" applyFill="1" applyBorder="1" applyAlignment="1">
      <alignment horizontal="center"/>
    </xf>
    <xf numFmtId="38" fontId="2" fillId="9" borderId="9" xfId="2" applyFont="1" applyFill="1" applyBorder="1" applyAlignment="1">
      <alignment vertical="center"/>
    </xf>
    <xf numFmtId="38" fontId="2" fillId="9" borderId="6" xfId="2" applyFont="1" applyFill="1" applyBorder="1" applyAlignment="1">
      <alignment vertical="center"/>
    </xf>
    <xf numFmtId="37" fontId="2" fillId="9" borderId="9" xfId="0" applyFont="1" applyFill="1" applyBorder="1" applyAlignment="1">
      <alignment vertical="center"/>
    </xf>
    <xf numFmtId="37" fontId="2" fillId="9" borderId="5" xfId="0" applyFont="1" applyFill="1" applyBorder="1" applyAlignment="1">
      <alignment vertical="center"/>
    </xf>
    <xf numFmtId="37" fontId="2" fillId="13" borderId="5" xfId="0" applyFont="1" applyFill="1" applyBorder="1" applyAlignment="1">
      <alignment horizontal="center"/>
    </xf>
    <xf numFmtId="37" fontId="2" fillId="0" borderId="29" xfId="0" applyFont="1" applyBorder="1"/>
    <xf numFmtId="37" fontId="2" fillId="9" borderId="3" xfId="0" applyFont="1" applyFill="1" applyBorder="1"/>
    <xf numFmtId="37" fontId="2" fillId="9" borderId="14" xfId="0" applyFont="1" applyFill="1" applyBorder="1"/>
    <xf numFmtId="183" fontId="2" fillId="9" borderId="1" xfId="2" applyNumberFormat="1" applyFont="1" applyFill="1" applyBorder="1"/>
    <xf numFmtId="183" fontId="2" fillId="9" borderId="19" xfId="2" applyNumberFormat="1" applyFont="1" applyFill="1" applyBorder="1"/>
    <xf numFmtId="37" fontId="2" fillId="9" borderId="9" xfId="0" applyFont="1" applyFill="1" applyBorder="1"/>
    <xf numFmtId="183" fontId="2" fillId="9" borderId="29" xfId="2" applyNumberFormat="1" applyFont="1" applyFill="1" applyBorder="1"/>
    <xf numFmtId="0" fontId="1" fillId="9" borderId="0" xfId="5" applyFont="1" applyFill="1"/>
    <xf numFmtId="37" fontId="2" fillId="9" borderId="0" xfId="0" applyFont="1" applyFill="1" applyAlignment="1">
      <alignment horizontal="center"/>
    </xf>
    <xf numFmtId="37" fontId="1" fillId="0" borderId="5" xfId="0" applyFont="1" applyBorder="1"/>
    <xf numFmtId="37" fontId="2" fillId="0" borderId="8" xfId="0" applyFont="1" applyBorder="1"/>
    <xf numFmtId="37" fontId="2" fillId="0" borderId="12" xfId="0" applyFont="1" applyBorder="1" applyAlignment="1">
      <alignment horizontal="right"/>
    </xf>
    <xf numFmtId="178" fontId="2" fillId="0" borderId="8" xfId="0" applyNumberFormat="1" applyFont="1" applyBorder="1" applyAlignment="1">
      <alignment vertical="center"/>
    </xf>
    <xf numFmtId="178" fontId="2" fillId="4" borderId="8" xfId="0" applyNumberFormat="1" applyFont="1" applyFill="1" applyBorder="1" applyAlignment="1">
      <alignment vertical="center"/>
    </xf>
    <xf numFmtId="178" fontId="2" fillId="4" borderId="4" xfId="0" applyNumberFormat="1" applyFont="1" applyFill="1" applyBorder="1" applyAlignment="1">
      <alignment vertical="center"/>
    </xf>
    <xf numFmtId="37" fontId="2" fillId="0" borderId="18" xfId="0" applyFont="1" applyBorder="1"/>
    <xf numFmtId="37" fontId="2" fillId="4" borderId="9" xfId="0" applyFont="1" applyFill="1" applyBorder="1"/>
    <xf numFmtId="37" fontId="2" fillId="13" borderId="29" xfId="0" applyFont="1" applyFill="1" applyBorder="1"/>
    <xf numFmtId="37" fontId="2" fillId="13" borderId="29" xfId="0" applyFont="1" applyFill="1" applyBorder="1" applyAlignment="1">
      <alignment horizontal="center"/>
    </xf>
    <xf numFmtId="0" fontId="2" fillId="0" borderId="3" xfId="5" applyFont="1" applyBorder="1"/>
    <xf numFmtId="192" fontId="2" fillId="0" borderId="3" xfId="0" applyNumberFormat="1" applyFont="1" applyBorder="1"/>
    <xf numFmtId="192" fontId="2" fillId="0" borderId="14" xfId="0" applyNumberFormat="1" applyFont="1" applyBorder="1"/>
    <xf numFmtId="183" fontId="2" fillId="0" borderId="14" xfId="0" applyNumberFormat="1" applyFont="1" applyBorder="1"/>
    <xf numFmtId="183" fontId="2" fillId="0" borderId="3" xfId="0" applyNumberFormat="1" applyFont="1" applyBorder="1"/>
    <xf numFmtId="183" fontId="2" fillId="0" borderId="7" xfId="0" applyNumberFormat="1" applyFont="1" applyBorder="1"/>
    <xf numFmtId="188" fontId="2" fillId="0" borderId="0" xfId="2" applyNumberFormat="1" applyFont="1"/>
    <xf numFmtId="189" fontId="2" fillId="0" borderId="18" xfId="5" applyNumberFormat="1" applyFont="1" applyBorder="1"/>
    <xf numFmtId="192" fontId="2" fillId="0" borderId="18" xfId="0" applyNumberFormat="1" applyFont="1" applyBorder="1"/>
    <xf numFmtId="192" fontId="2" fillId="0" borderId="0" xfId="0" applyNumberFormat="1" applyFont="1"/>
    <xf numFmtId="192" fontId="2" fillId="0" borderId="8" xfId="0" applyNumberFormat="1" applyFont="1" applyBorder="1"/>
    <xf numFmtId="192" fontId="2" fillId="0" borderId="12" xfId="0" applyNumberFormat="1" applyFont="1" applyBorder="1"/>
    <xf numFmtId="183" fontId="2" fillId="0" borderId="0" xfId="0" applyNumberFormat="1" applyFont="1"/>
    <xf numFmtId="183" fontId="2" fillId="0" borderId="18" xfId="0" applyNumberFormat="1" applyFont="1" applyBorder="1"/>
    <xf numFmtId="183" fontId="2" fillId="0" borderId="2" xfId="0" applyNumberFormat="1" applyFont="1" applyBorder="1"/>
    <xf numFmtId="183" fontId="2" fillId="0" borderId="18" xfId="2" applyNumberFormat="1" applyFont="1" applyBorder="1"/>
    <xf numFmtId="183" fontId="2" fillId="0" borderId="2" xfId="2" applyNumberFormat="1" applyFont="1" applyBorder="1"/>
    <xf numFmtId="189" fontId="2" fillId="0" borderId="9" xfId="5" applyNumberFormat="1" applyFont="1" applyBorder="1"/>
    <xf numFmtId="192" fontId="2" fillId="0" borderId="9" xfId="0" applyNumberFormat="1" applyFont="1" applyBorder="1"/>
    <xf numFmtId="192" fontId="2" fillId="0" borderId="5" xfId="0" applyNumberFormat="1" applyFont="1" applyBorder="1"/>
    <xf numFmtId="183" fontId="2" fillId="0" borderId="5" xfId="0" applyNumberFormat="1" applyFont="1" applyBorder="1"/>
    <xf numFmtId="183" fontId="2" fillId="0" borderId="9" xfId="0" applyNumberFormat="1" applyFont="1" applyBorder="1"/>
    <xf numFmtId="183" fontId="2" fillId="0" borderId="6" xfId="0" applyNumberFormat="1" applyFont="1" applyBorder="1"/>
    <xf numFmtId="189" fontId="2" fillId="0" borderId="0" xfId="5" applyNumberFormat="1" applyFont="1"/>
    <xf numFmtId="183" fontId="2" fillId="0" borderId="3" xfId="2" applyNumberFormat="1" applyFont="1" applyBorder="1"/>
    <xf numFmtId="183" fontId="2" fillId="0" borderId="14" xfId="2" applyNumberFormat="1" applyFont="1" applyBorder="1"/>
    <xf numFmtId="183" fontId="2" fillId="0" borderId="7" xfId="2" applyNumberFormat="1" applyFont="1" applyBorder="1"/>
    <xf numFmtId="192" fontId="2" fillId="4" borderId="18" xfId="0" applyNumberFormat="1" applyFont="1" applyFill="1" applyBorder="1"/>
    <xf numFmtId="183" fontId="2" fillId="4" borderId="0" xfId="0" applyNumberFormat="1" applyFont="1" applyFill="1"/>
    <xf numFmtId="183" fontId="2" fillId="4" borderId="18" xfId="0" applyNumberFormat="1" applyFont="1" applyFill="1" applyBorder="1"/>
    <xf numFmtId="183" fontId="2" fillId="4" borderId="2" xfId="0" applyNumberFormat="1" applyFont="1" applyFill="1" applyBorder="1"/>
    <xf numFmtId="183" fontId="2" fillId="0" borderId="9" xfId="2" applyNumberFormat="1" applyFont="1" applyBorder="1"/>
    <xf numFmtId="37" fontId="27" fillId="9" borderId="0" xfId="0" applyFont="1" applyFill="1"/>
    <xf numFmtId="37" fontId="26" fillId="9" borderId="65" xfId="0" applyFont="1" applyFill="1" applyBorder="1"/>
    <xf numFmtId="37" fontId="26" fillId="9" borderId="66" xfId="0" applyFont="1" applyFill="1" applyBorder="1"/>
    <xf numFmtId="37" fontId="26" fillId="9" borderId="67" xfId="0" applyFont="1" applyFill="1" applyBorder="1"/>
    <xf numFmtId="37" fontId="26" fillId="9" borderId="68" xfId="0" applyFont="1" applyFill="1" applyBorder="1"/>
    <xf numFmtId="37" fontId="26" fillId="9" borderId="25" xfId="0" applyFont="1" applyFill="1" applyBorder="1"/>
    <xf numFmtId="37" fontId="26" fillId="9" borderId="26" xfId="0" applyFont="1" applyFill="1" applyBorder="1" applyAlignment="1">
      <alignment horizontal="center"/>
    </xf>
    <xf numFmtId="37" fontId="26" fillId="9" borderId="28" xfId="0" applyFont="1" applyFill="1" applyBorder="1"/>
    <xf numFmtId="37" fontId="26" fillId="9" borderId="26" xfId="0" applyFont="1" applyFill="1" applyBorder="1"/>
    <xf numFmtId="37" fontId="26" fillId="9" borderId="39" xfId="0" applyFont="1" applyFill="1" applyBorder="1"/>
    <xf numFmtId="37" fontId="26" fillId="9" borderId="13" xfId="0" applyFont="1" applyFill="1" applyBorder="1"/>
    <xf numFmtId="37" fontId="26" fillId="9" borderId="38" xfId="0" applyFont="1" applyFill="1" applyBorder="1"/>
    <xf numFmtId="37" fontId="26" fillId="9" borderId="69" xfId="0" applyFont="1" applyFill="1" applyBorder="1"/>
    <xf numFmtId="37" fontId="26" fillId="9" borderId="27" xfId="0" applyFont="1" applyFill="1" applyBorder="1"/>
    <xf numFmtId="37" fontId="26" fillId="9" borderId="70" xfId="0" applyFont="1" applyFill="1" applyBorder="1"/>
    <xf numFmtId="37" fontId="26" fillId="4" borderId="0" xfId="0" applyFont="1" applyFill="1"/>
    <xf numFmtId="37" fontId="26" fillId="9" borderId="2" xfId="0" applyFont="1" applyFill="1" applyBorder="1"/>
    <xf numFmtId="37" fontId="26" fillId="9" borderId="19" xfId="0" applyFont="1" applyFill="1" applyBorder="1"/>
    <xf numFmtId="37" fontId="26" fillId="9" borderId="36" xfId="0" applyFont="1" applyFill="1" applyBorder="1"/>
    <xf numFmtId="37" fontId="26" fillId="9" borderId="35" xfId="0" applyFont="1" applyFill="1" applyBorder="1"/>
    <xf numFmtId="37" fontId="26" fillId="9" borderId="47" xfId="0" applyFont="1" applyFill="1" applyBorder="1"/>
    <xf numFmtId="37" fontId="26" fillId="9" borderId="15" xfId="0" applyFont="1" applyFill="1" applyBorder="1"/>
    <xf numFmtId="37" fontId="26" fillId="9" borderId="12" xfId="0" applyFont="1" applyFill="1" applyBorder="1"/>
    <xf numFmtId="37" fontId="26" fillId="9" borderId="40" xfId="0" applyFont="1" applyFill="1" applyBorder="1"/>
    <xf numFmtId="37" fontId="26" fillId="9" borderId="4" xfId="0" applyFont="1" applyFill="1" applyBorder="1"/>
    <xf numFmtId="37" fontId="26" fillId="9" borderId="11" xfId="0" applyFont="1" applyFill="1" applyBorder="1"/>
    <xf numFmtId="37" fontId="26" fillId="9" borderId="16" xfId="0" applyFont="1" applyFill="1" applyBorder="1"/>
    <xf numFmtId="37" fontId="26" fillId="9" borderId="5" xfId="0" applyFont="1" applyFill="1" applyBorder="1"/>
    <xf numFmtId="37" fontId="26" fillId="9" borderId="41" xfId="0" applyFont="1" applyFill="1" applyBorder="1"/>
    <xf numFmtId="37" fontId="26" fillId="9" borderId="6" xfId="0" applyFont="1" applyFill="1" applyBorder="1"/>
    <xf numFmtId="37" fontId="26" fillId="9" borderId="29" xfId="0" applyFont="1" applyFill="1" applyBorder="1"/>
    <xf numFmtId="37" fontId="26" fillId="9" borderId="42" xfId="0" applyFont="1" applyFill="1" applyBorder="1"/>
    <xf numFmtId="37" fontId="26" fillId="9" borderId="43" xfId="0" applyFont="1" applyFill="1" applyBorder="1"/>
    <xf numFmtId="37" fontId="26" fillId="9" borderId="44" xfId="0" applyFont="1" applyFill="1" applyBorder="1"/>
    <xf numFmtId="37" fontId="26" fillId="9" borderId="45" xfId="0" applyFont="1" applyFill="1" applyBorder="1"/>
    <xf numFmtId="37" fontId="26" fillId="9" borderId="26" xfId="0" applyFont="1" applyFill="1" applyBorder="1" applyAlignment="1">
      <alignment horizontal="center" vertical="center"/>
    </xf>
    <xf numFmtId="37" fontId="26" fillId="9" borderId="13" xfId="0" applyFont="1" applyFill="1" applyBorder="1" applyAlignment="1">
      <alignment horizontal="center"/>
    </xf>
    <xf numFmtId="37" fontId="26" fillId="9" borderId="0" xfId="0" applyFont="1" applyFill="1" applyAlignment="1">
      <alignment horizontal="center" vertical="center"/>
    </xf>
    <xf numFmtId="37" fontId="26" fillId="9" borderId="18" xfId="0" applyFont="1" applyFill="1" applyBorder="1"/>
    <xf numFmtId="37" fontId="26" fillId="9" borderId="30" xfId="0" applyFont="1" applyFill="1" applyBorder="1"/>
    <xf numFmtId="37" fontId="26" fillId="9" borderId="32" xfId="0" applyFont="1" applyFill="1" applyBorder="1" applyAlignment="1">
      <alignment horizontal="center" vertical="center"/>
    </xf>
    <xf numFmtId="37" fontId="26" fillId="9" borderId="46" xfId="0" applyFont="1" applyFill="1" applyBorder="1"/>
    <xf numFmtId="37" fontId="26" fillId="9" borderId="32" xfId="0" applyFont="1" applyFill="1" applyBorder="1"/>
    <xf numFmtId="37" fontId="26" fillId="9" borderId="34" xfId="0" applyFont="1" applyFill="1" applyBorder="1"/>
    <xf numFmtId="37" fontId="26" fillId="9" borderId="71" xfId="0" applyFont="1" applyFill="1" applyBorder="1"/>
    <xf numFmtId="37" fontId="26" fillId="9" borderId="0" xfId="0" applyFont="1" applyFill="1" applyAlignment="1">
      <alignment horizontal="right"/>
    </xf>
    <xf numFmtId="37" fontId="26" fillId="9" borderId="0" xfId="0" quotePrefix="1" applyFont="1" applyFill="1" applyAlignment="1">
      <alignment horizontal="center"/>
    </xf>
    <xf numFmtId="177" fontId="22" fillId="9" borderId="0" xfId="0" applyNumberFormat="1" applyFont="1" applyFill="1"/>
    <xf numFmtId="183" fontId="26" fillId="9" borderId="29" xfId="2" applyNumberFormat="1" applyFont="1" applyFill="1" applyBorder="1" applyAlignment="1">
      <alignment vertical="center"/>
    </xf>
    <xf numFmtId="38" fontId="26" fillId="9" borderId="19" xfId="2" applyFont="1" applyFill="1" applyBorder="1" applyAlignment="1">
      <alignment vertical="center"/>
    </xf>
    <xf numFmtId="37" fontId="26" fillId="9" borderId="53" xfId="0" applyFont="1" applyFill="1" applyBorder="1" applyAlignment="1">
      <alignment horizontal="center"/>
    </xf>
    <xf numFmtId="37" fontId="22" fillId="9" borderId="0" xfId="0" applyFont="1" applyFill="1"/>
    <xf numFmtId="37" fontId="26" fillId="10" borderId="0" xfId="0" applyFont="1" applyFill="1"/>
    <xf numFmtId="184" fontId="26" fillId="0" borderId="0" xfId="0" applyNumberFormat="1" applyFont="1"/>
    <xf numFmtId="184" fontId="26" fillId="0" borderId="0" xfId="0" applyNumberFormat="1" applyFont="1" applyAlignment="1">
      <alignment horizontal="right"/>
    </xf>
    <xf numFmtId="37" fontId="26" fillId="0" borderId="12" xfId="0" applyFont="1" applyBorder="1"/>
    <xf numFmtId="37" fontId="26" fillId="0" borderId="5" xfId="0" applyFont="1" applyBorder="1"/>
    <xf numFmtId="38" fontId="2" fillId="4" borderId="12" xfId="2" applyFont="1" applyFill="1" applyBorder="1" applyAlignment="1">
      <alignment horizontal="center" vertical="center"/>
    </xf>
    <xf numFmtId="178" fontId="2" fillId="15" borderId="12" xfId="0" applyNumberFormat="1" applyFont="1" applyFill="1" applyBorder="1" applyAlignment="1">
      <alignment vertical="center"/>
    </xf>
    <xf numFmtId="0" fontId="27" fillId="0" borderId="0" xfId="18" quotePrefix="1" applyFont="1" applyAlignment="1">
      <alignment horizontal="left"/>
    </xf>
    <xf numFmtId="0" fontId="26" fillId="0" borderId="0" xfId="18" applyFont="1"/>
    <xf numFmtId="0" fontId="26" fillId="0" borderId="0" xfId="18" applyFont="1" applyAlignment="1">
      <alignment horizontal="right"/>
    </xf>
    <xf numFmtId="0" fontId="26" fillId="0" borderId="12" xfId="18" applyFont="1" applyBorder="1" applyAlignment="1">
      <alignment horizontal="left"/>
    </xf>
    <xf numFmtId="0" fontId="26" fillId="0" borderId="12" xfId="18" applyFont="1" applyBorder="1"/>
    <xf numFmtId="0" fontId="26" fillId="0" borderId="12" xfId="18" quotePrefix="1" applyFont="1" applyBorder="1"/>
    <xf numFmtId="0" fontId="26" fillId="7" borderId="12" xfId="18" applyFont="1" applyFill="1" applyBorder="1"/>
    <xf numFmtId="179" fontId="26" fillId="7" borderId="12" xfId="2" applyNumberFormat="1" applyFont="1" applyFill="1" applyBorder="1"/>
    <xf numFmtId="0" fontId="26" fillId="7" borderId="0" xfId="18" applyFont="1" applyFill="1"/>
    <xf numFmtId="179" fontId="26" fillId="7" borderId="0" xfId="2" applyNumberFormat="1" applyFont="1" applyFill="1" applyBorder="1"/>
    <xf numFmtId="179" fontId="26" fillId="0" borderId="12" xfId="2" applyNumberFormat="1" applyFont="1" applyFill="1" applyBorder="1"/>
    <xf numFmtId="179" fontId="26" fillId="0" borderId="0" xfId="2" applyNumberFormat="1" applyFont="1" applyFill="1" applyBorder="1"/>
    <xf numFmtId="178" fontId="26" fillId="4" borderId="0" xfId="0" applyNumberFormat="1" applyFont="1" applyFill="1"/>
    <xf numFmtId="179" fontId="26" fillId="4" borderId="0" xfId="2" applyNumberFormat="1" applyFont="1" applyFill="1" applyBorder="1"/>
    <xf numFmtId="178" fontId="26" fillId="0" borderId="5" xfId="0" applyNumberFormat="1" applyFont="1" applyBorder="1"/>
    <xf numFmtId="179" fontId="26" fillId="4" borderId="5" xfId="2" applyNumberFormat="1" applyFont="1" applyFill="1" applyBorder="1"/>
    <xf numFmtId="179" fontId="26" fillId="15" borderId="0" xfId="2" applyNumberFormat="1" applyFont="1" applyFill="1"/>
    <xf numFmtId="37" fontId="26" fillId="15" borderId="0" xfId="0" applyFont="1" applyFill="1"/>
    <xf numFmtId="179" fontId="26" fillId="10" borderId="0" xfId="2" applyNumberFormat="1" applyFont="1" applyFill="1"/>
    <xf numFmtId="184" fontId="26" fillId="0" borderId="0" xfId="0" quotePrefix="1" applyNumberFormat="1" applyFont="1"/>
    <xf numFmtId="0" fontId="26" fillId="0" borderId="5" xfId="18" applyFont="1" applyBorder="1"/>
    <xf numFmtId="178" fontId="26" fillId="4" borderId="0" xfId="0" applyNumberFormat="1" applyFont="1" applyFill="1" applyAlignment="1">
      <alignment horizontal="right"/>
    </xf>
    <xf numFmtId="178" fontId="26" fillId="0" borderId="5" xfId="0" applyNumberFormat="1" applyFont="1" applyBorder="1" applyAlignment="1">
      <alignment horizontal="right"/>
    </xf>
    <xf numFmtId="178" fontId="26" fillId="0" borderId="0" xfId="0" applyNumberFormat="1" applyFont="1" applyAlignment="1">
      <alignment horizontal="right"/>
    </xf>
    <xf numFmtId="178" fontId="26" fillId="0" borderId="0" xfId="0" applyNumberFormat="1" applyFont="1"/>
    <xf numFmtId="0" fontId="26" fillId="15" borderId="12" xfId="18" applyFont="1" applyFill="1" applyBorder="1"/>
    <xf numFmtId="0" fontId="26" fillId="15" borderId="12" xfId="18" applyFont="1" applyFill="1" applyBorder="1" applyAlignment="1">
      <alignment horizontal="right"/>
    </xf>
    <xf numFmtId="0" fontId="26" fillId="15" borderId="0" xfId="18" applyFont="1" applyFill="1"/>
    <xf numFmtId="0" fontId="26" fillId="15" borderId="0" xfId="18" applyFont="1" applyFill="1" applyAlignment="1">
      <alignment horizontal="right"/>
    </xf>
    <xf numFmtId="179" fontId="26" fillId="15" borderId="12" xfId="2" applyNumberFormat="1" applyFont="1" applyFill="1" applyBorder="1"/>
    <xf numFmtId="179" fontId="26" fillId="15" borderId="0" xfId="2" applyNumberFormat="1" applyFont="1" applyFill="1" applyBorder="1"/>
    <xf numFmtId="37" fontId="2" fillId="13" borderId="12" xfId="0" applyFont="1" applyFill="1" applyBorder="1"/>
    <xf numFmtId="37" fontId="2" fillId="13" borderId="0" xfId="0" applyFont="1" applyFill="1" applyAlignment="1">
      <alignment horizontal="center"/>
    </xf>
    <xf numFmtId="38" fontId="2" fillId="13" borderId="0" xfId="2" applyFont="1" applyFill="1" applyBorder="1"/>
    <xf numFmtId="38" fontId="2" fillId="9" borderId="0" xfId="2" applyFont="1" applyFill="1" applyBorder="1"/>
    <xf numFmtId="38" fontId="2" fillId="9" borderId="12" xfId="2" applyFont="1" applyFill="1" applyBorder="1"/>
    <xf numFmtId="38" fontId="2" fillId="7" borderId="12" xfId="2" applyFont="1" applyFill="1" applyBorder="1"/>
    <xf numFmtId="38" fontId="2" fillId="13" borderId="5" xfId="2" applyFont="1" applyFill="1" applyBorder="1"/>
    <xf numFmtId="38" fontId="2" fillId="13" borderId="0" xfId="2" applyFont="1" applyFill="1"/>
    <xf numFmtId="183" fontId="2" fillId="13" borderId="0" xfId="2" applyNumberFormat="1" applyFont="1" applyFill="1" applyBorder="1"/>
    <xf numFmtId="184" fontId="2" fillId="9" borderId="12" xfId="0" applyNumberFormat="1" applyFont="1" applyFill="1" applyBorder="1"/>
    <xf numFmtId="184" fontId="2" fillId="9" borderId="0" xfId="0" applyNumberFormat="1" applyFont="1" applyFill="1"/>
    <xf numFmtId="37" fontId="14" fillId="13" borderId="0" xfId="0" applyFont="1" applyFill="1" applyAlignment="1">
      <alignment horizontal="center"/>
    </xf>
    <xf numFmtId="37" fontId="2" fillId="13" borderId="14" xfId="0" applyFont="1" applyFill="1" applyBorder="1" applyAlignment="1">
      <alignment vertical="center"/>
    </xf>
    <xf numFmtId="38" fontId="49" fillId="10" borderId="0" xfId="21" applyFont="1" applyFill="1" applyBorder="1" applyAlignment="1"/>
    <xf numFmtId="38" fontId="49" fillId="0" borderId="0" xfId="21" applyFont="1" applyFill="1" applyBorder="1" applyAlignment="1"/>
    <xf numFmtId="38" fontId="49" fillId="0" borderId="0" xfId="2" applyFont="1" applyFill="1" applyBorder="1" applyAlignment="1"/>
    <xf numFmtId="38" fontId="49" fillId="13" borderId="0" xfId="2" applyFont="1" applyFill="1" applyBorder="1" applyAlignment="1"/>
    <xf numFmtId="3" fontId="6" fillId="0" borderId="0" xfId="21" applyNumberFormat="1" applyFont="1" applyFill="1" applyBorder="1" applyAlignment="1" applyProtection="1"/>
    <xf numFmtId="38" fontId="6" fillId="0" borderId="0" xfId="2" applyFont="1" applyFill="1" applyBorder="1" applyAlignment="1" applyProtection="1"/>
    <xf numFmtId="38" fontId="6" fillId="13" borderId="0" xfId="2" applyFont="1" applyFill="1" applyBorder="1" applyAlignment="1" applyProtection="1">
      <alignment vertical="center"/>
    </xf>
    <xf numFmtId="38" fontId="6" fillId="9" borderId="0" xfId="2" applyFont="1" applyFill="1" applyBorder="1" applyAlignment="1" applyProtection="1">
      <alignment vertical="center"/>
    </xf>
    <xf numFmtId="38" fontId="6" fillId="13" borderId="0" xfId="2" applyFont="1" applyFill="1" applyBorder="1" applyAlignment="1" applyProtection="1"/>
    <xf numFmtId="3" fontId="6" fillId="10" borderId="0" xfId="21" applyNumberFormat="1" applyFont="1" applyFill="1" applyBorder="1" applyAlignment="1" applyProtection="1"/>
    <xf numFmtId="3" fontId="6" fillId="0" borderId="0" xfId="21" applyNumberFormat="1" applyFont="1" applyFill="1" applyBorder="1" applyAlignment="1"/>
    <xf numFmtId="38" fontId="6" fillId="0" borderId="0" xfId="2" applyFont="1" applyFill="1" applyBorder="1" applyAlignment="1"/>
    <xf numFmtId="37" fontId="6" fillId="0" borderId="0" xfId="0" applyFont="1" applyAlignment="1">
      <alignment horizontal="center"/>
    </xf>
    <xf numFmtId="177" fontId="26" fillId="4" borderId="19" xfId="0" applyNumberFormat="1" applyFont="1" applyFill="1" applyBorder="1"/>
    <xf numFmtId="177" fontId="26" fillId="13" borderId="11" xfId="0" applyNumberFormat="1" applyFont="1" applyFill="1" applyBorder="1"/>
    <xf numFmtId="177" fontId="26" fillId="13" borderId="19" xfId="0" applyNumberFormat="1" applyFont="1" applyFill="1" applyBorder="1"/>
    <xf numFmtId="177" fontId="26" fillId="13" borderId="29" xfId="0" applyNumberFormat="1" applyFont="1" applyFill="1" applyBorder="1"/>
    <xf numFmtId="37" fontId="26" fillId="3" borderId="11" xfId="0" applyFont="1" applyFill="1" applyBorder="1" applyAlignment="1">
      <alignment vertical="top" wrapText="1"/>
    </xf>
    <xf numFmtId="177" fontId="26" fillId="7" borderId="11" xfId="0" applyNumberFormat="1" applyFont="1" applyFill="1" applyBorder="1"/>
    <xf numFmtId="177" fontId="26" fillId="7" borderId="19" xfId="0" applyNumberFormat="1" applyFont="1" applyFill="1" applyBorder="1"/>
    <xf numFmtId="177" fontId="26" fillId="7" borderId="29" xfId="0" applyNumberFormat="1" applyFont="1" applyFill="1" applyBorder="1"/>
    <xf numFmtId="177" fontId="26" fillId="15" borderId="8" xfId="0" applyNumberFormat="1" applyFont="1" applyFill="1" applyBorder="1"/>
    <xf numFmtId="177" fontId="26" fillId="15" borderId="18" xfId="0" applyNumberFormat="1" applyFont="1" applyFill="1" applyBorder="1"/>
    <xf numFmtId="177" fontId="26" fillId="15" borderId="9" xfId="0" applyNumberFormat="1" applyFont="1" applyFill="1" applyBorder="1"/>
    <xf numFmtId="177" fontId="26" fillId="15" borderId="3" xfId="0" applyNumberFormat="1" applyFont="1" applyFill="1" applyBorder="1"/>
    <xf numFmtId="177" fontId="26" fillId="13" borderId="14" xfId="0" applyNumberFormat="1" applyFont="1" applyFill="1" applyBorder="1"/>
    <xf numFmtId="189" fontId="22" fillId="15" borderId="3" xfId="0" applyNumberFormat="1" applyFont="1" applyFill="1" applyBorder="1" applyAlignment="1">
      <alignment horizontal="center" vertical="center" shrinkToFit="1"/>
    </xf>
    <xf numFmtId="189" fontId="22" fillId="15" borderId="14" xfId="0" applyNumberFormat="1" applyFont="1" applyFill="1" applyBorder="1" applyAlignment="1">
      <alignment horizontal="center" vertical="center" shrinkToFit="1"/>
    </xf>
    <xf numFmtId="177" fontId="22" fillId="15" borderId="7" xfId="0" applyNumberFormat="1" applyFont="1" applyFill="1" applyBorder="1" applyAlignment="1">
      <alignment horizontal="center" vertical="center" wrapText="1"/>
    </xf>
    <xf numFmtId="38" fontId="22" fillId="15" borderId="12" xfId="2" applyFont="1" applyFill="1" applyBorder="1"/>
    <xf numFmtId="37" fontId="2" fillId="15" borderId="12" xfId="0" applyFont="1" applyFill="1" applyBorder="1"/>
    <xf numFmtId="37" fontId="2" fillId="15" borderId="0" xfId="0" applyFont="1" applyFill="1" applyAlignment="1">
      <alignment horizontal="center"/>
    </xf>
    <xf numFmtId="183" fontId="2" fillId="15" borderId="0" xfId="2" applyNumberFormat="1" applyFont="1" applyFill="1"/>
    <xf numFmtId="183" fontId="2" fillId="15" borderId="5" xfId="2" applyNumberFormat="1" applyFont="1" applyFill="1" applyBorder="1"/>
    <xf numFmtId="183" fontId="2" fillId="15" borderId="0" xfId="2" applyNumberFormat="1" applyFont="1" applyFill="1" applyBorder="1"/>
    <xf numFmtId="38" fontId="2" fillId="15" borderId="0" xfId="2" applyFont="1" applyFill="1" applyBorder="1"/>
    <xf numFmtId="38" fontId="2" fillId="15" borderId="5" xfId="2" applyFont="1" applyFill="1" applyBorder="1"/>
    <xf numFmtId="37" fontId="2" fillId="9" borderId="0" xfId="0" applyFont="1" applyFill="1" applyAlignment="1">
      <alignment horizontal="right"/>
    </xf>
    <xf numFmtId="184" fontId="2" fillId="13" borderId="0" xfId="0" applyNumberFormat="1" applyFont="1" applyFill="1" applyAlignment="1">
      <alignment horizontal="right"/>
    </xf>
    <xf numFmtId="184" fontId="2" fillId="13" borderId="0" xfId="0" applyNumberFormat="1" applyFont="1" applyFill="1"/>
    <xf numFmtId="177" fontId="2" fillId="9" borderId="3" xfId="0" applyNumberFormat="1" applyFont="1" applyFill="1" applyBorder="1"/>
    <xf numFmtId="177" fontId="2" fillId="9" borderId="14" xfId="0" applyNumberFormat="1" applyFont="1" applyFill="1" applyBorder="1"/>
    <xf numFmtId="177" fontId="2" fillId="9" borderId="7" xfId="0" applyNumberFormat="1" applyFont="1" applyFill="1" applyBorder="1"/>
    <xf numFmtId="37" fontId="26" fillId="9" borderId="41" xfId="0" applyFont="1" applyFill="1" applyBorder="1" applyAlignment="1">
      <alignment horizontal="center"/>
    </xf>
    <xf numFmtId="177" fontId="2" fillId="13" borderId="14" xfId="0" applyNumberFormat="1" applyFont="1" applyFill="1" applyBorder="1"/>
    <xf numFmtId="177" fontId="26" fillId="13" borderId="8" xfId="0" applyNumberFormat="1" applyFont="1" applyFill="1" applyBorder="1"/>
    <xf numFmtId="177" fontId="26" fillId="13" borderId="18" xfId="0" applyNumberFormat="1" applyFont="1" applyFill="1" applyBorder="1"/>
    <xf numFmtId="177" fontId="26" fillId="13" borderId="9" xfId="0" applyNumberFormat="1" applyFont="1" applyFill="1" applyBorder="1"/>
    <xf numFmtId="177" fontId="26" fillId="13" borderId="3" xfId="0" applyNumberFormat="1" applyFont="1" applyFill="1" applyBorder="1"/>
    <xf numFmtId="177" fontId="26" fillId="13" borderId="1" xfId="0" applyNumberFormat="1" applyFont="1" applyFill="1" applyBorder="1"/>
    <xf numFmtId="37" fontId="26" fillId="13" borderId="11" xfId="0" applyFont="1" applyFill="1" applyBorder="1" applyAlignment="1">
      <alignment vertical="top" wrapText="1"/>
    </xf>
    <xf numFmtId="38" fontId="26" fillId="8" borderId="0" xfId="2" applyFont="1" applyFill="1" applyBorder="1"/>
    <xf numFmtId="38" fontId="26" fillId="13" borderId="11" xfId="2" applyFont="1" applyFill="1" applyBorder="1"/>
    <xf numFmtId="38" fontId="26" fillId="0" borderId="0" xfId="2" applyFont="1" applyBorder="1"/>
    <xf numFmtId="38" fontId="26" fillId="13" borderId="8" xfId="2" applyFont="1" applyFill="1" applyBorder="1"/>
    <xf numFmtId="38" fontId="26" fillId="13" borderId="4" xfId="2" applyFont="1" applyFill="1" applyBorder="1"/>
    <xf numFmtId="38" fontId="2" fillId="13" borderId="14" xfId="2" applyFont="1" applyFill="1" applyBorder="1"/>
    <xf numFmtId="183" fontId="26" fillId="9" borderId="52" xfId="2" applyNumberFormat="1" applyFont="1" applyFill="1" applyBorder="1" applyAlignment="1">
      <alignment vertical="center"/>
    </xf>
    <xf numFmtId="38" fontId="26" fillId="9" borderId="51" xfId="2" applyFont="1" applyFill="1" applyBorder="1" applyAlignment="1">
      <alignment vertical="center"/>
    </xf>
    <xf numFmtId="38" fontId="26" fillId="9" borderId="53" xfId="2" applyFont="1" applyFill="1" applyBorder="1" applyAlignment="1">
      <alignment vertical="center"/>
    </xf>
    <xf numFmtId="177" fontId="2" fillId="9" borderId="14" xfId="2" applyNumberFormat="1" applyFont="1" applyFill="1" applyBorder="1"/>
    <xf numFmtId="177" fontId="2" fillId="9" borderId="12" xfId="2" applyNumberFormat="1" applyFont="1" applyFill="1" applyBorder="1"/>
    <xf numFmtId="177" fontId="2" fillId="9" borderId="0" xfId="2" applyNumberFormat="1" applyFont="1" applyFill="1" applyBorder="1"/>
    <xf numFmtId="177" fontId="2" fillId="9" borderId="5" xfId="2" applyNumberFormat="1" applyFont="1" applyFill="1" applyBorder="1"/>
    <xf numFmtId="37" fontId="2" fillId="9" borderId="0" xfId="0" quotePrefix="1" applyFont="1" applyFill="1"/>
    <xf numFmtId="38" fontId="26" fillId="9" borderId="11" xfId="2" applyFont="1" applyFill="1" applyBorder="1" applyAlignment="1">
      <alignment vertical="center"/>
    </xf>
    <xf numFmtId="183" fontId="26" fillId="9" borderId="5" xfId="2" applyNumberFormat="1" applyFont="1" applyFill="1" applyBorder="1" applyAlignment="1">
      <alignment vertical="center"/>
    </xf>
    <xf numFmtId="37" fontId="26" fillId="9" borderId="38" xfId="0" applyFont="1" applyFill="1" applyBorder="1" applyAlignment="1">
      <alignment horizontal="center"/>
    </xf>
    <xf numFmtId="37" fontId="26" fillId="9" borderId="40" xfId="0" applyFont="1" applyFill="1" applyBorder="1" applyAlignment="1">
      <alignment horizontal="center"/>
    </xf>
    <xf numFmtId="38" fontId="22" fillId="9" borderId="8" xfId="2" applyFont="1" applyFill="1" applyBorder="1"/>
    <xf numFmtId="38" fontId="22" fillId="9" borderId="12" xfId="2" applyFont="1" applyFill="1" applyBorder="1"/>
    <xf numFmtId="38" fontId="22" fillId="9" borderId="4" xfId="2" applyFont="1" applyFill="1" applyBorder="1"/>
    <xf numFmtId="38" fontId="22" fillId="9" borderId="18" xfId="2" applyFont="1" applyFill="1" applyBorder="1"/>
    <xf numFmtId="38" fontId="22" fillId="9" borderId="0" xfId="2" applyFont="1" applyFill="1" applyBorder="1"/>
    <xf numFmtId="38" fontId="22" fillId="9" borderId="2" xfId="2" applyFont="1" applyFill="1" applyBorder="1"/>
    <xf numFmtId="38" fontId="22" fillId="9" borderId="9" xfId="2" applyFont="1" applyFill="1" applyBorder="1"/>
    <xf numFmtId="38" fontId="22" fillId="9" borderId="5" xfId="2" applyFont="1" applyFill="1" applyBorder="1"/>
    <xf numFmtId="38" fontId="22" fillId="9" borderId="6" xfId="2" applyFont="1" applyFill="1" applyBorder="1"/>
    <xf numFmtId="37" fontId="22" fillId="9" borderId="18" xfId="0" applyFont="1" applyFill="1" applyBorder="1"/>
    <xf numFmtId="37" fontId="22" fillId="9" borderId="9" xfId="0" applyFont="1" applyFill="1" applyBorder="1"/>
    <xf numFmtId="37" fontId="22" fillId="9" borderId="5" xfId="0" applyFont="1" applyFill="1" applyBorder="1"/>
    <xf numFmtId="189" fontId="22" fillId="9" borderId="3" xfId="0" applyNumberFormat="1" applyFont="1" applyFill="1" applyBorder="1" applyAlignment="1">
      <alignment horizontal="center" vertical="center" shrinkToFit="1"/>
    </xf>
    <xf numFmtId="189" fontId="22" fillId="9" borderId="14" xfId="0" applyNumberFormat="1" applyFont="1" applyFill="1" applyBorder="1" applyAlignment="1">
      <alignment horizontal="center" vertical="center" shrinkToFit="1"/>
    </xf>
    <xf numFmtId="177" fontId="22" fillId="9" borderId="7" xfId="0" applyNumberFormat="1" applyFont="1" applyFill="1" applyBorder="1" applyAlignment="1">
      <alignment horizontal="center" vertical="center" wrapText="1"/>
    </xf>
    <xf numFmtId="37" fontId="2" fillId="13" borderId="12" xfId="0" applyFont="1" applyFill="1" applyBorder="1" applyAlignment="1">
      <alignment vertical="center"/>
    </xf>
    <xf numFmtId="184" fontId="2" fillId="0" borderId="12" xfId="0" applyNumberFormat="1" applyFont="1" applyBorder="1" applyAlignment="1">
      <alignment vertical="center"/>
    </xf>
    <xf numFmtId="184" fontId="2" fillId="13" borderId="12" xfId="0" applyNumberFormat="1" applyFont="1" applyFill="1" applyBorder="1" applyAlignment="1">
      <alignment vertical="center"/>
    </xf>
    <xf numFmtId="37" fontId="2" fillId="13" borderId="5" xfId="0" applyFont="1" applyFill="1" applyBorder="1" applyAlignment="1">
      <alignment vertical="center"/>
    </xf>
    <xf numFmtId="37" fontId="2" fillId="13" borderId="0" xfId="0" applyFont="1" applyFill="1" applyAlignment="1">
      <alignment vertical="center"/>
    </xf>
    <xf numFmtId="184" fontId="2" fillId="0" borderId="14" xfId="0" applyNumberFormat="1" applyFont="1" applyBorder="1" applyAlignment="1">
      <alignment vertical="center"/>
    </xf>
    <xf numFmtId="37" fontId="2" fillId="3" borderId="12" xfId="0" applyFont="1" applyFill="1" applyBorder="1"/>
    <xf numFmtId="182" fontId="2" fillId="10" borderId="5" xfId="2" applyNumberFormat="1" applyFont="1" applyFill="1" applyBorder="1" applyAlignment="1">
      <alignment vertical="center"/>
    </xf>
    <xf numFmtId="182" fontId="2" fillId="0" borderId="0" xfId="2" applyNumberFormat="1" applyFont="1" applyFill="1" applyBorder="1"/>
    <xf numFmtId="182" fontId="2" fillId="9" borderId="0" xfId="2" applyNumberFormat="1" applyFont="1" applyFill="1" applyBorder="1" applyAlignment="1">
      <alignment vertical="center"/>
    </xf>
    <xf numFmtId="37" fontId="2" fillId="4" borderId="12" xfId="0" applyFont="1" applyFill="1" applyBorder="1"/>
    <xf numFmtId="181" fontId="2" fillId="0" borderId="0" xfId="2" applyNumberFormat="1" applyFont="1" applyFill="1" applyAlignment="1">
      <alignment vertical="center"/>
    </xf>
    <xf numFmtId="181" fontId="2" fillId="10" borderId="0" xfId="2" applyNumberFormat="1" applyFont="1" applyFill="1" applyAlignment="1">
      <alignment vertical="center"/>
    </xf>
    <xf numFmtId="181" fontId="2" fillId="9" borderId="0" xfId="2" applyNumberFormat="1" applyFont="1" applyFill="1" applyAlignment="1">
      <alignment vertical="center"/>
    </xf>
    <xf numFmtId="37" fontId="2" fillId="7" borderId="0" xfId="0" applyFont="1" applyFill="1" applyAlignment="1">
      <alignment vertical="center"/>
    </xf>
    <xf numFmtId="3" fontId="2" fillId="0" borderId="0" xfId="4" applyNumberFormat="1"/>
    <xf numFmtId="0" fontId="2" fillId="0" borderId="0" xfId="6" applyAlignment="1">
      <alignment horizontal="center"/>
    </xf>
    <xf numFmtId="0" fontId="2" fillId="0" borderId="5" xfId="6" applyBorder="1" applyAlignment="1">
      <alignment horizontal="center"/>
    </xf>
    <xf numFmtId="181" fontId="2" fillId="12" borderId="0" xfId="2" applyNumberFormat="1" applyFont="1" applyFill="1"/>
    <xf numFmtId="181" fontId="2" fillId="9" borderId="0" xfId="2" applyNumberFormat="1" applyFont="1" applyFill="1"/>
    <xf numFmtId="181" fontId="2" fillId="12" borderId="0" xfId="2" applyNumberFormat="1" applyFont="1" applyFill="1" applyBorder="1"/>
    <xf numFmtId="181" fontId="2" fillId="12" borderId="5" xfId="2" applyNumberFormat="1" applyFont="1" applyFill="1" applyBorder="1"/>
    <xf numFmtId="181" fontId="2" fillId="13" borderId="0" xfId="2" applyNumberFormat="1" applyFont="1" applyFill="1"/>
    <xf numFmtId="37" fontId="6" fillId="3" borderId="20" xfId="0" applyFont="1" applyFill="1" applyBorder="1" applyAlignment="1">
      <alignment horizontal="distributed" vertical="center"/>
    </xf>
    <xf numFmtId="37" fontId="7" fillId="0" borderId="0" xfId="0" applyFont="1" applyAlignment="1">
      <alignment horizontal="center" vertical="center"/>
    </xf>
    <xf numFmtId="37" fontId="7" fillId="0" borderId="20" xfId="0" applyFont="1" applyBorder="1" applyAlignment="1">
      <alignment horizontal="distributed" vertical="center"/>
    </xf>
    <xf numFmtId="37" fontId="6" fillId="0" borderId="0" xfId="0" applyFont="1" applyAlignment="1">
      <alignment horizontal="center" vertical="center"/>
    </xf>
    <xf numFmtId="37" fontId="6" fillId="0" borderId="20" xfId="0" applyFont="1" applyBorder="1" applyAlignment="1">
      <alignment horizontal="distributed" vertical="center"/>
    </xf>
    <xf numFmtId="37" fontId="6" fillId="0" borderId="21" xfId="0" applyFont="1" applyBorder="1" applyAlignment="1">
      <alignment horizontal="center" vertical="center"/>
    </xf>
    <xf numFmtId="37" fontId="6" fillId="0" borderId="22" xfId="0" applyFont="1" applyBorder="1" applyAlignment="1">
      <alignment horizontal="distributed" vertical="center"/>
    </xf>
    <xf numFmtId="0" fontId="6" fillId="0" borderId="0" xfId="8" applyFont="1" applyAlignment="1">
      <alignment horizontal="center" vertical="center"/>
    </xf>
    <xf numFmtId="0" fontId="6" fillId="0" borderId="20" xfId="8" applyFont="1" applyBorder="1" applyAlignment="1">
      <alignment horizontal="distributed" vertical="center"/>
    </xf>
    <xf numFmtId="0" fontId="6" fillId="0" borderId="21" xfId="8" applyFont="1" applyBorder="1" applyAlignment="1">
      <alignment horizontal="center" vertical="center"/>
    </xf>
    <xf numFmtId="0" fontId="6" fillId="0" borderId="22" xfId="8" applyFont="1" applyBorder="1" applyAlignment="1">
      <alignment horizontal="distributed" vertical="center"/>
    </xf>
    <xf numFmtId="37" fontId="50" fillId="0" borderId="0" xfId="0" applyFont="1" applyAlignment="1">
      <alignment vertical="top" wrapText="1"/>
    </xf>
    <xf numFmtId="37" fontId="51" fillId="0" borderId="0" xfId="0" applyFont="1"/>
    <xf numFmtId="37" fontId="52" fillId="0" borderId="0" xfId="0" applyFont="1"/>
    <xf numFmtId="37" fontId="51" fillId="0" borderId="0" xfId="0" applyFont="1" applyAlignment="1">
      <alignment horizontal="right" vertical="center"/>
    </xf>
    <xf numFmtId="37" fontId="51" fillId="0" borderId="0" xfId="0" applyFont="1" applyAlignment="1">
      <alignment horizontal="center"/>
    </xf>
    <xf numFmtId="38" fontId="51" fillId="0" borderId="12" xfId="2" applyFont="1" applyFill="1" applyBorder="1" applyAlignment="1">
      <alignment vertical="center"/>
    </xf>
    <xf numFmtId="38" fontId="51" fillId="0" borderId="12" xfId="2" applyFont="1" applyFill="1" applyBorder="1" applyAlignment="1">
      <alignment horizontal="right" vertical="center"/>
    </xf>
    <xf numFmtId="38" fontId="51" fillId="0" borderId="0" xfId="2" applyFont="1" applyFill="1" applyBorder="1" applyAlignment="1">
      <alignment vertical="center"/>
    </xf>
    <xf numFmtId="37" fontId="51" fillId="0" borderId="0" xfId="0" applyFont="1" applyAlignment="1">
      <alignment horizontal="center" vertical="center"/>
    </xf>
    <xf numFmtId="37" fontId="52" fillId="0" borderId="0" xfId="0" applyFont="1" applyAlignment="1">
      <alignment horizontal="center" vertical="center"/>
    </xf>
    <xf numFmtId="37" fontId="51" fillId="0" borderId="5" xfId="0" applyFont="1" applyBorder="1"/>
    <xf numFmtId="38" fontId="51" fillId="0" borderId="14" xfId="2" applyFont="1" applyFill="1" applyBorder="1" applyAlignment="1">
      <alignment vertical="center"/>
    </xf>
    <xf numFmtId="37" fontId="51" fillId="0" borderId="14" xfId="0" applyFont="1" applyBorder="1"/>
    <xf numFmtId="37" fontId="51" fillId="13" borderId="14" xfId="0" applyFont="1" applyFill="1" applyBorder="1"/>
    <xf numFmtId="177" fontId="51" fillId="0" borderId="14" xfId="2" applyNumberFormat="1" applyFont="1" applyFill="1" applyBorder="1"/>
    <xf numFmtId="177" fontId="51" fillId="0" borderId="0" xfId="2" applyNumberFormat="1" applyFont="1" applyFill="1" applyBorder="1"/>
    <xf numFmtId="177" fontId="51" fillId="0" borderId="5" xfId="2" applyNumberFormat="1" applyFont="1" applyFill="1" applyBorder="1"/>
    <xf numFmtId="38" fontId="51" fillId="0" borderId="17" xfId="2" applyFont="1" applyFill="1" applyBorder="1" applyAlignment="1">
      <alignment vertical="center"/>
    </xf>
    <xf numFmtId="177" fontId="51" fillId="0" borderId="12" xfId="2" applyNumberFormat="1" applyFont="1" applyFill="1" applyBorder="1"/>
    <xf numFmtId="38" fontId="51" fillId="0" borderId="5" xfId="2" applyFont="1" applyFill="1" applyBorder="1" applyAlignment="1">
      <alignment vertical="center"/>
    </xf>
    <xf numFmtId="37" fontId="22" fillId="0" borderId="0" xfId="0" applyFont="1" applyAlignment="1">
      <alignment horizontal="right"/>
    </xf>
    <xf numFmtId="37" fontId="2" fillId="0" borderId="2" xfId="0" applyFont="1" applyBorder="1"/>
    <xf numFmtId="37" fontId="2" fillId="0" borderId="6" xfId="0" applyFont="1" applyBorder="1"/>
    <xf numFmtId="38" fontId="2" fillId="0" borderId="14" xfId="2" applyFont="1" applyFill="1" applyBorder="1"/>
    <xf numFmtId="38" fontId="2" fillId="0" borderId="14" xfId="2" applyFont="1" applyBorder="1" applyAlignment="1">
      <alignment vertical="center"/>
    </xf>
    <xf numFmtId="177" fontId="2" fillId="0" borderId="12" xfId="2" applyNumberFormat="1" applyFont="1" applyFill="1" applyBorder="1" applyAlignment="1">
      <alignment vertical="center"/>
    </xf>
    <xf numFmtId="177" fontId="2" fillId="0" borderId="0" xfId="2" applyNumberFormat="1" applyFont="1" applyFill="1" applyBorder="1" applyAlignment="1">
      <alignment vertical="center"/>
    </xf>
    <xf numFmtId="177" fontId="2" fillId="0" borderId="5" xfId="2" applyNumberFormat="1" applyFont="1" applyFill="1" applyBorder="1" applyAlignment="1">
      <alignment vertical="center"/>
    </xf>
    <xf numFmtId="177" fontId="2" fillId="0" borderId="0" xfId="2" applyNumberFormat="1" applyFont="1" applyFill="1" applyAlignment="1">
      <alignment vertical="center"/>
    </xf>
    <xf numFmtId="177" fontId="2" fillId="0" borderId="14" xfId="2" applyNumberFormat="1" applyFont="1" applyFill="1" applyBorder="1" applyAlignment="1">
      <alignment vertical="center"/>
    </xf>
    <xf numFmtId="37" fontId="34" fillId="0" borderId="0" xfId="0" applyFont="1" applyAlignment="1">
      <alignment horizontal="center"/>
    </xf>
    <xf numFmtId="38" fontId="34" fillId="0" borderId="12" xfId="2" applyFont="1" applyFill="1" applyBorder="1" applyAlignment="1">
      <alignment vertical="center"/>
    </xf>
    <xf numFmtId="38" fontId="34" fillId="0" borderId="12" xfId="2" applyFont="1" applyFill="1" applyBorder="1" applyAlignment="1">
      <alignment horizontal="right" vertical="center"/>
    </xf>
    <xf numFmtId="38" fontId="34" fillId="0" borderId="0" xfId="2" applyFont="1" applyFill="1" applyBorder="1" applyAlignment="1">
      <alignment vertical="center"/>
    </xf>
    <xf numFmtId="37" fontId="34" fillId="0" borderId="0" xfId="0" applyFont="1" applyAlignment="1">
      <alignment horizontal="center" vertical="center"/>
    </xf>
    <xf numFmtId="37" fontId="35" fillId="0" borderId="0" xfId="0" applyFont="1" applyAlignment="1">
      <alignment horizontal="center" vertical="center"/>
    </xf>
    <xf numFmtId="38" fontId="53" fillId="0" borderId="14" xfId="2" applyFont="1" applyFill="1" applyBorder="1" applyAlignment="1">
      <alignment vertical="center"/>
    </xf>
    <xf numFmtId="38" fontId="34" fillId="0" borderId="14" xfId="2" applyFont="1" applyFill="1" applyBorder="1" applyAlignment="1">
      <alignment vertical="center"/>
    </xf>
    <xf numFmtId="177" fontId="34" fillId="0" borderId="14" xfId="2" applyNumberFormat="1" applyFont="1" applyFill="1" applyBorder="1"/>
    <xf numFmtId="177" fontId="34" fillId="13" borderId="14" xfId="2" applyNumberFormat="1" applyFont="1" applyFill="1" applyBorder="1"/>
    <xf numFmtId="37" fontId="54" fillId="0" borderId="0" xfId="0" applyFont="1"/>
    <xf numFmtId="177" fontId="34" fillId="0" borderId="0" xfId="2" applyNumberFormat="1" applyFont="1" applyFill="1" applyBorder="1"/>
    <xf numFmtId="177" fontId="34" fillId="0" borderId="12" xfId="2" applyNumberFormat="1" applyFont="1" applyFill="1" applyBorder="1"/>
    <xf numFmtId="38" fontId="34" fillId="0" borderId="5" xfId="2" applyFont="1" applyFill="1" applyBorder="1" applyAlignment="1">
      <alignment vertical="center"/>
    </xf>
    <xf numFmtId="177" fontId="34" fillId="0" borderId="5" xfId="2" applyNumberFormat="1" applyFont="1" applyFill="1" applyBorder="1"/>
    <xf numFmtId="38" fontId="53" fillId="0" borderId="13" xfId="2" applyFont="1" applyFill="1" applyBorder="1" applyAlignment="1">
      <alignment vertical="center"/>
    </xf>
    <xf numFmtId="37" fontId="53" fillId="0" borderId="0" xfId="0" applyFont="1"/>
    <xf numFmtId="0" fontId="27" fillId="0" borderId="0" xfId="5" applyFont="1"/>
    <xf numFmtId="0" fontId="27" fillId="0" borderId="0" xfId="7" applyFont="1"/>
    <xf numFmtId="177" fontId="26" fillId="0" borderId="0" xfId="7" applyNumberFormat="1" applyFont="1"/>
    <xf numFmtId="0" fontId="6" fillId="3" borderId="0" xfId="7" applyFont="1" applyFill="1"/>
    <xf numFmtId="0" fontId="6" fillId="11" borderId="0" xfId="7" applyFont="1" applyFill="1"/>
    <xf numFmtId="0" fontId="26" fillId="0" borderId="0" xfId="7" applyFont="1"/>
    <xf numFmtId="0" fontId="6" fillId="15" borderId="0" xfId="7" applyFont="1" applyFill="1"/>
    <xf numFmtId="178" fontId="27" fillId="0" borderId="8" xfId="5" applyNumberFormat="1" applyFont="1" applyBorder="1"/>
    <xf numFmtId="178" fontId="27" fillId="0" borderId="12" xfId="7" applyNumberFormat="1" applyFont="1" applyBorder="1"/>
    <xf numFmtId="178" fontId="26" fillId="0" borderId="12" xfId="7" applyNumberFormat="1" applyFont="1" applyBorder="1"/>
    <xf numFmtId="178" fontId="26" fillId="3" borderId="12" xfId="7" applyNumberFormat="1" applyFont="1" applyFill="1" applyBorder="1"/>
    <xf numFmtId="178" fontId="26" fillId="11" borderId="12" xfId="7" applyNumberFormat="1" applyFont="1" applyFill="1" applyBorder="1"/>
    <xf numFmtId="178" fontId="26" fillId="0" borderId="62" xfId="7" applyNumberFormat="1" applyFont="1" applyBorder="1"/>
    <xf numFmtId="178" fontId="26" fillId="0" borderId="63" xfId="7" applyNumberFormat="1" applyFont="1" applyBorder="1"/>
    <xf numFmtId="178" fontId="26" fillId="0" borderId="64" xfId="7" applyNumberFormat="1" applyFont="1" applyBorder="1"/>
    <xf numFmtId="178" fontId="26" fillId="0" borderId="25" xfId="7" applyNumberFormat="1" applyFont="1" applyBorder="1"/>
    <xf numFmtId="178" fontId="26" fillId="3" borderId="26" xfId="7" applyNumberFormat="1" applyFont="1" applyFill="1" applyBorder="1"/>
    <xf numFmtId="178" fontId="26" fillId="11" borderId="26" xfId="7" applyNumberFormat="1" applyFont="1" applyFill="1" applyBorder="1"/>
    <xf numFmtId="178" fontId="26" fillId="15" borderId="26" xfId="7" applyNumberFormat="1" applyFont="1" applyFill="1" applyBorder="1"/>
    <xf numFmtId="178" fontId="26" fillId="0" borderId="26" xfId="7" applyNumberFormat="1" applyFont="1" applyBorder="1"/>
    <xf numFmtId="178" fontId="26" fillId="0" borderId="39" xfId="7" applyNumberFormat="1" applyFont="1" applyBorder="1"/>
    <xf numFmtId="178" fontId="26" fillId="10" borderId="26" xfId="7" applyNumberFormat="1" applyFont="1" applyFill="1" applyBorder="1"/>
    <xf numFmtId="37" fontId="26" fillId="13" borderId="12" xfId="0" applyFont="1" applyFill="1" applyBorder="1"/>
    <xf numFmtId="0" fontId="26" fillId="0" borderId="18" xfId="5" applyFont="1" applyBorder="1"/>
    <xf numFmtId="0" fontId="26" fillId="0" borderId="0" xfId="5" applyFont="1"/>
    <xf numFmtId="0" fontId="22" fillId="0" borderId="0" xfId="7" applyFont="1" applyAlignment="1">
      <alignment vertical="top" wrapText="1"/>
    </xf>
    <xf numFmtId="0" fontId="22" fillId="3" borderId="0" xfId="7" applyFont="1" applyFill="1" applyAlignment="1">
      <alignment vertical="top" wrapText="1"/>
    </xf>
    <xf numFmtId="0" fontId="22" fillId="11" borderId="0" xfId="7" applyFont="1" applyFill="1" applyAlignment="1">
      <alignment vertical="top" wrapText="1"/>
    </xf>
    <xf numFmtId="0" fontId="22" fillId="4" borderId="13" xfId="7" applyFont="1" applyFill="1" applyBorder="1" applyAlignment="1">
      <alignment vertical="top" wrapText="1"/>
    </xf>
    <xf numFmtId="0" fontId="22" fillId="4" borderId="0" xfId="7" applyFont="1" applyFill="1" applyAlignment="1">
      <alignment vertical="top" wrapText="1"/>
    </xf>
    <xf numFmtId="0" fontId="22" fillId="4" borderId="38" xfId="7" applyFont="1" applyFill="1" applyBorder="1" applyAlignment="1">
      <alignment vertical="top" wrapText="1"/>
    </xf>
    <xf numFmtId="0" fontId="22" fillId="0" borderId="17" xfId="7" applyFont="1" applyBorder="1" applyAlignment="1">
      <alignment vertical="top" wrapText="1"/>
    </xf>
    <xf numFmtId="0" fontId="22" fillId="3" borderId="14" xfId="7" applyFont="1" applyFill="1" applyBorder="1" applyAlignment="1">
      <alignment vertical="top" wrapText="1"/>
    </xf>
    <xf numFmtId="0" fontId="22" fillId="11" borderId="14" xfId="7" applyFont="1" applyFill="1" applyBorder="1" applyAlignment="1">
      <alignment vertical="top" wrapText="1"/>
    </xf>
    <xf numFmtId="0" fontId="22" fillId="15" borderId="14" xfId="7" applyFont="1" applyFill="1" applyBorder="1" applyAlignment="1">
      <alignment vertical="top" wrapText="1"/>
    </xf>
    <xf numFmtId="0" fontId="22" fillId="4" borderId="17" xfId="7" applyFont="1" applyFill="1" applyBorder="1" applyAlignment="1">
      <alignment vertical="top" wrapText="1"/>
    </xf>
    <xf numFmtId="0" fontId="22" fillId="4" borderId="14" xfId="7" applyFont="1" applyFill="1" applyBorder="1" applyAlignment="1">
      <alignment vertical="top" wrapText="1"/>
    </xf>
    <xf numFmtId="0" fontId="22" fillId="4" borderId="58" xfId="7" applyFont="1" applyFill="1" applyBorder="1" applyAlignment="1">
      <alignment vertical="top" wrapText="1"/>
    </xf>
    <xf numFmtId="0" fontId="26" fillId="10" borderId="17" xfId="7" applyFont="1" applyFill="1" applyBorder="1" applyAlignment="1">
      <alignment vertical="top" wrapText="1"/>
    </xf>
    <xf numFmtId="0" fontId="26" fillId="3" borderId="14" xfId="7" applyFont="1" applyFill="1" applyBorder="1" applyAlignment="1">
      <alignment vertical="top" wrapText="1"/>
    </xf>
    <xf numFmtId="0" fontId="26" fillId="4" borderId="14" xfId="7" applyFont="1" applyFill="1" applyBorder="1" applyAlignment="1">
      <alignment vertical="top" wrapText="1"/>
    </xf>
    <xf numFmtId="0" fontId="22" fillId="13" borderId="0" xfId="7" applyFont="1" applyFill="1" applyAlignment="1">
      <alignment vertical="top" wrapText="1"/>
    </xf>
    <xf numFmtId="0" fontId="46" fillId="0" borderId="14" xfId="5" applyFont="1" applyBorder="1"/>
    <xf numFmtId="37" fontId="33" fillId="0" borderId="7" xfId="0" applyFont="1" applyBorder="1"/>
    <xf numFmtId="177" fontId="26" fillId="0" borderId="8" xfId="7" quotePrefix="1" applyNumberFormat="1" applyFont="1" applyBorder="1" applyAlignment="1">
      <alignment vertical="center" wrapText="1"/>
    </xf>
    <xf numFmtId="177" fontId="26" fillId="0" borderId="12" xfId="7" quotePrefix="1" applyNumberFormat="1" applyFont="1" applyBorder="1" applyAlignment="1">
      <alignment vertical="center" wrapText="1"/>
    </xf>
    <xf numFmtId="177" fontId="26" fillId="0" borderId="15" xfId="7" quotePrefix="1" applyNumberFormat="1" applyFont="1" applyBorder="1" applyAlignment="1">
      <alignment vertical="center" wrapText="1"/>
    </xf>
    <xf numFmtId="177" fontId="26" fillId="0" borderId="40" xfId="7" applyNumberFormat="1" applyFont="1" applyBorder="1" applyAlignment="1">
      <alignment vertical="center" wrapText="1"/>
    </xf>
    <xf numFmtId="177" fontId="26" fillId="13" borderId="12" xfId="7" quotePrefix="1" applyNumberFormat="1" applyFont="1" applyFill="1" applyBorder="1" applyAlignment="1">
      <alignment vertical="center" wrapText="1"/>
    </xf>
    <xf numFmtId="177" fontId="26" fillId="15" borderId="12" xfId="7" quotePrefix="1" applyNumberFormat="1" applyFont="1" applyFill="1" applyBorder="1" applyAlignment="1">
      <alignment vertical="center" wrapText="1"/>
    </xf>
    <xf numFmtId="38" fontId="26" fillId="13" borderId="12" xfId="2" quotePrefix="1" applyFont="1" applyFill="1" applyBorder="1" applyAlignment="1">
      <alignment vertical="center" wrapText="1"/>
    </xf>
    <xf numFmtId="177" fontId="26" fillId="9" borderId="12" xfId="0" applyNumberFormat="1" applyFont="1" applyFill="1" applyBorder="1"/>
    <xf numFmtId="177" fontId="26" fillId="9" borderId="40" xfId="0" applyNumberFormat="1" applyFont="1" applyFill="1" applyBorder="1"/>
    <xf numFmtId="177" fontId="26" fillId="9" borderId="14" xfId="0" applyNumberFormat="1" applyFont="1" applyFill="1" applyBorder="1"/>
    <xf numFmtId="37" fontId="26" fillId="0" borderId="5" xfId="0" applyFont="1" applyBorder="1" applyAlignment="1">
      <alignment horizontal="center"/>
    </xf>
    <xf numFmtId="37" fontId="26" fillId="13" borderId="5" xfId="0" applyFont="1" applyFill="1" applyBorder="1" applyAlignment="1">
      <alignment horizontal="center"/>
    </xf>
    <xf numFmtId="0" fontId="27" fillId="0" borderId="18" xfId="5" applyFont="1" applyBorder="1"/>
    <xf numFmtId="49" fontId="27" fillId="0" borderId="0" xfId="5" applyNumberFormat="1" applyFont="1"/>
    <xf numFmtId="177" fontId="26" fillId="0" borderId="8" xfId="7" applyNumberFormat="1" applyFont="1" applyBorder="1"/>
    <xf numFmtId="177" fontId="26" fillId="0" borderId="12" xfId="7" applyNumberFormat="1" applyFont="1" applyBorder="1"/>
    <xf numFmtId="177" fontId="26" fillId="0" borderId="40" xfId="7" applyNumberFormat="1" applyFont="1" applyBorder="1"/>
    <xf numFmtId="177" fontId="26" fillId="0" borderId="15" xfId="7" applyNumberFormat="1" applyFont="1" applyBorder="1"/>
    <xf numFmtId="177" fontId="26" fillId="15" borderId="12" xfId="7" applyNumberFormat="1" applyFont="1" applyFill="1" applyBorder="1"/>
    <xf numFmtId="177" fontId="26" fillId="9" borderId="13" xfId="7" applyNumberFormat="1" applyFont="1" applyFill="1" applyBorder="1"/>
    <xf numFmtId="177" fontId="26" fillId="9" borderId="0" xfId="7" applyNumberFormat="1" applyFont="1" applyFill="1"/>
    <xf numFmtId="177" fontId="26" fillId="9" borderId="38" xfId="7" applyNumberFormat="1" applyFont="1" applyFill="1" applyBorder="1"/>
    <xf numFmtId="177" fontId="26" fillId="9" borderId="12" xfId="7" applyNumberFormat="1" applyFont="1" applyFill="1" applyBorder="1"/>
    <xf numFmtId="177" fontId="26" fillId="9" borderId="40" xfId="7" applyNumberFormat="1" applyFont="1" applyFill="1" applyBorder="1"/>
    <xf numFmtId="177" fontId="26" fillId="4" borderId="0" xfId="7" applyNumberFormat="1" applyFont="1" applyFill="1"/>
    <xf numFmtId="49" fontId="27" fillId="0" borderId="18" xfId="5" applyNumberFormat="1" applyFont="1" applyBorder="1"/>
    <xf numFmtId="177" fontId="26" fillId="0" borderId="18" xfId="7" applyNumberFormat="1" applyFont="1" applyBorder="1"/>
    <xf numFmtId="177" fontId="26" fillId="0" borderId="38" xfId="7" applyNumberFormat="1" applyFont="1" applyBorder="1"/>
    <xf numFmtId="177" fontId="26" fillId="0" borderId="13" xfId="7" applyNumberFormat="1" applyFont="1" applyBorder="1"/>
    <xf numFmtId="177" fontId="26" fillId="15" borderId="0" xfId="7" applyNumberFormat="1" applyFont="1" applyFill="1"/>
    <xf numFmtId="49" fontId="27" fillId="0" borderId="18" xfId="5" applyNumberFormat="1" applyFont="1" applyBorder="1" applyAlignment="1">
      <alignment horizontal="right"/>
    </xf>
    <xf numFmtId="49" fontId="27" fillId="0" borderId="14" xfId="5" applyNumberFormat="1" applyFont="1" applyBorder="1"/>
    <xf numFmtId="177" fontId="26" fillId="0" borderId="3" xfId="7" applyNumberFormat="1" applyFont="1" applyBorder="1"/>
    <xf numFmtId="177" fontId="26" fillId="0" borderId="14" xfId="7" applyNumberFormat="1" applyFont="1" applyBorder="1"/>
    <xf numFmtId="38" fontId="22" fillId="11" borderId="14" xfId="2" applyFont="1" applyFill="1" applyBorder="1"/>
    <xf numFmtId="177" fontId="26" fillId="0" borderId="17" xfId="7" applyNumberFormat="1" applyFont="1" applyBorder="1"/>
    <xf numFmtId="177" fontId="26" fillId="0" borderId="58" xfId="7" applyNumberFormat="1" applyFont="1" applyBorder="1"/>
    <xf numFmtId="38" fontId="22" fillId="15" borderId="14" xfId="2" applyFont="1" applyFill="1" applyBorder="1"/>
    <xf numFmtId="177" fontId="26" fillId="9" borderId="17" xfId="0" applyNumberFormat="1" applyFont="1" applyFill="1" applyBorder="1"/>
    <xf numFmtId="177" fontId="26" fillId="9" borderId="58" xfId="0" applyNumberFormat="1" applyFont="1" applyFill="1" applyBorder="1"/>
    <xf numFmtId="0" fontId="27" fillId="0" borderId="18" xfId="17" applyFont="1" applyBorder="1"/>
    <xf numFmtId="177" fontId="26" fillId="13" borderId="13" xfId="7" applyNumberFormat="1" applyFont="1" applyFill="1" applyBorder="1"/>
    <xf numFmtId="177" fontId="26" fillId="13" borderId="0" xfId="7" applyNumberFormat="1" applyFont="1" applyFill="1"/>
    <xf numFmtId="38" fontId="26" fillId="13" borderId="0" xfId="2" applyFont="1" applyFill="1" applyBorder="1"/>
    <xf numFmtId="0" fontId="26" fillId="0" borderId="18" xfId="17" applyFont="1" applyBorder="1"/>
    <xf numFmtId="49" fontId="26" fillId="0" borderId="0" xfId="5" applyNumberFormat="1" applyFont="1"/>
    <xf numFmtId="177" fontId="26" fillId="15" borderId="0" xfId="0" applyNumberFormat="1" applyFont="1" applyFill="1"/>
    <xf numFmtId="177" fontId="26" fillId="0" borderId="38" xfId="0" applyNumberFormat="1" applyFont="1" applyBorder="1"/>
    <xf numFmtId="177" fontId="26" fillId="0" borderId="13" xfId="0" applyNumberFormat="1" applyFont="1" applyBorder="1"/>
    <xf numFmtId="0" fontId="27" fillId="0" borderId="0" xfId="7" applyFont="1" applyAlignment="1">
      <alignment horizontal="left"/>
    </xf>
    <xf numFmtId="176" fontId="27" fillId="0" borderId="0" xfId="17" applyNumberFormat="1" applyFont="1" applyAlignment="1">
      <alignment horizontal="left"/>
    </xf>
    <xf numFmtId="176" fontId="27" fillId="0" borderId="0" xfId="17" applyNumberFormat="1" applyFont="1"/>
    <xf numFmtId="0" fontId="26" fillId="0" borderId="9" xfId="17" applyFont="1" applyBorder="1"/>
    <xf numFmtId="49" fontId="26" fillId="0" borderId="5" xfId="5" applyNumberFormat="1" applyFont="1" applyBorder="1"/>
    <xf numFmtId="177" fontId="26" fillId="0" borderId="9" xfId="7" applyNumberFormat="1" applyFont="1" applyBorder="1"/>
    <xf numFmtId="177" fontId="26" fillId="0" borderId="5" xfId="7" applyNumberFormat="1" applyFont="1" applyBorder="1"/>
    <xf numFmtId="177" fontId="26" fillId="0" borderId="41" xfId="7" applyNumberFormat="1" applyFont="1" applyBorder="1"/>
    <xf numFmtId="177" fontId="26" fillId="0" borderId="30" xfId="7" applyNumberFormat="1" applyFont="1" applyBorder="1"/>
    <xf numFmtId="177" fontId="26" fillId="0" borderId="32" xfId="7" applyNumberFormat="1" applyFont="1" applyBorder="1"/>
    <xf numFmtId="177" fontId="26" fillId="0" borderId="46" xfId="7" applyNumberFormat="1" applyFont="1" applyBorder="1"/>
    <xf numFmtId="38" fontId="26" fillId="0" borderId="32" xfId="2" applyFont="1" applyFill="1" applyBorder="1"/>
    <xf numFmtId="177" fontId="26" fillId="15" borderId="32" xfId="0" applyNumberFormat="1" applyFont="1" applyFill="1" applyBorder="1"/>
    <xf numFmtId="177" fontId="26" fillId="13" borderId="30" xfId="7" applyNumberFormat="1" applyFont="1" applyFill="1" applyBorder="1"/>
    <xf numFmtId="177" fontId="26" fillId="13" borderId="32" xfId="7" applyNumberFormat="1" applyFont="1" applyFill="1" applyBorder="1"/>
    <xf numFmtId="37" fontId="26" fillId="4" borderId="0" xfId="0" applyFont="1" applyFill="1" applyAlignment="1">
      <alignment horizontal="center" vertical="top" wrapText="1"/>
    </xf>
    <xf numFmtId="177" fontId="26" fillId="0" borderId="19" xfId="2" applyNumberFormat="1" applyFont="1" applyBorder="1"/>
    <xf numFmtId="177" fontId="26" fillId="4" borderId="3" xfId="2" applyNumberFormat="1" applyFont="1" applyFill="1" applyBorder="1"/>
    <xf numFmtId="177" fontId="26" fillId="13" borderId="14" xfId="2" applyNumberFormat="1" applyFont="1" applyFill="1" applyBorder="1"/>
    <xf numFmtId="177" fontId="26" fillId="0" borderId="14" xfId="2" applyNumberFormat="1" applyFont="1" applyBorder="1"/>
    <xf numFmtId="177" fontId="26" fillId="4" borderId="14" xfId="2" applyNumberFormat="1" applyFont="1" applyFill="1" applyBorder="1"/>
    <xf numFmtId="0" fontId="2" fillId="13" borderId="0" xfId="6" applyFill="1" applyAlignment="1">
      <alignment horizontal="center"/>
    </xf>
    <xf numFmtId="177" fontId="2" fillId="9" borderId="1" xfId="0" applyNumberFormat="1" applyFont="1" applyFill="1" applyBorder="1"/>
    <xf numFmtId="177" fontId="2" fillId="9" borderId="19" xfId="0" applyNumberFormat="1" applyFont="1" applyFill="1" applyBorder="1"/>
    <xf numFmtId="177" fontId="2" fillId="9" borderId="29" xfId="0" applyNumberFormat="1" applyFont="1" applyFill="1" applyBorder="1"/>
    <xf numFmtId="37" fontId="26" fillId="13" borderId="19" xfId="0" applyFont="1" applyFill="1" applyBorder="1"/>
    <xf numFmtId="37" fontId="26" fillId="13" borderId="48" xfId="0" applyFont="1" applyFill="1" applyBorder="1"/>
    <xf numFmtId="183" fontId="26" fillId="15" borderId="9" xfId="2" applyNumberFormat="1" applyFont="1" applyFill="1" applyBorder="1" applyAlignment="1">
      <alignment vertical="center"/>
    </xf>
    <xf numFmtId="38" fontId="26" fillId="15" borderId="18" xfId="2" applyFont="1" applyFill="1" applyBorder="1" applyAlignment="1">
      <alignment vertical="center"/>
    </xf>
    <xf numFmtId="37" fontId="26" fillId="19" borderId="12" xfId="0" applyFont="1" applyFill="1" applyBorder="1" applyAlignment="1">
      <alignment horizontal="center" vertical="center"/>
    </xf>
    <xf numFmtId="37" fontId="2" fillId="19" borderId="5" xfId="0" applyFont="1" applyFill="1" applyBorder="1"/>
    <xf numFmtId="38" fontId="26" fillId="19" borderId="12" xfId="2" applyFont="1" applyFill="1" applyBorder="1" applyAlignment="1">
      <alignment vertical="center"/>
    </xf>
    <xf numFmtId="38" fontId="26" fillId="19" borderId="0" xfId="2" applyFont="1" applyFill="1" applyBorder="1" applyAlignment="1">
      <alignment vertical="center"/>
    </xf>
    <xf numFmtId="37" fontId="2" fillId="19" borderId="0" xfId="0" applyFont="1" applyFill="1"/>
    <xf numFmtId="177" fontId="56" fillId="19" borderId="0" xfId="3" applyNumberFormat="1" applyFont="1" applyFill="1" applyAlignment="1">
      <alignment horizontal="right" vertical="center"/>
    </xf>
    <xf numFmtId="197" fontId="26" fillId="13" borderId="11" xfId="2" applyNumberFormat="1" applyFont="1" applyFill="1" applyBorder="1"/>
    <xf numFmtId="178" fontId="2" fillId="0" borderId="12" xfId="0" applyNumberFormat="1" applyFont="1" applyBorder="1" applyAlignment="1">
      <alignment horizontal="center" vertical="center"/>
    </xf>
    <xf numFmtId="184" fontId="2" fillId="0" borderId="12" xfId="0" applyNumberFormat="1" applyFont="1" applyBorder="1" applyAlignment="1">
      <alignment horizontal="center"/>
    </xf>
    <xf numFmtId="184" fontId="2" fillId="9" borderId="12" xfId="0" applyNumberFormat="1" applyFont="1" applyFill="1" applyBorder="1" applyAlignment="1">
      <alignment horizontal="center"/>
    </xf>
    <xf numFmtId="178" fontId="2" fillId="4" borderId="12" xfId="0" applyNumberFormat="1" applyFont="1" applyFill="1" applyBorder="1" applyAlignment="1">
      <alignment horizontal="center" vertical="center"/>
    </xf>
    <xf numFmtId="178" fontId="51" fillId="0" borderId="12" xfId="0" applyNumberFormat="1" applyFont="1" applyBorder="1" applyAlignment="1">
      <alignment horizontal="center" vertical="center"/>
    </xf>
    <xf numFmtId="184" fontId="51" fillId="0" borderId="12" xfId="0" applyNumberFormat="1" applyFont="1" applyBorder="1" applyAlignment="1">
      <alignment horizontal="center"/>
    </xf>
    <xf numFmtId="178" fontId="34" fillId="0" borderId="12" xfId="0" applyNumberFormat="1" applyFont="1" applyBorder="1" applyAlignment="1">
      <alignment horizontal="center" vertical="center"/>
    </xf>
    <xf numFmtId="178" fontId="34" fillId="0" borderId="12" xfId="0" applyNumberFormat="1" applyFont="1" applyBorder="1" applyAlignment="1">
      <alignment horizontal="center"/>
    </xf>
    <xf numFmtId="184" fontId="34" fillId="0" borderId="12" xfId="0" applyNumberFormat="1" applyFont="1" applyBorder="1" applyAlignment="1">
      <alignment horizontal="center"/>
    </xf>
    <xf numFmtId="178" fontId="2" fillId="0" borderId="12" xfId="0" applyNumberFormat="1" applyFont="1" applyBorder="1" applyAlignment="1">
      <alignment horizontal="center"/>
    </xf>
    <xf numFmtId="178" fontId="2" fillId="0" borderId="11" xfId="0" applyNumberFormat="1" applyFont="1" applyBorder="1" applyAlignment="1">
      <alignment vertical="center"/>
    </xf>
    <xf numFmtId="192" fontId="14" fillId="0" borderId="0" xfId="2" applyNumberFormat="1" applyFont="1" applyFill="1"/>
    <xf numFmtId="198" fontId="34" fillId="0" borderId="0" xfId="0" applyNumberFormat="1" applyFont="1"/>
    <xf numFmtId="37" fontId="2" fillId="20" borderId="0" xfId="0" applyFont="1" applyFill="1" applyAlignment="1">
      <alignment vertical="center"/>
    </xf>
    <xf numFmtId="37" fontId="2" fillId="20" borderId="0" xfId="0" applyFont="1" applyFill="1"/>
    <xf numFmtId="181" fontId="2" fillId="20" borderId="0" xfId="2" applyNumberFormat="1" applyFont="1" applyFill="1"/>
    <xf numFmtId="177" fontId="26" fillId="9" borderId="8" xfId="0" applyNumberFormat="1" applyFont="1" applyFill="1" applyBorder="1"/>
    <xf numFmtId="177" fontId="26" fillId="9" borderId="18" xfId="0" applyNumberFormat="1" applyFont="1" applyFill="1" applyBorder="1"/>
    <xf numFmtId="177" fontId="26" fillId="9" borderId="0" xfId="0" applyNumberFormat="1" applyFont="1" applyFill="1"/>
    <xf numFmtId="177" fontId="26" fillId="9" borderId="9" xfId="0" applyNumberFormat="1" applyFont="1" applyFill="1" applyBorder="1"/>
    <xf numFmtId="177" fontId="26" fillId="9" borderId="5" xfId="7" applyNumberFormat="1" applyFont="1" applyFill="1" applyBorder="1"/>
    <xf numFmtId="177" fontId="26" fillId="15" borderId="5" xfId="0" applyNumberFormat="1" applyFont="1" applyFill="1" applyBorder="1"/>
    <xf numFmtId="177" fontId="26" fillId="10" borderId="4" xfId="7" applyNumberFormat="1" applyFont="1" applyFill="1" applyBorder="1"/>
    <xf numFmtId="177" fontId="26" fillId="10" borderId="2" xfId="7" applyNumberFormat="1" applyFont="1" applyFill="1" applyBorder="1"/>
    <xf numFmtId="177" fontId="26" fillId="10" borderId="6" xfId="7" applyNumberFormat="1" applyFont="1" applyFill="1" applyBorder="1"/>
    <xf numFmtId="177" fontId="26" fillId="15" borderId="32" xfId="7" applyNumberFormat="1" applyFont="1" applyFill="1" applyBorder="1"/>
    <xf numFmtId="177" fontId="26" fillId="10" borderId="11" xfId="2" applyNumberFormat="1" applyFont="1" applyFill="1" applyBorder="1"/>
    <xf numFmtId="38" fontId="26" fillId="9" borderId="8" xfId="2" applyFont="1" applyFill="1" applyBorder="1" applyAlignment="1">
      <alignment vertical="center"/>
    </xf>
    <xf numFmtId="183" fontId="26" fillId="9" borderId="9" xfId="2" applyNumberFormat="1" applyFont="1" applyFill="1" applyBorder="1" applyAlignment="1">
      <alignment vertical="center"/>
    </xf>
    <xf numFmtId="38" fontId="26" fillId="9" borderId="18" xfId="2" applyFont="1" applyFill="1" applyBorder="1" applyAlignment="1">
      <alignment vertical="center"/>
    </xf>
    <xf numFmtId="177" fontId="26" fillId="13" borderId="4" xfId="0" applyNumberFormat="1" applyFont="1" applyFill="1" applyBorder="1"/>
    <xf numFmtId="177" fontId="26" fillId="10" borderId="0" xfId="7" applyNumberFormat="1" applyFont="1" applyFill="1"/>
    <xf numFmtId="178" fontId="26" fillId="0" borderId="8" xfId="7" applyNumberFormat="1" applyFont="1" applyBorder="1"/>
    <xf numFmtId="178" fontId="26" fillId="0" borderId="4" xfId="7" applyNumberFormat="1" applyFont="1" applyBorder="1"/>
    <xf numFmtId="0" fontId="22" fillId="4" borderId="3" xfId="7" applyFont="1" applyFill="1" applyBorder="1" applyAlignment="1">
      <alignment vertical="top" wrapText="1"/>
    </xf>
    <xf numFmtId="0" fontId="22" fillId="4" borderId="7" xfId="7" applyFont="1" applyFill="1" applyBorder="1" applyAlignment="1">
      <alignment vertical="top" wrapText="1"/>
    </xf>
    <xf numFmtId="177" fontId="26" fillId="9" borderId="4" xfId="0" applyNumberFormat="1" applyFont="1" applyFill="1" applyBorder="1"/>
    <xf numFmtId="177" fontId="26" fillId="9" borderId="8" xfId="7" applyNumberFormat="1" applyFont="1" applyFill="1" applyBorder="1"/>
    <xf numFmtId="177" fontId="26" fillId="9" borderId="4" xfId="7" applyNumberFormat="1" applyFont="1" applyFill="1" applyBorder="1"/>
    <xf numFmtId="177" fontId="26" fillId="9" borderId="18" xfId="7" applyNumberFormat="1" applyFont="1" applyFill="1" applyBorder="1"/>
    <xf numFmtId="177" fontId="26" fillId="9" borderId="2" xfId="7" applyNumberFormat="1" applyFont="1" applyFill="1" applyBorder="1"/>
    <xf numFmtId="177" fontId="26" fillId="9" borderId="3" xfId="0" applyNumberFormat="1" applyFont="1" applyFill="1" applyBorder="1"/>
    <xf numFmtId="177" fontId="26" fillId="9" borderId="7" xfId="0" applyNumberFormat="1" applyFont="1" applyFill="1" applyBorder="1"/>
    <xf numFmtId="177" fontId="26" fillId="13" borderId="5" xfId="7" applyNumberFormat="1" applyFont="1" applyFill="1" applyBorder="1"/>
    <xf numFmtId="177" fontId="26" fillId="13" borderId="12" xfId="7" applyNumberFormat="1" applyFont="1" applyFill="1" applyBorder="1"/>
    <xf numFmtId="37" fontId="57" fillId="0" borderId="0" xfId="0" applyFont="1" applyProtection="1">
      <protection locked="0"/>
    </xf>
    <xf numFmtId="37" fontId="58" fillId="0" borderId="0" xfId="0" quotePrefix="1" applyFont="1" applyAlignment="1" applyProtection="1">
      <alignment horizontal="left"/>
      <protection locked="0"/>
    </xf>
    <xf numFmtId="177" fontId="57" fillId="0" borderId="0" xfId="0" applyNumberFormat="1" applyFont="1" applyProtection="1">
      <protection locked="0"/>
    </xf>
    <xf numFmtId="177" fontId="59" fillId="0" borderId="0" xfId="0" applyNumberFormat="1" applyFont="1" applyProtection="1">
      <protection locked="0"/>
    </xf>
    <xf numFmtId="37" fontId="59" fillId="0" borderId="0" xfId="0" applyFont="1" applyProtection="1">
      <protection locked="0"/>
    </xf>
    <xf numFmtId="37" fontId="24" fillId="0" borderId="0" xfId="0" applyFont="1" applyProtection="1">
      <protection locked="0"/>
    </xf>
    <xf numFmtId="37" fontId="24" fillId="9" borderId="0" xfId="0" applyFont="1" applyFill="1" applyProtection="1">
      <protection locked="0"/>
    </xf>
    <xf numFmtId="40" fontId="60" fillId="9" borderId="0" xfId="2" applyNumberFormat="1" applyFont="1" applyFill="1" applyProtection="1">
      <protection locked="0"/>
    </xf>
    <xf numFmtId="37" fontId="60" fillId="0" borderId="0" xfId="0" applyFont="1" applyAlignment="1" applyProtection="1">
      <alignment horizontal="center"/>
      <protection locked="0"/>
    </xf>
    <xf numFmtId="37" fontId="60" fillId="0" borderId="0" xfId="0" applyFont="1" applyProtection="1">
      <protection locked="0"/>
    </xf>
    <xf numFmtId="37" fontId="59" fillId="9" borderId="0" xfId="0" applyFont="1" applyFill="1" applyProtection="1">
      <protection locked="0"/>
    </xf>
    <xf numFmtId="37" fontId="60" fillId="0" borderId="12" xfId="0" applyFont="1" applyBorder="1" applyProtection="1">
      <protection locked="0"/>
    </xf>
    <xf numFmtId="37" fontId="60" fillId="0" borderId="5" xfId="0" applyFont="1" applyBorder="1" applyAlignment="1" applyProtection="1">
      <alignment horizontal="center" vertical="center"/>
      <protection locked="0"/>
    </xf>
    <xf numFmtId="37" fontId="60" fillId="0" borderId="0" xfId="0" applyFont="1" applyAlignment="1" applyProtection="1">
      <alignment horizontal="center" vertical="center"/>
      <protection locked="0"/>
    </xf>
    <xf numFmtId="37" fontId="57" fillId="0" borderId="0" xfId="0" applyFont="1" applyAlignment="1" applyProtection="1">
      <alignment horizontal="center" vertical="center"/>
      <protection locked="0"/>
    </xf>
    <xf numFmtId="177" fontId="24" fillId="17" borderId="12" xfId="2" applyNumberFormat="1" applyFont="1" applyFill="1" applyBorder="1" applyProtection="1">
      <protection locked="0"/>
    </xf>
    <xf numFmtId="177" fontId="24" fillId="9" borderId="12" xfId="2" applyNumberFormat="1" applyFont="1" applyFill="1" applyBorder="1" applyProtection="1">
      <protection locked="0"/>
    </xf>
    <xf numFmtId="177" fontId="24" fillId="13" borderId="0" xfId="2" applyNumberFormat="1" applyFont="1" applyFill="1" applyBorder="1" applyProtection="1">
      <protection locked="0"/>
    </xf>
    <xf numFmtId="177" fontId="24" fillId="10" borderId="0" xfId="2" applyNumberFormat="1" applyFont="1" applyFill="1" applyProtection="1">
      <protection locked="0"/>
    </xf>
    <xf numFmtId="180" fontId="24" fillId="10" borderId="0" xfId="2" applyNumberFormat="1" applyFont="1" applyFill="1" applyProtection="1">
      <protection locked="0"/>
    </xf>
    <xf numFmtId="177" fontId="24" fillId="17" borderId="0" xfId="2" applyNumberFormat="1" applyFont="1" applyFill="1" applyBorder="1" applyProtection="1">
      <protection locked="0"/>
    </xf>
    <xf numFmtId="177" fontId="24" fillId="15" borderId="0" xfId="2" applyNumberFormat="1" applyFont="1" applyFill="1" applyBorder="1" applyProtection="1">
      <protection locked="0"/>
    </xf>
    <xf numFmtId="177" fontId="24" fillId="0" borderId="0" xfId="2" applyNumberFormat="1" applyFont="1" applyFill="1" applyProtection="1">
      <protection locked="0"/>
    </xf>
    <xf numFmtId="180" fontId="24" fillId="0" borderId="0" xfId="2" applyNumberFormat="1" applyFont="1" applyFill="1" applyProtection="1">
      <protection locked="0"/>
    </xf>
    <xf numFmtId="177" fontId="24" fillId="9" borderId="60" xfId="2" applyNumberFormat="1" applyFont="1" applyFill="1" applyBorder="1" applyProtection="1">
      <protection locked="0"/>
    </xf>
    <xf numFmtId="177" fontId="24" fillId="14" borderId="0" xfId="2" applyNumberFormat="1" applyFont="1" applyFill="1" applyBorder="1" applyProtection="1">
      <protection locked="0"/>
    </xf>
    <xf numFmtId="177" fontId="24" fillId="15" borderId="60" xfId="0" applyNumberFormat="1" applyFont="1" applyFill="1" applyBorder="1" applyProtection="1">
      <protection locked="0"/>
    </xf>
    <xf numFmtId="177" fontId="24" fillId="9" borderId="0" xfId="0" applyNumberFormat="1" applyFont="1" applyFill="1" applyProtection="1">
      <protection locked="0"/>
    </xf>
    <xf numFmtId="177" fontId="24" fillId="15" borderId="0" xfId="0" applyNumberFormat="1" applyFont="1" applyFill="1" applyProtection="1">
      <protection locked="0"/>
    </xf>
    <xf numFmtId="177" fontId="24" fillId="13" borderId="0" xfId="2" applyNumberFormat="1" applyFont="1" applyFill="1" applyProtection="1">
      <protection locked="0"/>
    </xf>
    <xf numFmtId="180" fontId="24" fillId="13" borderId="0" xfId="2" applyNumberFormat="1" applyFont="1" applyFill="1" applyProtection="1">
      <protection locked="0"/>
    </xf>
    <xf numFmtId="177" fontId="24" fillId="13" borderId="21" xfId="2" applyNumberFormat="1" applyFont="1" applyFill="1" applyBorder="1" applyProtection="1">
      <protection locked="0"/>
    </xf>
    <xf numFmtId="177" fontId="24" fillId="14" borderId="0" xfId="0" applyNumberFormat="1" applyFont="1" applyFill="1" applyProtection="1">
      <protection locked="0"/>
    </xf>
    <xf numFmtId="180" fontId="24" fillId="4" borderId="0" xfId="2" applyNumberFormat="1" applyFont="1" applyFill="1" applyProtection="1">
      <protection locked="0"/>
    </xf>
    <xf numFmtId="37" fontId="24" fillId="13" borderId="0" xfId="0" applyFont="1" applyFill="1" applyProtection="1">
      <protection locked="0"/>
    </xf>
    <xf numFmtId="177" fontId="24" fillId="9" borderId="14" xfId="0" applyNumberFormat="1" applyFont="1" applyFill="1" applyBorder="1" applyProtection="1">
      <protection locked="0"/>
    </xf>
    <xf numFmtId="177" fontId="24" fillId="13" borderId="14" xfId="0" applyNumberFormat="1" applyFont="1" applyFill="1" applyBorder="1" applyProtection="1">
      <protection locked="0"/>
    </xf>
    <xf numFmtId="180" fontId="24" fillId="13" borderId="14" xfId="2" applyNumberFormat="1" applyFont="1" applyFill="1" applyBorder="1" applyProtection="1">
      <protection locked="0"/>
    </xf>
    <xf numFmtId="37" fontId="24" fillId="0" borderId="14" xfId="0" applyFont="1" applyBorder="1" applyProtection="1">
      <protection locked="0"/>
    </xf>
    <xf numFmtId="177" fontId="24" fillId="9" borderId="0" xfId="2" applyNumberFormat="1" applyFont="1" applyFill="1" applyProtection="1">
      <protection locked="0"/>
    </xf>
    <xf numFmtId="40" fontId="24" fillId="9" borderId="0" xfId="2" applyNumberFormat="1" applyFont="1" applyFill="1" applyProtection="1">
      <protection locked="0"/>
    </xf>
    <xf numFmtId="40" fontId="24" fillId="9" borderId="0" xfId="2" applyNumberFormat="1" applyFont="1" applyFill="1" applyBorder="1" applyProtection="1">
      <protection locked="0"/>
    </xf>
    <xf numFmtId="177" fontId="24" fillId="9" borderId="12" xfId="0" applyNumberFormat="1" applyFont="1" applyFill="1" applyBorder="1" applyProtection="1">
      <protection locked="0"/>
    </xf>
    <xf numFmtId="38" fontId="24" fillId="0" borderId="0" xfId="2" applyFont="1" applyFill="1" applyProtection="1">
      <protection locked="0"/>
    </xf>
    <xf numFmtId="181" fontId="24" fillId="0" borderId="0" xfId="2" applyNumberFormat="1" applyFont="1" applyFill="1" applyProtection="1">
      <protection locked="0"/>
    </xf>
    <xf numFmtId="177" fontId="24" fillId="9" borderId="12" xfId="0" quotePrefix="1" applyNumberFormat="1" applyFont="1" applyFill="1" applyBorder="1" applyProtection="1">
      <protection locked="0"/>
    </xf>
    <xf numFmtId="37" fontId="24" fillId="9" borderId="0" xfId="0" quotePrefix="1" applyFont="1" applyFill="1" applyAlignment="1" applyProtection="1">
      <alignment horizontal="center" vertical="center"/>
      <protection locked="0"/>
    </xf>
    <xf numFmtId="177" fontId="59" fillId="9" borderId="0" xfId="0" applyNumberFormat="1" applyFont="1" applyFill="1" applyProtection="1">
      <protection locked="0"/>
    </xf>
    <xf numFmtId="177" fontId="24" fillId="9" borderId="5" xfId="0" applyNumberFormat="1" applyFont="1" applyFill="1" applyBorder="1" applyProtection="1">
      <protection locked="0"/>
    </xf>
    <xf numFmtId="196" fontId="24" fillId="0" borderId="0" xfId="2" applyNumberFormat="1" applyFont="1" applyFill="1" applyBorder="1" applyProtection="1">
      <protection locked="0"/>
    </xf>
    <xf numFmtId="195" fontId="24" fillId="9" borderId="0" xfId="0" applyNumberFormat="1" applyFont="1" applyFill="1" applyProtection="1">
      <protection locked="0"/>
    </xf>
    <xf numFmtId="180" fontId="24" fillId="0" borderId="0" xfId="2" applyNumberFormat="1" applyFont="1" applyFill="1" applyBorder="1" applyProtection="1">
      <protection locked="0"/>
    </xf>
    <xf numFmtId="177" fontId="26" fillId="10" borderId="12" xfId="0" applyNumberFormat="1" applyFont="1" applyFill="1" applyBorder="1"/>
    <xf numFmtId="177" fontId="26" fillId="10" borderId="0" xfId="0" applyNumberFormat="1" applyFont="1" applyFill="1"/>
    <xf numFmtId="57" fontId="6" fillId="0" borderId="0" xfId="5" applyNumberFormat="1" applyFont="1" applyAlignment="1">
      <alignment horizontal="center"/>
    </xf>
    <xf numFmtId="38" fontId="24" fillId="9" borderId="0" xfId="2" applyFont="1" applyFill="1" applyProtection="1">
      <protection locked="0"/>
    </xf>
    <xf numFmtId="178" fontId="2" fillId="13" borderId="12" xfId="0" applyNumberFormat="1" applyFont="1" applyFill="1" applyBorder="1"/>
    <xf numFmtId="37" fontId="1" fillId="4" borderId="27" xfId="0" applyFont="1" applyFill="1" applyBorder="1"/>
    <xf numFmtId="38" fontId="10" fillId="4" borderId="0" xfId="2" applyFont="1" applyFill="1" applyBorder="1" applyProtection="1"/>
    <xf numFmtId="38" fontId="10" fillId="4" borderId="12" xfId="2" applyFont="1" applyFill="1" applyBorder="1" applyProtection="1"/>
    <xf numFmtId="37" fontId="10" fillId="4" borderId="0" xfId="0" applyFont="1" applyFill="1"/>
    <xf numFmtId="38" fontId="10" fillId="4" borderId="5" xfId="2" applyFont="1" applyFill="1" applyBorder="1" applyProtection="1"/>
    <xf numFmtId="37" fontId="1" fillId="0" borderId="74" xfId="0" applyFont="1" applyBorder="1"/>
    <xf numFmtId="37" fontId="1" fillId="0" borderId="51" xfId="0" applyFont="1" applyBorder="1"/>
    <xf numFmtId="37" fontId="1" fillId="0" borderId="53" xfId="0" applyFont="1" applyBorder="1"/>
    <xf numFmtId="0" fontId="2" fillId="0" borderId="0" xfId="22">
      <alignment vertical="center"/>
    </xf>
    <xf numFmtId="38" fontId="2" fillId="4" borderId="49" xfId="2" applyFont="1" applyFill="1" applyBorder="1" applyAlignment="1">
      <alignment horizontal="right"/>
    </xf>
    <xf numFmtId="38" fontId="2" fillId="0" borderId="27" xfId="2" applyFont="1" applyBorder="1" applyAlignment="1">
      <alignment vertical="center"/>
    </xf>
    <xf numFmtId="38" fontId="2" fillId="0" borderId="28" xfId="2" applyFont="1" applyBorder="1" applyAlignment="1">
      <alignment vertical="center"/>
    </xf>
    <xf numFmtId="0" fontId="2" fillId="0" borderId="26" xfId="22" applyBorder="1">
      <alignment vertical="center"/>
    </xf>
    <xf numFmtId="38" fontId="2" fillId="4" borderId="51" xfId="2" applyFont="1" applyFill="1" applyBorder="1" applyAlignment="1"/>
    <xf numFmtId="38" fontId="2" fillId="0" borderId="19" xfId="2" applyFont="1" applyFill="1" applyBorder="1" applyAlignment="1">
      <alignment horizontal="center" vertical="center"/>
    </xf>
    <xf numFmtId="38" fontId="2" fillId="4" borderId="52" xfId="2" applyFont="1" applyFill="1" applyBorder="1" applyAlignment="1"/>
    <xf numFmtId="38" fontId="2" fillId="0" borderId="29" xfId="2" applyFont="1" applyBorder="1" applyAlignment="1">
      <alignment vertical="center"/>
    </xf>
    <xf numFmtId="38" fontId="2" fillId="0" borderId="9" xfId="2" applyFont="1" applyBorder="1" applyAlignment="1">
      <alignment vertical="center"/>
    </xf>
    <xf numFmtId="38" fontId="2" fillId="4" borderId="51" xfId="2" applyFont="1" applyFill="1" applyBorder="1" applyAlignment="1">
      <alignment vertical="center"/>
    </xf>
    <xf numFmtId="38" fontId="2" fillId="4" borderId="52" xfId="2" applyFont="1" applyFill="1" applyBorder="1" applyAlignment="1">
      <alignment vertical="center"/>
    </xf>
    <xf numFmtId="38" fontId="1" fillId="0" borderId="74" xfId="2" applyFont="1" applyBorder="1" applyAlignment="1">
      <alignment vertical="center"/>
    </xf>
    <xf numFmtId="38" fontId="1" fillId="0" borderId="51" xfId="2" applyFont="1" applyBorder="1" applyAlignment="1" applyProtection="1">
      <alignment vertical="center"/>
    </xf>
    <xf numFmtId="38" fontId="1" fillId="0" borderId="53" xfId="2" applyFont="1" applyBorder="1" applyAlignment="1">
      <alignment vertical="center"/>
    </xf>
    <xf numFmtId="38" fontId="1" fillId="0" borderId="51" xfId="2" applyFont="1" applyBorder="1" applyAlignment="1">
      <alignment vertical="center"/>
    </xf>
    <xf numFmtId="38" fontId="2" fillId="0" borderId="32" xfId="2" applyFont="1" applyBorder="1" applyAlignment="1">
      <alignment vertical="center"/>
    </xf>
    <xf numFmtId="37" fontId="2" fillId="0" borderId="0" xfId="0" applyFont="1" applyAlignment="1">
      <alignment horizontal="center" vertical="center" shrinkToFit="1"/>
    </xf>
    <xf numFmtId="37" fontId="2" fillId="21" borderId="0" xfId="0" applyFont="1" applyFill="1"/>
    <xf numFmtId="37" fontId="2" fillId="0" borderId="49" xfId="0" applyFont="1" applyBorder="1" applyAlignment="1">
      <alignment horizontal="right"/>
    </xf>
    <xf numFmtId="37" fontId="2" fillId="4" borderId="26" xfId="0" applyFont="1" applyFill="1" applyBorder="1"/>
    <xf numFmtId="37" fontId="2" fillId="4" borderId="28" xfId="0" applyFont="1" applyFill="1" applyBorder="1"/>
    <xf numFmtId="37" fontId="2" fillId="4" borderId="27" xfId="0" applyFont="1" applyFill="1" applyBorder="1"/>
    <xf numFmtId="37" fontId="2" fillId="0" borderId="51" xfId="0" applyFont="1" applyBorder="1"/>
    <xf numFmtId="37" fontId="2" fillId="0" borderId="19" xfId="0" applyFont="1" applyBorder="1" applyAlignment="1">
      <alignment horizontal="center"/>
    </xf>
    <xf numFmtId="37" fontId="2" fillId="0" borderId="18" xfId="0" applyFont="1" applyBorder="1" applyAlignment="1">
      <alignment horizontal="center"/>
    </xf>
    <xf numFmtId="37" fontId="2" fillId="0" borderId="52" xfId="0" applyFont="1" applyBorder="1"/>
    <xf numFmtId="37" fontId="2" fillId="0" borderId="29" xfId="0" applyFont="1" applyBorder="1" applyAlignment="1">
      <alignment horizontal="center"/>
    </xf>
    <xf numFmtId="37" fontId="2" fillId="0" borderId="9" xfId="0" applyFont="1" applyBorder="1" applyAlignment="1">
      <alignment horizontal="center"/>
    </xf>
    <xf numFmtId="37" fontId="2" fillId="21" borderId="5" xfId="0" applyFont="1" applyFill="1" applyBorder="1" applyAlignment="1">
      <alignment horizontal="center"/>
    </xf>
    <xf numFmtId="37" fontId="2" fillId="0" borderId="53" xfId="0" applyFont="1" applyBorder="1"/>
    <xf numFmtId="38" fontId="2" fillId="0" borderId="14" xfId="2" applyFont="1" applyFill="1" applyBorder="1" applyProtection="1"/>
    <xf numFmtId="38" fontId="2" fillId="0" borderId="0" xfId="2" applyFont="1" applyFill="1" applyBorder="1" applyProtection="1"/>
    <xf numFmtId="38" fontId="2" fillId="0" borderId="12" xfId="2" applyFont="1" applyFill="1" applyBorder="1" applyProtection="1"/>
    <xf numFmtId="38" fontId="2" fillId="0" borderId="5" xfId="2" applyFont="1" applyFill="1" applyBorder="1" applyProtection="1"/>
    <xf numFmtId="37" fontId="2" fillId="4" borderId="51" xfId="0" applyFont="1" applyFill="1" applyBorder="1"/>
    <xf numFmtId="37" fontId="2" fillId="4" borderId="52" xfId="0" applyFont="1" applyFill="1" applyBorder="1"/>
    <xf numFmtId="37" fontId="2" fillId="0" borderId="50" xfId="0" applyFont="1" applyBorder="1"/>
    <xf numFmtId="38" fontId="2" fillId="0" borderId="32" xfId="2" applyFont="1" applyFill="1" applyBorder="1" applyProtection="1"/>
    <xf numFmtId="179" fontId="2" fillId="0" borderId="0" xfId="2" applyNumberFormat="1" applyFont="1" applyBorder="1" applyAlignment="1"/>
    <xf numFmtId="179" fontId="2" fillId="21" borderId="0" xfId="2" applyNumberFormat="1" applyFont="1" applyFill="1" applyBorder="1" applyAlignment="1"/>
    <xf numFmtId="199" fontId="2" fillId="21" borderId="0" xfId="0" applyNumberFormat="1" applyFont="1" applyFill="1"/>
    <xf numFmtId="38" fontId="18" fillId="0" borderId="32" xfId="2" applyFont="1" applyFill="1" applyBorder="1" applyAlignment="1">
      <alignment vertical="center"/>
    </xf>
    <xf numFmtId="38" fontId="2" fillId="0" borderId="0" xfId="2" applyFont="1" applyFill="1" applyAlignment="1">
      <alignment horizontal="center" shrinkToFit="1"/>
    </xf>
    <xf numFmtId="38" fontId="2" fillId="0" borderId="26" xfId="2" applyFont="1" applyBorder="1" applyAlignment="1">
      <alignment vertical="center"/>
    </xf>
    <xf numFmtId="38" fontId="2" fillId="0" borderId="51" xfId="2" applyFont="1" applyBorder="1" applyAlignment="1">
      <alignment vertical="center"/>
    </xf>
    <xf numFmtId="38" fontId="2" fillId="0" borderId="52" xfId="2" applyFont="1" applyBorder="1" applyAlignment="1">
      <alignment vertical="center"/>
    </xf>
    <xf numFmtId="38" fontId="2" fillId="0" borderId="51" xfId="2" applyFont="1" applyFill="1" applyBorder="1" applyAlignment="1">
      <alignment vertical="center"/>
    </xf>
    <xf numFmtId="38" fontId="2" fillId="0" borderId="52" xfId="2" applyFont="1" applyFill="1" applyBorder="1" applyAlignment="1">
      <alignment vertical="center"/>
    </xf>
    <xf numFmtId="38" fontId="2" fillId="0" borderId="50" xfId="2" applyFont="1" applyBorder="1" applyAlignment="1">
      <alignment vertical="center"/>
    </xf>
    <xf numFmtId="37" fontId="26" fillId="13" borderId="11" xfId="0" applyFont="1" applyFill="1" applyBorder="1" applyAlignment="1">
      <alignment vertical="center"/>
    </xf>
    <xf numFmtId="37" fontId="2" fillId="13" borderId="11" xfId="0" applyFont="1" applyFill="1" applyBorder="1"/>
    <xf numFmtId="37" fontId="26" fillId="13" borderId="19" xfId="0" applyFont="1" applyFill="1" applyBorder="1" applyAlignment="1">
      <alignment horizontal="center" vertical="center"/>
    </xf>
    <xf numFmtId="37" fontId="26" fillId="13" borderId="19" xfId="0" applyFont="1" applyFill="1" applyBorder="1" applyAlignment="1">
      <alignment vertical="center"/>
    </xf>
    <xf numFmtId="37" fontId="26" fillId="13" borderId="29" xfId="0" applyFont="1" applyFill="1" applyBorder="1" applyAlignment="1">
      <alignment vertical="center"/>
    </xf>
    <xf numFmtId="37" fontId="26" fillId="10" borderId="0" xfId="0" applyFont="1" applyFill="1" applyAlignment="1">
      <alignment vertical="center"/>
    </xf>
    <xf numFmtId="177" fontId="24" fillId="13" borderId="12" xfId="2" applyNumberFormat="1" applyFont="1" applyFill="1" applyBorder="1" applyProtection="1">
      <protection locked="0"/>
    </xf>
    <xf numFmtId="177" fontId="24" fillId="13" borderId="60" xfId="2" applyNumberFormat="1" applyFont="1" applyFill="1" applyBorder="1" applyProtection="1">
      <protection locked="0"/>
    </xf>
    <xf numFmtId="177" fontId="24" fillId="13" borderId="5" xfId="2" applyNumberFormat="1" applyFont="1" applyFill="1" applyBorder="1" applyProtection="1">
      <protection locked="0"/>
    </xf>
    <xf numFmtId="177" fontId="24" fillId="13" borderId="14" xfId="2" applyNumberFormat="1" applyFont="1" applyFill="1" applyBorder="1" applyProtection="1">
      <protection locked="0"/>
    </xf>
    <xf numFmtId="184" fontId="24" fillId="13" borderId="12" xfId="2" applyNumberFormat="1" applyFont="1" applyFill="1" applyBorder="1" applyAlignment="1" applyProtection="1">
      <alignment horizontal="center"/>
      <protection locked="0"/>
    </xf>
    <xf numFmtId="184" fontId="24" fillId="13" borderId="12" xfId="0" applyNumberFormat="1" applyFont="1" applyFill="1" applyBorder="1" applyAlignment="1" applyProtection="1">
      <alignment horizontal="center"/>
      <protection locked="0"/>
    </xf>
    <xf numFmtId="184" fontId="24" fillId="13" borderId="5" xfId="0" applyNumberFormat="1" applyFont="1" applyFill="1" applyBorder="1" applyAlignment="1" applyProtection="1">
      <alignment horizontal="center" vertical="center"/>
      <protection locked="0"/>
    </xf>
    <xf numFmtId="177" fontId="24" fillId="0" borderId="0" xfId="0" applyNumberFormat="1" applyFont="1" applyProtection="1">
      <protection locked="0"/>
    </xf>
    <xf numFmtId="177" fontId="24" fillId="0" borderId="0" xfId="0" applyNumberFormat="1" applyFont="1" applyAlignment="1" applyProtection="1">
      <alignment horizontal="right"/>
      <protection locked="0"/>
    </xf>
    <xf numFmtId="37" fontId="24" fillId="0" borderId="5" xfId="0" applyFont="1" applyBorder="1" applyProtection="1">
      <protection locked="0"/>
    </xf>
    <xf numFmtId="37" fontId="24" fillId="9" borderId="5" xfId="0" applyFont="1" applyFill="1" applyBorder="1" applyAlignment="1" applyProtection="1">
      <alignment horizontal="right"/>
      <protection locked="0"/>
    </xf>
    <xf numFmtId="37" fontId="24" fillId="9" borderId="5" xfId="0" applyFont="1" applyFill="1" applyBorder="1" applyProtection="1">
      <protection locked="0"/>
    </xf>
    <xf numFmtId="195" fontId="24" fillId="0" borderId="0" xfId="0" applyNumberFormat="1" applyFont="1" applyProtection="1">
      <protection locked="0"/>
    </xf>
    <xf numFmtId="37" fontId="24" fillId="0" borderId="12" xfId="0" applyFont="1" applyBorder="1" applyProtection="1">
      <protection locked="0"/>
    </xf>
    <xf numFmtId="40" fontId="24" fillId="0" borderId="0" xfId="2" applyNumberFormat="1" applyFont="1" applyFill="1" applyProtection="1">
      <protection locked="0"/>
    </xf>
    <xf numFmtId="37" fontId="24" fillId="0" borderId="18" xfId="0" applyFont="1" applyBorder="1" applyAlignment="1" applyProtection="1">
      <alignment horizontal="center"/>
      <protection locked="0"/>
    </xf>
    <xf numFmtId="177" fontId="24" fillId="4" borderId="8" xfId="0" applyNumberFormat="1" applyFont="1" applyFill="1" applyBorder="1" applyProtection="1">
      <protection locked="0"/>
    </xf>
    <xf numFmtId="177" fontId="24" fillId="0" borderId="8" xfId="0" applyNumberFormat="1" applyFont="1" applyBorder="1" applyProtection="1">
      <protection locked="0"/>
    </xf>
    <xf numFmtId="177" fontId="24" fillId="15" borderId="12" xfId="0" applyNumberFormat="1" applyFont="1" applyFill="1" applyBorder="1" applyProtection="1">
      <protection locked="0"/>
    </xf>
    <xf numFmtId="37" fontId="24" fillId="15" borderId="12" xfId="0" applyFont="1" applyFill="1" applyBorder="1" applyProtection="1">
      <protection locked="0"/>
    </xf>
    <xf numFmtId="37" fontId="24" fillId="0" borderId="12" xfId="0" applyFont="1" applyBorder="1" applyAlignment="1" applyProtection="1">
      <alignment horizontal="center"/>
      <protection locked="0"/>
    </xf>
    <xf numFmtId="37" fontId="24" fillId="0" borderId="9" xfId="0" applyFont="1" applyBorder="1" applyAlignment="1" applyProtection="1">
      <alignment horizontal="center" vertical="center"/>
      <protection locked="0"/>
    </xf>
    <xf numFmtId="177" fontId="24" fillId="4" borderId="9" xfId="0" applyNumberFormat="1" applyFont="1" applyFill="1" applyBorder="1" applyAlignment="1" applyProtection="1">
      <alignment horizontal="center" vertical="center"/>
      <protection locked="0"/>
    </xf>
    <xf numFmtId="177" fontId="24" fillId="0" borderId="9" xfId="0" applyNumberFormat="1" applyFont="1" applyBorder="1" applyAlignment="1" applyProtection="1">
      <alignment horizontal="center" vertical="center"/>
      <protection locked="0"/>
    </xf>
    <xf numFmtId="177" fontId="24" fillId="15" borderId="5" xfId="0" applyNumberFormat="1" applyFont="1" applyFill="1" applyBorder="1" applyAlignment="1" applyProtection="1">
      <alignment horizontal="center" vertical="center"/>
      <protection locked="0"/>
    </xf>
    <xf numFmtId="37" fontId="24" fillId="15" borderId="5" xfId="0" quotePrefix="1" applyFont="1" applyFill="1" applyBorder="1" applyAlignment="1" applyProtection="1">
      <alignment horizontal="center" vertical="center"/>
      <protection locked="0"/>
    </xf>
    <xf numFmtId="37" fontId="24" fillId="0" borderId="5" xfId="0" applyFont="1" applyBorder="1" applyAlignment="1" applyProtection="1">
      <alignment horizontal="center" vertical="center"/>
      <protection locked="0"/>
    </xf>
    <xf numFmtId="37" fontId="24" fillId="0" borderId="18" xfId="0" applyFont="1" applyBorder="1" applyProtection="1">
      <protection locked="0"/>
    </xf>
    <xf numFmtId="177" fontId="24" fillId="4" borderId="0" xfId="2" applyNumberFormat="1" applyFont="1" applyFill="1" applyBorder="1" applyProtection="1">
      <protection locked="0"/>
    </xf>
    <xf numFmtId="177" fontId="24" fillId="9" borderId="18" xfId="2" applyNumberFormat="1" applyFont="1" applyFill="1" applyBorder="1" applyProtection="1">
      <protection locked="0"/>
    </xf>
    <xf numFmtId="177" fontId="24" fillId="9" borderId="2" xfId="2" applyNumberFormat="1" applyFont="1" applyFill="1" applyBorder="1" applyProtection="1">
      <protection locked="0"/>
    </xf>
    <xf numFmtId="180" fontId="24" fillId="0" borderId="0" xfId="0" applyNumberFormat="1" applyFont="1" applyProtection="1">
      <protection locked="0"/>
    </xf>
    <xf numFmtId="37" fontId="24" fillId="0" borderId="59" xfId="0" applyFont="1" applyBorder="1" applyProtection="1">
      <protection locked="0"/>
    </xf>
    <xf numFmtId="177" fontId="24" fillId="4" borderId="60" xfId="2" applyNumberFormat="1" applyFont="1" applyFill="1" applyBorder="1" applyProtection="1">
      <protection locked="0"/>
    </xf>
    <xf numFmtId="177" fontId="24" fillId="9" borderId="59" xfId="2" applyNumberFormat="1" applyFont="1" applyFill="1" applyBorder="1" applyProtection="1">
      <protection locked="0"/>
    </xf>
    <xf numFmtId="177" fontId="24" fillId="9" borderId="61" xfId="2" applyNumberFormat="1" applyFont="1" applyFill="1" applyBorder="1" applyProtection="1">
      <protection locked="0"/>
    </xf>
    <xf numFmtId="37" fontId="24" fillId="0" borderId="33" xfId="0" applyFont="1" applyBorder="1" applyProtection="1">
      <protection locked="0"/>
    </xf>
    <xf numFmtId="177" fontId="24" fillId="4" borderId="21" xfId="2" applyNumberFormat="1" applyFont="1" applyFill="1" applyBorder="1" applyProtection="1">
      <protection locked="0"/>
    </xf>
    <xf numFmtId="177" fontId="24" fillId="9" borderId="33" xfId="2" applyNumberFormat="1" applyFont="1" applyFill="1" applyBorder="1" applyProtection="1">
      <protection locked="0"/>
    </xf>
    <xf numFmtId="177" fontId="24" fillId="9" borderId="10" xfId="2" applyNumberFormat="1" applyFont="1" applyFill="1" applyBorder="1" applyProtection="1">
      <protection locked="0"/>
    </xf>
    <xf numFmtId="37" fontId="24" fillId="0" borderId="9" xfId="0" applyFont="1" applyBorder="1" applyProtection="1">
      <protection locked="0"/>
    </xf>
    <xf numFmtId="177" fontId="24" fillId="4" borderId="14" xfId="2" applyNumberFormat="1" applyFont="1" applyFill="1" applyBorder="1" applyProtection="1">
      <protection locked="0"/>
    </xf>
    <xf numFmtId="177" fontId="24" fillId="9" borderId="3" xfId="2" applyNumberFormat="1" applyFont="1" applyFill="1" applyBorder="1" applyProtection="1">
      <protection locked="0"/>
    </xf>
    <xf numFmtId="177" fontId="24" fillId="4" borderId="7" xfId="2" applyNumberFormat="1" applyFont="1" applyFill="1" applyBorder="1" applyProtection="1">
      <protection locked="0"/>
    </xf>
    <xf numFmtId="177" fontId="24" fillId="4" borderId="12" xfId="2" applyNumberFormat="1" applyFont="1" applyFill="1" applyBorder="1" applyProtection="1">
      <protection locked="0"/>
    </xf>
    <xf numFmtId="177" fontId="24" fillId="10" borderId="8" xfId="2" applyNumberFormat="1" applyFont="1" applyFill="1" applyBorder="1" applyProtection="1">
      <protection locked="0"/>
    </xf>
    <xf numFmtId="177" fontId="24" fillId="4" borderId="4" xfId="2" applyNumberFormat="1" applyFont="1" applyFill="1" applyBorder="1" applyProtection="1">
      <protection locked="0"/>
    </xf>
    <xf numFmtId="177" fontId="24" fillId="4" borderId="5" xfId="2" applyNumberFormat="1" applyFont="1" applyFill="1" applyBorder="1" applyProtection="1">
      <protection locked="0"/>
    </xf>
    <xf numFmtId="177" fontId="24" fillId="10" borderId="9" xfId="2" applyNumberFormat="1" applyFont="1" applyFill="1" applyBorder="1" applyProtection="1">
      <protection locked="0"/>
    </xf>
    <xf numFmtId="177" fontId="24" fillId="4" borderId="6" xfId="2" applyNumberFormat="1" applyFont="1" applyFill="1" applyBorder="1" applyProtection="1">
      <protection locked="0"/>
    </xf>
    <xf numFmtId="177" fontId="24" fillId="0" borderId="12" xfId="0" applyNumberFormat="1" applyFont="1" applyBorder="1" applyProtection="1">
      <protection locked="0"/>
    </xf>
    <xf numFmtId="37" fontId="24" fillId="0" borderId="12" xfId="0" quotePrefix="1" applyFont="1" applyBorder="1" applyProtection="1">
      <protection locked="0"/>
    </xf>
    <xf numFmtId="177" fontId="24" fillId="0" borderId="12" xfId="0" quotePrefix="1" applyNumberFormat="1" applyFont="1" applyBorder="1" applyProtection="1">
      <protection locked="0"/>
    </xf>
    <xf numFmtId="177" fontId="24" fillId="15" borderId="12" xfId="0" quotePrefix="1" applyNumberFormat="1" applyFont="1" applyFill="1" applyBorder="1" applyProtection="1">
      <protection locked="0"/>
    </xf>
    <xf numFmtId="177" fontId="24" fillId="0" borderId="5" xfId="0" applyNumberFormat="1" applyFont="1" applyBorder="1" applyProtection="1">
      <protection locked="0"/>
    </xf>
    <xf numFmtId="177" fontId="24" fillId="15" borderId="12" xfId="2" applyNumberFormat="1" applyFont="1" applyFill="1" applyBorder="1" applyProtection="1">
      <protection locked="0"/>
    </xf>
    <xf numFmtId="177" fontId="24" fillId="10" borderId="0" xfId="0" applyNumberFormat="1" applyFont="1" applyFill="1" applyProtection="1">
      <protection locked="0"/>
    </xf>
    <xf numFmtId="37" fontId="24" fillId="10" borderId="0" xfId="0" applyFont="1" applyFill="1" applyProtection="1">
      <protection locked="0"/>
    </xf>
    <xf numFmtId="37" fontId="24" fillId="10" borderId="5" xfId="0" applyFont="1" applyFill="1" applyBorder="1" applyProtection="1">
      <protection locked="0"/>
    </xf>
    <xf numFmtId="177" fontId="24" fillId="10" borderId="5" xfId="0" applyNumberFormat="1" applyFont="1" applyFill="1" applyBorder="1" applyProtection="1">
      <protection locked="0"/>
    </xf>
    <xf numFmtId="38" fontId="2" fillId="10" borderId="0" xfId="2" applyFont="1" applyFill="1" applyBorder="1"/>
    <xf numFmtId="38" fontId="2" fillId="10" borderId="5" xfId="2" applyFont="1" applyFill="1" applyBorder="1"/>
    <xf numFmtId="38" fontId="2" fillId="10" borderId="0" xfId="2" applyFont="1" applyFill="1"/>
    <xf numFmtId="38" fontId="2" fillId="9" borderId="0" xfId="2" applyFont="1" applyFill="1"/>
    <xf numFmtId="37" fontId="2" fillId="0" borderId="63" xfId="0" applyFont="1" applyBorder="1" applyAlignment="1">
      <alignment horizontal="center"/>
    </xf>
    <xf numFmtId="37" fontId="2" fillId="0" borderId="11" xfId="0" applyFont="1" applyBorder="1" applyAlignment="1">
      <alignment horizontal="center"/>
    </xf>
    <xf numFmtId="37" fontId="22" fillId="0" borderId="0" xfId="0" applyFont="1" applyProtection="1">
      <protection locked="0"/>
    </xf>
    <xf numFmtId="0" fontId="64" fillId="0" borderId="0" xfId="20" applyFont="1" applyAlignment="1" applyProtection="1">
      <alignment horizontal="left"/>
      <protection locked="0"/>
    </xf>
    <xf numFmtId="37" fontId="2" fillId="0" borderId="0" xfId="0" applyFont="1" applyProtection="1">
      <protection locked="0"/>
    </xf>
    <xf numFmtId="37" fontId="1" fillId="0" borderId="0" xfId="0" quotePrefix="1" applyFont="1" applyAlignment="1" applyProtection="1">
      <alignment horizontal="left"/>
      <protection locked="0"/>
    </xf>
    <xf numFmtId="37" fontId="2" fillId="0" borderId="32" xfId="0" applyFont="1" applyBorder="1" applyProtection="1">
      <protection locked="0"/>
    </xf>
    <xf numFmtId="37" fontId="22" fillId="0" borderId="25" xfId="0" applyFont="1" applyBorder="1" applyProtection="1">
      <protection locked="0"/>
    </xf>
    <xf numFmtId="37" fontId="22" fillId="0" borderId="69" xfId="0" applyFont="1" applyBorder="1" applyProtection="1">
      <protection locked="0"/>
    </xf>
    <xf numFmtId="37" fontId="22" fillId="0" borderId="26" xfId="0" applyFont="1" applyBorder="1" applyProtection="1">
      <protection locked="0"/>
    </xf>
    <xf numFmtId="177" fontId="24" fillId="0" borderId="63" xfId="0" applyNumberFormat="1" applyFont="1" applyBorder="1" applyAlignment="1" applyProtection="1">
      <alignment horizontal="center"/>
      <protection locked="0"/>
    </xf>
    <xf numFmtId="37" fontId="22" fillId="0" borderId="13" xfId="0" applyFont="1" applyBorder="1" applyAlignment="1" applyProtection="1">
      <alignment horizontal="center"/>
      <protection locked="0"/>
    </xf>
    <xf numFmtId="37" fontId="22" fillId="0" borderId="0" xfId="0" applyFont="1" applyAlignment="1" applyProtection="1">
      <alignment horizontal="center"/>
      <protection locked="0"/>
    </xf>
    <xf numFmtId="37" fontId="22" fillId="0" borderId="8" xfId="0" applyFont="1" applyBorder="1" applyAlignment="1" applyProtection="1">
      <alignment horizontal="center"/>
      <protection locked="0"/>
    </xf>
    <xf numFmtId="37" fontId="22" fillId="0" borderId="12" xfId="0" applyFont="1" applyBorder="1" applyAlignment="1" applyProtection="1">
      <alignment horizontal="center"/>
      <protection locked="0"/>
    </xf>
    <xf numFmtId="37" fontId="22" fillId="0" borderId="4" xfId="0" applyFont="1" applyBorder="1" applyAlignment="1" applyProtection="1">
      <alignment horizontal="center"/>
      <protection locked="0"/>
    </xf>
    <xf numFmtId="37" fontId="22" fillId="0" borderId="11" xfId="0" applyFont="1" applyBorder="1" applyAlignment="1" applyProtection="1">
      <alignment horizontal="center"/>
      <protection locked="0"/>
    </xf>
    <xf numFmtId="37" fontId="22" fillId="0" borderId="16" xfId="0" applyFont="1" applyBorder="1" applyProtection="1">
      <protection locked="0"/>
    </xf>
    <xf numFmtId="37" fontId="22" fillId="0" borderId="5" xfId="0" applyFont="1" applyBorder="1" applyProtection="1">
      <protection locked="0"/>
    </xf>
    <xf numFmtId="184" fontId="22" fillId="0" borderId="9" xfId="0" applyNumberFormat="1" applyFont="1" applyBorder="1" applyProtection="1">
      <protection locked="0"/>
    </xf>
    <xf numFmtId="184" fontId="22" fillId="0" borderId="5" xfId="0" applyNumberFormat="1" applyFont="1" applyBorder="1" applyProtection="1">
      <protection locked="0"/>
    </xf>
    <xf numFmtId="184" fontId="22" fillId="0" borderId="6" xfId="0" applyNumberFormat="1" applyFont="1" applyBorder="1" applyProtection="1">
      <protection locked="0"/>
    </xf>
    <xf numFmtId="184" fontId="22" fillId="0" borderId="29" xfId="0" applyNumberFormat="1" applyFont="1" applyBorder="1" applyAlignment="1" applyProtection="1">
      <alignment horizontal="center"/>
      <protection locked="0"/>
    </xf>
    <xf numFmtId="37" fontId="2" fillId="0" borderId="13" xfId="0" applyFont="1" applyBorder="1" applyProtection="1">
      <protection locked="0"/>
    </xf>
    <xf numFmtId="37" fontId="2" fillId="13" borderId="4" xfId="0" quotePrefix="1" applyFont="1" applyFill="1" applyBorder="1" applyAlignment="1" applyProtection="1">
      <alignment horizontal="left"/>
      <protection locked="0"/>
    </xf>
    <xf numFmtId="179" fontId="2" fillId="13" borderId="0" xfId="2" quotePrefix="1" applyNumberFormat="1" applyFont="1" applyFill="1" applyBorder="1" applyAlignment="1" applyProtection="1">
      <alignment horizontal="right"/>
      <protection locked="0"/>
    </xf>
    <xf numFmtId="37" fontId="2" fillId="0" borderId="2" xfId="0" applyFont="1" applyBorder="1" applyAlignment="1" applyProtection="1">
      <alignment horizontal="left"/>
      <protection locked="0"/>
    </xf>
    <xf numFmtId="179" fontId="2" fillId="0" borderId="0" xfId="2" applyNumberFormat="1" applyFont="1" applyBorder="1" applyAlignment="1" applyProtection="1">
      <alignment horizontal="right"/>
      <protection locked="0"/>
    </xf>
    <xf numFmtId="37" fontId="10" fillId="0" borderId="2" xfId="0" applyFont="1" applyBorder="1" applyAlignment="1" applyProtection="1">
      <alignment horizontal="left"/>
      <protection locked="0"/>
    </xf>
    <xf numFmtId="179" fontId="10" fillId="0" borderId="0" xfId="2" applyNumberFormat="1" applyFont="1" applyBorder="1" applyAlignment="1" applyProtection="1">
      <alignment horizontal="right"/>
      <protection locked="0"/>
    </xf>
    <xf numFmtId="37" fontId="2" fillId="0" borderId="72" xfId="0" applyFont="1" applyBorder="1" applyProtection="1">
      <protection locked="0"/>
    </xf>
    <xf numFmtId="37" fontId="2" fillId="0" borderId="10" xfId="0" quotePrefix="1" applyFont="1" applyBorder="1" applyAlignment="1" applyProtection="1">
      <alignment horizontal="left"/>
      <protection locked="0"/>
    </xf>
    <xf numFmtId="179" fontId="2" fillId="0" borderId="21" xfId="2" quotePrefix="1" applyNumberFormat="1" applyFont="1" applyBorder="1" applyAlignment="1" applyProtection="1">
      <alignment horizontal="right"/>
      <protection locked="0"/>
    </xf>
    <xf numFmtId="37" fontId="2" fillId="13" borderId="2" xfId="0" applyFont="1" applyFill="1" applyBorder="1" applyAlignment="1" applyProtection="1">
      <alignment horizontal="left"/>
      <protection locked="0"/>
    </xf>
    <xf numFmtId="179" fontId="2" fillId="13" borderId="0" xfId="2" applyNumberFormat="1" applyFont="1" applyFill="1" applyBorder="1" applyAlignment="1" applyProtection="1">
      <alignment horizontal="right"/>
      <protection locked="0"/>
    </xf>
    <xf numFmtId="37" fontId="2" fillId="0" borderId="10" xfId="0" applyFont="1" applyBorder="1" applyAlignment="1" applyProtection="1">
      <alignment horizontal="left"/>
      <protection locked="0"/>
    </xf>
    <xf numFmtId="179" fontId="2" fillId="0" borderId="21" xfId="2" applyNumberFormat="1" applyFont="1" applyBorder="1" applyAlignment="1" applyProtection="1">
      <alignment horizontal="right"/>
      <protection locked="0"/>
    </xf>
    <xf numFmtId="37" fontId="2" fillId="0" borderId="2" xfId="0" quotePrefix="1" applyFont="1" applyBorder="1" applyAlignment="1" applyProtection="1">
      <alignment horizontal="left"/>
      <protection locked="0"/>
    </xf>
    <xf numFmtId="179" fontId="2" fillId="0" borderId="0" xfId="2" quotePrefix="1" applyNumberFormat="1" applyFont="1" applyBorder="1" applyAlignment="1" applyProtection="1">
      <alignment horizontal="right"/>
      <protection locked="0"/>
    </xf>
    <xf numFmtId="37" fontId="2" fillId="0" borderId="2" xfId="0" applyFont="1" applyBorder="1" applyAlignment="1">
      <alignment horizontal="left"/>
    </xf>
    <xf numFmtId="179" fontId="2" fillId="0" borderId="0" xfId="2" applyNumberFormat="1" applyFont="1" applyBorder="1" applyAlignment="1">
      <alignment horizontal="right"/>
    </xf>
    <xf numFmtId="179" fontId="2" fillId="0" borderId="21" xfId="2" applyNumberFormat="1" applyFont="1" applyBorder="1" applyAlignment="1">
      <alignment horizontal="right"/>
    </xf>
    <xf numFmtId="179" fontId="2" fillId="10" borderId="0" xfId="2" applyNumberFormat="1" applyFont="1" applyFill="1" applyProtection="1">
      <protection locked="0"/>
    </xf>
    <xf numFmtId="179" fontId="2" fillId="14" borderId="0" xfId="2" applyNumberFormat="1" applyFont="1" applyFill="1" applyProtection="1">
      <protection locked="0"/>
    </xf>
    <xf numFmtId="37" fontId="2" fillId="0" borderId="15" xfId="0" applyFont="1" applyBorder="1" applyAlignment="1" applyProtection="1">
      <alignment horizontal="center"/>
      <protection locked="0"/>
    </xf>
    <xf numFmtId="37" fontId="2" fillId="0" borderId="11" xfId="0" applyFont="1" applyBorder="1" applyAlignment="1" applyProtection="1">
      <alignment horizontal="left"/>
      <protection locked="0"/>
    </xf>
    <xf numFmtId="37" fontId="2" fillId="0" borderId="30" xfId="0" applyFont="1" applyBorder="1" applyAlignment="1" applyProtection="1">
      <alignment horizontal="center"/>
      <protection locked="0"/>
    </xf>
    <xf numFmtId="37" fontId="10" fillId="0" borderId="31" xfId="0" applyFont="1" applyBorder="1" applyAlignment="1" applyProtection="1">
      <alignment horizontal="left"/>
      <protection locked="0"/>
    </xf>
    <xf numFmtId="37" fontId="2" fillId="15" borderId="0" xfId="0" applyFont="1" applyFill="1" applyProtection="1">
      <protection locked="0"/>
    </xf>
    <xf numFmtId="179" fontId="2" fillId="15" borderId="0" xfId="2" applyNumberFormat="1" applyFont="1" applyFill="1" applyProtection="1">
      <protection locked="0"/>
    </xf>
    <xf numFmtId="179" fontId="2" fillId="15" borderId="0" xfId="2" applyNumberFormat="1" applyFont="1" applyFill="1" applyBorder="1" applyProtection="1">
      <protection locked="0"/>
    </xf>
    <xf numFmtId="37" fontId="2" fillId="0" borderId="12" xfId="0" quotePrefix="1" applyFont="1" applyBorder="1" applyProtection="1">
      <protection locked="0"/>
    </xf>
    <xf numFmtId="179" fontId="2" fillId="0" borderId="12" xfId="2" applyNumberFormat="1" applyFont="1" applyBorder="1" applyProtection="1">
      <protection locked="0"/>
    </xf>
    <xf numFmtId="179" fontId="2" fillId="18" borderId="12" xfId="2" applyNumberFormat="1" applyFont="1" applyFill="1" applyBorder="1" applyProtection="1">
      <protection locked="0"/>
    </xf>
    <xf numFmtId="37" fontId="2" fillId="0" borderId="0" xfId="0" quotePrefix="1" applyFont="1" applyProtection="1">
      <protection locked="0"/>
    </xf>
    <xf numFmtId="179" fontId="2" fillId="0" borderId="0" xfId="2" applyNumberFormat="1" applyFont="1" applyBorder="1" applyProtection="1">
      <protection locked="0"/>
    </xf>
    <xf numFmtId="179" fontId="2" fillId="18" borderId="0" xfId="2" applyNumberFormat="1" applyFont="1" applyFill="1" applyBorder="1" applyProtection="1">
      <protection locked="0"/>
    </xf>
    <xf numFmtId="37" fontId="2" fillId="0" borderId="5" xfId="0" quotePrefix="1" applyFont="1" applyBorder="1" applyProtection="1">
      <protection locked="0"/>
    </xf>
    <xf numFmtId="179" fontId="2" fillId="0" borderId="5" xfId="2" applyNumberFormat="1" applyFont="1" applyBorder="1" applyProtection="1">
      <protection locked="0"/>
    </xf>
    <xf numFmtId="179" fontId="2" fillId="0" borderId="0" xfId="2" applyNumberFormat="1" applyFont="1" applyProtection="1">
      <protection locked="0"/>
    </xf>
    <xf numFmtId="179" fontId="2" fillId="13" borderId="0" xfId="2" applyNumberFormat="1" applyFont="1" applyFill="1" applyProtection="1">
      <protection locked="0"/>
    </xf>
    <xf numFmtId="187" fontId="22" fillId="0" borderId="8" xfId="16" applyNumberFormat="1" applyBorder="1"/>
    <xf numFmtId="56" fontId="22" fillId="0" borderId="12" xfId="16" quotePrefix="1" applyNumberFormat="1" applyBorder="1"/>
    <xf numFmtId="177" fontId="22" fillId="0" borderId="12" xfId="16" applyNumberFormat="1" applyBorder="1"/>
    <xf numFmtId="37" fontId="2" fillId="0" borderId="12" xfId="0" applyFont="1" applyBorder="1" applyProtection="1">
      <protection locked="0"/>
    </xf>
    <xf numFmtId="187" fontId="22" fillId="0" borderId="18" xfId="16" applyNumberFormat="1" applyBorder="1" applyAlignment="1">
      <alignment horizontal="center"/>
    </xf>
    <xf numFmtId="187" fontId="22" fillId="0" borderId="9" xfId="16" applyNumberFormat="1" applyBorder="1" applyAlignment="1">
      <alignment horizontal="center"/>
    </xf>
    <xf numFmtId="0" fontId="22" fillId="0" borderId="5" xfId="16" applyBorder="1"/>
    <xf numFmtId="177" fontId="22" fillId="0" borderId="5" xfId="16" applyNumberFormat="1" applyBorder="1"/>
    <xf numFmtId="37" fontId="2" fillId="0" borderId="5" xfId="0" applyFont="1" applyBorder="1" applyProtection="1">
      <protection locked="0"/>
    </xf>
    <xf numFmtId="187" fontId="22" fillId="0" borderId="18" xfId="16" applyNumberFormat="1" applyBorder="1"/>
    <xf numFmtId="40" fontId="2" fillId="0" borderId="0" xfId="2" applyNumberFormat="1" applyFont="1" applyProtection="1">
      <protection locked="0"/>
    </xf>
    <xf numFmtId="37" fontId="2" fillId="0" borderId="0" xfId="0" applyFont="1" applyAlignment="1" applyProtection="1">
      <alignment horizontal="center"/>
      <protection locked="0"/>
    </xf>
    <xf numFmtId="179" fontId="2" fillId="13" borderId="76" xfId="2" applyNumberFormat="1" applyFont="1" applyFill="1" applyBorder="1" applyAlignment="1" applyProtection="1">
      <alignment horizontal="right"/>
      <protection locked="0"/>
    </xf>
    <xf numFmtId="179" fontId="2" fillId="13" borderId="73" xfId="2" applyNumberFormat="1" applyFont="1" applyFill="1" applyBorder="1" applyAlignment="1" applyProtection="1">
      <alignment horizontal="right"/>
      <protection locked="0"/>
    </xf>
    <xf numFmtId="179" fontId="10" fillId="0" borderId="32" xfId="2" applyNumberFormat="1" applyFont="1" applyBorder="1" applyAlignment="1" applyProtection="1">
      <alignment horizontal="right"/>
      <protection locked="0"/>
    </xf>
    <xf numFmtId="37" fontId="26" fillId="4" borderId="9" xfId="0" applyFont="1" applyFill="1" applyBorder="1" applyAlignment="1">
      <alignment horizontal="center" vertical="top" wrapText="1"/>
    </xf>
    <xf numFmtId="0" fontId="22" fillId="9" borderId="0" xfId="7" applyFont="1" applyFill="1" applyAlignment="1">
      <alignment vertical="top" wrapText="1"/>
    </xf>
    <xf numFmtId="37" fontId="26" fillId="9" borderId="5" xfId="0" applyFont="1" applyFill="1" applyBorder="1" applyAlignment="1">
      <alignment horizontal="center"/>
    </xf>
    <xf numFmtId="177" fontId="26" fillId="4" borderId="29" xfId="0" applyNumberFormat="1" applyFont="1" applyFill="1" applyBorder="1"/>
    <xf numFmtId="178" fontId="26" fillId="10" borderId="8" xfId="7" applyNumberFormat="1" applyFont="1" applyFill="1" applyBorder="1"/>
    <xf numFmtId="178" fontId="26" fillId="15" borderId="12" xfId="7" applyNumberFormat="1" applyFont="1" applyFill="1" applyBorder="1"/>
    <xf numFmtId="0" fontId="26" fillId="10" borderId="3" xfId="7" applyFont="1" applyFill="1" applyBorder="1" applyAlignment="1">
      <alignment vertical="top" wrapText="1"/>
    </xf>
    <xf numFmtId="0" fontId="26" fillId="4" borderId="7" xfId="7" applyFont="1" applyFill="1" applyBorder="1" applyAlignment="1">
      <alignment vertical="top" wrapText="1"/>
    </xf>
    <xf numFmtId="38" fontId="26" fillId="0" borderId="2" xfId="2" applyFont="1" applyFill="1" applyBorder="1"/>
    <xf numFmtId="177" fontId="26" fillId="13" borderId="2" xfId="7" applyNumberFormat="1" applyFont="1" applyFill="1" applyBorder="1"/>
    <xf numFmtId="177" fontId="26" fillId="13" borderId="6" xfId="7" applyNumberFormat="1" applyFont="1" applyFill="1" applyBorder="1"/>
    <xf numFmtId="38" fontId="26" fillId="0" borderId="4" xfId="2" applyFont="1" applyFill="1" applyBorder="1"/>
    <xf numFmtId="177" fontId="26" fillId="9" borderId="2" xfId="0" applyNumberFormat="1" applyFont="1" applyFill="1" applyBorder="1"/>
    <xf numFmtId="177" fontId="26" fillId="9" borderId="9" xfId="7" applyNumberFormat="1" applyFont="1" applyFill="1" applyBorder="1"/>
    <xf numFmtId="37" fontId="26" fillId="15" borderId="14" xfId="0" applyFont="1" applyFill="1" applyBorder="1"/>
    <xf numFmtId="37" fontId="26" fillId="15" borderId="5" xfId="0" applyFont="1" applyFill="1" applyBorder="1"/>
    <xf numFmtId="178" fontId="26" fillId="15" borderId="5" xfId="0" applyNumberFormat="1" applyFont="1" applyFill="1" applyBorder="1" applyAlignment="1">
      <alignment horizontal="right"/>
    </xf>
    <xf numFmtId="179" fontId="2" fillId="14" borderId="5" xfId="2" applyNumberFormat="1" applyFont="1" applyFill="1" applyBorder="1" applyProtection="1">
      <protection locked="0"/>
    </xf>
    <xf numFmtId="37" fontId="2" fillId="0" borderId="12" xfId="0" applyFont="1" applyBorder="1" applyAlignment="1">
      <alignment horizontal="center"/>
    </xf>
    <xf numFmtId="37" fontId="6" fillId="0" borderId="0" xfId="0" applyFont="1" applyAlignment="1">
      <alignment horizontal="left"/>
    </xf>
    <xf numFmtId="0" fontId="23" fillId="0" borderId="12" xfId="5" applyFont="1" applyBorder="1"/>
    <xf numFmtId="49" fontId="23" fillId="0" borderId="12" xfId="5" applyNumberFormat="1" applyFont="1" applyBorder="1"/>
    <xf numFmtId="37" fontId="22" fillId="0" borderId="5" xfId="0" applyFont="1" applyBorder="1" applyAlignment="1">
      <alignment horizontal="right"/>
    </xf>
    <xf numFmtId="37" fontId="22" fillId="0" borderId="14" xfId="0" applyFont="1" applyBorder="1"/>
    <xf numFmtId="37" fontId="22" fillId="15" borderId="0" xfId="0" applyFont="1" applyFill="1" applyAlignment="1">
      <alignment horizontal="right"/>
    </xf>
    <xf numFmtId="0" fontId="22" fillId="15" borderId="0" xfId="17" applyFont="1" applyFill="1"/>
    <xf numFmtId="49" fontId="22" fillId="15" borderId="0" xfId="5" applyNumberFormat="1" applyFont="1" applyFill="1" applyAlignment="1">
      <alignment horizontal="right"/>
    </xf>
    <xf numFmtId="0" fontId="22" fillId="15" borderId="0" xfId="17" applyFont="1" applyFill="1" applyAlignment="1">
      <alignment horizontal="right"/>
    </xf>
    <xf numFmtId="37" fontId="22" fillId="9" borderId="8" xfId="0" applyFont="1" applyFill="1" applyBorder="1"/>
    <xf numFmtId="37" fontId="22" fillId="9" borderId="12" xfId="0" applyFont="1" applyFill="1" applyBorder="1"/>
    <xf numFmtId="184" fontId="24" fillId="15" borderId="12" xfId="0" applyNumberFormat="1" applyFont="1" applyFill="1" applyBorder="1" applyProtection="1">
      <protection locked="0"/>
    </xf>
    <xf numFmtId="177" fontId="26" fillId="10" borderId="8" xfId="2" applyNumberFormat="1" applyFont="1" applyFill="1" applyBorder="1"/>
    <xf numFmtId="37" fontId="26" fillId="9" borderId="77" xfId="0" applyFont="1" applyFill="1" applyBorder="1" applyAlignment="1">
      <alignment horizontal="center"/>
    </xf>
    <xf numFmtId="37" fontId="26" fillId="9" borderId="55" xfId="0" applyFont="1" applyFill="1" applyBorder="1"/>
    <xf numFmtId="37" fontId="26" fillId="9" borderId="57" xfId="0" applyFont="1" applyFill="1" applyBorder="1"/>
    <xf numFmtId="37" fontId="26" fillId="9" borderId="56" xfId="0" applyFont="1" applyFill="1" applyBorder="1"/>
    <xf numFmtId="37" fontId="26" fillId="0" borderId="57" xfId="0" applyFont="1" applyBorder="1"/>
    <xf numFmtId="37" fontId="26" fillId="9" borderId="78" xfId="0" applyFont="1" applyFill="1" applyBorder="1"/>
    <xf numFmtId="37" fontId="26" fillId="13" borderId="36" xfId="0" applyFont="1" applyFill="1" applyBorder="1"/>
    <xf numFmtId="37" fontId="26" fillId="13" borderId="35" xfId="0" applyFont="1" applyFill="1" applyBorder="1"/>
    <xf numFmtId="37" fontId="26" fillId="13" borderId="37" xfId="0" applyFont="1" applyFill="1" applyBorder="1"/>
    <xf numFmtId="177" fontId="26" fillId="9" borderId="11" xfId="0" applyNumberFormat="1" applyFont="1" applyFill="1" applyBorder="1"/>
    <xf numFmtId="177" fontId="24" fillId="18" borderId="0" xfId="2" applyNumberFormat="1" applyFont="1" applyFill="1" applyProtection="1">
      <protection locked="0"/>
    </xf>
    <xf numFmtId="177" fontId="26" fillId="12" borderId="0" xfId="0" applyNumberFormat="1" applyFont="1" applyFill="1"/>
    <xf numFmtId="38" fontId="26" fillId="10" borderId="0" xfId="2" applyFont="1" applyFill="1" applyBorder="1"/>
    <xf numFmtId="0" fontId="2" fillId="0" borderId="5" xfId="0" applyNumberFormat="1" applyFont="1" applyBorder="1" applyAlignment="1">
      <alignment horizontal="center"/>
    </xf>
    <xf numFmtId="177" fontId="26" fillId="9" borderId="15" xfId="0" applyNumberFormat="1" applyFont="1" applyFill="1" applyBorder="1"/>
    <xf numFmtId="177" fontId="22" fillId="15" borderId="12" xfId="2" applyNumberFormat="1" applyFont="1" applyFill="1" applyBorder="1"/>
    <xf numFmtId="177" fontId="26" fillId="15" borderId="5" xfId="7" applyNumberFormat="1" applyFont="1" applyFill="1" applyBorder="1"/>
    <xf numFmtId="37" fontId="24" fillId="15" borderId="0" xfId="0" applyFont="1" applyFill="1" applyProtection="1">
      <protection locked="0"/>
    </xf>
    <xf numFmtId="177" fontId="24" fillId="15" borderId="0" xfId="2" applyNumberFormat="1" applyFont="1" applyFill="1" applyProtection="1">
      <protection locked="0"/>
    </xf>
    <xf numFmtId="180" fontId="24" fillId="18" borderId="0" xfId="2" applyNumberFormat="1" applyFont="1" applyFill="1" applyProtection="1">
      <protection locked="0"/>
    </xf>
    <xf numFmtId="180" fontId="24" fillId="18" borderId="14" xfId="2" applyNumberFormat="1" applyFont="1" applyFill="1" applyBorder="1" applyProtection="1">
      <protection locked="0"/>
    </xf>
    <xf numFmtId="37" fontId="24" fillId="9" borderId="14" xfId="0" applyFont="1" applyFill="1" applyBorder="1" applyAlignment="1" applyProtection="1">
      <alignment horizontal="center"/>
      <protection locked="0"/>
    </xf>
    <xf numFmtId="37" fontId="2" fillId="14" borderId="0" xfId="0" applyFont="1" applyFill="1" applyProtection="1">
      <protection locked="0"/>
    </xf>
    <xf numFmtId="183" fontId="2" fillId="9" borderId="1" xfId="0" applyNumberFormat="1" applyFont="1" applyFill="1" applyBorder="1"/>
    <xf numFmtId="183" fontId="2" fillId="9" borderId="19" xfId="0" applyNumberFormat="1" applyFont="1" applyFill="1" applyBorder="1"/>
    <xf numFmtId="183" fontId="2" fillId="9" borderId="29" xfId="0" applyNumberFormat="1" applyFont="1" applyFill="1" applyBorder="1"/>
    <xf numFmtId="37" fontId="2" fillId="0" borderId="14" xfId="0" applyFont="1" applyBorder="1" applyAlignment="1">
      <alignment horizontal="center"/>
    </xf>
    <xf numFmtId="181" fontId="2" fillId="10" borderId="0" xfId="2" applyNumberFormat="1" applyFont="1" applyFill="1"/>
    <xf numFmtId="37" fontId="2" fillId="15" borderId="0" xfId="0" applyFont="1" applyFill="1" applyAlignment="1">
      <alignment vertical="center"/>
    </xf>
    <xf numFmtId="37" fontId="2" fillId="15" borderId="5" xfId="0" applyFont="1" applyFill="1" applyBorder="1" applyAlignment="1">
      <alignment vertical="center"/>
    </xf>
    <xf numFmtId="37" fontId="2" fillId="10" borderId="0" xfId="0" applyFont="1" applyFill="1" applyAlignment="1">
      <alignment vertical="center"/>
    </xf>
    <xf numFmtId="37" fontId="2" fillId="10" borderId="5" xfId="0" applyFont="1" applyFill="1" applyBorder="1" applyAlignment="1">
      <alignment vertical="center"/>
    </xf>
    <xf numFmtId="177" fontId="26" fillId="10" borderId="12" xfId="7" applyNumberFormat="1" applyFont="1" applyFill="1" applyBorder="1"/>
    <xf numFmtId="177" fontId="26" fillId="10" borderId="5" xfId="7" applyNumberFormat="1" applyFont="1" applyFill="1" applyBorder="1"/>
    <xf numFmtId="177" fontId="26" fillId="13" borderId="8" xfId="7" applyNumberFormat="1" applyFont="1" applyFill="1" applyBorder="1"/>
    <xf numFmtId="177" fontId="26" fillId="13" borderId="18" xfId="7" applyNumberFormat="1" applyFont="1" applyFill="1" applyBorder="1"/>
    <xf numFmtId="177" fontId="26" fillId="13" borderId="9" xfId="7" applyNumberFormat="1" applyFont="1" applyFill="1" applyBorder="1"/>
    <xf numFmtId="178" fontId="2" fillId="9" borderId="12" xfId="0" applyNumberFormat="1" applyFont="1" applyFill="1" applyBorder="1"/>
    <xf numFmtId="177" fontId="2" fillId="9" borderId="0" xfId="2" applyNumberFormat="1" applyFont="1" applyFill="1"/>
    <xf numFmtId="179" fontId="2" fillId="9" borderId="5" xfId="2" applyNumberFormat="1" applyFont="1" applyFill="1" applyBorder="1"/>
    <xf numFmtId="37" fontId="66" fillId="0" borderId="0" xfId="24" applyFont="1"/>
    <xf numFmtId="37" fontId="2" fillId="13" borderId="0" xfId="0" applyFont="1" applyFill="1" applyAlignment="1">
      <alignment horizontal="left"/>
    </xf>
    <xf numFmtId="184" fontId="24" fillId="18" borderId="12" xfId="0" applyNumberFormat="1" applyFont="1" applyFill="1" applyBorder="1" applyAlignment="1" applyProtection="1">
      <alignment horizontal="center"/>
      <protection locked="0"/>
    </xf>
    <xf numFmtId="184" fontId="24" fillId="18" borderId="12" xfId="2" applyNumberFormat="1" applyFont="1" applyFill="1" applyBorder="1" applyAlignment="1" applyProtection="1">
      <alignment horizontal="center"/>
      <protection locked="0"/>
    </xf>
    <xf numFmtId="184" fontId="24" fillId="18" borderId="12" xfId="0" applyNumberFormat="1" applyFont="1" applyFill="1" applyBorder="1" applyProtection="1">
      <protection locked="0"/>
    </xf>
    <xf numFmtId="184" fontId="24" fillId="18" borderId="5" xfId="0" applyNumberFormat="1" applyFont="1" applyFill="1" applyBorder="1" applyAlignment="1" applyProtection="1">
      <alignment horizontal="center" vertical="center"/>
      <protection locked="0"/>
    </xf>
    <xf numFmtId="177" fontId="24" fillId="18" borderId="5" xfId="0" applyNumberFormat="1" applyFont="1" applyFill="1" applyBorder="1" applyAlignment="1" applyProtection="1">
      <alignment horizontal="center" vertical="center"/>
      <protection locked="0"/>
    </xf>
    <xf numFmtId="177" fontId="24" fillId="18" borderId="0" xfId="2" applyNumberFormat="1" applyFont="1" applyFill="1" applyBorder="1" applyProtection="1">
      <protection locked="0"/>
    </xf>
    <xf numFmtId="177" fontId="24" fillId="18" borderId="12" xfId="2" applyNumberFormat="1" applyFont="1" applyFill="1" applyBorder="1" applyProtection="1">
      <protection locked="0"/>
    </xf>
    <xf numFmtId="177" fontId="24" fillId="18" borderId="60" xfId="2" applyNumberFormat="1" applyFont="1" applyFill="1" applyBorder="1" applyProtection="1">
      <protection locked="0"/>
    </xf>
    <xf numFmtId="177" fontId="24" fillId="18" borderId="21" xfId="2" applyNumberFormat="1" applyFont="1" applyFill="1" applyBorder="1" applyProtection="1">
      <protection locked="0"/>
    </xf>
    <xf numFmtId="177" fontId="24" fillId="18" borderId="60" xfId="0" applyNumberFormat="1" applyFont="1" applyFill="1" applyBorder="1" applyProtection="1">
      <protection locked="0"/>
    </xf>
    <xf numFmtId="38" fontId="24" fillId="18" borderId="60" xfId="2" applyFont="1" applyFill="1" applyBorder="1" applyProtection="1">
      <protection locked="0"/>
    </xf>
    <xf numFmtId="177" fontId="24" fillId="18" borderId="0" xfId="0" applyNumberFormat="1" applyFont="1" applyFill="1" applyProtection="1">
      <protection locked="0"/>
    </xf>
    <xf numFmtId="38" fontId="24" fillId="18" borderId="0" xfId="2" applyFont="1" applyFill="1" applyBorder="1" applyProtection="1">
      <protection locked="0"/>
    </xf>
    <xf numFmtId="177" fontId="24" fillId="18" borderId="21" xfId="0" applyNumberFormat="1" applyFont="1" applyFill="1" applyBorder="1" applyProtection="1">
      <protection locked="0"/>
    </xf>
    <xf numFmtId="177" fontId="24" fillId="18" borderId="5" xfId="2" applyNumberFormat="1" applyFont="1" applyFill="1" applyBorder="1" applyProtection="1">
      <protection locked="0"/>
    </xf>
    <xf numFmtId="177" fontId="24" fillId="18" borderId="5" xfId="0" applyNumberFormat="1" applyFont="1" applyFill="1" applyBorder="1" applyProtection="1">
      <protection locked="0"/>
    </xf>
    <xf numFmtId="177" fontId="24" fillId="18" borderId="12" xfId="0" applyNumberFormat="1" applyFont="1" applyFill="1" applyBorder="1" applyProtection="1">
      <protection locked="0"/>
    </xf>
    <xf numFmtId="37" fontId="2" fillId="0" borderId="1" xfId="0" applyFont="1" applyBorder="1" applyAlignment="1">
      <alignment horizontal="center"/>
    </xf>
    <xf numFmtId="193" fontId="2" fillId="18" borderId="12" xfId="0" applyNumberFormat="1" applyFont="1" applyFill="1" applyBorder="1" applyAlignment="1">
      <alignment horizontal="right"/>
    </xf>
    <xf numFmtId="179" fontId="2" fillId="18" borderId="19" xfId="2" applyNumberFormat="1" applyFont="1" applyFill="1" applyBorder="1" applyAlignment="1" applyProtection="1">
      <alignment horizontal="right"/>
      <protection locked="0"/>
    </xf>
    <xf numFmtId="193" fontId="2" fillId="18" borderId="0" xfId="0" applyNumberFormat="1" applyFont="1" applyFill="1" applyAlignment="1">
      <alignment horizontal="right"/>
    </xf>
    <xf numFmtId="193" fontId="2" fillId="18" borderId="21" xfId="0" applyNumberFormat="1" applyFont="1" applyFill="1" applyBorder="1" applyAlignment="1">
      <alignment horizontal="right"/>
    </xf>
    <xf numFmtId="194" fontId="2" fillId="18" borderId="0" xfId="0" applyNumberFormat="1" applyFont="1" applyFill="1" applyAlignment="1">
      <alignment horizontal="right"/>
    </xf>
    <xf numFmtId="194" fontId="2" fillId="18" borderId="21" xfId="0" applyNumberFormat="1" applyFont="1" applyFill="1" applyBorder="1" applyAlignment="1">
      <alignment horizontal="right"/>
    </xf>
    <xf numFmtId="194" fontId="2" fillId="18" borderId="19" xfId="0" applyNumberFormat="1" applyFont="1" applyFill="1" applyBorder="1" applyAlignment="1">
      <alignment horizontal="right"/>
    </xf>
    <xf numFmtId="194" fontId="2" fillId="18" borderId="75" xfId="0" applyNumberFormat="1" applyFont="1" applyFill="1" applyBorder="1" applyAlignment="1">
      <alignment horizontal="right"/>
    </xf>
    <xf numFmtId="193" fontId="2" fillId="18" borderId="73" xfId="0" applyNumberFormat="1" applyFont="1" applyFill="1" applyBorder="1" applyAlignment="1">
      <alignment horizontal="right"/>
    </xf>
    <xf numFmtId="179" fontId="2" fillId="18" borderId="1" xfId="2" applyNumberFormat="1" applyFont="1" applyFill="1" applyBorder="1" applyAlignment="1" applyProtection="1">
      <alignment horizontal="right"/>
      <protection locked="0"/>
    </xf>
    <xf numFmtId="193" fontId="2" fillId="18" borderId="32" xfId="0" applyNumberFormat="1" applyFont="1" applyFill="1" applyBorder="1" applyAlignment="1">
      <alignment horizontal="right"/>
    </xf>
    <xf numFmtId="179" fontId="2" fillId="18" borderId="29" xfId="2" applyNumberFormat="1" applyFont="1" applyFill="1" applyBorder="1" applyAlignment="1" applyProtection="1">
      <alignment horizontal="right"/>
      <protection locked="0"/>
    </xf>
    <xf numFmtId="37" fontId="2" fillId="0" borderId="0" xfId="0" quotePrefix="1" applyFont="1" applyAlignment="1" applyProtection="1">
      <alignment horizontal="right"/>
      <protection locked="0"/>
    </xf>
    <xf numFmtId="179" fontId="2" fillId="18" borderId="11" xfId="2" applyNumberFormat="1" applyFont="1" applyFill="1" applyBorder="1" applyAlignment="1" applyProtection="1">
      <alignment horizontal="right"/>
      <protection locked="0"/>
    </xf>
    <xf numFmtId="179" fontId="2" fillId="18" borderId="4" xfId="2" applyNumberFormat="1" applyFont="1" applyFill="1" applyBorder="1" applyProtection="1">
      <protection locked="0"/>
    </xf>
    <xf numFmtId="179" fontId="2" fillId="18" borderId="2" xfId="2" applyNumberFormat="1" applyFont="1" applyFill="1" applyBorder="1" applyProtection="1">
      <protection locked="0"/>
    </xf>
    <xf numFmtId="179" fontId="2" fillId="18" borderId="6" xfId="2" applyNumberFormat="1" applyFont="1" applyFill="1" applyBorder="1" applyProtection="1">
      <protection locked="0"/>
    </xf>
    <xf numFmtId="37" fontId="24" fillId="9" borderId="14" xfId="0" applyFont="1" applyFill="1" applyBorder="1" applyProtection="1">
      <protection locked="0"/>
    </xf>
    <xf numFmtId="37" fontId="2" fillId="0" borderId="0" xfId="0" applyFont="1" applyAlignment="1">
      <alignment horizontal="left"/>
    </xf>
    <xf numFmtId="37" fontId="2" fillId="0" borderId="15" xfId="0" applyFont="1" applyBorder="1"/>
    <xf numFmtId="37" fontId="2" fillId="0" borderId="13" xfId="0" applyFont="1" applyBorder="1"/>
    <xf numFmtId="37" fontId="2" fillId="0" borderId="16" xfId="0" applyFont="1" applyBorder="1"/>
    <xf numFmtId="37" fontId="2" fillId="0" borderId="4" xfId="0" quotePrefix="1" applyFont="1" applyBorder="1" applyAlignment="1">
      <alignment horizontal="left"/>
    </xf>
    <xf numFmtId="37" fontId="2" fillId="0" borderId="2" xfId="0" quotePrefix="1" applyFont="1" applyBorder="1" applyAlignment="1">
      <alignment horizontal="left"/>
    </xf>
    <xf numFmtId="37" fontId="2" fillId="0" borderId="11" xfId="0" quotePrefix="1" applyFont="1" applyBorder="1" applyAlignment="1">
      <alignment horizontal="left"/>
    </xf>
    <xf numFmtId="37" fontId="2" fillId="0" borderId="29" xfId="0" applyFont="1" applyBorder="1" applyAlignment="1">
      <alignment horizontal="left"/>
    </xf>
    <xf numFmtId="37" fontId="2" fillId="10" borderId="12" xfId="0" applyFont="1" applyFill="1" applyBorder="1"/>
    <xf numFmtId="200" fontId="2" fillId="10" borderId="12" xfId="2" applyNumberFormat="1" applyFont="1" applyFill="1" applyBorder="1"/>
    <xf numFmtId="200" fontId="2" fillId="10" borderId="0" xfId="2" applyNumberFormat="1" applyFont="1" applyFill="1" applyBorder="1"/>
    <xf numFmtId="200" fontId="2" fillId="10" borderId="0" xfId="0" applyNumberFormat="1" applyFont="1" applyFill="1"/>
    <xf numFmtId="177" fontId="2" fillId="17" borderId="0" xfId="0" applyNumberFormat="1" applyFont="1" applyFill="1"/>
    <xf numFmtId="177" fontId="2" fillId="0" borderId="0" xfId="0" applyNumberFormat="1" applyFont="1"/>
    <xf numFmtId="177" fontId="2" fillId="17" borderId="0" xfId="2" applyNumberFormat="1" applyFont="1" applyFill="1" applyBorder="1"/>
    <xf numFmtId="186" fontId="2" fillId="0" borderId="0" xfId="1" applyNumberFormat="1" applyFont="1" applyFill="1" applyBorder="1" applyAlignment="1"/>
    <xf numFmtId="38" fontId="2" fillId="10" borderId="0" xfId="0" applyNumberFormat="1" applyFont="1" applyFill="1"/>
    <xf numFmtId="184" fontId="2" fillId="10" borderId="0" xfId="2" applyNumberFormat="1" applyFont="1" applyFill="1" applyBorder="1"/>
    <xf numFmtId="3" fontId="67" fillId="10" borderId="0" xfId="2" applyNumberFormat="1" applyFont="1" applyFill="1" applyBorder="1"/>
    <xf numFmtId="177" fontId="67" fillId="0" borderId="0" xfId="2" applyNumberFormat="1" applyFont="1" applyBorder="1"/>
    <xf numFmtId="49" fontId="2" fillId="0" borderId="0" xfId="0" applyNumberFormat="1" applyFont="1"/>
    <xf numFmtId="38" fontId="2" fillId="10" borderId="12" xfId="2" applyFont="1" applyFill="1" applyBorder="1"/>
    <xf numFmtId="37" fontId="2" fillId="0" borderId="7" xfId="0" applyFont="1" applyBorder="1"/>
    <xf numFmtId="38" fontId="2" fillId="10" borderId="14" xfId="0" applyNumberFormat="1" applyFont="1" applyFill="1" applyBorder="1"/>
    <xf numFmtId="177" fontId="2" fillId="0" borderId="0" xfId="1" applyNumberFormat="1" applyFont="1" applyAlignment="1"/>
    <xf numFmtId="177" fontId="2" fillId="0" borderId="5" xfId="0" applyNumberFormat="1" applyFont="1" applyBorder="1"/>
    <xf numFmtId="37" fontId="2" fillId="0" borderId="4" xfId="0" applyFont="1" applyBorder="1" applyAlignment="1">
      <alignment horizontal="left"/>
    </xf>
    <xf numFmtId="38" fontId="2" fillId="10" borderId="12" xfId="0" applyNumberFormat="1" applyFont="1" applyFill="1" applyBorder="1"/>
    <xf numFmtId="201" fontId="2" fillId="10" borderId="0" xfId="0" applyNumberFormat="1" applyFont="1" applyFill="1"/>
    <xf numFmtId="37" fontId="2" fillId="7" borderId="4" xfId="0" applyFont="1" applyFill="1" applyBorder="1"/>
    <xf numFmtId="38" fontId="2" fillId="14" borderId="12" xfId="2" applyFont="1" applyFill="1" applyBorder="1"/>
    <xf numFmtId="177" fontId="2" fillId="17" borderId="12" xfId="2" applyNumberFormat="1" applyFont="1" applyFill="1" applyBorder="1"/>
    <xf numFmtId="38" fontId="2" fillId="14" borderId="5" xfId="0" applyNumberFormat="1" applyFont="1" applyFill="1" applyBorder="1"/>
    <xf numFmtId="177" fontId="2" fillId="17" borderId="5" xfId="0" applyNumberFormat="1" applyFont="1" applyFill="1" applyBorder="1"/>
    <xf numFmtId="177" fontId="2" fillId="10" borderId="0" xfId="0" applyNumberFormat="1" applyFont="1" applyFill="1"/>
    <xf numFmtId="186" fontId="2" fillId="10" borderId="0" xfId="0" applyNumberFormat="1" applyFont="1" applyFill="1"/>
    <xf numFmtId="37" fontId="26" fillId="13" borderId="11" xfId="0" applyFont="1" applyFill="1" applyBorder="1"/>
    <xf numFmtId="37" fontId="26" fillId="13" borderId="54" xfId="0" applyFont="1" applyFill="1" applyBorder="1"/>
    <xf numFmtId="179" fontId="2" fillId="0" borderId="4" xfId="2" applyNumberFormat="1" applyFont="1" applyBorder="1" applyProtection="1">
      <protection locked="0"/>
    </xf>
    <xf numFmtId="0" fontId="22" fillId="0" borderId="0" xfId="16" quotePrefix="1"/>
    <xf numFmtId="177" fontId="22" fillId="0" borderId="0" xfId="16" applyNumberFormat="1"/>
    <xf numFmtId="179" fontId="2" fillId="0" borderId="2" xfId="2" applyNumberFormat="1" applyFont="1" applyBorder="1" applyProtection="1">
      <protection locked="0"/>
    </xf>
    <xf numFmtId="0" fontId="22" fillId="0" borderId="0" xfId="16"/>
    <xf numFmtId="179" fontId="2" fillId="0" borderId="6" xfId="2" applyNumberFormat="1" applyFont="1" applyBorder="1" applyProtection="1">
      <protection locked="0"/>
    </xf>
    <xf numFmtId="56" fontId="22" fillId="0" borderId="0" xfId="16" quotePrefix="1" applyNumberFormat="1"/>
    <xf numFmtId="179" fontId="2" fillId="18" borderId="29" xfId="2" applyNumberFormat="1" applyFont="1" applyFill="1" applyBorder="1" applyProtection="1">
      <protection locked="0"/>
    </xf>
    <xf numFmtId="38" fontId="2" fillId="0" borderId="4" xfId="2" applyFont="1" applyFill="1" applyBorder="1" applyAlignment="1">
      <alignment vertical="center"/>
    </xf>
    <xf numFmtId="38" fontId="2" fillId="0" borderId="2" xfId="2" applyFont="1" applyBorder="1" applyAlignment="1">
      <alignment vertical="center"/>
    </xf>
    <xf numFmtId="38" fontId="2" fillId="0" borderId="7" xfId="2" applyFont="1" applyBorder="1" applyAlignment="1">
      <alignment vertical="center"/>
    </xf>
    <xf numFmtId="38" fontId="2" fillId="0" borderId="4" xfId="2" applyFont="1" applyBorder="1" applyAlignment="1">
      <alignment vertical="center"/>
    </xf>
    <xf numFmtId="38" fontId="2" fillId="0" borderId="6" xfId="2" applyFont="1" applyBorder="1" applyAlignment="1">
      <alignment vertical="center"/>
    </xf>
    <xf numFmtId="38" fontId="2" fillId="0" borderId="34" xfId="2" applyFont="1" applyBorder="1" applyAlignment="1">
      <alignment vertical="center"/>
    </xf>
    <xf numFmtId="177" fontId="26" fillId="4" borderId="29" xfId="2" applyNumberFormat="1" applyFont="1" applyFill="1" applyBorder="1"/>
    <xf numFmtId="178" fontId="26" fillId="9" borderId="0" xfId="7" applyNumberFormat="1" applyFont="1" applyFill="1"/>
    <xf numFmtId="177" fontId="2" fillId="9" borderId="12" xfId="2" applyNumberFormat="1" applyFont="1" applyFill="1" applyBorder="1" applyAlignment="1">
      <alignment vertical="center"/>
    </xf>
    <xf numFmtId="177" fontId="2" fillId="9" borderId="0" xfId="2" applyNumberFormat="1" applyFont="1" applyFill="1" applyBorder="1" applyAlignment="1">
      <alignment vertical="center"/>
    </xf>
    <xf numFmtId="177" fontId="2" fillId="9" borderId="5" xfId="2" applyNumberFormat="1" applyFont="1" applyFill="1" applyBorder="1" applyAlignment="1">
      <alignment vertical="center"/>
    </xf>
    <xf numFmtId="177" fontId="2" fillId="9" borderId="14" xfId="2" applyNumberFormat="1" applyFont="1" applyFill="1" applyBorder="1" applyAlignment="1">
      <alignment vertical="center"/>
    </xf>
    <xf numFmtId="177" fontId="2" fillId="9" borderId="0" xfId="2" applyNumberFormat="1" applyFont="1" applyFill="1" applyAlignment="1">
      <alignment vertical="center"/>
    </xf>
    <xf numFmtId="177" fontId="26" fillId="13" borderId="4" xfId="7" applyNumberFormat="1" applyFont="1" applyFill="1" applyBorder="1"/>
    <xf numFmtId="38" fontId="10" fillId="9" borderId="40" xfId="2" applyFont="1" applyFill="1" applyBorder="1" applyProtection="1"/>
    <xf numFmtId="38" fontId="10" fillId="9" borderId="38" xfId="2" applyFont="1" applyFill="1" applyBorder="1" applyProtection="1"/>
    <xf numFmtId="38" fontId="2" fillId="9" borderId="58" xfId="2" applyFont="1" applyFill="1" applyBorder="1" applyProtection="1"/>
    <xf numFmtId="38" fontId="2" fillId="9" borderId="38" xfId="2" applyFont="1" applyFill="1" applyBorder="1" applyProtection="1"/>
    <xf numFmtId="38" fontId="2" fillId="9" borderId="40" xfId="2" applyFont="1" applyFill="1" applyBorder="1" applyProtection="1"/>
    <xf numFmtId="38" fontId="2" fillId="9" borderId="41" xfId="2" applyFont="1" applyFill="1" applyBorder="1" applyProtection="1"/>
    <xf numFmtId="38" fontId="2" fillId="9" borderId="46" xfId="2" applyFont="1" applyFill="1" applyBorder="1" applyProtection="1"/>
    <xf numFmtId="37" fontId="2" fillId="9" borderId="39" xfId="0" applyFont="1" applyFill="1" applyBorder="1"/>
    <xf numFmtId="37" fontId="2" fillId="9" borderId="38" xfId="0" applyFont="1" applyFill="1" applyBorder="1" applyAlignment="1">
      <alignment horizontal="center"/>
    </xf>
    <xf numFmtId="37" fontId="2" fillId="9" borderId="41" xfId="0" applyFont="1" applyFill="1" applyBorder="1" applyAlignment="1">
      <alignment horizontal="center"/>
    </xf>
    <xf numFmtId="38" fontId="10" fillId="4" borderId="4" xfId="2" applyFont="1" applyFill="1" applyBorder="1" applyProtection="1"/>
    <xf numFmtId="38" fontId="10" fillId="4" borderId="2" xfId="2" applyFont="1" applyFill="1" applyBorder="1" applyProtection="1"/>
    <xf numFmtId="38" fontId="2" fillId="0" borderId="7" xfId="2" applyFont="1" applyFill="1" applyBorder="1" applyProtection="1"/>
    <xf numFmtId="38" fontId="2" fillId="0" borderId="2" xfId="2" applyFont="1" applyFill="1" applyBorder="1" applyProtection="1"/>
    <xf numFmtId="38" fontId="2" fillId="0" borderId="4" xfId="2" applyFont="1" applyFill="1" applyBorder="1" applyProtection="1"/>
    <xf numFmtId="38" fontId="2" fillId="0" borderId="6" xfId="2" applyFont="1" applyFill="1" applyBorder="1" applyProtection="1"/>
    <xf numFmtId="38" fontId="2" fillId="0" borderId="34" xfId="2" applyFont="1" applyFill="1" applyBorder="1" applyProtection="1"/>
    <xf numFmtId="0" fontId="21" fillId="9" borderId="0" xfId="16" applyFont="1" applyFill="1" applyAlignment="1">
      <alignment horizontal="center"/>
    </xf>
    <xf numFmtId="183" fontId="26" fillId="9" borderId="19" xfId="2" applyNumberFormat="1" applyFont="1" applyFill="1" applyBorder="1" applyAlignment="1">
      <alignment vertical="center"/>
    </xf>
    <xf numFmtId="183" fontId="26" fillId="13" borderId="5" xfId="2" applyNumberFormat="1" applyFont="1" applyFill="1" applyBorder="1" applyAlignment="1">
      <alignment vertical="center"/>
    </xf>
    <xf numFmtId="38" fontId="22" fillId="13" borderId="8" xfId="2" applyFont="1" applyFill="1" applyBorder="1"/>
    <xf numFmtId="38" fontId="22" fillId="13" borderId="12" xfId="2" applyFont="1" applyFill="1" applyBorder="1"/>
    <xf numFmtId="38" fontId="22" fillId="13" borderId="18" xfId="2" applyFont="1" applyFill="1" applyBorder="1"/>
    <xf numFmtId="38" fontId="22" fillId="13" borderId="0" xfId="2" applyFont="1" applyFill="1" applyBorder="1"/>
    <xf numFmtId="37" fontId="22" fillId="13" borderId="8" xfId="0" applyFont="1" applyFill="1" applyBorder="1"/>
    <xf numFmtId="37" fontId="22" fillId="13" borderId="12" xfId="0" applyFont="1" applyFill="1" applyBorder="1"/>
    <xf numFmtId="37" fontId="22" fillId="13" borderId="18" xfId="0" applyFont="1" applyFill="1" applyBorder="1"/>
    <xf numFmtId="37" fontId="22" fillId="13" borderId="0" xfId="0" applyFont="1" applyFill="1"/>
    <xf numFmtId="37" fontId="22" fillId="13" borderId="9" xfId="0" applyFont="1" applyFill="1" applyBorder="1"/>
    <xf numFmtId="37" fontId="22" fillId="13" borderId="5" xfId="0" applyFont="1" applyFill="1" applyBorder="1"/>
    <xf numFmtId="38" fontId="22" fillId="13" borderId="4" xfId="2" applyFont="1" applyFill="1" applyBorder="1"/>
    <xf numFmtId="38" fontId="22" fillId="13" borderId="2" xfId="2" applyFont="1" applyFill="1" applyBorder="1"/>
    <xf numFmtId="38" fontId="22" fillId="13" borderId="6" xfId="2" applyFont="1" applyFill="1" applyBorder="1"/>
    <xf numFmtId="177" fontId="26" fillId="11" borderId="0" xfId="0" applyNumberFormat="1" applyFont="1" applyFill="1"/>
    <xf numFmtId="37" fontId="2" fillId="9" borderId="0" xfId="0" applyFont="1" applyFill="1" applyAlignment="1">
      <alignment horizontal="left"/>
    </xf>
    <xf numFmtId="177" fontId="26" fillId="15" borderId="12" xfId="0" applyNumberFormat="1" applyFont="1" applyFill="1" applyBorder="1"/>
    <xf numFmtId="177" fontId="26" fillId="0" borderId="8" xfId="2" applyNumberFormat="1" applyFont="1" applyBorder="1"/>
    <xf numFmtId="177" fontId="26" fillId="0" borderId="18" xfId="2" applyNumberFormat="1" applyFont="1" applyBorder="1"/>
    <xf numFmtId="177" fontId="26" fillId="0" borderId="9" xfId="2" applyNumberFormat="1" applyFont="1" applyBorder="1"/>
    <xf numFmtId="37" fontId="26" fillId="4" borderId="19" xfId="0" applyFont="1" applyFill="1" applyBorder="1" applyAlignment="1">
      <alignment horizontal="center" vertical="top" wrapText="1"/>
    </xf>
    <xf numFmtId="37" fontId="26" fillId="13" borderId="0" xfId="0" quotePrefix="1" applyFont="1" applyFill="1" applyAlignment="1">
      <alignment horizontal="center"/>
    </xf>
    <xf numFmtId="177" fontId="24" fillId="10" borderId="0" xfId="2" applyNumberFormat="1" applyFont="1" applyFill="1" applyBorder="1" applyProtection="1">
      <protection locked="0"/>
    </xf>
    <xf numFmtId="183" fontId="26" fillId="13" borderId="18" xfId="2" applyNumberFormat="1" applyFont="1" applyFill="1" applyBorder="1" applyAlignment="1">
      <alignment vertical="center"/>
    </xf>
    <xf numFmtId="183" fontId="26" fillId="13" borderId="9" xfId="2" applyNumberFormat="1" applyFont="1" applyFill="1" applyBorder="1" applyAlignment="1">
      <alignment vertical="center"/>
    </xf>
    <xf numFmtId="37" fontId="26" fillId="13" borderId="11" xfId="0" applyFont="1" applyFill="1" applyBorder="1" applyAlignment="1">
      <alignment horizontal="center"/>
    </xf>
    <xf numFmtId="183" fontId="26" fillId="13" borderId="19" xfId="2" applyNumberFormat="1" applyFont="1" applyFill="1" applyBorder="1" applyAlignment="1">
      <alignment vertical="center"/>
    </xf>
    <xf numFmtId="183" fontId="26" fillId="13" borderId="29" xfId="2" applyNumberFormat="1" applyFont="1" applyFill="1" applyBorder="1" applyAlignment="1">
      <alignment vertical="center"/>
    </xf>
    <xf numFmtId="38" fontId="2" fillId="9" borderId="26" xfId="2" applyFont="1" applyFill="1" applyBorder="1" applyAlignment="1">
      <alignment vertical="center"/>
    </xf>
    <xf numFmtId="38" fontId="2" fillId="9" borderId="0" xfId="2" applyFont="1" applyFill="1" applyBorder="1" applyAlignment="1">
      <alignment horizontal="center" vertical="center"/>
    </xf>
    <xf numFmtId="38" fontId="2" fillId="9" borderId="5" xfId="2" applyFont="1" applyFill="1" applyBorder="1" applyAlignment="1">
      <alignment vertical="center"/>
    </xf>
    <xf numFmtId="38" fontId="2" fillId="9" borderId="12" xfId="2" applyFont="1" applyFill="1" applyBorder="1" applyAlignment="1">
      <alignment vertical="center"/>
    </xf>
    <xf numFmtId="38" fontId="2" fillId="9" borderId="0" xfId="2" applyFont="1" applyFill="1" applyBorder="1" applyAlignment="1">
      <alignment vertical="center"/>
    </xf>
    <xf numFmtId="38" fontId="2" fillId="9" borderId="14" xfId="2" applyFont="1" applyFill="1" applyBorder="1" applyAlignment="1">
      <alignment vertical="center"/>
    </xf>
    <xf numFmtId="38" fontId="2" fillId="9" borderId="32" xfId="2" applyFont="1" applyFill="1" applyBorder="1" applyAlignment="1">
      <alignment vertical="center"/>
    </xf>
    <xf numFmtId="38" fontId="2" fillId="9" borderId="11" xfId="2" applyFont="1" applyFill="1" applyBorder="1" applyAlignment="1">
      <alignment vertical="center"/>
    </xf>
    <xf numFmtId="38" fontId="2" fillId="9" borderId="19" xfId="2" applyFont="1" applyFill="1" applyBorder="1" applyAlignment="1">
      <alignment horizontal="center" vertical="center"/>
    </xf>
    <xf numFmtId="38" fontId="2" fillId="9" borderId="29" xfId="2" applyFont="1" applyFill="1" applyBorder="1" applyAlignment="1">
      <alignment vertical="center"/>
    </xf>
    <xf numFmtId="38" fontId="2" fillId="0" borderId="19" xfId="2" applyBorder="1" applyAlignment="1">
      <alignment vertical="center"/>
    </xf>
    <xf numFmtId="38" fontId="2" fillId="0" borderId="29" xfId="2" applyBorder="1" applyAlignment="1">
      <alignment vertical="center"/>
    </xf>
    <xf numFmtId="38" fontId="2" fillId="13" borderId="12" xfId="2" applyFont="1" applyFill="1" applyBorder="1" applyAlignment="1">
      <alignment vertical="center"/>
    </xf>
    <xf numFmtId="37" fontId="2" fillId="13" borderId="0" xfId="0" applyFont="1" applyFill="1" applyAlignment="1">
      <alignment horizontal="center" vertical="center"/>
    </xf>
    <xf numFmtId="38" fontId="2" fillId="13" borderId="0" xfId="2" applyFont="1" applyFill="1" applyBorder="1" applyAlignment="1">
      <alignment horizontal="center"/>
    </xf>
    <xf numFmtId="38" fontId="2" fillId="13" borderId="12" xfId="2" applyFont="1" applyFill="1" applyBorder="1"/>
    <xf numFmtId="37" fontId="22" fillId="13" borderId="2" xfId="0" applyFont="1" applyFill="1" applyBorder="1" applyAlignment="1">
      <alignment horizontal="center" vertical="center"/>
    </xf>
    <xf numFmtId="37" fontId="22" fillId="13" borderId="19" xfId="0" applyFont="1" applyFill="1" applyBorder="1" applyAlignment="1">
      <alignment horizontal="center" vertical="center"/>
    </xf>
    <xf numFmtId="37" fontId="22" fillId="13" borderId="18" xfId="0" applyFont="1" applyFill="1" applyBorder="1" applyAlignment="1">
      <alignment horizontal="center" vertical="center"/>
    </xf>
    <xf numFmtId="37" fontId="22" fillId="13" borderId="8" xfId="0" applyFont="1" applyFill="1" applyBorder="1" applyAlignment="1">
      <alignment horizontal="center" vertical="center"/>
    </xf>
    <xf numFmtId="37" fontId="22" fillId="13" borderId="11" xfId="0" applyFont="1" applyFill="1" applyBorder="1" applyAlignment="1">
      <alignment horizontal="center" vertical="center"/>
    </xf>
    <xf numFmtId="37" fontId="22" fillId="13" borderId="12" xfId="0" applyFont="1" applyFill="1" applyBorder="1" applyAlignment="1">
      <alignment horizontal="center" vertical="center"/>
    </xf>
    <xf numFmtId="37" fontId="22" fillId="13" borderId="4" xfId="0" applyFont="1" applyFill="1" applyBorder="1" applyAlignment="1">
      <alignment horizontal="center" vertical="center"/>
    </xf>
    <xf numFmtId="37" fontId="22" fillId="13" borderId="11" xfId="0" applyFont="1" applyFill="1" applyBorder="1" applyAlignment="1" applyProtection="1">
      <alignment horizontal="center"/>
      <protection locked="0"/>
    </xf>
    <xf numFmtId="0" fontId="22" fillId="13" borderId="6" xfId="0" quotePrefix="1" applyNumberFormat="1" applyFont="1" applyFill="1" applyBorder="1" applyAlignment="1">
      <alignment horizontal="center" vertical="center"/>
    </xf>
    <xf numFmtId="0" fontId="22" fillId="13" borderId="29" xfId="0" quotePrefix="1" applyNumberFormat="1" applyFont="1" applyFill="1" applyBorder="1" applyAlignment="1">
      <alignment horizontal="center" vertical="center"/>
    </xf>
    <xf numFmtId="0" fontId="22" fillId="13" borderId="9" xfId="0" quotePrefix="1" applyNumberFormat="1" applyFont="1" applyFill="1" applyBorder="1" applyAlignment="1">
      <alignment horizontal="center" vertical="center"/>
    </xf>
    <xf numFmtId="184" fontId="22" fillId="13" borderId="29" xfId="0" applyNumberFormat="1" applyFont="1" applyFill="1" applyBorder="1" applyAlignment="1" applyProtection="1">
      <alignment horizontal="center"/>
      <protection locked="0"/>
    </xf>
    <xf numFmtId="179" fontId="2" fillId="9" borderId="0" xfId="2" applyNumberFormat="1" applyFont="1" applyFill="1" applyProtection="1">
      <protection locked="0"/>
    </xf>
    <xf numFmtId="177" fontId="24" fillId="11" borderId="0" xfId="2" applyNumberFormat="1" applyFont="1" applyFill="1" applyBorder="1" applyProtection="1">
      <protection locked="0"/>
    </xf>
    <xf numFmtId="177" fontId="24" fillId="11" borderId="0" xfId="0" applyNumberFormat="1" applyFont="1" applyFill="1" applyProtection="1">
      <protection locked="0"/>
    </xf>
    <xf numFmtId="37" fontId="60" fillId="0" borderId="0" xfId="0" quotePrefix="1" applyFont="1" applyAlignment="1" applyProtection="1">
      <alignment horizontal="left"/>
      <protection locked="0"/>
    </xf>
    <xf numFmtId="37" fontId="60" fillId="12" borderId="0" xfId="0" applyFont="1" applyFill="1" applyAlignment="1" applyProtection="1">
      <alignment horizontal="right"/>
      <protection locked="0"/>
    </xf>
    <xf numFmtId="37" fontId="60" fillId="0" borderId="0" xfId="0" applyFont="1" applyAlignment="1" applyProtection="1">
      <alignment horizontal="right"/>
      <protection locked="0"/>
    </xf>
    <xf numFmtId="37" fontId="60" fillId="0" borderId="8" xfId="0" applyFont="1" applyBorder="1" applyProtection="1">
      <protection locked="0"/>
    </xf>
    <xf numFmtId="177" fontId="60" fillId="0" borderId="14" xfId="0" applyNumberFormat="1" applyFont="1" applyBorder="1" applyProtection="1">
      <protection locked="0"/>
    </xf>
    <xf numFmtId="177" fontId="60" fillId="0" borderId="8" xfId="0" applyNumberFormat="1" applyFont="1" applyBorder="1" applyProtection="1">
      <protection locked="0"/>
    </xf>
    <xf numFmtId="177" fontId="60" fillId="0" borderId="12" xfId="0" applyNumberFormat="1" applyFont="1" applyBorder="1" applyProtection="1">
      <protection locked="0"/>
    </xf>
    <xf numFmtId="177" fontId="60" fillId="0" borderId="4" xfId="0" applyNumberFormat="1" applyFont="1" applyBorder="1" applyProtection="1">
      <protection locked="0"/>
    </xf>
    <xf numFmtId="37" fontId="60" fillId="4" borderId="12" xfId="0" applyFont="1" applyFill="1" applyBorder="1" applyProtection="1">
      <protection locked="0"/>
    </xf>
    <xf numFmtId="37" fontId="26" fillId="4" borderId="12" xfId="0" applyFont="1" applyFill="1" applyBorder="1"/>
    <xf numFmtId="37" fontId="26" fillId="0" borderId="14" xfId="0" applyFont="1" applyBorder="1"/>
    <xf numFmtId="37" fontId="26" fillId="0" borderId="7" xfId="0" applyFont="1" applyBorder="1"/>
    <xf numFmtId="37" fontId="26" fillId="0" borderId="11" xfId="0" applyFont="1" applyBorder="1"/>
    <xf numFmtId="37" fontId="60" fillId="0" borderId="18" xfId="0" applyFont="1" applyBorder="1" applyAlignment="1" applyProtection="1">
      <alignment horizontal="center"/>
      <protection locked="0"/>
    </xf>
    <xf numFmtId="37" fontId="60" fillId="0" borderId="4" xfId="0" applyFont="1" applyBorder="1" applyProtection="1">
      <protection locked="0"/>
    </xf>
    <xf numFmtId="37" fontId="60" fillId="13" borderId="12" xfId="0" applyFont="1" applyFill="1" applyBorder="1" applyProtection="1">
      <protection locked="0"/>
    </xf>
    <xf numFmtId="177" fontId="60" fillId="13" borderId="12" xfId="0" applyNumberFormat="1" applyFont="1" applyFill="1" applyBorder="1" applyProtection="1">
      <protection locked="0"/>
    </xf>
    <xf numFmtId="37" fontId="26" fillId="10" borderId="12" xfId="0" applyFont="1" applyFill="1" applyBorder="1"/>
    <xf numFmtId="37" fontId="26" fillId="10" borderId="4" xfId="0" applyFont="1" applyFill="1" applyBorder="1"/>
    <xf numFmtId="37" fontId="26" fillId="10" borderId="19" xfId="0" applyFont="1" applyFill="1" applyBorder="1"/>
    <xf numFmtId="37" fontId="60" fillId="0" borderId="9" xfId="0" applyFont="1" applyBorder="1" applyProtection="1">
      <protection locked="0"/>
    </xf>
    <xf numFmtId="37" fontId="60" fillId="4" borderId="5" xfId="0" applyFont="1" applyFill="1" applyBorder="1" applyAlignment="1" applyProtection="1">
      <alignment horizontal="center" vertical="top"/>
      <protection locked="0"/>
    </xf>
    <xf numFmtId="37" fontId="60" fillId="0" borderId="9" xfId="0" applyFont="1" applyBorder="1" applyAlignment="1" applyProtection="1">
      <alignment horizontal="center" vertical="top"/>
      <protection locked="0"/>
    </xf>
    <xf numFmtId="37" fontId="60" fillId="0" borderId="5" xfId="0" applyFont="1" applyBorder="1" applyAlignment="1" applyProtection="1">
      <alignment horizontal="center" vertical="top"/>
      <protection locked="0"/>
    </xf>
    <xf numFmtId="37" fontId="60" fillId="0" borderId="6" xfId="0" applyFont="1" applyBorder="1" applyAlignment="1" applyProtection="1">
      <alignment horizontal="center" vertical="top"/>
      <protection locked="0"/>
    </xf>
    <xf numFmtId="37" fontId="60" fillId="13" borderId="5" xfId="0" applyFont="1" applyFill="1" applyBorder="1" applyAlignment="1" applyProtection="1">
      <alignment horizontal="center" vertical="top"/>
      <protection locked="0"/>
    </xf>
    <xf numFmtId="177" fontId="60" fillId="13" borderId="5" xfId="0" applyNumberFormat="1" applyFont="1" applyFill="1" applyBorder="1" applyAlignment="1" applyProtection="1">
      <alignment horizontal="center" vertical="center"/>
      <protection locked="0"/>
    </xf>
    <xf numFmtId="177" fontId="60" fillId="10" borderId="5" xfId="0" applyNumberFormat="1" applyFont="1" applyFill="1" applyBorder="1" applyAlignment="1" applyProtection="1">
      <alignment horizontal="center" vertical="center"/>
      <protection locked="0"/>
    </xf>
    <xf numFmtId="177" fontId="60" fillId="10" borderId="6" xfId="0" applyNumberFormat="1" applyFont="1" applyFill="1" applyBorder="1" applyAlignment="1" applyProtection="1">
      <alignment horizontal="center" vertical="center"/>
      <protection locked="0"/>
    </xf>
    <xf numFmtId="177" fontId="60" fillId="10" borderId="29" xfId="0" applyNumberFormat="1" applyFont="1" applyFill="1" applyBorder="1" applyAlignment="1" applyProtection="1">
      <alignment horizontal="center" vertical="center"/>
      <protection locked="0"/>
    </xf>
    <xf numFmtId="37" fontId="60" fillId="0" borderId="18" xfId="0" applyFont="1" applyBorder="1" applyProtection="1">
      <protection locked="0"/>
    </xf>
    <xf numFmtId="177" fontId="60" fillId="4" borderId="0" xfId="2" applyNumberFormat="1" applyFont="1" applyFill="1" applyBorder="1" applyProtection="1">
      <protection locked="0"/>
    </xf>
    <xf numFmtId="177" fontId="60" fillId="9" borderId="18" xfId="2" applyNumberFormat="1" applyFont="1" applyFill="1" applyBorder="1" applyProtection="1">
      <protection locked="0"/>
    </xf>
    <xf numFmtId="177" fontId="60" fillId="9" borderId="0" xfId="2" applyNumberFormat="1" applyFont="1" applyFill="1" applyBorder="1" applyProtection="1">
      <protection locked="0"/>
    </xf>
    <xf numFmtId="177" fontId="60" fillId="9" borderId="2" xfId="2" applyNumberFormat="1" applyFont="1" applyFill="1" applyBorder="1" applyProtection="1">
      <protection locked="0"/>
    </xf>
    <xf numFmtId="177" fontId="60" fillId="18" borderId="0" xfId="2" applyNumberFormat="1" applyFont="1" applyFill="1" applyBorder="1" applyProtection="1">
      <protection locked="0"/>
    </xf>
    <xf numFmtId="177" fontId="26" fillId="18" borderId="0" xfId="0" applyNumberFormat="1" applyFont="1" applyFill="1"/>
    <xf numFmtId="177" fontId="26" fillId="18" borderId="12" xfId="0" applyNumberFormat="1" applyFont="1" applyFill="1" applyBorder="1"/>
    <xf numFmtId="177" fontId="26" fillId="18" borderId="2" xfId="0" applyNumberFormat="1" applyFont="1" applyFill="1" applyBorder="1"/>
    <xf numFmtId="37" fontId="60" fillId="0" borderId="33" xfId="0" applyFont="1" applyBorder="1" applyProtection="1">
      <protection locked="0"/>
    </xf>
    <xf numFmtId="177" fontId="60" fillId="4" borderId="21" xfId="2" applyNumberFormat="1" applyFont="1" applyFill="1" applyBorder="1" applyProtection="1">
      <protection locked="0"/>
    </xf>
    <xf numFmtId="177" fontId="60" fillId="18" borderId="0" xfId="0" applyNumberFormat="1" applyFont="1" applyFill="1" applyProtection="1">
      <protection locked="0"/>
    </xf>
    <xf numFmtId="177" fontId="60" fillId="11" borderId="18" xfId="2" applyNumberFormat="1" applyFont="1" applyFill="1" applyBorder="1" applyProtection="1">
      <protection locked="0"/>
    </xf>
    <xf numFmtId="177" fontId="60" fillId="11" borderId="0" xfId="2" applyNumberFormat="1" applyFont="1" applyFill="1" applyBorder="1" applyProtection="1">
      <protection locked="0"/>
    </xf>
    <xf numFmtId="177" fontId="60" fillId="11" borderId="2" xfId="2" applyNumberFormat="1" applyFont="1" applyFill="1" applyBorder="1" applyProtection="1">
      <protection locked="0"/>
    </xf>
    <xf numFmtId="177" fontId="60" fillId="4" borderId="12" xfId="2" applyNumberFormat="1" applyFont="1" applyFill="1" applyBorder="1" applyProtection="1">
      <protection locked="0"/>
    </xf>
    <xf numFmtId="177" fontId="60" fillId="10" borderId="8" xfId="2" applyNumberFormat="1" applyFont="1" applyFill="1" applyBorder="1" applyProtection="1">
      <protection locked="0"/>
    </xf>
    <xf numFmtId="177" fontId="60" fillId="9" borderId="12" xfId="2" applyNumberFormat="1" applyFont="1" applyFill="1" applyBorder="1" applyProtection="1">
      <protection locked="0"/>
    </xf>
    <xf numFmtId="177" fontId="60" fillId="9" borderId="4" xfId="2" applyNumberFormat="1" applyFont="1" applyFill="1" applyBorder="1" applyProtection="1">
      <protection locked="0"/>
    </xf>
    <xf numFmtId="177" fontId="60" fillId="18" borderId="12" xfId="2" applyNumberFormat="1" applyFont="1" applyFill="1" applyBorder="1" applyProtection="1">
      <protection locked="0"/>
    </xf>
    <xf numFmtId="177" fontId="60" fillId="4" borderId="5" xfId="2" applyNumberFormat="1" applyFont="1" applyFill="1" applyBorder="1" applyProtection="1">
      <protection locked="0"/>
    </xf>
    <xf numFmtId="177" fontId="60" fillId="10" borderId="9" xfId="2" applyNumberFormat="1" applyFont="1" applyFill="1" applyBorder="1" applyProtection="1">
      <protection locked="0"/>
    </xf>
    <xf numFmtId="177" fontId="60" fillId="9" borderId="5" xfId="2" applyNumberFormat="1" applyFont="1" applyFill="1" applyBorder="1" applyProtection="1">
      <protection locked="0"/>
    </xf>
    <xf numFmtId="177" fontId="60" fillId="9" borderId="6" xfId="2" applyNumberFormat="1" applyFont="1" applyFill="1" applyBorder="1" applyProtection="1">
      <protection locked="0"/>
    </xf>
    <xf numFmtId="177" fontId="60" fillId="18" borderId="5" xfId="2" applyNumberFormat="1" applyFont="1" applyFill="1" applyBorder="1" applyProtection="1">
      <protection locked="0"/>
    </xf>
    <xf numFmtId="38" fontId="60" fillId="18" borderId="0" xfId="2" applyFont="1" applyFill="1" applyBorder="1" applyProtection="1">
      <protection locked="0"/>
    </xf>
    <xf numFmtId="38" fontId="26" fillId="18" borderId="0" xfId="2" applyFont="1" applyFill="1"/>
    <xf numFmtId="38" fontId="26" fillId="18" borderId="6" xfId="2" applyFont="1" applyFill="1" applyBorder="1"/>
    <xf numFmtId="38" fontId="60" fillId="18" borderId="12" xfId="2" applyFont="1" applyFill="1" applyBorder="1" applyProtection="1">
      <protection locked="0"/>
    </xf>
    <xf numFmtId="38" fontId="26" fillId="18" borderId="12" xfId="2" applyFont="1" applyFill="1" applyBorder="1"/>
    <xf numFmtId="38" fontId="26" fillId="18" borderId="2" xfId="2" applyFont="1" applyFill="1" applyBorder="1"/>
    <xf numFmtId="38" fontId="60" fillId="18" borderId="5" xfId="2" applyFont="1" applyFill="1" applyBorder="1" applyProtection="1">
      <protection locked="0"/>
    </xf>
    <xf numFmtId="38" fontId="26" fillId="18" borderId="5" xfId="2" applyFont="1" applyFill="1" applyBorder="1"/>
    <xf numFmtId="177" fontId="26" fillId="11" borderId="2" xfId="0" applyNumberFormat="1" applyFont="1" applyFill="1" applyBorder="1"/>
    <xf numFmtId="177" fontId="26" fillId="11" borderId="19" xfId="0" applyNumberFormat="1" applyFont="1" applyFill="1" applyBorder="1"/>
    <xf numFmtId="179" fontId="2" fillId="18" borderId="5" xfId="2" applyNumberFormat="1" applyFont="1" applyFill="1" applyBorder="1" applyProtection="1">
      <protection locked="0"/>
    </xf>
    <xf numFmtId="179" fontId="2" fillId="15" borderId="5" xfId="2" applyNumberFormat="1" applyFont="1" applyFill="1" applyBorder="1" applyProtection="1">
      <protection locked="0"/>
    </xf>
    <xf numFmtId="177" fontId="26" fillId="0" borderId="12" xfId="2" applyNumberFormat="1" applyFont="1" applyBorder="1"/>
    <xf numFmtId="177" fontId="26" fillId="4" borderId="2" xfId="0" applyNumberFormat="1" applyFont="1" applyFill="1" applyBorder="1"/>
    <xf numFmtId="177" fontId="26" fillId="10" borderId="11" xfId="0" applyNumberFormat="1" applyFont="1" applyFill="1" applyBorder="1"/>
    <xf numFmtId="177" fontId="26" fillId="10" borderId="19" xfId="0" applyNumberFormat="1" applyFont="1" applyFill="1" applyBorder="1"/>
    <xf numFmtId="177" fontId="26" fillId="10" borderId="29" xfId="0" applyNumberFormat="1" applyFont="1" applyFill="1" applyBorder="1"/>
    <xf numFmtId="37" fontId="26" fillId="10" borderId="11" xfId="0" applyFont="1" applyFill="1" applyBorder="1" applyAlignment="1">
      <alignment vertical="top" wrapText="1"/>
    </xf>
    <xf numFmtId="37" fontId="26" fillId="10" borderId="12" xfId="0" applyFont="1" applyFill="1" applyBorder="1" applyAlignment="1">
      <alignment vertical="top" wrapText="1"/>
    </xf>
    <xf numFmtId="177" fontId="26" fillId="10" borderId="4" xfId="0" applyNumberFormat="1" applyFont="1" applyFill="1" applyBorder="1"/>
    <xf numFmtId="177" fontId="26" fillId="10" borderId="2" xfId="0" applyNumberFormat="1" applyFont="1" applyFill="1" applyBorder="1"/>
    <xf numFmtId="177" fontId="26" fillId="10" borderId="6" xfId="0" applyNumberFormat="1" applyFont="1" applyFill="1" applyBorder="1"/>
    <xf numFmtId="177" fontId="26" fillId="13" borderId="2" xfId="0" applyNumberFormat="1" applyFont="1" applyFill="1" applyBorder="1"/>
    <xf numFmtId="177" fontId="26" fillId="13" borderId="6" xfId="0" applyNumberFormat="1" applyFont="1" applyFill="1" applyBorder="1"/>
    <xf numFmtId="37" fontId="26" fillId="15" borderId="8" xfId="0" applyFont="1" applyFill="1" applyBorder="1" applyAlignment="1">
      <alignment horizontal="center"/>
    </xf>
    <xf numFmtId="37" fontId="26" fillId="9" borderId="11" xfId="0" applyFont="1" applyFill="1" applyBorder="1" applyAlignment="1">
      <alignment horizontal="center"/>
    </xf>
    <xf numFmtId="37" fontId="26" fillId="9" borderId="8" xfId="0" applyFont="1" applyFill="1" applyBorder="1" applyAlignment="1">
      <alignment horizontal="center"/>
    </xf>
    <xf numFmtId="37" fontId="26" fillId="9" borderId="12" xfId="0" applyFont="1" applyFill="1" applyBorder="1" applyAlignment="1">
      <alignment horizontal="center"/>
    </xf>
    <xf numFmtId="37" fontId="26" fillId="13" borderId="12" xfId="0" applyFont="1" applyFill="1" applyBorder="1" applyAlignment="1">
      <alignment horizontal="center"/>
    </xf>
    <xf numFmtId="37" fontId="26" fillId="13" borderId="8" xfId="0" applyFont="1" applyFill="1" applyBorder="1" applyAlignment="1">
      <alignment horizontal="center"/>
    </xf>
    <xf numFmtId="37" fontId="26" fillId="9" borderId="9" xfId="0" applyFont="1" applyFill="1" applyBorder="1" applyAlignment="1">
      <alignment horizontal="center" vertical="center"/>
    </xf>
    <xf numFmtId="37" fontId="26" fillId="15" borderId="9" xfId="0" applyFont="1" applyFill="1" applyBorder="1" applyAlignment="1">
      <alignment horizontal="center" vertical="center"/>
    </xf>
    <xf numFmtId="37" fontId="26" fillId="9" borderId="52" xfId="0" applyFont="1" applyFill="1" applyBorder="1" applyAlignment="1">
      <alignment horizontal="center" vertical="center"/>
    </xf>
    <xf numFmtId="37" fontId="26" fillId="9" borderId="29" xfId="0" applyFont="1" applyFill="1" applyBorder="1" applyAlignment="1">
      <alignment horizontal="center" vertical="center"/>
    </xf>
    <xf numFmtId="37" fontId="26" fillId="9" borderId="5" xfId="0" applyFont="1" applyFill="1" applyBorder="1" applyAlignment="1">
      <alignment horizontal="center" vertical="center"/>
    </xf>
    <xf numFmtId="37" fontId="26" fillId="13" borderId="29" xfId="0" applyFont="1" applyFill="1" applyBorder="1" applyAlignment="1">
      <alignment horizontal="center" vertical="center"/>
    </xf>
    <xf numFmtId="37" fontId="26" fillId="13" borderId="5" xfId="0" applyFont="1" applyFill="1" applyBorder="1" applyAlignment="1">
      <alignment horizontal="center" vertical="center"/>
    </xf>
    <xf numFmtId="37" fontId="26" fillId="13" borderId="9" xfId="0" applyFont="1" applyFill="1" applyBorder="1" applyAlignment="1">
      <alignment horizontal="center" vertical="center"/>
    </xf>
    <xf numFmtId="38" fontId="26" fillId="15" borderId="8" xfId="2" applyFont="1" applyFill="1" applyBorder="1" applyAlignment="1">
      <alignment vertical="center"/>
    </xf>
    <xf numFmtId="184" fontId="24" fillId="13" borderId="12" xfId="0" applyNumberFormat="1" applyFont="1" applyFill="1" applyBorder="1" applyProtection="1">
      <protection locked="0"/>
    </xf>
    <xf numFmtId="177" fontId="24" fillId="13" borderId="5" xfId="0" applyNumberFormat="1" applyFont="1" applyFill="1" applyBorder="1" applyAlignment="1" applyProtection="1">
      <alignment horizontal="center" vertical="center"/>
      <protection locked="0"/>
    </xf>
    <xf numFmtId="38" fontId="24" fillId="13" borderId="0" xfId="2" applyFont="1" applyFill="1" applyBorder="1" applyProtection="1">
      <protection locked="0"/>
    </xf>
    <xf numFmtId="38" fontId="24" fillId="13" borderId="60" xfId="2" applyFont="1" applyFill="1" applyBorder="1" applyProtection="1">
      <protection locked="0"/>
    </xf>
    <xf numFmtId="177" fontId="24" fillId="13" borderId="60" xfId="0" applyNumberFormat="1" applyFont="1" applyFill="1" applyBorder="1" applyProtection="1">
      <protection locked="0"/>
    </xf>
    <xf numFmtId="177" fontId="24" fillId="13" borderId="0" xfId="0" applyNumberFormat="1" applyFont="1" applyFill="1" applyProtection="1">
      <protection locked="0"/>
    </xf>
    <xf numFmtId="37" fontId="68" fillId="9" borderId="0" xfId="0" applyFont="1" applyFill="1" applyAlignment="1">
      <alignment horizontal="left" vertical="center"/>
    </xf>
    <xf numFmtId="58" fontId="71" fillId="9" borderId="0" xfId="0" applyNumberFormat="1" applyFont="1" applyFill="1" applyAlignment="1">
      <alignment horizontal="center" vertical="center"/>
    </xf>
    <xf numFmtId="37" fontId="1" fillId="9" borderId="0" xfId="0" applyFont="1" applyFill="1" applyAlignment="1">
      <alignment vertical="center"/>
    </xf>
    <xf numFmtId="37" fontId="2" fillId="9" borderId="0" xfId="0" applyFont="1" applyFill="1" applyAlignment="1">
      <alignment vertical="center"/>
    </xf>
    <xf numFmtId="37" fontId="2" fillId="9" borderId="3" xfId="0" applyFont="1" applyFill="1" applyBorder="1" applyAlignment="1">
      <alignment horizontal="center" vertical="center"/>
    </xf>
    <xf numFmtId="37" fontId="2" fillId="9" borderId="8" xfId="0" applyFont="1" applyFill="1" applyBorder="1" applyAlignment="1">
      <alignment horizontal="center" vertical="center"/>
    </xf>
    <xf numFmtId="31" fontId="2" fillId="9" borderId="1" xfId="0" applyNumberFormat="1" applyFont="1" applyFill="1" applyBorder="1" applyAlignment="1">
      <alignment horizontal="center" vertical="center"/>
    </xf>
    <xf numFmtId="31" fontId="2" fillId="9" borderId="3" xfId="0" applyNumberFormat="1" applyFont="1" applyFill="1" applyBorder="1" applyAlignment="1">
      <alignment horizontal="center" vertical="center"/>
    </xf>
    <xf numFmtId="37" fontId="2" fillId="9" borderId="7" xfId="0" applyFont="1" applyFill="1" applyBorder="1" applyAlignment="1">
      <alignment vertical="center"/>
    </xf>
    <xf numFmtId="31" fontId="2" fillId="9" borderId="9" xfId="0" applyNumberFormat="1" applyFont="1" applyFill="1" applyBorder="1" applyAlignment="1">
      <alignment horizontal="center" vertical="center"/>
    </xf>
    <xf numFmtId="37" fontId="2" fillId="9" borderId="9" xfId="0" applyFont="1" applyFill="1" applyBorder="1" applyAlignment="1">
      <alignment horizontal="center" vertical="center"/>
    </xf>
    <xf numFmtId="37" fontId="2" fillId="9" borderId="6" xfId="0" applyFont="1" applyFill="1" applyBorder="1" applyAlignment="1">
      <alignment vertical="center"/>
    </xf>
    <xf numFmtId="37" fontId="73" fillId="9" borderId="0" xfId="0" applyFont="1" applyFill="1" applyAlignment="1">
      <alignment horizontal="left" vertical="center" wrapText="1"/>
    </xf>
    <xf numFmtId="37" fontId="2" fillId="12" borderId="2" xfId="0" applyFont="1" applyFill="1" applyBorder="1" applyAlignment="1" applyProtection="1">
      <alignment horizontal="left"/>
      <protection locked="0"/>
    </xf>
    <xf numFmtId="0" fontId="2" fillId="22" borderId="2" xfId="23" quotePrefix="1" applyFont="1" applyBorder="1" applyAlignment="1" applyProtection="1">
      <alignment horizontal="left"/>
    </xf>
    <xf numFmtId="0" fontId="2" fillId="22" borderId="2" xfId="23" applyFont="1" applyBorder="1" applyAlignment="1" applyProtection="1">
      <alignment horizontal="left"/>
    </xf>
    <xf numFmtId="177" fontId="2" fillId="23" borderId="12" xfId="0" applyNumberFormat="1" applyFont="1" applyFill="1" applyBorder="1"/>
    <xf numFmtId="177" fontId="2" fillId="23" borderId="0" xfId="0" applyNumberFormat="1" applyFont="1" applyFill="1"/>
    <xf numFmtId="177" fontId="2" fillId="3" borderId="12" xfId="2" applyNumberFormat="1" applyFont="1" applyFill="1" applyBorder="1"/>
    <xf numFmtId="0" fontId="1" fillId="0" borderId="0" xfId="16" applyFont="1"/>
    <xf numFmtId="0" fontId="2" fillId="0" borderId="0" xfId="16" applyFont="1"/>
    <xf numFmtId="0" fontId="2" fillId="10" borderId="0" xfId="16" applyFont="1" applyFill="1"/>
    <xf numFmtId="185" fontId="2" fillId="0" borderId="0" xfId="1" applyNumberFormat="1" applyFont="1" applyFill="1"/>
    <xf numFmtId="38" fontId="2" fillId="0" borderId="0" xfId="14" applyNumberFormat="1" applyFont="1"/>
    <xf numFmtId="0" fontId="2" fillId="0" borderId="8" xfId="16" applyFont="1" applyBorder="1"/>
    <xf numFmtId="0" fontId="2" fillId="0" borderId="4" xfId="16" applyFont="1" applyBorder="1"/>
    <xf numFmtId="0" fontId="2" fillId="0" borderId="12" xfId="16" applyFont="1" applyBorder="1"/>
    <xf numFmtId="185" fontId="2" fillId="0" borderId="12" xfId="1" applyNumberFormat="1" applyFont="1" applyFill="1" applyBorder="1"/>
    <xf numFmtId="38" fontId="2" fillId="0" borderId="12" xfId="14" applyNumberFormat="1" applyFont="1" applyBorder="1"/>
    <xf numFmtId="0" fontId="2" fillId="0" borderId="11" xfId="16" applyFont="1" applyBorder="1"/>
    <xf numFmtId="0" fontId="2" fillId="0" borderId="18" xfId="14" applyFont="1" applyBorder="1" applyAlignment="1">
      <alignment horizontal="center"/>
    </xf>
    <xf numFmtId="0" fontId="2" fillId="0" borderId="2" xfId="16" applyFont="1" applyBorder="1" applyAlignment="1">
      <alignment horizontal="center"/>
    </xf>
    <xf numFmtId="38" fontId="2" fillId="0" borderId="0" xfId="2" applyFont="1" applyFill="1" applyBorder="1" applyAlignment="1">
      <alignment horizontal="center"/>
    </xf>
    <xf numFmtId="38" fontId="2" fillId="0" borderId="11" xfId="14" applyNumberFormat="1" applyFont="1" applyBorder="1" applyAlignment="1">
      <alignment horizontal="center"/>
    </xf>
    <xf numFmtId="38" fontId="2" fillId="0" borderId="8" xfId="14" applyNumberFormat="1" applyFont="1" applyBorder="1" applyAlignment="1">
      <alignment horizontal="center"/>
    </xf>
    <xf numFmtId="38" fontId="2" fillId="0" borderId="12" xfId="14" applyNumberFormat="1" applyFont="1" applyBorder="1" applyAlignment="1">
      <alignment horizontal="center"/>
    </xf>
    <xf numFmtId="0" fontId="2" fillId="0" borderId="12" xfId="16" applyFont="1" applyBorder="1" applyAlignment="1">
      <alignment horizontal="center"/>
    </xf>
    <xf numFmtId="186" fontId="2" fillId="0" borderId="19" xfId="1" applyNumberFormat="1" applyFont="1" applyFill="1" applyBorder="1" applyAlignment="1">
      <alignment horizontal="center"/>
    </xf>
    <xf numFmtId="38" fontId="2" fillId="0" borderId="19" xfId="14" applyNumberFormat="1" applyFont="1" applyBorder="1" applyAlignment="1">
      <alignment horizontal="center"/>
    </xf>
    <xf numFmtId="38" fontId="2" fillId="0" borderId="18" xfId="14" applyNumberFormat="1" applyFont="1" applyBorder="1" applyAlignment="1">
      <alignment horizontal="center"/>
    </xf>
    <xf numFmtId="0" fontId="2" fillId="0" borderId="9" xfId="14" applyFont="1" applyBorder="1" applyAlignment="1">
      <alignment horizontal="center"/>
    </xf>
    <xf numFmtId="0" fontId="2" fillId="0" borderId="6" xfId="16" applyFont="1" applyBorder="1" applyAlignment="1">
      <alignment horizontal="center"/>
    </xf>
    <xf numFmtId="38" fontId="2" fillId="0" borderId="5" xfId="2" applyFont="1" applyFill="1" applyBorder="1" applyAlignment="1">
      <alignment horizontal="center"/>
    </xf>
    <xf numFmtId="38" fontId="2" fillId="0" borderId="29" xfId="14" applyNumberFormat="1" applyFont="1" applyBorder="1" applyAlignment="1">
      <alignment horizontal="center"/>
    </xf>
    <xf numFmtId="38" fontId="2" fillId="0" borderId="9" xfId="14" applyNumberFormat="1" applyFont="1" applyBorder="1" applyAlignment="1">
      <alignment horizontal="center"/>
    </xf>
    <xf numFmtId="38" fontId="2" fillId="0" borderId="9" xfId="14" applyNumberFormat="1" applyFont="1" applyBorder="1" applyAlignment="1">
      <alignment horizontal="center" shrinkToFit="1"/>
    </xf>
    <xf numFmtId="187" fontId="2" fillId="15" borderId="8" xfId="16" applyNumberFormat="1" applyFont="1" applyFill="1" applyBorder="1"/>
    <xf numFmtId="56" fontId="2" fillId="15" borderId="4" xfId="16" quotePrefix="1" applyNumberFormat="1" applyFont="1" applyFill="1" applyBorder="1"/>
    <xf numFmtId="177" fontId="2" fillId="15" borderId="19" xfId="2" applyNumberFormat="1" applyFont="1" applyFill="1" applyBorder="1"/>
    <xf numFmtId="183" fontId="2" fillId="15" borderId="11" xfId="2" applyNumberFormat="1" applyFont="1" applyFill="1" applyBorder="1"/>
    <xf numFmtId="187" fontId="2" fillId="15" borderId="18" xfId="16" applyNumberFormat="1" applyFont="1" applyFill="1" applyBorder="1" applyAlignment="1">
      <alignment horizontal="center"/>
    </xf>
    <xf numFmtId="0" fontId="2" fillId="15" borderId="2" xfId="16" quotePrefix="1" applyFont="1" applyFill="1" applyBorder="1"/>
    <xf numFmtId="183" fontId="2" fillId="15" borderId="19" xfId="2" applyNumberFormat="1" applyFont="1" applyFill="1" applyBorder="1"/>
    <xf numFmtId="187" fontId="2" fillId="15" borderId="18" xfId="16" applyNumberFormat="1" applyFont="1" applyFill="1" applyBorder="1"/>
    <xf numFmtId="187" fontId="2" fillId="15" borderId="9" xfId="16" quotePrefix="1" applyNumberFormat="1" applyFont="1" applyFill="1" applyBorder="1"/>
    <xf numFmtId="0" fontId="2" fillId="15" borderId="6" xfId="16" applyFont="1" applyFill="1" applyBorder="1"/>
    <xf numFmtId="56" fontId="2" fillId="15" borderId="2" xfId="16" quotePrefix="1" applyNumberFormat="1" applyFont="1" applyFill="1" applyBorder="1"/>
    <xf numFmtId="177" fontId="2" fillId="15" borderId="11" xfId="2" applyNumberFormat="1" applyFont="1" applyFill="1" applyBorder="1"/>
    <xf numFmtId="187" fontId="2" fillId="15" borderId="18" xfId="16" quotePrefix="1" applyNumberFormat="1" applyFont="1" applyFill="1" applyBorder="1"/>
    <xf numFmtId="0" fontId="2" fillId="15" borderId="2" xfId="16" applyFont="1" applyFill="1" applyBorder="1"/>
    <xf numFmtId="177" fontId="2" fillId="15" borderId="29" xfId="2" applyNumberFormat="1" applyFont="1" applyFill="1" applyBorder="1"/>
    <xf numFmtId="183" fontId="2" fillId="15" borderId="29" xfId="2" applyNumberFormat="1" applyFont="1" applyFill="1" applyBorder="1"/>
    <xf numFmtId="0" fontId="2" fillId="15" borderId="9" xfId="16" applyFont="1" applyFill="1" applyBorder="1"/>
    <xf numFmtId="187" fontId="2" fillId="13" borderId="8" xfId="16" applyNumberFormat="1" applyFont="1" applyFill="1" applyBorder="1"/>
    <xf numFmtId="56" fontId="2" fillId="13" borderId="4" xfId="16" quotePrefix="1" applyNumberFormat="1" applyFont="1" applyFill="1" applyBorder="1"/>
    <xf numFmtId="177" fontId="2" fillId="13" borderId="11" xfId="2" applyNumberFormat="1" applyFont="1" applyFill="1" applyBorder="1"/>
    <xf numFmtId="183" fontId="2" fillId="13" borderId="11" xfId="2" applyNumberFormat="1" applyFont="1" applyFill="1" applyBorder="1"/>
    <xf numFmtId="187" fontId="2" fillId="13" borderId="18" xfId="16" applyNumberFormat="1" applyFont="1" applyFill="1" applyBorder="1" applyAlignment="1">
      <alignment horizontal="center"/>
    </xf>
    <xf numFmtId="0" fontId="2" fillId="13" borderId="2" xfId="16" quotePrefix="1" applyFont="1" applyFill="1" applyBorder="1"/>
    <xf numFmtId="177" fontId="2" fillId="13" borderId="19" xfId="2" applyNumberFormat="1" applyFont="1" applyFill="1" applyBorder="1"/>
    <xf numFmtId="183" fontId="2" fillId="13" borderId="19" xfId="2" applyNumberFormat="1" applyFont="1" applyFill="1" applyBorder="1"/>
    <xf numFmtId="187" fontId="2" fillId="13" borderId="18" xfId="16" applyNumberFormat="1" applyFont="1" applyFill="1" applyBorder="1"/>
    <xf numFmtId="0" fontId="2" fillId="13" borderId="9" xfId="16" applyFont="1" applyFill="1" applyBorder="1"/>
    <xf numFmtId="0" fontId="2" fillId="13" borderId="6" xfId="16" applyFont="1" applyFill="1" applyBorder="1"/>
    <xf numFmtId="177" fontId="2" fillId="13" borderId="29" xfId="2" applyNumberFormat="1" applyFont="1" applyFill="1" applyBorder="1"/>
    <xf numFmtId="183" fontId="2" fillId="13" borderId="29" xfId="2" applyNumberFormat="1" applyFont="1" applyFill="1" applyBorder="1"/>
    <xf numFmtId="187" fontId="2" fillId="13" borderId="9" xfId="16" applyNumberFormat="1" applyFont="1" applyFill="1" applyBorder="1" applyAlignment="1">
      <alignment horizontal="center"/>
    </xf>
    <xf numFmtId="187" fontId="2" fillId="0" borderId="8" xfId="16" applyNumberFormat="1" applyFont="1" applyBorder="1"/>
    <xf numFmtId="56" fontId="2" fillId="0" borderId="4" xfId="16" quotePrefix="1" applyNumberFormat="1" applyFont="1" applyBorder="1"/>
    <xf numFmtId="177" fontId="2" fillId="0" borderId="11" xfId="2" applyNumberFormat="1" applyFont="1" applyFill="1" applyBorder="1"/>
    <xf numFmtId="183" fontId="2" fillId="0" borderId="11" xfId="2" applyNumberFormat="1" applyFont="1" applyFill="1" applyBorder="1"/>
    <xf numFmtId="37" fontId="74" fillId="0" borderId="0" xfId="0" applyFont="1"/>
    <xf numFmtId="187" fontId="2" fillId="0" borderId="18" xfId="16" applyNumberFormat="1" applyFont="1" applyBorder="1" applyAlignment="1">
      <alignment horizontal="center"/>
    </xf>
    <xf numFmtId="0" fontId="2" fillId="0" borderId="2" xfId="16" quotePrefix="1" applyFont="1" applyBorder="1"/>
    <xf numFmtId="177" fontId="2" fillId="0" borderId="19" xfId="2" applyNumberFormat="1" applyFont="1" applyFill="1" applyBorder="1"/>
    <xf numFmtId="183" fontId="2" fillId="0" borderId="19" xfId="2" applyNumberFormat="1" applyFont="1" applyFill="1" applyBorder="1"/>
    <xf numFmtId="177" fontId="2" fillId="4" borderId="19" xfId="2" applyNumberFormat="1" applyFont="1" applyFill="1" applyBorder="1"/>
    <xf numFmtId="187" fontId="2" fillId="0" borderId="9" xfId="16" applyNumberFormat="1" applyFont="1" applyBorder="1" applyAlignment="1">
      <alignment horizontal="center"/>
    </xf>
    <xf numFmtId="0" fontId="2" fillId="0" borderId="6" xfId="16" applyFont="1" applyBorder="1"/>
    <xf numFmtId="177" fontId="2" fillId="0" borderId="29" xfId="16" applyNumberFormat="1" applyFont="1" applyBorder="1"/>
    <xf numFmtId="177" fontId="2" fillId="0" borderId="5" xfId="16" applyNumberFormat="1" applyFont="1" applyBorder="1"/>
    <xf numFmtId="183" fontId="2" fillId="0" borderId="29" xfId="2" applyNumberFormat="1" applyFont="1" applyFill="1" applyBorder="1"/>
    <xf numFmtId="177" fontId="2" fillId="0" borderId="11" xfId="16" applyNumberFormat="1" applyFont="1" applyBorder="1"/>
    <xf numFmtId="177" fontId="2" fillId="0" borderId="12" xfId="16" applyNumberFormat="1" applyFont="1" applyBorder="1"/>
    <xf numFmtId="177" fontId="2" fillId="4" borderId="19" xfId="16" applyNumberFormat="1" applyFont="1" applyFill="1" applyBorder="1"/>
    <xf numFmtId="177" fontId="2" fillId="4" borderId="0" xfId="16" applyNumberFormat="1" applyFont="1" applyFill="1"/>
    <xf numFmtId="177" fontId="2" fillId="0" borderId="19" xfId="16" applyNumberFormat="1" applyFont="1" applyBorder="1"/>
    <xf numFmtId="177" fontId="2" fillId="0" borderId="0" xfId="16" applyNumberFormat="1" applyFont="1"/>
    <xf numFmtId="177" fontId="2" fillId="9" borderId="19" xfId="16" applyNumberFormat="1" applyFont="1" applyFill="1" applyBorder="1"/>
    <xf numFmtId="177" fontId="2" fillId="9" borderId="0" xfId="16" applyNumberFormat="1" applyFont="1" applyFill="1"/>
    <xf numFmtId="177" fontId="2" fillId="9" borderId="29" xfId="16" applyNumberFormat="1" applyFont="1" applyFill="1" applyBorder="1"/>
    <xf numFmtId="177" fontId="2" fillId="9" borderId="5" xfId="16" applyNumberFormat="1" applyFont="1" applyFill="1" applyBorder="1"/>
    <xf numFmtId="0" fontId="2" fillId="0" borderId="2" xfId="16" applyFont="1" applyBorder="1"/>
    <xf numFmtId="56" fontId="2" fillId="0" borderId="12" xfId="16" quotePrefix="1" applyNumberFormat="1" applyFont="1" applyBorder="1"/>
    <xf numFmtId="0" fontId="2" fillId="0" borderId="0" xfId="16" quotePrefix="1" applyFont="1"/>
    <xf numFmtId="0" fontId="2" fillId="0" borderId="5" xfId="16" applyFont="1" applyBorder="1"/>
    <xf numFmtId="177" fontId="2" fillId="9" borderId="11" xfId="16" applyNumberFormat="1" applyFont="1" applyFill="1" applyBorder="1"/>
    <xf numFmtId="177" fontId="2" fillId="9" borderId="12" xfId="16" applyNumberFormat="1" applyFont="1" applyFill="1" applyBorder="1"/>
    <xf numFmtId="183" fontId="2" fillId="9" borderId="11" xfId="2" applyNumberFormat="1" applyFont="1" applyFill="1" applyBorder="1"/>
    <xf numFmtId="0" fontId="2" fillId="9" borderId="2" xfId="16" quotePrefix="1" applyFont="1" applyFill="1" applyBorder="1"/>
    <xf numFmtId="177" fontId="2" fillId="13" borderId="19" xfId="16" applyNumberFormat="1" applyFont="1" applyFill="1" applyBorder="1"/>
    <xf numFmtId="177" fontId="2" fillId="13" borderId="0" xfId="16" applyNumberFormat="1" applyFont="1" applyFill="1"/>
    <xf numFmtId="177" fontId="2" fillId="0" borderId="0" xfId="1" applyNumberFormat="1" applyFont="1" applyFill="1" applyBorder="1"/>
    <xf numFmtId="183" fontId="2" fillId="0" borderId="0" xfId="2" applyNumberFormat="1" applyFont="1" applyFill="1" applyBorder="1"/>
    <xf numFmtId="38" fontId="1" fillId="0" borderId="0" xfId="2" quotePrefix="1" applyFont="1" applyBorder="1" applyAlignment="1">
      <alignment horizontal="left"/>
    </xf>
    <xf numFmtId="38" fontId="2" fillId="0" borderId="0" xfId="2" applyFont="1" applyFill="1" applyBorder="1" applyAlignment="1">
      <alignment horizontal="right"/>
    </xf>
    <xf numFmtId="38" fontId="2" fillId="0" borderId="8" xfId="2" quotePrefix="1" applyFont="1" applyBorder="1" applyAlignment="1">
      <alignment horizontal="left"/>
    </xf>
    <xf numFmtId="38" fontId="2" fillId="0" borderId="4" xfId="2" applyFont="1" applyBorder="1"/>
    <xf numFmtId="38" fontId="2" fillId="0" borderId="12" xfId="2" quotePrefix="1" applyFont="1" applyFill="1" applyBorder="1" applyAlignment="1"/>
    <xf numFmtId="179" fontId="2" fillId="0" borderId="11" xfId="2" applyNumberFormat="1" applyFont="1" applyFill="1" applyBorder="1" applyAlignment="1">
      <alignment horizontal="center"/>
    </xf>
    <xf numFmtId="0" fontId="2" fillId="0" borderId="9" xfId="18" applyFont="1" applyBorder="1"/>
    <xf numFmtId="0" fontId="2" fillId="0" borderId="6" xfId="18" applyFont="1" applyBorder="1"/>
    <xf numFmtId="0" fontId="2" fillId="0" borderId="5" xfId="18" applyFont="1" applyBorder="1"/>
    <xf numFmtId="179" fontId="2" fillId="0" borderId="29" xfId="2" applyNumberFormat="1" applyFont="1" applyFill="1" applyBorder="1" applyAlignment="1">
      <alignment horizontal="center"/>
    </xf>
    <xf numFmtId="38" fontId="2" fillId="15" borderId="8" xfId="2" applyFont="1" applyFill="1" applyBorder="1"/>
    <xf numFmtId="49" fontId="2" fillId="15" borderId="4" xfId="2" applyNumberFormat="1" applyFont="1" applyFill="1" applyBorder="1" applyAlignment="1">
      <alignment horizontal="center"/>
    </xf>
    <xf numFmtId="177" fontId="2" fillId="15" borderId="4" xfId="2" applyNumberFormat="1" applyFont="1" applyFill="1" applyBorder="1"/>
    <xf numFmtId="183" fontId="2" fillId="15" borderId="11" xfId="2" applyNumberFormat="1" applyFont="1" applyFill="1" applyBorder="1" applyAlignment="1">
      <alignment horizontal="center"/>
    </xf>
    <xf numFmtId="38" fontId="2" fillId="15" borderId="18" xfId="2" applyFont="1" applyFill="1" applyBorder="1"/>
    <xf numFmtId="49" fontId="2" fillId="15" borderId="2" xfId="2" applyNumberFormat="1" applyFont="1" applyFill="1" applyBorder="1" applyAlignment="1">
      <alignment horizontal="center"/>
    </xf>
    <xf numFmtId="177" fontId="2" fillId="15" borderId="2" xfId="2" applyNumberFormat="1" applyFont="1" applyFill="1" applyBorder="1"/>
    <xf numFmtId="38" fontId="2" fillId="0" borderId="8" xfId="2" applyFont="1" applyBorder="1"/>
    <xf numFmtId="49" fontId="2" fillId="0" borderId="4" xfId="2" applyNumberFormat="1" applyFont="1" applyBorder="1" applyAlignment="1">
      <alignment horizontal="center"/>
    </xf>
    <xf numFmtId="177" fontId="2" fillId="0" borderId="8" xfId="2" applyNumberFormat="1" applyFont="1" applyFill="1" applyBorder="1"/>
    <xf numFmtId="38" fontId="2" fillId="0" borderId="18" xfId="2" applyFont="1" applyFill="1" applyBorder="1"/>
    <xf numFmtId="49" fontId="2" fillId="0" borderId="2" xfId="2" applyNumberFormat="1" applyFont="1" applyFill="1" applyBorder="1" applyAlignment="1">
      <alignment horizontal="center"/>
    </xf>
    <xf numFmtId="177" fontId="2" fillId="0" borderId="18" xfId="2" applyNumberFormat="1" applyFont="1" applyFill="1" applyBorder="1"/>
    <xf numFmtId="38" fontId="2" fillId="13" borderId="18" xfId="2" applyFont="1" applyFill="1" applyBorder="1"/>
    <xf numFmtId="49" fontId="2" fillId="13" borderId="2" xfId="2" applyNumberFormat="1" applyFont="1" applyFill="1" applyBorder="1" applyAlignment="1">
      <alignment horizontal="center"/>
    </xf>
    <xf numFmtId="0" fontId="2" fillId="13" borderId="18" xfId="18" applyFont="1" applyFill="1" applyBorder="1"/>
    <xf numFmtId="0" fontId="2" fillId="13" borderId="2" xfId="18" applyFont="1" applyFill="1" applyBorder="1" applyAlignment="1">
      <alignment horizontal="center"/>
    </xf>
    <xf numFmtId="177" fontId="2" fillId="0" borderId="18" xfId="2" applyNumberFormat="1" applyFont="1" applyBorder="1"/>
    <xf numFmtId="177" fontId="2" fillId="4" borderId="18" xfId="0" applyNumberFormat="1" applyFont="1" applyFill="1" applyBorder="1"/>
    <xf numFmtId="177" fontId="2" fillId="4" borderId="0" xfId="0" applyNumberFormat="1" applyFont="1" applyFill="1"/>
    <xf numFmtId="177" fontId="2" fillId="9" borderId="18" xfId="2" applyNumberFormat="1" applyFont="1" applyFill="1" applyBorder="1"/>
    <xf numFmtId="177" fontId="2" fillId="0" borderId="18" xfId="0" applyNumberFormat="1" applyFont="1" applyBorder="1"/>
    <xf numFmtId="37" fontId="2" fillId="13" borderId="18" xfId="0" applyFont="1" applyFill="1" applyBorder="1"/>
    <xf numFmtId="184" fontId="2" fillId="13" borderId="2" xfId="0" applyNumberFormat="1" applyFont="1" applyFill="1" applyBorder="1" applyAlignment="1">
      <alignment horizontal="center"/>
    </xf>
    <xf numFmtId="37" fontId="2" fillId="13" borderId="9" xfId="0" applyFont="1" applyFill="1" applyBorder="1"/>
    <xf numFmtId="184" fontId="2" fillId="13" borderId="6" xfId="0" applyNumberFormat="1" applyFont="1" applyFill="1" applyBorder="1" applyAlignment="1">
      <alignment horizontal="center"/>
    </xf>
    <xf numFmtId="177" fontId="2" fillId="0" borderId="9" xfId="0" applyNumberFormat="1" applyFont="1" applyBorder="1"/>
    <xf numFmtId="37" fontId="2" fillId="13" borderId="3" xfId="0" applyFont="1" applyFill="1" applyBorder="1"/>
    <xf numFmtId="184" fontId="2" fillId="13" borderId="7" xfId="0" applyNumberFormat="1" applyFont="1" applyFill="1" applyBorder="1" applyAlignment="1">
      <alignment horizontal="center"/>
    </xf>
    <xf numFmtId="177" fontId="2" fillId="0" borderId="7" xfId="0" applyNumberFormat="1" applyFont="1" applyBorder="1"/>
    <xf numFmtId="183" fontId="2" fillId="0" borderId="6" xfId="2" applyNumberFormat="1" applyFont="1" applyFill="1" applyBorder="1"/>
    <xf numFmtId="183" fontId="2" fillId="0" borderId="1" xfId="2" applyNumberFormat="1" applyFont="1" applyFill="1" applyBorder="1"/>
    <xf numFmtId="177" fontId="2" fillId="15" borderId="8" xfId="2" applyNumberFormat="1" applyFont="1" applyFill="1" applyBorder="1"/>
    <xf numFmtId="177" fontId="2" fillId="15" borderId="18" xfId="2" applyNumberFormat="1" applyFont="1" applyFill="1" applyBorder="1"/>
    <xf numFmtId="177" fontId="2" fillId="15" borderId="9" xfId="2" applyNumberFormat="1" applyFont="1" applyFill="1" applyBorder="1"/>
    <xf numFmtId="177" fontId="2" fillId="13" borderId="8" xfId="2" applyNumberFormat="1" applyFont="1" applyFill="1" applyBorder="1"/>
    <xf numFmtId="177" fontId="2" fillId="13" borderId="18" xfId="2" applyNumberFormat="1" applyFont="1" applyFill="1" applyBorder="1"/>
    <xf numFmtId="177" fontId="2" fillId="13" borderId="9" xfId="2" applyNumberFormat="1" applyFont="1" applyFill="1" applyBorder="1"/>
    <xf numFmtId="177" fontId="2" fillId="0" borderId="12" xfId="1" applyNumberFormat="1" applyFont="1" applyFill="1" applyBorder="1"/>
    <xf numFmtId="177" fontId="2" fillId="15" borderId="12" xfId="1" applyNumberFormat="1" applyFont="1" applyFill="1" applyBorder="1"/>
    <xf numFmtId="177" fontId="2" fillId="15" borderId="12" xfId="16" applyNumberFormat="1" applyFont="1" applyFill="1" applyBorder="1"/>
    <xf numFmtId="177" fontId="2" fillId="15" borderId="0" xfId="1" applyNumberFormat="1" applyFont="1" applyFill="1" applyBorder="1"/>
    <xf numFmtId="177" fontId="2" fillId="15" borderId="0" xfId="16" applyNumberFormat="1" applyFont="1" applyFill="1"/>
    <xf numFmtId="177" fontId="2" fillId="4" borderId="0" xfId="1" applyNumberFormat="1" applyFont="1" applyFill="1" applyBorder="1"/>
    <xf numFmtId="177" fontId="2" fillId="0" borderId="5" xfId="1" applyNumberFormat="1" applyFont="1" applyFill="1" applyBorder="1"/>
    <xf numFmtId="177" fontId="2" fillId="15" borderId="5" xfId="1" applyNumberFormat="1" applyFont="1" applyFill="1" applyBorder="1"/>
    <xf numFmtId="177" fontId="2" fillId="15" borderId="5" xfId="16" applyNumberFormat="1" applyFont="1" applyFill="1" applyBorder="1"/>
    <xf numFmtId="177" fontId="2" fillId="0" borderId="8" xfId="16" applyNumberFormat="1" applyFont="1" applyBorder="1"/>
    <xf numFmtId="177" fontId="2" fillId="0" borderId="18" xfId="16" applyNumberFormat="1" applyFont="1" applyBorder="1"/>
    <xf numFmtId="177" fontId="2" fillId="0" borderId="9" xfId="16" applyNumberFormat="1" applyFont="1" applyBorder="1"/>
    <xf numFmtId="177" fontId="2" fillId="9" borderId="0" xfId="1" applyNumberFormat="1" applyFont="1" applyFill="1" applyBorder="1"/>
    <xf numFmtId="177" fontId="2" fillId="9" borderId="5" xfId="1" applyNumberFormat="1" applyFont="1" applyFill="1" applyBorder="1"/>
    <xf numFmtId="38" fontId="2" fillId="0" borderId="11" xfId="2" applyFont="1" applyFill="1" applyBorder="1"/>
    <xf numFmtId="177" fontId="2" fillId="9" borderId="12" xfId="1" applyNumberFormat="1" applyFont="1" applyFill="1" applyBorder="1"/>
    <xf numFmtId="38" fontId="2" fillId="0" borderId="29" xfId="2" applyFont="1" applyFill="1" applyBorder="1"/>
    <xf numFmtId="38" fontId="2" fillId="9" borderId="19" xfId="2" applyFont="1" applyFill="1" applyBorder="1"/>
    <xf numFmtId="38" fontId="2" fillId="0" borderId="19" xfId="2" applyFont="1" applyFill="1" applyBorder="1"/>
    <xf numFmtId="177" fontId="2" fillId="9" borderId="8" xfId="16" applyNumberFormat="1" applyFont="1" applyFill="1" applyBorder="1"/>
    <xf numFmtId="177" fontId="2" fillId="15" borderId="4" xfId="16" applyNumberFormat="1" applyFont="1" applyFill="1" applyBorder="1"/>
    <xf numFmtId="177" fontId="2" fillId="9" borderId="18" xfId="16" applyNumberFormat="1" applyFont="1" applyFill="1" applyBorder="1"/>
    <xf numFmtId="177" fontId="2" fillId="15" borderId="2" xfId="16" applyNumberFormat="1" applyFont="1" applyFill="1" applyBorder="1"/>
    <xf numFmtId="177" fontId="2" fillId="9" borderId="9" xfId="16" applyNumberFormat="1" applyFont="1" applyFill="1" applyBorder="1"/>
    <xf numFmtId="177" fontId="2" fillId="15" borderId="6" xfId="16" applyNumberFormat="1" applyFont="1" applyFill="1" applyBorder="1"/>
    <xf numFmtId="185" fontId="2" fillId="0" borderId="0" xfId="1" applyNumberFormat="1" applyFont="1" applyFill="1" applyBorder="1"/>
    <xf numFmtId="0" fontId="1" fillId="0" borderId="0" xfId="18" quotePrefix="1" applyFont="1" applyAlignment="1">
      <alignment horizontal="left"/>
    </xf>
    <xf numFmtId="0" fontId="2" fillId="0" borderId="0" xfId="18" applyFont="1"/>
    <xf numFmtId="0" fontId="2" fillId="0" borderId="0" xfId="18" applyFont="1" applyAlignment="1">
      <alignment horizontal="right"/>
    </xf>
    <xf numFmtId="0" fontId="2" fillId="0" borderId="8" xfId="18" quotePrefix="1" applyFont="1" applyBorder="1" applyAlignment="1">
      <alignment horizontal="left"/>
    </xf>
    <xf numFmtId="0" fontId="2" fillId="0" borderId="4" xfId="18" applyFont="1" applyBorder="1"/>
    <xf numFmtId="177" fontId="2" fillId="0" borderId="4" xfId="18" applyNumberFormat="1" applyFont="1" applyBorder="1"/>
    <xf numFmtId="177" fontId="2" fillId="0" borderId="12" xfId="18" applyNumberFormat="1" applyFont="1" applyBorder="1"/>
    <xf numFmtId="177" fontId="2" fillId="0" borderId="12" xfId="18" quotePrefix="1" applyNumberFormat="1" applyFont="1" applyBorder="1"/>
    <xf numFmtId="177" fontId="2" fillId="0" borderId="12" xfId="0" applyNumberFormat="1" applyFont="1" applyBorder="1"/>
    <xf numFmtId="177" fontId="2" fillId="0" borderId="11" xfId="2" applyNumberFormat="1" applyFont="1" applyFill="1" applyBorder="1" applyAlignment="1">
      <alignment horizontal="center"/>
    </xf>
    <xf numFmtId="177" fontId="2" fillId="0" borderId="6" xfId="18" applyNumberFormat="1" applyFont="1" applyBorder="1"/>
    <xf numFmtId="177" fontId="2" fillId="0" borderId="5" xfId="18" applyNumberFormat="1" applyFont="1" applyBorder="1"/>
    <xf numFmtId="177" fontId="2" fillId="0" borderId="29" xfId="2" applyNumberFormat="1" applyFont="1" applyFill="1" applyBorder="1" applyAlignment="1">
      <alignment horizontal="center"/>
    </xf>
    <xf numFmtId="0" fontId="2" fillId="15" borderId="8" xfId="18" applyFont="1" applyFill="1" applyBorder="1"/>
    <xf numFmtId="0" fontId="2" fillId="15" borderId="4" xfId="18" applyFont="1" applyFill="1" applyBorder="1"/>
    <xf numFmtId="0" fontId="2" fillId="15" borderId="18" xfId="18" applyFont="1" applyFill="1" applyBorder="1"/>
    <xf numFmtId="0" fontId="2" fillId="15" borderId="2" xfId="18" applyFont="1" applyFill="1" applyBorder="1"/>
    <xf numFmtId="0" fontId="2" fillId="0" borderId="8" xfId="18" applyFont="1" applyBorder="1"/>
    <xf numFmtId="0" fontId="2" fillId="0" borderId="12" xfId="18" applyFont="1" applyBorder="1"/>
    <xf numFmtId="0" fontId="2" fillId="0" borderId="18" xfId="18" applyFont="1" applyBorder="1"/>
    <xf numFmtId="0" fontId="2" fillId="13" borderId="0" xfId="18" applyFont="1" applyFill="1"/>
    <xf numFmtId="184" fontId="2" fillId="13" borderId="5" xfId="0" applyNumberFormat="1" applyFont="1" applyFill="1" applyBorder="1" applyAlignment="1">
      <alignment horizontal="right"/>
    </xf>
    <xf numFmtId="184" fontId="2" fillId="13" borderId="7" xfId="0" applyNumberFormat="1" applyFont="1" applyFill="1" applyBorder="1" applyAlignment="1">
      <alignment horizontal="right"/>
    </xf>
    <xf numFmtId="38" fontId="2" fillId="9" borderId="5" xfId="2" applyFont="1" applyFill="1" applyBorder="1"/>
    <xf numFmtId="38" fontId="2" fillId="9" borderId="14" xfId="2" applyFont="1" applyFill="1" applyBorder="1"/>
    <xf numFmtId="37" fontId="26" fillId="13" borderId="12" xfId="0" applyFont="1" applyFill="1" applyBorder="1" applyAlignment="1">
      <alignment vertical="center"/>
    </xf>
    <xf numFmtId="37" fontId="26" fillId="13" borderId="0" xfId="0" applyFont="1" applyFill="1" applyAlignment="1">
      <alignment horizontal="center" vertical="center"/>
    </xf>
    <xf numFmtId="37" fontId="26" fillId="13" borderId="5" xfId="0" applyFont="1" applyFill="1" applyBorder="1" applyAlignment="1">
      <alignment vertical="center"/>
    </xf>
    <xf numFmtId="38" fontId="26" fillId="13" borderId="14" xfId="2" applyFont="1" applyFill="1" applyBorder="1" applyAlignment="1">
      <alignment vertical="center"/>
    </xf>
    <xf numFmtId="177" fontId="26" fillId="0" borderId="0" xfId="2" applyNumberFormat="1" applyFont="1"/>
    <xf numFmtId="177" fontId="24" fillId="15" borderId="5" xfId="2" applyNumberFormat="1" applyFont="1" applyFill="1" applyBorder="1" applyProtection="1">
      <protection locked="0"/>
    </xf>
    <xf numFmtId="37" fontId="52" fillId="9" borderId="0" xfId="0" applyFont="1" applyFill="1" applyAlignment="1">
      <alignment vertical="center"/>
    </xf>
    <xf numFmtId="37" fontId="51" fillId="9" borderId="0" xfId="0" applyFont="1" applyFill="1" applyAlignment="1">
      <alignment vertical="center"/>
    </xf>
    <xf numFmtId="37" fontId="2" fillId="13" borderId="0" xfId="0" quotePrefix="1" applyFont="1" applyFill="1" applyAlignment="1">
      <alignment horizontal="center"/>
    </xf>
    <xf numFmtId="37" fontId="51" fillId="0" borderId="0" xfId="0" applyFont="1" applyAlignment="1">
      <alignment vertical="center"/>
    </xf>
    <xf numFmtId="37" fontId="51" fillId="9" borderId="3" xfId="0" applyFont="1" applyFill="1" applyBorder="1" applyAlignment="1">
      <alignment vertical="center"/>
    </xf>
    <xf numFmtId="37" fontId="51" fillId="9" borderId="7" xfId="0" applyFont="1" applyFill="1" applyBorder="1" applyAlignment="1">
      <alignment horizontal="center" vertical="center"/>
    </xf>
    <xf numFmtId="37" fontId="51" fillId="9" borderId="14" xfId="0" applyFont="1" applyFill="1" applyBorder="1" applyAlignment="1">
      <alignment horizontal="center" vertical="center"/>
    </xf>
    <xf numFmtId="37" fontId="51" fillId="9" borderId="1" xfId="0" applyFont="1" applyFill="1" applyBorder="1" applyAlignment="1">
      <alignment horizontal="center" vertical="center"/>
    </xf>
    <xf numFmtId="37" fontId="51" fillId="9" borderId="18" xfId="0" applyFont="1" applyFill="1" applyBorder="1" applyAlignment="1">
      <alignment vertical="center"/>
    </xf>
    <xf numFmtId="37" fontId="51" fillId="9" borderId="19" xfId="0" applyFont="1" applyFill="1" applyBorder="1" applyAlignment="1">
      <alignment vertical="center"/>
    </xf>
    <xf numFmtId="37" fontId="51" fillId="9" borderId="9" xfId="0" applyFont="1" applyFill="1" applyBorder="1" applyAlignment="1">
      <alignment vertical="center"/>
    </xf>
    <xf numFmtId="37" fontId="51" fillId="9" borderId="5" xfId="0" applyFont="1" applyFill="1" applyBorder="1" applyAlignment="1">
      <alignment vertical="center"/>
    </xf>
    <xf numFmtId="37" fontId="51" fillId="9" borderId="29" xfId="0" applyFont="1" applyFill="1" applyBorder="1" applyAlignment="1">
      <alignment vertical="center"/>
    </xf>
    <xf numFmtId="37" fontId="75" fillId="9" borderId="2" xfId="24" applyFont="1" applyFill="1" applyBorder="1" applyAlignment="1">
      <alignment horizontal="center" vertical="center"/>
    </xf>
    <xf numFmtId="37" fontId="75" fillId="9" borderId="6" xfId="24" applyFont="1" applyFill="1" applyBorder="1" applyAlignment="1">
      <alignment horizontal="center" vertical="center"/>
    </xf>
    <xf numFmtId="37" fontId="51" fillId="9" borderId="8" xfId="0" applyFont="1" applyFill="1" applyBorder="1" applyAlignment="1">
      <alignment vertical="center"/>
    </xf>
    <xf numFmtId="37" fontId="75" fillId="9" borderId="4" xfId="24" applyFont="1" applyFill="1" applyBorder="1" applyAlignment="1">
      <alignment horizontal="center" vertical="center"/>
    </xf>
    <xf numFmtId="37" fontId="51" fillId="9" borderId="12" xfId="0" applyFont="1" applyFill="1" applyBorder="1" applyAlignment="1">
      <alignment vertical="center"/>
    </xf>
    <xf numFmtId="37" fontId="51" fillId="9" borderId="11" xfId="0" applyFont="1" applyFill="1" applyBorder="1" applyAlignment="1">
      <alignment vertical="center"/>
    </xf>
    <xf numFmtId="37" fontId="75" fillId="9" borderId="7" xfId="24" applyFont="1" applyFill="1" applyBorder="1" applyAlignment="1">
      <alignment horizontal="center" vertical="center"/>
    </xf>
    <xf numFmtId="37" fontId="51" fillId="9" borderId="14" xfId="0" applyFont="1" applyFill="1" applyBorder="1" applyAlignment="1">
      <alignment vertical="center"/>
    </xf>
    <xf numFmtId="37" fontId="51" fillId="9" borderId="1" xfId="0" applyFont="1" applyFill="1" applyBorder="1" applyAlignment="1">
      <alignment vertical="center"/>
    </xf>
    <xf numFmtId="37" fontId="51" fillId="9" borderId="3" xfId="0" applyFont="1" applyFill="1" applyBorder="1" applyAlignment="1">
      <alignment horizontal="center" vertical="center"/>
    </xf>
    <xf numFmtId="37" fontId="51" fillId="13" borderId="19" xfId="0" applyFont="1" applyFill="1" applyBorder="1" applyAlignment="1">
      <alignment vertical="center"/>
    </xf>
    <xf numFmtId="37" fontId="51" fillId="10" borderId="19" xfId="0" applyFont="1" applyFill="1" applyBorder="1" applyAlignment="1">
      <alignment vertical="center"/>
    </xf>
    <xf numFmtId="37" fontId="51" fillId="10" borderId="29" xfId="0" applyFont="1" applyFill="1" applyBorder="1" applyAlignment="1">
      <alignment vertical="center"/>
    </xf>
    <xf numFmtId="180" fontId="24" fillId="14" borderId="0" xfId="2" applyNumberFormat="1" applyFont="1" applyFill="1" applyProtection="1">
      <protection locked="0"/>
    </xf>
    <xf numFmtId="37" fontId="2" fillId="13" borderId="12" xfId="0" applyFont="1" applyFill="1" applyBorder="1" applyAlignment="1">
      <alignment horizontal="center"/>
    </xf>
    <xf numFmtId="184" fontId="2" fillId="0" borderId="0" xfId="0" applyNumberFormat="1" applyFont="1" applyProtection="1">
      <protection locked="0"/>
    </xf>
    <xf numFmtId="38" fontId="2" fillId="0" borderId="0" xfId="2" applyFont="1" applyProtection="1">
      <protection locked="0"/>
    </xf>
    <xf numFmtId="180" fontId="2" fillId="0" borderId="0" xfId="2" applyNumberFormat="1" applyFont="1" applyProtection="1">
      <protection locked="0"/>
    </xf>
    <xf numFmtId="177" fontId="26" fillId="12" borderId="0" xfId="7" applyNumberFormat="1" applyFont="1" applyFill="1"/>
    <xf numFmtId="177" fontId="26" fillId="12" borderId="0" xfId="2" applyNumberFormat="1" applyFont="1" applyFill="1" applyBorder="1"/>
    <xf numFmtId="37" fontId="70" fillId="9" borderId="0" xfId="0" applyFont="1" applyFill="1" applyAlignment="1">
      <alignment horizontal="center" vertical="center"/>
    </xf>
    <xf numFmtId="37" fontId="3" fillId="9" borderId="0" xfId="0" applyFont="1" applyFill="1" applyAlignment="1">
      <alignment vertical="center"/>
    </xf>
    <xf numFmtId="37" fontId="76" fillId="9" borderId="0" xfId="0" applyFont="1" applyFill="1" applyAlignment="1">
      <alignment horizontal="center" vertical="center"/>
    </xf>
    <xf numFmtId="37" fontId="3" fillId="0" borderId="0" xfId="0" applyFont="1" applyAlignment="1">
      <alignment vertical="center"/>
    </xf>
    <xf numFmtId="37" fontId="3" fillId="9" borderId="0" xfId="0" applyFont="1" applyFill="1" applyAlignment="1">
      <alignment horizontal="left" vertical="center"/>
    </xf>
    <xf numFmtId="37" fontId="3" fillId="0" borderId="0" xfId="0" applyFont="1" applyAlignment="1">
      <alignment horizontal="left" vertical="center"/>
    </xf>
    <xf numFmtId="37" fontId="70" fillId="9" borderId="0" xfId="0" applyFont="1" applyFill="1" applyAlignment="1">
      <alignment vertical="center"/>
    </xf>
    <xf numFmtId="37" fontId="72" fillId="9" borderId="0" xfId="0" applyFont="1" applyFill="1" applyAlignment="1">
      <alignment horizontal="left" vertical="center"/>
    </xf>
    <xf numFmtId="37" fontId="76" fillId="9" borderId="0" xfId="0" applyFont="1" applyFill="1" applyAlignment="1">
      <alignment horizontal="justify" vertical="center"/>
    </xf>
    <xf numFmtId="37" fontId="26" fillId="13" borderId="0" xfId="0" applyFont="1" applyFill="1" applyAlignment="1">
      <alignment horizontal="right"/>
    </xf>
    <xf numFmtId="37" fontId="70" fillId="9" borderId="0" xfId="0" applyFont="1" applyFill="1" applyAlignment="1">
      <alignment horizontal="center" vertical="center"/>
    </xf>
    <xf numFmtId="31" fontId="71" fillId="9" borderId="0" xfId="0" applyNumberFormat="1" applyFont="1" applyFill="1" applyAlignment="1">
      <alignment horizontal="center" vertical="center"/>
    </xf>
    <xf numFmtId="37" fontId="72" fillId="9" borderId="0" xfId="0" applyFont="1" applyFill="1" applyAlignment="1">
      <alignment horizontal="center" vertical="center"/>
    </xf>
    <xf numFmtId="37" fontId="2" fillId="9" borderId="3" xfId="0" applyFont="1" applyFill="1" applyBorder="1" applyAlignment="1">
      <alignment horizontal="center" vertical="center"/>
    </xf>
    <xf numFmtId="37" fontId="2" fillId="9" borderId="7" xfId="0" applyFont="1" applyFill="1" applyBorder="1" applyAlignment="1">
      <alignment horizontal="center" vertical="center"/>
    </xf>
    <xf numFmtId="31" fontId="2" fillId="9" borderId="3" xfId="0" applyNumberFormat="1" applyFont="1" applyFill="1" applyBorder="1" applyAlignment="1">
      <alignment horizontal="center" vertical="center"/>
    </xf>
    <xf numFmtId="31" fontId="2" fillId="9" borderId="7" xfId="0" applyNumberFormat="1" applyFont="1" applyFill="1" applyBorder="1" applyAlignment="1">
      <alignment horizontal="center" vertical="center"/>
    </xf>
    <xf numFmtId="37" fontId="26" fillId="9" borderId="8" xfId="0" applyFont="1" applyFill="1" applyBorder="1" applyAlignment="1">
      <alignment horizontal="center" vertical="center"/>
    </xf>
    <xf numFmtId="37" fontId="26" fillId="9" borderId="40" xfId="0" applyFont="1" applyFill="1" applyBorder="1" applyAlignment="1">
      <alignment horizontal="center" vertical="center"/>
    </xf>
    <xf numFmtId="37" fontId="26" fillId="9" borderId="9" xfId="0" applyFont="1" applyFill="1" applyBorder="1" applyAlignment="1">
      <alignment horizontal="center" vertical="center"/>
    </xf>
    <xf numFmtId="37" fontId="26" fillId="9" borderId="41" xfId="0" applyFont="1" applyFill="1" applyBorder="1" applyAlignment="1">
      <alignment horizontal="center" vertical="center"/>
    </xf>
    <xf numFmtId="37" fontId="26" fillId="9" borderId="11" xfId="0" applyFont="1" applyFill="1" applyBorder="1" applyAlignment="1">
      <alignment horizontal="center" vertical="top" wrapText="1"/>
    </xf>
    <xf numFmtId="37" fontId="26" fillId="9" borderId="19" xfId="0" applyFont="1" applyFill="1" applyBorder="1" applyAlignment="1">
      <alignment horizontal="center" vertical="top" wrapText="1"/>
    </xf>
    <xf numFmtId="37" fontId="26" fillId="9" borderId="4" xfId="0" applyFont="1" applyFill="1" applyBorder="1" applyAlignment="1">
      <alignment horizontal="center" vertical="top" wrapText="1"/>
    </xf>
    <xf numFmtId="37" fontId="26" fillId="9" borderId="2" xfId="0" applyFont="1" applyFill="1" applyBorder="1" applyAlignment="1">
      <alignment horizontal="center" vertical="top" wrapText="1"/>
    </xf>
    <xf numFmtId="37" fontId="26" fillId="9" borderId="8" xfId="0" applyFont="1" applyFill="1" applyBorder="1" applyAlignment="1">
      <alignment horizontal="center" vertical="top" wrapText="1"/>
    </xf>
    <xf numFmtId="37" fontId="26" fillId="9" borderId="18" xfId="0" applyFont="1" applyFill="1" applyBorder="1" applyAlignment="1">
      <alignment horizontal="center" vertical="top" wrapText="1"/>
    </xf>
    <xf numFmtId="37" fontId="26" fillId="9" borderId="29" xfId="0" applyFont="1" applyFill="1" applyBorder="1" applyAlignment="1">
      <alignment horizontal="center" vertical="top" wrapText="1"/>
    </xf>
    <xf numFmtId="37" fontId="26" fillId="9" borderId="9" xfId="0" applyFont="1" applyFill="1" applyBorder="1" applyAlignment="1">
      <alignment horizontal="center" vertical="top" wrapText="1"/>
    </xf>
    <xf numFmtId="37" fontId="26" fillId="0" borderId="8" xfId="0" applyFont="1" applyBorder="1" applyAlignment="1">
      <alignment horizontal="center" vertical="top" wrapText="1"/>
    </xf>
    <xf numFmtId="37" fontId="26" fillId="0" borderId="12" xfId="0" applyFont="1" applyBorder="1" applyAlignment="1">
      <alignment horizontal="center" vertical="top" wrapText="1"/>
    </xf>
    <xf numFmtId="37" fontId="26" fillId="4" borderId="12" xfId="0" applyFont="1" applyFill="1" applyBorder="1" applyAlignment="1">
      <alignment horizontal="center" vertical="top" wrapText="1"/>
    </xf>
    <xf numFmtId="37" fontId="26" fillId="9" borderId="12" xfId="0" applyFont="1" applyFill="1" applyBorder="1" applyAlignment="1">
      <alignment horizontal="center" vertical="top" wrapText="1"/>
    </xf>
    <xf numFmtId="0" fontId="6" fillId="2" borderId="7" xfId="5" applyFont="1" applyFill="1" applyBorder="1" applyAlignment="1">
      <alignment horizontal="center" vertical="center" wrapText="1"/>
    </xf>
    <xf numFmtId="0" fontId="6" fillId="2" borderId="1" xfId="5" applyFont="1" applyFill="1" applyBorder="1" applyAlignment="1">
      <alignment horizontal="center" vertical="center" wrapText="1"/>
    </xf>
    <xf numFmtId="57" fontId="6" fillId="2" borderId="14" xfId="5" applyNumberFormat="1" applyFont="1" applyFill="1" applyBorder="1" applyAlignment="1">
      <alignment horizontal="center" vertical="center" wrapText="1"/>
    </xf>
    <xf numFmtId="57" fontId="6" fillId="2" borderId="7" xfId="5" applyNumberFormat="1" applyFont="1" applyFill="1" applyBorder="1" applyAlignment="1">
      <alignment horizontal="center" vertical="center" wrapText="1"/>
    </xf>
    <xf numFmtId="0" fontId="6" fillId="2" borderId="14" xfId="5" applyFont="1" applyFill="1" applyBorder="1" applyAlignment="1">
      <alignment horizontal="center" vertical="center"/>
    </xf>
    <xf numFmtId="0" fontId="6" fillId="2" borderId="7" xfId="5" applyFont="1" applyFill="1" applyBorder="1" applyAlignment="1">
      <alignment horizontal="center" vertical="center"/>
    </xf>
    <xf numFmtId="0" fontId="22" fillId="0" borderId="12" xfId="5" applyFont="1" applyBorder="1" applyAlignment="1">
      <alignment horizontal="center" vertical="center" wrapText="1"/>
    </xf>
    <xf numFmtId="0" fontId="22" fillId="0" borderId="0" xfId="5" applyFont="1" applyAlignment="1">
      <alignment horizontal="center" vertical="center" wrapText="1"/>
    </xf>
    <xf numFmtId="0" fontId="22" fillId="0" borderId="5" xfId="5" applyFont="1" applyBorder="1" applyAlignment="1">
      <alignment horizontal="center" vertical="center" wrapText="1"/>
    </xf>
    <xf numFmtId="0" fontId="22" fillId="4" borderId="12" xfId="5" applyFont="1" applyFill="1" applyBorder="1" applyAlignment="1">
      <alignment horizontal="center" vertical="center" wrapText="1"/>
    </xf>
    <xf numFmtId="0" fontId="22" fillId="4" borderId="0" xfId="5" applyFont="1" applyFill="1" applyAlignment="1">
      <alignment horizontal="center" vertical="center" wrapText="1"/>
    </xf>
    <xf numFmtId="0" fontId="22" fillId="4" borderId="5" xfId="5" applyFont="1" applyFill="1" applyBorder="1" applyAlignment="1">
      <alignment horizontal="center" vertical="center" wrapText="1"/>
    </xf>
    <xf numFmtId="0" fontId="6" fillId="0" borderId="7" xfId="5" applyFont="1" applyBorder="1" applyAlignment="1">
      <alignment horizontal="center" vertical="center" wrapText="1"/>
    </xf>
    <xf numFmtId="0" fontId="6" fillId="0" borderId="3" xfId="5" applyFont="1" applyBorder="1" applyAlignment="1">
      <alignment horizontal="center" vertical="center" wrapText="1"/>
    </xf>
    <xf numFmtId="0" fontId="6" fillId="0" borderId="4" xfId="5" applyFont="1" applyBorder="1" applyAlignment="1">
      <alignment horizontal="center" vertical="center" wrapText="1"/>
    </xf>
    <xf numFmtId="0" fontId="6" fillId="0" borderId="8" xfId="5" applyFont="1" applyBorder="1" applyAlignment="1">
      <alignment horizontal="center" vertical="center" wrapText="1"/>
    </xf>
  </cellXfs>
  <cellStyles count="25">
    <cellStyle name="パーセント" xfId="1" builtinId="5"/>
    <cellStyle name="ハイパーリンク" xfId="24" builtinId="8"/>
    <cellStyle name="桁区切り" xfId="2" builtinId="6"/>
    <cellStyle name="桁区切り 2" xfId="3" xr:uid="{00000000-0005-0000-0000-000002000000}"/>
    <cellStyle name="桁区切り 4" xfId="21" xr:uid="{C35D7AFA-8760-41F4-8DC4-7553AFA1DC77}"/>
    <cellStyle name="標準" xfId="0" builtinId="0"/>
    <cellStyle name="標準 2" xfId="4" xr:uid="{00000000-0005-0000-0000-000004000000}"/>
    <cellStyle name="標準_2001市町のすがた" xfId="5" xr:uid="{00000000-0005-0000-0000-000005000000}"/>
    <cellStyle name="標準_5支出系列統計表" xfId="20" xr:uid="{C190600D-B91E-47CA-ABFE-52ABCE68CFBB}"/>
    <cellStyle name="標準_a101" xfId="6" xr:uid="{00000000-0005-0000-0000-000006000000}"/>
    <cellStyle name="標準_H23toukeihyou" xfId="22" xr:uid="{9E9E4086-10A8-4D5C-8532-8931CDC871AA}"/>
    <cellStyle name="標準_Sheet1" xfId="7" xr:uid="{00000000-0005-0000-0000-000007000000}"/>
    <cellStyle name="標準_Sheet1_Sheet7" xfId="8" xr:uid="{00000000-0005-0000-0000-000008000000}"/>
    <cellStyle name="標準_Sheet2" xfId="9" xr:uid="{00000000-0005-0000-0000-000009000000}"/>
    <cellStyle name="標準_t072006" xfId="10" xr:uid="{00000000-0005-0000-0000-00000A000000}"/>
    <cellStyle name="標準_t082004" xfId="11" xr:uid="{00000000-0005-0000-0000-00000B000000}"/>
    <cellStyle name="標準_t10200402" xfId="12" xr:uid="{00000000-0005-0000-0000-00000C000000}"/>
    <cellStyle name="標準_T112004a" xfId="13" xr:uid="{00000000-0005-0000-0000-00000D000000}"/>
    <cellStyle name="標準_季節調整(実質)" xfId="14" xr:uid="{00000000-0005-0000-0000-00000E000000}"/>
    <cellStyle name="標準_掲載項目のみ (2)" xfId="15" xr:uid="{00000000-0005-0000-0000-00000F000000}"/>
    <cellStyle name="標準_四半期予測" xfId="16" xr:uid="{00000000-0005-0000-0000-000010000000}"/>
    <cellStyle name="標準_市町C3" xfId="17" xr:uid="{00000000-0005-0000-0000-000011000000}"/>
    <cellStyle name="標準_新実質推計" xfId="18" xr:uid="{00000000-0005-0000-0000-000012000000}"/>
    <cellStyle name="未定義" xfId="19" xr:uid="{00000000-0005-0000-0000-000013000000}"/>
    <cellStyle name="良い" xfId="23" builtinId="2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名目経済成長率の推移</a:t>
            </a:r>
          </a:p>
        </c:rich>
      </c:tx>
      <c:layout>
        <c:manualLayout>
          <c:xMode val="edge"/>
          <c:yMode val="edge"/>
          <c:x val="0.20795822397200348"/>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1393081654132141"/>
          <c:y val="0.21828006745297693"/>
          <c:w val="0.86615507436570427"/>
          <c:h val="0.66631889763779528"/>
        </c:manualLayout>
      </c:layout>
      <c:lineChart>
        <c:grouping val="standard"/>
        <c:varyColors val="0"/>
        <c:ser>
          <c:idx val="0"/>
          <c:order val="0"/>
          <c:tx>
            <c:strRef>
              <c:f>'2概要グラフ'!$B$28:$C$28</c:f>
              <c:strCache>
                <c:ptCount val="2"/>
                <c:pt idx="0">
                  <c:v>全国</c:v>
                </c:pt>
                <c:pt idx="1">
                  <c:v> </c:v>
                </c:pt>
              </c:strCache>
            </c:strRef>
          </c:tx>
          <c:spPr>
            <a:ln w="28575" cap="rnd">
              <a:solidFill>
                <a:srgbClr val="FF0000"/>
              </a:solidFill>
              <a:prstDash val="sysDash"/>
              <a:round/>
            </a:ln>
            <a:effectLst/>
          </c:spPr>
          <c:marker>
            <c:symbol val="none"/>
          </c:marker>
          <c:dLbls>
            <c:dLbl>
              <c:idx val="0"/>
              <c:layout>
                <c:manualLayout>
                  <c:x val="-2.9428441207018857E-2"/>
                  <c:y val="-8.333333333333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CB-4165-82C0-425DE97F85B1}"/>
                </c:ext>
              </c:extLst>
            </c:dLbl>
            <c:dLbl>
              <c:idx val="1"/>
              <c:layout>
                <c:manualLayout>
                  <c:x val="-4.9801977427262688E-2"/>
                  <c:y val="0.106481481481481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CB-4165-82C0-425DE97F85B1}"/>
                </c:ext>
              </c:extLst>
            </c:dLbl>
            <c:dLbl>
              <c:idx val="2"/>
              <c:layout>
                <c:manualLayout>
                  <c:x val="-4.5274594898940784E-2"/>
                  <c:y val="3.676512744714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CB-4165-82C0-425DE97F85B1}"/>
                </c:ext>
              </c:extLst>
            </c:dLbl>
            <c:dLbl>
              <c:idx val="3"/>
              <c:layout>
                <c:manualLayout>
                  <c:x val="-2.9206314703988483E-2"/>
                  <c:y val="0.118323455444823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CB-4165-82C0-425DE97F85B1}"/>
                </c:ext>
              </c:extLst>
            </c:dLbl>
            <c:dLbl>
              <c:idx val="4"/>
              <c:layout>
                <c:manualLayout>
                  <c:x val="-3.1203672521281676E-2"/>
                  <c:y val="4.7451593537741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CB-4165-82C0-425DE97F85B1}"/>
                </c:ext>
              </c:extLst>
            </c:dLbl>
            <c:dLbl>
              <c:idx val="5"/>
              <c:layout>
                <c:manualLayout>
                  <c:x val="-3.1692198254938096E-2"/>
                  <c:y val="-4.0627139577283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CB-4165-82C0-425DE97F85B1}"/>
                </c:ext>
              </c:extLst>
            </c:dLbl>
            <c:dLbl>
              <c:idx val="6"/>
              <c:layout>
                <c:manualLayout>
                  <c:x val="-4.0356078555955736E-2"/>
                  <c:y val="-8.6305114863512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F7-48CF-A473-31AE42BBF923}"/>
                </c:ext>
              </c:extLst>
            </c:dLbl>
            <c:dLbl>
              <c:idx val="7"/>
              <c:layout>
                <c:manualLayout>
                  <c:x val="-3.1647671169839374E-2"/>
                  <c:y val="-4.3809665424209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43-4A79-B342-2EE789F0AE4D}"/>
                </c:ext>
              </c:extLst>
            </c:dLbl>
            <c:dLbl>
              <c:idx val="8"/>
              <c:layout>
                <c:manualLayout>
                  <c:x val="-1.8615494577596092E-2"/>
                  <c:y val="-4.6975916150578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18-4B13-BFC5-F93399C4B9B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'2概要グラフ'!$D$27:$P$27</c:f>
              <c:numCache>
                <c:formatCode>0;"▲ "0</c:formatCode>
                <c:ptCount val="10"/>
                <c:pt idx="0">
                  <c:v>18</c:v>
                </c:pt>
                <c:pt idx="1">
                  <c:v>19</c:v>
                </c:pt>
                <c:pt idx="2">
                  <c:v>20</c:v>
                </c:pt>
                <c:pt idx="3">
                  <c:v>21</c:v>
                </c:pt>
                <c:pt idx="4">
                  <c:v>22</c:v>
                </c:pt>
                <c:pt idx="5">
                  <c:v>23</c:v>
                </c:pt>
                <c:pt idx="6">
                  <c:v>24</c:v>
                </c:pt>
                <c:pt idx="7">
                  <c:v>25</c:v>
                </c:pt>
                <c:pt idx="8">
                  <c:v>26</c:v>
                </c:pt>
                <c:pt idx="9">
                  <c:v>27</c:v>
                </c:pt>
              </c:numCache>
            </c:numRef>
          </c:cat>
          <c:val>
            <c:numRef>
              <c:f>'2概要グラフ'!$D$28:$P$28</c:f>
              <c:numCache>
                <c:formatCode>#,##0.0;"▲ "#,##0.0</c:formatCode>
                <c:ptCount val="10"/>
                <c:pt idx="0">
                  <c:v>0.4</c:v>
                </c:pt>
                <c:pt idx="1">
                  <c:v>0.1</c:v>
                </c:pt>
                <c:pt idx="2">
                  <c:v>-2.9</c:v>
                </c:pt>
                <c:pt idx="3">
                  <c:v>4</c:v>
                </c:pt>
                <c:pt idx="4">
                  <c:v>2.6</c:v>
                </c:pt>
                <c:pt idx="5">
                  <c:v>4.7</c:v>
                </c:pt>
                <c:pt idx="6">
                  <c:v>3.5</c:v>
                </c:pt>
                <c:pt idx="7">
                  <c:v>3.9</c:v>
                </c:pt>
                <c:pt idx="8">
                  <c:v>2.7</c:v>
                </c:pt>
                <c:pt idx="9">
                  <c:v>3.1</c:v>
                </c:pt>
              </c:numCache>
            </c:numRef>
          </c:val>
          <c:smooth val="0"/>
          <c:extLst>
            <c:ext xmlns:c16="http://schemas.microsoft.com/office/drawing/2014/chart" uri="{C3380CC4-5D6E-409C-BE32-E72D297353CC}">
              <c16:uniqueId val="{00000000-6466-44A7-BBF9-E02694B635B7}"/>
            </c:ext>
          </c:extLst>
        </c:ser>
        <c:ser>
          <c:idx val="1"/>
          <c:order val="1"/>
          <c:tx>
            <c:strRef>
              <c:f>'2概要グラフ'!$B$29:$C$29</c:f>
              <c:strCache>
                <c:ptCount val="2"/>
                <c:pt idx="0">
                  <c:v>兵庫県</c:v>
                </c:pt>
                <c:pt idx="1">
                  <c:v> </c:v>
                </c:pt>
              </c:strCache>
            </c:strRef>
          </c:tx>
          <c:spPr>
            <a:ln w="28575" cap="rnd">
              <a:solidFill>
                <a:schemeClr val="tx1"/>
              </a:solidFill>
              <a:round/>
            </a:ln>
            <a:effectLst/>
          </c:spPr>
          <c:marker>
            <c:symbol val="none"/>
          </c:marker>
          <c:dLbls>
            <c:dLbl>
              <c:idx val="0"/>
              <c:layout>
                <c:manualLayout>
                  <c:x val="-2.71647149603251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CB-4165-82C0-425DE97F85B1}"/>
                </c:ext>
              </c:extLst>
            </c:dLbl>
            <c:dLbl>
              <c:idx val="1"/>
              <c:layout>
                <c:manualLayout>
                  <c:x val="-3.169216745371263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CB-4165-82C0-425DE97F85B1}"/>
                </c:ext>
              </c:extLst>
            </c:dLbl>
            <c:dLbl>
              <c:idx val="2"/>
              <c:layout>
                <c:manualLayout>
                  <c:x val="-5.6815288383755866E-2"/>
                  <c:y val="-0.102055732670787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CB-4165-82C0-425DE97F85B1}"/>
                </c:ext>
              </c:extLst>
            </c:dLbl>
            <c:dLbl>
              <c:idx val="3"/>
              <c:layout>
                <c:manualLayout>
                  <c:x val="-3.8705570851653381E-2"/>
                  <c:y val="-9.9533088984591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CB-4165-82C0-425DE97F85B1}"/>
                </c:ext>
              </c:extLst>
            </c:dLbl>
            <c:dLbl>
              <c:idx val="4"/>
              <c:layout>
                <c:manualLayout>
                  <c:x val="-2.4900999932936759E-2"/>
                  <c:y val="-4.78595812189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CB-4165-82C0-425DE97F85B1}"/>
                </c:ext>
              </c:extLst>
            </c:dLbl>
            <c:dLbl>
              <c:idx val="5"/>
              <c:layout>
                <c:manualLayout>
                  <c:x val="-3.4524847840045628E-2"/>
                  <c:y val="8.9778003656723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CB-4165-82C0-425DE97F85B1}"/>
                </c:ext>
              </c:extLst>
            </c:dLbl>
            <c:dLbl>
              <c:idx val="6"/>
              <c:layout>
                <c:manualLayout>
                  <c:x val="-3.7646469120284909E-2"/>
                  <c:y val="4.8062650336802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CB-4165-82C0-425DE97F85B1}"/>
                </c:ext>
              </c:extLst>
            </c:dLbl>
            <c:dLbl>
              <c:idx val="7"/>
              <c:layout>
                <c:manualLayout>
                  <c:x val="-3.6308475648864129E-2"/>
                  <c:y val="8.1670404396058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0A-447D-924F-DA2BE46C620E}"/>
                </c:ext>
              </c:extLst>
            </c:dLbl>
            <c:dLbl>
              <c:idx val="8"/>
              <c:layout>
                <c:manualLayout>
                  <c:x val="-3.0250178688593546E-2"/>
                  <c:y val="3.2271344728137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1-4EB8-A4F1-0E1801E13F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'2概要グラフ'!$D$27:$P$27</c:f>
              <c:numCache>
                <c:formatCode>0;"▲ "0</c:formatCode>
                <c:ptCount val="10"/>
                <c:pt idx="0">
                  <c:v>18</c:v>
                </c:pt>
                <c:pt idx="1">
                  <c:v>19</c:v>
                </c:pt>
                <c:pt idx="2">
                  <c:v>20</c:v>
                </c:pt>
                <c:pt idx="3">
                  <c:v>21</c:v>
                </c:pt>
                <c:pt idx="4">
                  <c:v>22</c:v>
                </c:pt>
                <c:pt idx="5">
                  <c:v>23</c:v>
                </c:pt>
                <c:pt idx="6">
                  <c:v>24</c:v>
                </c:pt>
                <c:pt idx="7">
                  <c:v>25</c:v>
                </c:pt>
                <c:pt idx="8">
                  <c:v>26</c:v>
                </c:pt>
                <c:pt idx="9">
                  <c:v>27</c:v>
                </c:pt>
              </c:numCache>
            </c:numRef>
          </c:cat>
          <c:val>
            <c:numRef>
              <c:f>'2概要グラフ'!$D$29:$P$29</c:f>
              <c:numCache>
                <c:formatCode>#,##0.0;"▲ "#,##0.0</c:formatCode>
                <c:ptCount val="10"/>
                <c:pt idx="0">
                  <c:v>-0.2</c:v>
                </c:pt>
                <c:pt idx="1">
                  <c:v>1.1000000000000001</c:v>
                </c:pt>
                <c:pt idx="2">
                  <c:v>-2.6</c:v>
                </c:pt>
                <c:pt idx="3">
                  <c:v>3.2</c:v>
                </c:pt>
                <c:pt idx="4">
                  <c:v>3.4</c:v>
                </c:pt>
                <c:pt idx="5">
                  <c:v>2.7</c:v>
                </c:pt>
                <c:pt idx="6">
                  <c:v>3.2</c:v>
                </c:pt>
                <c:pt idx="7">
                  <c:v>3.4</c:v>
                </c:pt>
                <c:pt idx="8">
                  <c:v>1.3</c:v>
                </c:pt>
                <c:pt idx="9">
                  <c:v>1.5</c:v>
                </c:pt>
              </c:numCache>
            </c:numRef>
          </c:val>
          <c:smooth val="0"/>
          <c:extLst>
            <c:ext xmlns:c16="http://schemas.microsoft.com/office/drawing/2014/chart" uri="{C3380CC4-5D6E-409C-BE32-E72D297353CC}">
              <c16:uniqueId val="{00000001-6466-44A7-BBF9-E02694B635B7}"/>
            </c:ext>
          </c:extLst>
        </c:ser>
        <c:dLbls>
          <c:showLegendKey val="0"/>
          <c:showVal val="0"/>
          <c:showCatName val="0"/>
          <c:showSerName val="0"/>
          <c:showPercent val="0"/>
          <c:showBubbleSize val="0"/>
        </c:dLbls>
        <c:smooth val="0"/>
        <c:axId val="1411293615"/>
        <c:axId val="1410449311"/>
      </c:lineChart>
      <c:catAx>
        <c:axId val="1411293615"/>
        <c:scaling>
          <c:orientation val="minMax"/>
        </c:scaling>
        <c:delete val="0"/>
        <c:axPos val="b"/>
        <c:numFmt formatCode="0;&quot;▲ &quot;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1410449311"/>
        <c:crossesAt val="-4"/>
        <c:auto val="1"/>
        <c:lblAlgn val="ctr"/>
        <c:lblOffset val="100"/>
        <c:noMultiLvlLbl val="0"/>
      </c:catAx>
      <c:valAx>
        <c:axId val="1410449311"/>
        <c:scaling>
          <c:orientation val="minMax"/>
          <c:min val="-4"/>
        </c:scaling>
        <c:delete val="0"/>
        <c:axPos val="l"/>
        <c:majorGridlines>
          <c:spPr>
            <a:ln w="9525" cap="flat" cmpd="sng" algn="ctr">
              <a:solidFill>
                <a:schemeClr val="tx1">
                  <a:lumMod val="15000"/>
                  <a:lumOff val="85000"/>
                </a:schemeClr>
              </a:solidFill>
              <a:round/>
            </a:ln>
            <a:effectLst/>
          </c:spPr>
        </c:majorGridlines>
        <c:numFmt formatCode="#,##0.0;&quot;▲ &quot;#,##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1411293615"/>
        <c:crosses val="autoZero"/>
        <c:crossBetween val="between"/>
        <c:majorUnit val="2"/>
      </c:valAx>
      <c:spPr>
        <a:noFill/>
        <a:ln>
          <a:noFill/>
        </a:ln>
        <a:effectLst/>
      </c:spPr>
    </c:plotArea>
    <c:legend>
      <c:legendPos val="t"/>
      <c:layout>
        <c:manualLayout>
          <c:xMode val="edge"/>
          <c:yMode val="edge"/>
          <c:x val="0.61752755905511814"/>
          <c:y val="6.5740740740740766E-2"/>
          <c:w val="0.38247244094488186"/>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実質経済成長率の推移</a:t>
            </a:r>
          </a:p>
        </c:rich>
      </c:tx>
      <c:layout>
        <c:manualLayout>
          <c:xMode val="edge"/>
          <c:yMode val="edge"/>
          <c:x val="0.25883104687412367"/>
          <c:y val="6.01851851851851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216703277122051E-2"/>
          <c:y val="0.26645701771873365"/>
          <c:w val="0.88339895909849275"/>
          <c:h val="0.60847550306211728"/>
        </c:manualLayout>
      </c:layout>
      <c:lineChart>
        <c:grouping val="standard"/>
        <c:varyColors val="0"/>
        <c:ser>
          <c:idx val="0"/>
          <c:order val="0"/>
          <c:tx>
            <c:strRef>
              <c:f>'2概要グラフ'!$B$23:$C$23</c:f>
              <c:strCache>
                <c:ptCount val="2"/>
                <c:pt idx="0">
                  <c:v>全国</c:v>
                </c:pt>
                <c:pt idx="1">
                  <c:v> </c:v>
                </c:pt>
              </c:strCache>
            </c:strRef>
          </c:tx>
          <c:spPr>
            <a:ln w="28575" cap="rnd">
              <a:solidFill>
                <a:srgbClr val="FF0000"/>
              </a:solidFill>
              <a:prstDash val="sysDash"/>
              <a:round/>
            </a:ln>
            <a:effectLst/>
          </c:spPr>
          <c:marker>
            <c:symbol val="none"/>
          </c:marker>
          <c:dLbls>
            <c:dLbl>
              <c:idx val="0"/>
              <c:layout>
                <c:manualLayout>
                  <c:x val="-3.163845185830528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CD-4018-8157-16D9BF123E0A}"/>
                </c:ext>
              </c:extLst>
            </c:dLbl>
            <c:dLbl>
              <c:idx val="1"/>
              <c:layout>
                <c:manualLayout>
                  <c:x val="-5.875712487970982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CD-4018-8157-16D9BF123E0A}"/>
                </c:ext>
              </c:extLst>
            </c:dLbl>
            <c:dLbl>
              <c:idx val="2"/>
              <c:layout>
                <c:manualLayout>
                  <c:x val="-5.1977456624358688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CD-4018-8157-16D9BF123E0A}"/>
                </c:ext>
              </c:extLst>
            </c:dLbl>
            <c:dLbl>
              <c:idx val="3"/>
              <c:layout>
                <c:manualLayout>
                  <c:x val="-2.0572787187438966E-2"/>
                  <c:y val="-6.3032959752498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CD-4018-8157-16D9BF123E0A}"/>
                </c:ext>
              </c:extLst>
            </c:dLbl>
            <c:dLbl>
              <c:idx val="4"/>
              <c:layout>
                <c:manualLayout>
                  <c:x val="-1.8079115347603023E-2"/>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CD-4018-8157-16D9BF123E0A}"/>
                </c:ext>
              </c:extLst>
            </c:dLbl>
            <c:dLbl>
              <c:idx val="5"/>
              <c:layout>
                <c:manualLayout>
                  <c:x val="-4.7221870744032765E-2"/>
                  <c:y val="-7.459188154934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1E-4C0C-818E-FA94D81D7812}"/>
                </c:ext>
              </c:extLst>
            </c:dLbl>
            <c:dLbl>
              <c:idx val="6"/>
              <c:layout>
                <c:manualLayout>
                  <c:x val="-3.469518807187099E-2"/>
                  <c:y val="-5.984625577271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CD-4018-8157-16D9BF123E0A}"/>
                </c:ext>
              </c:extLst>
            </c:dLbl>
            <c:dLbl>
              <c:idx val="7"/>
              <c:layout>
                <c:manualLayout>
                  <c:x val="-2.3213783767415584E-2"/>
                  <c:y val="-4.9426138467234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F5-4679-A652-42336AEB5207}"/>
                </c:ext>
              </c:extLst>
            </c:dLbl>
            <c:dLbl>
              <c:idx val="8"/>
              <c:layout>
                <c:manualLayout>
                  <c:x val="-1.1689083629226686E-2"/>
                  <c:y val="-6.1867924160642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22-4E13-8D26-C2865D93307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'2概要グラフ'!$D$22:$P$22</c:f>
              <c:numCache>
                <c:formatCode>0;"▲ "0</c:formatCode>
                <c:ptCount val="10"/>
                <c:pt idx="0">
                  <c:v>18</c:v>
                </c:pt>
                <c:pt idx="1">
                  <c:v>19</c:v>
                </c:pt>
                <c:pt idx="2">
                  <c:v>20</c:v>
                </c:pt>
                <c:pt idx="3">
                  <c:v>21</c:v>
                </c:pt>
                <c:pt idx="4">
                  <c:v>22</c:v>
                </c:pt>
                <c:pt idx="5">
                  <c:v>23</c:v>
                </c:pt>
                <c:pt idx="6">
                  <c:v>24</c:v>
                </c:pt>
                <c:pt idx="7">
                  <c:v>25</c:v>
                </c:pt>
                <c:pt idx="8">
                  <c:v>26</c:v>
                </c:pt>
                <c:pt idx="9">
                  <c:v>27</c:v>
                </c:pt>
              </c:numCache>
            </c:numRef>
          </c:cat>
          <c:val>
            <c:numRef>
              <c:f>'2概要グラフ'!$D$23:$P$23</c:f>
              <c:numCache>
                <c:formatCode>#,##0.0;"▲ "#,##0.0</c:formatCode>
                <c:ptCount val="10"/>
                <c:pt idx="0">
                  <c:v>0.6</c:v>
                </c:pt>
                <c:pt idx="1">
                  <c:v>-0.9</c:v>
                </c:pt>
                <c:pt idx="2">
                  <c:v>-3.8</c:v>
                </c:pt>
                <c:pt idx="3">
                  <c:v>3.9</c:v>
                </c:pt>
                <c:pt idx="4">
                  <c:v>1.4</c:v>
                </c:pt>
                <c:pt idx="5">
                  <c:v>-0.1</c:v>
                </c:pt>
                <c:pt idx="6">
                  <c:v>0.8</c:v>
                </c:pt>
                <c:pt idx="7">
                  <c:v>0.7</c:v>
                </c:pt>
                <c:pt idx="8">
                  <c:v>0.9</c:v>
                </c:pt>
                <c:pt idx="9">
                  <c:v>1.3</c:v>
                </c:pt>
              </c:numCache>
            </c:numRef>
          </c:val>
          <c:smooth val="0"/>
          <c:extLst>
            <c:ext xmlns:c16="http://schemas.microsoft.com/office/drawing/2014/chart" uri="{C3380CC4-5D6E-409C-BE32-E72D297353CC}">
              <c16:uniqueId val="{00000000-3BCD-4018-8157-16D9BF123E0A}"/>
            </c:ext>
          </c:extLst>
        </c:ser>
        <c:ser>
          <c:idx val="1"/>
          <c:order val="1"/>
          <c:tx>
            <c:strRef>
              <c:f>'2概要グラフ'!$B$24:$C$24</c:f>
              <c:strCache>
                <c:ptCount val="2"/>
                <c:pt idx="0">
                  <c:v>兵庫県</c:v>
                </c:pt>
                <c:pt idx="1">
                  <c:v> </c:v>
                </c:pt>
              </c:strCache>
            </c:strRef>
          </c:tx>
          <c:spPr>
            <a:ln w="28575" cap="rnd">
              <a:solidFill>
                <a:schemeClr val="tx1"/>
              </a:solidFill>
              <a:round/>
            </a:ln>
            <a:effectLst/>
          </c:spPr>
          <c:marker>
            <c:symbol val="none"/>
          </c:marker>
          <c:dLbls>
            <c:dLbl>
              <c:idx val="0"/>
              <c:layout>
                <c:manualLayout>
                  <c:x val="-3.1638451858305286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BCD-4018-8157-16D9BF123E0A}"/>
                </c:ext>
              </c:extLst>
            </c:dLbl>
            <c:dLbl>
              <c:idx val="1"/>
              <c:layout>
                <c:manualLayout>
                  <c:x val="-3.3898341276755665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CD-4018-8157-16D9BF123E0A}"/>
                </c:ext>
              </c:extLst>
            </c:dLbl>
            <c:dLbl>
              <c:idx val="2"/>
              <c:layout>
                <c:manualLayout>
                  <c:x val="-5.649723546125953E-2"/>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CD-4018-8157-16D9BF123E0A}"/>
                </c:ext>
              </c:extLst>
            </c:dLbl>
            <c:dLbl>
              <c:idx val="3"/>
              <c:layout>
                <c:manualLayout>
                  <c:x val="-2.400164641203122E-2"/>
                  <c:y val="5.9438924255074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CD-4018-8157-16D9BF123E0A}"/>
                </c:ext>
              </c:extLst>
            </c:dLbl>
            <c:dLbl>
              <c:idx val="4"/>
              <c:layout>
                <c:manualLayout>
                  <c:x val="-2.2598894184503778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CD-4018-8157-16D9BF123E0A}"/>
                </c:ext>
              </c:extLst>
            </c:dLbl>
            <c:dLbl>
              <c:idx val="5"/>
              <c:layout>
                <c:manualLayout>
                  <c:x val="-5.1918532285508467E-2"/>
                  <c:y val="5.270689967878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1E-4C0C-818E-FA94D81D7812}"/>
                </c:ext>
              </c:extLst>
            </c:dLbl>
            <c:dLbl>
              <c:idx val="6"/>
              <c:layout>
                <c:manualLayout>
                  <c:x val="-3.5184701332093206E-2"/>
                  <c:y val="4.6345857809448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CD-4018-8157-16D9BF123E0A}"/>
                </c:ext>
              </c:extLst>
            </c:dLbl>
            <c:dLbl>
              <c:idx val="7"/>
              <c:layout>
                <c:manualLayout>
                  <c:x val="-4.2036337771442153E-2"/>
                  <c:y val="6.97368795782638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F5-4679-A652-42336AEB5207}"/>
                </c:ext>
              </c:extLst>
            </c:dLbl>
            <c:dLbl>
              <c:idx val="8"/>
              <c:layout>
                <c:manualLayout>
                  <c:x val="-9.3512669033813476E-3"/>
                  <c:y val="5.2349781982081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63-4D84-BB1D-EC2F51FB830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'2概要グラフ'!$D$22:$P$22</c:f>
              <c:numCache>
                <c:formatCode>0;"▲ "0</c:formatCode>
                <c:ptCount val="10"/>
                <c:pt idx="0">
                  <c:v>18</c:v>
                </c:pt>
                <c:pt idx="1">
                  <c:v>19</c:v>
                </c:pt>
                <c:pt idx="2">
                  <c:v>20</c:v>
                </c:pt>
                <c:pt idx="3">
                  <c:v>21</c:v>
                </c:pt>
                <c:pt idx="4">
                  <c:v>22</c:v>
                </c:pt>
                <c:pt idx="5">
                  <c:v>23</c:v>
                </c:pt>
                <c:pt idx="6">
                  <c:v>24</c:v>
                </c:pt>
                <c:pt idx="7">
                  <c:v>25</c:v>
                </c:pt>
                <c:pt idx="8">
                  <c:v>26</c:v>
                </c:pt>
                <c:pt idx="9">
                  <c:v>27</c:v>
                </c:pt>
              </c:numCache>
            </c:numRef>
          </c:cat>
          <c:val>
            <c:numRef>
              <c:f>'2概要グラフ'!$D$24:$P$24</c:f>
              <c:numCache>
                <c:formatCode>#,##0.0;"▲ "#,##0.0</c:formatCode>
                <c:ptCount val="10"/>
                <c:pt idx="0">
                  <c:v>-0.2</c:v>
                </c:pt>
                <c:pt idx="1">
                  <c:v>0.6</c:v>
                </c:pt>
                <c:pt idx="2">
                  <c:v>-3.5</c:v>
                </c:pt>
                <c:pt idx="3">
                  <c:v>3.3</c:v>
                </c:pt>
                <c:pt idx="4">
                  <c:v>2.6</c:v>
                </c:pt>
                <c:pt idx="5">
                  <c:v>0.2</c:v>
                </c:pt>
                <c:pt idx="6">
                  <c:v>0</c:v>
                </c:pt>
                <c:pt idx="7">
                  <c:v>-0.1</c:v>
                </c:pt>
                <c:pt idx="8">
                  <c:v>-0.5</c:v>
                </c:pt>
                <c:pt idx="9">
                  <c:v>-0.5</c:v>
                </c:pt>
              </c:numCache>
            </c:numRef>
          </c:val>
          <c:smooth val="0"/>
          <c:extLst>
            <c:ext xmlns:c16="http://schemas.microsoft.com/office/drawing/2014/chart" uri="{C3380CC4-5D6E-409C-BE32-E72D297353CC}">
              <c16:uniqueId val="{00000001-3BCD-4018-8157-16D9BF123E0A}"/>
            </c:ext>
          </c:extLst>
        </c:ser>
        <c:dLbls>
          <c:showLegendKey val="0"/>
          <c:showVal val="0"/>
          <c:showCatName val="0"/>
          <c:showSerName val="0"/>
          <c:showPercent val="0"/>
          <c:showBubbleSize val="0"/>
        </c:dLbls>
        <c:smooth val="0"/>
        <c:axId val="351151423"/>
        <c:axId val="352718735"/>
      </c:lineChart>
      <c:catAx>
        <c:axId val="351151423"/>
        <c:scaling>
          <c:orientation val="minMax"/>
        </c:scaling>
        <c:delete val="0"/>
        <c:axPos val="b"/>
        <c:numFmt formatCode="0;&quot;▲ &quot;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352718735"/>
        <c:crossesAt val="-6"/>
        <c:auto val="1"/>
        <c:lblAlgn val="ctr"/>
        <c:lblOffset val="100"/>
        <c:noMultiLvlLbl val="0"/>
      </c:catAx>
      <c:valAx>
        <c:axId val="352718735"/>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quot;▲ &quot;#,##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351151423"/>
        <c:crosses val="autoZero"/>
        <c:crossBetween val="between"/>
        <c:majorUnit val="2"/>
      </c:valAx>
      <c:spPr>
        <a:noFill/>
        <a:ln>
          <a:noFill/>
        </a:ln>
        <a:effectLst/>
      </c:spPr>
    </c:plotArea>
    <c:legend>
      <c:legendPos val="t"/>
      <c:layout>
        <c:manualLayout>
          <c:xMode val="edge"/>
          <c:yMode val="edge"/>
          <c:x val="0.58419422572178492"/>
          <c:y val="4.9097404491105265E-2"/>
          <c:w val="0.3149835650876623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16</xdr:col>
      <xdr:colOff>647706</xdr:colOff>
      <xdr:row>25</xdr:row>
      <xdr:rowOff>4762</xdr:rowOff>
    </xdr:from>
    <xdr:to>
      <xdr:col>24</xdr:col>
      <xdr:colOff>9525</xdr:colOff>
      <xdr:row>42</xdr:row>
      <xdr:rowOff>9525</xdr:rowOff>
    </xdr:to>
    <xdr:graphicFrame macro="">
      <xdr:nvGraphicFramePr>
        <xdr:cNvPr id="3" name="グラフ 2">
          <a:extLst>
            <a:ext uri="{FF2B5EF4-FFF2-40B4-BE49-F238E27FC236}">
              <a16:creationId xmlns:a16="http://schemas.microsoft.com/office/drawing/2014/main" id="{1E718D41-B7DC-4F84-9824-03B947B475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685805</xdr:colOff>
      <xdr:row>7</xdr:row>
      <xdr:rowOff>71437</xdr:rowOff>
    </xdr:from>
    <xdr:to>
      <xdr:col>24</xdr:col>
      <xdr:colOff>9524</xdr:colOff>
      <xdr:row>23</xdr:row>
      <xdr:rowOff>123825</xdr:rowOff>
    </xdr:to>
    <xdr:graphicFrame macro="">
      <xdr:nvGraphicFramePr>
        <xdr:cNvPr id="4" name="グラフ 3">
          <a:extLst>
            <a:ext uri="{FF2B5EF4-FFF2-40B4-BE49-F238E27FC236}">
              <a16:creationId xmlns:a16="http://schemas.microsoft.com/office/drawing/2014/main" id="{BFF3CACF-2767-4A7E-AD1C-74CF6930E9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184040" name="Line 1">
          <a:extLst>
            <a:ext uri="{FF2B5EF4-FFF2-40B4-BE49-F238E27FC236}">
              <a16:creationId xmlns:a16="http://schemas.microsoft.com/office/drawing/2014/main" id="{00000000-0008-0000-1C00-000028111200}"/>
            </a:ext>
          </a:extLst>
        </xdr:cNvPr>
        <xdr:cNvSpPr>
          <a:spLocks noChangeShapeType="1"/>
        </xdr:cNvSpPr>
      </xdr:nvSpPr>
      <xdr:spPr bwMode="auto">
        <a:xfrm>
          <a:off x="9525" y="190500"/>
          <a:ext cx="1333500"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804469" name="Line 1">
          <a:extLst>
            <a:ext uri="{FF2B5EF4-FFF2-40B4-BE49-F238E27FC236}">
              <a16:creationId xmlns:a16="http://schemas.microsoft.com/office/drawing/2014/main" id="{00000000-0008-0000-1D00-000075460C00}"/>
            </a:ext>
          </a:extLst>
        </xdr:cNvPr>
        <xdr:cNvSpPr>
          <a:spLocks noChangeShapeType="1"/>
        </xdr:cNvSpPr>
      </xdr:nvSpPr>
      <xdr:spPr bwMode="auto">
        <a:xfrm>
          <a:off x="9525" y="190500"/>
          <a:ext cx="1219200"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096030" name="Line 1">
          <a:extLst>
            <a:ext uri="{FF2B5EF4-FFF2-40B4-BE49-F238E27FC236}">
              <a16:creationId xmlns:a16="http://schemas.microsoft.com/office/drawing/2014/main" id="{00000000-0008-0000-1E00-00005EB91000}"/>
            </a:ext>
          </a:extLst>
        </xdr:cNvPr>
        <xdr:cNvSpPr>
          <a:spLocks noChangeShapeType="1"/>
        </xdr:cNvSpPr>
      </xdr:nvSpPr>
      <xdr:spPr bwMode="auto">
        <a:xfrm>
          <a:off x="9525" y="190500"/>
          <a:ext cx="1219200"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134907" name="Line 1">
          <a:extLst>
            <a:ext uri="{FF2B5EF4-FFF2-40B4-BE49-F238E27FC236}">
              <a16:creationId xmlns:a16="http://schemas.microsoft.com/office/drawing/2014/main" id="{00000000-0008-0000-1F00-00003B5111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160490" name="Line 1">
          <a:extLst>
            <a:ext uri="{FF2B5EF4-FFF2-40B4-BE49-F238E27FC236}">
              <a16:creationId xmlns:a16="http://schemas.microsoft.com/office/drawing/2014/main" id="{00000000-0008-0000-2000-00002AB511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152302" name="Line 1">
          <a:extLst>
            <a:ext uri="{FF2B5EF4-FFF2-40B4-BE49-F238E27FC236}">
              <a16:creationId xmlns:a16="http://schemas.microsoft.com/office/drawing/2014/main" id="{00000000-0008-0000-2100-00002E9511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534049" name="Line 1">
          <a:extLst>
            <a:ext uri="{FF2B5EF4-FFF2-40B4-BE49-F238E27FC236}">
              <a16:creationId xmlns:a16="http://schemas.microsoft.com/office/drawing/2014/main" id="{00000000-0008-0000-2200-0000616817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DC6ECE8C-27EF-4F89-BB12-A902B40B676C}"/>
            </a:ext>
          </a:extLst>
        </xdr:cNvPr>
        <xdr:cNvSpPr>
          <a:spLocks noChangeShapeType="1"/>
        </xdr:cNvSpPr>
      </xdr:nvSpPr>
      <xdr:spPr bwMode="auto">
        <a:xfrm>
          <a:off x="9525" y="184150"/>
          <a:ext cx="113982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627487" name="Line 1">
          <a:extLst>
            <a:ext uri="{FF2B5EF4-FFF2-40B4-BE49-F238E27FC236}">
              <a16:creationId xmlns:a16="http://schemas.microsoft.com/office/drawing/2014/main" id="{00000000-0008-0000-2300-00001F930900}"/>
            </a:ext>
          </a:extLst>
        </xdr:cNvPr>
        <xdr:cNvSpPr>
          <a:spLocks noChangeShapeType="1"/>
        </xdr:cNvSpPr>
      </xdr:nvSpPr>
      <xdr:spPr bwMode="auto">
        <a:xfrm>
          <a:off x="9525" y="184150"/>
          <a:ext cx="113347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1</xdr:row>
      <xdr:rowOff>19050</xdr:rowOff>
    </xdr:from>
    <xdr:to>
      <xdr:col>1</xdr:col>
      <xdr:colOff>790575</xdr:colOff>
      <xdr:row>2</xdr:row>
      <xdr:rowOff>466725</xdr:rowOff>
    </xdr:to>
    <xdr:sp macro="" textlink="">
      <xdr:nvSpPr>
        <xdr:cNvPr id="780939" name="Line 1">
          <a:extLst>
            <a:ext uri="{FF2B5EF4-FFF2-40B4-BE49-F238E27FC236}">
              <a16:creationId xmlns:a16="http://schemas.microsoft.com/office/drawing/2014/main" id="{00000000-0008-0000-2400-00008BEA0B00}"/>
            </a:ext>
          </a:extLst>
        </xdr:cNvPr>
        <xdr:cNvSpPr>
          <a:spLocks noChangeShapeType="1"/>
        </xdr:cNvSpPr>
      </xdr:nvSpPr>
      <xdr:spPr bwMode="auto">
        <a:xfrm>
          <a:off x="9525" y="190500"/>
          <a:ext cx="1152525" cy="781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052040" name="Line 1">
          <a:extLst>
            <a:ext uri="{FF2B5EF4-FFF2-40B4-BE49-F238E27FC236}">
              <a16:creationId xmlns:a16="http://schemas.microsoft.com/office/drawing/2014/main" id="{00000000-0008-0000-2500-0000880D10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c:userShapes xmlns:c="http://schemas.openxmlformats.org/drawingml/2006/chart">
  <cdr:relSizeAnchor xmlns:cdr="http://schemas.openxmlformats.org/drawingml/2006/chartDrawing">
    <cdr:from>
      <cdr:x>0.04754</cdr:x>
      <cdr:y>0.0434</cdr:y>
    </cdr:from>
    <cdr:to>
      <cdr:x>0.21053</cdr:x>
      <cdr:y>0.37674</cdr:y>
    </cdr:to>
    <cdr:sp macro="" textlink="">
      <cdr:nvSpPr>
        <cdr:cNvPr id="2" name="テキスト ボックス 1">
          <a:extLst xmlns:a="http://schemas.openxmlformats.org/drawingml/2006/main">
            <a:ext uri="{FF2B5EF4-FFF2-40B4-BE49-F238E27FC236}">
              <a16:creationId xmlns:a16="http://schemas.microsoft.com/office/drawing/2014/main" id="{083437AC-3CC9-4E71-90A5-F27D3A69ADA8}"/>
            </a:ext>
          </a:extLst>
        </cdr:cNvPr>
        <cdr:cNvSpPr txBox="1"/>
      </cdr:nvSpPr>
      <cdr:spPr>
        <a:xfrm xmlns:a="http://schemas.openxmlformats.org/drawingml/2006/main">
          <a:off x="266694" y="1190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a:t>
          </a:r>
          <a:endParaRPr lang="ja-JP" altLang="en-US" sz="1100"/>
        </a:p>
      </cdr:txBody>
    </cdr:sp>
  </cdr:relSizeAnchor>
  <cdr:relSizeAnchor xmlns:cdr="http://schemas.openxmlformats.org/drawingml/2006/chartDrawing">
    <cdr:from>
      <cdr:x>0.92699</cdr:x>
      <cdr:y>0.84201</cdr:y>
    </cdr:from>
    <cdr:to>
      <cdr:x>1</cdr:x>
      <cdr:y>1</cdr:y>
    </cdr:to>
    <cdr:sp macro="" textlink="">
      <cdr:nvSpPr>
        <cdr:cNvPr id="3" name="テキスト ボックス 2">
          <a:extLst xmlns:a="http://schemas.openxmlformats.org/drawingml/2006/main">
            <a:ext uri="{FF2B5EF4-FFF2-40B4-BE49-F238E27FC236}">
              <a16:creationId xmlns:a16="http://schemas.microsoft.com/office/drawing/2014/main" id="{732AA0F4-61EB-473B-A03F-065399D9DBC6}"/>
            </a:ext>
          </a:extLst>
        </cdr:cNvPr>
        <cdr:cNvSpPr txBox="1"/>
      </cdr:nvSpPr>
      <cdr:spPr>
        <a:xfrm xmlns:a="http://schemas.openxmlformats.org/drawingml/2006/main">
          <a:off x="5200643" y="2309812"/>
          <a:ext cx="409575" cy="4333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年度</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335491" name="Line 1">
          <a:extLst>
            <a:ext uri="{FF2B5EF4-FFF2-40B4-BE49-F238E27FC236}">
              <a16:creationId xmlns:a16="http://schemas.microsoft.com/office/drawing/2014/main" id="{00000000-0008-0000-2600-0000C36014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1726468" name="Line 1">
          <a:extLst>
            <a:ext uri="{FF2B5EF4-FFF2-40B4-BE49-F238E27FC236}">
              <a16:creationId xmlns:a16="http://schemas.microsoft.com/office/drawing/2014/main" id="{00000000-0008-0000-2700-000004581A00}"/>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5088A8BE-D267-4F87-8DB0-E95950836E98}"/>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10BDF9DB-0593-40F1-B865-DC5999214021}"/>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B0DE80EA-3597-413A-BFB7-DB6D31A131AE}"/>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9F9378D4-5F64-4C99-9E01-CFC047DBA2A4}"/>
            </a:ext>
          </a:extLst>
        </xdr:cNvPr>
        <xdr:cNvSpPr>
          <a:spLocks noChangeShapeType="1"/>
        </xdr:cNvSpPr>
      </xdr:nvSpPr>
      <xdr:spPr bwMode="auto">
        <a:xfrm>
          <a:off x="9525" y="190500"/>
          <a:ext cx="12192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2CC25760-FF77-4562-8A3A-38D95894C161}"/>
            </a:ext>
          </a:extLst>
        </xdr:cNvPr>
        <xdr:cNvSpPr>
          <a:spLocks noChangeShapeType="1"/>
        </xdr:cNvSpPr>
      </xdr:nvSpPr>
      <xdr:spPr bwMode="auto">
        <a:xfrm>
          <a:off x="9525" y="184150"/>
          <a:ext cx="113982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19050</xdr:rowOff>
    </xdr:from>
    <xdr:to>
      <xdr:col>2</xdr:col>
      <xdr:colOff>19050</xdr:colOff>
      <xdr:row>2</xdr:row>
      <xdr:rowOff>314325</xdr:rowOff>
    </xdr:to>
    <xdr:sp macro="" textlink="">
      <xdr:nvSpPr>
        <xdr:cNvPr id="3" name="Line 1">
          <a:extLst>
            <a:ext uri="{FF2B5EF4-FFF2-40B4-BE49-F238E27FC236}">
              <a16:creationId xmlns:a16="http://schemas.microsoft.com/office/drawing/2014/main" id="{40F55661-276E-418C-B2B9-D519537A4304}"/>
            </a:ext>
          </a:extLst>
        </xdr:cNvPr>
        <xdr:cNvSpPr>
          <a:spLocks noChangeShapeType="1"/>
        </xdr:cNvSpPr>
      </xdr:nvSpPr>
      <xdr:spPr bwMode="auto">
        <a:xfrm>
          <a:off x="9525" y="184150"/>
          <a:ext cx="113347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19050</xdr:colOff>
      <xdr:row>2</xdr:row>
      <xdr:rowOff>314325</xdr:rowOff>
    </xdr:to>
    <xdr:sp macro="" textlink="">
      <xdr:nvSpPr>
        <xdr:cNvPr id="2" name="Line 1">
          <a:extLst>
            <a:ext uri="{FF2B5EF4-FFF2-40B4-BE49-F238E27FC236}">
              <a16:creationId xmlns:a16="http://schemas.microsoft.com/office/drawing/2014/main" id="{76FEDE2C-E5AA-43A1-9D31-68A58156249B}"/>
            </a:ext>
          </a:extLst>
        </xdr:cNvPr>
        <xdr:cNvSpPr>
          <a:spLocks noChangeShapeType="1"/>
        </xdr:cNvSpPr>
      </xdr:nvSpPr>
      <xdr:spPr bwMode="auto">
        <a:xfrm>
          <a:off x="9525" y="184150"/>
          <a:ext cx="113347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19050</xdr:rowOff>
    </xdr:from>
    <xdr:to>
      <xdr:col>2</xdr:col>
      <xdr:colOff>19050</xdr:colOff>
      <xdr:row>2</xdr:row>
      <xdr:rowOff>314325</xdr:rowOff>
    </xdr:to>
    <xdr:sp macro="" textlink="">
      <xdr:nvSpPr>
        <xdr:cNvPr id="3" name="Line 1">
          <a:extLst>
            <a:ext uri="{FF2B5EF4-FFF2-40B4-BE49-F238E27FC236}">
              <a16:creationId xmlns:a16="http://schemas.microsoft.com/office/drawing/2014/main" id="{CA486C44-CBE7-4702-8CA3-CE9DEEF40072}"/>
            </a:ext>
          </a:extLst>
        </xdr:cNvPr>
        <xdr:cNvSpPr>
          <a:spLocks noChangeShapeType="1"/>
        </xdr:cNvSpPr>
      </xdr:nvSpPr>
      <xdr:spPr bwMode="auto">
        <a:xfrm>
          <a:off x="9525" y="184150"/>
          <a:ext cx="1133475" cy="625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5064" name="Line 1">
          <a:extLst>
            <a:ext uri="{FF2B5EF4-FFF2-40B4-BE49-F238E27FC236}">
              <a16:creationId xmlns:a16="http://schemas.microsoft.com/office/drawing/2014/main" id="{00000000-0008-0000-2B00-0000281512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59</xdr:col>
      <xdr:colOff>47625</xdr:colOff>
      <xdr:row>94</xdr:row>
      <xdr:rowOff>133351</xdr:rowOff>
    </xdr:from>
    <xdr:to>
      <xdr:col>69</xdr:col>
      <xdr:colOff>695325</xdr:colOff>
      <xdr:row>101</xdr:row>
      <xdr:rowOff>76200</xdr:rowOff>
    </xdr:to>
    <xdr:sp macro="" textlink="">
      <xdr:nvSpPr>
        <xdr:cNvPr id="4" name="テキスト ボックス 3">
          <a:extLst>
            <a:ext uri="{FF2B5EF4-FFF2-40B4-BE49-F238E27FC236}">
              <a16:creationId xmlns:a16="http://schemas.microsoft.com/office/drawing/2014/main" id="{306B0D86-DB93-4E6C-A7BA-6159B383C63F}"/>
            </a:ext>
          </a:extLst>
        </xdr:cNvPr>
        <xdr:cNvSpPr txBox="1"/>
      </xdr:nvSpPr>
      <xdr:spPr>
        <a:xfrm>
          <a:off x="26593800" y="16249651"/>
          <a:ext cx="6486525" cy="1142999"/>
        </a:xfrm>
        <a:prstGeom prst="rect">
          <a:avLst/>
        </a:prstGeom>
        <a:solidFill>
          <a:schemeClr val="accent2">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①</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BJ75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CL126 </a:t>
          </a:r>
          <a:r>
            <a:rPr kumimoji="1" lang="ja-JP" altLang="ja-JP" sz="1100">
              <a:solidFill>
                <a:schemeClr val="dk1"/>
              </a:solidFill>
              <a:effectLst/>
              <a:latin typeface="+mn-lt"/>
              <a:ea typeface="+mn-ea"/>
              <a:cs typeface="+mn-cs"/>
            </a:rPr>
            <a:t>のセルにある家計調査データ</a:t>
          </a:r>
          <a:endParaRPr lang="ja-JP" altLang="ja-JP">
            <a:effectLst/>
          </a:endParaRPr>
        </a:p>
        <a:p>
          <a:r>
            <a:rPr kumimoji="1" lang="ja-JP" altLang="ja-JP" sz="1100">
              <a:solidFill>
                <a:schemeClr val="dk1"/>
              </a:solidFill>
              <a:effectLst/>
              <a:latin typeface="+mn-lt"/>
              <a:ea typeface="+mn-ea"/>
              <a:cs typeface="+mn-cs"/>
            </a:rPr>
            <a:t>　　「平均」を計算しているのはよいが、１～８月での平均値となっている。なぜなのか不明。１～１２月でよいのではないか。</a:t>
          </a:r>
          <a:endParaRPr lang="ja-JP" altLang="ja-JP">
            <a:effectLst/>
          </a:endParaRPr>
        </a:p>
        <a:p>
          <a:r>
            <a:rPr kumimoji="1" lang="ja-JP" altLang="en-US" sz="1100"/>
            <a:t>　</a:t>
          </a:r>
          <a:r>
            <a:rPr kumimoji="1" lang="ja-JP" altLang="en-US" sz="1100">
              <a:solidFill>
                <a:srgbClr val="FF0000"/>
              </a:solidFill>
            </a:rPr>
            <a:t>⇒　単なる誤りのようなので、修正。</a:t>
          </a:r>
          <a:endParaRPr kumimoji="1" lang="en-US" altLang="ja-JP" sz="1100">
            <a:solidFill>
              <a:srgbClr val="FF0000"/>
            </a:solidFill>
          </a:endParaRPr>
        </a:p>
      </xdr:txBody>
    </xdr:sp>
    <xdr:clientData/>
  </xdr:twoCellAnchor>
  <xdr:twoCellAnchor>
    <xdr:from>
      <xdr:col>40</xdr:col>
      <xdr:colOff>76200</xdr:colOff>
      <xdr:row>70</xdr:row>
      <xdr:rowOff>1</xdr:rowOff>
    </xdr:from>
    <xdr:to>
      <xdr:col>48</xdr:col>
      <xdr:colOff>619125</xdr:colOff>
      <xdr:row>75</xdr:row>
      <xdr:rowOff>85725</xdr:rowOff>
    </xdr:to>
    <xdr:sp macro="" textlink="">
      <xdr:nvSpPr>
        <xdr:cNvPr id="6" name="テキスト ボックス 5">
          <a:extLst>
            <a:ext uri="{FF2B5EF4-FFF2-40B4-BE49-F238E27FC236}">
              <a16:creationId xmlns:a16="http://schemas.microsoft.com/office/drawing/2014/main" id="{EB70FDA3-40EA-4F09-B950-9819287168DE}"/>
            </a:ext>
          </a:extLst>
        </xdr:cNvPr>
        <xdr:cNvSpPr txBox="1"/>
      </xdr:nvSpPr>
      <xdr:spPr>
        <a:xfrm>
          <a:off x="17840325" y="12001501"/>
          <a:ext cx="6486525" cy="942974"/>
        </a:xfrm>
        <a:prstGeom prst="rect">
          <a:avLst/>
        </a:prstGeom>
        <a:solidFill>
          <a:schemeClr val="accent2">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R5.5.9</a:t>
          </a:r>
          <a:r>
            <a:rPr kumimoji="1" lang="ja-JP" altLang="en-US" sz="1100"/>
            <a:t>にご相談させていただいた件で、次の３点を直して見ました。</a:t>
          </a:r>
          <a:endParaRPr kumimoji="1" lang="en-US" altLang="ja-JP" sz="1100"/>
        </a:p>
        <a:p>
          <a:r>
            <a:rPr kumimoji="1" lang="ja-JP" altLang="en-US" sz="1100"/>
            <a:t>念のため、シートを変更前と変更後に分けています。</a:t>
          </a:r>
          <a:endParaRPr kumimoji="1" lang="en-US" altLang="ja-JP" sz="1100"/>
        </a:p>
        <a:p>
          <a:r>
            <a:rPr kumimoji="1" lang="ja-JP" altLang="en-US" sz="1100"/>
            <a:t>おかしい点などありましたら、また言っていただければ、自分の手元の方も直します。</a:t>
          </a:r>
          <a:endParaRPr kumimoji="1" lang="en-US" altLang="ja-JP" sz="1100"/>
        </a:p>
        <a:p>
          <a:r>
            <a:rPr kumimoji="1" lang="ja-JP" altLang="en-US" sz="1100"/>
            <a:t>さわったセルは、赤色に着色しています。</a:t>
          </a:r>
          <a:endParaRPr kumimoji="1" lang="en-US" altLang="ja-JP" sz="1100"/>
        </a:p>
        <a:p>
          <a:endParaRPr kumimoji="1" lang="en-US" altLang="ja-JP" sz="1100">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0.01578</cdr:x>
      <cdr:y>0.11285</cdr:y>
    </cdr:from>
    <cdr:to>
      <cdr:x>0.17849</cdr:x>
      <cdr:y>0.44618</cdr:y>
    </cdr:to>
    <cdr:sp macro="" textlink="">
      <cdr:nvSpPr>
        <cdr:cNvPr id="2" name="テキスト ボックス 1">
          <a:extLst xmlns:a="http://schemas.openxmlformats.org/drawingml/2006/main">
            <a:ext uri="{FF2B5EF4-FFF2-40B4-BE49-F238E27FC236}">
              <a16:creationId xmlns:a16="http://schemas.microsoft.com/office/drawing/2014/main" id="{048D4C96-763A-4986-B4AA-3B8AA49FB4AA}"/>
            </a:ext>
          </a:extLst>
        </cdr:cNvPr>
        <cdr:cNvSpPr txBox="1"/>
      </cdr:nvSpPr>
      <cdr:spPr>
        <a:xfrm xmlns:a="http://schemas.openxmlformats.org/drawingml/2006/main">
          <a:off x="85739" y="301150"/>
          <a:ext cx="883908" cy="8895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a:t>
          </a:r>
          <a:endParaRPr lang="ja-JP" altLang="en-US" sz="1100"/>
        </a:p>
      </cdr:txBody>
    </cdr:sp>
  </cdr:relSizeAnchor>
  <cdr:relSizeAnchor xmlns:cdr="http://schemas.openxmlformats.org/drawingml/2006/chartDrawing">
    <cdr:from>
      <cdr:x>0.93051</cdr:x>
      <cdr:y>0.88021</cdr:y>
    </cdr:from>
    <cdr:to>
      <cdr:x>1</cdr:x>
      <cdr:y>1</cdr:y>
    </cdr:to>
    <cdr:sp macro="" textlink="">
      <cdr:nvSpPr>
        <cdr:cNvPr id="3" name="テキスト ボックス 2">
          <a:extLst xmlns:a="http://schemas.openxmlformats.org/drawingml/2006/main">
            <a:ext uri="{FF2B5EF4-FFF2-40B4-BE49-F238E27FC236}">
              <a16:creationId xmlns:a16="http://schemas.microsoft.com/office/drawing/2014/main" id="{B185B977-95FA-4241-8196-9EC0FE692144}"/>
            </a:ext>
          </a:extLst>
        </cdr:cNvPr>
        <cdr:cNvSpPr txBox="1"/>
      </cdr:nvSpPr>
      <cdr:spPr>
        <a:xfrm xmlns:a="http://schemas.openxmlformats.org/drawingml/2006/main">
          <a:off x="5229218" y="2414588"/>
          <a:ext cx="390525" cy="328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年度</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6088" name="Line 1">
          <a:extLst>
            <a:ext uri="{FF2B5EF4-FFF2-40B4-BE49-F238E27FC236}">
              <a16:creationId xmlns:a16="http://schemas.microsoft.com/office/drawing/2014/main" id="{00000000-0008-0000-3000-0000281912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666750</xdr:colOff>
      <xdr:row>5</xdr:row>
      <xdr:rowOff>95250</xdr:rowOff>
    </xdr:from>
    <xdr:to>
      <xdr:col>32</xdr:col>
      <xdr:colOff>133350</xdr:colOff>
      <xdr:row>13</xdr:row>
      <xdr:rowOff>57150</xdr:rowOff>
    </xdr:to>
    <xdr:sp macro="" textlink="">
      <xdr:nvSpPr>
        <xdr:cNvPr id="2" name="テキスト ボックス 1">
          <a:extLst>
            <a:ext uri="{FF2B5EF4-FFF2-40B4-BE49-F238E27FC236}">
              <a16:creationId xmlns:a16="http://schemas.microsoft.com/office/drawing/2014/main" id="{C6274137-4E1C-4043-A08C-E9B9D5905543}"/>
            </a:ext>
          </a:extLst>
        </xdr:cNvPr>
        <xdr:cNvSpPr txBox="1"/>
      </xdr:nvSpPr>
      <xdr:spPr>
        <a:xfrm>
          <a:off x="15992475" y="1085850"/>
          <a:ext cx="6172200" cy="14001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R4.2</a:t>
          </a:r>
          <a:endParaRPr kumimoji="1" lang="ja-JP" altLang="en-US" sz="1100"/>
        </a:p>
        <a:p>
          <a:r>
            <a:rPr kumimoji="1" lang="ja-JP" altLang="en-US" sz="1100"/>
            <a:t>　市町民の場合、地方政府等の範囲は、「当該市」「当該市が所管する地方社会保障基金」になる（基準改定時のガイドライン</a:t>
          </a:r>
          <a:r>
            <a:rPr kumimoji="1" lang="en-US" altLang="ja-JP" sz="1100"/>
            <a:t>Q&amp;A</a:t>
          </a:r>
          <a:r>
            <a:rPr kumimoji="1" lang="ja-JP" altLang="en-US" sz="1100"/>
            <a:t>参照）。</a:t>
          </a:r>
        </a:p>
        <a:p>
          <a:r>
            <a:rPr kumimoji="1" lang="ja-JP" altLang="en-US" sz="1100"/>
            <a:t>　地方社会保障基金の範囲は、介護保険、神戸市などの市独立の共済組合、消防基金、後期高齢者医療（制度改正前に限る）、国民健康保険（制度改正中。どこが境目か不明）が対象ではないかと考えるが、ガイドラインにも明確な記載がなく、手を着けにくい。</a:t>
          </a:r>
        </a:p>
        <a:p>
          <a:r>
            <a:rPr kumimoji="1" lang="ja-JP" altLang="en-US" sz="1100"/>
            <a:t>　今回の試算に当たっては、地方社会保障基金の仕分けはせず、県のみ除外することとした。</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64585" name="Line 1">
          <a:extLst>
            <a:ext uri="{FF2B5EF4-FFF2-40B4-BE49-F238E27FC236}">
              <a16:creationId xmlns:a16="http://schemas.microsoft.com/office/drawing/2014/main" id="{00000000-0008-0000-3400-000029C511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sp macro="" textlink="">
      <xdr:nvSpPr>
        <xdr:cNvPr id="1157718" name="Line 1">
          <a:extLst>
            <a:ext uri="{FF2B5EF4-FFF2-40B4-BE49-F238E27FC236}">
              <a16:creationId xmlns:a16="http://schemas.microsoft.com/office/drawing/2014/main" id="{00000000-0008-0000-3500-000056AA1100}"/>
            </a:ext>
          </a:extLst>
        </xdr:cNvPr>
        <xdr:cNvSpPr>
          <a:spLocks noChangeShapeType="1"/>
        </xdr:cNvSpPr>
      </xdr:nvSpPr>
      <xdr:spPr bwMode="auto">
        <a:xfrm>
          <a:off x="0" y="0"/>
          <a:ext cx="1409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0</xdr:colOff>
      <xdr:row>4</xdr:row>
      <xdr:rowOff>0</xdr:rowOff>
    </xdr:to>
    <xdr:sp macro="" textlink="">
      <xdr:nvSpPr>
        <xdr:cNvPr id="1157719" name="Line 1">
          <a:extLst>
            <a:ext uri="{FF2B5EF4-FFF2-40B4-BE49-F238E27FC236}">
              <a16:creationId xmlns:a16="http://schemas.microsoft.com/office/drawing/2014/main" id="{00000000-0008-0000-3500-000057AA11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43093" name="Line 1">
          <a:extLst>
            <a:ext uri="{FF2B5EF4-FFF2-40B4-BE49-F238E27FC236}">
              <a16:creationId xmlns:a16="http://schemas.microsoft.com/office/drawing/2014/main" id="{00000000-0008-0000-3600-0000357111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7407" name="Line 1">
          <a:extLst>
            <a:ext uri="{FF2B5EF4-FFF2-40B4-BE49-F238E27FC236}">
              <a16:creationId xmlns:a16="http://schemas.microsoft.com/office/drawing/2014/main" id="{00000000-0008-0000-3700-00004F1E12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0</xdr:rowOff>
    </xdr:from>
    <xdr:to>
      <xdr:col>2</xdr:col>
      <xdr:colOff>0</xdr:colOff>
      <xdr:row>73</xdr:row>
      <xdr:rowOff>0</xdr:rowOff>
    </xdr:to>
    <xdr:sp macro="" textlink="">
      <xdr:nvSpPr>
        <xdr:cNvPr id="1187408" name="Line 1">
          <a:extLst>
            <a:ext uri="{FF2B5EF4-FFF2-40B4-BE49-F238E27FC236}">
              <a16:creationId xmlns:a16="http://schemas.microsoft.com/office/drawing/2014/main" id="{00000000-0008-0000-3700-0000501E1200}"/>
            </a:ext>
          </a:extLst>
        </xdr:cNvPr>
        <xdr:cNvSpPr>
          <a:spLocks noChangeShapeType="1"/>
        </xdr:cNvSpPr>
      </xdr:nvSpPr>
      <xdr:spPr bwMode="auto">
        <a:xfrm>
          <a:off x="0" y="1200150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45140" name="Line 1">
          <a:extLst>
            <a:ext uri="{FF2B5EF4-FFF2-40B4-BE49-F238E27FC236}">
              <a16:creationId xmlns:a16="http://schemas.microsoft.com/office/drawing/2014/main" id="{00000000-0008-0000-3900-000034791100}"/>
            </a:ext>
          </a:extLst>
        </xdr:cNvPr>
        <xdr:cNvSpPr>
          <a:spLocks noChangeShapeType="1"/>
        </xdr:cNvSpPr>
      </xdr:nvSpPr>
      <xdr:spPr bwMode="auto">
        <a:xfrm>
          <a:off x="0" y="171450"/>
          <a:ext cx="140970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8136" name="Line 1">
          <a:extLst>
            <a:ext uri="{FF2B5EF4-FFF2-40B4-BE49-F238E27FC236}">
              <a16:creationId xmlns:a16="http://schemas.microsoft.com/office/drawing/2014/main" id="{00000000-0008-0000-3A00-000028211200}"/>
            </a:ext>
          </a:extLst>
        </xdr:cNvPr>
        <xdr:cNvSpPr>
          <a:spLocks noChangeShapeType="1"/>
        </xdr:cNvSpPr>
      </xdr:nvSpPr>
      <xdr:spPr bwMode="auto">
        <a:xfrm>
          <a:off x="0" y="171450"/>
          <a:ext cx="140970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89160" name="Line 1">
          <a:extLst>
            <a:ext uri="{FF2B5EF4-FFF2-40B4-BE49-F238E27FC236}">
              <a16:creationId xmlns:a16="http://schemas.microsoft.com/office/drawing/2014/main" id="{00000000-0008-0000-3B00-000028251200}"/>
            </a:ext>
          </a:extLst>
        </xdr:cNvPr>
        <xdr:cNvSpPr>
          <a:spLocks noChangeShapeType="1"/>
        </xdr:cNvSpPr>
      </xdr:nvSpPr>
      <xdr:spPr bwMode="auto">
        <a:xfrm>
          <a:off x="0" y="171450"/>
          <a:ext cx="14097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91208" name="Line 1">
          <a:extLst>
            <a:ext uri="{FF2B5EF4-FFF2-40B4-BE49-F238E27FC236}">
              <a16:creationId xmlns:a16="http://schemas.microsoft.com/office/drawing/2014/main" id="{00000000-0008-0000-4300-0000282D1200}"/>
            </a:ext>
          </a:extLst>
        </xdr:cNvPr>
        <xdr:cNvSpPr>
          <a:spLocks noChangeShapeType="1"/>
        </xdr:cNvSpPr>
      </xdr:nvSpPr>
      <xdr:spPr bwMode="auto">
        <a:xfrm>
          <a:off x="0" y="171450"/>
          <a:ext cx="153352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923140" name="Line 1">
          <a:extLst>
            <a:ext uri="{FF2B5EF4-FFF2-40B4-BE49-F238E27FC236}">
              <a16:creationId xmlns:a16="http://schemas.microsoft.com/office/drawing/2014/main" id="{00000000-0008-0000-4100-000004160E00}"/>
            </a:ext>
          </a:extLst>
        </xdr:cNvPr>
        <xdr:cNvSpPr>
          <a:spLocks noChangeShapeType="1"/>
        </xdr:cNvSpPr>
      </xdr:nvSpPr>
      <xdr:spPr bwMode="auto">
        <a:xfrm>
          <a:off x="0" y="171450"/>
          <a:ext cx="153352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19050</xdr:rowOff>
    </xdr:from>
    <xdr:to>
      <xdr:col>1</xdr:col>
      <xdr:colOff>952500</xdr:colOff>
      <xdr:row>3</xdr:row>
      <xdr:rowOff>9525</xdr:rowOff>
    </xdr:to>
    <xdr:sp macro="" textlink="">
      <xdr:nvSpPr>
        <xdr:cNvPr id="9" name="Line 12">
          <a:extLst>
            <a:ext uri="{FF2B5EF4-FFF2-40B4-BE49-F238E27FC236}">
              <a16:creationId xmlns:a16="http://schemas.microsoft.com/office/drawing/2014/main" id="{D85C84F0-3595-4B59-B99B-8A79C0BA6A53}"/>
            </a:ext>
          </a:extLst>
        </xdr:cNvPr>
        <xdr:cNvSpPr>
          <a:spLocks noChangeShapeType="1"/>
        </xdr:cNvSpPr>
      </xdr:nvSpPr>
      <xdr:spPr bwMode="auto">
        <a:xfrm>
          <a:off x="9525" y="8566150"/>
          <a:ext cx="110172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17</xdr:row>
      <xdr:rowOff>19050</xdr:rowOff>
    </xdr:from>
    <xdr:to>
      <xdr:col>1</xdr:col>
      <xdr:colOff>952500</xdr:colOff>
      <xdr:row>19</xdr:row>
      <xdr:rowOff>9525</xdr:rowOff>
    </xdr:to>
    <xdr:sp macro="" textlink="">
      <xdr:nvSpPr>
        <xdr:cNvPr id="11" name="Line 12">
          <a:extLst>
            <a:ext uri="{FF2B5EF4-FFF2-40B4-BE49-F238E27FC236}">
              <a16:creationId xmlns:a16="http://schemas.microsoft.com/office/drawing/2014/main" id="{A8D1705A-A29C-48E1-A0DD-534B4B0F6392}"/>
            </a:ext>
          </a:extLst>
        </xdr:cNvPr>
        <xdr:cNvSpPr>
          <a:spLocks noChangeShapeType="1"/>
        </xdr:cNvSpPr>
      </xdr:nvSpPr>
      <xdr:spPr bwMode="auto">
        <a:xfrm>
          <a:off x="9525" y="14668500"/>
          <a:ext cx="118110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19050</xdr:rowOff>
    </xdr:from>
    <xdr:to>
      <xdr:col>1</xdr:col>
      <xdr:colOff>952500</xdr:colOff>
      <xdr:row>35</xdr:row>
      <xdr:rowOff>9525</xdr:rowOff>
    </xdr:to>
    <xdr:sp macro="" textlink="">
      <xdr:nvSpPr>
        <xdr:cNvPr id="12" name="Line 12">
          <a:extLst>
            <a:ext uri="{FF2B5EF4-FFF2-40B4-BE49-F238E27FC236}">
              <a16:creationId xmlns:a16="http://schemas.microsoft.com/office/drawing/2014/main" id="{C0A487C0-B5EC-436B-A2C5-4A43940F7C02}"/>
            </a:ext>
          </a:extLst>
        </xdr:cNvPr>
        <xdr:cNvSpPr>
          <a:spLocks noChangeShapeType="1"/>
        </xdr:cNvSpPr>
      </xdr:nvSpPr>
      <xdr:spPr bwMode="auto">
        <a:xfrm>
          <a:off x="9525" y="17564100"/>
          <a:ext cx="118110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49</xdr:row>
      <xdr:rowOff>19050</xdr:rowOff>
    </xdr:from>
    <xdr:to>
      <xdr:col>1</xdr:col>
      <xdr:colOff>952500</xdr:colOff>
      <xdr:row>51</xdr:row>
      <xdr:rowOff>9525</xdr:rowOff>
    </xdr:to>
    <xdr:sp macro="" textlink="">
      <xdr:nvSpPr>
        <xdr:cNvPr id="8" name="Line 12">
          <a:extLst>
            <a:ext uri="{FF2B5EF4-FFF2-40B4-BE49-F238E27FC236}">
              <a16:creationId xmlns:a16="http://schemas.microsoft.com/office/drawing/2014/main" id="{A50E153D-7E5B-492F-B255-02F18785ECB6}"/>
            </a:ext>
          </a:extLst>
        </xdr:cNvPr>
        <xdr:cNvSpPr>
          <a:spLocks noChangeShapeType="1"/>
        </xdr:cNvSpPr>
      </xdr:nvSpPr>
      <xdr:spPr bwMode="auto">
        <a:xfrm>
          <a:off x="9525" y="8877300"/>
          <a:ext cx="118110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65</xdr:row>
      <xdr:rowOff>19050</xdr:rowOff>
    </xdr:from>
    <xdr:to>
      <xdr:col>1</xdr:col>
      <xdr:colOff>952500</xdr:colOff>
      <xdr:row>67</xdr:row>
      <xdr:rowOff>9525</xdr:rowOff>
    </xdr:to>
    <xdr:sp macro="" textlink="">
      <xdr:nvSpPr>
        <xdr:cNvPr id="13" name="Line 12">
          <a:extLst>
            <a:ext uri="{FF2B5EF4-FFF2-40B4-BE49-F238E27FC236}">
              <a16:creationId xmlns:a16="http://schemas.microsoft.com/office/drawing/2014/main" id="{2958EBF8-7936-4FC1-9528-ED5CCA64DDD4}"/>
            </a:ext>
          </a:extLst>
        </xdr:cNvPr>
        <xdr:cNvSpPr>
          <a:spLocks noChangeShapeType="1"/>
        </xdr:cNvSpPr>
      </xdr:nvSpPr>
      <xdr:spPr bwMode="auto">
        <a:xfrm>
          <a:off x="9525" y="11772900"/>
          <a:ext cx="118110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19050</xdr:rowOff>
    </xdr:from>
    <xdr:to>
      <xdr:col>1</xdr:col>
      <xdr:colOff>952500</xdr:colOff>
      <xdr:row>83</xdr:row>
      <xdr:rowOff>9525</xdr:rowOff>
    </xdr:to>
    <xdr:sp macro="" textlink="">
      <xdr:nvSpPr>
        <xdr:cNvPr id="2" name="Line 12">
          <a:extLst>
            <a:ext uri="{FF2B5EF4-FFF2-40B4-BE49-F238E27FC236}">
              <a16:creationId xmlns:a16="http://schemas.microsoft.com/office/drawing/2014/main" id="{521A19EA-2BA4-43EB-A4F8-0609CDD17ABC}"/>
            </a:ext>
          </a:extLst>
        </xdr:cNvPr>
        <xdr:cNvSpPr>
          <a:spLocks noChangeShapeType="1"/>
        </xdr:cNvSpPr>
      </xdr:nvSpPr>
      <xdr:spPr bwMode="auto">
        <a:xfrm>
          <a:off x="9525" y="14154150"/>
          <a:ext cx="109537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97</xdr:row>
      <xdr:rowOff>19050</xdr:rowOff>
    </xdr:from>
    <xdr:to>
      <xdr:col>1</xdr:col>
      <xdr:colOff>952500</xdr:colOff>
      <xdr:row>99</xdr:row>
      <xdr:rowOff>9525</xdr:rowOff>
    </xdr:to>
    <xdr:sp macro="" textlink="">
      <xdr:nvSpPr>
        <xdr:cNvPr id="4" name="Line 12">
          <a:extLst>
            <a:ext uri="{FF2B5EF4-FFF2-40B4-BE49-F238E27FC236}">
              <a16:creationId xmlns:a16="http://schemas.microsoft.com/office/drawing/2014/main" id="{2BA29AF7-CD1E-470A-86A8-782C1A7E1BF4}"/>
            </a:ext>
          </a:extLst>
        </xdr:cNvPr>
        <xdr:cNvSpPr>
          <a:spLocks noChangeShapeType="1"/>
        </xdr:cNvSpPr>
      </xdr:nvSpPr>
      <xdr:spPr bwMode="auto">
        <a:xfrm>
          <a:off x="9525" y="16948150"/>
          <a:ext cx="109537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113</xdr:row>
      <xdr:rowOff>19050</xdr:rowOff>
    </xdr:from>
    <xdr:to>
      <xdr:col>1</xdr:col>
      <xdr:colOff>952500</xdr:colOff>
      <xdr:row>115</xdr:row>
      <xdr:rowOff>9525</xdr:rowOff>
    </xdr:to>
    <xdr:sp macro="" textlink="">
      <xdr:nvSpPr>
        <xdr:cNvPr id="5" name="Line 12">
          <a:extLst>
            <a:ext uri="{FF2B5EF4-FFF2-40B4-BE49-F238E27FC236}">
              <a16:creationId xmlns:a16="http://schemas.microsoft.com/office/drawing/2014/main" id="{50FFB85D-C2BB-45B7-9A8A-476B3D183EC9}"/>
            </a:ext>
          </a:extLst>
        </xdr:cNvPr>
        <xdr:cNvSpPr>
          <a:spLocks noChangeShapeType="1"/>
        </xdr:cNvSpPr>
      </xdr:nvSpPr>
      <xdr:spPr bwMode="auto">
        <a:xfrm>
          <a:off x="9525" y="19742150"/>
          <a:ext cx="109537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129</xdr:row>
      <xdr:rowOff>19050</xdr:rowOff>
    </xdr:from>
    <xdr:to>
      <xdr:col>1</xdr:col>
      <xdr:colOff>952500</xdr:colOff>
      <xdr:row>131</xdr:row>
      <xdr:rowOff>9525</xdr:rowOff>
    </xdr:to>
    <xdr:sp macro="" textlink="">
      <xdr:nvSpPr>
        <xdr:cNvPr id="6" name="Line 12">
          <a:extLst>
            <a:ext uri="{FF2B5EF4-FFF2-40B4-BE49-F238E27FC236}">
              <a16:creationId xmlns:a16="http://schemas.microsoft.com/office/drawing/2014/main" id="{19154F78-8DFD-40C3-987F-A00E8BFC0E15}"/>
            </a:ext>
          </a:extLst>
        </xdr:cNvPr>
        <xdr:cNvSpPr>
          <a:spLocks noChangeShapeType="1"/>
        </xdr:cNvSpPr>
      </xdr:nvSpPr>
      <xdr:spPr bwMode="auto">
        <a:xfrm>
          <a:off x="9525" y="22536150"/>
          <a:ext cx="1095375" cy="47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4</xdr:row>
      <xdr:rowOff>0</xdr:rowOff>
    </xdr:to>
    <xdr:sp macro="" textlink="">
      <xdr:nvSpPr>
        <xdr:cNvPr id="1190184" name="Line 1">
          <a:extLst>
            <a:ext uri="{FF2B5EF4-FFF2-40B4-BE49-F238E27FC236}">
              <a16:creationId xmlns:a16="http://schemas.microsoft.com/office/drawing/2014/main" id="{00000000-0008-0000-4200-000028291200}"/>
            </a:ext>
          </a:extLst>
        </xdr:cNvPr>
        <xdr:cNvSpPr>
          <a:spLocks noChangeShapeType="1"/>
        </xdr:cNvSpPr>
      </xdr:nvSpPr>
      <xdr:spPr bwMode="auto">
        <a:xfrm>
          <a:off x="0" y="171450"/>
          <a:ext cx="161925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19051</xdr:colOff>
      <xdr:row>1</xdr:row>
      <xdr:rowOff>0</xdr:rowOff>
    </xdr:from>
    <xdr:to>
      <xdr:col>1</xdr:col>
      <xdr:colOff>0</xdr:colOff>
      <xdr:row>4</xdr:row>
      <xdr:rowOff>9525</xdr:rowOff>
    </xdr:to>
    <xdr:sp macro="" textlink="">
      <xdr:nvSpPr>
        <xdr:cNvPr id="2" name="Line 62">
          <a:extLst>
            <a:ext uri="{FF2B5EF4-FFF2-40B4-BE49-F238E27FC236}">
              <a16:creationId xmlns:a16="http://schemas.microsoft.com/office/drawing/2014/main" id="{45424D54-EE0D-42AF-BE72-A9BA964CDE47}"/>
            </a:ext>
          </a:extLst>
        </xdr:cNvPr>
        <xdr:cNvSpPr>
          <a:spLocks noChangeShapeType="1"/>
        </xdr:cNvSpPr>
      </xdr:nvSpPr>
      <xdr:spPr bwMode="auto">
        <a:xfrm>
          <a:off x="19051" y="342900"/>
          <a:ext cx="1231899" cy="523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0</xdr:colOff>
      <xdr:row>5</xdr:row>
      <xdr:rowOff>0</xdr:rowOff>
    </xdr:to>
    <xdr:sp macro="" textlink="">
      <xdr:nvSpPr>
        <xdr:cNvPr id="1122630" name="Line 1">
          <a:extLst>
            <a:ext uri="{FF2B5EF4-FFF2-40B4-BE49-F238E27FC236}">
              <a16:creationId xmlns:a16="http://schemas.microsoft.com/office/drawing/2014/main" id="{00000000-0008-0000-4400-000046211100}"/>
            </a:ext>
          </a:extLst>
        </xdr:cNvPr>
        <xdr:cNvSpPr>
          <a:spLocks noChangeShapeType="1"/>
        </xdr:cNvSpPr>
      </xdr:nvSpPr>
      <xdr:spPr bwMode="auto">
        <a:xfrm>
          <a:off x="0" y="476250"/>
          <a:ext cx="1933575"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0</xdr:colOff>
      <xdr:row>5</xdr:row>
      <xdr:rowOff>0</xdr:rowOff>
    </xdr:to>
    <xdr:sp macro="" textlink="">
      <xdr:nvSpPr>
        <xdr:cNvPr id="1161514" name="Line 1">
          <a:extLst>
            <a:ext uri="{FF2B5EF4-FFF2-40B4-BE49-F238E27FC236}">
              <a16:creationId xmlns:a16="http://schemas.microsoft.com/office/drawing/2014/main" id="{00000000-0008-0000-4500-00002AB91100}"/>
            </a:ext>
          </a:extLst>
        </xdr:cNvPr>
        <xdr:cNvSpPr>
          <a:spLocks noChangeShapeType="1"/>
        </xdr:cNvSpPr>
      </xdr:nvSpPr>
      <xdr:spPr bwMode="auto">
        <a:xfrm>
          <a:off x="0" y="342900"/>
          <a:ext cx="14763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3</xdr:row>
      <xdr:rowOff>152400</xdr:rowOff>
    </xdr:to>
    <xdr:sp macro="" textlink="">
      <xdr:nvSpPr>
        <xdr:cNvPr id="2" name="Line 21">
          <a:extLst>
            <a:ext uri="{FF2B5EF4-FFF2-40B4-BE49-F238E27FC236}">
              <a16:creationId xmlns:a16="http://schemas.microsoft.com/office/drawing/2014/main" id="{92E3A613-264F-481F-9705-630B33BDB05D}"/>
            </a:ext>
          </a:extLst>
        </xdr:cNvPr>
        <xdr:cNvSpPr>
          <a:spLocks noChangeShapeType="1"/>
        </xdr:cNvSpPr>
      </xdr:nvSpPr>
      <xdr:spPr bwMode="auto">
        <a:xfrm>
          <a:off x="0" y="342900"/>
          <a:ext cx="1343025"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1</xdr:row>
      <xdr:rowOff>28575</xdr:rowOff>
    </xdr:from>
    <xdr:to>
      <xdr:col>2</xdr:col>
      <xdr:colOff>9525</xdr:colOff>
      <xdr:row>3</xdr:row>
      <xdr:rowOff>161925</xdr:rowOff>
    </xdr:to>
    <xdr:sp macro="" textlink="">
      <xdr:nvSpPr>
        <xdr:cNvPr id="2" name="Line 1">
          <a:extLst>
            <a:ext uri="{FF2B5EF4-FFF2-40B4-BE49-F238E27FC236}">
              <a16:creationId xmlns:a16="http://schemas.microsoft.com/office/drawing/2014/main" id="{B759C659-A897-4DE9-A3A3-76507FF429B9}"/>
            </a:ext>
          </a:extLst>
        </xdr:cNvPr>
        <xdr:cNvSpPr>
          <a:spLocks noChangeShapeType="1"/>
        </xdr:cNvSpPr>
      </xdr:nvSpPr>
      <xdr:spPr bwMode="auto">
        <a:xfrm>
          <a:off x="28575" y="200025"/>
          <a:ext cx="119062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18</xdr:row>
      <xdr:rowOff>28575</xdr:rowOff>
    </xdr:from>
    <xdr:to>
      <xdr:col>2</xdr:col>
      <xdr:colOff>9525</xdr:colOff>
      <xdr:row>20</xdr:row>
      <xdr:rowOff>161925</xdr:rowOff>
    </xdr:to>
    <xdr:sp macro="" textlink="">
      <xdr:nvSpPr>
        <xdr:cNvPr id="3" name="Line 2">
          <a:extLst>
            <a:ext uri="{FF2B5EF4-FFF2-40B4-BE49-F238E27FC236}">
              <a16:creationId xmlns:a16="http://schemas.microsoft.com/office/drawing/2014/main" id="{5BC5BF5A-2F42-480E-91A5-D114C755C1BF}"/>
            </a:ext>
          </a:extLst>
        </xdr:cNvPr>
        <xdr:cNvSpPr>
          <a:spLocks noChangeShapeType="1"/>
        </xdr:cNvSpPr>
      </xdr:nvSpPr>
      <xdr:spPr bwMode="auto">
        <a:xfrm>
          <a:off x="28575" y="3114675"/>
          <a:ext cx="119062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36</xdr:row>
      <xdr:rowOff>28575</xdr:rowOff>
    </xdr:from>
    <xdr:to>
      <xdr:col>1</xdr:col>
      <xdr:colOff>876300</xdr:colOff>
      <xdr:row>37</xdr:row>
      <xdr:rowOff>152400</xdr:rowOff>
    </xdr:to>
    <xdr:sp macro="" textlink="">
      <xdr:nvSpPr>
        <xdr:cNvPr id="4" name="Line 5">
          <a:extLst>
            <a:ext uri="{FF2B5EF4-FFF2-40B4-BE49-F238E27FC236}">
              <a16:creationId xmlns:a16="http://schemas.microsoft.com/office/drawing/2014/main" id="{CD0BE0A6-1890-48B9-8DC5-F9D318A369A2}"/>
            </a:ext>
          </a:extLst>
        </xdr:cNvPr>
        <xdr:cNvSpPr>
          <a:spLocks noChangeShapeType="1"/>
        </xdr:cNvSpPr>
      </xdr:nvSpPr>
      <xdr:spPr bwMode="auto">
        <a:xfrm>
          <a:off x="9525" y="6200775"/>
          <a:ext cx="12001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51</xdr:row>
      <xdr:rowOff>28575</xdr:rowOff>
    </xdr:from>
    <xdr:to>
      <xdr:col>1</xdr:col>
      <xdr:colOff>876300</xdr:colOff>
      <xdr:row>52</xdr:row>
      <xdr:rowOff>152400</xdr:rowOff>
    </xdr:to>
    <xdr:sp macro="" textlink="">
      <xdr:nvSpPr>
        <xdr:cNvPr id="5" name="Line 6">
          <a:extLst>
            <a:ext uri="{FF2B5EF4-FFF2-40B4-BE49-F238E27FC236}">
              <a16:creationId xmlns:a16="http://schemas.microsoft.com/office/drawing/2014/main" id="{6B05B137-C2A2-4DD3-8BB4-3DB3771FE5D7}"/>
            </a:ext>
          </a:extLst>
        </xdr:cNvPr>
        <xdr:cNvSpPr>
          <a:spLocks noChangeShapeType="1"/>
        </xdr:cNvSpPr>
      </xdr:nvSpPr>
      <xdr:spPr bwMode="auto">
        <a:xfrm>
          <a:off x="9525" y="8772525"/>
          <a:ext cx="12001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xdr:row>
      <xdr:rowOff>19050</xdr:rowOff>
    </xdr:from>
    <xdr:to>
      <xdr:col>1</xdr:col>
      <xdr:colOff>866775</xdr:colOff>
      <xdr:row>2</xdr:row>
      <xdr:rowOff>314325</xdr:rowOff>
    </xdr:to>
    <xdr:sp macro="" textlink="">
      <xdr:nvSpPr>
        <xdr:cNvPr id="1181992" name="Line 1">
          <a:extLst>
            <a:ext uri="{FF2B5EF4-FFF2-40B4-BE49-F238E27FC236}">
              <a16:creationId xmlns:a16="http://schemas.microsoft.com/office/drawing/2014/main" id="{00000000-0008-0000-1800-000028091200}"/>
            </a:ext>
          </a:extLst>
        </xdr:cNvPr>
        <xdr:cNvSpPr>
          <a:spLocks noChangeShapeType="1"/>
        </xdr:cNvSpPr>
      </xdr:nvSpPr>
      <xdr:spPr bwMode="auto">
        <a:xfrm>
          <a:off x="9525" y="190500"/>
          <a:ext cx="1190625"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0</xdr:colOff>
      <xdr:row>2</xdr:row>
      <xdr:rowOff>314325</xdr:rowOff>
    </xdr:to>
    <xdr:sp macro="" textlink="">
      <xdr:nvSpPr>
        <xdr:cNvPr id="1183016" name="Line 1">
          <a:extLst>
            <a:ext uri="{FF2B5EF4-FFF2-40B4-BE49-F238E27FC236}">
              <a16:creationId xmlns:a16="http://schemas.microsoft.com/office/drawing/2014/main" id="{00000000-0008-0000-1900-0000280D1200}"/>
            </a:ext>
          </a:extLst>
        </xdr:cNvPr>
        <xdr:cNvSpPr>
          <a:spLocks noChangeShapeType="1"/>
        </xdr:cNvSpPr>
      </xdr:nvSpPr>
      <xdr:spPr bwMode="auto">
        <a:xfrm>
          <a:off x="9525" y="190500"/>
          <a:ext cx="1219200"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1</xdr:row>
      <xdr:rowOff>19050</xdr:rowOff>
    </xdr:from>
    <xdr:to>
      <xdr:col>2</xdr:col>
      <xdr:colOff>0</xdr:colOff>
      <xdr:row>3</xdr:row>
      <xdr:rowOff>0</xdr:rowOff>
    </xdr:to>
    <xdr:sp macro="" textlink="">
      <xdr:nvSpPr>
        <xdr:cNvPr id="1136954" name="Line 1">
          <a:extLst>
            <a:ext uri="{FF2B5EF4-FFF2-40B4-BE49-F238E27FC236}">
              <a16:creationId xmlns:a16="http://schemas.microsoft.com/office/drawing/2014/main" id="{00000000-0008-0000-1A00-00003A591100}"/>
            </a:ext>
          </a:extLst>
        </xdr:cNvPr>
        <xdr:cNvSpPr>
          <a:spLocks noChangeShapeType="1"/>
        </xdr:cNvSpPr>
      </xdr:nvSpPr>
      <xdr:spPr bwMode="auto">
        <a:xfrm>
          <a:off x="9525" y="190500"/>
          <a:ext cx="1304925"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xdr:row>
      <xdr:rowOff>19050</xdr:rowOff>
    </xdr:from>
    <xdr:to>
      <xdr:col>1</xdr:col>
      <xdr:colOff>952500</xdr:colOff>
      <xdr:row>3</xdr:row>
      <xdr:rowOff>9525</xdr:rowOff>
    </xdr:to>
    <xdr:sp macro="" textlink="">
      <xdr:nvSpPr>
        <xdr:cNvPr id="1109330" name="Line 1">
          <a:extLst>
            <a:ext uri="{FF2B5EF4-FFF2-40B4-BE49-F238E27FC236}">
              <a16:creationId xmlns:a16="http://schemas.microsoft.com/office/drawing/2014/main" id="{00000000-0008-0000-1B00-000052ED1000}"/>
            </a:ext>
          </a:extLst>
        </xdr:cNvPr>
        <xdr:cNvSpPr>
          <a:spLocks noChangeShapeType="1"/>
        </xdr:cNvSpPr>
      </xdr:nvSpPr>
      <xdr:spPr bwMode="auto">
        <a:xfrm>
          <a:off x="9525" y="190500"/>
          <a:ext cx="1285875"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1.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4.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apir.or.jp/"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4E519-8D7A-4DDD-B968-9CF7A7C9BC19}">
  <sheetPr>
    <tabColor theme="9" tint="0.59999389629810485"/>
  </sheetPr>
  <dimension ref="A1:J49"/>
  <sheetViews>
    <sheetView workbookViewId="0">
      <selection activeCell="C1" sqref="C1"/>
    </sheetView>
  </sheetViews>
  <sheetFormatPr defaultRowHeight="16.5"/>
  <cols>
    <col min="1" max="10" width="8.35546875" style="2284" customWidth="1"/>
    <col min="11" max="16384" width="9.140625" style="2284"/>
  </cols>
  <sheetData>
    <row r="1" spans="1:10">
      <c r="A1" s="2282"/>
      <c r="B1" s="2283"/>
      <c r="C1" s="2282"/>
      <c r="D1" s="2282"/>
      <c r="E1" s="2282"/>
      <c r="F1" s="2282"/>
      <c r="G1" s="2282"/>
      <c r="H1" s="2282"/>
      <c r="I1" s="2282"/>
    </row>
    <row r="2" spans="1:10">
      <c r="A2" s="2282"/>
      <c r="B2" s="2283"/>
      <c r="C2" s="2282"/>
      <c r="D2" s="2282"/>
      <c r="E2" s="2282"/>
      <c r="F2" s="2282"/>
      <c r="G2" s="2282"/>
      <c r="H2" s="2282"/>
      <c r="I2" s="2282"/>
    </row>
    <row r="3" spans="1:10">
      <c r="A3" s="2282"/>
      <c r="B3" s="2283"/>
      <c r="C3" s="2282"/>
      <c r="D3" s="2282"/>
      <c r="E3" s="2282"/>
      <c r="F3" s="2282"/>
      <c r="G3" s="2282"/>
      <c r="H3" s="2282"/>
      <c r="I3" s="2282"/>
    </row>
    <row r="4" spans="1:10">
      <c r="A4" s="2282"/>
      <c r="B4" s="2283"/>
      <c r="C4" s="2282"/>
      <c r="D4" s="2282"/>
      <c r="E4" s="2282"/>
      <c r="F4" s="2282"/>
      <c r="G4" s="2282"/>
      <c r="H4" s="2282"/>
      <c r="I4" s="2282"/>
    </row>
    <row r="5" spans="1:10">
      <c r="A5" s="2282"/>
      <c r="B5" s="2283"/>
      <c r="C5" s="2282"/>
      <c r="D5" s="2282"/>
      <c r="E5" s="2282"/>
      <c r="F5" s="2282"/>
      <c r="G5" s="2282"/>
      <c r="H5" s="2282"/>
      <c r="I5" s="2282"/>
    </row>
    <row r="6" spans="1:10">
      <c r="A6" s="2282"/>
      <c r="B6" s="2283"/>
      <c r="C6" s="2282"/>
      <c r="D6" s="2282"/>
      <c r="E6" s="2282"/>
      <c r="F6" s="2282"/>
      <c r="G6" s="2282"/>
      <c r="H6" s="2282"/>
      <c r="I6" s="2282"/>
    </row>
    <row r="7" spans="1:10">
      <c r="A7" s="2282"/>
      <c r="B7" s="2283"/>
      <c r="C7" s="2282"/>
      <c r="D7" s="2282"/>
      <c r="E7" s="2282"/>
      <c r="F7" s="2282"/>
      <c r="G7" s="2282"/>
      <c r="H7" s="2282"/>
      <c r="I7" s="2282"/>
    </row>
    <row r="8" spans="1:10" ht="34.5">
      <c r="A8" s="2029" t="s">
        <v>1820</v>
      </c>
      <c r="B8" s="2282"/>
      <c r="C8" s="2285"/>
      <c r="D8" s="2285"/>
      <c r="E8" s="2285"/>
      <c r="F8" s="2285"/>
      <c r="G8" s="2285"/>
      <c r="H8" s="2285"/>
      <c r="I8" s="2285"/>
      <c r="J8" s="2286"/>
    </row>
    <row r="9" spans="1:10" ht="25.5">
      <c r="A9" s="2285"/>
      <c r="B9" s="2287"/>
      <c r="C9" s="2288" t="s">
        <v>1821</v>
      </c>
      <c r="D9" s="2281"/>
      <c r="E9" s="2282"/>
      <c r="F9" s="2282"/>
      <c r="G9" s="2282"/>
      <c r="H9" s="2282"/>
      <c r="I9" s="2282"/>
    </row>
    <row r="10" spans="1:10">
      <c r="A10" s="2282"/>
      <c r="B10" s="2283"/>
      <c r="C10" s="2282"/>
      <c r="D10" s="2282"/>
      <c r="E10" s="2282"/>
      <c r="F10" s="2282"/>
      <c r="G10" s="2282"/>
      <c r="H10" s="2282"/>
      <c r="I10" s="2282"/>
    </row>
    <row r="11" spans="1:10">
      <c r="A11" s="2282"/>
      <c r="B11" s="2283"/>
      <c r="C11" s="2282"/>
      <c r="D11" s="2282"/>
      <c r="E11" s="2282"/>
      <c r="F11" s="2282"/>
      <c r="G11" s="2282"/>
      <c r="H11" s="2282"/>
      <c r="I11" s="2282"/>
    </row>
    <row r="12" spans="1:10">
      <c r="A12" s="2282"/>
      <c r="B12" s="2283"/>
      <c r="C12" s="2282"/>
      <c r="D12" s="2282"/>
      <c r="E12" s="2282"/>
      <c r="F12" s="2282"/>
      <c r="G12" s="2282"/>
      <c r="H12" s="2282"/>
      <c r="I12" s="2282"/>
    </row>
    <row r="13" spans="1:10">
      <c r="A13" s="2282"/>
      <c r="B13" s="2283"/>
      <c r="C13" s="2282"/>
      <c r="D13" s="2282"/>
      <c r="E13" s="2282"/>
      <c r="F13" s="2282"/>
      <c r="G13" s="2282"/>
      <c r="H13" s="2282"/>
      <c r="I13" s="2282"/>
    </row>
    <row r="14" spans="1:10">
      <c r="A14" s="2282"/>
      <c r="B14" s="2283"/>
      <c r="C14" s="2282"/>
      <c r="D14" s="2282"/>
      <c r="E14" s="2282"/>
      <c r="F14" s="2282"/>
      <c r="G14" s="2282"/>
      <c r="H14" s="2282"/>
      <c r="I14" s="2282"/>
    </row>
    <row r="15" spans="1:10">
      <c r="A15" s="2282"/>
      <c r="B15" s="2283"/>
      <c r="C15" s="2282"/>
      <c r="D15" s="2282"/>
      <c r="E15" s="2282"/>
      <c r="F15" s="2282"/>
      <c r="G15" s="2282"/>
      <c r="H15" s="2282"/>
      <c r="I15" s="2282"/>
    </row>
    <row r="16" spans="1:10" ht="25.5">
      <c r="A16" s="2282"/>
      <c r="B16" s="2291" t="s">
        <v>1885</v>
      </c>
      <c r="C16" s="2291"/>
      <c r="D16" s="2291"/>
      <c r="E16" s="2291"/>
      <c r="F16" s="2291"/>
      <c r="G16" s="2291"/>
      <c r="H16" s="2282"/>
      <c r="I16" s="2282"/>
    </row>
    <row r="17" spans="1:9">
      <c r="A17" s="2282"/>
      <c r="B17" s="2283"/>
      <c r="C17" s="2282"/>
      <c r="D17" s="2282"/>
      <c r="E17" s="2282"/>
      <c r="F17" s="2282"/>
      <c r="G17" s="2282"/>
      <c r="H17" s="2282"/>
      <c r="I17" s="2282"/>
    </row>
    <row r="18" spans="1:9">
      <c r="A18" s="2282"/>
      <c r="B18" s="2283"/>
      <c r="C18" s="2282"/>
      <c r="D18" s="2282"/>
      <c r="E18" s="2282"/>
      <c r="F18" s="2282"/>
      <c r="G18" s="2282"/>
      <c r="H18" s="2282"/>
      <c r="I18" s="2282"/>
    </row>
    <row r="19" spans="1:9">
      <c r="A19" s="2282"/>
      <c r="B19" s="2283"/>
      <c r="C19" s="2282"/>
      <c r="D19" s="2282"/>
      <c r="E19" s="2282"/>
      <c r="F19" s="2282"/>
      <c r="G19" s="2282"/>
      <c r="H19" s="2282"/>
      <c r="I19" s="2282"/>
    </row>
    <row r="20" spans="1:9">
      <c r="A20" s="2282"/>
      <c r="B20" s="2283"/>
      <c r="C20" s="2282"/>
      <c r="D20" s="2282"/>
      <c r="E20" s="2282"/>
      <c r="F20" s="2282"/>
      <c r="G20" s="2282"/>
      <c r="H20" s="2282"/>
      <c r="I20" s="2282"/>
    </row>
    <row r="21" spans="1:9">
      <c r="A21" s="2282"/>
      <c r="B21" s="2283"/>
      <c r="C21" s="2282"/>
      <c r="D21" s="2282"/>
      <c r="E21" s="2282"/>
      <c r="F21" s="2282"/>
      <c r="G21" s="2282"/>
      <c r="H21" s="2282"/>
      <c r="I21" s="2282"/>
    </row>
    <row r="22" spans="1:9">
      <c r="A22" s="2282"/>
      <c r="B22" s="2283"/>
      <c r="C22" s="2282"/>
      <c r="D22" s="2282"/>
      <c r="E22" s="2282"/>
      <c r="F22" s="2282"/>
      <c r="G22" s="2282"/>
      <c r="H22" s="2282"/>
      <c r="I22" s="2282"/>
    </row>
    <row r="23" spans="1:9">
      <c r="A23" s="2282"/>
      <c r="B23" s="2283"/>
      <c r="C23" s="2282"/>
      <c r="D23" s="2282"/>
      <c r="E23" s="2282"/>
      <c r="F23" s="2282"/>
      <c r="G23" s="2282"/>
      <c r="H23" s="2282"/>
      <c r="I23" s="2282"/>
    </row>
    <row r="24" spans="1:9">
      <c r="A24" s="2282"/>
      <c r="B24" s="2283"/>
      <c r="C24" s="2282"/>
      <c r="D24" s="2282"/>
      <c r="E24" s="2282"/>
      <c r="F24" s="2282"/>
      <c r="G24" s="2282"/>
      <c r="H24" s="2282"/>
      <c r="I24" s="2282"/>
    </row>
    <row r="25" spans="1:9">
      <c r="A25" s="2282"/>
      <c r="B25" s="2283"/>
      <c r="C25" s="2282"/>
      <c r="D25" s="2282"/>
      <c r="E25" s="2282"/>
      <c r="F25" s="2282"/>
      <c r="G25" s="2282"/>
      <c r="H25" s="2282"/>
      <c r="I25" s="2282"/>
    </row>
    <row r="26" spans="1:9">
      <c r="A26" s="2282"/>
      <c r="B26" s="2283"/>
      <c r="C26" s="2282"/>
      <c r="D26" s="2282"/>
      <c r="E26" s="2282"/>
      <c r="F26" s="2282"/>
      <c r="G26" s="2282"/>
      <c r="H26" s="2282"/>
      <c r="I26" s="2282"/>
    </row>
    <row r="27" spans="1:9">
      <c r="A27" s="2282"/>
      <c r="B27" s="2283"/>
      <c r="C27" s="2282"/>
      <c r="D27" s="2282"/>
      <c r="E27" s="2282"/>
      <c r="F27" s="2282"/>
      <c r="G27" s="2282"/>
      <c r="H27" s="2282"/>
      <c r="I27" s="2282"/>
    </row>
    <row r="28" spans="1:9">
      <c r="A28" s="2282"/>
      <c r="B28" s="2283"/>
      <c r="C28" s="2282"/>
      <c r="D28" s="2282"/>
      <c r="E28" s="2282"/>
      <c r="F28" s="2282"/>
      <c r="G28" s="2282"/>
      <c r="H28" s="2282"/>
      <c r="I28" s="2282"/>
    </row>
    <row r="29" spans="1:9">
      <c r="A29" s="2282"/>
      <c r="B29" s="2283"/>
      <c r="C29" s="2282"/>
      <c r="D29" s="2282"/>
      <c r="E29" s="2282"/>
      <c r="F29" s="2282"/>
      <c r="G29" s="2282"/>
      <c r="H29" s="2282"/>
      <c r="I29" s="2282"/>
    </row>
    <row r="30" spans="1:9">
      <c r="A30" s="2282"/>
      <c r="B30" s="2283"/>
      <c r="C30" s="2282"/>
      <c r="D30" s="2282"/>
      <c r="E30" s="2282"/>
      <c r="F30" s="2282"/>
      <c r="G30" s="2282"/>
      <c r="H30" s="2282"/>
      <c r="I30" s="2282"/>
    </row>
    <row r="31" spans="1:9">
      <c r="A31" s="2282"/>
      <c r="B31" s="2283"/>
      <c r="C31" s="2282"/>
      <c r="D31" s="2282"/>
      <c r="E31" s="2282"/>
      <c r="F31" s="2282"/>
      <c r="G31" s="2282"/>
      <c r="H31" s="2282"/>
      <c r="I31" s="2282"/>
    </row>
    <row r="32" spans="1:9">
      <c r="A32" s="2282"/>
      <c r="B32" s="2283"/>
      <c r="C32" s="2282"/>
      <c r="D32" s="2282"/>
      <c r="E32" s="2282"/>
      <c r="F32" s="2282"/>
      <c r="G32" s="2282"/>
      <c r="H32" s="2282"/>
      <c r="I32" s="2282"/>
    </row>
    <row r="33" spans="1:9">
      <c r="A33" s="2282"/>
      <c r="B33" s="2283"/>
      <c r="C33" s="2282"/>
      <c r="D33" s="2282"/>
      <c r="E33" s="2282"/>
      <c r="F33" s="2282"/>
      <c r="G33" s="2282"/>
      <c r="H33" s="2282"/>
      <c r="I33" s="2282"/>
    </row>
    <row r="34" spans="1:9">
      <c r="A34" s="2282"/>
      <c r="B34" s="2289"/>
      <c r="C34" s="2282"/>
      <c r="D34" s="2282"/>
      <c r="E34" s="2282"/>
      <c r="F34" s="2282"/>
      <c r="G34" s="2282"/>
      <c r="H34" s="2282"/>
      <c r="I34" s="2282"/>
    </row>
    <row r="35" spans="1:9" ht="21">
      <c r="A35" s="2282"/>
      <c r="B35" s="2282"/>
      <c r="C35" s="2292">
        <v>46125</v>
      </c>
      <c r="D35" s="2292"/>
      <c r="E35" s="2292"/>
      <c r="F35" s="2292"/>
      <c r="G35" s="2282"/>
      <c r="H35" s="2282"/>
      <c r="I35" s="2282"/>
    </row>
    <row r="36" spans="1:9" ht="21">
      <c r="A36" s="2282"/>
      <c r="B36" s="2282"/>
      <c r="C36" s="2030"/>
      <c r="D36" s="2030"/>
      <c r="E36" s="2030"/>
      <c r="F36" s="2030"/>
      <c r="G36" s="2282"/>
      <c r="H36" s="2282"/>
      <c r="I36" s="2282"/>
    </row>
    <row r="37" spans="1:9" ht="21">
      <c r="A37" s="2282"/>
      <c r="B37" s="2282"/>
      <c r="C37" s="2030"/>
      <c r="D37" s="2030"/>
      <c r="E37" s="2030"/>
      <c r="F37" s="2030"/>
      <c r="G37" s="2282"/>
      <c r="H37" s="2282"/>
      <c r="I37" s="2282"/>
    </row>
    <row r="38" spans="1:9" ht="21">
      <c r="A38" s="2282"/>
      <c r="B38" s="2282"/>
      <c r="C38" s="2030"/>
      <c r="D38" s="2030"/>
      <c r="E38" s="2030"/>
      <c r="F38" s="2030"/>
      <c r="G38" s="2282"/>
      <c r="H38" s="2282"/>
      <c r="I38" s="2282"/>
    </row>
    <row r="39" spans="1:9" ht="21">
      <c r="A39" s="2282"/>
      <c r="B39" s="2282"/>
      <c r="C39" s="2030"/>
      <c r="D39" s="2030"/>
      <c r="E39" s="2030"/>
      <c r="F39" s="2030"/>
      <c r="G39" s="2282"/>
      <c r="H39" s="2282"/>
      <c r="I39" s="2282"/>
    </row>
    <row r="40" spans="1:9" ht="21">
      <c r="A40" s="2282"/>
      <c r="B40" s="2282"/>
      <c r="C40" s="2030"/>
      <c r="D40" s="2030"/>
      <c r="E40" s="2030"/>
      <c r="F40" s="2030"/>
      <c r="G40" s="2282"/>
      <c r="H40" s="2282"/>
      <c r="I40" s="2282"/>
    </row>
    <row r="41" spans="1:9" ht="21">
      <c r="A41" s="2282"/>
      <c r="B41" s="2282"/>
      <c r="C41" s="2030"/>
      <c r="D41" s="2030"/>
      <c r="E41" s="2030"/>
      <c r="F41" s="2030"/>
      <c r="G41" s="2282"/>
      <c r="H41" s="2282"/>
      <c r="I41" s="2282"/>
    </row>
    <row r="42" spans="1:9">
      <c r="A42" s="2282"/>
      <c r="B42" s="2283"/>
      <c r="C42" s="2282"/>
      <c r="D42" s="2282"/>
      <c r="E42" s="2282"/>
      <c r="F42" s="2282"/>
      <c r="G42" s="2282"/>
      <c r="H42" s="2282"/>
      <c r="I42" s="2282"/>
    </row>
    <row r="43" spans="1:9">
      <c r="A43" s="2282"/>
      <c r="B43" s="2283"/>
      <c r="C43" s="2282"/>
      <c r="D43" s="2282"/>
      <c r="E43" s="2282"/>
      <c r="F43" s="2282"/>
      <c r="G43" s="2282"/>
      <c r="H43" s="2282"/>
      <c r="I43" s="2282"/>
    </row>
    <row r="44" spans="1:9" ht="24.75" customHeight="1">
      <c r="A44" s="2282"/>
      <c r="B44" s="2293" t="s">
        <v>1822</v>
      </c>
      <c r="C44" s="2293"/>
      <c r="D44" s="2293"/>
      <c r="E44" s="2293"/>
      <c r="F44" s="2293"/>
      <c r="G44" s="2293"/>
      <c r="H44" s="2282"/>
      <c r="I44" s="2282"/>
    </row>
    <row r="45" spans="1:9">
      <c r="A45" s="2282"/>
      <c r="B45" s="2282"/>
      <c r="C45" s="2282"/>
      <c r="D45" s="2282"/>
      <c r="E45" s="2282"/>
      <c r="F45" s="2282"/>
      <c r="G45" s="2282"/>
      <c r="H45" s="2282"/>
      <c r="I45" s="2282"/>
    </row>
    <row r="46" spans="1:9">
      <c r="A46" s="2282"/>
      <c r="B46" s="2282"/>
      <c r="C46" s="2282"/>
      <c r="D46" s="2282"/>
      <c r="E46" s="2282"/>
      <c r="F46" s="2282"/>
      <c r="G46" s="2282"/>
      <c r="H46" s="2282"/>
      <c r="I46" s="2282"/>
    </row>
    <row r="47" spans="1:9">
      <c r="A47" s="2282"/>
      <c r="B47" s="2282"/>
      <c r="C47" s="2282"/>
      <c r="D47" s="2282"/>
      <c r="E47" s="2282"/>
      <c r="F47" s="2282"/>
      <c r="G47" s="2282"/>
      <c r="H47" s="2282"/>
      <c r="I47" s="2282"/>
    </row>
    <row r="48" spans="1:9">
      <c r="A48" s="2282"/>
      <c r="B48" s="2282"/>
      <c r="C48" s="2282"/>
      <c r="D48" s="2282"/>
      <c r="E48" s="2282"/>
      <c r="F48" s="2282"/>
      <c r="G48" s="2282"/>
      <c r="H48" s="2282"/>
      <c r="I48" s="2282"/>
    </row>
    <row r="49" spans="9:9">
      <c r="I49" s="2282"/>
    </row>
  </sheetData>
  <mergeCells count="3">
    <mergeCell ref="B16:G16"/>
    <mergeCell ref="C35:F35"/>
    <mergeCell ref="B44:G44"/>
  </mergeCells>
  <phoneticPr fontId="1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tabColor theme="9" tint="0.59999389629810485"/>
  </sheetPr>
  <dimension ref="A1:V113"/>
  <sheetViews>
    <sheetView workbookViewId="0">
      <pane xSplit="2" ySplit="3" topLeftCell="C4" activePane="bottomRight" state="frozen"/>
      <selection pane="topRight" activeCell="C1" sqref="C1"/>
      <selection pane="bottomLeft" activeCell="A4" sqref="A4"/>
      <selection pane="bottomRight" activeCell="G11" sqref="G11"/>
    </sheetView>
  </sheetViews>
  <sheetFormatPr defaultColWidth="8.7109375" defaultRowHeight="13"/>
  <cols>
    <col min="1" max="1" width="3.5" style="49" customWidth="1"/>
    <col min="2" max="2" width="9.5" style="49" customWidth="1"/>
    <col min="3" max="15" width="8.7109375" style="239"/>
    <col min="16" max="17" width="5" style="49" customWidth="1"/>
    <col min="18" max="18" width="10.5" style="49" customWidth="1"/>
    <col min="19" max="20" width="4.5703125" style="49" customWidth="1"/>
    <col min="21" max="16384" width="8.7109375" style="49"/>
  </cols>
  <sheetData>
    <row r="1" spans="1:22" ht="18">
      <c r="A1" s="86"/>
      <c r="B1" s="65" t="s">
        <v>925</v>
      </c>
      <c r="N1" s="239" t="s">
        <v>818</v>
      </c>
      <c r="O1" s="49"/>
      <c r="R1" s="842" t="s">
        <v>1344</v>
      </c>
      <c r="S1" s="843"/>
    </row>
    <row r="2" spans="1:22" ht="37.5">
      <c r="A2" s="294"/>
      <c r="B2" s="296" t="s">
        <v>930</v>
      </c>
      <c r="C2" s="275" t="s">
        <v>817</v>
      </c>
      <c r="D2" s="291" t="s">
        <v>68</v>
      </c>
      <c r="E2" s="275" t="s">
        <v>1289</v>
      </c>
      <c r="F2" s="297" t="s">
        <v>69</v>
      </c>
      <c r="G2" s="291"/>
      <c r="H2" s="291"/>
      <c r="I2" s="817"/>
      <c r="J2" s="291" t="s">
        <v>70</v>
      </c>
      <c r="K2" s="275" t="s">
        <v>671</v>
      </c>
      <c r="L2" s="2310" t="s">
        <v>71</v>
      </c>
      <c r="M2" s="2311"/>
      <c r="N2" s="291"/>
      <c r="O2" s="817"/>
      <c r="P2" s="92"/>
      <c r="Q2" s="92"/>
      <c r="R2" s="844" t="s">
        <v>1345</v>
      </c>
      <c r="S2" s="908">
        <f>+SUM(C69:O69)</f>
        <v>-1385844.7079256363</v>
      </c>
      <c r="U2" s="844" t="s">
        <v>1343</v>
      </c>
      <c r="V2" s="845"/>
    </row>
    <row r="3" spans="1:22" ht="28.5">
      <c r="A3" s="295"/>
      <c r="B3" s="131" t="s">
        <v>931</v>
      </c>
      <c r="C3" s="853" t="s">
        <v>82</v>
      </c>
      <c r="D3" s="819"/>
      <c r="E3" s="820"/>
      <c r="F3" s="821" t="s">
        <v>83</v>
      </c>
      <c r="G3" s="822" t="s">
        <v>72</v>
      </c>
      <c r="H3" s="823" t="s">
        <v>73</v>
      </c>
      <c r="I3" s="824" t="s">
        <v>74</v>
      </c>
      <c r="J3" s="819"/>
      <c r="K3" s="818" t="s">
        <v>75</v>
      </c>
      <c r="L3" s="825" t="s">
        <v>76</v>
      </c>
      <c r="M3" s="822" t="s">
        <v>77</v>
      </c>
      <c r="N3" s="823" t="s">
        <v>78</v>
      </c>
      <c r="O3" s="817" t="s">
        <v>81</v>
      </c>
      <c r="P3" s="92"/>
      <c r="Q3" s="92"/>
      <c r="R3" s="846" t="s">
        <v>1346</v>
      </c>
      <c r="S3" s="847">
        <f>SUM(S4:S65)</f>
        <v>0</v>
      </c>
      <c r="U3" s="848" t="s">
        <v>956</v>
      </c>
      <c r="V3" s="849" t="s">
        <v>1342</v>
      </c>
    </row>
    <row r="4" spans="1:22">
      <c r="A4" s="303"/>
      <c r="B4" s="203" t="s">
        <v>166</v>
      </c>
      <c r="C4" s="826">
        <f>'２次調整'!U6</f>
        <v>19997123</v>
      </c>
      <c r="D4" s="827">
        <f>民間消費!C6</f>
        <v>12941390.801238377</v>
      </c>
      <c r="E4" s="827">
        <f>政府消費!C6</f>
        <v>1976091.6379963746</v>
      </c>
      <c r="F4" s="827">
        <f t="shared" ref="F4:F14" si="0">G4+H4+I4</f>
        <v>4733128.5767589957</v>
      </c>
      <c r="G4" s="827">
        <f>民間住宅1!C6</f>
        <v>958034</v>
      </c>
      <c r="H4" s="827">
        <f>民間設備投資計!C6</f>
        <v>3759498.801716405</v>
      </c>
      <c r="I4" s="827">
        <f>民間在庫品増加!C6</f>
        <v>15595.775042590958</v>
      </c>
      <c r="J4" s="827">
        <f>公的投資!C6</f>
        <v>816818.51852516376</v>
      </c>
      <c r="K4" s="826">
        <f t="shared" ref="K4:K14" si="1">D4+E4+F4+J4</f>
        <v>20467429.534518912</v>
      </c>
      <c r="L4" s="827">
        <f t="shared" ref="L4:L14" si="2">C4-K4</f>
        <v>-470306.53451891243</v>
      </c>
      <c r="M4" s="827">
        <f>SUM(M5:M14)</f>
        <v>18278658.05164396</v>
      </c>
      <c r="N4" s="827">
        <f>SUM(N5:N14)</f>
        <v>17465728</v>
      </c>
      <c r="O4" s="828">
        <f>SUM(O5:O14)</f>
        <v>-1283236.5861628735</v>
      </c>
      <c r="P4" s="298"/>
      <c r="Q4" s="77"/>
      <c r="R4" s="49">
        <f>D4+E4+F4+J4+L4</f>
        <v>19997123</v>
      </c>
      <c r="S4" s="49">
        <f t="shared" ref="S4:S14" si="3">R4-C4</f>
        <v>0</v>
      </c>
      <c r="U4" s="49">
        <f>民間設備製造1!C6</f>
        <v>1453727.8889996887</v>
      </c>
      <c r="V4" s="49">
        <f t="shared" ref="V4:V14" si="4">D4+E4+G4+J4+U4</f>
        <v>18146062.846759606</v>
      </c>
    </row>
    <row r="5" spans="1:22">
      <c r="A5" s="298">
        <v>100</v>
      </c>
      <c r="B5" s="75" t="s">
        <v>172</v>
      </c>
      <c r="C5" s="829">
        <f>'２次調整'!U7</f>
        <v>6161480</v>
      </c>
      <c r="D5" s="830">
        <f>民間消費!C7</f>
        <v>3907986.8012383766</v>
      </c>
      <c r="E5" s="830">
        <f>政府消費!C7</f>
        <v>575527.63799637463</v>
      </c>
      <c r="F5" s="830">
        <f t="shared" si="0"/>
        <v>1244023.5767589961</v>
      </c>
      <c r="G5" s="830">
        <f>民間住宅1!C7</f>
        <v>316256</v>
      </c>
      <c r="H5" s="830">
        <f>民間設備投資計!C7</f>
        <v>923210.8017164052</v>
      </c>
      <c r="I5" s="830">
        <f>民間在庫品増加!C7</f>
        <v>4556.775042590958</v>
      </c>
      <c r="J5" s="830">
        <f>公的投資!C7</f>
        <v>255301.51852516376</v>
      </c>
      <c r="K5" s="829">
        <f t="shared" si="1"/>
        <v>5982839.5345189115</v>
      </c>
      <c r="L5" s="830">
        <f t="shared" si="2"/>
        <v>178640.4654810885</v>
      </c>
      <c r="M5" s="830">
        <f t="shared" ref="M5:O6" si="5">M16</f>
        <v>5610309.051643962</v>
      </c>
      <c r="N5" s="830">
        <f t="shared" si="5"/>
        <v>5105413</v>
      </c>
      <c r="O5" s="831">
        <f t="shared" si="5"/>
        <v>-326255.58616287354</v>
      </c>
      <c r="P5" s="298">
        <v>100</v>
      </c>
      <c r="Q5" s="77"/>
      <c r="R5" s="49">
        <f t="shared" ref="R5:R14" si="6">D5+E5+F5+J5+L5</f>
        <v>6161480</v>
      </c>
      <c r="S5" s="49">
        <f t="shared" si="3"/>
        <v>0</v>
      </c>
      <c r="U5" s="49">
        <f>民間設備製造1!C7</f>
        <v>249210.88899968867</v>
      </c>
      <c r="V5" s="49">
        <f t="shared" si="4"/>
        <v>5304282.8467596034</v>
      </c>
    </row>
    <row r="6" spans="1:22">
      <c r="A6" s="298">
        <v>1</v>
      </c>
      <c r="B6" s="75" t="s">
        <v>323</v>
      </c>
      <c r="C6" s="829">
        <f>'２次調整'!U8</f>
        <v>3072775</v>
      </c>
      <c r="D6" s="830">
        <f>民間消費!C8</f>
        <v>2576483</v>
      </c>
      <c r="E6" s="830">
        <f>政府消費!C8</f>
        <v>348992</v>
      </c>
      <c r="F6" s="830">
        <f t="shared" si="0"/>
        <v>960943</v>
      </c>
      <c r="G6" s="830">
        <f>民間住宅1!C8</f>
        <v>184656</v>
      </c>
      <c r="H6" s="830">
        <f>民間設備投資計!C8</f>
        <v>773227</v>
      </c>
      <c r="I6" s="830">
        <f>民間在庫品増加!C8</f>
        <v>3060</v>
      </c>
      <c r="J6" s="830">
        <f>公的投資!C8</f>
        <v>128734</v>
      </c>
      <c r="K6" s="829">
        <f t="shared" si="1"/>
        <v>4015152</v>
      </c>
      <c r="L6" s="830">
        <f t="shared" si="2"/>
        <v>-942377</v>
      </c>
      <c r="M6" s="830">
        <f t="shared" si="5"/>
        <v>2838199</v>
      </c>
      <c r="N6" s="830">
        <f t="shared" si="5"/>
        <v>3426300</v>
      </c>
      <c r="O6" s="831">
        <f t="shared" si="5"/>
        <v>-354276</v>
      </c>
      <c r="P6" s="298">
        <v>1</v>
      </c>
      <c r="Q6" s="77"/>
      <c r="R6" s="49">
        <f t="shared" si="6"/>
        <v>3072775</v>
      </c>
      <c r="S6" s="49">
        <f t="shared" si="3"/>
        <v>0</v>
      </c>
      <c r="U6" s="49">
        <f>民間設備製造1!C8</f>
        <v>320898</v>
      </c>
      <c r="V6" s="49">
        <f t="shared" si="4"/>
        <v>3559763</v>
      </c>
    </row>
    <row r="7" spans="1:22">
      <c r="A7" s="298">
        <v>2</v>
      </c>
      <c r="B7" s="75" t="s">
        <v>324</v>
      </c>
      <c r="C7" s="829">
        <f>'２次調整'!U9</f>
        <v>1858761</v>
      </c>
      <c r="D7" s="830">
        <f>民間消費!C9</f>
        <v>1577109</v>
      </c>
      <c r="E7" s="830">
        <f>政府消費!C9</f>
        <v>234773</v>
      </c>
      <c r="F7" s="830">
        <f t="shared" si="0"/>
        <v>487405</v>
      </c>
      <c r="G7" s="830">
        <f>民間住宅1!C9</f>
        <v>136214</v>
      </c>
      <c r="H7" s="830">
        <f>民間設備投資計!C9</f>
        <v>349387</v>
      </c>
      <c r="I7" s="830">
        <f>民間在庫品増加!C9</f>
        <v>1804</v>
      </c>
      <c r="J7" s="830">
        <f>公的投資!C9</f>
        <v>68661</v>
      </c>
      <c r="K7" s="829">
        <f t="shared" si="1"/>
        <v>2367948</v>
      </c>
      <c r="L7" s="830">
        <f t="shared" si="2"/>
        <v>-509187</v>
      </c>
      <c r="M7" s="830">
        <f>M21</f>
        <v>1732251</v>
      </c>
      <c r="N7" s="830">
        <f>N21</f>
        <v>2020670</v>
      </c>
      <c r="O7" s="831">
        <f>O21</f>
        <v>-220768</v>
      </c>
      <c r="P7" s="298">
        <v>2</v>
      </c>
      <c r="Q7" s="77"/>
      <c r="R7" s="49">
        <f t="shared" si="6"/>
        <v>1858761</v>
      </c>
      <c r="S7" s="49">
        <f t="shared" si="3"/>
        <v>0</v>
      </c>
      <c r="U7" s="49">
        <f>民間設備製造1!C9</f>
        <v>82624</v>
      </c>
      <c r="V7" s="49">
        <f t="shared" si="4"/>
        <v>2099381</v>
      </c>
    </row>
    <row r="8" spans="1:22">
      <c r="A8" s="298">
        <v>3</v>
      </c>
      <c r="B8" s="75" t="s">
        <v>192</v>
      </c>
      <c r="C8" s="829">
        <f>'２次調整'!U10</f>
        <v>2752357</v>
      </c>
      <c r="D8" s="830">
        <f>民間消費!C10</f>
        <v>1576725</v>
      </c>
      <c r="E8" s="830">
        <f>政府消費!C10</f>
        <v>211175</v>
      </c>
      <c r="F8" s="830">
        <f t="shared" si="0"/>
        <v>676800</v>
      </c>
      <c r="G8" s="830">
        <f>民間住宅1!C10</f>
        <v>104801</v>
      </c>
      <c r="H8" s="830">
        <f>民間設備投資計!C10</f>
        <v>570057</v>
      </c>
      <c r="I8" s="830">
        <f>民間在庫品増加!C10</f>
        <v>1942</v>
      </c>
      <c r="J8" s="830">
        <f>公的投資!C10</f>
        <v>83841</v>
      </c>
      <c r="K8" s="829">
        <f t="shared" si="1"/>
        <v>2548541</v>
      </c>
      <c r="L8" s="830">
        <f t="shared" si="2"/>
        <v>203816</v>
      </c>
      <c r="M8" s="830">
        <f>M27</f>
        <v>2476289</v>
      </c>
      <c r="N8" s="830">
        <f>N27</f>
        <v>2174777</v>
      </c>
      <c r="O8" s="831">
        <f>O27</f>
        <v>-97696</v>
      </c>
      <c r="P8" s="298">
        <v>3</v>
      </c>
      <c r="Q8" s="77"/>
      <c r="R8" s="49">
        <f t="shared" si="6"/>
        <v>2752357</v>
      </c>
      <c r="S8" s="49">
        <f t="shared" si="3"/>
        <v>0</v>
      </c>
      <c r="U8" s="49">
        <f>民間設備製造1!C10</f>
        <v>282949</v>
      </c>
      <c r="V8" s="49">
        <f t="shared" si="4"/>
        <v>2259491</v>
      </c>
    </row>
    <row r="9" spans="1:22">
      <c r="A9" s="298">
        <v>4</v>
      </c>
      <c r="B9" s="75" t="s">
        <v>325</v>
      </c>
      <c r="C9" s="829">
        <f>'２次調整'!U11</f>
        <v>1166063</v>
      </c>
      <c r="D9" s="830">
        <f>民間消費!C11</f>
        <v>559047</v>
      </c>
      <c r="E9" s="830">
        <f>政府消費!C11</f>
        <v>102911</v>
      </c>
      <c r="F9" s="830">
        <f t="shared" si="0"/>
        <v>223351</v>
      </c>
      <c r="G9" s="830">
        <f>民間住宅1!C11</f>
        <v>36907</v>
      </c>
      <c r="H9" s="830">
        <f>民間設備投資計!C11</f>
        <v>185744</v>
      </c>
      <c r="I9" s="830">
        <f>民間在庫品増加!C11</f>
        <v>700</v>
      </c>
      <c r="J9" s="830">
        <f>公的投資!C11</f>
        <v>32684</v>
      </c>
      <c r="K9" s="829">
        <f t="shared" si="1"/>
        <v>917993</v>
      </c>
      <c r="L9" s="830">
        <f t="shared" si="2"/>
        <v>248070</v>
      </c>
      <c r="M9" s="830">
        <f>M33</f>
        <v>1057849</v>
      </c>
      <c r="N9" s="830">
        <f>N33</f>
        <v>783363</v>
      </c>
      <c r="O9" s="831">
        <f>O33</f>
        <v>-26416</v>
      </c>
      <c r="P9" s="298">
        <v>4</v>
      </c>
      <c r="Q9" s="77"/>
      <c r="R9" s="49">
        <f t="shared" si="6"/>
        <v>1166063</v>
      </c>
      <c r="S9" s="49">
        <f t="shared" si="3"/>
        <v>0</v>
      </c>
      <c r="U9" s="49">
        <f>民間設備製造1!C11</f>
        <v>82326</v>
      </c>
      <c r="V9" s="49">
        <f t="shared" si="4"/>
        <v>813875</v>
      </c>
    </row>
    <row r="10" spans="1:22">
      <c r="A10" s="298">
        <v>5</v>
      </c>
      <c r="B10" s="75" t="s">
        <v>326</v>
      </c>
      <c r="C10" s="829">
        <f>'２次調整'!U12</f>
        <v>2515903</v>
      </c>
      <c r="D10" s="830">
        <f>民間消費!C12</f>
        <v>1243163</v>
      </c>
      <c r="E10" s="830">
        <f>政府消費!C12</f>
        <v>178756</v>
      </c>
      <c r="F10" s="830">
        <f t="shared" si="0"/>
        <v>609591</v>
      </c>
      <c r="G10" s="830">
        <f>民間住宅1!C12</f>
        <v>98740</v>
      </c>
      <c r="H10" s="830">
        <f>民間設備投資計!C12</f>
        <v>509216</v>
      </c>
      <c r="I10" s="830">
        <f>民間在庫品増加!C12</f>
        <v>1635</v>
      </c>
      <c r="J10" s="830">
        <f>公的投資!C12</f>
        <v>113997</v>
      </c>
      <c r="K10" s="829">
        <f t="shared" si="1"/>
        <v>2145507</v>
      </c>
      <c r="L10" s="830">
        <f t="shared" si="2"/>
        <v>370396</v>
      </c>
      <c r="M10" s="830">
        <f>M40</f>
        <v>2254267</v>
      </c>
      <c r="N10" s="830">
        <f>N40</f>
        <v>1830852</v>
      </c>
      <c r="O10" s="831">
        <f>O40</f>
        <v>-53019</v>
      </c>
      <c r="P10" s="298">
        <v>5</v>
      </c>
      <c r="Q10" s="77"/>
      <c r="R10" s="49">
        <f t="shared" si="6"/>
        <v>2515903</v>
      </c>
      <c r="S10" s="49">
        <f t="shared" si="3"/>
        <v>0</v>
      </c>
      <c r="U10" s="49">
        <f>民間設備製造1!C12</f>
        <v>267513</v>
      </c>
      <c r="V10" s="49">
        <f t="shared" si="4"/>
        <v>1902169</v>
      </c>
    </row>
    <row r="11" spans="1:22">
      <c r="A11" s="298">
        <v>6</v>
      </c>
      <c r="B11" s="75" t="s">
        <v>327</v>
      </c>
      <c r="C11" s="829">
        <f>'２次調整'!U13</f>
        <v>968752</v>
      </c>
      <c r="D11" s="830">
        <f>民間消費!C13</f>
        <v>544589</v>
      </c>
      <c r="E11" s="830">
        <f>政府消費!C13</f>
        <v>110748</v>
      </c>
      <c r="F11" s="830">
        <f t="shared" si="0"/>
        <v>253781</v>
      </c>
      <c r="G11" s="830">
        <f>民間住宅1!C13</f>
        <v>38264</v>
      </c>
      <c r="H11" s="830">
        <f>民間設備投資計!C13</f>
        <v>214789</v>
      </c>
      <c r="I11" s="830">
        <f>民間在庫品増加!C13</f>
        <v>728</v>
      </c>
      <c r="J11" s="830">
        <f>公的投資!C13</f>
        <v>46399</v>
      </c>
      <c r="K11" s="829">
        <f t="shared" si="1"/>
        <v>955517</v>
      </c>
      <c r="L11" s="830">
        <f t="shared" si="2"/>
        <v>13235</v>
      </c>
      <c r="M11" s="830">
        <f>M45</f>
        <v>895266</v>
      </c>
      <c r="N11" s="830">
        <f>N45</f>
        <v>815384</v>
      </c>
      <c r="O11" s="831">
        <f>O45</f>
        <v>-66647</v>
      </c>
      <c r="P11" s="298">
        <v>6</v>
      </c>
      <c r="Q11" s="77"/>
      <c r="R11" s="49">
        <f t="shared" si="6"/>
        <v>968752</v>
      </c>
      <c r="S11" s="49">
        <f t="shared" si="3"/>
        <v>0</v>
      </c>
      <c r="U11" s="49">
        <f>民間設備製造1!C13</f>
        <v>107145</v>
      </c>
      <c r="V11" s="49">
        <f t="shared" si="4"/>
        <v>847145</v>
      </c>
    </row>
    <row r="12" spans="1:22">
      <c r="A12" s="298">
        <v>7</v>
      </c>
      <c r="B12" s="75" t="s">
        <v>210</v>
      </c>
      <c r="C12" s="829">
        <f>'２次調整'!U14</f>
        <v>625093</v>
      </c>
      <c r="D12" s="830">
        <f>民間消費!C14</f>
        <v>415101</v>
      </c>
      <c r="E12" s="830">
        <f>政府消費!C14</f>
        <v>95750</v>
      </c>
      <c r="F12" s="830">
        <f t="shared" si="0"/>
        <v>120773</v>
      </c>
      <c r="G12" s="830">
        <f>民間住宅1!C14</f>
        <v>19068</v>
      </c>
      <c r="H12" s="830">
        <f>民間設備投資計!C14</f>
        <v>101194</v>
      </c>
      <c r="I12" s="830">
        <f>民間在庫品増加!C14</f>
        <v>511</v>
      </c>
      <c r="J12" s="830">
        <f>公的投資!C14</f>
        <v>36958</v>
      </c>
      <c r="K12" s="829">
        <f t="shared" si="1"/>
        <v>668582</v>
      </c>
      <c r="L12" s="830">
        <f t="shared" si="2"/>
        <v>-43489</v>
      </c>
      <c r="M12" s="830">
        <f>M53</f>
        <v>593471</v>
      </c>
      <c r="N12" s="830">
        <f>N53</f>
        <v>570529</v>
      </c>
      <c r="O12" s="831">
        <f>O53</f>
        <v>-66431</v>
      </c>
      <c r="P12" s="298">
        <v>7</v>
      </c>
      <c r="Q12" s="77"/>
      <c r="R12" s="49">
        <f t="shared" si="6"/>
        <v>625093</v>
      </c>
      <c r="S12" s="49">
        <f t="shared" si="3"/>
        <v>0</v>
      </c>
      <c r="U12" s="49">
        <f>民間設備製造1!C14</f>
        <v>25875</v>
      </c>
      <c r="V12" s="49">
        <f t="shared" si="4"/>
        <v>592752</v>
      </c>
    </row>
    <row r="13" spans="1:22">
      <c r="A13" s="298">
        <v>8</v>
      </c>
      <c r="B13" s="75" t="s">
        <v>211</v>
      </c>
      <c r="C13" s="829">
        <f>'２次調整'!U15</f>
        <v>385650</v>
      </c>
      <c r="D13" s="830">
        <f>民間消費!C15</f>
        <v>248166</v>
      </c>
      <c r="E13" s="830">
        <f>政府消費!C15</f>
        <v>50898</v>
      </c>
      <c r="F13" s="830">
        <f t="shared" si="0"/>
        <v>74142</v>
      </c>
      <c r="G13" s="830">
        <f>民間住宅1!C15</f>
        <v>9938</v>
      </c>
      <c r="H13" s="830">
        <f>民間設備投資計!C15</f>
        <v>63910</v>
      </c>
      <c r="I13" s="830">
        <f>民間在庫品増加!C15</f>
        <v>294</v>
      </c>
      <c r="J13" s="830">
        <f>公的投資!C15</f>
        <v>13472</v>
      </c>
      <c r="K13" s="829">
        <f t="shared" si="1"/>
        <v>386678</v>
      </c>
      <c r="L13" s="830">
        <f t="shared" si="2"/>
        <v>-1028</v>
      </c>
      <c r="M13" s="830">
        <f>M59</f>
        <v>360824</v>
      </c>
      <c r="N13" s="830">
        <f>N59</f>
        <v>329968</v>
      </c>
      <c r="O13" s="831">
        <f>O59</f>
        <v>-31884</v>
      </c>
      <c r="P13" s="298">
        <v>8</v>
      </c>
      <c r="Q13" s="77"/>
      <c r="R13" s="49">
        <f t="shared" si="6"/>
        <v>385650</v>
      </c>
      <c r="S13" s="49">
        <f t="shared" si="3"/>
        <v>0</v>
      </c>
      <c r="U13" s="49">
        <f>民間設備製造1!C15</f>
        <v>20348</v>
      </c>
      <c r="V13" s="49">
        <f t="shared" si="4"/>
        <v>342822</v>
      </c>
    </row>
    <row r="14" spans="1:22">
      <c r="A14" s="298">
        <v>9</v>
      </c>
      <c r="B14" s="75" t="s">
        <v>212</v>
      </c>
      <c r="C14" s="829">
        <f>'２次調整'!U16</f>
        <v>490289</v>
      </c>
      <c r="D14" s="830">
        <f>民間消費!C16</f>
        <v>293021</v>
      </c>
      <c r="E14" s="830">
        <f>政府消費!C16</f>
        <v>66561</v>
      </c>
      <c r="F14" s="830">
        <f t="shared" si="0"/>
        <v>82319</v>
      </c>
      <c r="G14" s="830">
        <f>民間住宅1!C16</f>
        <v>13190</v>
      </c>
      <c r="H14" s="830">
        <f>民間設備投資計!C16</f>
        <v>68764</v>
      </c>
      <c r="I14" s="830">
        <f>民間在庫品増加!C16</f>
        <v>365</v>
      </c>
      <c r="J14" s="830">
        <f>公的投資!C16</f>
        <v>36771</v>
      </c>
      <c r="K14" s="829">
        <f t="shared" si="1"/>
        <v>478672</v>
      </c>
      <c r="L14" s="830">
        <f t="shared" si="2"/>
        <v>11617</v>
      </c>
      <c r="M14" s="830">
        <f>M62</f>
        <v>459933</v>
      </c>
      <c r="N14" s="830">
        <f>N62</f>
        <v>408472</v>
      </c>
      <c r="O14" s="831">
        <f>O62</f>
        <v>-39844</v>
      </c>
      <c r="P14" s="298">
        <v>9</v>
      </c>
      <c r="Q14" s="77"/>
      <c r="R14" s="49">
        <f t="shared" si="6"/>
        <v>490289</v>
      </c>
      <c r="S14" s="49">
        <f t="shared" si="3"/>
        <v>0</v>
      </c>
      <c r="U14" s="49">
        <f>民間設備製造1!C16</f>
        <v>14839</v>
      </c>
      <c r="V14" s="49">
        <f t="shared" si="4"/>
        <v>424382</v>
      </c>
    </row>
    <row r="15" spans="1:22">
      <c r="A15" s="298"/>
      <c r="B15" s="87"/>
      <c r="C15" s="829"/>
      <c r="D15" s="830"/>
      <c r="E15" s="830"/>
      <c r="F15" s="830"/>
      <c r="G15" s="830"/>
      <c r="H15" s="830"/>
      <c r="I15" s="830"/>
      <c r="J15" s="830"/>
      <c r="K15" s="829"/>
      <c r="L15" s="830"/>
      <c r="M15" s="830" t="s">
        <v>347</v>
      </c>
      <c r="N15" s="830" t="s">
        <v>347</v>
      </c>
      <c r="O15" s="831" t="s">
        <v>11</v>
      </c>
      <c r="P15" s="298"/>
      <c r="Q15" s="77"/>
      <c r="R15" s="49" t="s">
        <v>678</v>
      </c>
      <c r="S15" s="49" t="s">
        <v>11</v>
      </c>
      <c r="V15" s="49" t="s">
        <v>11</v>
      </c>
    </row>
    <row r="16" spans="1:22">
      <c r="A16" s="299">
        <v>100</v>
      </c>
      <c r="B16" s="305" t="s">
        <v>172</v>
      </c>
      <c r="C16" s="832">
        <f>'２次調整'!U18</f>
        <v>6161480</v>
      </c>
      <c r="D16" s="833">
        <f>民間消費!C18</f>
        <v>3907986.8012383766</v>
      </c>
      <c r="E16" s="833">
        <f>政府消費!C18</f>
        <v>575527.63799637463</v>
      </c>
      <c r="F16" s="833">
        <f t="shared" ref="F16:F47" si="7">G16+H16+I16</f>
        <v>1244023.5767589961</v>
      </c>
      <c r="G16" s="833">
        <f>民間住宅1!C18</f>
        <v>316256</v>
      </c>
      <c r="H16" s="833">
        <f>民間設備投資計!C18</f>
        <v>923210.8017164052</v>
      </c>
      <c r="I16" s="833">
        <f>民間在庫品増加!C18</f>
        <v>4556.775042590958</v>
      </c>
      <c r="J16" s="833">
        <f>公的投資!C18</f>
        <v>255301.51852516376</v>
      </c>
      <c r="K16" s="832">
        <f t="shared" ref="K16:K47" si="8">D16+E16+F16+J16</f>
        <v>5982839.5345189115</v>
      </c>
      <c r="L16" s="833">
        <f t="shared" ref="L16:L65" si="9">C16-K16</f>
        <v>178640.4654810885</v>
      </c>
      <c r="M16" s="833">
        <f>移出入推計WS!E18+移出入推計WS!G18+移出入推計WS!H18</f>
        <v>5610309.051643962</v>
      </c>
      <c r="N16" s="833">
        <f>移出入推計WS!F18</f>
        <v>5105413</v>
      </c>
      <c r="O16" s="834">
        <f t="shared" ref="O16:O47" si="10">L16-(M16-N16)</f>
        <v>-326255.58616287354</v>
      </c>
      <c r="P16" s="300">
        <v>100</v>
      </c>
      <c r="Q16" s="293"/>
      <c r="R16" s="49">
        <f t="shared" ref="R16:R47" si="11">D16+E16+F16+J16+L16</f>
        <v>6161480</v>
      </c>
      <c r="S16" s="49">
        <f t="shared" ref="S16:S47" si="12">R16-C16</f>
        <v>0</v>
      </c>
      <c r="U16" s="49">
        <f>民間設備製造1!C18</f>
        <v>249210.88899968867</v>
      </c>
      <c r="V16" s="49">
        <f t="shared" ref="V16:V65" si="13">D16+E16+G16+J16+U16</f>
        <v>5304282.8467596034</v>
      </c>
    </row>
    <row r="17" spans="1:22">
      <c r="A17" s="300">
        <v>1</v>
      </c>
      <c r="B17" s="65" t="s">
        <v>182</v>
      </c>
      <c r="C17" s="829">
        <f>'２次調整'!U19</f>
        <v>3072775</v>
      </c>
      <c r="D17" s="830">
        <f>民間消費!C19</f>
        <v>2576483</v>
      </c>
      <c r="E17" s="830">
        <f>政府消費!C19</f>
        <v>348992</v>
      </c>
      <c r="F17" s="830">
        <f t="shared" si="7"/>
        <v>960943</v>
      </c>
      <c r="G17" s="830">
        <f>民間住宅1!C19</f>
        <v>184656</v>
      </c>
      <c r="H17" s="830">
        <f>民間設備投資計!C19</f>
        <v>773227</v>
      </c>
      <c r="I17" s="830">
        <f>民間在庫品増加!C19</f>
        <v>3060</v>
      </c>
      <c r="J17" s="830">
        <f>公的投資!C19</f>
        <v>128734</v>
      </c>
      <c r="K17" s="829">
        <f t="shared" si="8"/>
        <v>4015152</v>
      </c>
      <c r="L17" s="830">
        <f t="shared" si="9"/>
        <v>-942377</v>
      </c>
      <c r="M17" s="830">
        <f>移出入推計WS!E19+移出入推計WS!G19+移出入推計WS!H19</f>
        <v>2838199</v>
      </c>
      <c r="N17" s="830">
        <f>移出入推計WS!F19</f>
        <v>3426300</v>
      </c>
      <c r="O17" s="828">
        <f t="shared" si="10"/>
        <v>-354276</v>
      </c>
      <c r="P17" s="300">
        <v>1</v>
      </c>
      <c r="Q17" s="293"/>
      <c r="R17" s="49">
        <f t="shared" si="11"/>
        <v>3072775</v>
      </c>
      <c r="S17" s="49">
        <f t="shared" si="12"/>
        <v>0</v>
      </c>
      <c r="U17" s="49">
        <f>民間設備製造1!C19</f>
        <v>320898</v>
      </c>
      <c r="V17" s="49">
        <f t="shared" si="13"/>
        <v>3559763</v>
      </c>
    </row>
    <row r="18" spans="1:22">
      <c r="A18" s="300">
        <v>202</v>
      </c>
      <c r="B18" s="90" t="s">
        <v>183</v>
      </c>
      <c r="C18" s="829">
        <f>'２次調整'!U20</f>
        <v>1729431</v>
      </c>
      <c r="D18" s="830">
        <f>民間消費!C20</f>
        <v>1186188</v>
      </c>
      <c r="E18" s="830">
        <f>政府消費!C20</f>
        <v>160046</v>
      </c>
      <c r="F18" s="830">
        <f t="shared" si="7"/>
        <v>627964</v>
      </c>
      <c r="G18" s="830">
        <f>民間住宅1!C20</f>
        <v>98482</v>
      </c>
      <c r="H18" s="830">
        <f>民間設備投資計!C20</f>
        <v>527932</v>
      </c>
      <c r="I18" s="830">
        <f>民間在庫品増加!C20</f>
        <v>1550</v>
      </c>
      <c r="J18" s="830">
        <f>公的投資!C20</f>
        <v>59338</v>
      </c>
      <c r="K18" s="829">
        <f t="shared" si="8"/>
        <v>2033536</v>
      </c>
      <c r="L18" s="830">
        <f t="shared" si="9"/>
        <v>-304105</v>
      </c>
      <c r="M18" s="830">
        <f>移出入推計WS!E20+移出入推計WS!G20+移出入推計WS!H20</f>
        <v>1573752</v>
      </c>
      <c r="N18" s="830">
        <f>移出入推計WS!F20</f>
        <v>1735303</v>
      </c>
      <c r="O18" s="831">
        <f t="shared" si="10"/>
        <v>-142554</v>
      </c>
      <c r="P18" s="300">
        <v>202</v>
      </c>
      <c r="Q18" s="293"/>
      <c r="R18" s="49">
        <f t="shared" si="11"/>
        <v>1729431</v>
      </c>
      <c r="S18" s="49">
        <f t="shared" si="12"/>
        <v>0</v>
      </c>
      <c r="U18" s="49">
        <f>民間設備製造1!C20</f>
        <v>298843</v>
      </c>
      <c r="V18" s="49">
        <f t="shared" si="13"/>
        <v>1802897</v>
      </c>
    </row>
    <row r="19" spans="1:22">
      <c r="A19" s="300">
        <v>204</v>
      </c>
      <c r="B19" s="90" t="s">
        <v>184</v>
      </c>
      <c r="C19" s="829">
        <f>'２次調整'!U21</f>
        <v>1148424</v>
      </c>
      <c r="D19" s="830">
        <f>民間消費!C21</f>
        <v>1161889</v>
      </c>
      <c r="E19" s="830">
        <f>政府消費!C21</f>
        <v>152211</v>
      </c>
      <c r="F19" s="830">
        <f t="shared" si="7"/>
        <v>278225</v>
      </c>
      <c r="G19" s="830">
        <f>民間住宅1!C21</f>
        <v>69292</v>
      </c>
      <c r="H19" s="830">
        <f>民間設備投資計!C21</f>
        <v>207677</v>
      </c>
      <c r="I19" s="830">
        <f>民間在庫品増加!C21</f>
        <v>1256</v>
      </c>
      <c r="J19" s="830">
        <f>公的投資!C21</f>
        <v>55369</v>
      </c>
      <c r="K19" s="829">
        <f t="shared" si="8"/>
        <v>1647694</v>
      </c>
      <c r="L19" s="830">
        <f t="shared" si="9"/>
        <v>-499270</v>
      </c>
      <c r="M19" s="830">
        <f>移出入推計WS!E21+移出入推計WS!G21+移出入推計WS!H21</f>
        <v>1074915</v>
      </c>
      <c r="N19" s="830">
        <f>移出入推計WS!F21</f>
        <v>1406047</v>
      </c>
      <c r="O19" s="831">
        <f t="shared" si="10"/>
        <v>-168138</v>
      </c>
      <c r="P19" s="300">
        <v>204</v>
      </c>
      <c r="Q19" s="293"/>
      <c r="R19" s="49">
        <f t="shared" si="11"/>
        <v>1148424</v>
      </c>
      <c r="S19" s="49">
        <f t="shared" si="12"/>
        <v>0</v>
      </c>
      <c r="U19" s="49">
        <f>民間設備製造1!C21</f>
        <v>22055</v>
      </c>
      <c r="V19" s="49">
        <f t="shared" si="13"/>
        <v>1460816</v>
      </c>
    </row>
    <row r="20" spans="1:22">
      <c r="A20" s="300">
        <v>206</v>
      </c>
      <c r="B20" s="90" t="s">
        <v>185</v>
      </c>
      <c r="C20" s="829">
        <f>'２次調整'!U22</f>
        <v>194920</v>
      </c>
      <c r="D20" s="830">
        <f>民間消費!C22</f>
        <v>228406</v>
      </c>
      <c r="E20" s="830">
        <f>政府消費!C22</f>
        <v>36735</v>
      </c>
      <c r="F20" s="830">
        <f t="shared" si="7"/>
        <v>54754</v>
      </c>
      <c r="G20" s="830">
        <f>民間住宅1!C22</f>
        <v>16882</v>
      </c>
      <c r="H20" s="830">
        <f>民間設備投資計!C22</f>
        <v>37618</v>
      </c>
      <c r="I20" s="830">
        <f>民間在庫品増加!C22</f>
        <v>254</v>
      </c>
      <c r="J20" s="830">
        <f>公的投資!C22</f>
        <v>14027</v>
      </c>
      <c r="K20" s="829">
        <f t="shared" si="8"/>
        <v>333922</v>
      </c>
      <c r="L20" s="830">
        <f t="shared" si="9"/>
        <v>-139002</v>
      </c>
      <c r="M20" s="830">
        <f>移出入推計WS!E22+移出入推計WS!G22+移出入推計WS!H22</f>
        <v>189532</v>
      </c>
      <c r="N20" s="830">
        <f>移出入推計WS!F22</f>
        <v>284950</v>
      </c>
      <c r="O20" s="835">
        <f t="shared" si="10"/>
        <v>-43584</v>
      </c>
      <c r="P20" s="300">
        <v>206</v>
      </c>
      <c r="Q20" s="293"/>
      <c r="R20" s="49">
        <f t="shared" si="11"/>
        <v>194920</v>
      </c>
      <c r="S20" s="49">
        <f t="shared" si="12"/>
        <v>0</v>
      </c>
      <c r="U20" s="49">
        <f>民間設備製造1!C22</f>
        <v>0</v>
      </c>
      <c r="V20" s="49">
        <f t="shared" si="13"/>
        <v>296050</v>
      </c>
    </row>
    <row r="21" spans="1:22">
      <c r="A21" s="301">
        <v>2</v>
      </c>
      <c r="B21" s="128" t="s">
        <v>186</v>
      </c>
      <c r="C21" s="826">
        <f>'２次調整'!U23</f>
        <v>1858761</v>
      </c>
      <c r="D21" s="827">
        <f>民間消費!C23</f>
        <v>1577109</v>
      </c>
      <c r="E21" s="827">
        <f>政府消費!C23</f>
        <v>234773</v>
      </c>
      <c r="F21" s="827">
        <f t="shared" si="7"/>
        <v>487405</v>
      </c>
      <c r="G21" s="827">
        <f>民間住宅1!C23</f>
        <v>136214</v>
      </c>
      <c r="H21" s="827">
        <f>民間設備投資計!C23</f>
        <v>349387</v>
      </c>
      <c r="I21" s="827">
        <f>民間在庫品増加!C23</f>
        <v>1804</v>
      </c>
      <c r="J21" s="827">
        <f>公的投資!C23</f>
        <v>68661</v>
      </c>
      <c r="K21" s="826">
        <f t="shared" si="8"/>
        <v>2367948</v>
      </c>
      <c r="L21" s="827">
        <f t="shared" si="9"/>
        <v>-509187</v>
      </c>
      <c r="M21" s="827">
        <f>移出入推計WS!E23+移出入推計WS!G23+移出入推計WS!H23</f>
        <v>1732251</v>
      </c>
      <c r="N21" s="827">
        <f>移出入推計WS!F23</f>
        <v>2020670</v>
      </c>
      <c r="O21" s="828">
        <f t="shared" si="10"/>
        <v>-220768</v>
      </c>
      <c r="P21" s="300">
        <v>2</v>
      </c>
      <c r="Q21" s="293"/>
      <c r="R21" s="49">
        <f t="shared" si="11"/>
        <v>1858761</v>
      </c>
      <c r="S21" s="49">
        <f t="shared" si="12"/>
        <v>0</v>
      </c>
      <c r="U21" s="49">
        <f>民間設備製造1!C23</f>
        <v>82624</v>
      </c>
      <c r="V21" s="49">
        <f t="shared" si="13"/>
        <v>2099381</v>
      </c>
    </row>
    <row r="22" spans="1:22">
      <c r="A22" s="300">
        <v>207</v>
      </c>
      <c r="B22" s="90" t="s">
        <v>187</v>
      </c>
      <c r="C22" s="829">
        <f>'２次調整'!U24</f>
        <v>647096</v>
      </c>
      <c r="D22" s="830">
        <f>民間消費!C24</f>
        <v>435422</v>
      </c>
      <c r="E22" s="830">
        <f>政府消費!C24</f>
        <v>63033</v>
      </c>
      <c r="F22" s="830">
        <f t="shared" si="7"/>
        <v>176747</v>
      </c>
      <c r="G22" s="830">
        <f>民間住宅1!C24</f>
        <v>46568</v>
      </c>
      <c r="H22" s="830">
        <f>民間設備投資計!C24</f>
        <v>129649</v>
      </c>
      <c r="I22" s="830">
        <f>民間在庫品増加!C24</f>
        <v>530</v>
      </c>
      <c r="J22" s="830">
        <f>公的投資!C24</f>
        <v>19759</v>
      </c>
      <c r="K22" s="829">
        <f t="shared" si="8"/>
        <v>694961</v>
      </c>
      <c r="L22" s="830">
        <f t="shared" si="9"/>
        <v>-47865</v>
      </c>
      <c r="M22" s="830">
        <f>移出入推計WS!E24+移出入推計WS!G24+移出入推計WS!H24</f>
        <v>590894</v>
      </c>
      <c r="N22" s="830">
        <f>移出入推計WS!F24</f>
        <v>593040</v>
      </c>
      <c r="O22" s="831">
        <f t="shared" si="10"/>
        <v>-45719</v>
      </c>
      <c r="P22" s="300">
        <v>207</v>
      </c>
      <c r="Q22" s="293"/>
      <c r="R22" s="49">
        <f t="shared" si="11"/>
        <v>647096</v>
      </c>
      <c r="S22" s="49">
        <f t="shared" si="12"/>
        <v>0</v>
      </c>
      <c r="U22" s="49">
        <f>民間設備製造1!C24</f>
        <v>51358</v>
      </c>
      <c r="V22" s="49">
        <f t="shared" si="13"/>
        <v>616140</v>
      </c>
    </row>
    <row r="23" spans="1:22">
      <c r="A23" s="300">
        <v>214</v>
      </c>
      <c r="B23" s="90" t="s">
        <v>188</v>
      </c>
      <c r="C23" s="829">
        <f>'２次調整'!U25</f>
        <v>456473</v>
      </c>
      <c r="D23" s="830">
        <f>民間消費!C25</f>
        <v>509801</v>
      </c>
      <c r="E23" s="830">
        <f>政府消費!C25</f>
        <v>71418</v>
      </c>
      <c r="F23" s="830">
        <f t="shared" si="7"/>
        <v>134480</v>
      </c>
      <c r="G23" s="830">
        <f>民間住宅1!C25</f>
        <v>49562</v>
      </c>
      <c r="H23" s="830">
        <f>民間設備投資計!C25</f>
        <v>84358</v>
      </c>
      <c r="I23" s="830">
        <f>民間在庫品増加!C25</f>
        <v>560</v>
      </c>
      <c r="J23" s="830">
        <f>公的投資!C25</f>
        <v>19863</v>
      </c>
      <c r="K23" s="829">
        <f t="shared" si="8"/>
        <v>735562</v>
      </c>
      <c r="L23" s="830">
        <f t="shared" si="9"/>
        <v>-279089</v>
      </c>
      <c r="M23" s="830">
        <f>移出入推計WS!E25+移出入推計WS!G25+移出入推計WS!H25</f>
        <v>434354</v>
      </c>
      <c r="N23" s="830">
        <f>移出入推計WS!F25</f>
        <v>627686</v>
      </c>
      <c r="O23" s="831">
        <f t="shared" si="10"/>
        <v>-85757</v>
      </c>
      <c r="P23" s="300">
        <v>214</v>
      </c>
      <c r="Q23" s="293"/>
      <c r="R23" s="49">
        <f t="shared" si="11"/>
        <v>456473</v>
      </c>
      <c r="S23" s="49">
        <f t="shared" si="12"/>
        <v>0</v>
      </c>
      <c r="U23" s="49">
        <f>民間設備製造1!C25</f>
        <v>1493</v>
      </c>
      <c r="V23" s="49">
        <f t="shared" si="13"/>
        <v>652137</v>
      </c>
    </row>
    <row r="24" spans="1:22">
      <c r="A24" s="300">
        <v>217</v>
      </c>
      <c r="B24" s="90" t="s">
        <v>189</v>
      </c>
      <c r="C24" s="829">
        <f>'２次調整'!U26</f>
        <v>301541</v>
      </c>
      <c r="D24" s="830">
        <f>民間消費!C26</f>
        <v>351565</v>
      </c>
      <c r="E24" s="830">
        <f>政府消費!C26</f>
        <v>50972</v>
      </c>
      <c r="F24" s="830">
        <f t="shared" si="7"/>
        <v>76411</v>
      </c>
      <c r="G24" s="830">
        <f>民間住宅1!C26</f>
        <v>17507</v>
      </c>
      <c r="H24" s="830">
        <f>民間設備投資計!C26</f>
        <v>58529</v>
      </c>
      <c r="I24" s="830">
        <f>民間在庫品増加!C26</f>
        <v>375</v>
      </c>
      <c r="J24" s="830">
        <f>公的投資!C26</f>
        <v>13348</v>
      </c>
      <c r="K24" s="829">
        <f t="shared" si="8"/>
        <v>492296</v>
      </c>
      <c r="L24" s="830">
        <f t="shared" si="9"/>
        <v>-190755</v>
      </c>
      <c r="M24" s="830">
        <f>移出入推計WS!E26+移出入推計WS!G26+移出入推計WS!H26</f>
        <v>289397</v>
      </c>
      <c r="N24" s="830">
        <f>移出入推計WS!F26</f>
        <v>420097</v>
      </c>
      <c r="O24" s="831">
        <f t="shared" si="10"/>
        <v>-60055</v>
      </c>
      <c r="P24" s="300">
        <v>217</v>
      </c>
      <c r="Q24" s="293"/>
      <c r="R24" s="49">
        <f t="shared" si="11"/>
        <v>301541</v>
      </c>
      <c r="S24" s="49">
        <f t="shared" si="12"/>
        <v>0</v>
      </c>
      <c r="U24" s="49">
        <f>民間設備製造1!C26</f>
        <v>3069</v>
      </c>
      <c r="V24" s="49">
        <f t="shared" si="13"/>
        <v>436461</v>
      </c>
    </row>
    <row r="25" spans="1:22">
      <c r="A25" s="300">
        <v>219</v>
      </c>
      <c r="B25" s="90" t="s">
        <v>190</v>
      </c>
      <c r="C25" s="829">
        <f>'２次調整'!U27</f>
        <v>391000</v>
      </c>
      <c r="D25" s="830">
        <f>民間消費!C27</f>
        <v>222675</v>
      </c>
      <c r="E25" s="830">
        <f>政府消費!C27</f>
        <v>36845</v>
      </c>
      <c r="F25" s="830">
        <f t="shared" si="7"/>
        <v>81154</v>
      </c>
      <c r="G25" s="830">
        <f>民間住宅1!C27</f>
        <v>16166</v>
      </c>
      <c r="H25" s="830">
        <f>民間設備投資計!C27</f>
        <v>64718</v>
      </c>
      <c r="I25" s="830">
        <f>民間在庫品増加!C27</f>
        <v>270</v>
      </c>
      <c r="J25" s="830">
        <f>公的投資!C27</f>
        <v>13375</v>
      </c>
      <c r="K25" s="829">
        <f t="shared" si="8"/>
        <v>354049</v>
      </c>
      <c r="L25" s="830">
        <f t="shared" si="9"/>
        <v>36951</v>
      </c>
      <c r="M25" s="830">
        <f>移出入推計WS!E27+移出入推計WS!G27+移出入推計WS!H27</f>
        <v>356233</v>
      </c>
      <c r="N25" s="830">
        <f>移出入推計WS!F27</f>
        <v>302125</v>
      </c>
      <c r="O25" s="831">
        <f t="shared" si="10"/>
        <v>-17157</v>
      </c>
      <c r="P25" s="300">
        <v>219</v>
      </c>
      <c r="Q25" s="293"/>
      <c r="R25" s="49">
        <f t="shared" si="11"/>
        <v>391000</v>
      </c>
      <c r="S25" s="49">
        <f t="shared" si="12"/>
        <v>0</v>
      </c>
      <c r="U25" s="49">
        <f>民間設備製造1!C27</f>
        <v>24832</v>
      </c>
      <c r="V25" s="49">
        <f t="shared" si="13"/>
        <v>313893</v>
      </c>
    </row>
    <row r="26" spans="1:22">
      <c r="A26" s="302">
        <v>301</v>
      </c>
      <c r="B26" s="201" t="s">
        <v>191</v>
      </c>
      <c r="C26" s="836">
        <f>'２次調整'!U28</f>
        <v>62651</v>
      </c>
      <c r="D26" s="837">
        <f>民間消費!C28</f>
        <v>57646</v>
      </c>
      <c r="E26" s="837">
        <f>政府消費!C28</f>
        <v>12505</v>
      </c>
      <c r="F26" s="837">
        <f t="shared" si="7"/>
        <v>18613</v>
      </c>
      <c r="G26" s="837">
        <f>民間住宅1!C28</f>
        <v>6411</v>
      </c>
      <c r="H26" s="837">
        <f>民間設備投資計!C28</f>
        <v>12133</v>
      </c>
      <c r="I26" s="837">
        <f>民間在庫品増加!C28</f>
        <v>69</v>
      </c>
      <c r="J26" s="837">
        <f>公的投資!C28</f>
        <v>2316</v>
      </c>
      <c r="K26" s="836">
        <f t="shared" si="8"/>
        <v>91080</v>
      </c>
      <c r="L26" s="837">
        <f t="shared" si="9"/>
        <v>-28429</v>
      </c>
      <c r="M26" s="837">
        <f>移出入推計WS!E28+移出入推計WS!G28+移出入推計WS!H28</f>
        <v>61373</v>
      </c>
      <c r="N26" s="837">
        <f>移出入推計WS!F28</f>
        <v>77722</v>
      </c>
      <c r="O26" s="835">
        <f t="shared" si="10"/>
        <v>-12080</v>
      </c>
      <c r="P26" s="300">
        <v>301</v>
      </c>
      <c r="Q26" s="293"/>
      <c r="R26" s="49">
        <f t="shared" si="11"/>
        <v>62651</v>
      </c>
      <c r="S26" s="49">
        <f t="shared" si="12"/>
        <v>0</v>
      </c>
      <c r="U26" s="49">
        <f>民間設備製造1!C28</f>
        <v>1872</v>
      </c>
      <c r="V26" s="49">
        <f t="shared" si="13"/>
        <v>80750</v>
      </c>
    </row>
    <row r="27" spans="1:22">
      <c r="A27" s="300">
        <v>3</v>
      </c>
      <c r="B27" s="65" t="s">
        <v>192</v>
      </c>
      <c r="C27" s="829">
        <f>'２次調整'!U29</f>
        <v>2752357</v>
      </c>
      <c r="D27" s="830">
        <f>民間消費!C29</f>
        <v>1576725</v>
      </c>
      <c r="E27" s="830">
        <f>政府消費!C29</f>
        <v>211175</v>
      </c>
      <c r="F27" s="830">
        <f t="shared" si="7"/>
        <v>676800</v>
      </c>
      <c r="G27" s="830">
        <f>民間住宅1!C29</f>
        <v>104801</v>
      </c>
      <c r="H27" s="830">
        <f>民間設備投資計!C29</f>
        <v>570057</v>
      </c>
      <c r="I27" s="830">
        <f>民間在庫品増加!C29</f>
        <v>1942</v>
      </c>
      <c r="J27" s="830">
        <f>公的投資!C29</f>
        <v>83841</v>
      </c>
      <c r="K27" s="829">
        <f t="shared" si="8"/>
        <v>2548541</v>
      </c>
      <c r="L27" s="830">
        <f t="shared" si="9"/>
        <v>203816</v>
      </c>
      <c r="M27" s="830">
        <f>移出入推計WS!E29+移出入推計WS!G29+移出入推計WS!H29</f>
        <v>2476289</v>
      </c>
      <c r="N27" s="830">
        <f>移出入推計WS!F29</f>
        <v>2174777</v>
      </c>
      <c r="O27" s="828">
        <f t="shared" si="10"/>
        <v>-97696</v>
      </c>
      <c r="P27" s="300">
        <v>3</v>
      </c>
      <c r="Q27" s="293"/>
      <c r="R27" s="49">
        <f t="shared" si="11"/>
        <v>2752357</v>
      </c>
      <c r="S27" s="49">
        <f t="shared" si="12"/>
        <v>0</v>
      </c>
      <c r="U27" s="49">
        <f>民間設備製造1!C29</f>
        <v>282949</v>
      </c>
      <c r="V27" s="49">
        <f t="shared" si="13"/>
        <v>2259491</v>
      </c>
    </row>
    <row r="28" spans="1:22">
      <c r="A28" s="300">
        <v>203</v>
      </c>
      <c r="B28" s="90" t="s">
        <v>193</v>
      </c>
      <c r="C28" s="829">
        <f>'２次調整'!U30</f>
        <v>1074423</v>
      </c>
      <c r="D28" s="830">
        <f>民間消費!C30</f>
        <v>670326</v>
      </c>
      <c r="E28" s="830">
        <f>政府消費!C30</f>
        <v>84580</v>
      </c>
      <c r="F28" s="830">
        <f t="shared" si="7"/>
        <v>217072</v>
      </c>
      <c r="G28" s="830">
        <f>民間住宅1!C30</f>
        <v>46035</v>
      </c>
      <c r="H28" s="830">
        <f>民間設備投資計!C30</f>
        <v>170270</v>
      </c>
      <c r="I28" s="830">
        <f>民間在庫品増加!C30</f>
        <v>767</v>
      </c>
      <c r="J28" s="830">
        <f>公的投資!C30</f>
        <v>34645</v>
      </c>
      <c r="K28" s="829">
        <f t="shared" si="8"/>
        <v>1006623</v>
      </c>
      <c r="L28" s="830">
        <f t="shared" si="9"/>
        <v>67800</v>
      </c>
      <c r="M28" s="830">
        <f>移出入推計WS!E30+移出入推計WS!G30+移出入推計WS!H30</f>
        <v>968050</v>
      </c>
      <c r="N28" s="830">
        <f>移出入推計WS!F30</f>
        <v>858994</v>
      </c>
      <c r="O28" s="831">
        <f t="shared" si="10"/>
        <v>-41256</v>
      </c>
      <c r="P28" s="300">
        <v>203</v>
      </c>
      <c r="Q28" s="293"/>
      <c r="R28" s="49">
        <f t="shared" si="11"/>
        <v>1074423</v>
      </c>
      <c r="S28" s="49">
        <f t="shared" si="12"/>
        <v>0</v>
      </c>
      <c r="U28" s="49">
        <f>民間設備製造1!C30</f>
        <v>56868</v>
      </c>
      <c r="V28" s="49">
        <f t="shared" si="13"/>
        <v>892454</v>
      </c>
    </row>
    <row r="29" spans="1:22">
      <c r="A29" s="300">
        <v>210</v>
      </c>
      <c r="B29" s="90" t="s">
        <v>194</v>
      </c>
      <c r="C29" s="829">
        <f>'２次調整'!U31</f>
        <v>855038</v>
      </c>
      <c r="D29" s="830">
        <f>民間消費!C31</f>
        <v>569639</v>
      </c>
      <c r="E29" s="830">
        <f>政府消費!C31</f>
        <v>77113</v>
      </c>
      <c r="F29" s="830">
        <f t="shared" si="7"/>
        <v>235122</v>
      </c>
      <c r="G29" s="830">
        <f>民間住宅1!C31</f>
        <v>39477</v>
      </c>
      <c r="H29" s="830">
        <f>民間設備投資計!C31</f>
        <v>194949</v>
      </c>
      <c r="I29" s="830">
        <f>民間在庫品増加!C31</f>
        <v>696</v>
      </c>
      <c r="J29" s="830">
        <f>公的投資!C31</f>
        <v>31142</v>
      </c>
      <c r="K29" s="829">
        <f t="shared" si="8"/>
        <v>913016</v>
      </c>
      <c r="L29" s="830">
        <f t="shared" si="9"/>
        <v>-57978</v>
      </c>
      <c r="M29" s="830">
        <f>移出入推計WS!E31+移出入推計WS!G31+移出入推計WS!H31</f>
        <v>776761</v>
      </c>
      <c r="N29" s="830">
        <f>移出入推計WS!F31</f>
        <v>779115</v>
      </c>
      <c r="O29" s="831">
        <f t="shared" si="10"/>
        <v>-55624</v>
      </c>
      <c r="P29" s="300">
        <v>210</v>
      </c>
      <c r="Q29" s="293"/>
      <c r="R29" s="49">
        <f t="shared" si="11"/>
        <v>855038</v>
      </c>
      <c r="S29" s="49">
        <f t="shared" si="12"/>
        <v>0</v>
      </c>
      <c r="U29" s="49">
        <f>民間設備製造1!C31</f>
        <v>92093</v>
      </c>
      <c r="V29" s="49">
        <f t="shared" si="13"/>
        <v>809464</v>
      </c>
    </row>
    <row r="30" spans="1:22">
      <c r="A30" s="300">
        <v>216</v>
      </c>
      <c r="B30" s="90" t="s">
        <v>195</v>
      </c>
      <c r="C30" s="829">
        <f>'２次調整'!U32</f>
        <v>549521</v>
      </c>
      <c r="D30" s="830">
        <f>民間消費!C32</f>
        <v>204092</v>
      </c>
      <c r="E30" s="830">
        <f>政府消費!C32</f>
        <v>31595</v>
      </c>
      <c r="F30" s="830">
        <f t="shared" si="7"/>
        <v>166942</v>
      </c>
      <c r="G30" s="830">
        <f>民間住宅1!C32</f>
        <v>11426</v>
      </c>
      <c r="H30" s="830">
        <f>民間設備投資計!C32</f>
        <v>155202</v>
      </c>
      <c r="I30" s="830">
        <f>民間在庫品増加!C32</f>
        <v>314</v>
      </c>
      <c r="J30" s="830">
        <f>公的投資!C32</f>
        <v>10105</v>
      </c>
      <c r="K30" s="829">
        <f t="shared" si="8"/>
        <v>412734</v>
      </c>
      <c r="L30" s="830">
        <f t="shared" si="9"/>
        <v>136787</v>
      </c>
      <c r="M30" s="830">
        <f>移出入推計WS!E32+移出入推計WS!G32+移出入推計WS!H32</f>
        <v>487531</v>
      </c>
      <c r="N30" s="830">
        <f>移出入推計WS!F32</f>
        <v>352203</v>
      </c>
      <c r="O30" s="831">
        <f t="shared" si="10"/>
        <v>1459</v>
      </c>
      <c r="P30" s="300">
        <v>216</v>
      </c>
      <c r="Q30" s="293"/>
      <c r="R30" s="49">
        <f t="shared" si="11"/>
        <v>549521</v>
      </c>
      <c r="S30" s="49">
        <f t="shared" si="12"/>
        <v>0</v>
      </c>
      <c r="U30" s="49">
        <f>民間設備製造1!C32</f>
        <v>108705</v>
      </c>
      <c r="V30" s="49">
        <f t="shared" si="13"/>
        <v>365923</v>
      </c>
    </row>
    <row r="31" spans="1:22">
      <c r="A31" s="300">
        <v>381</v>
      </c>
      <c r="B31" s="90" t="s">
        <v>196</v>
      </c>
      <c r="C31" s="829">
        <f>'２次調整'!U33</f>
        <v>140398</v>
      </c>
      <c r="D31" s="830">
        <f>民間消費!C33</f>
        <v>59759</v>
      </c>
      <c r="E31" s="830">
        <f>政府消費!C33</f>
        <v>8685</v>
      </c>
      <c r="F31" s="830">
        <f t="shared" si="7"/>
        <v>22250</v>
      </c>
      <c r="G31" s="830">
        <f>民間住宅1!C33</f>
        <v>3362</v>
      </c>
      <c r="H31" s="830">
        <f>民間設備投資計!C33</f>
        <v>18815</v>
      </c>
      <c r="I31" s="830">
        <f>民間在庫品増加!C33</f>
        <v>73</v>
      </c>
      <c r="J31" s="830">
        <f>公的投資!C33</f>
        <v>4569</v>
      </c>
      <c r="K31" s="829">
        <f t="shared" si="8"/>
        <v>95263</v>
      </c>
      <c r="L31" s="830">
        <f t="shared" si="9"/>
        <v>45135</v>
      </c>
      <c r="M31" s="830">
        <f>移出入推計WS!E33+移出入推計WS!G33+移出入推計WS!H33</f>
        <v>124959</v>
      </c>
      <c r="N31" s="830">
        <f>移出入推計WS!F33</f>
        <v>81292</v>
      </c>
      <c r="O31" s="831">
        <f t="shared" si="10"/>
        <v>1468</v>
      </c>
      <c r="P31" s="300">
        <v>381</v>
      </c>
      <c r="Q31" s="293"/>
      <c r="R31" s="49">
        <f t="shared" si="11"/>
        <v>140398</v>
      </c>
      <c r="S31" s="49">
        <f t="shared" si="12"/>
        <v>0</v>
      </c>
      <c r="U31" s="49">
        <f>民間設備製造1!C33</f>
        <v>8083</v>
      </c>
      <c r="V31" s="49">
        <f t="shared" si="13"/>
        <v>84458</v>
      </c>
    </row>
    <row r="32" spans="1:22">
      <c r="A32" s="300">
        <v>382</v>
      </c>
      <c r="B32" s="90" t="s">
        <v>197</v>
      </c>
      <c r="C32" s="829">
        <f>'２次調整'!U34</f>
        <v>132977</v>
      </c>
      <c r="D32" s="830">
        <f>民間消費!C34</f>
        <v>72909</v>
      </c>
      <c r="E32" s="830">
        <f>政府消費!C34</f>
        <v>9202</v>
      </c>
      <c r="F32" s="830">
        <f t="shared" si="7"/>
        <v>35414</v>
      </c>
      <c r="G32" s="830">
        <f>民間住宅1!C34</f>
        <v>4501</v>
      </c>
      <c r="H32" s="830">
        <f>民間設備投資計!C34</f>
        <v>30821</v>
      </c>
      <c r="I32" s="830">
        <f>民間在庫品増加!C34</f>
        <v>92</v>
      </c>
      <c r="J32" s="830">
        <f>公的投資!C34</f>
        <v>3380</v>
      </c>
      <c r="K32" s="829">
        <f t="shared" si="8"/>
        <v>120905</v>
      </c>
      <c r="L32" s="830">
        <f t="shared" si="9"/>
        <v>12072</v>
      </c>
      <c r="M32" s="830">
        <f>移出入推計WS!E34+移出入推計WS!G34+移出入推計WS!H34</f>
        <v>118988</v>
      </c>
      <c r="N32" s="830">
        <f>移出入推計WS!F34</f>
        <v>103173</v>
      </c>
      <c r="O32" s="835">
        <f t="shared" si="10"/>
        <v>-3743</v>
      </c>
      <c r="P32" s="300">
        <v>382</v>
      </c>
      <c r="Q32" s="293"/>
      <c r="R32" s="49">
        <f t="shared" si="11"/>
        <v>132977</v>
      </c>
      <c r="S32" s="49">
        <f t="shared" si="12"/>
        <v>0</v>
      </c>
      <c r="U32" s="49">
        <f>民間設備製造1!C34</f>
        <v>17200</v>
      </c>
      <c r="V32" s="49">
        <f t="shared" si="13"/>
        <v>107192</v>
      </c>
    </row>
    <row r="33" spans="1:22">
      <c r="A33" s="301">
        <v>4</v>
      </c>
      <c r="B33" s="306" t="s">
        <v>198</v>
      </c>
      <c r="C33" s="826">
        <f>'２次調整'!U35</f>
        <v>1166063</v>
      </c>
      <c r="D33" s="827">
        <f>民間消費!C35</f>
        <v>559047</v>
      </c>
      <c r="E33" s="827">
        <f>政府消費!C35</f>
        <v>102911</v>
      </c>
      <c r="F33" s="827">
        <f t="shared" si="7"/>
        <v>223351</v>
      </c>
      <c r="G33" s="827">
        <f>民間住宅1!C35</f>
        <v>36907</v>
      </c>
      <c r="H33" s="827">
        <f>民間設備投資計!C35</f>
        <v>185744</v>
      </c>
      <c r="I33" s="827">
        <f>民間在庫品増加!C35</f>
        <v>700</v>
      </c>
      <c r="J33" s="827">
        <f>公的投資!C35</f>
        <v>32684</v>
      </c>
      <c r="K33" s="826">
        <f t="shared" si="8"/>
        <v>917993</v>
      </c>
      <c r="L33" s="827">
        <f t="shared" si="9"/>
        <v>248070</v>
      </c>
      <c r="M33" s="827">
        <f>移出入推計WS!E35+移出入推計WS!G35+移出入推計WS!H35</f>
        <v>1057849</v>
      </c>
      <c r="N33" s="827">
        <f>移出入推計WS!F35</f>
        <v>783363</v>
      </c>
      <c r="O33" s="828">
        <f t="shared" si="10"/>
        <v>-26416</v>
      </c>
      <c r="P33" s="300">
        <v>4</v>
      </c>
      <c r="Q33" s="293"/>
      <c r="R33" s="49">
        <f t="shared" si="11"/>
        <v>1166063</v>
      </c>
      <c r="S33" s="49">
        <f t="shared" si="12"/>
        <v>0</v>
      </c>
      <c r="U33" s="49">
        <f>民間設備製造1!C35</f>
        <v>82326</v>
      </c>
      <c r="V33" s="49">
        <f t="shared" si="13"/>
        <v>813875</v>
      </c>
    </row>
    <row r="34" spans="1:22">
      <c r="A34" s="300">
        <v>213</v>
      </c>
      <c r="B34" s="92" t="s">
        <v>231</v>
      </c>
      <c r="C34" s="829">
        <f>'２次調整'!U36</f>
        <v>157665</v>
      </c>
      <c r="D34" s="830">
        <f>民間消費!C36</f>
        <v>87721</v>
      </c>
      <c r="E34" s="830">
        <f>政府消費!C36</f>
        <v>13920</v>
      </c>
      <c r="F34" s="830">
        <f t="shared" si="7"/>
        <v>31590</v>
      </c>
      <c r="G34" s="830">
        <f>民間住宅1!C36</f>
        <v>8469</v>
      </c>
      <c r="H34" s="830">
        <f>民間設備投資計!C36</f>
        <v>23015</v>
      </c>
      <c r="I34" s="830">
        <f>民間在庫品増加!C36</f>
        <v>106</v>
      </c>
      <c r="J34" s="830">
        <f>公的投資!C36</f>
        <v>5553</v>
      </c>
      <c r="K34" s="829">
        <f t="shared" si="8"/>
        <v>138784</v>
      </c>
      <c r="L34" s="830">
        <f t="shared" si="9"/>
        <v>18881</v>
      </c>
      <c r="M34" s="830">
        <f>移出入推計WS!E36+移出入推計WS!G36+移出入推計WS!H36</f>
        <v>143037</v>
      </c>
      <c r="N34" s="830">
        <f>移出入推計WS!F36</f>
        <v>118430</v>
      </c>
      <c r="O34" s="831">
        <f t="shared" si="10"/>
        <v>-5726</v>
      </c>
      <c r="P34" s="300">
        <v>213</v>
      </c>
      <c r="Q34" s="293"/>
      <c r="R34" s="49">
        <f t="shared" si="11"/>
        <v>157665</v>
      </c>
      <c r="S34" s="49">
        <f t="shared" si="12"/>
        <v>0</v>
      </c>
      <c r="U34" s="49">
        <f>民間設備製造1!C36</f>
        <v>7380</v>
      </c>
      <c r="V34" s="49">
        <f t="shared" si="13"/>
        <v>123043</v>
      </c>
    </row>
    <row r="35" spans="1:22">
      <c r="A35" s="300">
        <v>215</v>
      </c>
      <c r="B35" s="92" t="s">
        <v>232</v>
      </c>
      <c r="C35" s="829">
        <f>'２次調整'!U37</f>
        <v>276471</v>
      </c>
      <c r="D35" s="830">
        <f>民間消費!C37</f>
        <v>166649</v>
      </c>
      <c r="E35" s="830">
        <f>政府消費!C37</f>
        <v>29148</v>
      </c>
      <c r="F35" s="830">
        <f t="shared" si="7"/>
        <v>44275</v>
      </c>
      <c r="G35" s="830">
        <f>民間住宅1!C37</f>
        <v>9681</v>
      </c>
      <c r="H35" s="830">
        <f>民間設備投資計!C37</f>
        <v>34407</v>
      </c>
      <c r="I35" s="830">
        <f>民間在庫品増加!C37</f>
        <v>187</v>
      </c>
      <c r="J35" s="830">
        <f>公的投資!C37</f>
        <v>5365</v>
      </c>
      <c r="K35" s="829">
        <f t="shared" si="8"/>
        <v>245437</v>
      </c>
      <c r="L35" s="830">
        <f t="shared" si="9"/>
        <v>31034</v>
      </c>
      <c r="M35" s="830">
        <f>移出入推計WS!E37+移出入推計WS!G37+移出入推計WS!H37</f>
        <v>253901</v>
      </c>
      <c r="N35" s="830">
        <f>移出入推計WS!F37</f>
        <v>209442</v>
      </c>
      <c r="O35" s="831">
        <f t="shared" si="10"/>
        <v>-13425</v>
      </c>
      <c r="P35" s="300">
        <v>215</v>
      </c>
      <c r="Q35" s="293"/>
      <c r="R35" s="49">
        <f t="shared" si="11"/>
        <v>276471</v>
      </c>
      <c r="S35" s="49">
        <f t="shared" si="12"/>
        <v>0</v>
      </c>
      <c r="U35" s="49">
        <f>民間設備製造1!C37</f>
        <v>6757</v>
      </c>
      <c r="V35" s="49">
        <f t="shared" si="13"/>
        <v>217600</v>
      </c>
    </row>
    <row r="36" spans="1:22">
      <c r="A36" s="300">
        <v>218</v>
      </c>
      <c r="B36" s="90" t="s">
        <v>200</v>
      </c>
      <c r="C36" s="829">
        <f>'２次調整'!U38</f>
        <v>219000</v>
      </c>
      <c r="D36" s="830">
        <f>民間消費!C38</f>
        <v>95539</v>
      </c>
      <c r="E36" s="830">
        <f>政府消費!C38</f>
        <v>15554</v>
      </c>
      <c r="F36" s="830">
        <f t="shared" si="7"/>
        <v>56569</v>
      </c>
      <c r="G36" s="830">
        <f>民間住宅1!C38</f>
        <v>6485</v>
      </c>
      <c r="H36" s="830">
        <f>民間設備投資計!C38</f>
        <v>49950</v>
      </c>
      <c r="I36" s="830">
        <f>民間在庫品増加!C38</f>
        <v>134</v>
      </c>
      <c r="J36" s="830">
        <f>公的投資!C38</f>
        <v>8269</v>
      </c>
      <c r="K36" s="829">
        <f t="shared" si="8"/>
        <v>175931</v>
      </c>
      <c r="L36" s="830">
        <f t="shared" si="9"/>
        <v>43069</v>
      </c>
      <c r="M36" s="830">
        <f>移出入推計WS!E38+移出入推計WS!G38+移出入推計WS!H38</f>
        <v>196222</v>
      </c>
      <c r="N36" s="830">
        <f>移出入推計WS!F38</f>
        <v>150129</v>
      </c>
      <c r="O36" s="831">
        <f t="shared" si="10"/>
        <v>-3024</v>
      </c>
      <c r="P36" s="300">
        <v>218</v>
      </c>
      <c r="Q36" s="293"/>
      <c r="R36" s="49">
        <f t="shared" si="11"/>
        <v>219000</v>
      </c>
      <c r="S36" s="49">
        <f t="shared" si="12"/>
        <v>0</v>
      </c>
      <c r="U36" s="49">
        <f>民間設備製造1!C38</f>
        <v>30130</v>
      </c>
      <c r="V36" s="49">
        <f t="shared" si="13"/>
        <v>155977</v>
      </c>
    </row>
    <row r="37" spans="1:22">
      <c r="A37" s="300">
        <v>220</v>
      </c>
      <c r="B37" s="90" t="s">
        <v>201</v>
      </c>
      <c r="C37" s="829">
        <f>'２次調整'!U39</f>
        <v>192381</v>
      </c>
      <c r="D37" s="830">
        <f>民間消費!C39</f>
        <v>90119</v>
      </c>
      <c r="E37" s="830">
        <f>政府消費!C39</f>
        <v>16072</v>
      </c>
      <c r="F37" s="830">
        <f t="shared" si="7"/>
        <v>41129</v>
      </c>
      <c r="G37" s="830">
        <f>民間住宅1!C39</f>
        <v>4648</v>
      </c>
      <c r="H37" s="830">
        <f>民間設備投資計!C39</f>
        <v>36364</v>
      </c>
      <c r="I37" s="830">
        <f>民間在庫品増加!C39</f>
        <v>117</v>
      </c>
      <c r="J37" s="830">
        <f>公的投資!C39</f>
        <v>5631</v>
      </c>
      <c r="K37" s="829">
        <f t="shared" si="8"/>
        <v>152951</v>
      </c>
      <c r="L37" s="830">
        <f t="shared" si="9"/>
        <v>39430</v>
      </c>
      <c r="M37" s="830">
        <f>移出入推計WS!E39+移出入推計WS!G39+移出入推計WS!H39</f>
        <v>173938</v>
      </c>
      <c r="N37" s="830">
        <f>移出入推計WS!F39</f>
        <v>130520</v>
      </c>
      <c r="O37" s="831">
        <f t="shared" si="10"/>
        <v>-3988</v>
      </c>
      <c r="P37" s="300">
        <v>220</v>
      </c>
      <c r="Q37" s="293"/>
      <c r="R37" s="49">
        <f t="shared" si="11"/>
        <v>192381</v>
      </c>
      <c r="S37" s="49">
        <f t="shared" si="12"/>
        <v>0</v>
      </c>
      <c r="U37" s="49">
        <f>民間設備製造1!C39</f>
        <v>19133</v>
      </c>
      <c r="V37" s="49">
        <f t="shared" si="13"/>
        <v>135603</v>
      </c>
    </row>
    <row r="38" spans="1:22">
      <c r="A38" s="300">
        <v>228</v>
      </c>
      <c r="B38" s="90" t="s">
        <v>239</v>
      </c>
      <c r="C38" s="829">
        <f>'２次調整'!U40</f>
        <v>256338</v>
      </c>
      <c r="D38" s="830">
        <f>民間消費!C40</f>
        <v>79089</v>
      </c>
      <c r="E38" s="830">
        <f>政府消費!C40</f>
        <v>16903</v>
      </c>
      <c r="F38" s="830">
        <f t="shared" si="7"/>
        <v>38641</v>
      </c>
      <c r="G38" s="830">
        <f>民間住宅1!C40</f>
        <v>5805</v>
      </c>
      <c r="H38" s="830">
        <f>民間設備投資計!C40</f>
        <v>32730</v>
      </c>
      <c r="I38" s="830">
        <f>民間在庫品増加!C40</f>
        <v>106</v>
      </c>
      <c r="J38" s="830">
        <f>公的投資!C40</f>
        <v>4626</v>
      </c>
      <c r="K38" s="829">
        <f t="shared" si="8"/>
        <v>139259</v>
      </c>
      <c r="L38" s="830">
        <f t="shared" si="9"/>
        <v>117079</v>
      </c>
      <c r="M38" s="830">
        <f>移出入推計WS!E40+移出入推計WS!G40+移出入推計WS!H40</f>
        <v>228829</v>
      </c>
      <c r="N38" s="830">
        <f>移出入推計WS!F40</f>
        <v>118836</v>
      </c>
      <c r="O38" s="831">
        <f t="shared" si="10"/>
        <v>7086</v>
      </c>
      <c r="P38" s="300">
        <v>228</v>
      </c>
      <c r="Q38" s="293"/>
      <c r="R38" s="49">
        <f t="shared" si="11"/>
        <v>256338</v>
      </c>
      <c r="S38" s="49">
        <f t="shared" si="12"/>
        <v>0</v>
      </c>
      <c r="U38" s="49">
        <f>民間設備製造1!C40</f>
        <v>17042</v>
      </c>
      <c r="V38" s="49">
        <f t="shared" si="13"/>
        <v>123465</v>
      </c>
    </row>
    <row r="39" spans="1:22">
      <c r="A39" s="302">
        <v>365</v>
      </c>
      <c r="B39" s="201" t="s">
        <v>233</v>
      </c>
      <c r="C39" s="836">
        <f>'２次調整'!U41</f>
        <v>64208</v>
      </c>
      <c r="D39" s="837">
        <f>民間消費!C41</f>
        <v>39930</v>
      </c>
      <c r="E39" s="837">
        <f>政府消費!C41</f>
        <v>11314</v>
      </c>
      <c r="F39" s="837">
        <f t="shared" si="7"/>
        <v>11147</v>
      </c>
      <c r="G39" s="837">
        <f>民間住宅1!C41</f>
        <v>1819</v>
      </c>
      <c r="H39" s="837">
        <f>民間設備投資計!C41</f>
        <v>9278</v>
      </c>
      <c r="I39" s="837">
        <f>民間在庫品増加!C41</f>
        <v>50</v>
      </c>
      <c r="J39" s="837">
        <f>公的投資!C41</f>
        <v>3240</v>
      </c>
      <c r="K39" s="836">
        <f t="shared" si="8"/>
        <v>65631</v>
      </c>
      <c r="L39" s="837">
        <f t="shared" si="9"/>
        <v>-1423</v>
      </c>
      <c r="M39" s="837">
        <f>移出入推計WS!E41+移出入推計WS!G41+移出入推計WS!H41</f>
        <v>61922</v>
      </c>
      <c r="N39" s="837">
        <f>移出入推計WS!F41</f>
        <v>56006</v>
      </c>
      <c r="O39" s="835">
        <f t="shared" si="10"/>
        <v>-7339</v>
      </c>
      <c r="P39" s="300">
        <v>365</v>
      </c>
      <c r="Q39" s="293"/>
      <c r="R39" s="49">
        <f t="shared" si="11"/>
        <v>64208</v>
      </c>
      <c r="S39" s="49">
        <f t="shared" si="12"/>
        <v>0</v>
      </c>
      <c r="U39" s="49">
        <f>民間設備製造1!C41</f>
        <v>1884</v>
      </c>
      <c r="V39" s="49">
        <f t="shared" si="13"/>
        <v>58187</v>
      </c>
    </row>
    <row r="40" spans="1:22">
      <c r="A40" s="300">
        <v>5</v>
      </c>
      <c r="B40" s="91" t="s">
        <v>202</v>
      </c>
      <c r="C40" s="829">
        <f>'２次調整'!U42</f>
        <v>2515903</v>
      </c>
      <c r="D40" s="830">
        <f>民間消費!C42</f>
        <v>1243163</v>
      </c>
      <c r="E40" s="830">
        <f>政府消費!C42</f>
        <v>178756</v>
      </c>
      <c r="F40" s="830">
        <f t="shared" si="7"/>
        <v>609591</v>
      </c>
      <c r="G40" s="830">
        <f>民間住宅1!C42</f>
        <v>98740</v>
      </c>
      <c r="H40" s="830">
        <f>民間設備投資計!C42</f>
        <v>509216</v>
      </c>
      <c r="I40" s="830">
        <f>民間在庫品増加!C42</f>
        <v>1635</v>
      </c>
      <c r="J40" s="830">
        <f>公的投資!C42</f>
        <v>113997</v>
      </c>
      <c r="K40" s="829">
        <f t="shared" si="8"/>
        <v>2145507</v>
      </c>
      <c r="L40" s="830">
        <f t="shared" si="9"/>
        <v>370396</v>
      </c>
      <c r="M40" s="830">
        <f>移出入推計WS!E42+移出入推計WS!G42+移出入推計WS!H42</f>
        <v>2254267</v>
      </c>
      <c r="N40" s="830">
        <f>移出入推計WS!F42</f>
        <v>1830852</v>
      </c>
      <c r="O40" s="828">
        <f t="shared" si="10"/>
        <v>-53019</v>
      </c>
      <c r="P40" s="300">
        <v>5</v>
      </c>
      <c r="Q40" s="293"/>
      <c r="R40" s="49">
        <f t="shared" si="11"/>
        <v>2515903</v>
      </c>
      <c r="S40" s="49">
        <f t="shared" si="12"/>
        <v>0</v>
      </c>
      <c r="U40" s="49">
        <f>民間設備製造1!C42</f>
        <v>267513</v>
      </c>
      <c r="V40" s="49">
        <f t="shared" si="13"/>
        <v>1902169</v>
      </c>
    </row>
    <row r="41" spans="1:22">
      <c r="A41" s="300">
        <v>201</v>
      </c>
      <c r="B41" s="92" t="s">
        <v>240</v>
      </c>
      <c r="C41" s="829">
        <f>'２次調整'!U43</f>
        <v>2299388</v>
      </c>
      <c r="D41" s="830">
        <f>民間消費!C43</f>
        <v>1157647</v>
      </c>
      <c r="E41" s="830">
        <f>政府消費!C43</f>
        <v>158677</v>
      </c>
      <c r="F41" s="830">
        <f t="shared" si="7"/>
        <v>578538</v>
      </c>
      <c r="G41" s="830">
        <f>民間住宅1!C43</f>
        <v>94073</v>
      </c>
      <c r="H41" s="830">
        <f>民間設備投資計!C43</f>
        <v>482937</v>
      </c>
      <c r="I41" s="830">
        <f>民間在庫品増加!C43</f>
        <v>1528</v>
      </c>
      <c r="J41" s="830">
        <f>公的投資!C43</f>
        <v>110453</v>
      </c>
      <c r="K41" s="829">
        <f t="shared" si="8"/>
        <v>2005315</v>
      </c>
      <c r="L41" s="830">
        <f t="shared" si="9"/>
        <v>294073</v>
      </c>
      <c r="M41" s="830">
        <f>移出入推計WS!E43+移出入推計WS!G43+移出入推計WS!H43</f>
        <v>2057215</v>
      </c>
      <c r="N41" s="830">
        <f>移出入推計WS!F43</f>
        <v>1711221</v>
      </c>
      <c r="O41" s="831">
        <f t="shared" si="10"/>
        <v>-51921</v>
      </c>
      <c r="P41" s="300">
        <v>201</v>
      </c>
      <c r="Q41" s="293"/>
      <c r="R41" s="49">
        <f t="shared" si="11"/>
        <v>2299388</v>
      </c>
      <c r="S41" s="49">
        <f t="shared" si="12"/>
        <v>0</v>
      </c>
      <c r="U41" s="49">
        <f>民間設備製造1!C43</f>
        <v>257027</v>
      </c>
      <c r="V41" s="49">
        <f t="shared" si="13"/>
        <v>1777877</v>
      </c>
    </row>
    <row r="42" spans="1:22">
      <c r="A42" s="300">
        <v>442</v>
      </c>
      <c r="B42" s="90" t="s">
        <v>203</v>
      </c>
      <c r="C42" s="829">
        <f>'２次調整'!U44</f>
        <v>41427</v>
      </c>
      <c r="D42" s="830">
        <f>民間消費!C44</f>
        <v>25491</v>
      </c>
      <c r="E42" s="830">
        <f>政府消費!C44</f>
        <v>5530</v>
      </c>
      <c r="F42" s="830">
        <f t="shared" si="7"/>
        <v>6767</v>
      </c>
      <c r="G42" s="830">
        <f>民間住宅1!C44</f>
        <v>919</v>
      </c>
      <c r="H42" s="830">
        <f>民間設備投資計!C44</f>
        <v>5819</v>
      </c>
      <c r="I42" s="830">
        <f>民間在庫品増加!C44</f>
        <v>29</v>
      </c>
      <c r="J42" s="830">
        <f>公的投資!C44</f>
        <v>491</v>
      </c>
      <c r="K42" s="829">
        <f t="shared" si="8"/>
        <v>38279</v>
      </c>
      <c r="L42" s="830">
        <f t="shared" si="9"/>
        <v>3148</v>
      </c>
      <c r="M42" s="830">
        <f>移出入推計WS!E44+移出入推計WS!G44+移出入推計WS!H44</f>
        <v>38801</v>
      </c>
      <c r="N42" s="830">
        <f>移出入推計WS!F44</f>
        <v>32665</v>
      </c>
      <c r="O42" s="831">
        <f t="shared" si="10"/>
        <v>-2988</v>
      </c>
      <c r="P42" s="300">
        <v>442</v>
      </c>
      <c r="Q42" s="293"/>
      <c r="R42" s="49">
        <f t="shared" si="11"/>
        <v>41427</v>
      </c>
      <c r="S42" s="49">
        <f t="shared" si="12"/>
        <v>0</v>
      </c>
      <c r="U42" s="49">
        <f>民間設備製造1!C44</f>
        <v>1507</v>
      </c>
      <c r="V42" s="49">
        <f t="shared" si="13"/>
        <v>33938</v>
      </c>
    </row>
    <row r="43" spans="1:22">
      <c r="A43" s="300">
        <v>443</v>
      </c>
      <c r="B43" s="90" t="s">
        <v>204</v>
      </c>
      <c r="C43" s="829">
        <f>'２次調整'!U45</f>
        <v>140737</v>
      </c>
      <c r="D43" s="830">
        <f>民間消費!C45</f>
        <v>37778</v>
      </c>
      <c r="E43" s="830">
        <f>政府消費!C45</f>
        <v>6898</v>
      </c>
      <c r="F43" s="830">
        <f t="shared" si="7"/>
        <v>19433</v>
      </c>
      <c r="G43" s="830">
        <f>民間住宅1!C45</f>
        <v>3307</v>
      </c>
      <c r="H43" s="830">
        <f>民間設備投資計!C45</f>
        <v>16076</v>
      </c>
      <c r="I43" s="830">
        <f>民間在庫品増加!C45</f>
        <v>50</v>
      </c>
      <c r="J43" s="830">
        <f>公的投資!C45</f>
        <v>1313</v>
      </c>
      <c r="K43" s="829">
        <f t="shared" si="8"/>
        <v>65422</v>
      </c>
      <c r="L43" s="830">
        <f t="shared" si="9"/>
        <v>75315</v>
      </c>
      <c r="M43" s="830">
        <f>移出入推計WS!E45+移出入推計WS!G45+移出入推計WS!H45</f>
        <v>124085</v>
      </c>
      <c r="N43" s="830">
        <f>移出入推計WS!F45</f>
        <v>55827</v>
      </c>
      <c r="O43" s="831">
        <f t="shared" si="10"/>
        <v>7057</v>
      </c>
      <c r="P43" s="300">
        <v>443</v>
      </c>
      <c r="Q43" s="293"/>
      <c r="R43" s="49">
        <f t="shared" si="11"/>
        <v>140737</v>
      </c>
      <c r="S43" s="49">
        <f t="shared" si="12"/>
        <v>0</v>
      </c>
      <c r="U43" s="49">
        <f>民間設備製造1!C45</f>
        <v>8706</v>
      </c>
      <c r="V43" s="49">
        <f t="shared" si="13"/>
        <v>58002</v>
      </c>
    </row>
    <row r="44" spans="1:22">
      <c r="A44" s="300">
        <v>446</v>
      </c>
      <c r="B44" s="90" t="s">
        <v>234</v>
      </c>
      <c r="C44" s="829">
        <f>'２次調整'!U46</f>
        <v>34351</v>
      </c>
      <c r="D44" s="830">
        <f>民間消費!C46</f>
        <v>22247</v>
      </c>
      <c r="E44" s="830">
        <f>政府消費!C46</f>
        <v>7651</v>
      </c>
      <c r="F44" s="830">
        <f t="shared" si="7"/>
        <v>4853</v>
      </c>
      <c r="G44" s="830">
        <f>民間住宅1!C46</f>
        <v>441</v>
      </c>
      <c r="H44" s="830">
        <f>民間設備投資計!C46</f>
        <v>4384</v>
      </c>
      <c r="I44" s="830">
        <f>民間在庫品増加!C46</f>
        <v>28</v>
      </c>
      <c r="J44" s="830">
        <f>公的投資!C46</f>
        <v>1740</v>
      </c>
      <c r="K44" s="829">
        <f t="shared" si="8"/>
        <v>36491</v>
      </c>
      <c r="L44" s="830">
        <f t="shared" si="9"/>
        <v>-2140</v>
      </c>
      <c r="M44" s="830">
        <f>移出入推計WS!E46+移出入推計WS!G46+移出入推計WS!H46</f>
        <v>34166</v>
      </c>
      <c r="N44" s="830">
        <f>移出入推計WS!F46</f>
        <v>31139</v>
      </c>
      <c r="O44" s="835">
        <f t="shared" si="10"/>
        <v>-5167</v>
      </c>
      <c r="P44" s="300">
        <v>446</v>
      </c>
      <c r="Q44" s="293"/>
      <c r="R44" s="49">
        <f t="shared" si="11"/>
        <v>34351</v>
      </c>
      <c r="S44" s="49">
        <f t="shared" si="12"/>
        <v>0</v>
      </c>
      <c r="U44" s="49">
        <f>民間設備製造1!C46</f>
        <v>273</v>
      </c>
      <c r="V44" s="49">
        <f t="shared" si="13"/>
        <v>32352</v>
      </c>
    </row>
    <row r="45" spans="1:22">
      <c r="A45" s="301">
        <v>6</v>
      </c>
      <c r="B45" s="306" t="s">
        <v>205</v>
      </c>
      <c r="C45" s="826">
        <f>'２次調整'!U47</f>
        <v>968752</v>
      </c>
      <c r="D45" s="827">
        <f>民間消費!C47</f>
        <v>544589</v>
      </c>
      <c r="E45" s="827">
        <f>政府消費!C47</f>
        <v>110748</v>
      </c>
      <c r="F45" s="827">
        <f t="shared" si="7"/>
        <v>253781</v>
      </c>
      <c r="G45" s="827">
        <f>民間住宅1!C47</f>
        <v>38264</v>
      </c>
      <c r="H45" s="827">
        <f>民間設備投資計!C47</f>
        <v>214789</v>
      </c>
      <c r="I45" s="827">
        <f>民間在庫品増加!C47</f>
        <v>728</v>
      </c>
      <c r="J45" s="827">
        <f>公的投資!C47</f>
        <v>46399</v>
      </c>
      <c r="K45" s="826">
        <f t="shared" si="8"/>
        <v>955517</v>
      </c>
      <c r="L45" s="827">
        <f t="shared" si="9"/>
        <v>13235</v>
      </c>
      <c r="M45" s="827">
        <f>移出入推計WS!E47+移出入推計WS!G47+移出入推計WS!H47</f>
        <v>895266</v>
      </c>
      <c r="N45" s="827">
        <f>移出入推計WS!F47</f>
        <v>815384</v>
      </c>
      <c r="O45" s="828">
        <f t="shared" si="10"/>
        <v>-66647</v>
      </c>
      <c r="P45" s="300">
        <v>6</v>
      </c>
      <c r="Q45" s="293"/>
      <c r="R45" s="49">
        <f t="shared" si="11"/>
        <v>968752</v>
      </c>
      <c r="S45" s="49">
        <f t="shared" si="12"/>
        <v>0</v>
      </c>
      <c r="U45" s="49">
        <f>民間設備製造1!C47</f>
        <v>107145</v>
      </c>
      <c r="V45" s="49">
        <f t="shared" si="13"/>
        <v>847145</v>
      </c>
    </row>
    <row r="46" spans="1:22">
      <c r="A46" s="300">
        <v>208</v>
      </c>
      <c r="B46" s="90" t="s">
        <v>206</v>
      </c>
      <c r="C46" s="829">
        <f>'２次調整'!U48</f>
        <v>131924</v>
      </c>
      <c r="D46" s="830">
        <f>民間消費!C48</f>
        <v>70142</v>
      </c>
      <c r="E46" s="830">
        <f>政府消費!C48</f>
        <v>11811</v>
      </c>
      <c r="F46" s="830">
        <f t="shared" si="7"/>
        <v>19931</v>
      </c>
      <c r="G46" s="830">
        <f>民間住宅1!C48</f>
        <v>3747</v>
      </c>
      <c r="H46" s="830">
        <f>民間設備投資計!C48</f>
        <v>16100</v>
      </c>
      <c r="I46" s="830">
        <f>民間在庫品増加!C48</f>
        <v>84</v>
      </c>
      <c r="J46" s="830">
        <f>公的投資!C48</f>
        <v>8081</v>
      </c>
      <c r="K46" s="829">
        <f t="shared" si="8"/>
        <v>109965</v>
      </c>
      <c r="L46" s="830">
        <f t="shared" si="9"/>
        <v>21959</v>
      </c>
      <c r="M46" s="830">
        <f>移出入推計WS!E48+移出入推計WS!G48+移出入推計WS!H48</f>
        <v>119790</v>
      </c>
      <c r="N46" s="830">
        <f>移出入推計WS!F48</f>
        <v>93838</v>
      </c>
      <c r="O46" s="831">
        <f t="shared" si="10"/>
        <v>-3993</v>
      </c>
      <c r="P46" s="300">
        <v>208</v>
      </c>
      <c r="Q46" s="293"/>
      <c r="R46" s="49">
        <f t="shared" si="11"/>
        <v>131924</v>
      </c>
      <c r="S46" s="49">
        <f t="shared" si="12"/>
        <v>0</v>
      </c>
      <c r="U46" s="49">
        <f>民間設備製造1!C48</f>
        <v>3712</v>
      </c>
      <c r="V46" s="49">
        <f t="shared" si="13"/>
        <v>97493</v>
      </c>
    </row>
    <row r="47" spans="1:22">
      <c r="A47" s="300">
        <v>212</v>
      </c>
      <c r="B47" s="90" t="s">
        <v>207</v>
      </c>
      <c r="C47" s="829">
        <f>'２次調整'!U49</f>
        <v>193412</v>
      </c>
      <c r="D47" s="830">
        <f>民間消費!C49</f>
        <v>107914</v>
      </c>
      <c r="E47" s="830">
        <f>政府消費!C49</f>
        <v>19808</v>
      </c>
      <c r="F47" s="830">
        <f t="shared" si="7"/>
        <v>46742</v>
      </c>
      <c r="G47" s="830">
        <f>民間住宅1!C49</f>
        <v>8303</v>
      </c>
      <c r="H47" s="830">
        <f>民間設備投資計!C49</f>
        <v>38301</v>
      </c>
      <c r="I47" s="830">
        <f>民間在庫品増加!C49</f>
        <v>138</v>
      </c>
      <c r="J47" s="830">
        <f>公的投資!C49</f>
        <v>7206</v>
      </c>
      <c r="K47" s="829">
        <f t="shared" si="8"/>
        <v>181670</v>
      </c>
      <c r="L47" s="830">
        <f t="shared" si="9"/>
        <v>11742</v>
      </c>
      <c r="M47" s="830">
        <f>移出入推計WS!E49+移出入推計WS!G49+移出入推計WS!H49</f>
        <v>177242</v>
      </c>
      <c r="N47" s="830">
        <f>移出入推計WS!F49</f>
        <v>155027</v>
      </c>
      <c r="O47" s="831">
        <f t="shared" si="10"/>
        <v>-10473</v>
      </c>
      <c r="P47" s="300">
        <v>212</v>
      </c>
      <c r="Q47" s="293"/>
      <c r="R47" s="49">
        <f t="shared" si="11"/>
        <v>193412</v>
      </c>
      <c r="S47" s="49">
        <f t="shared" si="12"/>
        <v>0</v>
      </c>
      <c r="U47" s="49">
        <f>民間設備製造1!C49</f>
        <v>17835</v>
      </c>
      <c r="V47" s="49">
        <f t="shared" si="13"/>
        <v>161066</v>
      </c>
    </row>
    <row r="48" spans="1:22">
      <c r="A48" s="300">
        <v>227</v>
      </c>
      <c r="B48" s="90" t="s">
        <v>219</v>
      </c>
      <c r="C48" s="829">
        <f>'２次調整'!U50</f>
        <v>125200</v>
      </c>
      <c r="D48" s="830">
        <f>民間消費!C50</f>
        <v>77178</v>
      </c>
      <c r="E48" s="830">
        <f>政府消費!C50</f>
        <v>20854</v>
      </c>
      <c r="F48" s="830">
        <f t="shared" ref="F48:F65" si="14">G48+H48+I48</f>
        <v>18731</v>
      </c>
      <c r="G48" s="830">
        <f>民間住宅1!C50</f>
        <v>2535</v>
      </c>
      <c r="H48" s="830">
        <f>民間設備投資計!C50</f>
        <v>16103</v>
      </c>
      <c r="I48" s="830">
        <f>民間在庫品増加!C50</f>
        <v>93</v>
      </c>
      <c r="J48" s="830">
        <f>公的投資!C50</f>
        <v>5885</v>
      </c>
      <c r="K48" s="829">
        <f t="shared" ref="K48:K65" si="15">D48+E48+F48+J48</f>
        <v>122648</v>
      </c>
      <c r="L48" s="830">
        <f t="shared" si="9"/>
        <v>2552</v>
      </c>
      <c r="M48" s="830">
        <f>移出入推計WS!E50+移出入推計WS!G50+移出入推計WS!H50</f>
        <v>119957</v>
      </c>
      <c r="N48" s="830">
        <f>移出入推計WS!F50</f>
        <v>104661</v>
      </c>
      <c r="O48" s="831">
        <f t="shared" ref="O48:O65" si="16">L48-(M48-N48)</f>
        <v>-12744</v>
      </c>
      <c r="P48" s="300">
        <v>227</v>
      </c>
      <c r="Q48" s="293"/>
      <c r="R48" s="49">
        <f t="shared" ref="R48:R65" si="17">D48+E48+F48+J48+L48</f>
        <v>125200</v>
      </c>
      <c r="S48" s="49">
        <f t="shared" ref="S48:S65" si="18">R48-C48</f>
        <v>0</v>
      </c>
      <c r="U48" s="49">
        <f>民間設備製造1!C50</f>
        <v>2286</v>
      </c>
      <c r="V48" s="49">
        <f t="shared" si="13"/>
        <v>108738</v>
      </c>
    </row>
    <row r="49" spans="1:22">
      <c r="A49" s="300">
        <v>229</v>
      </c>
      <c r="B49" s="90" t="s">
        <v>235</v>
      </c>
      <c r="C49" s="829">
        <f>'２次調整'!U51</f>
        <v>308097</v>
      </c>
      <c r="D49" s="830">
        <f>民間消費!C51</f>
        <v>151658</v>
      </c>
      <c r="E49" s="830">
        <f>政府消費!C51</f>
        <v>29955</v>
      </c>
      <c r="F49" s="830">
        <f t="shared" si="14"/>
        <v>68767</v>
      </c>
      <c r="G49" s="830">
        <f>民間住宅1!C51</f>
        <v>13006</v>
      </c>
      <c r="H49" s="830">
        <f>民間設備投資計!C51</f>
        <v>55558</v>
      </c>
      <c r="I49" s="830">
        <f>民間在庫品増加!C51</f>
        <v>203</v>
      </c>
      <c r="J49" s="830">
        <f>公的投資!C51</f>
        <v>15491</v>
      </c>
      <c r="K49" s="829">
        <f t="shared" si="15"/>
        <v>265871</v>
      </c>
      <c r="L49" s="830">
        <f t="shared" si="9"/>
        <v>42226</v>
      </c>
      <c r="M49" s="830">
        <f>移出入推計WS!E51+移出入推計WS!G51+移出入推計WS!H51</f>
        <v>281302</v>
      </c>
      <c r="N49" s="830">
        <f>移出入推計WS!F51</f>
        <v>226879</v>
      </c>
      <c r="O49" s="831">
        <f t="shared" si="16"/>
        <v>-12197</v>
      </c>
      <c r="P49" s="300">
        <v>229</v>
      </c>
      <c r="Q49" s="293"/>
      <c r="R49" s="49">
        <f t="shared" si="17"/>
        <v>308097</v>
      </c>
      <c r="S49" s="49">
        <f t="shared" si="18"/>
        <v>0</v>
      </c>
      <c r="U49" s="49">
        <f>民間設備製造1!C51</f>
        <v>25606</v>
      </c>
      <c r="V49" s="49">
        <f t="shared" si="13"/>
        <v>235716</v>
      </c>
    </row>
    <row r="50" spans="1:22">
      <c r="A50" s="300">
        <v>464</v>
      </c>
      <c r="B50" s="90" t="s">
        <v>208</v>
      </c>
      <c r="C50" s="829">
        <f>'２次調整'!U52</f>
        <v>103774</v>
      </c>
      <c r="D50" s="830">
        <f>民間消費!C52</f>
        <v>64566</v>
      </c>
      <c r="E50" s="830">
        <f>政府消費!C52</f>
        <v>7533</v>
      </c>
      <c r="F50" s="830">
        <f t="shared" si="14"/>
        <v>78585</v>
      </c>
      <c r="G50" s="830">
        <f>民間住宅1!C52</f>
        <v>6466</v>
      </c>
      <c r="H50" s="830">
        <f>民間設備投資計!C52</f>
        <v>72002</v>
      </c>
      <c r="I50" s="830">
        <f>民間在庫品増加!C52</f>
        <v>117</v>
      </c>
      <c r="J50" s="830">
        <f>公的投資!C52</f>
        <v>3087</v>
      </c>
      <c r="K50" s="829">
        <f t="shared" si="15"/>
        <v>153771</v>
      </c>
      <c r="L50" s="830">
        <f t="shared" si="9"/>
        <v>-49997</v>
      </c>
      <c r="M50" s="830">
        <f>移出入推計WS!E52+移出入推計WS!G52+移出入推計WS!H52</f>
        <v>93086</v>
      </c>
      <c r="N50" s="830">
        <f>移出入推計WS!F52</f>
        <v>131219</v>
      </c>
      <c r="O50" s="831">
        <f t="shared" si="16"/>
        <v>-11864</v>
      </c>
      <c r="P50" s="300">
        <v>464</v>
      </c>
      <c r="Q50" s="293"/>
      <c r="R50" s="49">
        <f t="shared" si="17"/>
        <v>103774</v>
      </c>
      <c r="S50" s="49">
        <f t="shared" si="18"/>
        <v>0</v>
      </c>
      <c r="U50" s="49">
        <f>民間設備製造1!C52</f>
        <v>54679</v>
      </c>
      <c r="V50" s="49">
        <f t="shared" si="13"/>
        <v>136331</v>
      </c>
    </row>
    <row r="51" spans="1:22">
      <c r="A51" s="300">
        <v>481</v>
      </c>
      <c r="B51" s="90" t="s">
        <v>209</v>
      </c>
      <c r="C51" s="829">
        <f>'２次調整'!U53</f>
        <v>45491</v>
      </c>
      <c r="D51" s="830">
        <f>民間消費!C53</f>
        <v>34440</v>
      </c>
      <c r="E51" s="830">
        <f>政府消費!C53</f>
        <v>6647</v>
      </c>
      <c r="F51" s="830">
        <f t="shared" si="14"/>
        <v>10200</v>
      </c>
      <c r="G51" s="830">
        <f>民間住宅1!C53</f>
        <v>3086</v>
      </c>
      <c r="H51" s="830">
        <f>民間設備投資計!C53</f>
        <v>7072</v>
      </c>
      <c r="I51" s="830">
        <f>民間在庫品増加!C53</f>
        <v>42</v>
      </c>
      <c r="J51" s="830">
        <f>公的投資!C53</f>
        <v>3481</v>
      </c>
      <c r="K51" s="829">
        <f t="shared" si="15"/>
        <v>54768</v>
      </c>
      <c r="L51" s="830">
        <f t="shared" si="9"/>
        <v>-9277</v>
      </c>
      <c r="M51" s="830">
        <f>移出入推計WS!E53+移出入推計WS!G53+移出入推計WS!H53</f>
        <v>42980</v>
      </c>
      <c r="N51" s="830">
        <f>移出入推計WS!F53</f>
        <v>46736</v>
      </c>
      <c r="O51" s="831">
        <f t="shared" si="16"/>
        <v>-5521</v>
      </c>
      <c r="P51" s="300">
        <v>481</v>
      </c>
      <c r="Q51" s="293"/>
      <c r="R51" s="49">
        <f t="shared" si="17"/>
        <v>45491</v>
      </c>
      <c r="S51" s="49">
        <f t="shared" si="18"/>
        <v>0</v>
      </c>
      <c r="U51" s="49">
        <f>民間設備製造1!C53</f>
        <v>902</v>
      </c>
      <c r="V51" s="49">
        <f t="shared" si="13"/>
        <v>48556</v>
      </c>
    </row>
    <row r="52" spans="1:22">
      <c r="A52" s="302">
        <v>501</v>
      </c>
      <c r="B52" s="201" t="s">
        <v>236</v>
      </c>
      <c r="C52" s="836">
        <f>'２次調整'!U54</f>
        <v>60854</v>
      </c>
      <c r="D52" s="837">
        <f>民間消費!C54</f>
        <v>38691</v>
      </c>
      <c r="E52" s="837">
        <f>政府消費!C54</f>
        <v>14140</v>
      </c>
      <c r="F52" s="837">
        <f t="shared" si="14"/>
        <v>10825</v>
      </c>
      <c r="G52" s="837">
        <f>民間住宅1!C54</f>
        <v>1121</v>
      </c>
      <c r="H52" s="837">
        <f>民間設備投資計!C54</f>
        <v>9653</v>
      </c>
      <c r="I52" s="837">
        <f>民間在庫品増加!C54</f>
        <v>51</v>
      </c>
      <c r="J52" s="837">
        <f>公的投資!C54</f>
        <v>3168</v>
      </c>
      <c r="K52" s="836">
        <f t="shared" si="15"/>
        <v>66824</v>
      </c>
      <c r="L52" s="837">
        <f t="shared" si="9"/>
        <v>-5970</v>
      </c>
      <c r="M52" s="837">
        <f>移出入推計WS!E54+移出入推計WS!G54+移出入推計WS!H54</f>
        <v>60909</v>
      </c>
      <c r="N52" s="837">
        <f>移出入推計WS!F54</f>
        <v>57024</v>
      </c>
      <c r="O52" s="835">
        <f t="shared" si="16"/>
        <v>-9855</v>
      </c>
      <c r="P52" s="300">
        <v>501</v>
      </c>
      <c r="Q52" s="293"/>
      <c r="R52" s="49">
        <f t="shared" si="17"/>
        <v>60854</v>
      </c>
      <c r="S52" s="49">
        <f t="shared" si="18"/>
        <v>0</v>
      </c>
      <c r="U52" s="49">
        <f>民間設備製造1!C54</f>
        <v>2125</v>
      </c>
      <c r="V52" s="49">
        <f t="shared" si="13"/>
        <v>59245</v>
      </c>
    </row>
    <row r="53" spans="1:22">
      <c r="A53" s="300">
        <v>7</v>
      </c>
      <c r="B53" s="93" t="s">
        <v>210</v>
      </c>
      <c r="C53" s="829">
        <f>'２次調整'!U55</f>
        <v>625093</v>
      </c>
      <c r="D53" s="830">
        <f>民間消費!C55</f>
        <v>415101</v>
      </c>
      <c r="E53" s="830">
        <f>政府消費!C55</f>
        <v>95750</v>
      </c>
      <c r="F53" s="830">
        <f t="shared" si="14"/>
        <v>120773</v>
      </c>
      <c r="G53" s="830">
        <f>民間住宅1!C55</f>
        <v>19068</v>
      </c>
      <c r="H53" s="830">
        <f>民間設備投資計!C55</f>
        <v>101194</v>
      </c>
      <c r="I53" s="830">
        <f>民間在庫品増加!C55</f>
        <v>511</v>
      </c>
      <c r="J53" s="830">
        <f>公的投資!C55</f>
        <v>36958</v>
      </c>
      <c r="K53" s="829">
        <f t="shared" si="15"/>
        <v>668582</v>
      </c>
      <c r="L53" s="830">
        <f t="shared" si="9"/>
        <v>-43489</v>
      </c>
      <c r="M53" s="830">
        <f>移出入推計WS!E55+移出入推計WS!G55+移出入推計WS!H55</f>
        <v>593471</v>
      </c>
      <c r="N53" s="830">
        <f>移出入推計WS!F55</f>
        <v>570529</v>
      </c>
      <c r="O53" s="828">
        <f t="shared" si="16"/>
        <v>-66431</v>
      </c>
      <c r="P53" s="300">
        <v>7</v>
      </c>
      <c r="Q53" s="293"/>
      <c r="R53" s="49">
        <f t="shared" si="17"/>
        <v>625093</v>
      </c>
      <c r="S53" s="49">
        <f t="shared" si="18"/>
        <v>0</v>
      </c>
      <c r="U53" s="49">
        <f>民間設備製造1!C55</f>
        <v>25875</v>
      </c>
      <c r="V53" s="49">
        <f t="shared" si="13"/>
        <v>592752</v>
      </c>
    </row>
    <row r="54" spans="1:22">
      <c r="A54" s="300">
        <v>209</v>
      </c>
      <c r="B54" s="90" t="s">
        <v>221</v>
      </c>
      <c r="C54" s="829">
        <f>'２次調整'!U56</f>
        <v>305897</v>
      </c>
      <c r="D54" s="830">
        <f>民間消費!C56</f>
        <v>195883</v>
      </c>
      <c r="E54" s="830">
        <f>政府消費!C56</f>
        <v>39532</v>
      </c>
      <c r="F54" s="830">
        <f t="shared" si="14"/>
        <v>56978</v>
      </c>
      <c r="G54" s="830">
        <f>民間住宅1!C56</f>
        <v>11959</v>
      </c>
      <c r="H54" s="830">
        <f>民間設備投資計!C56</f>
        <v>44781</v>
      </c>
      <c r="I54" s="830">
        <f>民間在庫品増加!C56</f>
        <v>238</v>
      </c>
      <c r="J54" s="830">
        <f>公的投資!C56</f>
        <v>19366</v>
      </c>
      <c r="K54" s="829">
        <f t="shared" si="15"/>
        <v>311759</v>
      </c>
      <c r="L54" s="830">
        <f t="shared" si="9"/>
        <v>-5862</v>
      </c>
      <c r="M54" s="830">
        <f>移出入推計WS!E56+移出入推計WS!G56+移出入推計WS!H56</f>
        <v>285659</v>
      </c>
      <c r="N54" s="830">
        <f>移出入推計WS!F56</f>
        <v>266037</v>
      </c>
      <c r="O54" s="831">
        <f t="shared" si="16"/>
        <v>-25484</v>
      </c>
      <c r="P54" s="300">
        <v>209</v>
      </c>
      <c r="Q54" s="293"/>
      <c r="R54" s="49">
        <f t="shared" si="17"/>
        <v>305897</v>
      </c>
      <c r="S54" s="49">
        <f t="shared" si="18"/>
        <v>0</v>
      </c>
      <c r="U54" s="49">
        <f>民間設備製造1!C56</f>
        <v>9660</v>
      </c>
      <c r="V54" s="49">
        <f t="shared" si="13"/>
        <v>276400</v>
      </c>
    </row>
    <row r="55" spans="1:22">
      <c r="A55" s="300">
        <v>222</v>
      </c>
      <c r="B55" s="90" t="s">
        <v>218</v>
      </c>
      <c r="C55" s="829">
        <f>'２次調整'!U57</f>
        <v>90859</v>
      </c>
      <c r="D55" s="830">
        <f>民間消費!C57</f>
        <v>60699</v>
      </c>
      <c r="E55" s="830">
        <f>政府消費!C57</f>
        <v>15600</v>
      </c>
      <c r="F55" s="830">
        <f t="shared" si="14"/>
        <v>15855</v>
      </c>
      <c r="G55" s="830">
        <f>民間住宅1!C57</f>
        <v>1837</v>
      </c>
      <c r="H55" s="830">
        <f>民間設備投資計!C57</f>
        <v>13943</v>
      </c>
      <c r="I55" s="830">
        <f>民間在庫品増加!C57</f>
        <v>75</v>
      </c>
      <c r="J55" s="830">
        <f>公的投資!C57</f>
        <v>5939</v>
      </c>
      <c r="K55" s="829">
        <f t="shared" si="15"/>
        <v>98093</v>
      </c>
      <c r="L55" s="830">
        <f t="shared" si="9"/>
        <v>-7234</v>
      </c>
      <c r="M55" s="830">
        <f>移出入推計WS!E57+移出入推計WS!G57+移出入推計WS!H57</f>
        <v>87357</v>
      </c>
      <c r="N55" s="830">
        <f>移出入推計WS!F57</f>
        <v>83707</v>
      </c>
      <c r="O55" s="831">
        <f t="shared" si="16"/>
        <v>-10884</v>
      </c>
      <c r="P55" s="300">
        <v>222</v>
      </c>
      <c r="Q55" s="293"/>
      <c r="R55" s="49">
        <f t="shared" si="17"/>
        <v>90859</v>
      </c>
      <c r="S55" s="49">
        <f t="shared" si="18"/>
        <v>0</v>
      </c>
      <c r="U55" s="49">
        <f>民間設備製造1!C57</f>
        <v>2892</v>
      </c>
      <c r="V55" s="49">
        <f t="shared" si="13"/>
        <v>86967</v>
      </c>
    </row>
    <row r="56" spans="1:22">
      <c r="A56" s="300">
        <v>225</v>
      </c>
      <c r="B56" s="90" t="s">
        <v>222</v>
      </c>
      <c r="C56" s="829">
        <f>'２次調整'!U58</f>
        <v>122026</v>
      </c>
      <c r="D56" s="830">
        <f>民間消費!C58</f>
        <v>78514</v>
      </c>
      <c r="E56" s="830">
        <f>政府消費!C58</f>
        <v>20496</v>
      </c>
      <c r="F56" s="830">
        <f t="shared" si="14"/>
        <v>31316</v>
      </c>
      <c r="G56" s="830">
        <f>民間住宅1!C58</f>
        <v>3325</v>
      </c>
      <c r="H56" s="830">
        <f>民間設備投資計!C58</f>
        <v>27887</v>
      </c>
      <c r="I56" s="830">
        <f>民間在庫品増加!C58</f>
        <v>104</v>
      </c>
      <c r="J56" s="830">
        <f>公的投資!C58</f>
        <v>5573</v>
      </c>
      <c r="K56" s="829">
        <f t="shared" si="15"/>
        <v>135899</v>
      </c>
      <c r="L56" s="830">
        <f t="shared" si="9"/>
        <v>-13873</v>
      </c>
      <c r="M56" s="830">
        <f>移出入推計WS!E58+移出入推計WS!G58+移出入推計WS!H58</f>
        <v>117026</v>
      </c>
      <c r="N56" s="830">
        <f>移出入推計WS!F58</f>
        <v>115968</v>
      </c>
      <c r="O56" s="831">
        <f t="shared" si="16"/>
        <v>-14931</v>
      </c>
      <c r="P56" s="300">
        <v>225</v>
      </c>
      <c r="Q56" s="293"/>
      <c r="R56" s="49">
        <f t="shared" si="17"/>
        <v>122026</v>
      </c>
      <c r="S56" s="49">
        <f t="shared" si="18"/>
        <v>0</v>
      </c>
      <c r="U56" s="49">
        <f>民間設備製造1!C58</f>
        <v>12577</v>
      </c>
      <c r="V56" s="49">
        <f t="shared" si="13"/>
        <v>120485</v>
      </c>
    </row>
    <row r="57" spans="1:22">
      <c r="A57" s="300">
        <v>585</v>
      </c>
      <c r="B57" s="90" t="s">
        <v>220</v>
      </c>
      <c r="C57" s="829">
        <f>'２次調整'!U59</f>
        <v>61027</v>
      </c>
      <c r="D57" s="830">
        <f>民間消費!C59</f>
        <v>43488</v>
      </c>
      <c r="E57" s="830">
        <f>政府消費!C59</f>
        <v>10832</v>
      </c>
      <c r="F57" s="830">
        <f t="shared" si="14"/>
        <v>8752</v>
      </c>
      <c r="G57" s="830">
        <f>民間住宅1!C59</f>
        <v>900</v>
      </c>
      <c r="H57" s="830">
        <f>民間設備投資計!C59</f>
        <v>7801</v>
      </c>
      <c r="I57" s="830">
        <f>民間在庫品増加!C59</f>
        <v>51</v>
      </c>
      <c r="J57" s="830">
        <f>公的投資!C59</f>
        <v>3435</v>
      </c>
      <c r="K57" s="829">
        <f t="shared" si="15"/>
        <v>66507</v>
      </c>
      <c r="L57" s="830">
        <f t="shared" si="9"/>
        <v>-5480</v>
      </c>
      <c r="M57" s="830">
        <f>移出入推計WS!E59+移出入推計WS!G59+移出入推計WS!H59</f>
        <v>58905</v>
      </c>
      <c r="N57" s="830">
        <f>移出入推計WS!F59</f>
        <v>56753</v>
      </c>
      <c r="O57" s="831">
        <f t="shared" si="16"/>
        <v>-7632</v>
      </c>
      <c r="P57" s="300">
        <v>585</v>
      </c>
      <c r="Q57" s="293"/>
      <c r="R57" s="49">
        <f t="shared" si="17"/>
        <v>61027</v>
      </c>
      <c r="S57" s="49">
        <f t="shared" si="18"/>
        <v>0</v>
      </c>
      <c r="U57" s="49">
        <f>民間設備製造1!C59</f>
        <v>309</v>
      </c>
      <c r="V57" s="49">
        <f t="shared" si="13"/>
        <v>58964</v>
      </c>
    </row>
    <row r="58" spans="1:22">
      <c r="A58" s="300">
        <v>586</v>
      </c>
      <c r="B58" s="90" t="s">
        <v>237</v>
      </c>
      <c r="C58" s="829">
        <f>'２次調整'!U60</f>
        <v>45284</v>
      </c>
      <c r="D58" s="830">
        <f>民間消費!C60</f>
        <v>36517</v>
      </c>
      <c r="E58" s="830">
        <f>政府消費!C60</f>
        <v>9290</v>
      </c>
      <c r="F58" s="830">
        <f t="shared" si="14"/>
        <v>7872</v>
      </c>
      <c r="G58" s="830">
        <f>民間住宅1!C60</f>
        <v>1047</v>
      </c>
      <c r="H58" s="830">
        <f>民間設備投資計!C60</f>
        <v>6782</v>
      </c>
      <c r="I58" s="830">
        <f>民間在庫品増加!C60</f>
        <v>43</v>
      </c>
      <c r="J58" s="830">
        <f>公的投資!C60</f>
        <v>2645</v>
      </c>
      <c r="K58" s="829">
        <f t="shared" si="15"/>
        <v>56324</v>
      </c>
      <c r="L58" s="830">
        <f t="shared" si="9"/>
        <v>-11040</v>
      </c>
      <c r="M58" s="830">
        <f>移出入推計WS!E60+移出入推計WS!G60+移出入推計WS!H60</f>
        <v>44524</v>
      </c>
      <c r="N58" s="830">
        <f>移出入推計WS!F60</f>
        <v>48064</v>
      </c>
      <c r="O58" s="835">
        <f t="shared" si="16"/>
        <v>-7500</v>
      </c>
      <c r="P58" s="300">
        <v>586</v>
      </c>
      <c r="Q58" s="293"/>
      <c r="R58" s="49">
        <f t="shared" si="17"/>
        <v>45284</v>
      </c>
      <c r="S58" s="49">
        <f t="shared" si="18"/>
        <v>0</v>
      </c>
      <c r="U58" s="49">
        <f>民間設備製造1!C60</f>
        <v>437</v>
      </c>
      <c r="V58" s="49">
        <f t="shared" si="13"/>
        <v>49936</v>
      </c>
    </row>
    <row r="59" spans="1:22">
      <c r="A59" s="301">
        <v>8</v>
      </c>
      <c r="B59" s="127" t="s">
        <v>211</v>
      </c>
      <c r="C59" s="826">
        <f>'２次調整'!U61</f>
        <v>385650</v>
      </c>
      <c r="D59" s="827">
        <f>民間消費!C61</f>
        <v>248166</v>
      </c>
      <c r="E59" s="827">
        <f>政府消費!C61</f>
        <v>50898</v>
      </c>
      <c r="F59" s="827">
        <f t="shared" si="14"/>
        <v>74142</v>
      </c>
      <c r="G59" s="827">
        <f>民間住宅1!C61</f>
        <v>9938</v>
      </c>
      <c r="H59" s="827">
        <f>民間設備投資計!C61</f>
        <v>63910</v>
      </c>
      <c r="I59" s="827">
        <f>民間在庫品増加!C61</f>
        <v>294</v>
      </c>
      <c r="J59" s="827">
        <f>公的投資!C61</f>
        <v>13472</v>
      </c>
      <c r="K59" s="826">
        <f t="shared" si="15"/>
        <v>386678</v>
      </c>
      <c r="L59" s="827">
        <f t="shared" si="9"/>
        <v>-1028</v>
      </c>
      <c r="M59" s="827">
        <f>移出入推計WS!E61+移出入推計WS!G61+移出入推計WS!H61</f>
        <v>360824</v>
      </c>
      <c r="N59" s="827">
        <f>移出入推計WS!F61</f>
        <v>329968</v>
      </c>
      <c r="O59" s="828">
        <f t="shared" si="16"/>
        <v>-31884</v>
      </c>
      <c r="P59" s="300">
        <v>8</v>
      </c>
      <c r="Q59" s="293"/>
      <c r="R59" s="49">
        <f t="shared" si="17"/>
        <v>385650</v>
      </c>
      <c r="S59" s="49">
        <f t="shared" si="18"/>
        <v>0</v>
      </c>
      <c r="U59" s="49">
        <f>民間設備製造1!C61</f>
        <v>20348</v>
      </c>
      <c r="V59" s="49">
        <f t="shared" si="13"/>
        <v>342822</v>
      </c>
    </row>
    <row r="60" spans="1:22">
      <c r="A60" s="300">
        <v>221</v>
      </c>
      <c r="B60" s="90" t="s">
        <v>1144</v>
      </c>
      <c r="C60" s="829">
        <f>'２次調整'!U62</f>
        <v>149325</v>
      </c>
      <c r="D60" s="830">
        <f>民間消費!C62</f>
        <v>99756</v>
      </c>
      <c r="E60" s="830">
        <f>政府消費!C62</f>
        <v>22513</v>
      </c>
      <c r="F60" s="830">
        <f t="shared" si="14"/>
        <v>31821</v>
      </c>
      <c r="G60" s="830">
        <f>民間住宅1!C62</f>
        <v>4280</v>
      </c>
      <c r="H60" s="830">
        <f>民間設備投資計!C62</f>
        <v>27420</v>
      </c>
      <c r="I60" s="830">
        <f>民間在庫品増加!C62</f>
        <v>121</v>
      </c>
      <c r="J60" s="830">
        <f>公的投資!C62</f>
        <v>5244</v>
      </c>
      <c r="K60" s="829">
        <f t="shared" si="15"/>
        <v>159334</v>
      </c>
      <c r="L60" s="830">
        <f t="shared" si="9"/>
        <v>-10009</v>
      </c>
      <c r="M60" s="830">
        <f>移出入推計WS!E62+移出入推計WS!G62+移出入推計WS!H62</f>
        <v>141536</v>
      </c>
      <c r="N60" s="830">
        <f>移出入推計WS!F62</f>
        <v>135966</v>
      </c>
      <c r="O60" s="831">
        <f t="shared" si="16"/>
        <v>-15579</v>
      </c>
      <c r="P60" s="300">
        <v>221</v>
      </c>
      <c r="Q60" s="293"/>
      <c r="R60" s="49">
        <f t="shared" si="17"/>
        <v>149325</v>
      </c>
      <c r="S60" s="49">
        <f t="shared" si="18"/>
        <v>0</v>
      </c>
      <c r="U60" s="49">
        <f>民間設備製造1!C62</f>
        <v>9470</v>
      </c>
      <c r="V60" s="49">
        <f t="shared" si="13"/>
        <v>141263</v>
      </c>
    </row>
    <row r="61" spans="1:22">
      <c r="A61" s="302">
        <v>223</v>
      </c>
      <c r="B61" s="201" t="s">
        <v>223</v>
      </c>
      <c r="C61" s="836">
        <f>'２次調整'!U63</f>
        <v>236325</v>
      </c>
      <c r="D61" s="837">
        <f>民間消費!C63</f>
        <v>148410</v>
      </c>
      <c r="E61" s="837">
        <f>政府消費!C63</f>
        <v>28385</v>
      </c>
      <c r="F61" s="837">
        <f t="shared" si="14"/>
        <v>42321</v>
      </c>
      <c r="G61" s="837">
        <f>民間住宅1!C63</f>
        <v>5658</v>
      </c>
      <c r="H61" s="837">
        <f>民間設備投資計!C63</f>
        <v>36490</v>
      </c>
      <c r="I61" s="837">
        <f>民間在庫品増加!C63</f>
        <v>173</v>
      </c>
      <c r="J61" s="837">
        <f>公的投資!C63</f>
        <v>8228</v>
      </c>
      <c r="K61" s="836">
        <f t="shared" si="15"/>
        <v>227344</v>
      </c>
      <c r="L61" s="837">
        <f t="shared" si="9"/>
        <v>8981</v>
      </c>
      <c r="M61" s="837">
        <f>移出入推計WS!E63+移出入推計WS!G63+移出入推計WS!H63</f>
        <v>219288</v>
      </c>
      <c r="N61" s="837">
        <f>移出入推計WS!F63</f>
        <v>194002</v>
      </c>
      <c r="O61" s="835">
        <f t="shared" si="16"/>
        <v>-16305</v>
      </c>
      <c r="P61" s="300">
        <v>223</v>
      </c>
      <c r="Q61" s="293"/>
      <c r="R61" s="49">
        <f t="shared" si="17"/>
        <v>236325</v>
      </c>
      <c r="S61" s="49">
        <f t="shared" si="18"/>
        <v>0</v>
      </c>
      <c r="U61" s="49">
        <f>民間設備製造1!C63</f>
        <v>10878</v>
      </c>
      <c r="V61" s="49">
        <f t="shared" si="13"/>
        <v>201559</v>
      </c>
    </row>
    <row r="62" spans="1:22">
      <c r="A62" s="300">
        <v>9</v>
      </c>
      <c r="B62" s="94" t="s">
        <v>212</v>
      </c>
      <c r="C62" s="829">
        <f>'２次調整'!U64</f>
        <v>490289</v>
      </c>
      <c r="D62" s="830">
        <f>民間消費!C64</f>
        <v>293021</v>
      </c>
      <c r="E62" s="830">
        <f>政府消費!C64</f>
        <v>66561</v>
      </c>
      <c r="F62" s="830">
        <f t="shared" si="14"/>
        <v>82319</v>
      </c>
      <c r="G62" s="830">
        <f>民間住宅1!C64</f>
        <v>13190</v>
      </c>
      <c r="H62" s="830">
        <f>民間設備投資計!C64</f>
        <v>68764</v>
      </c>
      <c r="I62" s="830">
        <f>民間在庫品増加!C64</f>
        <v>365</v>
      </c>
      <c r="J62" s="830">
        <f>公的投資!C64</f>
        <v>36771</v>
      </c>
      <c r="K62" s="829">
        <f t="shared" si="15"/>
        <v>478672</v>
      </c>
      <c r="L62" s="830">
        <f t="shared" si="9"/>
        <v>11617</v>
      </c>
      <c r="M62" s="830">
        <f>移出入推計WS!E64+移出入推計WS!G64+移出入推計WS!H64</f>
        <v>459933</v>
      </c>
      <c r="N62" s="830">
        <f>移出入推計WS!F64</f>
        <v>408472</v>
      </c>
      <c r="O62" s="831">
        <f t="shared" si="16"/>
        <v>-39844</v>
      </c>
      <c r="P62" s="300">
        <v>9</v>
      </c>
      <c r="Q62" s="293"/>
      <c r="R62" s="49">
        <f t="shared" si="17"/>
        <v>490289</v>
      </c>
      <c r="S62" s="49">
        <f t="shared" si="18"/>
        <v>0</v>
      </c>
      <c r="U62" s="49">
        <f>民間設備製造1!C64</f>
        <v>14839</v>
      </c>
      <c r="V62" s="49">
        <f t="shared" si="13"/>
        <v>424382</v>
      </c>
    </row>
    <row r="63" spans="1:22">
      <c r="A63" s="300">
        <v>205</v>
      </c>
      <c r="B63" s="92" t="s">
        <v>241</v>
      </c>
      <c r="C63" s="829">
        <f>'２次調整'!U65</f>
        <v>195347</v>
      </c>
      <c r="D63" s="830">
        <f>民間消費!C65</f>
        <v>103081</v>
      </c>
      <c r="E63" s="830">
        <f>政府消費!C65</f>
        <v>19899</v>
      </c>
      <c r="F63" s="830">
        <f t="shared" si="14"/>
        <v>32899</v>
      </c>
      <c r="G63" s="830">
        <f>民間住宅1!C65</f>
        <v>4097</v>
      </c>
      <c r="H63" s="830">
        <f>民間設備投資計!C65</f>
        <v>28674</v>
      </c>
      <c r="I63" s="830">
        <f>民間在庫品増加!C65</f>
        <v>128</v>
      </c>
      <c r="J63" s="830">
        <f>公的投資!C65</f>
        <v>11868</v>
      </c>
      <c r="K63" s="829">
        <f t="shared" si="15"/>
        <v>167747</v>
      </c>
      <c r="L63" s="830">
        <f t="shared" si="9"/>
        <v>27600</v>
      </c>
      <c r="M63" s="830">
        <f>移出入推計WS!E65+移出入推計WS!G65+移出入推計WS!H65</f>
        <v>178947</v>
      </c>
      <c r="N63" s="830">
        <f>移出入推計WS!F65</f>
        <v>143146</v>
      </c>
      <c r="O63" s="831">
        <f t="shared" si="16"/>
        <v>-8201</v>
      </c>
      <c r="P63" s="300">
        <v>205</v>
      </c>
      <c r="Q63" s="293"/>
      <c r="R63" s="49">
        <f t="shared" si="17"/>
        <v>195347</v>
      </c>
      <c r="S63" s="49">
        <f t="shared" si="18"/>
        <v>0</v>
      </c>
      <c r="U63" s="49">
        <f>民間設備製造1!C65</f>
        <v>9776</v>
      </c>
      <c r="V63" s="49">
        <f t="shared" si="13"/>
        <v>148721</v>
      </c>
    </row>
    <row r="64" spans="1:22">
      <c r="A64" s="300">
        <v>224</v>
      </c>
      <c r="B64" s="90" t="s">
        <v>224</v>
      </c>
      <c r="C64" s="829">
        <f>'２次調整'!U66</f>
        <v>156514</v>
      </c>
      <c r="D64" s="830">
        <f>民間消費!C66</f>
        <v>94254</v>
      </c>
      <c r="E64" s="830">
        <f>政府消費!C66</f>
        <v>23037</v>
      </c>
      <c r="F64" s="830">
        <f t="shared" si="14"/>
        <v>23705</v>
      </c>
      <c r="G64" s="830">
        <f>民間住宅1!C66</f>
        <v>3619</v>
      </c>
      <c r="H64" s="830">
        <f>民間設備投資計!C66</f>
        <v>19975</v>
      </c>
      <c r="I64" s="830">
        <f>民間在庫品増加!C66</f>
        <v>111</v>
      </c>
      <c r="J64" s="830">
        <f>公的投資!C66</f>
        <v>4848</v>
      </c>
      <c r="K64" s="829">
        <f t="shared" si="15"/>
        <v>145844</v>
      </c>
      <c r="L64" s="830">
        <f t="shared" si="9"/>
        <v>10670</v>
      </c>
      <c r="M64" s="830">
        <f>移出入推計WS!E66+移出入推計WS!G66+移出入推計WS!H66</f>
        <v>147986</v>
      </c>
      <c r="N64" s="830">
        <f>移出入推計WS!F66</f>
        <v>124455</v>
      </c>
      <c r="O64" s="831">
        <f t="shared" si="16"/>
        <v>-12861</v>
      </c>
      <c r="P64" s="300">
        <v>224</v>
      </c>
      <c r="Q64" s="293"/>
      <c r="R64" s="49">
        <f t="shared" si="17"/>
        <v>156514</v>
      </c>
      <c r="S64" s="49">
        <f t="shared" si="18"/>
        <v>0</v>
      </c>
      <c r="U64" s="49">
        <f>民間設備製造1!C66</f>
        <v>3545</v>
      </c>
      <c r="V64" s="49">
        <f t="shared" si="13"/>
        <v>129303</v>
      </c>
    </row>
    <row r="65" spans="1:22">
      <c r="A65" s="302">
        <v>226</v>
      </c>
      <c r="B65" s="201" t="s">
        <v>225</v>
      </c>
      <c r="C65" s="836">
        <f>'２次調整'!U67</f>
        <v>138428</v>
      </c>
      <c r="D65" s="837">
        <f>民間消費!C67</f>
        <v>95686</v>
      </c>
      <c r="E65" s="837">
        <f>政府消費!C67</f>
        <v>23625</v>
      </c>
      <c r="F65" s="837">
        <f t="shared" si="14"/>
        <v>25715</v>
      </c>
      <c r="G65" s="837">
        <f>民間住宅1!C67</f>
        <v>5474</v>
      </c>
      <c r="H65" s="837">
        <f>民間設備投資計!C67</f>
        <v>20115</v>
      </c>
      <c r="I65" s="837">
        <f>民間在庫品増加!C67</f>
        <v>126</v>
      </c>
      <c r="J65" s="837">
        <f>公的投資!C67</f>
        <v>20055</v>
      </c>
      <c r="K65" s="836">
        <f t="shared" si="15"/>
        <v>165081</v>
      </c>
      <c r="L65" s="837">
        <f t="shared" si="9"/>
        <v>-26653</v>
      </c>
      <c r="M65" s="837">
        <f>移出入推計WS!E67+移出入推計WS!G67+移出入推計WS!H67</f>
        <v>133000</v>
      </c>
      <c r="N65" s="837">
        <f>移出入推計WS!F67</f>
        <v>140871</v>
      </c>
      <c r="O65" s="835">
        <f t="shared" si="16"/>
        <v>-18782</v>
      </c>
      <c r="P65" s="300">
        <v>226</v>
      </c>
      <c r="Q65" s="293"/>
      <c r="R65" s="49">
        <f t="shared" si="17"/>
        <v>138428</v>
      </c>
      <c r="S65" s="49">
        <f t="shared" si="18"/>
        <v>0</v>
      </c>
      <c r="U65" s="49">
        <f>民間設備製造1!C67</f>
        <v>1518</v>
      </c>
      <c r="V65" s="49">
        <f t="shared" si="13"/>
        <v>146358</v>
      </c>
    </row>
    <row r="66" spans="1:22">
      <c r="A66" s="75"/>
      <c r="B66" s="75"/>
    </row>
    <row r="67" spans="1:22">
      <c r="A67" s="75"/>
      <c r="B67" s="49" t="s">
        <v>287</v>
      </c>
      <c r="C67" s="239">
        <f>+SUM(C17:C65)/2+C16</f>
        <v>19997123</v>
      </c>
      <c r="D67" s="239">
        <f t="shared" ref="D67:O67" si="19">+SUM(D17:D65)/2+D16</f>
        <v>12941390.801238377</v>
      </c>
      <c r="E67" s="239">
        <f t="shared" si="19"/>
        <v>1976091.6379963746</v>
      </c>
      <c r="F67" s="239">
        <f t="shared" si="19"/>
        <v>4733128.5767589957</v>
      </c>
      <c r="G67" s="239">
        <f t="shared" si="19"/>
        <v>958034</v>
      </c>
      <c r="H67" s="239">
        <f t="shared" si="19"/>
        <v>3759498.801716405</v>
      </c>
      <c r="I67" s="239">
        <f t="shared" si="19"/>
        <v>15595.775042590958</v>
      </c>
      <c r="J67" s="239">
        <f t="shared" si="19"/>
        <v>816818.51852516376</v>
      </c>
      <c r="K67" s="239">
        <f t="shared" si="19"/>
        <v>20467429.534518912</v>
      </c>
      <c r="L67" s="239">
        <f t="shared" si="19"/>
        <v>-470306.5345189115</v>
      </c>
      <c r="M67" s="239">
        <f t="shared" si="19"/>
        <v>18278658.05164396</v>
      </c>
      <c r="N67" s="239">
        <f t="shared" si="19"/>
        <v>17465728</v>
      </c>
      <c r="O67" s="239">
        <f t="shared" si="19"/>
        <v>-1283236.5861628735</v>
      </c>
      <c r="U67" s="239"/>
    </row>
    <row r="68" spans="1:22">
      <c r="A68" s="75"/>
      <c r="B68" s="75" t="s">
        <v>1308</v>
      </c>
      <c r="C68" s="239">
        <f>名目県内総支出!H44</f>
        <v>19997123</v>
      </c>
      <c r="D68" s="239">
        <f>名目県内総支出!H6</f>
        <v>12941390.801238377</v>
      </c>
      <c r="E68" s="239">
        <f>名目県内総支出!H61</f>
        <v>1976091.6379963746</v>
      </c>
      <c r="F68" s="239">
        <f>名目県内総支出!H28+名目県内総支出!H36</f>
        <v>4685496.1376403784</v>
      </c>
      <c r="G68" s="239">
        <f>名目県内総支出!H29</f>
        <v>958034</v>
      </c>
      <c r="H68" s="239">
        <f>名目県内総支出!H30</f>
        <v>3711866.3625977878</v>
      </c>
      <c r="I68" s="239">
        <f>名目県内総支出!H36</f>
        <v>15595.775042590958</v>
      </c>
      <c r="J68" s="239">
        <f>名目県内総支出!H31+名目県内総支出!H37</f>
        <v>816818.51852516376</v>
      </c>
      <c r="K68" s="239">
        <f>名目県内総支出!H62</f>
        <v>19657422.100669086</v>
      </c>
      <c r="L68" s="239">
        <f>名目県内総支出!H63</f>
        <v>339700.89933091216</v>
      </c>
      <c r="M68" s="239">
        <f>名目県内総支出!H39+名目県内総支出!H41+名目県内総支出!H64</f>
        <v>18278658.05164396</v>
      </c>
      <c r="N68" s="239">
        <f>名目県内総支出!H40</f>
        <v>17465728</v>
      </c>
      <c r="O68" s="239">
        <f>名目県内総支出!H43</f>
        <v>197873</v>
      </c>
    </row>
    <row r="69" spans="1:22">
      <c r="A69" s="75"/>
      <c r="B69" s="75"/>
      <c r="C69" s="838">
        <f>+C67-C68</f>
        <v>0</v>
      </c>
      <c r="D69" s="838">
        <f t="shared" ref="D69:J69" si="20">+D67-D68</f>
        <v>0</v>
      </c>
      <c r="E69" s="838">
        <f t="shared" si="20"/>
        <v>0</v>
      </c>
      <c r="F69" s="838">
        <f t="shared" si="20"/>
        <v>47632.439118617214</v>
      </c>
      <c r="G69" s="838">
        <f t="shared" si="20"/>
        <v>0</v>
      </c>
      <c r="H69" s="838">
        <f t="shared" si="20"/>
        <v>47632.439118617214</v>
      </c>
      <c r="I69" s="838">
        <f t="shared" si="20"/>
        <v>0</v>
      </c>
      <c r="J69" s="838">
        <f t="shared" si="20"/>
        <v>0</v>
      </c>
      <c r="K69" s="838">
        <f>+K67-K68</f>
        <v>810007.43384982646</v>
      </c>
      <c r="L69" s="838">
        <f>+L67-L68</f>
        <v>-810007.43384982366</v>
      </c>
      <c r="M69" s="838">
        <f>+M67-M68</f>
        <v>0</v>
      </c>
      <c r="N69" s="838">
        <f>+N67-N68</f>
        <v>0</v>
      </c>
      <c r="O69" s="838">
        <f>+O67-O68</f>
        <v>-1481109.5861628735</v>
      </c>
    </row>
    <row r="70" spans="1:22">
      <c r="A70" s="75"/>
      <c r="B70" s="75"/>
    </row>
    <row r="71" spans="1:22">
      <c r="A71" s="75"/>
      <c r="B71" s="75"/>
      <c r="L71" s="49"/>
      <c r="M71" s="49"/>
      <c r="N71" s="49"/>
      <c r="O71" s="49"/>
    </row>
    <row r="72" spans="1:22">
      <c r="A72" s="75"/>
      <c r="B72" s="75"/>
      <c r="K72" s="49"/>
      <c r="L72" s="49"/>
      <c r="M72" s="49"/>
      <c r="N72" s="49"/>
      <c r="O72" s="49"/>
    </row>
    <row r="73" spans="1:22">
      <c r="A73" s="75"/>
      <c r="B73" s="75"/>
      <c r="K73" s="49"/>
      <c r="L73" s="49"/>
      <c r="M73" s="49"/>
      <c r="N73" s="49"/>
      <c r="O73" s="49"/>
    </row>
    <row r="74" spans="1:22">
      <c r="A74" s="75"/>
      <c r="B74" s="75"/>
      <c r="K74" s="49"/>
      <c r="L74" s="49"/>
      <c r="M74" s="49"/>
      <c r="N74" s="49"/>
      <c r="O74" s="49"/>
    </row>
    <row r="75" spans="1:22">
      <c r="A75" s="75"/>
      <c r="B75" s="75"/>
      <c r="K75" s="49"/>
      <c r="L75" s="49"/>
      <c r="M75" s="49"/>
      <c r="N75" s="49"/>
      <c r="O75" s="49"/>
    </row>
    <row r="76" spans="1:22">
      <c r="A76" s="75"/>
      <c r="B76" s="75"/>
      <c r="K76" s="49"/>
      <c r="L76" s="49"/>
      <c r="M76" s="49"/>
      <c r="N76" s="49"/>
      <c r="O76" s="49"/>
    </row>
    <row r="77" spans="1:22">
      <c r="A77" s="75"/>
      <c r="B77" s="75"/>
      <c r="K77" s="49"/>
      <c r="L77" s="49"/>
      <c r="M77" s="49"/>
      <c r="N77" s="49"/>
      <c r="O77" s="49"/>
    </row>
    <row r="78" spans="1:22">
      <c r="A78" s="75"/>
      <c r="B78" s="75"/>
      <c r="K78" s="49"/>
      <c r="L78" s="49"/>
      <c r="M78" s="49"/>
      <c r="N78" s="49"/>
      <c r="O78" s="49"/>
    </row>
    <row r="79" spans="1:22">
      <c r="A79" s="75"/>
      <c r="B79" s="75"/>
      <c r="K79" s="49"/>
      <c r="L79" s="49"/>
      <c r="M79" s="49"/>
      <c r="N79" s="49"/>
      <c r="O79" s="49"/>
    </row>
    <row r="80" spans="1:22">
      <c r="A80" s="75"/>
      <c r="B80" s="75"/>
      <c r="K80" s="49"/>
      <c r="L80" s="49"/>
      <c r="M80" s="49"/>
      <c r="N80" s="49"/>
      <c r="O80" s="49"/>
    </row>
    <row r="81" spans="1:15">
      <c r="A81" s="75"/>
      <c r="B81" s="75"/>
      <c r="K81" s="49"/>
      <c r="L81" s="49"/>
      <c r="M81" s="49"/>
      <c r="N81" s="49"/>
      <c r="O81" s="49"/>
    </row>
    <row r="82" spans="1:15">
      <c r="A82" s="75"/>
      <c r="B82" s="75"/>
      <c r="K82" s="49"/>
      <c r="L82" s="49"/>
      <c r="M82" s="49"/>
      <c r="N82" s="49"/>
      <c r="O82" s="49"/>
    </row>
    <row r="83" spans="1:15">
      <c r="A83" s="75"/>
      <c r="B83" s="75"/>
      <c r="K83" s="49"/>
      <c r="L83" s="49"/>
      <c r="M83" s="49"/>
      <c r="N83" s="49"/>
      <c r="O83" s="49"/>
    </row>
    <row r="84" spans="1:15">
      <c r="A84" s="75"/>
      <c r="B84" s="75"/>
      <c r="K84" s="49"/>
      <c r="L84" s="49"/>
      <c r="M84" s="49"/>
      <c r="N84" s="49"/>
      <c r="O84" s="49"/>
    </row>
    <row r="85" spans="1:15">
      <c r="A85" s="75"/>
      <c r="B85" s="75"/>
      <c r="K85" s="49"/>
      <c r="L85" s="49"/>
      <c r="M85" s="49"/>
      <c r="N85" s="49"/>
      <c r="O85" s="49"/>
    </row>
    <row r="86" spans="1:15">
      <c r="A86" s="75"/>
      <c r="B86" s="75"/>
      <c r="K86" s="49"/>
      <c r="L86" s="49"/>
      <c r="M86" s="49"/>
      <c r="N86" s="49"/>
      <c r="O86" s="49"/>
    </row>
    <row r="87" spans="1:15">
      <c r="A87" s="75"/>
      <c r="B87" s="75"/>
      <c r="K87" s="49"/>
      <c r="L87" s="49"/>
      <c r="M87" s="49"/>
      <c r="N87" s="49"/>
      <c r="O87" s="49"/>
    </row>
    <row r="88" spans="1:15">
      <c r="A88" s="75"/>
      <c r="B88" s="75"/>
      <c r="K88" s="49"/>
      <c r="L88" s="49"/>
      <c r="M88" s="49"/>
      <c r="N88" s="49"/>
      <c r="O88" s="49"/>
    </row>
    <row r="89" spans="1:15">
      <c r="A89" s="75"/>
      <c r="B89" s="75"/>
      <c r="K89" s="49"/>
      <c r="L89" s="49"/>
      <c r="M89" s="49"/>
      <c r="N89" s="49"/>
      <c r="O89" s="49"/>
    </row>
    <row r="90" spans="1:15">
      <c r="K90" s="49"/>
      <c r="L90" s="49"/>
      <c r="M90" s="49"/>
      <c r="N90" s="49"/>
      <c r="O90" s="49"/>
    </row>
    <row r="91" spans="1:15">
      <c r="K91" s="49"/>
      <c r="L91" s="49"/>
      <c r="M91" s="49"/>
      <c r="N91" s="49"/>
      <c r="O91" s="49"/>
    </row>
    <row r="92" spans="1:15">
      <c r="K92" s="49"/>
      <c r="L92" s="49"/>
      <c r="M92" s="49"/>
      <c r="N92" s="49"/>
      <c r="O92" s="49"/>
    </row>
    <row r="93" spans="1:15">
      <c r="K93" s="49"/>
      <c r="L93" s="49"/>
      <c r="M93" s="49"/>
      <c r="N93" s="49"/>
      <c r="O93" s="49"/>
    </row>
    <row r="94" spans="1:15">
      <c r="K94" s="49"/>
      <c r="L94" s="49"/>
      <c r="M94" s="49"/>
      <c r="N94" s="49"/>
      <c r="O94" s="49"/>
    </row>
    <row r="95" spans="1:15">
      <c r="K95" s="49"/>
      <c r="L95" s="49"/>
      <c r="M95" s="49"/>
      <c r="N95" s="49"/>
      <c r="O95" s="49"/>
    </row>
    <row r="96" spans="1:15">
      <c r="K96" s="49"/>
      <c r="L96" s="49"/>
      <c r="M96" s="49"/>
      <c r="N96" s="49"/>
      <c r="O96" s="49"/>
    </row>
    <row r="97" spans="11:15">
      <c r="K97" s="49"/>
      <c r="L97" s="49"/>
      <c r="M97" s="49"/>
      <c r="N97" s="49"/>
      <c r="O97" s="49"/>
    </row>
    <row r="98" spans="11:15">
      <c r="K98" s="49"/>
      <c r="L98" s="49"/>
      <c r="M98" s="49"/>
      <c r="N98" s="49"/>
      <c r="O98" s="49"/>
    </row>
    <row r="99" spans="11:15">
      <c r="K99" s="49"/>
      <c r="L99" s="49"/>
      <c r="M99" s="49"/>
      <c r="N99" s="49"/>
      <c r="O99" s="49"/>
    </row>
    <row r="100" spans="11:15">
      <c r="K100" s="49"/>
      <c r="L100" s="49"/>
      <c r="M100" s="49"/>
      <c r="N100" s="49"/>
      <c r="O100" s="49"/>
    </row>
    <row r="101" spans="11:15">
      <c r="K101" s="49"/>
      <c r="L101" s="49"/>
      <c r="M101" s="49"/>
      <c r="N101" s="49"/>
      <c r="O101" s="49"/>
    </row>
    <row r="102" spans="11:15">
      <c r="K102" s="49"/>
      <c r="L102" s="49"/>
      <c r="M102" s="49"/>
      <c r="N102" s="49"/>
      <c r="O102" s="49"/>
    </row>
    <row r="103" spans="11:15">
      <c r="K103" s="49"/>
      <c r="L103" s="49"/>
      <c r="M103" s="49"/>
      <c r="N103" s="49"/>
      <c r="O103" s="49"/>
    </row>
    <row r="104" spans="11:15">
      <c r="K104" s="49"/>
      <c r="L104" s="49"/>
      <c r="M104" s="49"/>
      <c r="N104" s="49"/>
      <c r="O104" s="49"/>
    </row>
    <row r="105" spans="11:15">
      <c r="K105" s="49"/>
      <c r="L105" s="49"/>
      <c r="M105" s="49"/>
      <c r="N105" s="49"/>
      <c r="O105" s="49"/>
    </row>
    <row r="106" spans="11:15">
      <c r="K106" s="49"/>
      <c r="L106" s="49"/>
      <c r="M106" s="49"/>
      <c r="N106" s="49"/>
      <c r="O106" s="49"/>
    </row>
    <row r="107" spans="11:15">
      <c r="K107" s="49"/>
      <c r="L107" s="49"/>
      <c r="M107" s="49"/>
      <c r="N107" s="49"/>
      <c r="O107" s="49"/>
    </row>
    <row r="108" spans="11:15">
      <c r="K108" s="49"/>
      <c r="L108" s="49"/>
      <c r="M108" s="49"/>
      <c r="N108" s="49"/>
      <c r="O108" s="49"/>
    </row>
    <row r="109" spans="11:15">
      <c r="K109" s="49"/>
      <c r="L109" s="49"/>
      <c r="M109" s="49"/>
      <c r="N109" s="49"/>
      <c r="O109" s="49"/>
    </row>
    <row r="110" spans="11:15">
      <c r="K110" s="49"/>
      <c r="L110" s="49"/>
      <c r="M110" s="49"/>
      <c r="N110" s="49"/>
      <c r="O110" s="49"/>
    </row>
    <row r="111" spans="11:15">
      <c r="K111" s="49"/>
      <c r="L111" s="49"/>
      <c r="M111" s="49"/>
      <c r="N111" s="49"/>
      <c r="O111" s="49"/>
    </row>
    <row r="112" spans="11:15">
      <c r="K112" s="49"/>
      <c r="L112" s="49"/>
      <c r="M112" s="49"/>
      <c r="N112" s="49"/>
      <c r="O112" s="49"/>
    </row>
    <row r="113" spans="11:15">
      <c r="K113" s="49"/>
      <c r="L113" s="49"/>
      <c r="M113" s="49"/>
      <c r="N113" s="49"/>
      <c r="O113" s="49"/>
    </row>
  </sheetData>
  <mergeCells count="1">
    <mergeCell ref="L2:M2"/>
  </mergeCells>
  <phoneticPr fontId="13"/>
  <pageMargins left="0.75" right="0.75" top="1" bottom="1" header="0.51200000000000001" footer="0.51200000000000001"/>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9" tint="0.59999389629810485"/>
  </sheetPr>
  <dimension ref="A1:V89"/>
  <sheetViews>
    <sheetView workbookViewId="0">
      <pane xSplit="2" ySplit="3" topLeftCell="C4" activePane="bottomRight" state="frozen"/>
      <selection pane="topRight" activeCell="C1" sqref="C1"/>
      <selection pane="bottomLeft" activeCell="A4" sqref="A4"/>
      <selection pane="bottomRight" activeCell="O15" sqref="O15"/>
    </sheetView>
  </sheetViews>
  <sheetFormatPr defaultColWidth="8.7109375" defaultRowHeight="13"/>
  <cols>
    <col min="1" max="1" width="3.5" style="49" customWidth="1"/>
    <col min="2" max="2" width="9.42578125" style="49" customWidth="1"/>
    <col min="3" max="15" width="8.7109375" style="239"/>
    <col min="16" max="17" width="4.92578125" style="49" customWidth="1"/>
    <col min="18" max="18" width="10.5" style="49" customWidth="1"/>
    <col min="19" max="20" width="4.5703125" style="49" customWidth="1"/>
    <col min="21" max="16384" width="8.7109375" style="49"/>
  </cols>
  <sheetData>
    <row r="1" spans="1:22">
      <c r="A1" s="86"/>
      <c r="B1" s="65" t="s">
        <v>926</v>
      </c>
      <c r="L1" s="239" t="s">
        <v>347</v>
      </c>
      <c r="N1" s="239" t="s">
        <v>818</v>
      </c>
      <c r="O1" s="830"/>
      <c r="R1" s="851" t="s">
        <v>1344</v>
      </c>
      <c r="S1" s="843"/>
    </row>
    <row r="2" spans="1:22" ht="37.5">
      <c r="A2" s="294"/>
      <c r="B2" s="296" t="s">
        <v>930</v>
      </c>
      <c r="C2" s="275" t="s">
        <v>817</v>
      </c>
      <c r="D2" s="291" t="s">
        <v>68</v>
      </c>
      <c r="E2" s="275" t="s">
        <v>1289</v>
      </c>
      <c r="F2" s="297" t="s">
        <v>69</v>
      </c>
      <c r="G2" s="291"/>
      <c r="H2" s="291"/>
      <c r="I2" s="817"/>
      <c r="J2" s="291" t="s">
        <v>70</v>
      </c>
      <c r="K2" s="275" t="s">
        <v>671</v>
      </c>
      <c r="L2" s="2310" t="s">
        <v>71</v>
      </c>
      <c r="M2" s="2311"/>
      <c r="N2" s="291"/>
      <c r="O2" s="817"/>
      <c r="P2" s="92"/>
      <c r="Q2" s="92"/>
      <c r="R2" s="852" t="s">
        <v>1345</v>
      </c>
      <c r="S2" s="908">
        <f>+SUM(C69:O69)</f>
        <v>-2224980.1566295782</v>
      </c>
      <c r="U2" s="852" t="s">
        <v>1343</v>
      </c>
      <c r="V2" s="845"/>
    </row>
    <row r="3" spans="1:22" ht="28.5">
      <c r="A3" s="295"/>
      <c r="B3" s="131" t="s">
        <v>931</v>
      </c>
      <c r="C3" s="853" t="s">
        <v>82</v>
      </c>
      <c r="D3" s="819"/>
      <c r="E3" s="820"/>
      <c r="F3" s="821" t="s">
        <v>83</v>
      </c>
      <c r="G3" s="822" t="s">
        <v>72</v>
      </c>
      <c r="H3" s="823" t="s">
        <v>73</v>
      </c>
      <c r="I3" s="824" t="s">
        <v>74</v>
      </c>
      <c r="J3" s="819"/>
      <c r="K3" s="818" t="s">
        <v>75</v>
      </c>
      <c r="L3" s="860" t="s">
        <v>76</v>
      </c>
      <c r="M3" s="297" t="s">
        <v>77</v>
      </c>
      <c r="N3" s="275" t="s">
        <v>78</v>
      </c>
      <c r="O3" s="817" t="s">
        <v>81</v>
      </c>
      <c r="P3" s="92"/>
      <c r="Q3" s="92"/>
      <c r="R3" s="854" t="s">
        <v>1346</v>
      </c>
      <c r="S3" s="847">
        <f>SUM(S4:S65)</f>
        <v>0</v>
      </c>
      <c r="U3" s="848" t="s">
        <v>956</v>
      </c>
      <c r="V3" s="849" t="s">
        <v>1342</v>
      </c>
    </row>
    <row r="4" spans="1:22">
      <c r="A4" s="303"/>
      <c r="B4" s="203" t="s">
        <v>166</v>
      </c>
      <c r="C4" s="826">
        <f>'２次調整'!V6</f>
        <v>19875506</v>
      </c>
      <c r="D4" s="827">
        <f>民間消費!D6</f>
        <v>13078026.017082801</v>
      </c>
      <c r="E4" s="827">
        <f>政府消費!D6</f>
        <v>2008206.5496911928</v>
      </c>
      <c r="F4" s="827">
        <f t="shared" ref="F4:F14" si="0">G4+H4+I4</f>
        <v>4627268.2880370403</v>
      </c>
      <c r="G4" s="827">
        <f>民間住宅1!D6</f>
        <v>845424</v>
      </c>
      <c r="H4" s="827">
        <f>民間設備投資計!D6</f>
        <v>3702513.600249907</v>
      </c>
      <c r="I4" s="827">
        <f>民間在庫品増加!D6</f>
        <v>79330.687787132949</v>
      </c>
      <c r="J4" s="827">
        <f>公的投資!D6</f>
        <v>689721.28567955666</v>
      </c>
      <c r="K4" s="855">
        <f t="shared" ref="K4:K14" si="1">D4+E4+F4+J4</f>
        <v>20403222.140490592</v>
      </c>
      <c r="L4" s="855">
        <f t="shared" ref="L4:L14" si="2">C4-K4</f>
        <v>-527716.14049059153</v>
      </c>
      <c r="M4" s="827">
        <f>SUM(M5:M14)</f>
        <v>19437431.795611963</v>
      </c>
      <c r="N4" s="827">
        <f>SUM(N5:N14)</f>
        <v>18137965</v>
      </c>
      <c r="O4" s="828">
        <f>SUM(O5:O14)</f>
        <v>-1827182.9361025514</v>
      </c>
      <c r="P4" s="77"/>
      <c r="Q4" s="77"/>
      <c r="R4" s="49">
        <f t="shared" ref="R4:R14" si="3">D4+E4+F4+J4+L4</f>
        <v>19875506</v>
      </c>
      <c r="S4" s="49">
        <f t="shared" ref="S4:S14" si="4">R4-C4</f>
        <v>0</v>
      </c>
      <c r="U4" s="49">
        <f>民間設備製造1!D6</f>
        <v>1342336.8899492212</v>
      </c>
      <c r="V4" s="49">
        <f t="shared" ref="V4:V14" si="5">D4+E4+G4+J4+U4</f>
        <v>17963714.74240277</v>
      </c>
    </row>
    <row r="5" spans="1:22">
      <c r="A5" s="298">
        <v>100</v>
      </c>
      <c r="B5" s="75" t="s">
        <v>172</v>
      </c>
      <c r="C5" s="829">
        <f>'２次調整'!V7</f>
        <v>6108860</v>
      </c>
      <c r="D5" s="830">
        <f>民間消費!D7</f>
        <v>3947435.0170828011</v>
      </c>
      <c r="E5" s="830">
        <f>政府消費!D7</f>
        <v>582213.54969119281</v>
      </c>
      <c r="F5" s="830">
        <f t="shared" si="0"/>
        <v>1151610.28803704</v>
      </c>
      <c r="G5" s="830">
        <f>民間住宅1!D7</f>
        <v>248723</v>
      </c>
      <c r="H5" s="830">
        <f>民間設備投資計!D7</f>
        <v>879896.600249907</v>
      </c>
      <c r="I5" s="830">
        <f>民間在庫品増加!D7</f>
        <v>22990.687787132949</v>
      </c>
      <c r="J5" s="830">
        <f>公的投資!D7</f>
        <v>231887.28567955666</v>
      </c>
      <c r="K5" s="856">
        <f t="shared" si="1"/>
        <v>5913146.1404905906</v>
      </c>
      <c r="L5" s="856">
        <f t="shared" si="2"/>
        <v>195713.85950940941</v>
      </c>
      <c r="M5" s="830">
        <f t="shared" ref="M5:O6" si="6">M16</f>
        <v>5951629.7956119608</v>
      </c>
      <c r="N5" s="830">
        <f t="shared" si="6"/>
        <v>5256641</v>
      </c>
      <c r="O5" s="831">
        <f t="shared" si="6"/>
        <v>-499274.93610255141</v>
      </c>
      <c r="P5" s="77">
        <v>100</v>
      </c>
      <c r="Q5" s="77"/>
      <c r="R5" s="49">
        <f t="shared" si="3"/>
        <v>6108860</v>
      </c>
      <c r="S5" s="49">
        <f t="shared" si="4"/>
        <v>0</v>
      </c>
      <c r="U5" s="49">
        <f>民間設備製造1!D7</f>
        <v>195884.88994922116</v>
      </c>
      <c r="V5" s="49">
        <f t="shared" si="5"/>
        <v>5206143.7424027715</v>
      </c>
    </row>
    <row r="6" spans="1:22">
      <c r="A6" s="298">
        <v>1</v>
      </c>
      <c r="B6" s="75" t="s">
        <v>323</v>
      </c>
      <c r="C6" s="829">
        <f>'２次調整'!V8</f>
        <v>3076906</v>
      </c>
      <c r="D6" s="830">
        <f>民間消費!D8</f>
        <v>2610075</v>
      </c>
      <c r="E6" s="830">
        <f>政府消費!D8</f>
        <v>355898</v>
      </c>
      <c r="F6" s="830">
        <f t="shared" si="0"/>
        <v>910044</v>
      </c>
      <c r="G6" s="830">
        <f>民間住宅1!D8</f>
        <v>144354</v>
      </c>
      <c r="H6" s="830">
        <f>民間設備投資計!D8</f>
        <v>750182</v>
      </c>
      <c r="I6" s="830">
        <f>民間在庫品増加!D8</f>
        <v>15508</v>
      </c>
      <c r="J6" s="830">
        <f>公的投資!D8</f>
        <v>112534</v>
      </c>
      <c r="K6" s="856">
        <f t="shared" si="1"/>
        <v>3988551</v>
      </c>
      <c r="L6" s="856">
        <f t="shared" si="2"/>
        <v>-911645</v>
      </c>
      <c r="M6" s="830">
        <f t="shared" si="6"/>
        <v>3038113</v>
      </c>
      <c r="N6" s="830">
        <f t="shared" si="6"/>
        <v>3545725</v>
      </c>
      <c r="O6" s="831">
        <f t="shared" si="6"/>
        <v>-404033</v>
      </c>
      <c r="P6" s="77">
        <v>1</v>
      </c>
      <c r="Q6" s="77"/>
      <c r="R6" s="49">
        <f t="shared" si="3"/>
        <v>3076906</v>
      </c>
      <c r="S6" s="49">
        <f t="shared" si="4"/>
        <v>0</v>
      </c>
      <c r="U6" s="49">
        <f>民間設備製造1!D8</f>
        <v>288800</v>
      </c>
      <c r="V6" s="49">
        <f t="shared" si="5"/>
        <v>3511661</v>
      </c>
    </row>
    <row r="7" spans="1:22">
      <c r="A7" s="298">
        <v>2</v>
      </c>
      <c r="B7" s="75" t="s">
        <v>324</v>
      </c>
      <c r="C7" s="829">
        <f>'２次調整'!V9</f>
        <v>1835755</v>
      </c>
      <c r="D7" s="830">
        <f>民間消費!D9</f>
        <v>1601593</v>
      </c>
      <c r="E7" s="830">
        <f>政府消費!D9</f>
        <v>242577</v>
      </c>
      <c r="F7" s="830">
        <f t="shared" si="0"/>
        <v>468855</v>
      </c>
      <c r="G7" s="830">
        <f>民間住宅1!D9</f>
        <v>106910</v>
      </c>
      <c r="H7" s="830">
        <f>民間設備投資計!D9</f>
        <v>352732</v>
      </c>
      <c r="I7" s="830">
        <f>民間在庫品増加!D9</f>
        <v>9213</v>
      </c>
      <c r="J7" s="830">
        <f>公的投資!D9</f>
        <v>56194</v>
      </c>
      <c r="K7" s="856">
        <f t="shared" si="1"/>
        <v>2369219</v>
      </c>
      <c r="L7" s="856">
        <f t="shared" si="2"/>
        <v>-533464</v>
      </c>
      <c r="M7" s="830">
        <f>M21</f>
        <v>1832108</v>
      </c>
      <c r="N7" s="830">
        <f>N21</f>
        <v>2106177</v>
      </c>
      <c r="O7" s="831">
        <f>O21</f>
        <v>-259395</v>
      </c>
      <c r="P7" s="77">
        <v>2</v>
      </c>
      <c r="Q7" s="77"/>
      <c r="R7" s="49">
        <f t="shared" si="3"/>
        <v>1835755</v>
      </c>
      <c r="S7" s="49">
        <f t="shared" si="4"/>
        <v>0</v>
      </c>
      <c r="U7" s="49">
        <f>民間設備製造1!D9</f>
        <v>78669</v>
      </c>
      <c r="V7" s="49">
        <f t="shared" si="5"/>
        <v>2085943</v>
      </c>
    </row>
    <row r="8" spans="1:22">
      <c r="A8" s="298">
        <v>3</v>
      </c>
      <c r="B8" s="75" t="s">
        <v>192</v>
      </c>
      <c r="C8" s="829">
        <f>'２次調整'!V10</f>
        <v>2807437</v>
      </c>
      <c r="D8" s="830">
        <f>民間消費!D10</f>
        <v>1592183</v>
      </c>
      <c r="E8" s="830">
        <f>政府消費!D10</f>
        <v>215383</v>
      </c>
      <c r="F8" s="830">
        <f t="shared" si="0"/>
        <v>702146</v>
      </c>
      <c r="G8" s="830">
        <f>民間住宅1!D10</f>
        <v>117610</v>
      </c>
      <c r="H8" s="830">
        <f>民間設備投資計!D10</f>
        <v>574513</v>
      </c>
      <c r="I8" s="830">
        <f>民間在庫品増加!D10</f>
        <v>10023</v>
      </c>
      <c r="J8" s="830">
        <f>公的投資!D10</f>
        <v>68224</v>
      </c>
      <c r="K8" s="856">
        <f t="shared" si="1"/>
        <v>2577936</v>
      </c>
      <c r="L8" s="856">
        <f t="shared" si="2"/>
        <v>229501</v>
      </c>
      <c r="M8" s="830">
        <f>M27</f>
        <v>2701531</v>
      </c>
      <c r="N8" s="830">
        <f>N27</f>
        <v>2291721</v>
      </c>
      <c r="O8" s="831">
        <f>O27</f>
        <v>-180309</v>
      </c>
      <c r="P8" s="77">
        <v>3</v>
      </c>
      <c r="Q8" s="77"/>
      <c r="R8" s="49">
        <f t="shared" si="3"/>
        <v>2807437</v>
      </c>
      <c r="S8" s="49">
        <f t="shared" si="4"/>
        <v>0</v>
      </c>
      <c r="U8" s="49">
        <f>民間設備製造1!D10</f>
        <v>276306</v>
      </c>
      <c r="V8" s="49">
        <f t="shared" si="5"/>
        <v>2269706</v>
      </c>
    </row>
    <row r="9" spans="1:22">
      <c r="A9" s="298">
        <v>4</v>
      </c>
      <c r="B9" s="75" t="s">
        <v>325</v>
      </c>
      <c r="C9" s="829">
        <f>'２次調整'!V11</f>
        <v>1147763</v>
      </c>
      <c r="D9" s="830">
        <f>民間消費!D11</f>
        <v>562349</v>
      </c>
      <c r="E9" s="830">
        <f>政府消費!D11</f>
        <v>104482</v>
      </c>
      <c r="F9" s="830">
        <f t="shared" si="0"/>
        <v>271878</v>
      </c>
      <c r="G9" s="830">
        <f>民間住宅1!D11</f>
        <v>42022</v>
      </c>
      <c r="H9" s="830">
        <f>民間設備投資計!D11</f>
        <v>226100</v>
      </c>
      <c r="I9" s="830">
        <f>民間在庫品増加!D11</f>
        <v>3756</v>
      </c>
      <c r="J9" s="830">
        <f>公的投資!D11</f>
        <v>27472</v>
      </c>
      <c r="K9" s="856">
        <f t="shared" si="1"/>
        <v>966181</v>
      </c>
      <c r="L9" s="856">
        <f t="shared" si="2"/>
        <v>181582</v>
      </c>
      <c r="M9" s="830">
        <f>M33</f>
        <v>1115059</v>
      </c>
      <c r="N9" s="830">
        <f>N33</f>
        <v>858911</v>
      </c>
      <c r="O9" s="831">
        <f>O33</f>
        <v>-74566</v>
      </c>
      <c r="P9" s="77">
        <v>4</v>
      </c>
      <c r="Q9" s="77"/>
      <c r="R9" s="49">
        <f t="shared" si="3"/>
        <v>1147763</v>
      </c>
      <c r="S9" s="49">
        <f t="shared" si="4"/>
        <v>0</v>
      </c>
      <c r="U9" s="49">
        <f>民間設備製造1!D11</f>
        <v>114335</v>
      </c>
      <c r="V9" s="49">
        <f t="shared" si="5"/>
        <v>850660</v>
      </c>
    </row>
    <row r="10" spans="1:22">
      <c r="A10" s="298">
        <v>5</v>
      </c>
      <c r="B10" s="75" t="s">
        <v>326</v>
      </c>
      <c r="C10" s="829">
        <f>'２次調整'!V12</f>
        <v>2479569</v>
      </c>
      <c r="D10" s="830">
        <f>民間消費!D12</f>
        <v>1263513</v>
      </c>
      <c r="E10" s="830">
        <f>政府消費!D12</f>
        <v>184400</v>
      </c>
      <c r="F10" s="830">
        <f t="shared" si="0"/>
        <v>619778</v>
      </c>
      <c r="G10" s="830">
        <f>民間住宅1!D12</f>
        <v>104494</v>
      </c>
      <c r="H10" s="830">
        <f>民間設備投資計!D12</f>
        <v>506834</v>
      </c>
      <c r="I10" s="830">
        <f>民間在庫品増加!D12</f>
        <v>8450</v>
      </c>
      <c r="J10" s="830">
        <f>公的投資!D12</f>
        <v>105463</v>
      </c>
      <c r="K10" s="856">
        <f t="shared" si="1"/>
        <v>2173154</v>
      </c>
      <c r="L10" s="856">
        <f t="shared" si="2"/>
        <v>306415</v>
      </c>
      <c r="M10" s="830">
        <f>M40</f>
        <v>2382272</v>
      </c>
      <c r="N10" s="830">
        <f>N40</f>
        <v>1931881</v>
      </c>
      <c r="O10" s="831">
        <f>O40</f>
        <v>-143976</v>
      </c>
      <c r="P10" s="77">
        <v>5</v>
      </c>
      <c r="Q10" s="77"/>
      <c r="R10" s="49">
        <f t="shared" si="3"/>
        <v>2479569</v>
      </c>
      <c r="S10" s="49">
        <f t="shared" si="4"/>
        <v>0</v>
      </c>
      <c r="U10" s="49">
        <f>民間設備製造1!D12</f>
        <v>255451</v>
      </c>
      <c r="V10" s="49">
        <f t="shared" si="5"/>
        <v>1913321</v>
      </c>
    </row>
    <row r="11" spans="1:22">
      <c r="A11" s="298">
        <v>6</v>
      </c>
      <c r="B11" s="75" t="s">
        <v>327</v>
      </c>
      <c r="C11" s="829">
        <f>'２次調整'!V13</f>
        <v>954876</v>
      </c>
      <c r="D11" s="830">
        <f>民間消費!D13</f>
        <v>550346</v>
      </c>
      <c r="E11" s="830">
        <f>政府消費!D13</f>
        <v>110055</v>
      </c>
      <c r="F11" s="830">
        <f t="shared" si="0"/>
        <v>224661</v>
      </c>
      <c r="G11" s="830">
        <f>民間住宅1!D13</f>
        <v>37062</v>
      </c>
      <c r="H11" s="830">
        <f>民間設備投資計!D13</f>
        <v>184015</v>
      </c>
      <c r="I11" s="830">
        <f>民間在庫品増加!D13</f>
        <v>3584</v>
      </c>
      <c r="J11" s="830">
        <f>公的投資!D13</f>
        <v>36439</v>
      </c>
      <c r="K11" s="856">
        <f t="shared" si="1"/>
        <v>921501</v>
      </c>
      <c r="L11" s="856">
        <f t="shared" si="2"/>
        <v>33375</v>
      </c>
      <c r="M11" s="830">
        <f>M45</f>
        <v>942585</v>
      </c>
      <c r="N11" s="830">
        <f>N45</f>
        <v>819193</v>
      </c>
      <c r="O11" s="831">
        <f>O45</f>
        <v>-90017</v>
      </c>
      <c r="P11" s="77">
        <v>6</v>
      </c>
      <c r="Q11" s="77"/>
      <c r="R11" s="49">
        <f t="shared" si="3"/>
        <v>954876</v>
      </c>
      <c r="S11" s="49">
        <f t="shared" si="4"/>
        <v>0</v>
      </c>
      <c r="U11" s="49">
        <f>民間設備製造1!D13</f>
        <v>77418</v>
      </c>
      <c r="V11" s="49">
        <f t="shared" si="5"/>
        <v>811320</v>
      </c>
    </row>
    <row r="12" spans="1:22">
      <c r="A12" s="298">
        <v>7</v>
      </c>
      <c r="B12" s="75" t="s">
        <v>210</v>
      </c>
      <c r="C12" s="829">
        <f>'２次調整'!V14</f>
        <v>610343</v>
      </c>
      <c r="D12" s="830">
        <f>民間消費!D14</f>
        <v>411721</v>
      </c>
      <c r="E12" s="830">
        <f>政府消費!D14</f>
        <v>96050</v>
      </c>
      <c r="F12" s="830">
        <f t="shared" si="0"/>
        <v>116217</v>
      </c>
      <c r="G12" s="830">
        <f>民間住宅1!D14</f>
        <v>16954</v>
      </c>
      <c r="H12" s="830">
        <f>民間設備投資計!D14</f>
        <v>96742</v>
      </c>
      <c r="I12" s="830">
        <f>民間在庫品増加!D14</f>
        <v>2521</v>
      </c>
      <c r="J12" s="830">
        <f>公的投資!D14</f>
        <v>24596</v>
      </c>
      <c r="K12" s="856">
        <f t="shared" si="1"/>
        <v>648584</v>
      </c>
      <c r="L12" s="856">
        <f t="shared" si="2"/>
        <v>-38241</v>
      </c>
      <c r="M12" s="830">
        <f>M53</f>
        <v>619061</v>
      </c>
      <c r="N12" s="830">
        <f>N53</f>
        <v>576575</v>
      </c>
      <c r="O12" s="831">
        <f>O53</f>
        <v>-80727</v>
      </c>
      <c r="P12" s="77">
        <v>7</v>
      </c>
      <c r="Q12" s="77"/>
      <c r="R12" s="49">
        <f t="shared" si="3"/>
        <v>610343</v>
      </c>
      <c r="S12" s="49">
        <f t="shared" si="4"/>
        <v>0</v>
      </c>
      <c r="U12" s="49">
        <f>民間設備製造1!D14</f>
        <v>21715</v>
      </c>
      <c r="V12" s="49">
        <f t="shared" si="5"/>
        <v>571036</v>
      </c>
    </row>
    <row r="13" spans="1:22">
      <c r="A13" s="298">
        <v>8</v>
      </c>
      <c r="B13" s="75" t="s">
        <v>211</v>
      </c>
      <c r="C13" s="829">
        <f>'２次調整'!V15</f>
        <v>385879</v>
      </c>
      <c r="D13" s="830">
        <f>民間消費!D15</f>
        <v>246325</v>
      </c>
      <c r="E13" s="830">
        <f>政府消費!D15</f>
        <v>51927</v>
      </c>
      <c r="F13" s="830">
        <f t="shared" si="0"/>
        <v>79276</v>
      </c>
      <c r="G13" s="830">
        <f>民間住宅1!D15</f>
        <v>13118</v>
      </c>
      <c r="H13" s="830">
        <f>民間設備投資計!D15</f>
        <v>64649</v>
      </c>
      <c r="I13" s="830">
        <f>民間在庫品増加!D15</f>
        <v>1509</v>
      </c>
      <c r="J13" s="830">
        <f>公的投資!D15</f>
        <v>10644</v>
      </c>
      <c r="K13" s="856">
        <f t="shared" si="1"/>
        <v>388172</v>
      </c>
      <c r="L13" s="856">
        <f t="shared" si="2"/>
        <v>-2293</v>
      </c>
      <c r="M13" s="830">
        <f>M59</f>
        <v>385717</v>
      </c>
      <c r="N13" s="830">
        <f>N59</f>
        <v>345076</v>
      </c>
      <c r="O13" s="831">
        <f>O59</f>
        <v>-42934</v>
      </c>
      <c r="P13" s="77">
        <v>8</v>
      </c>
      <c r="Q13" s="77"/>
      <c r="R13" s="49">
        <f t="shared" si="3"/>
        <v>385879</v>
      </c>
      <c r="S13" s="49">
        <f t="shared" si="4"/>
        <v>0</v>
      </c>
      <c r="U13" s="49">
        <f>民間設備製造1!D15</f>
        <v>19746</v>
      </c>
      <c r="V13" s="49">
        <f t="shared" si="5"/>
        <v>341760</v>
      </c>
    </row>
    <row r="14" spans="1:22">
      <c r="A14" s="298">
        <v>9</v>
      </c>
      <c r="B14" s="75" t="s">
        <v>212</v>
      </c>
      <c r="C14" s="829">
        <f>'２次調整'!V16</f>
        <v>468118</v>
      </c>
      <c r="D14" s="830">
        <f>民間消費!D16</f>
        <v>292486</v>
      </c>
      <c r="E14" s="830">
        <f>政府消費!D16</f>
        <v>65221</v>
      </c>
      <c r="F14" s="830">
        <f t="shared" si="0"/>
        <v>82803</v>
      </c>
      <c r="G14" s="830">
        <f>民間住宅1!D16</f>
        <v>14177</v>
      </c>
      <c r="H14" s="830">
        <f>民間設備投資計!D16</f>
        <v>66850</v>
      </c>
      <c r="I14" s="830">
        <f>民間在庫品増加!D16</f>
        <v>1776</v>
      </c>
      <c r="J14" s="830">
        <f>公的投資!D16</f>
        <v>16268</v>
      </c>
      <c r="K14" s="856">
        <f t="shared" si="1"/>
        <v>456778</v>
      </c>
      <c r="L14" s="856">
        <f t="shared" si="2"/>
        <v>11340</v>
      </c>
      <c r="M14" s="830">
        <f>M62</f>
        <v>469356</v>
      </c>
      <c r="N14" s="830">
        <f>N62</f>
        <v>406065</v>
      </c>
      <c r="O14" s="831">
        <f>O62</f>
        <v>-51951</v>
      </c>
      <c r="P14" s="77">
        <v>9</v>
      </c>
      <c r="Q14" s="77"/>
      <c r="R14" s="49">
        <f t="shared" si="3"/>
        <v>468118</v>
      </c>
      <c r="S14" s="49">
        <f t="shared" si="4"/>
        <v>0</v>
      </c>
      <c r="U14" s="49">
        <f>民間設備製造1!D16</f>
        <v>14012</v>
      </c>
      <c r="V14" s="49">
        <f t="shared" si="5"/>
        <v>402164</v>
      </c>
    </row>
    <row r="15" spans="1:22">
      <c r="A15" s="298"/>
      <c r="B15" s="87"/>
      <c r="C15" s="829"/>
      <c r="D15" s="830"/>
      <c r="E15" s="830"/>
      <c r="F15" s="830"/>
      <c r="G15" s="830"/>
      <c r="H15" s="830"/>
      <c r="I15" s="830"/>
      <c r="J15" s="830"/>
      <c r="K15" s="856"/>
      <c r="L15" s="856"/>
      <c r="M15" s="830" t="s">
        <v>347</v>
      </c>
      <c r="N15" s="830" t="s">
        <v>347</v>
      </c>
      <c r="O15" s="831" t="s">
        <v>11</v>
      </c>
      <c r="P15" s="77"/>
      <c r="Q15" s="77"/>
      <c r="R15" s="49" t="s">
        <v>678</v>
      </c>
      <c r="S15" s="49" t="s">
        <v>11</v>
      </c>
      <c r="U15" s="49" t="s">
        <v>11</v>
      </c>
      <c r="V15" s="49" t="s">
        <v>11</v>
      </c>
    </row>
    <row r="16" spans="1:22">
      <c r="A16" s="299">
        <v>100</v>
      </c>
      <c r="B16" s="305" t="s">
        <v>172</v>
      </c>
      <c r="C16" s="832">
        <f>'２次調整'!V18</f>
        <v>6108860</v>
      </c>
      <c r="D16" s="833">
        <f>民間消費!D18</f>
        <v>3947435.0170828011</v>
      </c>
      <c r="E16" s="833">
        <f>政府消費!D18</f>
        <v>582213.54969119281</v>
      </c>
      <c r="F16" s="833">
        <f t="shared" ref="F16:F47" si="7">G16+H16+I16</f>
        <v>1151610.28803704</v>
      </c>
      <c r="G16" s="833">
        <f>民間住宅1!D18</f>
        <v>248723</v>
      </c>
      <c r="H16" s="833">
        <f>民間設備投資計!D18</f>
        <v>879896.600249907</v>
      </c>
      <c r="I16" s="833">
        <f>民間在庫品増加!D18</f>
        <v>22990.687787132949</v>
      </c>
      <c r="J16" s="833">
        <f>公的投資!D18</f>
        <v>231887.28567955666</v>
      </c>
      <c r="K16" s="857">
        <f t="shared" ref="K16:K47" si="8">D16+E16+F16+J16</f>
        <v>5913146.1404905906</v>
      </c>
      <c r="L16" s="857">
        <f t="shared" ref="L16:L65" si="9">C16-K16</f>
        <v>195713.85950940941</v>
      </c>
      <c r="M16" s="833">
        <f>+移出入推計WS!O18+移出入推計WS!Q18+移出入推計WS!R18</f>
        <v>5951629.7956119608</v>
      </c>
      <c r="N16" s="833">
        <f>移出入推計WS!P18</f>
        <v>5256641</v>
      </c>
      <c r="O16" s="834">
        <f t="shared" ref="O16:O47" si="10">L16-(M16-N16)</f>
        <v>-499274.93610255141</v>
      </c>
      <c r="P16" s="293">
        <v>100</v>
      </c>
      <c r="Q16" s="293"/>
      <c r="R16" s="49">
        <f t="shared" ref="R16:R47" si="11">D16+E16+F16+J16+L16</f>
        <v>6108860</v>
      </c>
      <c r="S16" s="49">
        <f t="shared" ref="S16:S47" si="12">R16-C16</f>
        <v>0</v>
      </c>
      <c r="U16" s="49">
        <f>民間設備製造1!D18</f>
        <v>195884.88994922116</v>
      </c>
      <c r="V16" s="49">
        <f t="shared" ref="V16:V65" si="13">D16+E16+G16+J16+U16</f>
        <v>5206143.7424027715</v>
      </c>
    </row>
    <row r="17" spans="1:22">
      <c r="A17" s="300">
        <v>1</v>
      </c>
      <c r="B17" s="65" t="s">
        <v>182</v>
      </c>
      <c r="C17" s="829">
        <f>'２次調整'!V19</f>
        <v>3076906</v>
      </c>
      <c r="D17" s="830">
        <f>民間消費!D19</f>
        <v>2610075</v>
      </c>
      <c r="E17" s="830">
        <f>政府消費!D19</f>
        <v>355898</v>
      </c>
      <c r="F17" s="830">
        <f t="shared" si="7"/>
        <v>910044</v>
      </c>
      <c r="G17" s="830">
        <f>民間住宅1!D19</f>
        <v>144354</v>
      </c>
      <c r="H17" s="830">
        <f>民間設備投資計!D19</f>
        <v>750182</v>
      </c>
      <c r="I17" s="830">
        <f>民間在庫品増加!D19</f>
        <v>15508</v>
      </c>
      <c r="J17" s="830">
        <f>公的投資!D19</f>
        <v>112534</v>
      </c>
      <c r="K17" s="856">
        <f t="shared" si="8"/>
        <v>3988551</v>
      </c>
      <c r="L17" s="856">
        <f t="shared" si="9"/>
        <v>-911645</v>
      </c>
      <c r="M17" s="830">
        <f>+移出入推計WS!O19+移出入推計WS!Q19+移出入推計WS!R19</f>
        <v>3038113</v>
      </c>
      <c r="N17" s="830">
        <f>移出入推計WS!P19</f>
        <v>3545725</v>
      </c>
      <c r="O17" s="828">
        <f t="shared" si="10"/>
        <v>-404033</v>
      </c>
      <c r="P17" s="293">
        <v>1</v>
      </c>
      <c r="Q17" s="293"/>
      <c r="R17" s="49">
        <f t="shared" si="11"/>
        <v>3076906</v>
      </c>
      <c r="S17" s="49">
        <f t="shared" si="12"/>
        <v>0</v>
      </c>
      <c r="U17" s="49">
        <f>民間設備製造1!D19</f>
        <v>288800</v>
      </c>
      <c r="V17" s="49">
        <f t="shared" si="13"/>
        <v>3511661</v>
      </c>
    </row>
    <row r="18" spans="1:22">
      <c r="A18" s="300">
        <v>202</v>
      </c>
      <c r="B18" s="90" t="s">
        <v>183</v>
      </c>
      <c r="C18" s="829">
        <f>'２次調整'!V20</f>
        <v>1745448</v>
      </c>
      <c r="D18" s="830">
        <f>民間消費!D20</f>
        <v>1196954</v>
      </c>
      <c r="E18" s="830">
        <f>政府消費!D20</f>
        <v>163048</v>
      </c>
      <c r="F18" s="830">
        <f t="shared" si="7"/>
        <v>578171</v>
      </c>
      <c r="G18" s="830">
        <f>民間住宅1!D20</f>
        <v>71838</v>
      </c>
      <c r="H18" s="830">
        <f>民間設備投資計!D20</f>
        <v>498598</v>
      </c>
      <c r="I18" s="830">
        <f>民間在庫品増加!D20</f>
        <v>7735</v>
      </c>
      <c r="J18" s="830">
        <f>公的投資!D20</f>
        <v>51108</v>
      </c>
      <c r="K18" s="856">
        <f t="shared" si="8"/>
        <v>1989281</v>
      </c>
      <c r="L18" s="856">
        <f t="shared" si="9"/>
        <v>-243833</v>
      </c>
      <c r="M18" s="830">
        <f>+移出入推計WS!O20+移出入推計WS!Q20+移出入推計WS!R20</f>
        <v>1698394</v>
      </c>
      <c r="N18" s="830">
        <f>移出入推計WS!P20</f>
        <v>1768422</v>
      </c>
      <c r="O18" s="831">
        <f t="shared" si="10"/>
        <v>-173805</v>
      </c>
      <c r="P18" s="293">
        <v>202</v>
      </c>
      <c r="Q18" s="293"/>
      <c r="R18" s="49">
        <f t="shared" si="11"/>
        <v>1745448</v>
      </c>
      <c r="S18" s="49">
        <f t="shared" si="12"/>
        <v>0</v>
      </c>
      <c r="U18" s="49">
        <f>民間設備製造1!D20</f>
        <v>268485</v>
      </c>
      <c r="V18" s="49">
        <f t="shared" si="13"/>
        <v>1751433</v>
      </c>
    </row>
    <row r="19" spans="1:22">
      <c r="A19" s="300">
        <v>204</v>
      </c>
      <c r="B19" s="90" t="s">
        <v>184</v>
      </c>
      <c r="C19" s="829">
        <f>'２次調整'!V21</f>
        <v>1141491</v>
      </c>
      <c r="D19" s="830">
        <f>民間消費!D21</f>
        <v>1181411</v>
      </c>
      <c r="E19" s="830">
        <f>政府消費!D21</f>
        <v>155545</v>
      </c>
      <c r="F19" s="830">
        <f t="shared" si="7"/>
        <v>277868</v>
      </c>
      <c r="G19" s="830">
        <f>民間住宅1!D21</f>
        <v>58742</v>
      </c>
      <c r="H19" s="830">
        <f>民間設備投資計!D21</f>
        <v>212660</v>
      </c>
      <c r="I19" s="830">
        <f>民間在庫品増加!D21</f>
        <v>6466</v>
      </c>
      <c r="J19" s="830">
        <f>公的投資!D21</f>
        <v>48228</v>
      </c>
      <c r="K19" s="856">
        <f t="shared" si="8"/>
        <v>1663052</v>
      </c>
      <c r="L19" s="856">
        <f t="shared" si="9"/>
        <v>-521561</v>
      </c>
      <c r="M19" s="830">
        <f>+移出入推計WS!O21+移出入推計WS!Q21+移出入推計WS!R21</f>
        <v>1142261</v>
      </c>
      <c r="N19" s="830">
        <f>移出入推計WS!P21</f>
        <v>1478413</v>
      </c>
      <c r="O19" s="831">
        <f t="shared" si="10"/>
        <v>-185409</v>
      </c>
      <c r="P19" s="293">
        <v>204</v>
      </c>
      <c r="Q19" s="293"/>
      <c r="R19" s="49">
        <f t="shared" si="11"/>
        <v>1141491</v>
      </c>
      <c r="S19" s="49">
        <f t="shared" si="12"/>
        <v>0</v>
      </c>
      <c r="U19" s="49">
        <f>民間設備製造1!D21</f>
        <v>20284</v>
      </c>
      <c r="V19" s="49">
        <f t="shared" si="13"/>
        <v>1464210</v>
      </c>
    </row>
    <row r="20" spans="1:22">
      <c r="A20" s="300">
        <v>206</v>
      </c>
      <c r="B20" s="90" t="s">
        <v>185</v>
      </c>
      <c r="C20" s="829">
        <f>'２次調整'!V22</f>
        <v>189967</v>
      </c>
      <c r="D20" s="830">
        <f>民間消費!D22</f>
        <v>231710</v>
      </c>
      <c r="E20" s="830">
        <f>政府消費!D22</f>
        <v>37305</v>
      </c>
      <c r="F20" s="830">
        <f t="shared" si="7"/>
        <v>54005</v>
      </c>
      <c r="G20" s="830">
        <f>民間住宅1!D22</f>
        <v>13774</v>
      </c>
      <c r="H20" s="830">
        <f>民間設備投資計!D22</f>
        <v>38924</v>
      </c>
      <c r="I20" s="830">
        <f>民間在庫品増加!D22</f>
        <v>1307</v>
      </c>
      <c r="J20" s="830">
        <f>公的投資!D22</f>
        <v>13198</v>
      </c>
      <c r="K20" s="856">
        <f t="shared" si="8"/>
        <v>336218</v>
      </c>
      <c r="L20" s="856">
        <f t="shared" si="9"/>
        <v>-146251</v>
      </c>
      <c r="M20" s="830">
        <f>+移出入推計WS!O22+移出入推計WS!Q22+移出入推計WS!R22</f>
        <v>197458</v>
      </c>
      <c r="N20" s="830">
        <f>移出入推計WS!P22</f>
        <v>298890</v>
      </c>
      <c r="O20" s="835">
        <f t="shared" si="10"/>
        <v>-44819</v>
      </c>
      <c r="P20" s="293">
        <v>206</v>
      </c>
      <c r="Q20" s="293"/>
      <c r="R20" s="49">
        <f t="shared" si="11"/>
        <v>189967</v>
      </c>
      <c r="S20" s="49">
        <f t="shared" si="12"/>
        <v>0</v>
      </c>
      <c r="U20" s="49">
        <f>民間設備製造1!D22</f>
        <v>31</v>
      </c>
      <c r="V20" s="49">
        <f t="shared" si="13"/>
        <v>296018</v>
      </c>
    </row>
    <row r="21" spans="1:22">
      <c r="A21" s="301">
        <v>2</v>
      </c>
      <c r="B21" s="128" t="s">
        <v>186</v>
      </c>
      <c r="C21" s="826">
        <f>'２次調整'!V23</f>
        <v>1835755</v>
      </c>
      <c r="D21" s="827">
        <f>民間消費!D23</f>
        <v>1601593</v>
      </c>
      <c r="E21" s="827">
        <f>政府消費!D23</f>
        <v>242577</v>
      </c>
      <c r="F21" s="827">
        <f t="shared" si="7"/>
        <v>468855</v>
      </c>
      <c r="G21" s="827">
        <f>民間住宅1!D23</f>
        <v>106910</v>
      </c>
      <c r="H21" s="827">
        <f>民間設備投資計!D23</f>
        <v>352732</v>
      </c>
      <c r="I21" s="827">
        <f>民間在庫品増加!D23</f>
        <v>9213</v>
      </c>
      <c r="J21" s="827">
        <f>公的投資!D23</f>
        <v>56194</v>
      </c>
      <c r="K21" s="855">
        <f t="shared" si="8"/>
        <v>2369219</v>
      </c>
      <c r="L21" s="855">
        <f t="shared" si="9"/>
        <v>-533464</v>
      </c>
      <c r="M21" s="827">
        <f>+移出入推計WS!O23+移出入推計WS!Q23+移出入推計WS!R23</f>
        <v>1832108</v>
      </c>
      <c r="N21" s="827">
        <f>移出入推計WS!P23</f>
        <v>2106177</v>
      </c>
      <c r="O21" s="828">
        <f t="shared" si="10"/>
        <v>-259395</v>
      </c>
      <c r="P21" s="293">
        <v>2</v>
      </c>
      <c r="Q21" s="293"/>
      <c r="R21" s="49">
        <f t="shared" si="11"/>
        <v>1835755</v>
      </c>
      <c r="S21" s="49">
        <f t="shared" si="12"/>
        <v>0</v>
      </c>
      <c r="U21" s="49">
        <f>民間設備製造1!D23</f>
        <v>78669</v>
      </c>
      <c r="V21" s="49">
        <f t="shared" si="13"/>
        <v>2085943</v>
      </c>
    </row>
    <row r="22" spans="1:22">
      <c r="A22" s="300">
        <v>207</v>
      </c>
      <c r="B22" s="90" t="s">
        <v>187</v>
      </c>
      <c r="C22" s="829">
        <f>'２次調整'!V24</f>
        <v>647525</v>
      </c>
      <c r="D22" s="830">
        <f>民間消費!D24</f>
        <v>443215</v>
      </c>
      <c r="E22" s="830">
        <f>政府消費!D24</f>
        <v>66794</v>
      </c>
      <c r="F22" s="830">
        <f t="shared" si="7"/>
        <v>160376</v>
      </c>
      <c r="G22" s="830">
        <f>民間住宅1!D24</f>
        <v>30452</v>
      </c>
      <c r="H22" s="830">
        <f>民間設備投資計!D24</f>
        <v>127248</v>
      </c>
      <c r="I22" s="830">
        <f>民間在庫品増加!D24</f>
        <v>2676</v>
      </c>
      <c r="J22" s="830">
        <f>公的投資!D24</f>
        <v>17760</v>
      </c>
      <c r="K22" s="856">
        <f t="shared" si="8"/>
        <v>688145</v>
      </c>
      <c r="L22" s="856">
        <f t="shared" si="9"/>
        <v>-40620</v>
      </c>
      <c r="M22" s="830">
        <f>+移出入推計WS!O24+移出入推計WS!Q24+移出入推計WS!R24</f>
        <v>634135</v>
      </c>
      <c r="N22" s="830">
        <f>移出入推計WS!P24</f>
        <v>611744</v>
      </c>
      <c r="O22" s="831">
        <f t="shared" si="10"/>
        <v>-63011</v>
      </c>
      <c r="P22" s="293">
        <v>207</v>
      </c>
      <c r="Q22" s="293"/>
      <c r="R22" s="49">
        <f t="shared" si="11"/>
        <v>647525</v>
      </c>
      <c r="S22" s="49">
        <f t="shared" si="12"/>
        <v>0</v>
      </c>
      <c r="U22" s="49">
        <f>民間設備製造1!D24</f>
        <v>47646</v>
      </c>
      <c r="V22" s="49">
        <f t="shared" si="13"/>
        <v>605867</v>
      </c>
    </row>
    <row r="23" spans="1:22">
      <c r="A23" s="300">
        <v>214</v>
      </c>
      <c r="B23" s="90" t="s">
        <v>188</v>
      </c>
      <c r="C23" s="829">
        <f>'２次調整'!V25</f>
        <v>427951</v>
      </c>
      <c r="D23" s="830">
        <f>民間消費!D25</f>
        <v>517532</v>
      </c>
      <c r="E23" s="830">
        <f>政府消費!D25</f>
        <v>72489</v>
      </c>
      <c r="F23" s="830">
        <f t="shared" si="7"/>
        <v>121763</v>
      </c>
      <c r="G23" s="830">
        <f>民間住宅1!D25</f>
        <v>31511</v>
      </c>
      <c r="H23" s="830">
        <f>民間設備投資計!D25</f>
        <v>87414</v>
      </c>
      <c r="I23" s="830">
        <f>民間在庫品増加!D25</f>
        <v>2838</v>
      </c>
      <c r="J23" s="830">
        <f>公的投資!D25</f>
        <v>18071</v>
      </c>
      <c r="K23" s="856">
        <f t="shared" si="8"/>
        <v>729855</v>
      </c>
      <c r="L23" s="856">
        <f t="shared" si="9"/>
        <v>-301904</v>
      </c>
      <c r="M23" s="830">
        <f>+移出入推計WS!O25+移出入推計WS!Q25+移出入推計WS!R25</f>
        <v>437379</v>
      </c>
      <c r="N23" s="830">
        <f>移出入推計WS!P25</f>
        <v>648823</v>
      </c>
      <c r="O23" s="831">
        <f t="shared" si="10"/>
        <v>-90460</v>
      </c>
      <c r="P23" s="293">
        <v>214</v>
      </c>
      <c r="Q23" s="293"/>
      <c r="R23" s="49">
        <f t="shared" si="11"/>
        <v>427951</v>
      </c>
      <c r="S23" s="49">
        <f t="shared" si="12"/>
        <v>0</v>
      </c>
      <c r="U23" s="49">
        <f>民間設備製造1!D25</f>
        <v>2987</v>
      </c>
      <c r="V23" s="49">
        <f t="shared" si="13"/>
        <v>642590</v>
      </c>
    </row>
    <row r="24" spans="1:22">
      <c r="A24" s="300">
        <v>217</v>
      </c>
      <c r="B24" s="90" t="s">
        <v>189</v>
      </c>
      <c r="C24" s="829">
        <f>'２次調整'!V26</f>
        <v>298975</v>
      </c>
      <c r="D24" s="830">
        <f>民間消費!D26</f>
        <v>355561</v>
      </c>
      <c r="E24" s="830">
        <f>政府消費!D26</f>
        <v>52353</v>
      </c>
      <c r="F24" s="830">
        <f t="shared" si="7"/>
        <v>90173</v>
      </c>
      <c r="G24" s="830">
        <f>民間住宅1!D26</f>
        <v>25175</v>
      </c>
      <c r="H24" s="830">
        <f>民間設備投資計!D26</f>
        <v>63014</v>
      </c>
      <c r="I24" s="830">
        <f>民間在庫品増加!D26</f>
        <v>1984</v>
      </c>
      <c r="J24" s="830">
        <f>公的投資!D26</f>
        <v>12086</v>
      </c>
      <c r="K24" s="856">
        <f t="shared" si="8"/>
        <v>510173</v>
      </c>
      <c r="L24" s="856">
        <f t="shared" si="9"/>
        <v>-211198</v>
      </c>
      <c r="M24" s="830">
        <f>+移出入推計WS!O26+移出入推計WS!Q26+移出入推計WS!R26</f>
        <v>306665</v>
      </c>
      <c r="N24" s="830">
        <f>移出入推計WS!P26</f>
        <v>453531</v>
      </c>
      <c r="O24" s="831">
        <f t="shared" si="10"/>
        <v>-64332</v>
      </c>
      <c r="P24" s="293">
        <v>217</v>
      </c>
      <c r="Q24" s="293"/>
      <c r="R24" s="49">
        <f t="shared" si="11"/>
        <v>298975</v>
      </c>
      <c r="S24" s="49">
        <f t="shared" si="12"/>
        <v>0</v>
      </c>
      <c r="U24" s="49">
        <f>民間設備製造1!D26</f>
        <v>3999</v>
      </c>
      <c r="V24" s="49">
        <f t="shared" si="13"/>
        <v>449174</v>
      </c>
    </row>
    <row r="25" spans="1:22">
      <c r="A25" s="300">
        <v>219</v>
      </c>
      <c r="B25" s="90" t="s">
        <v>190</v>
      </c>
      <c r="C25" s="829">
        <f>'２次調整'!V27</f>
        <v>403570</v>
      </c>
      <c r="D25" s="830">
        <f>民間消費!D27</f>
        <v>225384</v>
      </c>
      <c r="E25" s="830">
        <f>政府消費!D27</f>
        <v>38278</v>
      </c>
      <c r="F25" s="830">
        <f t="shared" si="7"/>
        <v>79799</v>
      </c>
      <c r="G25" s="830">
        <f>民間住宅1!D27</f>
        <v>14601</v>
      </c>
      <c r="H25" s="830">
        <f>民間設備投資計!D27</f>
        <v>63837</v>
      </c>
      <c r="I25" s="830">
        <f>民間在庫品増加!D27</f>
        <v>1361</v>
      </c>
      <c r="J25" s="830">
        <f>公的投資!D27</f>
        <v>6600</v>
      </c>
      <c r="K25" s="856">
        <f t="shared" si="8"/>
        <v>350061</v>
      </c>
      <c r="L25" s="856">
        <f t="shared" si="9"/>
        <v>53509</v>
      </c>
      <c r="M25" s="830">
        <f>+移出入推計WS!O27+移出入推計WS!Q27+移出入推計WS!R27</f>
        <v>393064</v>
      </c>
      <c r="N25" s="830">
        <f>移出入推計WS!P27</f>
        <v>311196</v>
      </c>
      <c r="O25" s="831">
        <f t="shared" si="10"/>
        <v>-28359</v>
      </c>
      <c r="P25" s="293">
        <v>219</v>
      </c>
      <c r="Q25" s="293"/>
      <c r="R25" s="49">
        <f t="shared" si="11"/>
        <v>403570</v>
      </c>
      <c r="S25" s="49">
        <f t="shared" si="12"/>
        <v>0</v>
      </c>
      <c r="U25" s="49">
        <f>民間設備製造1!D27</f>
        <v>23343</v>
      </c>
      <c r="V25" s="49">
        <f t="shared" si="13"/>
        <v>308206</v>
      </c>
    </row>
    <row r="26" spans="1:22">
      <c r="A26" s="302">
        <v>301</v>
      </c>
      <c r="B26" s="201" t="s">
        <v>191</v>
      </c>
      <c r="C26" s="836">
        <f>'２次調整'!V28</f>
        <v>57734</v>
      </c>
      <c r="D26" s="837">
        <f>民間消費!D28</f>
        <v>59901</v>
      </c>
      <c r="E26" s="837">
        <f>政府消費!D28</f>
        <v>12663</v>
      </c>
      <c r="F26" s="837">
        <f t="shared" si="7"/>
        <v>16744</v>
      </c>
      <c r="G26" s="837">
        <f>民間住宅1!D28</f>
        <v>5171</v>
      </c>
      <c r="H26" s="837">
        <f>民間設備投資計!D28</f>
        <v>11219</v>
      </c>
      <c r="I26" s="837">
        <f>民間在庫品増加!D28</f>
        <v>354</v>
      </c>
      <c r="J26" s="837">
        <f>公的投資!D28</f>
        <v>1677</v>
      </c>
      <c r="K26" s="858">
        <f t="shared" si="8"/>
        <v>90985</v>
      </c>
      <c r="L26" s="858">
        <f t="shared" si="9"/>
        <v>-33251</v>
      </c>
      <c r="M26" s="837">
        <f>+移出入推計WS!O28+移出入推計WS!Q28+移出入推計WS!R28</f>
        <v>60865</v>
      </c>
      <c r="N26" s="837">
        <f>移出入推計WS!P28</f>
        <v>80883</v>
      </c>
      <c r="O26" s="835">
        <f t="shared" si="10"/>
        <v>-13233</v>
      </c>
      <c r="P26" s="293">
        <v>301</v>
      </c>
      <c r="Q26" s="293"/>
      <c r="R26" s="49">
        <f t="shared" si="11"/>
        <v>57734</v>
      </c>
      <c r="S26" s="49">
        <f t="shared" si="12"/>
        <v>0</v>
      </c>
      <c r="U26" s="49">
        <f>民間設備製造1!D28</f>
        <v>694</v>
      </c>
      <c r="V26" s="49">
        <f t="shared" si="13"/>
        <v>80106</v>
      </c>
    </row>
    <row r="27" spans="1:22">
      <c r="A27" s="300">
        <v>3</v>
      </c>
      <c r="B27" s="65" t="s">
        <v>192</v>
      </c>
      <c r="C27" s="829">
        <f>'２次調整'!V29</f>
        <v>2807437</v>
      </c>
      <c r="D27" s="830">
        <f>民間消費!D29</f>
        <v>1592183</v>
      </c>
      <c r="E27" s="830">
        <f>政府消費!D29</f>
        <v>215383</v>
      </c>
      <c r="F27" s="830">
        <f t="shared" si="7"/>
        <v>702146</v>
      </c>
      <c r="G27" s="830">
        <f>民間住宅1!D29</f>
        <v>117610</v>
      </c>
      <c r="H27" s="830">
        <f>民間設備投資計!D29</f>
        <v>574513</v>
      </c>
      <c r="I27" s="830">
        <f>民間在庫品増加!D29</f>
        <v>10023</v>
      </c>
      <c r="J27" s="830">
        <f>公的投資!D29</f>
        <v>68224</v>
      </c>
      <c r="K27" s="856">
        <f t="shared" si="8"/>
        <v>2577936</v>
      </c>
      <c r="L27" s="856">
        <f t="shared" si="9"/>
        <v>229501</v>
      </c>
      <c r="M27" s="830">
        <f>+移出入推計WS!O29+移出入推計WS!Q29+移出入推計WS!R29</f>
        <v>2701531</v>
      </c>
      <c r="N27" s="830">
        <f>移出入推計WS!P29</f>
        <v>2291721</v>
      </c>
      <c r="O27" s="828">
        <f t="shared" si="10"/>
        <v>-180309</v>
      </c>
      <c r="P27" s="293">
        <v>3</v>
      </c>
      <c r="Q27" s="293"/>
      <c r="R27" s="49">
        <f t="shared" si="11"/>
        <v>2807437</v>
      </c>
      <c r="S27" s="49">
        <f t="shared" si="12"/>
        <v>0</v>
      </c>
      <c r="U27" s="49">
        <f>民間設備製造1!D29</f>
        <v>276306</v>
      </c>
      <c r="V27" s="49">
        <f t="shared" si="13"/>
        <v>2269706</v>
      </c>
    </row>
    <row r="28" spans="1:22">
      <c r="A28" s="300">
        <v>203</v>
      </c>
      <c r="B28" s="90" t="s">
        <v>193</v>
      </c>
      <c r="C28" s="829">
        <f>'２次調整'!V30</f>
        <v>1090361</v>
      </c>
      <c r="D28" s="830">
        <f>民間消費!D30</f>
        <v>677708</v>
      </c>
      <c r="E28" s="830">
        <f>政府消費!D30</f>
        <v>85007</v>
      </c>
      <c r="F28" s="830">
        <f t="shared" si="7"/>
        <v>223641</v>
      </c>
      <c r="G28" s="830">
        <f>民間住宅1!D30</f>
        <v>53423</v>
      </c>
      <c r="H28" s="830">
        <f>民間設備投資計!D30</f>
        <v>166278</v>
      </c>
      <c r="I28" s="830">
        <f>民間在庫品増加!D30</f>
        <v>3940</v>
      </c>
      <c r="J28" s="830">
        <f>公的投資!D30</f>
        <v>27041</v>
      </c>
      <c r="K28" s="856">
        <f t="shared" si="8"/>
        <v>1013397</v>
      </c>
      <c r="L28" s="856">
        <f t="shared" si="9"/>
        <v>76964</v>
      </c>
      <c r="M28" s="830">
        <f>+移出入推計WS!O30+移出入推計WS!Q30+移出入推計WS!R30</f>
        <v>1050103</v>
      </c>
      <c r="N28" s="830">
        <f>移出入推計WS!P30</f>
        <v>900885</v>
      </c>
      <c r="O28" s="831">
        <f t="shared" si="10"/>
        <v>-72254</v>
      </c>
      <c r="P28" s="293">
        <v>203</v>
      </c>
      <c r="Q28" s="293"/>
      <c r="R28" s="49">
        <f t="shared" si="11"/>
        <v>1090361</v>
      </c>
      <c r="S28" s="49">
        <f t="shared" si="12"/>
        <v>0</v>
      </c>
      <c r="U28" s="49">
        <f>民間設備製造1!D30</f>
        <v>49052</v>
      </c>
      <c r="V28" s="49">
        <f t="shared" si="13"/>
        <v>892231</v>
      </c>
    </row>
    <row r="29" spans="1:22">
      <c r="A29" s="300">
        <v>210</v>
      </c>
      <c r="B29" s="90" t="s">
        <v>194</v>
      </c>
      <c r="C29" s="829">
        <f>'２次調整'!V31</f>
        <v>881971</v>
      </c>
      <c r="D29" s="830">
        <f>民間消費!D31</f>
        <v>575752</v>
      </c>
      <c r="E29" s="830">
        <f>政府消費!D31</f>
        <v>80780</v>
      </c>
      <c r="F29" s="830">
        <f t="shared" si="7"/>
        <v>253909</v>
      </c>
      <c r="G29" s="830">
        <f>民間住宅1!D31</f>
        <v>43272</v>
      </c>
      <c r="H29" s="830">
        <f>民間設備投資計!D31</f>
        <v>206994</v>
      </c>
      <c r="I29" s="830">
        <f>民間在庫品増加!D31</f>
        <v>3643</v>
      </c>
      <c r="J29" s="830">
        <f>公的投資!D31</f>
        <v>26579</v>
      </c>
      <c r="K29" s="856">
        <f t="shared" si="8"/>
        <v>937020</v>
      </c>
      <c r="L29" s="856">
        <f t="shared" si="9"/>
        <v>-55049</v>
      </c>
      <c r="M29" s="830">
        <f>+移出入推計WS!O31+移出入推計WS!Q31+移出入推計WS!R31</f>
        <v>857159</v>
      </c>
      <c r="N29" s="830">
        <f>移出入推計WS!P31</f>
        <v>832988</v>
      </c>
      <c r="O29" s="831">
        <f t="shared" si="10"/>
        <v>-79220</v>
      </c>
      <c r="P29" s="293">
        <v>210</v>
      </c>
      <c r="Q29" s="293"/>
      <c r="R29" s="49">
        <f t="shared" si="11"/>
        <v>881971</v>
      </c>
      <c r="S29" s="49">
        <f t="shared" si="12"/>
        <v>0</v>
      </c>
      <c r="U29" s="49">
        <f>民間設備製造1!D31</f>
        <v>98603</v>
      </c>
      <c r="V29" s="49">
        <f t="shared" si="13"/>
        <v>824986</v>
      </c>
    </row>
    <row r="30" spans="1:22">
      <c r="A30" s="300">
        <v>216</v>
      </c>
      <c r="B30" s="90" t="s">
        <v>195</v>
      </c>
      <c r="C30" s="829">
        <f>'２次調整'!V32</f>
        <v>564004</v>
      </c>
      <c r="D30" s="830">
        <f>民間消費!D32</f>
        <v>204921</v>
      </c>
      <c r="E30" s="830">
        <f>政府消費!D32</f>
        <v>31011</v>
      </c>
      <c r="F30" s="830">
        <f t="shared" si="7"/>
        <v>156202</v>
      </c>
      <c r="G30" s="830">
        <f>民間住宅1!D32</f>
        <v>13541</v>
      </c>
      <c r="H30" s="830">
        <f>民間設備投資計!D32</f>
        <v>141097</v>
      </c>
      <c r="I30" s="830">
        <f>民間在庫品増加!D32</f>
        <v>1564</v>
      </c>
      <c r="J30" s="830">
        <f>公的投資!D32</f>
        <v>10044</v>
      </c>
      <c r="K30" s="856">
        <f t="shared" si="8"/>
        <v>402178</v>
      </c>
      <c r="L30" s="856">
        <f t="shared" si="9"/>
        <v>161826</v>
      </c>
      <c r="M30" s="830">
        <f>+移出入推計WS!O32+移出入推計WS!Q32+移出入推計WS!R32</f>
        <v>534823</v>
      </c>
      <c r="N30" s="830">
        <f>移出入推計WS!P32</f>
        <v>357526</v>
      </c>
      <c r="O30" s="831">
        <f t="shared" si="10"/>
        <v>-15471</v>
      </c>
      <c r="P30" s="293">
        <v>216</v>
      </c>
      <c r="Q30" s="293"/>
      <c r="R30" s="49">
        <f t="shared" si="11"/>
        <v>564004</v>
      </c>
      <c r="S30" s="49">
        <f t="shared" si="12"/>
        <v>0</v>
      </c>
      <c r="U30" s="49">
        <f>民間設備製造1!D32</f>
        <v>94574</v>
      </c>
      <c r="V30" s="49">
        <f t="shared" si="13"/>
        <v>354091</v>
      </c>
    </row>
    <row r="31" spans="1:22">
      <c r="A31" s="300">
        <v>381</v>
      </c>
      <c r="B31" s="90" t="s">
        <v>196</v>
      </c>
      <c r="C31" s="829">
        <f>'２次調整'!V33</f>
        <v>141826</v>
      </c>
      <c r="D31" s="830">
        <f>民間消費!D33</f>
        <v>60188</v>
      </c>
      <c r="E31" s="830">
        <f>政府消費!D33</f>
        <v>8733</v>
      </c>
      <c r="F31" s="830">
        <f t="shared" si="7"/>
        <v>27972</v>
      </c>
      <c r="G31" s="830">
        <f>民間住宅1!D33</f>
        <v>3136</v>
      </c>
      <c r="H31" s="830">
        <f>民間設備投資計!D33</f>
        <v>24450</v>
      </c>
      <c r="I31" s="830">
        <f>民間在庫品増加!D33</f>
        <v>386</v>
      </c>
      <c r="J31" s="830">
        <f>公的投資!D33</f>
        <v>2298</v>
      </c>
      <c r="K31" s="856">
        <f t="shared" si="8"/>
        <v>99191</v>
      </c>
      <c r="L31" s="856">
        <f t="shared" si="9"/>
        <v>42635</v>
      </c>
      <c r="M31" s="830">
        <f>+移出入推計WS!O33+移出入推計WS!Q33+移出入推計WS!R33</f>
        <v>135090</v>
      </c>
      <c r="N31" s="830">
        <f>移出入推計WS!P33</f>
        <v>88178</v>
      </c>
      <c r="O31" s="831">
        <f t="shared" si="10"/>
        <v>-4277</v>
      </c>
      <c r="P31" s="293">
        <v>381</v>
      </c>
      <c r="Q31" s="293"/>
      <c r="R31" s="49">
        <f t="shared" si="11"/>
        <v>141826</v>
      </c>
      <c r="S31" s="49">
        <f t="shared" si="12"/>
        <v>0</v>
      </c>
      <c r="U31" s="49">
        <f>民間設備製造1!D33</f>
        <v>12976</v>
      </c>
      <c r="V31" s="49">
        <f t="shared" si="13"/>
        <v>87331</v>
      </c>
    </row>
    <row r="32" spans="1:22">
      <c r="A32" s="300">
        <v>382</v>
      </c>
      <c r="B32" s="90" t="s">
        <v>197</v>
      </c>
      <c r="C32" s="829">
        <f>'２次調整'!V34</f>
        <v>129275</v>
      </c>
      <c r="D32" s="830">
        <f>民間消費!D34</f>
        <v>73614</v>
      </c>
      <c r="E32" s="830">
        <f>政府消費!D34</f>
        <v>9852</v>
      </c>
      <c r="F32" s="830">
        <f t="shared" si="7"/>
        <v>40422</v>
      </c>
      <c r="G32" s="830">
        <f>民間住宅1!D34</f>
        <v>4238</v>
      </c>
      <c r="H32" s="830">
        <f>民間設備投資計!D34</f>
        <v>35694</v>
      </c>
      <c r="I32" s="830">
        <f>民間在庫品増加!D34</f>
        <v>490</v>
      </c>
      <c r="J32" s="830">
        <f>公的投資!D34</f>
        <v>2262</v>
      </c>
      <c r="K32" s="856">
        <f t="shared" si="8"/>
        <v>126150</v>
      </c>
      <c r="L32" s="856">
        <f t="shared" si="9"/>
        <v>3125</v>
      </c>
      <c r="M32" s="830">
        <f>+移出入推計WS!O34+移出入推計WS!Q34+移出入推計WS!R34</f>
        <v>124356</v>
      </c>
      <c r="N32" s="830">
        <f>移出入推計WS!P34</f>
        <v>112144</v>
      </c>
      <c r="O32" s="835">
        <f t="shared" si="10"/>
        <v>-9087</v>
      </c>
      <c r="P32" s="293">
        <v>382</v>
      </c>
      <c r="Q32" s="293"/>
      <c r="R32" s="49">
        <f t="shared" si="11"/>
        <v>129275</v>
      </c>
      <c r="S32" s="49">
        <f t="shared" si="12"/>
        <v>0</v>
      </c>
      <c r="U32" s="49">
        <f>民間設備製造1!D34</f>
        <v>21101</v>
      </c>
      <c r="V32" s="49">
        <f t="shared" si="13"/>
        <v>111067</v>
      </c>
    </row>
    <row r="33" spans="1:22">
      <c r="A33" s="301">
        <v>4</v>
      </c>
      <c r="B33" s="306" t="s">
        <v>198</v>
      </c>
      <c r="C33" s="826">
        <f>'２次調整'!V35</f>
        <v>1147763</v>
      </c>
      <c r="D33" s="827">
        <f>民間消費!D35</f>
        <v>562349</v>
      </c>
      <c r="E33" s="827">
        <f>政府消費!D35</f>
        <v>104482</v>
      </c>
      <c r="F33" s="827">
        <f t="shared" si="7"/>
        <v>271878</v>
      </c>
      <c r="G33" s="827">
        <f>民間住宅1!D35</f>
        <v>42022</v>
      </c>
      <c r="H33" s="827">
        <f>民間設備投資計!D35</f>
        <v>226100</v>
      </c>
      <c r="I33" s="827">
        <f>民間在庫品増加!D35</f>
        <v>3756</v>
      </c>
      <c r="J33" s="827">
        <f>公的投資!D35</f>
        <v>27472</v>
      </c>
      <c r="K33" s="855">
        <f t="shared" si="8"/>
        <v>966181</v>
      </c>
      <c r="L33" s="855">
        <f t="shared" si="9"/>
        <v>181582</v>
      </c>
      <c r="M33" s="827">
        <f>+移出入推計WS!O35+移出入推計WS!Q35+移出入推計WS!R35</f>
        <v>1115059</v>
      </c>
      <c r="N33" s="827">
        <f>移出入推計WS!P35</f>
        <v>858911</v>
      </c>
      <c r="O33" s="828">
        <f t="shared" si="10"/>
        <v>-74566</v>
      </c>
      <c r="P33" s="293">
        <v>4</v>
      </c>
      <c r="Q33" s="293"/>
      <c r="R33" s="49">
        <f t="shared" si="11"/>
        <v>1147763</v>
      </c>
      <c r="S33" s="49">
        <f t="shared" si="12"/>
        <v>0</v>
      </c>
      <c r="U33" s="49">
        <f>民間設備製造1!D35</f>
        <v>114335</v>
      </c>
      <c r="V33" s="49">
        <f t="shared" si="13"/>
        <v>850660</v>
      </c>
    </row>
    <row r="34" spans="1:22">
      <c r="A34" s="300">
        <v>213</v>
      </c>
      <c r="B34" s="92" t="s">
        <v>231</v>
      </c>
      <c r="C34" s="829">
        <f>'２次調整'!V36</f>
        <v>158484</v>
      </c>
      <c r="D34" s="830">
        <f>民間消費!D36</f>
        <v>87755</v>
      </c>
      <c r="E34" s="830">
        <f>政府消費!D36</f>
        <v>13668</v>
      </c>
      <c r="F34" s="830">
        <f t="shared" si="7"/>
        <v>54920</v>
      </c>
      <c r="G34" s="830">
        <f>民間住宅1!D36</f>
        <v>7438</v>
      </c>
      <c r="H34" s="830">
        <f>民間設備投資計!D36</f>
        <v>46856</v>
      </c>
      <c r="I34" s="830">
        <f>民間在庫品増加!D36</f>
        <v>626</v>
      </c>
      <c r="J34" s="830">
        <f>公的投資!D36</f>
        <v>4551</v>
      </c>
      <c r="K34" s="856">
        <f t="shared" si="8"/>
        <v>160894</v>
      </c>
      <c r="L34" s="856">
        <f t="shared" si="9"/>
        <v>-2410</v>
      </c>
      <c r="M34" s="830">
        <f>+移出入推計WS!O36+移出入推計WS!Q36+移出入推計WS!R36</f>
        <v>153480</v>
      </c>
      <c r="N34" s="830">
        <f>移出入推計WS!P36</f>
        <v>143031</v>
      </c>
      <c r="O34" s="831">
        <f t="shared" si="10"/>
        <v>-12859</v>
      </c>
      <c r="P34" s="293">
        <v>213</v>
      </c>
      <c r="Q34" s="293"/>
      <c r="R34" s="49">
        <f t="shared" si="11"/>
        <v>158484</v>
      </c>
      <c r="S34" s="49">
        <f t="shared" si="12"/>
        <v>0</v>
      </c>
      <c r="U34" s="49">
        <f>民間設備製造1!D36</f>
        <v>28244</v>
      </c>
      <c r="V34" s="49">
        <f t="shared" si="13"/>
        <v>141656</v>
      </c>
    </row>
    <row r="35" spans="1:22">
      <c r="A35" s="300">
        <v>215</v>
      </c>
      <c r="B35" s="92" t="s">
        <v>232</v>
      </c>
      <c r="C35" s="829">
        <f>'２次調整'!V37</f>
        <v>274588</v>
      </c>
      <c r="D35" s="830">
        <f>民間消費!D37</f>
        <v>167978</v>
      </c>
      <c r="E35" s="830">
        <f>政府消費!D37</f>
        <v>29520</v>
      </c>
      <c r="F35" s="830">
        <f t="shared" si="7"/>
        <v>47394</v>
      </c>
      <c r="G35" s="830">
        <f>民間住宅1!D37</f>
        <v>12037</v>
      </c>
      <c r="H35" s="830">
        <f>民間設備投資計!D37</f>
        <v>34385</v>
      </c>
      <c r="I35" s="830">
        <f>民間在庫品増加!D37</f>
        <v>972</v>
      </c>
      <c r="J35" s="830">
        <f>公的投資!D37</f>
        <v>5195</v>
      </c>
      <c r="K35" s="856">
        <f t="shared" si="8"/>
        <v>250087</v>
      </c>
      <c r="L35" s="856">
        <f t="shared" si="9"/>
        <v>24501</v>
      </c>
      <c r="M35" s="830">
        <f>+移出入推計WS!O37+移出入推計WS!Q37+移出入推計WS!R37</f>
        <v>269680</v>
      </c>
      <c r="N35" s="830">
        <f>移出入推計WS!P37</f>
        <v>222321</v>
      </c>
      <c r="O35" s="831">
        <f t="shared" si="10"/>
        <v>-22858</v>
      </c>
      <c r="P35" s="293">
        <v>215</v>
      </c>
      <c r="Q35" s="293"/>
      <c r="R35" s="49">
        <f t="shared" si="11"/>
        <v>274588</v>
      </c>
      <c r="S35" s="49">
        <f t="shared" si="12"/>
        <v>0</v>
      </c>
      <c r="U35" s="49">
        <f>民間設備製造1!D37</f>
        <v>5456</v>
      </c>
      <c r="V35" s="49">
        <f t="shared" si="13"/>
        <v>220186</v>
      </c>
    </row>
    <row r="36" spans="1:22">
      <c r="A36" s="300">
        <v>218</v>
      </c>
      <c r="B36" s="90" t="s">
        <v>200</v>
      </c>
      <c r="C36" s="829">
        <f>'２次調整'!V38</f>
        <v>217416</v>
      </c>
      <c r="D36" s="830">
        <f>民間消費!D38</f>
        <v>96445</v>
      </c>
      <c r="E36" s="830">
        <f>政府消費!D38</f>
        <v>16100</v>
      </c>
      <c r="F36" s="830">
        <f t="shared" si="7"/>
        <v>44337</v>
      </c>
      <c r="G36" s="830">
        <f>民間住宅1!D38</f>
        <v>5743</v>
      </c>
      <c r="H36" s="830">
        <f>民間設備投資計!D38</f>
        <v>37961</v>
      </c>
      <c r="I36" s="830">
        <f>民間在庫品増加!D38</f>
        <v>633</v>
      </c>
      <c r="J36" s="830">
        <f>公的投資!D38</f>
        <v>5942</v>
      </c>
      <c r="K36" s="856">
        <f t="shared" si="8"/>
        <v>162824</v>
      </c>
      <c r="L36" s="856">
        <f t="shared" si="9"/>
        <v>54592</v>
      </c>
      <c r="M36" s="830">
        <f>+移出入推計WS!O38+移出入推計WS!Q38+移出入推計WS!R38</f>
        <v>208840</v>
      </c>
      <c r="N36" s="830">
        <f>移出入推計WS!P38</f>
        <v>144747</v>
      </c>
      <c r="O36" s="831">
        <f t="shared" si="10"/>
        <v>-9501</v>
      </c>
      <c r="P36" s="293">
        <v>218</v>
      </c>
      <c r="Q36" s="293"/>
      <c r="R36" s="49">
        <f t="shared" si="11"/>
        <v>217416</v>
      </c>
      <c r="S36" s="49">
        <f t="shared" si="12"/>
        <v>0</v>
      </c>
      <c r="U36" s="49">
        <f>民間設備製造1!D38</f>
        <v>19126</v>
      </c>
      <c r="V36" s="49">
        <f t="shared" si="13"/>
        <v>143356</v>
      </c>
    </row>
    <row r="37" spans="1:22">
      <c r="A37" s="300">
        <v>220</v>
      </c>
      <c r="B37" s="90" t="s">
        <v>201</v>
      </c>
      <c r="C37" s="829">
        <f>'２次調整'!V39</f>
        <v>194447</v>
      </c>
      <c r="D37" s="830">
        <f>民間消費!D39</f>
        <v>90350</v>
      </c>
      <c r="E37" s="830">
        <f>政府消費!D39</f>
        <v>16596</v>
      </c>
      <c r="F37" s="830">
        <f t="shared" si="7"/>
        <v>45260</v>
      </c>
      <c r="G37" s="830">
        <f>民間住宅1!D39</f>
        <v>5128</v>
      </c>
      <c r="H37" s="830">
        <f>民間設備投資計!D39</f>
        <v>39520</v>
      </c>
      <c r="I37" s="830">
        <f>民間在庫品増加!D39</f>
        <v>612</v>
      </c>
      <c r="J37" s="830">
        <f>公的投資!D39</f>
        <v>5266</v>
      </c>
      <c r="K37" s="856">
        <f t="shared" si="8"/>
        <v>157472</v>
      </c>
      <c r="L37" s="856">
        <f t="shared" si="9"/>
        <v>36975</v>
      </c>
      <c r="M37" s="830">
        <f>+移出入推計WS!O39+移出入推計WS!Q39+移出入推計WS!R39</f>
        <v>188195</v>
      </c>
      <c r="N37" s="830">
        <f>移出入推計WS!P39</f>
        <v>139989</v>
      </c>
      <c r="O37" s="831">
        <f t="shared" si="10"/>
        <v>-11231</v>
      </c>
      <c r="P37" s="293">
        <v>220</v>
      </c>
      <c r="Q37" s="293"/>
      <c r="R37" s="49">
        <f t="shared" si="11"/>
        <v>194447</v>
      </c>
      <c r="S37" s="49">
        <f t="shared" si="12"/>
        <v>0</v>
      </c>
      <c r="U37" s="49">
        <f>民間設備製造1!D39</f>
        <v>21304</v>
      </c>
      <c r="V37" s="49">
        <f t="shared" si="13"/>
        <v>138644</v>
      </c>
    </row>
    <row r="38" spans="1:22">
      <c r="A38" s="300">
        <v>228</v>
      </c>
      <c r="B38" s="90" t="s">
        <v>239</v>
      </c>
      <c r="C38" s="829">
        <f>'２次調整'!V40</f>
        <v>240348</v>
      </c>
      <c r="D38" s="830">
        <f>民間消費!D40</f>
        <v>79733</v>
      </c>
      <c r="E38" s="830">
        <f>政府消費!D40</f>
        <v>16776</v>
      </c>
      <c r="F38" s="830">
        <f t="shared" si="7"/>
        <v>69257</v>
      </c>
      <c r="G38" s="830">
        <f>民間住宅1!D40</f>
        <v>10087</v>
      </c>
      <c r="H38" s="830">
        <f>民間設備投資計!D40</f>
        <v>58510</v>
      </c>
      <c r="I38" s="830">
        <f>民間在庫品増加!D40</f>
        <v>660</v>
      </c>
      <c r="J38" s="830">
        <f>公的投資!D40</f>
        <v>4075</v>
      </c>
      <c r="K38" s="856">
        <f t="shared" si="8"/>
        <v>169841</v>
      </c>
      <c r="L38" s="856">
        <f t="shared" si="9"/>
        <v>70507</v>
      </c>
      <c r="M38" s="830">
        <f>+移出入推計WS!O40+移出入推計WS!Q40+移出入推計WS!R40</f>
        <v>230209</v>
      </c>
      <c r="N38" s="830">
        <f>移出入推計WS!P40</f>
        <v>150984</v>
      </c>
      <c r="O38" s="831">
        <f t="shared" si="10"/>
        <v>-8718</v>
      </c>
      <c r="P38" s="293">
        <v>228</v>
      </c>
      <c r="Q38" s="293"/>
      <c r="R38" s="49">
        <f t="shared" si="11"/>
        <v>240348</v>
      </c>
      <c r="S38" s="49">
        <f t="shared" si="12"/>
        <v>0</v>
      </c>
      <c r="U38" s="49">
        <f>民間設備製造1!D40</f>
        <v>38863</v>
      </c>
      <c r="V38" s="49">
        <f t="shared" si="13"/>
        <v>149534</v>
      </c>
    </row>
    <row r="39" spans="1:22">
      <c r="A39" s="302">
        <v>365</v>
      </c>
      <c r="B39" s="201" t="s">
        <v>233</v>
      </c>
      <c r="C39" s="836">
        <f>'２次調整'!V41</f>
        <v>62480</v>
      </c>
      <c r="D39" s="837">
        <f>民間消費!D41</f>
        <v>40088</v>
      </c>
      <c r="E39" s="837">
        <f>政府消費!D41</f>
        <v>11822</v>
      </c>
      <c r="F39" s="837">
        <f t="shared" si="7"/>
        <v>10710</v>
      </c>
      <c r="G39" s="837">
        <f>民間住宅1!D41</f>
        <v>1589</v>
      </c>
      <c r="H39" s="837">
        <f>民間設備投資計!D41</f>
        <v>8868</v>
      </c>
      <c r="I39" s="837">
        <f>民間在庫品増加!D41</f>
        <v>253</v>
      </c>
      <c r="J39" s="837">
        <f>公的投資!D41</f>
        <v>2443</v>
      </c>
      <c r="K39" s="858">
        <f t="shared" si="8"/>
        <v>65063</v>
      </c>
      <c r="L39" s="858">
        <f t="shared" si="9"/>
        <v>-2583</v>
      </c>
      <c r="M39" s="837">
        <f>+移出入推計WS!O41+移出入推計WS!Q41+移出入推計WS!R41</f>
        <v>64655</v>
      </c>
      <c r="N39" s="837">
        <f>移出入推計WS!P41</f>
        <v>57839</v>
      </c>
      <c r="O39" s="835">
        <f t="shared" si="10"/>
        <v>-9399</v>
      </c>
      <c r="P39" s="293">
        <v>365</v>
      </c>
      <c r="Q39" s="293"/>
      <c r="R39" s="49">
        <f t="shared" si="11"/>
        <v>62480</v>
      </c>
      <c r="S39" s="49">
        <f t="shared" si="12"/>
        <v>0</v>
      </c>
      <c r="U39" s="49">
        <f>民間設備製造1!D41</f>
        <v>1342</v>
      </c>
      <c r="V39" s="49">
        <f t="shared" si="13"/>
        <v>57284</v>
      </c>
    </row>
    <row r="40" spans="1:22">
      <c r="A40" s="300">
        <v>5</v>
      </c>
      <c r="B40" s="91" t="s">
        <v>202</v>
      </c>
      <c r="C40" s="829">
        <f>'２次調整'!V42</f>
        <v>2479569</v>
      </c>
      <c r="D40" s="830">
        <f>民間消費!D42</f>
        <v>1263513</v>
      </c>
      <c r="E40" s="830">
        <f>政府消費!D42</f>
        <v>184400</v>
      </c>
      <c r="F40" s="830">
        <f t="shared" si="7"/>
        <v>619778</v>
      </c>
      <c r="G40" s="830">
        <f>民間住宅1!D42</f>
        <v>104494</v>
      </c>
      <c r="H40" s="830">
        <f>民間設備投資計!D42</f>
        <v>506834</v>
      </c>
      <c r="I40" s="830">
        <f>民間在庫品増加!D42</f>
        <v>8450</v>
      </c>
      <c r="J40" s="830">
        <f>公的投資!D42</f>
        <v>105463</v>
      </c>
      <c r="K40" s="856">
        <f t="shared" si="8"/>
        <v>2173154</v>
      </c>
      <c r="L40" s="856">
        <f t="shared" si="9"/>
        <v>306415</v>
      </c>
      <c r="M40" s="830">
        <f>+移出入推計WS!O42+移出入推計WS!Q42+移出入推計WS!R42</f>
        <v>2382272</v>
      </c>
      <c r="N40" s="830">
        <f>移出入推計WS!P42</f>
        <v>1931881</v>
      </c>
      <c r="O40" s="828">
        <f t="shared" si="10"/>
        <v>-143976</v>
      </c>
      <c r="P40" s="293">
        <v>5</v>
      </c>
      <c r="Q40" s="293"/>
      <c r="R40" s="49">
        <f t="shared" si="11"/>
        <v>2479569</v>
      </c>
      <c r="S40" s="49">
        <f t="shared" si="12"/>
        <v>0</v>
      </c>
      <c r="U40" s="49">
        <f>民間設備製造1!D42</f>
        <v>255451</v>
      </c>
      <c r="V40" s="49">
        <f t="shared" si="13"/>
        <v>1913321</v>
      </c>
    </row>
    <row r="41" spans="1:22">
      <c r="A41" s="300">
        <v>201</v>
      </c>
      <c r="B41" s="92" t="s">
        <v>240</v>
      </c>
      <c r="C41" s="829">
        <f>'２次調整'!V43</f>
        <v>2265006</v>
      </c>
      <c r="D41" s="830">
        <f>民間消費!D43</f>
        <v>1177204</v>
      </c>
      <c r="E41" s="830">
        <f>政府消費!D43</f>
        <v>164496</v>
      </c>
      <c r="F41" s="830">
        <f t="shared" si="7"/>
        <v>577743</v>
      </c>
      <c r="G41" s="830">
        <f>民間住宅1!D43</f>
        <v>98348</v>
      </c>
      <c r="H41" s="830">
        <f>民間設備投資計!D43</f>
        <v>471533</v>
      </c>
      <c r="I41" s="830">
        <f>民間在庫品増加!D43</f>
        <v>7862</v>
      </c>
      <c r="J41" s="830">
        <f>公的投資!D43</f>
        <v>102553</v>
      </c>
      <c r="K41" s="856">
        <f t="shared" si="8"/>
        <v>2021996</v>
      </c>
      <c r="L41" s="856">
        <f t="shared" si="9"/>
        <v>243010</v>
      </c>
      <c r="M41" s="830">
        <f>+移出入推計WS!O43+移出入推計WS!Q43+移出入推計WS!R43</f>
        <v>2173583</v>
      </c>
      <c r="N41" s="830">
        <f>移出入推計WS!P43</f>
        <v>1797505</v>
      </c>
      <c r="O41" s="831">
        <f t="shared" si="10"/>
        <v>-133068</v>
      </c>
      <c r="P41" s="293">
        <v>201</v>
      </c>
      <c r="Q41" s="293"/>
      <c r="R41" s="49">
        <f t="shared" si="11"/>
        <v>2265006</v>
      </c>
      <c r="S41" s="49">
        <f t="shared" si="12"/>
        <v>0</v>
      </c>
      <c r="U41" s="49">
        <f>民間設備製造1!D43</f>
        <v>237635</v>
      </c>
      <c r="V41" s="49">
        <f t="shared" si="13"/>
        <v>1780236</v>
      </c>
    </row>
    <row r="42" spans="1:22">
      <c r="A42" s="300">
        <v>442</v>
      </c>
      <c r="B42" s="90" t="s">
        <v>203</v>
      </c>
      <c r="C42" s="829">
        <f>'２次調整'!V44</f>
        <v>39156</v>
      </c>
      <c r="D42" s="830">
        <f>民間消費!D44</f>
        <v>25637</v>
      </c>
      <c r="E42" s="830">
        <f>政府消費!D44</f>
        <v>5657</v>
      </c>
      <c r="F42" s="830">
        <f t="shared" si="7"/>
        <v>7553</v>
      </c>
      <c r="G42" s="830">
        <f>民間住宅1!D44</f>
        <v>1166</v>
      </c>
      <c r="H42" s="830">
        <f>民間設備投資計!D44</f>
        <v>6234</v>
      </c>
      <c r="I42" s="830">
        <f>民間在庫品増加!D44</f>
        <v>153</v>
      </c>
      <c r="J42" s="830">
        <f>公的投資!D44</f>
        <v>408</v>
      </c>
      <c r="K42" s="856">
        <f t="shared" si="8"/>
        <v>39255</v>
      </c>
      <c r="L42" s="856">
        <f t="shared" si="9"/>
        <v>-99</v>
      </c>
      <c r="M42" s="830">
        <f>+移出入推計WS!O44+移出入推計WS!Q44+移出入推計WS!R44</f>
        <v>39390</v>
      </c>
      <c r="N42" s="830">
        <f>移出入推計WS!P44</f>
        <v>34897</v>
      </c>
      <c r="O42" s="831">
        <f t="shared" si="10"/>
        <v>-4592</v>
      </c>
      <c r="P42" s="293">
        <v>442</v>
      </c>
      <c r="Q42" s="293"/>
      <c r="R42" s="49">
        <f t="shared" si="11"/>
        <v>39156</v>
      </c>
      <c r="S42" s="49">
        <f t="shared" si="12"/>
        <v>0</v>
      </c>
      <c r="U42" s="49">
        <f>民間設備製造1!D44</f>
        <v>1693</v>
      </c>
      <c r="V42" s="49">
        <f t="shared" si="13"/>
        <v>34561</v>
      </c>
    </row>
    <row r="43" spans="1:22">
      <c r="A43" s="300">
        <v>443</v>
      </c>
      <c r="B43" s="90" t="s">
        <v>204</v>
      </c>
      <c r="C43" s="829">
        <f>'２次調整'!V45</f>
        <v>143204</v>
      </c>
      <c r="D43" s="830">
        <f>民間消費!D45</f>
        <v>38400</v>
      </c>
      <c r="E43" s="830">
        <f>政府消費!D45</f>
        <v>6774</v>
      </c>
      <c r="F43" s="830">
        <f t="shared" si="7"/>
        <v>20880</v>
      </c>
      <c r="G43" s="830">
        <f>民間住宅1!D45</f>
        <v>4514</v>
      </c>
      <c r="H43" s="830">
        <f>民間設備投資計!D45</f>
        <v>16105</v>
      </c>
      <c r="I43" s="830">
        <f>民間在庫品増加!D45</f>
        <v>261</v>
      </c>
      <c r="J43" s="830">
        <f>公的投資!D45</f>
        <v>1111</v>
      </c>
      <c r="K43" s="856">
        <f t="shared" si="8"/>
        <v>67165</v>
      </c>
      <c r="L43" s="856">
        <f t="shared" si="9"/>
        <v>76039</v>
      </c>
      <c r="M43" s="830">
        <f>+移出入推計WS!O45+移出入推計WS!Q45+移出入推計WS!R45</f>
        <v>135085</v>
      </c>
      <c r="N43" s="830">
        <f>移出入推計WS!P45</f>
        <v>59708</v>
      </c>
      <c r="O43" s="831">
        <f t="shared" si="10"/>
        <v>662</v>
      </c>
      <c r="P43" s="293">
        <v>443</v>
      </c>
      <c r="Q43" s="293"/>
      <c r="R43" s="49">
        <f t="shared" si="11"/>
        <v>143204</v>
      </c>
      <c r="S43" s="49">
        <f t="shared" si="12"/>
        <v>0</v>
      </c>
      <c r="U43" s="49">
        <f>民間設備製造1!D45</f>
        <v>8336</v>
      </c>
      <c r="V43" s="49">
        <f t="shared" si="13"/>
        <v>59135</v>
      </c>
    </row>
    <row r="44" spans="1:22">
      <c r="A44" s="300">
        <v>446</v>
      </c>
      <c r="B44" s="90" t="s">
        <v>234</v>
      </c>
      <c r="C44" s="829">
        <f>'２次調整'!V46</f>
        <v>32203</v>
      </c>
      <c r="D44" s="830">
        <f>民間消費!D46</f>
        <v>22272</v>
      </c>
      <c r="E44" s="830">
        <f>政府消費!D46</f>
        <v>7473</v>
      </c>
      <c r="F44" s="830">
        <f t="shared" si="7"/>
        <v>13602</v>
      </c>
      <c r="G44" s="830">
        <f>民間住宅1!D46</f>
        <v>466</v>
      </c>
      <c r="H44" s="830">
        <f>民間設備投資計!D46</f>
        <v>12962</v>
      </c>
      <c r="I44" s="830">
        <f>民間在庫品増加!D46</f>
        <v>174</v>
      </c>
      <c r="J44" s="830">
        <f>公的投資!D46</f>
        <v>1391</v>
      </c>
      <c r="K44" s="856">
        <f t="shared" si="8"/>
        <v>44738</v>
      </c>
      <c r="L44" s="856">
        <f t="shared" si="9"/>
        <v>-12535</v>
      </c>
      <c r="M44" s="830">
        <f>+移出入推計WS!O46+移出入推計WS!Q46+移出入推計WS!R46</f>
        <v>34214</v>
      </c>
      <c r="N44" s="830">
        <f>移出入推計WS!P46</f>
        <v>39771</v>
      </c>
      <c r="O44" s="835">
        <f t="shared" si="10"/>
        <v>-6978</v>
      </c>
      <c r="P44" s="293">
        <v>446</v>
      </c>
      <c r="Q44" s="293"/>
      <c r="R44" s="49">
        <f t="shared" si="11"/>
        <v>32203</v>
      </c>
      <c r="S44" s="49">
        <f t="shared" si="12"/>
        <v>0</v>
      </c>
      <c r="U44" s="49">
        <f>民間設備製造1!D46</f>
        <v>7787</v>
      </c>
      <c r="V44" s="49">
        <f t="shared" si="13"/>
        <v>39389</v>
      </c>
    </row>
    <row r="45" spans="1:22">
      <c r="A45" s="301">
        <v>6</v>
      </c>
      <c r="B45" s="306" t="s">
        <v>205</v>
      </c>
      <c r="C45" s="826">
        <f>'２次調整'!V47</f>
        <v>954876</v>
      </c>
      <c r="D45" s="827">
        <f>民間消費!D47</f>
        <v>550346</v>
      </c>
      <c r="E45" s="827">
        <f>政府消費!D47</f>
        <v>110055</v>
      </c>
      <c r="F45" s="827">
        <f t="shared" si="7"/>
        <v>224661</v>
      </c>
      <c r="G45" s="827">
        <f>民間住宅1!D47</f>
        <v>37062</v>
      </c>
      <c r="H45" s="827">
        <f>民間設備投資計!D47</f>
        <v>184015</v>
      </c>
      <c r="I45" s="827">
        <f>民間在庫品増加!D47</f>
        <v>3584</v>
      </c>
      <c r="J45" s="827">
        <f>公的投資!D47</f>
        <v>36439</v>
      </c>
      <c r="K45" s="855">
        <f t="shared" si="8"/>
        <v>921501</v>
      </c>
      <c r="L45" s="855">
        <f t="shared" si="9"/>
        <v>33375</v>
      </c>
      <c r="M45" s="827">
        <f>+移出入推計WS!O47+移出入推計WS!Q47+移出入推計WS!R47</f>
        <v>942585</v>
      </c>
      <c r="N45" s="827">
        <f>移出入推計WS!P47</f>
        <v>819193</v>
      </c>
      <c r="O45" s="828">
        <f t="shared" si="10"/>
        <v>-90017</v>
      </c>
      <c r="P45" s="293">
        <v>6</v>
      </c>
      <c r="Q45" s="293"/>
      <c r="R45" s="49">
        <f t="shared" si="11"/>
        <v>954876</v>
      </c>
      <c r="S45" s="49">
        <f t="shared" si="12"/>
        <v>0</v>
      </c>
      <c r="U45" s="49">
        <f>民間設備製造1!D47</f>
        <v>77418</v>
      </c>
      <c r="V45" s="49">
        <f t="shared" si="13"/>
        <v>811320</v>
      </c>
    </row>
    <row r="46" spans="1:22">
      <c r="A46" s="300">
        <v>208</v>
      </c>
      <c r="B46" s="90" t="s">
        <v>206</v>
      </c>
      <c r="C46" s="829">
        <f>'２次調整'!V48</f>
        <v>129353</v>
      </c>
      <c r="D46" s="830">
        <f>民間消費!D48</f>
        <v>70467</v>
      </c>
      <c r="E46" s="830">
        <f>政府消費!D48</f>
        <v>11657</v>
      </c>
      <c r="F46" s="830">
        <f t="shared" si="7"/>
        <v>23793</v>
      </c>
      <c r="G46" s="830">
        <f>民間住宅1!D48</f>
        <v>5107</v>
      </c>
      <c r="H46" s="830">
        <f>民間設備投資計!D48</f>
        <v>18257</v>
      </c>
      <c r="I46" s="830">
        <f>民間在庫品増加!D48</f>
        <v>429</v>
      </c>
      <c r="J46" s="830">
        <f>公的投資!D48</f>
        <v>4413</v>
      </c>
      <c r="K46" s="856">
        <f t="shared" si="8"/>
        <v>110330</v>
      </c>
      <c r="L46" s="856">
        <f t="shared" si="9"/>
        <v>19023</v>
      </c>
      <c r="M46" s="830">
        <f>+移出入推計WS!O48+移出入推計WS!Q48+移出入推計WS!R48</f>
        <v>125591</v>
      </c>
      <c r="N46" s="830">
        <f>移出入推計WS!P48</f>
        <v>98081</v>
      </c>
      <c r="O46" s="831">
        <f t="shared" si="10"/>
        <v>-8487</v>
      </c>
      <c r="P46" s="293">
        <v>208</v>
      </c>
      <c r="Q46" s="293"/>
      <c r="R46" s="49">
        <f t="shared" si="11"/>
        <v>129353</v>
      </c>
      <c r="S46" s="49">
        <f t="shared" si="12"/>
        <v>0</v>
      </c>
      <c r="U46" s="49">
        <f>民間設備製造1!D48</f>
        <v>5494</v>
      </c>
      <c r="V46" s="49">
        <f t="shared" si="13"/>
        <v>97138</v>
      </c>
    </row>
    <row r="47" spans="1:22">
      <c r="A47" s="300">
        <v>212</v>
      </c>
      <c r="B47" s="90" t="s">
        <v>207</v>
      </c>
      <c r="C47" s="829">
        <f>'２次調整'!V49</f>
        <v>185377</v>
      </c>
      <c r="D47" s="830">
        <f>民間消費!D49</f>
        <v>109036</v>
      </c>
      <c r="E47" s="830">
        <f>政府消費!D49</f>
        <v>19075</v>
      </c>
      <c r="F47" s="830">
        <f t="shared" si="7"/>
        <v>46940</v>
      </c>
      <c r="G47" s="830">
        <f>民間住宅1!D49</f>
        <v>6675</v>
      </c>
      <c r="H47" s="830">
        <f>民間設備投資計!D49</f>
        <v>39561</v>
      </c>
      <c r="I47" s="830">
        <f>民間在庫品増加!D49</f>
        <v>704</v>
      </c>
      <c r="J47" s="830">
        <f>公的投資!D49</f>
        <v>5955</v>
      </c>
      <c r="K47" s="856">
        <f t="shared" si="8"/>
        <v>181006</v>
      </c>
      <c r="L47" s="856">
        <f t="shared" si="9"/>
        <v>4371</v>
      </c>
      <c r="M47" s="830">
        <f>+移出入推計WS!O49+移出入推計WS!Q49+移出入推計WS!R49</f>
        <v>181514</v>
      </c>
      <c r="N47" s="830">
        <f>移出入推計WS!P49</f>
        <v>160910</v>
      </c>
      <c r="O47" s="831">
        <f t="shared" si="10"/>
        <v>-16233</v>
      </c>
      <c r="P47" s="293">
        <v>212</v>
      </c>
      <c r="Q47" s="293"/>
      <c r="R47" s="49">
        <f t="shared" si="11"/>
        <v>185377</v>
      </c>
      <c r="S47" s="49">
        <f t="shared" si="12"/>
        <v>0</v>
      </c>
      <c r="U47" s="49">
        <f>民間設備製造1!D49</f>
        <v>18623</v>
      </c>
      <c r="V47" s="49">
        <f t="shared" si="13"/>
        <v>159364</v>
      </c>
    </row>
    <row r="48" spans="1:22">
      <c r="A48" s="300">
        <v>227</v>
      </c>
      <c r="B48" s="90" t="s">
        <v>219</v>
      </c>
      <c r="C48" s="829">
        <f>'２次調整'!V50</f>
        <v>123297</v>
      </c>
      <c r="D48" s="830">
        <f>民間消費!D50</f>
        <v>77435</v>
      </c>
      <c r="E48" s="830">
        <f>政府消費!D50</f>
        <v>20744</v>
      </c>
      <c r="F48" s="830">
        <f t="shared" ref="F48:F65" si="14">G48+H48+I48</f>
        <v>20677</v>
      </c>
      <c r="G48" s="830">
        <f>民間住宅1!D50</f>
        <v>3454</v>
      </c>
      <c r="H48" s="830">
        <f>民間設備投資計!D50</f>
        <v>16743</v>
      </c>
      <c r="I48" s="830">
        <f>民間在庫品増加!D50</f>
        <v>480</v>
      </c>
      <c r="J48" s="830">
        <f>公的投資!D50</f>
        <v>4580</v>
      </c>
      <c r="K48" s="856">
        <f t="shared" ref="K48:K65" si="15">D48+E48+F48+J48</f>
        <v>123436</v>
      </c>
      <c r="L48" s="856">
        <f t="shared" si="9"/>
        <v>-139</v>
      </c>
      <c r="M48" s="830">
        <f>+移出入推計WS!O50+移出入推計WS!Q50+移出入推計WS!R50</f>
        <v>125922</v>
      </c>
      <c r="N48" s="830">
        <f>移出入推計WS!P50</f>
        <v>109732</v>
      </c>
      <c r="O48" s="831">
        <f t="shared" ref="O48:O65" si="16">L48-(M48-N48)</f>
        <v>-16329</v>
      </c>
      <c r="P48" s="293">
        <v>227</v>
      </c>
      <c r="Q48" s="293"/>
      <c r="R48" s="49">
        <f t="shared" ref="R48:R65" si="17">D48+E48+F48+J48+L48</f>
        <v>123297</v>
      </c>
      <c r="S48" s="49">
        <f t="shared" ref="S48:S65" si="18">R48-C48</f>
        <v>0</v>
      </c>
      <c r="U48" s="49">
        <f>民間設備製造1!D50</f>
        <v>2464</v>
      </c>
      <c r="V48" s="49">
        <f t="shared" si="13"/>
        <v>108677</v>
      </c>
    </row>
    <row r="49" spans="1:22">
      <c r="A49" s="300">
        <v>229</v>
      </c>
      <c r="B49" s="90" t="s">
        <v>235</v>
      </c>
      <c r="C49" s="829">
        <f>'２次調整'!V51</f>
        <v>306774</v>
      </c>
      <c r="D49" s="830">
        <f>民間消費!D51</f>
        <v>154065</v>
      </c>
      <c r="E49" s="830">
        <f>政府消費!D51</f>
        <v>30268</v>
      </c>
      <c r="F49" s="830">
        <f t="shared" si="14"/>
        <v>78882</v>
      </c>
      <c r="G49" s="830">
        <f>民間住宅1!D51</f>
        <v>12015</v>
      </c>
      <c r="H49" s="830">
        <f>民間設備投資計!D51</f>
        <v>65795</v>
      </c>
      <c r="I49" s="830">
        <f>民間在庫品増加!D51</f>
        <v>1072</v>
      </c>
      <c r="J49" s="830">
        <f>公的投資!D51</f>
        <v>12404</v>
      </c>
      <c r="K49" s="856">
        <f t="shared" si="15"/>
        <v>275619</v>
      </c>
      <c r="L49" s="856">
        <f t="shared" si="9"/>
        <v>31155</v>
      </c>
      <c r="M49" s="830">
        <f>+移出入推計WS!O51+移出入推計WS!Q51+移出入推計WS!R51</f>
        <v>299543</v>
      </c>
      <c r="N49" s="830">
        <f>移出入推計WS!P51</f>
        <v>245019</v>
      </c>
      <c r="O49" s="831">
        <f t="shared" si="16"/>
        <v>-23369</v>
      </c>
      <c r="P49" s="293">
        <v>229</v>
      </c>
      <c r="Q49" s="293"/>
      <c r="R49" s="49">
        <f t="shared" si="17"/>
        <v>306774</v>
      </c>
      <c r="S49" s="49">
        <f t="shared" si="18"/>
        <v>0</v>
      </c>
      <c r="U49" s="49">
        <f>民間設備製造1!D51</f>
        <v>33912</v>
      </c>
      <c r="V49" s="49">
        <f t="shared" si="13"/>
        <v>242664</v>
      </c>
    </row>
    <row r="50" spans="1:22">
      <c r="A50" s="300">
        <v>464</v>
      </c>
      <c r="B50" s="90" t="s">
        <v>208</v>
      </c>
      <c r="C50" s="829">
        <f>'２次調整'!V52</f>
        <v>106706</v>
      </c>
      <c r="D50" s="830">
        <f>民間消費!D52</f>
        <v>65960</v>
      </c>
      <c r="E50" s="830">
        <f>政府消費!D52</f>
        <v>7675</v>
      </c>
      <c r="F50" s="830">
        <f t="shared" si="14"/>
        <v>34550</v>
      </c>
      <c r="G50" s="830">
        <f>民間住宅1!D52</f>
        <v>6463</v>
      </c>
      <c r="H50" s="830">
        <f>民間設備投資計!D52</f>
        <v>27656</v>
      </c>
      <c r="I50" s="830">
        <f>民間在庫品増加!D52</f>
        <v>431</v>
      </c>
      <c r="J50" s="830">
        <f>公的投資!D52</f>
        <v>2707</v>
      </c>
      <c r="K50" s="856">
        <f t="shared" si="15"/>
        <v>110892</v>
      </c>
      <c r="L50" s="856">
        <f t="shared" si="9"/>
        <v>-4186</v>
      </c>
      <c r="M50" s="830">
        <f>+移出入推計WS!O52+移出入推計WS!Q52+移出入推計WS!R52</f>
        <v>102351</v>
      </c>
      <c r="N50" s="830">
        <f>移出入推計WS!P52</f>
        <v>98580</v>
      </c>
      <c r="O50" s="831">
        <f t="shared" si="16"/>
        <v>-7957</v>
      </c>
      <c r="P50" s="293">
        <v>464</v>
      </c>
      <c r="Q50" s="293"/>
      <c r="R50" s="49">
        <f t="shared" si="17"/>
        <v>106706</v>
      </c>
      <c r="S50" s="49">
        <f t="shared" si="18"/>
        <v>0</v>
      </c>
      <c r="U50" s="49">
        <f>民間設備製造1!D52</f>
        <v>14828</v>
      </c>
      <c r="V50" s="49">
        <f t="shared" si="13"/>
        <v>97633</v>
      </c>
    </row>
    <row r="51" spans="1:22">
      <c r="A51" s="300">
        <v>481</v>
      </c>
      <c r="B51" s="90" t="s">
        <v>209</v>
      </c>
      <c r="C51" s="829">
        <f>'２次調整'!V53</f>
        <v>45239</v>
      </c>
      <c r="D51" s="830">
        <f>民間消費!D53</f>
        <v>34715</v>
      </c>
      <c r="E51" s="830">
        <f>政府消費!D53</f>
        <v>6690</v>
      </c>
      <c r="F51" s="830">
        <f t="shared" si="14"/>
        <v>10529</v>
      </c>
      <c r="G51" s="830">
        <f>民間住宅1!D53</f>
        <v>2543</v>
      </c>
      <c r="H51" s="830">
        <f>民間設備投資計!D53</f>
        <v>7769</v>
      </c>
      <c r="I51" s="830">
        <f>民間在庫品増加!D53</f>
        <v>217</v>
      </c>
      <c r="J51" s="830">
        <f>公的投資!D53</f>
        <v>3749</v>
      </c>
      <c r="K51" s="856">
        <f t="shared" si="15"/>
        <v>55683</v>
      </c>
      <c r="L51" s="856">
        <f t="shared" si="9"/>
        <v>-10444</v>
      </c>
      <c r="M51" s="830">
        <f>+移出入推計WS!O53+移出入推計WS!Q53+移出入推計WS!R53</f>
        <v>45609</v>
      </c>
      <c r="N51" s="830">
        <f>移出入推計WS!P53</f>
        <v>49501</v>
      </c>
      <c r="O51" s="831">
        <f t="shared" si="16"/>
        <v>-6552</v>
      </c>
      <c r="P51" s="293">
        <v>481</v>
      </c>
      <c r="Q51" s="293"/>
      <c r="R51" s="49">
        <f t="shared" si="17"/>
        <v>45239</v>
      </c>
      <c r="S51" s="49">
        <f t="shared" si="18"/>
        <v>0</v>
      </c>
      <c r="U51" s="49">
        <f>民間設備製造1!D53</f>
        <v>1328</v>
      </c>
      <c r="V51" s="49">
        <f t="shared" si="13"/>
        <v>49025</v>
      </c>
    </row>
    <row r="52" spans="1:22">
      <c r="A52" s="302">
        <v>501</v>
      </c>
      <c r="B52" s="201" t="s">
        <v>236</v>
      </c>
      <c r="C52" s="836">
        <f>'２次調整'!V54</f>
        <v>58130</v>
      </c>
      <c r="D52" s="837">
        <f>民間消費!D54</f>
        <v>38668</v>
      </c>
      <c r="E52" s="837">
        <f>政府消費!D54</f>
        <v>13946</v>
      </c>
      <c r="F52" s="837">
        <f t="shared" si="14"/>
        <v>9290</v>
      </c>
      <c r="G52" s="837">
        <f>民間住宅1!D54</f>
        <v>805</v>
      </c>
      <c r="H52" s="837">
        <f>民間設備投資計!D54</f>
        <v>8234</v>
      </c>
      <c r="I52" s="837">
        <f>民間在庫品増加!D54</f>
        <v>251</v>
      </c>
      <c r="J52" s="837">
        <f>公的投資!D54</f>
        <v>2631</v>
      </c>
      <c r="K52" s="858">
        <f t="shared" si="15"/>
        <v>64535</v>
      </c>
      <c r="L52" s="858">
        <f t="shared" si="9"/>
        <v>-6405</v>
      </c>
      <c r="M52" s="837">
        <f>+移出入推計WS!O54+移出入推計WS!Q54+移出入推計WS!R54</f>
        <v>62055</v>
      </c>
      <c r="N52" s="837">
        <f>移出入推計WS!P54</f>
        <v>57370</v>
      </c>
      <c r="O52" s="835">
        <f t="shared" si="16"/>
        <v>-11090</v>
      </c>
      <c r="P52" s="293">
        <v>501</v>
      </c>
      <c r="Q52" s="293"/>
      <c r="R52" s="49">
        <f t="shared" si="17"/>
        <v>58130</v>
      </c>
      <c r="S52" s="49">
        <f t="shared" si="18"/>
        <v>0</v>
      </c>
      <c r="U52" s="49">
        <f>民間設備製造1!D54</f>
        <v>769</v>
      </c>
      <c r="V52" s="49">
        <f t="shared" si="13"/>
        <v>56819</v>
      </c>
    </row>
    <row r="53" spans="1:22">
      <c r="A53" s="300">
        <v>7</v>
      </c>
      <c r="B53" s="93" t="s">
        <v>210</v>
      </c>
      <c r="C53" s="829">
        <f>'２次調整'!V55</f>
        <v>610343</v>
      </c>
      <c r="D53" s="830">
        <f>民間消費!D55</f>
        <v>411721</v>
      </c>
      <c r="E53" s="830">
        <f>政府消費!D55</f>
        <v>96050</v>
      </c>
      <c r="F53" s="830">
        <f t="shared" si="14"/>
        <v>116217</v>
      </c>
      <c r="G53" s="830">
        <f>民間住宅1!D55</f>
        <v>16954</v>
      </c>
      <c r="H53" s="830">
        <f>民間設備投資計!D55</f>
        <v>96742</v>
      </c>
      <c r="I53" s="830">
        <f>民間在庫品増加!D55</f>
        <v>2521</v>
      </c>
      <c r="J53" s="830">
        <f>公的投資!D55</f>
        <v>24596</v>
      </c>
      <c r="K53" s="856">
        <f t="shared" si="15"/>
        <v>648584</v>
      </c>
      <c r="L53" s="856">
        <f t="shared" si="9"/>
        <v>-38241</v>
      </c>
      <c r="M53" s="830">
        <f>+移出入推計WS!O55+移出入推計WS!Q55+移出入推計WS!R55</f>
        <v>619061</v>
      </c>
      <c r="N53" s="830">
        <f>移出入推計WS!P55</f>
        <v>576575</v>
      </c>
      <c r="O53" s="828">
        <f t="shared" si="16"/>
        <v>-80727</v>
      </c>
      <c r="P53" s="293">
        <v>7</v>
      </c>
      <c r="Q53" s="293"/>
      <c r="R53" s="49">
        <f t="shared" si="17"/>
        <v>610343</v>
      </c>
      <c r="S53" s="49">
        <f t="shared" si="18"/>
        <v>0</v>
      </c>
      <c r="U53" s="49">
        <f>民間設備製造1!D55</f>
        <v>21715</v>
      </c>
      <c r="V53" s="49">
        <f t="shared" si="13"/>
        <v>571036</v>
      </c>
    </row>
    <row r="54" spans="1:22">
      <c r="A54" s="300">
        <v>209</v>
      </c>
      <c r="B54" s="90" t="s">
        <v>221</v>
      </c>
      <c r="C54" s="829">
        <f>'２次調整'!V56</f>
        <v>296942</v>
      </c>
      <c r="D54" s="830">
        <f>民間消費!D56</f>
        <v>194585</v>
      </c>
      <c r="E54" s="830">
        <f>政府消費!D56</f>
        <v>40554</v>
      </c>
      <c r="F54" s="830">
        <f t="shared" si="14"/>
        <v>53106</v>
      </c>
      <c r="G54" s="830">
        <f>民間住宅1!D56</f>
        <v>9812</v>
      </c>
      <c r="H54" s="830">
        <f>民間設備投資計!D56</f>
        <v>42124</v>
      </c>
      <c r="I54" s="830">
        <f>民間在庫品増加!D56</f>
        <v>1170</v>
      </c>
      <c r="J54" s="830">
        <f>公的投資!D56</f>
        <v>12574</v>
      </c>
      <c r="K54" s="856">
        <f t="shared" si="15"/>
        <v>300819</v>
      </c>
      <c r="L54" s="856">
        <f t="shared" si="9"/>
        <v>-3877</v>
      </c>
      <c r="M54" s="830">
        <f>+移出入推計WS!O56+移出入推計WS!Q56+移出入推計WS!R56</f>
        <v>297201</v>
      </c>
      <c r="N54" s="830">
        <f>移出入推計WS!P56</f>
        <v>267421</v>
      </c>
      <c r="O54" s="831">
        <f t="shared" si="16"/>
        <v>-33657</v>
      </c>
      <c r="P54" s="293">
        <v>209</v>
      </c>
      <c r="Q54" s="293"/>
      <c r="R54" s="49">
        <f t="shared" si="17"/>
        <v>296942</v>
      </c>
      <c r="S54" s="49">
        <f t="shared" si="18"/>
        <v>0</v>
      </c>
      <c r="U54" s="49">
        <f>民間設備製造1!D56</f>
        <v>7326</v>
      </c>
      <c r="V54" s="49">
        <f t="shared" si="13"/>
        <v>264851</v>
      </c>
    </row>
    <row r="55" spans="1:22">
      <c r="A55" s="300">
        <v>222</v>
      </c>
      <c r="B55" s="90" t="s">
        <v>218</v>
      </c>
      <c r="C55" s="829">
        <f>'２次調整'!V57</f>
        <v>84860</v>
      </c>
      <c r="D55" s="830">
        <f>民間消費!D57</f>
        <v>59920</v>
      </c>
      <c r="E55" s="830">
        <f>政府消費!D57</f>
        <v>15046</v>
      </c>
      <c r="F55" s="830">
        <f t="shared" si="14"/>
        <v>18658</v>
      </c>
      <c r="G55" s="830">
        <f>民間住宅1!D57</f>
        <v>1547</v>
      </c>
      <c r="H55" s="830">
        <f>民間設備投資計!D57</f>
        <v>16735</v>
      </c>
      <c r="I55" s="830">
        <f>民間在庫品増加!D57</f>
        <v>376</v>
      </c>
      <c r="J55" s="830">
        <f>公的投資!D57</f>
        <v>3108</v>
      </c>
      <c r="K55" s="856">
        <f t="shared" si="15"/>
        <v>96732</v>
      </c>
      <c r="L55" s="856">
        <f t="shared" si="9"/>
        <v>-11872</v>
      </c>
      <c r="M55" s="830">
        <f>+移出入推計WS!O57+移出入推計WS!Q57+移出入推計WS!R57</f>
        <v>87163</v>
      </c>
      <c r="N55" s="830">
        <f>移出入推計WS!P57</f>
        <v>85992</v>
      </c>
      <c r="O55" s="831">
        <f t="shared" si="16"/>
        <v>-13043</v>
      </c>
      <c r="P55" s="293">
        <v>222</v>
      </c>
      <c r="Q55" s="293"/>
      <c r="R55" s="49">
        <f t="shared" si="17"/>
        <v>84860</v>
      </c>
      <c r="S55" s="49">
        <f t="shared" si="18"/>
        <v>0</v>
      </c>
      <c r="U55" s="49">
        <f>民間設備製造1!D57</f>
        <v>5545</v>
      </c>
      <c r="V55" s="49">
        <f t="shared" si="13"/>
        <v>85166</v>
      </c>
    </row>
    <row r="56" spans="1:22">
      <c r="A56" s="300">
        <v>225</v>
      </c>
      <c r="B56" s="90" t="s">
        <v>222</v>
      </c>
      <c r="C56" s="829">
        <f>'２次調整'!V58</f>
        <v>127069</v>
      </c>
      <c r="D56" s="830">
        <f>民間消費!D58</f>
        <v>78031</v>
      </c>
      <c r="E56" s="830">
        <f>政府消費!D58</f>
        <v>20649</v>
      </c>
      <c r="F56" s="830">
        <f t="shared" si="14"/>
        <v>26682</v>
      </c>
      <c r="G56" s="830">
        <f>民間住宅1!D58</f>
        <v>3603</v>
      </c>
      <c r="H56" s="830">
        <f>民間設備投資計!D58</f>
        <v>22576</v>
      </c>
      <c r="I56" s="830">
        <f>民間在庫品増加!D58</f>
        <v>503</v>
      </c>
      <c r="J56" s="830">
        <f>公的投資!D58</f>
        <v>4052</v>
      </c>
      <c r="K56" s="856">
        <f t="shared" si="15"/>
        <v>129414</v>
      </c>
      <c r="L56" s="856">
        <f t="shared" si="9"/>
        <v>-2345</v>
      </c>
      <c r="M56" s="830">
        <f>+移出入推計WS!O58+移出入推計WS!Q58+移出入推計WS!R58</f>
        <v>129304</v>
      </c>
      <c r="N56" s="830">
        <f>移出入推計WS!P58</f>
        <v>115046</v>
      </c>
      <c r="O56" s="831">
        <f t="shared" si="16"/>
        <v>-16603</v>
      </c>
      <c r="P56" s="293">
        <v>225</v>
      </c>
      <c r="Q56" s="293"/>
      <c r="R56" s="49">
        <f t="shared" si="17"/>
        <v>127069</v>
      </c>
      <c r="S56" s="49">
        <f t="shared" si="18"/>
        <v>0</v>
      </c>
      <c r="U56" s="49">
        <f>民間設備製造1!D58</f>
        <v>7606</v>
      </c>
      <c r="V56" s="49">
        <f t="shared" si="13"/>
        <v>113941</v>
      </c>
    </row>
    <row r="57" spans="1:22">
      <c r="A57" s="300">
        <v>585</v>
      </c>
      <c r="B57" s="90" t="s">
        <v>220</v>
      </c>
      <c r="C57" s="829">
        <f>'２次調整'!V59</f>
        <v>58623</v>
      </c>
      <c r="D57" s="830">
        <f>民間消費!D59</f>
        <v>43151</v>
      </c>
      <c r="E57" s="830">
        <f>政府消費!D59</f>
        <v>10478</v>
      </c>
      <c r="F57" s="830">
        <f t="shared" si="14"/>
        <v>9667</v>
      </c>
      <c r="G57" s="830">
        <f>民間住宅1!D59</f>
        <v>1250</v>
      </c>
      <c r="H57" s="830">
        <f>民間設備投資計!D59</f>
        <v>8160</v>
      </c>
      <c r="I57" s="830">
        <f>民間在庫品増加!D59</f>
        <v>257</v>
      </c>
      <c r="J57" s="830">
        <f>公的投資!D59</f>
        <v>2912</v>
      </c>
      <c r="K57" s="856">
        <f t="shared" si="15"/>
        <v>66208</v>
      </c>
      <c r="L57" s="856">
        <f t="shared" si="9"/>
        <v>-7585</v>
      </c>
      <c r="M57" s="830">
        <f>+移出入推計WS!O59+移出入推計WS!Q59+移出入推計WS!R59</f>
        <v>60268</v>
      </c>
      <c r="N57" s="830">
        <f>移出入推計WS!P59</f>
        <v>58857</v>
      </c>
      <c r="O57" s="831">
        <f t="shared" si="16"/>
        <v>-8996</v>
      </c>
      <c r="P57" s="293">
        <v>585</v>
      </c>
      <c r="Q57" s="293"/>
      <c r="R57" s="49">
        <f t="shared" si="17"/>
        <v>58623</v>
      </c>
      <c r="S57" s="49">
        <f t="shared" si="18"/>
        <v>0</v>
      </c>
      <c r="U57" s="49">
        <f>民間設備製造1!D59</f>
        <v>501</v>
      </c>
      <c r="V57" s="49">
        <f t="shared" si="13"/>
        <v>58292</v>
      </c>
    </row>
    <row r="58" spans="1:22">
      <c r="A58" s="300">
        <v>586</v>
      </c>
      <c r="B58" s="90" t="s">
        <v>237</v>
      </c>
      <c r="C58" s="829">
        <f>'２次調整'!V60</f>
        <v>42849</v>
      </c>
      <c r="D58" s="830">
        <f>民間消費!D60</f>
        <v>36034</v>
      </c>
      <c r="E58" s="830">
        <f>政府消費!D60</f>
        <v>9323</v>
      </c>
      <c r="F58" s="830">
        <f t="shared" si="14"/>
        <v>8104</v>
      </c>
      <c r="G58" s="830">
        <f>民間住宅1!D60</f>
        <v>742</v>
      </c>
      <c r="H58" s="830">
        <f>民間設備投資計!D60</f>
        <v>7147</v>
      </c>
      <c r="I58" s="830">
        <f>民間在庫品増加!D60</f>
        <v>215</v>
      </c>
      <c r="J58" s="830">
        <f>公的投資!D60</f>
        <v>1950</v>
      </c>
      <c r="K58" s="856">
        <f t="shared" si="15"/>
        <v>55411</v>
      </c>
      <c r="L58" s="856">
        <f t="shared" si="9"/>
        <v>-12562</v>
      </c>
      <c r="M58" s="830">
        <f>+移出入推計WS!O60+移出入推計WS!Q60+移出入推計WS!R60</f>
        <v>45125</v>
      </c>
      <c r="N58" s="830">
        <f>移出入推計WS!P60</f>
        <v>49259</v>
      </c>
      <c r="O58" s="835">
        <f t="shared" si="16"/>
        <v>-8428</v>
      </c>
      <c r="P58" s="293">
        <v>586</v>
      </c>
      <c r="Q58" s="293"/>
      <c r="R58" s="49">
        <f t="shared" si="17"/>
        <v>42849</v>
      </c>
      <c r="S58" s="49">
        <f t="shared" si="18"/>
        <v>0</v>
      </c>
      <c r="U58" s="49">
        <f>民間設備製造1!D60</f>
        <v>737</v>
      </c>
      <c r="V58" s="49">
        <f t="shared" si="13"/>
        <v>48786</v>
      </c>
    </row>
    <row r="59" spans="1:22">
      <c r="A59" s="301">
        <v>8</v>
      </c>
      <c r="B59" s="304" t="s">
        <v>211</v>
      </c>
      <c r="C59" s="827">
        <f>'２次調整'!V61</f>
        <v>385879</v>
      </c>
      <c r="D59" s="855">
        <f>民間消費!D61</f>
        <v>246325</v>
      </c>
      <c r="E59" s="827">
        <f>政府消費!D61</f>
        <v>51927</v>
      </c>
      <c r="F59" s="827">
        <f t="shared" si="14"/>
        <v>79276</v>
      </c>
      <c r="G59" s="827">
        <f>民間住宅1!D61</f>
        <v>13118</v>
      </c>
      <c r="H59" s="827">
        <f>民間設備投資計!D61</f>
        <v>64649</v>
      </c>
      <c r="I59" s="827">
        <f>民間在庫品増加!D61</f>
        <v>1509</v>
      </c>
      <c r="J59" s="828">
        <f>公的投資!D61</f>
        <v>10644</v>
      </c>
      <c r="K59" s="827">
        <f t="shared" si="15"/>
        <v>388172</v>
      </c>
      <c r="L59" s="855">
        <f t="shared" si="9"/>
        <v>-2293</v>
      </c>
      <c r="M59" s="827">
        <f>+移出入推計WS!O61+移出入推計WS!Q61+移出入推計WS!R61</f>
        <v>385717</v>
      </c>
      <c r="N59" s="827">
        <f>移出入推計WS!P61</f>
        <v>345076</v>
      </c>
      <c r="O59" s="828">
        <f t="shared" si="16"/>
        <v>-42934</v>
      </c>
      <c r="P59" s="293">
        <v>8</v>
      </c>
      <c r="Q59" s="293"/>
      <c r="R59" s="49">
        <f t="shared" si="17"/>
        <v>385879</v>
      </c>
      <c r="S59" s="49">
        <f t="shared" si="18"/>
        <v>0</v>
      </c>
      <c r="U59" s="49">
        <f>民間設備製造1!D61</f>
        <v>19746</v>
      </c>
      <c r="V59" s="49">
        <f t="shared" si="13"/>
        <v>341760</v>
      </c>
    </row>
    <row r="60" spans="1:22">
      <c r="A60" s="300">
        <v>221</v>
      </c>
      <c r="B60" s="98" t="s">
        <v>1144</v>
      </c>
      <c r="C60" s="830">
        <f>'２次調整'!V62</f>
        <v>146519</v>
      </c>
      <c r="D60" s="856">
        <f>民間消費!D62</f>
        <v>99156</v>
      </c>
      <c r="E60" s="830">
        <f>政府消費!D62</f>
        <v>22570</v>
      </c>
      <c r="F60" s="830">
        <f t="shared" si="14"/>
        <v>28034</v>
      </c>
      <c r="G60" s="830">
        <f>民間住宅1!D62</f>
        <v>5192</v>
      </c>
      <c r="H60" s="830">
        <f>民間設備投資計!D62</f>
        <v>22245</v>
      </c>
      <c r="I60" s="830">
        <f>民間在庫品増加!D62</f>
        <v>597</v>
      </c>
      <c r="J60" s="831">
        <f>公的投資!D62</f>
        <v>3803</v>
      </c>
      <c r="K60" s="830">
        <f t="shared" si="15"/>
        <v>153563</v>
      </c>
      <c r="L60" s="856">
        <f t="shared" si="9"/>
        <v>-7044</v>
      </c>
      <c r="M60" s="830">
        <f>+移出入推計WS!O62+移出入推計WS!Q62+移出入推計WS!R62</f>
        <v>148298</v>
      </c>
      <c r="N60" s="830">
        <f>移出入推計WS!P62</f>
        <v>136514</v>
      </c>
      <c r="O60" s="831">
        <f t="shared" si="16"/>
        <v>-18828</v>
      </c>
      <c r="P60" s="293">
        <v>221</v>
      </c>
      <c r="Q60" s="293"/>
      <c r="R60" s="49">
        <f t="shared" si="17"/>
        <v>146519</v>
      </c>
      <c r="S60" s="49">
        <f t="shared" si="18"/>
        <v>0</v>
      </c>
      <c r="U60" s="49">
        <f>民間設備製造1!D62</f>
        <v>4481</v>
      </c>
      <c r="V60" s="49">
        <f t="shared" si="13"/>
        <v>135202</v>
      </c>
    </row>
    <row r="61" spans="1:22">
      <c r="A61" s="302">
        <v>223</v>
      </c>
      <c r="B61" s="202" t="s">
        <v>223</v>
      </c>
      <c r="C61" s="837">
        <f>'２次調整'!V63</f>
        <v>239360</v>
      </c>
      <c r="D61" s="858">
        <f>民間消費!D63</f>
        <v>147169</v>
      </c>
      <c r="E61" s="837">
        <f>政府消費!D63</f>
        <v>29357</v>
      </c>
      <c r="F61" s="837">
        <f t="shared" si="14"/>
        <v>51242</v>
      </c>
      <c r="G61" s="837">
        <f>民間住宅1!D63</f>
        <v>7926</v>
      </c>
      <c r="H61" s="837">
        <f>民間設備投資計!D63</f>
        <v>42404</v>
      </c>
      <c r="I61" s="837">
        <f>民間在庫品増加!D63</f>
        <v>912</v>
      </c>
      <c r="J61" s="835">
        <f>公的投資!D63</f>
        <v>6841</v>
      </c>
      <c r="K61" s="837">
        <f t="shared" si="15"/>
        <v>234609</v>
      </c>
      <c r="L61" s="858">
        <f t="shared" si="9"/>
        <v>4751</v>
      </c>
      <c r="M61" s="837">
        <f>+移出入推計WS!O63+移出入推計WS!Q63+移出入推計WS!R63</f>
        <v>237419</v>
      </c>
      <c r="N61" s="837">
        <f>移出入推計WS!P63</f>
        <v>208562</v>
      </c>
      <c r="O61" s="835">
        <f t="shared" si="16"/>
        <v>-24106</v>
      </c>
      <c r="P61" s="293">
        <v>223</v>
      </c>
      <c r="Q61" s="293"/>
      <c r="R61" s="49">
        <f t="shared" si="17"/>
        <v>239360</v>
      </c>
      <c r="S61" s="49">
        <f t="shared" si="18"/>
        <v>0</v>
      </c>
      <c r="U61" s="49">
        <f>民間設備製造1!D63</f>
        <v>15265</v>
      </c>
      <c r="V61" s="49">
        <f t="shared" si="13"/>
        <v>206558</v>
      </c>
    </row>
    <row r="62" spans="1:22">
      <c r="A62" s="300">
        <v>9</v>
      </c>
      <c r="B62" s="94" t="s">
        <v>212</v>
      </c>
      <c r="C62" s="829">
        <f>'２次調整'!V64</f>
        <v>468118</v>
      </c>
      <c r="D62" s="830">
        <f>民間消費!D64</f>
        <v>292486</v>
      </c>
      <c r="E62" s="830">
        <f>政府消費!D64</f>
        <v>65221</v>
      </c>
      <c r="F62" s="830">
        <f t="shared" si="14"/>
        <v>82803</v>
      </c>
      <c r="G62" s="830">
        <f>民間住宅1!D64</f>
        <v>14177</v>
      </c>
      <c r="H62" s="830">
        <f>民間設備投資計!D64</f>
        <v>66850</v>
      </c>
      <c r="I62" s="830">
        <f>民間在庫品増加!D64</f>
        <v>1776</v>
      </c>
      <c r="J62" s="830">
        <f>公的投資!D64</f>
        <v>16268</v>
      </c>
      <c r="K62" s="856">
        <f t="shared" si="15"/>
        <v>456778</v>
      </c>
      <c r="L62" s="856">
        <f t="shared" si="9"/>
        <v>11340</v>
      </c>
      <c r="M62" s="830">
        <f>+移出入推計WS!O64+移出入推計WS!Q64+移出入推計WS!R64</f>
        <v>469356</v>
      </c>
      <c r="N62" s="830">
        <f>移出入推計WS!P64</f>
        <v>406065</v>
      </c>
      <c r="O62" s="831">
        <f t="shared" si="16"/>
        <v>-51951</v>
      </c>
      <c r="P62" s="293">
        <v>9</v>
      </c>
      <c r="Q62" s="293"/>
      <c r="R62" s="49">
        <f t="shared" si="17"/>
        <v>468118</v>
      </c>
      <c r="S62" s="49">
        <f t="shared" si="18"/>
        <v>0</v>
      </c>
      <c r="U62" s="49">
        <f>民間設備製造1!D64</f>
        <v>14012</v>
      </c>
      <c r="V62" s="49">
        <f t="shared" si="13"/>
        <v>402164</v>
      </c>
    </row>
    <row r="63" spans="1:22">
      <c r="A63" s="300">
        <v>205</v>
      </c>
      <c r="B63" s="92" t="s">
        <v>241</v>
      </c>
      <c r="C63" s="829">
        <f>'２次調整'!V65</f>
        <v>181885</v>
      </c>
      <c r="D63" s="830">
        <f>民間消費!D65</f>
        <v>102627</v>
      </c>
      <c r="E63" s="830">
        <f>政府消費!D65</f>
        <v>19252</v>
      </c>
      <c r="F63" s="830">
        <f t="shared" si="14"/>
        <v>29803</v>
      </c>
      <c r="G63" s="830">
        <f>民間住宅1!D65</f>
        <v>3730</v>
      </c>
      <c r="H63" s="830">
        <f>民間設備投資計!D65</f>
        <v>25466</v>
      </c>
      <c r="I63" s="830">
        <f>民間在庫品増加!D65</f>
        <v>607</v>
      </c>
      <c r="J63" s="830">
        <f>公的投資!D65</f>
        <v>4351</v>
      </c>
      <c r="K63" s="856">
        <f t="shared" si="15"/>
        <v>156033</v>
      </c>
      <c r="L63" s="856">
        <f t="shared" si="9"/>
        <v>25852</v>
      </c>
      <c r="M63" s="830">
        <f>+移出入推計WS!O65+移出入推計WS!Q65+移出入推計WS!R65</f>
        <v>178439</v>
      </c>
      <c r="N63" s="830">
        <f>移出入推計WS!P65</f>
        <v>138710</v>
      </c>
      <c r="O63" s="831">
        <f t="shared" si="16"/>
        <v>-13877</v>
      </c>
      <c r="P63" s="293">
        <v>205</v>
      </c>
      <c r="Q63" s="293"/>
      <c r="R63" s="49">
        <f t="shared" si="17"/>
        <v>181885</v>
      </c>
      <c r="S63" s="49">
        <f t="shared" si="18"/>
        <v>0</v>
      </c>
      <c r="U63" s="49">
        <f>民間設備製造1!D65</f>
        <v>7417</v>
      </c>
      <c r="V63" s="49">
        <f t="shared" si="13"/>
        <v>137377</v>
      </c>
    </row>
    <row r="64" spans="1:22">
      <c r="A64" s="300">
        <v>224</v>
      </c>
      <c r="B64" s="90" t="s">
        <v>224</v>
      </c>
      <c r="C64" s="829">
        <f>'２次調整'!V66</f>
        <v>149642</v>
      </c>
      <c r="D64" s="830">
        <f>民間消費!D66</f>
        <v>94265</v>
      </c>
      <c r="E64" s="830">
        <f>政府消費!D66</f>
        <v>23037</v>
      </c>
      <c r="F64" s="830">
        <f t="shared" si="14"/>
        <v>27680</v>
      </c>
      <c r="G64" s="830">
        <f>民間住宅1!D66</f>
        <v>6018</v>
      </c>
      <c r="H64" s="830">
        <f>民間設備投資計!D66</f>
        <v>21085</v>
      </c>
      <c r="I64" s="830">
        <f>民間在庫品増加!D66</f>
        <v>577</v>
      </c>
      <c r="J64" s="830">
        <f>公的投資!D66</f>
        <v>3456</v>
      </c>
      <c r="K64" s="856">
        <f t="shared" si="15"/>
        <v>148438</v>
      </c>
      <c r="L64" s="856">
        <f t="shared" si="9"/>
        <v>1204</v>
      </c>
      <c r="M64" s="830">
        <f>+移出入推計WS!O66+移出入推計WS!Q66+移出入推計WS!R66</f>
        <v>151449</v>
      </c>
      <c r="N64" s="830">
        <f>移出入推計WS!P66</f>
        <v>131958</v>
      </c>
      <c r="O64" s="831">
        <f t="shared" si="16"/>
        <v>-18287</v>
      </c>
      <c r="P64" s="293">
        <v>224</v>
      </c>
      <c r="Q64" s="293"/>
      <c r="R64" s="49">
        <f t="shared" si="17"/>
        <v>149642</v>
      </c>
      <c r="S64" s="49">
        <f t="shared" si="18"/>
        <v>0</v>
      </c>
      <c r="U64" s="49">
        <f>民間設備製造1!D66</f>
        <v>3914</v>
      </c>
      <c r="V64" s="49">
        <f t="shared" si="13"/>
        <v>130690</v>
      </c>
    </row>
    <row r="65" spans="1:22">
      <c r="A65" s="302">
        <v>226</v>
      </c>
      <c r="B65" s="201" t="s">
        <v>225</v>
      </c>
      <c r="C65" s="836">
        <f>'２次調整'!V67</f>
        <v>136591</v>
      </c>
      <c r="D65" s="837">
        <f>民間消費!D67</f>
        <v>95594</v>
      </c>
      <c r="E65" s="837">
        <f>政府消費!D67</f>
        <v>22932</v>
      </c>
      <c r="F65" s="837">
        <f t="shared" si="14"/>
        <v>25320</v>
      </c>
      <c r="G65" s="837">
        <f>民間住宅1!D67</f>
        <v>4429</v>
      </c>
      <c r="H65" s="837">
        <f>民間設備投資計!D67</f>
        <v>20299</v>
      </c>
      <c r="I65" s="837">
        <f>民間在庫品増加!D67</f>
        <v>592</v>
      </c>
      <c r="J65" s="837">
        <f>公的投資!D67</f>
        <v>8461</v>
      </c>
      <c r="K65" s="858">
        <f t="shared" si="15"/>
        <v>152307</v>
      </c>
      <c r="L65" s="858">
        <f t="shared" si="9"/>
        <v>-15716</v>
      </c>
      <c r="M65" s="837">
        <f>+移出入推計WS!O67+移出入推計WS!Q67+移出入推計WS!R67</f>
        <v>139468</v>
      </c>
      <c r="N65" s="837">
        <f>移出入推計WS!P67</f>
        <v>135397</v>
      </c>
      <c r="O65" s="835">
        <f t="shared" si="16"/>
        <v>-19787</v>
      </c>
      <c r="P65" s="293">
        <v>226</v>
      </c>
      <c r="Q65" s="293"/>
      <c r="R65" s="49">
        <f t="shared" si="17"/>
        <v>136591</v>
      </c>
      <c r="S65" s="49">
        <f t="shared" si="18"/>
        <v>0</v>
      </c>
      <c r="U65" s="49">
        <f>民間設備製造1!D67</f>
        <v>2681</v>
      </c>
      <c r="V65" s="49">
        <f t="shared" si="13"/>
        <v>134097</v>
      </c>
    </row>
    <row r="66" spans="1:22">
      <c r="A66" s="75"/>
      <c r="B66" s="75"/>
    </row>
    <row r="67" spans="1:22">
      <c r="A67" s="75"/>
      <c r="B67" s="75" t="s">
        <v>1309</v>
      </c>
      <c r="C67" s="239">
        <f>+SUM(C17:C65)/2+C16</f>
        <v>19875506</v>
      </c>
      <c r="D67" s="239">
        <f t="shared" ref="D67:O67" si="19">+SUM(D17:D65)/2+D16</f>
        <v>13078026.017082801</v>
      </c>
      <c r="E67" s="239">
        <f t="shared" si="19"/>
        <v>2008206.5496911928</v>
      </c>
      <c r="F67" s="239">
        <f t="shared" si="19"/>
        <v>4627268.2880370403</v>
      </c>
      <c r="G67" s="239">
        <f t="shared" si="19"/>
        <v>845424</v>
      </c>
      <c r="H67" s="239">
        <f t="shared" si="19"/>
        <v>3702513.600249907</v>
      </c>
      <c r="I67" s="239">
        <f t="shared" si="19"/>
        <v>79330.687787132949</v>
      </c>
      <c r="J67" s="239">
        <f t="shared" si="19"/>
        <v>689721.28567955666</v>
      </c>
      <c r="K67" s="239">
        <f t="shared" si="19"/>
        <v>20403222.140490592</v>
      </c>
      <c r="L67" s="239">
        <f t="shared" si="19"/>
        <v>-527716.14049059059</v>
      </c>
      <c r="M67" s="239">
        <f t="shared" si="19"/>
        <v>19437431.795611963</v>
      </c>
      <c r="N67" s="239">
        <f t="shared" si="19"/>
        <v>18137965</v>
      </c>
      <c r="O67" s="239">
        <f t="shared" si="19"/>
        <v>-1827182.9361025514</v>
      </c>
    </row>
    <row r="68" spans="1:22">
      <c r="A68" s="75"/>
      <c r="B68" s="75" t="s">
        <v>1307</v>
      </c>
      <c r="C68" s="239">
        <f>名目県内総支出!I44</f>
        <v>19875506</v>
      </c>
      <c r="D68" s="239">
        <f>名目県内総支出!I6</f>
        <v>13078026.017082801</v>
      </c>
      <c r="E68" s="239">
        <f>名目県内総支出!I61</f>
        <v>2008206.5496911928</v>
      </c>
      <c r="F68" s="239">
        <f>名目県内総支出!I28+名目県内総支出!I36</f>
        <v>4661370.8983005537</v>
      </c>
      <c r="G68" s="239">
        <f>名目県内総支出!I29</f>
        <v>845424</v>
      </c>
      <c r="H68" s="239">
        <f>名目県内総支出!I30</f>
        <v>3736616.2105134204</v>
      </c>
      <c r="I68" s="239">
        <f>名目県内総支出!I36</f>
        <v>79330.687787132949</v>
      </c>
      <c r="J68" s="239">
        <f>名目県内総支出!I31+名目県内総支出!I37</f>
        <v>689721.28567955666</v>
      </c>
      <c r="K68" s="239">
        <f>名目県内総支出!I62</f>
        <v>18977766.652184296</v>
      </c>
      <c r="L68" s="239">
        <f>名目県内総支出!I63</f>
        <v>897739.34781570476</v>
      </c>
      <c r="M68" s="239">
        <f>名目県内総支出!I39+名目県内総支出!I41+名目県内総支出!I64</f>
        <v>19437431.795611959</v>
      </c>
      <c r="N68" s="239">
        <f>名目県内総支出!I40</f>
        <v>18137965</v>
      </c>
      <c r="O68" s="239">
        <f>名目県内総支出!I43</f>
        <v>329592</v>
      </c>
    </row>
    <row r="69" spans="1:22">
      <c r="A69" s="75"/>
      <c r="B69" s="75"/>
      <c r="C69" s="838">
        <f>+C67-C68</f>
        <v>0</v>
      </c>
      <c r="D69" s="838">
        <f t="shared" ref="D69:O69" si="20">+D67-D68</f>
        <v>0</v>
      </c>
      <c r="E69" s="838">
        <f t="shared" si="20"/>
        <v>0</v>
      </c>
      <c r="F69" s="838">
        <f t="shared" si="20"/>
        <v>-34102.610263513401</v>
      </c>
      <c r="G69" s="838">
        <f t="shared" si="20"/>
        <v>0</v>
      </c>
      <c r="H69" s="838">
        <f t="shared" si="20"/>
        <v>-34102.610263513401</v>
      </c>
      <c r="I69" s="838">
        <f t="shared" si="20"/>
        <v>0</v>
      </c>
      <c r="J69" s="838">
        <f t="shared" si="20"/>
        <v>0</v>
      </c>
      <c r="K69" s="838">
        <f t="shared" si="20"/>
        <v>1425455.4883062951</v>
      </c>
      <c r="L69" s="838">
        <f t="shared" si="20"/>
        <v>-1425455.4883062954</v>
      </c>
      <c r="M69" s="838">
        <f t="shared" si="20"/>
        <v>0</v>
      </c>
      <c r="N69" s="838">
        <f t="shared" si="20"/>
        <v>0</v>
      </c>
      <c r="O69" s="838">
        <f t="shared" si="20"/>
        <v>-2156774.9361025514</v>
      </c>
    </row>
    <row r="70" spans="1:22">
      <c r="A70" s="75"/>
      <c r="B70" s="75"/>
    </row>
    <row r="71" spans="1:22">
      <c r="A71" s="75"/>
      <c r="B71" s="75"/>
    </row>
    <row r="72" spans="1:22">
      <c r="A72" s="75"/>
      <c r="B72" s="75"/>
    </row>
    <row r="73" spans="1:22">
      <c r="A73" s="75"/>
      <c r="B73" s="75"/>
    </row>
    <row r="74" spans="1:22">
      <c r="A74" s="75"/>
      <c r="B74" s="75"/>
    </row>
    <row r="75" spans="1:22">
      <c r="A75" s="75"/>
      <c r="B75" s="75"/>
    </row>
    <row r="76" spans="1:22">
      <c r="A76" s="75"/>
      <c r="B76" s="75"/>
    </row>
    <row r="77" spans="1:22">
      <c r="A77" s="75"/>
      <c r="B77" s="75"/>
    </row>
    <row r="78" spans="1:22">
      <c r="A78" s="75"/>
      <c r="B78" s="75"/>
    </row>
    <row r="79" spans="1:22">
      <c r="A79" s="75"/>
      <c r="B79" s="75"/>
    </row>
    <row r="80" spans="1:22">
      <c r="A80" s="75"/>
      <c r="B80" s="75"/>
    </row>
    <row r="81" spans="1:2">
      <c r="A81" s="75"/>
      <c r="B81" s="75"/>
    </row>
    <row r="82" spans="1:2">
      <c r="A82" s="75"/>
      <c r="B82" s="75"/>
    </row>
    <row r="83" spans="1:2">
      <c r="A83" s="75"/>
      <c r="B83" s="75"/>
    </row>
    <row r="84" spans="1:2">
      <c r="A84" s="75"/>
      <c r="B84" s="75"/>
    </row>
    <row r="85" spans="1:2">
      <c r="A85" s="75"/>
      <c r="B85" s="75"/>
    </row>
    <row r="86" spans="1:2">
      <c r="A86" s="75"/>
      <c r="B86" s="75"/>
    </row>
    <row r="87" spans="1:2">
      <c r="A87" s="75"/>
      <c r="B87" s="75"/>
    </row>
    <row r="88" spans="1:2">
      <c r="A88" s="75"/>
      <c r="B88" s="75"/>
    </row>
    <row r="89" spans="1:2">
      <c r="A89" s="75"/>
      <c r="B89" s="75"/>
    </row>
  </sheetData>
  <mergeCells count="1">
    <mergeCell ref="L2:M2"/>
  </mergeCells>
  <phoneticPr fontId="13"/>
  <pageMargins left="0.75" right="0.75" top="1" bottom="1" header="0.51200000000000001" footer="0.51200000000000001"/>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9" tint="0.59999389629810485"/>
  </sheetPr>
  <dimension ref="A1:V89"/>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7109375" defaultRowHeight="13"/>
  <cols>
    <col min="1" max="1" width="3.7109375" style="49" customWidth="1"/>
    <col min="2" max="2" width="10" style="49" customWidth="1"/>
    <col min="3" max="15" width="8.7109375" style="239"/>
    <col min="16" max="17" width="4.92578125" style="49" customWidth="1"/>
    <col min="18" max="18" width="10.5" style="49" customWidth="1"/>
    <col min="19" max="20" width="4.92578125" style="49" customWidth="1"/>
    <col min="21" max="16384" width="8.7109375" style="49"/>
  </cols>
  <sheetData>
    <row r="1" spans="1:22">
      <c r="A1" s="86"/>
      <c r="B1" s="65" t="s">
        <v>927</v>
      </c>
      <c r="N1" s="239" t="s">
        <v>818</v>
      </c>
      <c r="O1" s="830"/>
      <c r="R1" s="851" t="s">
        <v>1344</v>
      </c>
      <c r="S1" s="843"/>
    </row>
    <row r="2" spans="1:22" ht="37.5">
      <c r="A2" s="294"/>
      <c r="B2" s="296" t="s">
        <v>930</v>
      </c>
      <c r="C2" s="275" t="s">
        <v>817</v>
      </c>
      <c r="D2" s="291" t="s">
        <v>68</v>
      </c>
      <c r="E2" s="275" t="s">
        <v>1289</v>
      </c>
      <c r="F2" s="297" t="s">
        <v>69</v>
      </c>
      <c r="G2" s="291"/>
      <c r="H2" s="291"/>
      <c r="I2" s="817"/>
      <c r="J2" s="291" t="s">
        <v>70</v>
      </c>
      <c r="K2" s="275" t="s">
        <v>671</v>
      </c>
      <c r="L2" s="2310" t="s">
        <v>71</v>
      </c>
      <c r="M2" s="2311"/>
      <c r="N2" s="291"/>
      <c r="O2" s="817"/>
      <c r="P2" s="92"/>
      <c r="Q2" s="92"/>
      <c r="R2" s="852" t="s">
        <v>1345</v>
      </c>
      <c r="S2" s="908">
        <f>+SUM(C69:O69)</f>
        <v>-574214.47126151843</v>
      </c>
      <c r="U2" s="852" t="s">
        <v>1343</v>
      </c>
      <c r="V2" s="845"/>
    </row>
    <row r="3" spans="1:22" ht="28.5">
      <c r="A3" s="295"/>
      <c r="B3" s="131" t="s">
        <v>931</v>
      </c>
      <c r="C3" s="853" t="s">
        <v>82</v>
      </c>
      <c r="D3" s="819"/>
      <c r="E3" s="820"/>
      <c r="F3" s="821" t="s">
        <v>83</v>
      </c>
      <c r="G3" s="822" t="s">
        <v>72</v>
      </c>
      <c r="H3" s="823" t="s">
        <v>73</v>
      </c>
      <c r="I3" s="824" t="s">
        <v>74</v>
      </c>
      <c r="J3" s="819"/>
      <c r="K3" s="818" t="s">
        <v>75</v>
      </c>
      <c r="L3" s="860" t="s">
        <v>76</v>
      </c>
      <c r="M3" s="297" t="s">
        <v>77</v>
      </c>
      <c r="N3" s="275" t="s">
        <v>78</v>
      </c>
      <c r="O3" s="817" t="s">
        <v>81</v>
      </c>
      <c r="P3" s="92"/>
      <c r="Q3" s="92"/>
      <c r="R3" s="854" t="s">
        <v>1346</v>
      </c>
      <c r="S3" s="847">
        <f>SUM(S4:S65)</f>
        <v>0</v>
      </c>
      <c r="U3" s="848" t="s">
        <v>956</v>
      </c>
      <c r="V3" s="849" t="s">
        <v>1342</v>
      </c>
    </row>
    <row r="4" spans="1:22">
      <c r="A4" s="303"/>
      <c r="B4" s="87" t="s">
        <v>166</v>
      </c>
      <c r="C4" s="826">
        <f>'２次調整'!W6</f>
        <v>20571143</v>
      </c>
      <c r="D4" s="830">
        <f>民間消費!E6</f>
        <v>12864972.249252094</v>
      </c>
      <c r="E4" s="830">
        <f>政府消費!E6</f>
        <v>2118619.8702144846</v>
      </c>
      <c r="F4" s="830">
        <f t="shared" ref="F4:F14" si="0">G4+H4+I4</f>
        <v>4681328.8742706822</v>
      </c>
      <c r="G4" s="830">
        <f>民間住宅1!E6</f>
        <v>789486</v>
      </c>
      <c r="H4" s="830">
        <f>民間設備投資計!E6</f>
        <v>3699411.2620887607</v>
      </c>
      <c r="I4" s="830">
        <f>民間在庫品増加!E6</f>
        <v>192431.61218192161</v>
      </c>
      <c r="J4" s="830">
        <f>公的投資!E6</f>
        <v>676501.71112575324</v>
      </c>
      <c r="K4" s="856">
        <f t="shared" ref="K4:K14" si="1">D4+E4+F4+J4</f>
        <v>20341422.704863016</v>
      </c>
      <c r="L4" s="855">
        <f t="shared" ref="L4:L14" si="2">C4-K4</f>
        <v>229720.29513698444</v>
      </c>
      <c r="M4" s="827">
        <f>SUM(M5:M14)</f>
        <v>18393588.133822538</v>
      </c>
      <c r="N4" s="827">
        <f>SUM(N5:N14)</f>
        <v>17948628</v>
      </c>
      <c r="O4" s="828">
        <f>SUM(O5:O14)</f>
        <v>-215239.83868555166</v>
      </c>
      <c r="P4" s="77"/>
      <c r="Q4" s="77"/>
      <c r="R4" s="49">
        <f t="shared" ref="R4:R14" si="3">D4+E4+F4+J4+L4</f>
        <v>20571143</v>
      </c>
      <c r="S4" s="49">
        <f t="shared" ref="S4:S14" si="4">R4-C4</f>
        <v>0</v>
      </c>
      <c r="U4" s="49">
        <f>民間設備製造1!E6</f>
        <v>1447470.1546114476</v>
      </c>
      <c r="V4" s="49">
        <f t="shared" ref="V4:V14" si="5">D4+E4+G4+J4+U4</f>
        <v>17897049.98520378</v>
      </c>
    </row>
    <row r="5" spans="1:22">
      <c r="A5" s="298">
        <v>100</v>
      </c>
      <c r="B5" s="75" t="s">
        <v>172</v>
      </c>
      <c r="C5" s="829">
        <f>'２次調整'!W7</f>
        <v>6354679</v>
      </c>
      <c r="D5" s="830">
        <f>民間消費!E7</f>
        <v>3885283.249252094</v>
      </c>
      <c r="E5" s="830">
        <f>政府消費!E7</f>
        <v>609780.87021448463</v>
      </c>
      <c r="F5" s="830">
        <f t="shared" si="0"/>
        <v>1134752.8742706827</v>
      </c>
      <c r="G5" s="830">
        <f>民間住宅1!E7</f>
        <v>218727</v>
      </c>
      <c r="H5" s="830">
        <f>民間設備投資計!E7</f>
        <v>860433.26208876097</v>
      </c>
      <c r="I5" s="830">
        <f>民間在庫品増加!E7</f>
        <v>55592.612181921606</v>
      </c>
      <c r="J5" s="830">
        <f>公的投資!E7</f>
        <v>246721.71112575324</v>
      </c>
      <c r="K5" s="856">
        <f t="shared" si="1"/>
        <v>5876538.7048630146</v>
      </c>
      <c r="L5" s="856">
        <f t="shared" si="2"/>
        <v>478140.29513698537</v>
      </c>
      <c r="M5" s="830">
        <f t="shared" ref="M5:O6" si="6">M16</f>
        <v>5655318.133822537</v>
      </c>
      <c r="N5" s="830">
        <f t="shared" si="6"/>
        <v>5185270</v>
      </c>
      <c r="O5" s="831">
        <f t="shared" si="6"/>
        <v>8092.1613144483417</v>
      </c>
      <c r="P5" s="77">
        <v>100</v>
      </c>
      <c r="Q5" s="77"/>
      <c r="R5" s="49">
        <f t="shared" si="3"/>
        <v>6354679</v>
      </c>
      <c r="S5" s="49">
        <f t="shared" si="4"/>
        <v>0</v>
      </c>
      <c r="U5" s="49">
        <f>民間設備製造1!E7</f>
        <v>209860.15461144759</v>
      </c>
      <c r="V5" s="49">
        <f t="shared" si="5"/>
        <v>5170372.9852037793</v>
      </c>
    </row>
    <row r="6" spans="1:22">
      <c r="A6" s="298">
        <v>1</v>
      </c>
      <c r="B6" s="75" t="s">
        <v>323</v>
      </c>
      <c r="C6" s="829">
        <f>'２次調整'!W8</f>
        <v>3121806</v>
      </c>
      <c r="D6" s="830">
        <f>民間消費!E8</f>
        <v>2572204</v>
      </c>
      <c r="E6" s="830">
        <f>政府消費!E8</f>
        <v>384109</v>
      </c>
      <c r="F6" s="830">
        <f t="shared" si="0"/>
        <v>1041845</v>
      </c>
      <c r="G6" s="830">
        <f>民間住宅1!E8</f>
        <v>156756</v>
      </c>
      <c r="H6" s="830">
        <f>民間設備投資計!E8</f>
        <v>846272</v>
      </c>
      <c r="I6" s="830">
        <f>民間在庫品増加!E8</f>
        <v>38817</v>
      </c>
      <c r="J6" s="830">
        <f>公的投資!E8</f>
        <v>105099</v>
      </c>
      <c r="K6" s="856">
        <f t="shared" si="1"/>
        <v>4103257</v>
      </c>
      <c r="L6" s="856">
        <f t="shared" si="2"/>
        <v>-981451</v>
      </c>
      <c r="M6" s="830">
        <f t="shared" si="6"/>
        <v>2828724</v>
      </c>
      <c r="N6" s="830">
        <f t="shared" si="6"/>
        <v>3620585</v>
      </c>
      <c r="O6" s="831">
        <f t="shared" si="6"/>
        <v>-189590</v>
      </c>
      <c r="P6" s="77">
        <v>1</v>
      </c>
      <c r="Q6" s="77"/>
      <c r="R6" s="49">
        <f t="shared" si="3"/>
        <v>3121806</v>
      </c>
      <c r="S6" s="49">
        <f t="shared" si="4"/>
        <v>0</v>
      </c>
      <c r="U6" s="49">
        <f>民間設備製造1!E8</f>
        <v>392012</v>
      </c>
      <c r="V6" s="49">
        <f t="shared" si="5"/>
        <v>3610180</v>
      </c>
    </row>
    <row r="7" spans="1:22">
      <c r="A7" s="298">
        <v>2</v>
      </c>
      <c r="B7" s="75" t="s">
        <v>324</v>
      </c>
      <c r="C7" s="829">
        <f>'２次調整'!W9</f>
        <v>1850269</v>
      </c>
      <c r="D7" s="830">
        <f>民間消費!E9</f>
        <v>1583066</v>
      </c>
      <c r="E7" s="830">
        <f>政府消費!E9</f>
        <v>252570</v>
      </c>
      <c r="F7" s="830">
        <f t="shared" si="0"/>
        <v>453471</v>
      </c>
      <c r="G7" s="830">
        <f>民間住宅1!E9</f>
        <v>92874</v>
      </c>
      <c r="H7" s="830">
        <f>民間設備投資計!E9</f>
        <v>338452</v>
      </c>
      <c r="I7" s="830">
        <f>民間在庫品増加!E9</f>
        <v>22145</v>
      </c>
      <c r="J7" s="830">
        <f>公的投資!E9</f>
        <v>51835</v>
      </c>
      <c r="K7" s="856">
        <f t="shared" si="1"/>
        <v>2340942</v>
      </c>
      <c r="L7" s="856">
        <f t="shared" si="2"/>
        <v>-490673</v>
      </c>
      <c r="M7" s="830">
        <f>M21</f>
        <v>1691435</v>
      </c>
      <c r="N7" s="830">
        <f>N21</f>
        <v>2065574</v>
      </c>
      <c r="O7" s="831">
        <f>O21</f>
        <v>-116534</v>
      </c>
      <c r="P7" s="77">
        <v>2</v>
      </c>
      <c r="Q7" s="77"/>
      <c r="R7" s="49">
        <f t="shared" si="3"/>
        <v>1850269</v>
      </c>
      <c r="S7" s="49">
        <f t="shared" si="4"/>
        <v>0</v>
      </c>
      <c r="U7" s="49">
        <f>民間設備製造1!E9</f>
        <v>79293</v>
      </c>
      <c r="V7" s="49">
        <f t="shared" si="5"/>
        <v>2059638</v>
      </c>
    </row>
    <row r="8" spans="1:22">
      <c r="A8" s="298">
        <v>3</v>
      </c>
      <c r="B8" s="75" t="s">
        <v>192</v>
      </c>
      <c r="C8" s="829">
        <f>'２次調整'!W10</f>
        <v>2959266</v>
      </c>
      <c r="D8" s="830">
        <f>民間消費!E10</f>
        <v>1565575</v>
      </c>
      <c r="E8" s="830">
        <f>政府消費!E10</f>
        <v>232393</v>
      </c>
      <c r="F8" s="830">
        <f t="shared" si="0"/>
        <v>788456</v>
      </c>
      <c r="G8" s="830">
        <f>民間住宅1!E10</f>
        <v>118699</v>
      </c>
      <c r="H8" s="830">
        <f>民間設備投資計!E10</f>
        <v>644682</v>
      </c>
      <c r="I8" s="830">
        <f>民間在庫品増加!E10</f>
        <v>25075</v>
      </c>
      <c r="J8" s="830">
        <f>公的投資!E10</f>
        <v>64169</v>
      </c>
      <c r="K8" s="856">
        <f t="shared" si="1"/>
        <v>2650593</v>
      </c>
      <c r="L8" s="856">
        <f t="shared" si="2"/>
        <v>308673</v>
      </c>
      <c r="M8" s="830">
        <f>M27</f>
        <v>2602795</v>
      </c>
      <c r="N8" s="830">
        <f>N27</f>
        <v>2338800</v>
      </c>
      <c r="O8" s="831">
        <f>O27</f>
        <v>44678</v>
      </c>
      <c r="P8" s="77">
        <v>3</v>
      </c>
      <c r="Q8" s="77"/>
      <c r="R8" s="49">
        <f t="shared" si="3"/>
        <v>2959266</v>
      </c>
      <c r="S8" s="49">
        <f t="shared" si="4"/>
        <v>0</v>
      </c>
      <c r="U8" s="49">
        <f>民間設備製造1!E10</f>
        <v>351242</v>
      </c>
      <c r="V8" s="49">
        <f t="shared" si="5"/>
        <v>2332078</v>
      </c>
    </row>
    <row r="9" spans="1:22">
      <c r="A9" s="298">
        <v>4</v>
      </c>
      <c r="B9" s="75" t="s">
        <v>325</v>
      </c>
      <c r="C9" s="829">
        <f>'２次調整'!W11</f>
        <v>1186285</v>
      </c>
      <c r="D9" s="830">
        <f>民間消費!E11</f>
        <v>551573</v>
      </c>
      <c r="E9" s="830">
        <f>政府消費!E11</f>
        <v>108058</v>
      </c>
      <c r="F9" s="830">
        <f t="shared" si="0"/>
        <v>212072</v>
      </c>
      <c r="G9" s="830">
        <f>民間住宅1!E11</f>
        <v>33687</v>
      </c>
      <c r="H9" s="830">
        <f>民間設備投資計!E11</f>
        <v>169895</v>
      </c>
      <c r="I9" s="830">
        <f>民間在庫品増加!E11</f>
        <v>8490</v>
      </c>
      <c r="J9" s="830">
        <f>公的投資!E11</f>
        <v>25766</v>
      </c>
      <c r="K9" s="856">
        <f t="shared" si="1"/>
        <v>897469</v>
      </c>
      <c r="L9" s="856">
        <f t="shared" si="2"/>
        <v>288816</v>
      </c>
      <c r="M9" s="830">
        <f>M33</f>
        <v>1052282</v>
      </c>
      <c r="N9" s="830">
        <f>N33</f>
        <v>791898</v>
      </c>
      <c r="O9" s="831">
        <f>O33</f>
        <v>28432</v>
      </c>
      <c r="P9" s="77">
        <v>4</v>
      </c>
      <c r="Q9" s="77"/>
      <c r="R9" s="49">
        <f t="shared" si="3"/>
        <v>1186285</v>
      </c>
      <c r="S9" s="49">
        <f t="shared" si="4"/>
        <v>0</v>
      </c>
      <c r="U9" s="49">
        <f>民間設備製造1!E11</f>
        <v>70539</v>
      </c>
      <c r="V9" s="49">
        <f t="shared" si="5"/>
        <v>789623</v>
      </c>
    </row>
    <row r="10" spans="1:22">
      <c r="A10" s="298">
        <v>5</v>
      </c>
      <c r="B10" s="75" t="s">
        <v>326</v>
      </c>
      <c r="C10" s="829">
        <f>'２次調整'!W12</f>
        <v>2681065</v>
      </c>
      <c r="D10" s="830">
        <f>民間消費!E12</f>
        <v>1247473</v>
      </c>
      <c r="E10" s="830">
        <f>政府消費!E12</f>
        <v>194003</v>
      </c>
      <c r="F10" s="830">
        <f t="shared" si="0"/>
        <v>566646</v>
      </c>
      <c r="G10" s="830">
        <f>民間住宅1!E12</f>
        <v>99398</v>
      </c>
      <c r="H10" s="830">
        <f>民間設備投資計!E12</f>
        <v>447308</v>
      </c>
      <c r="I10" s="830">
        <f>民間在庫品増加!E12</f>
        <v>19940</v>
      </c>
      <c r="J10" s="830">
        <f>公的投資!E12</f>
        <v>99617</v>
      </c>
      <c r="K10" s="856">
        <f t="shared" si="1"/>
        <v>2107739</v>
      </c>
      <c r="L10" s="856">
        <f t="shared" si="2"/>
        <v>573326</v>
      </c>
      <c r="M10" s="830">
        <f>M40</f>
        <v>2348230</v>
      </c>
      <c r="N10" s="830">
        <f>N40</f>
        <v>1859803</v>
      </c>
      <c r="O10" s="831">
        <f>O40</f>
        <v>84899</v>
      </c>
      <c r="P10" s="77">
        <v>5</v>
      </c>
      <c r="Q10" s="77"/>
      <c r="R10" s="49">
        <f t="shared" si="3"/>
        <v>2681065</v>
      </c>
      <c r="S10" s="49">
        <f t="shared" si="4"/>
        <v>0</v>
      </c>
      <c r="U10" s="49">
        <f>民間設備製造1!E12</f>
        <v>213966</v>
      </c>
      <c r="V10" s="49">
        <f t="shared" si="5"/>
        <v>1854457</v>
      </c>
    </row>
    <row r="11" spans="1:22">
      <c r="A11" s="298">
        <v>6</v>
      </c>
      <c r="B11" s="75" t="s">
        <v>327</v>
      </c>
      <c r="C11" s="829">
        <f>'２次調整'!W13</f>
        <v>964276</v>
      </c>
      <c r="D11" s="830">
        <f>民間消費!E13</f>
        <v>541004</v>
      </c>
      <c r="E11" s="830">
        <f>政府消費!E13</f>
        <v>115176</v>
      </c>
      <c r="F11" s="830">
        <f t="shared" si="0"/>
        <v>213207</v>
      </c>
      <c r="G11" s="830">
        <f>民間住宅1!E13</f>
        <v>30883</v>
      </c>
      <c r="H11" s="830">
        <f>民間設備投資計!E13</f>
        <v>173797</v>
      </c>
      <c r="I11" s="830">
        <f>民間在庫品増加!E13</f>
        <v>8527</v>
      </c>
      <c r="J11" s="830">
        <f>公的投資!E13</f>
        <v>31871</v>
      </c>
      <c r="K11" s="856">
        <f t="shared" si="1"/>
        <v>901258</v>
      </c>
      <c r="L11" s="856">
        <f t="shared" si="2"/>
        <v>63018</v>
      </c>
      <c r="M11" s="830">
        <f>M45</f>
        <v>871677</v>
      </c>
      <c r="N11" s="830">
        <f>N45</f>
        <v>795240</v>
      </c>
      <c r="O11" s="831">
        <f>O45</f>
        <v>-13419</v>
      </c>
      <c r="P11" s="77">
        <v>6</v>
      </c>
      <c r="Q11" s="77"/>
      <c r="R11" s="49">
        <f t="shared" si="3"/>
        <v>964276</v>
      </c>
      <c r="S11" s="49">
        <f t="shared" si="4"/>
        <v>0</v>
      </c>
      <c r="U11" s="49">
        <f>民間設備製造1!E13</f>
        <v>74021</v>
      </c>
      <c r="V11" s="49">
        <f t="shared" si="5"/>
        <v>792955</v>
      </c>
    </row>
    <row r="12" spans="1:22">
      <c r="A12" s="298">
        <v>7</v>
      </c>
      <c r="B12" s="75" t="s">
        <v>210</v>
      </c>
      <c r="C12" s="829">
        <f>'２次調整'!W14</f>
        <v>608472</v>
      </c>
      <c r="D12" s="830">
        <f>民間消費!E14</f>
        <v>395383</v>
      </c>
      <c r="E12" s="830">
        <f>政府消費!E14</f>
        <v>101384</v>
      </c>
      <c r="F12" s="830">
        <f t="shared" si="0"/>
        <v>110724</v>
      </c>
      <c r="G12" s="830">
        <f>民間住宅1!E14</f>
        <v>14913</v>
      </c>
      <c r="H12" s="830">
        <f>民間設備投資計!E14</f>
        <v>89798</v>
      </c>
      <c r="I12" s="830">
        <f>民間在庫品増加!E14</f>
        <v>6013</v>
      </c>
      <c r="J12" s="830">
        <f>公的投資!E14</f>
        <v>28191</v>
      </c>
      <c r="K12" s="856">
        <f t="shared" si="1"/>
        <v>635682</v>
      </c>
      <c r="L12" s="856">
        <f t="shared" si="2"/>
        <v>-27210</v>
      </c>
      <c r="M12" s="830">
        <f>M53</f>
        <v>567180</v>
      </c>
      <c r="N12" s="830">
        <f>N53</f>
        <v>560906</v>
      </c>
      <c r="O12" s="831">
        <f>O53</f>
        <v>-33484</v>
      </c>
      <c r="P12" s="77">
        <v>7</v>
      </c>
      <c r="Q12" s="77"/>
      <c r="R12" s="49">
        <f t="shared" si="3"/>
        <v>608472</v>
      </c>
      <c r="S12" s="49">
        <f t="shared" si="4"/>
        <v>0</v>
      </c>
      <c r="U12" s="49">
        <f>民間設備製造1!E14</f>
        <v>19423</v>
      </c>
      <c r="V12" s="49">
        <f t="shared" si="5"/>
        <v>559294</v>
      </c>
    </row>
    <row r="13" spans="1:22">
      <c r="A13" s="298">
        <v>8</v>
      </c>
      <c r="B13" s="75" t="s">
        <v>211</v>
      </c>
      <c r="C13" s="829">
        <f>'２次調整'!W15</f>
        <v>373363</v>
      </c>
      <c r="D13" s="830">
        <f>民間消費!E15</f>
        <v>238283</v>
      </c>
      <c r="E13" s="830">
        <f>政府消費!E15</f>
        <v>53738</v>
      </c>
      <c r="F13" s="830">
        <f t="shared" si="0"/>
        <v>75409</v>
      </c>
      <c r="G13" s="830">
        <f>民間住宅1!E15</f>
        <v>10444</v>
      </c>
      <c r="H13" s="830">
        <f>民間設備投資計!E15</f>
        <v>61389</v>
      </c>
      <c r="I13" s="830">
        <f>民間在庫品増加!E15</f>
        <v>3576</v>
      </c>
      <c r="J13" s="830">
        <f>公的投資!E15</f>
        <v>10616</v>
      </c>
      <c r="K13" s="856">
        <f t="shared" si="1"/>
        <v>378046</v>
      </c>
      <c r="L13" s="856">
        <f t="shared" si="2"/>
        <v>-4683</v>
      </c>
      <c r="M13" s="830">
        <f>M59</f>
        <v>342967</v>
      </c>
      <c r="N13" s="830">
        <f>N59</f>
        <v>333576</v>
      </c>
      <c r="O13" s="831">
        <f>O59</f>
        <v>-14074</v>
      </c>
      <c r="P13" s="77">
        <v>8</v>
      </c>
      <c r="Q13" s="77"/>
      <c r="R13" s="49">
        <f t="shared" si="3"/>
        <v>373363</v>
      </c>
      <c r="S13" s="49">
        <f t="shared" si="4"/>
        <v>0</v>
      </c>
      <c r="U13" s="49">
        <f>民間設備製造1!E15</f>
        <v>19536</v>
      </c>
      <c r="V13" s="49">
        <f t="shared" si="5"/>
        <v>332617</v>
      </c>
    </row>
    <row r="14" spans="1:22">
      <c r="A14" s="298">
        <v>9</v>
      </c>
      <c r="B14" s="75" t="s">
        <v>212</v>
      </c>
      <c r="C14" s="829">
        <f>'２次調整'!W16</f>
        <v>471662</v>
      </c>
      <c r="D14" s="830">
        <f>民間消費!E16</f>
        <v>285128</v>
      </c>
      <c r="E14" s="830">
        <f>政府消費!E16</f>
        <v>67408</v>
      </c>
      <c r="F14" s="830">
        <f t="shared" si="0"/>
        <v>84746</v>
      </c>
      <c r="G14" s="830">
        <f>民間住宅1!E16</f>
        <v>13105</v>
      </c>
      <c r="H14" s="830">
        <f>民間設備投資計!E16</f>
        <v>67385</v>
      </c>
      <c r="I14" s="830">
        <f>民間在庫品増加!E16</f>
        <v>4256</v>
      </c>
      <c r="J14" s="830">
        <f>公的投資!E16</f>
        <v>12616</v>
      </c>
      <c r="K14" s="856">
        <f t="shared" si="1"/>
        <v>449898</v>
      </c>
      <c r="L14" s="856">
        <f t="shared" si="2"/>
        <v>21764</v>
      </c>
      <c r="M14" s="830">
        <f>M62</f>
        <v>432980</v>
      </c>
      <c r="N14" s="830">
        <f>N62</f>
        <v>396976</v>
      </c>
      <c r="O14" s="831">
        <f>O62</f>
        <v>-14240</v>
      </c>
      <c r="P14" s="77">
        <v>9</v>
      </c>
      <c r="Q14" s="77"/>
      <c r="R14" s="49">
        <f t="shared" si="3"/>
        <v>471662</v>
      </c>
      <c r="S14" s="49">
        <f t="shared" si="4"/>
        <v>0</v>
      </c>
      <c r="U14" s="49">
        <f>民間設備製造1!E16</f>
        <v>17578</v>
      </c>
      <c r="V14" s="49">
        <f t="shared" si="5"/>
        <v>395835</v>
      </c>
    </row>
    <row r="15" spans="1:22">
      <c r="A15" s="298"/>
      <c r="B15" s="87"/>
      <c r="C15" s="829" t="s">
        <v>347</v>
      </c>
      <c r="D15" s="830" t="s">
        <v>678</v>
      </c>
      <c r="E15" s="830" t="s">
        <v>678</v>
      </c>
      <c r="F15" s="830"/>
      <c r="G15" s="830" t="s">
        <v>678</v>
      </c>
      <c r="H15" s="830" t="s">
        <v>678</v>
      </c>
      <c r="I15" s="830" t="s">
        <v>678</v>
      </c>
      <c r="J15" s="830" t="s">
        <v>678</v>
      </c>
      <c r="K15" s="856"/>
      <c r="L15" s="858"/>
      <c r="M15" s="837" t="s">
        <v>678</v>
      </c>
      <c r="N15" s="837" t="s">
        <v>678</v>
      </c>
      <c r="O15" s="831" t="s">
        <v>11</v>
      </c>
      <c r="P15" s="77"/>
      <c r="Q15" s="77"/>
      <c r="R15" s="49" t="s">
        <v>678</v>
      </c>
      <c r="S15" s="49" t="s">
        <v>11</v>
      </c>
      <c r="U15" s="49" t="s">
        <v>11</v>
      </c>
      <c r="V15" s="49" t="s">
        <v>11</v>
      </c>
    </row>
    <row r="16" spans="1:22">
      <c r="A16" s="299">
        <v>100</v>
      </c>
      <c r="B16" s="305" t="s">
        <v>172</v>
      </c>
      <c r="C16" s="832">
        <f>'２次調整'!W18</f>
        <v>6354679</v>
      </c>
      <c r="D16" s="833">
        <f>民間消費!E18</f>
        <v>3885283.249252094</v>
      </c>
      <c r="E16" s="833">
        <f>政府消費!E18</f>
        <v>609780.87021448463</v>
      </c>
      <c r="F16" s="833">
        <f t="shared" ref="F16:F65" si="7">G16+H16+I16</f>
        <v>1134752.8742706827</v>
      </c>
      <c r="G16" s="833">
        <f>民間住宅1!E18</f>
        <v>218727</v>
      </c>
      <c r="H16" s="833">
        <f>民間設備投資計!E18</f>
        <v>860433.26208876097</v>
      </c>
      <c r="I16" s="833">
        <f>民間在庫品増加!E18</f>
        <v>55592.612181921606</v>
      </c>
      <c r="J16" s="833">
        <f>公的投資!E18</f>
        <v>246721.71112575324</v>
      </c>
      <c r="K16" s="857">
        <f t="shared" ref="K16:K65" si="8">D16+E16+F16+J16</f>
        <v>5876538.7048630146</v>
      </c>
      <c r="L16" s="857">
        <f t="shared" ref="L16:L65" si="9">C16-K16</f>
        <v>478140.29513698537</v>
      </c>
      <c r="M16" s="833">
        <f>+移出入推計WS!Y18+移出入推計WS!AA18+移出入推計WS!AB18</f>
        <v>5655318.133822537</v>
      </c>
      <c r="N16" s="833">
        <f>移出入推計WS!Z18</f>
        <v>5185270</v>
      </c>
      <c r="O16" s="834">
        <f t="shared" ref="O16:O47" si="10">L16-(M16-N16)</f>
        <v>8092.1613144483417</v>
      </c>
      <c r="P16" s="293">
        <v>100</v>
      </c>
      <c r="Q16" s="293"/>
      <c r="R16" s="49">
        <f t="shared" ref="R16:R47" si="11">D16+E16+F16+J16+L16</f>
        <v>6354679</v>
      </c>
      <c r="S16" s="49">
        <f t="shared" ref="S16:S47" si="12">R16-C16</f>
        <v>0</v>
      </c>
      <c r="U16" s="49">
        <f>民間設備製造1!E18</f>
        <v>209860.15461144759</v>
      </c>
      <c r="V16" s="49">
        <f t="shared" ref="V16:V65" si="13">D16+E16+G16+J16+U16</f>
        <v>5170372.9852037793</v>
      </c>
    </row>
    <row r="17" spans="1:22">
      <c r="A17" s="300">
        <v>1</v>
      </c>
      <c r="B17" s="65" t="s">
        <v>182</v>
      </c>
      <c r="C17" s="826">
        <f>'２次調整'!W19</f>
        <v>3121806</v>
      </c>
      <c r="D17" s="830">
        <f>民間消費!E19</f>
        <v>2572204</v>
      </c>
      <c r="E17" s="830">
        <f>政府消費!E19</f>
        <v>384109</v>
      </c>
      <c r="F17" s="830">
        <f t="shared" si="7"/>
        <v>1041845</v>
      </c>
      <c r="G17" s="830">
        <f>民間住宅1!E19</f>
        <v>156756</v>
      </c>
      <c r="H17" s="830">
        <f>民間設備投資計!E19</f>
        <v>846272</v>
      </c>
      <c r="I17" s="830">
        <f>民間在庫品増加!E19</f>
        <v>38817</v>
      </c>
      <c r="J17" s="830">
        <f>公的投資!E19</f>
        <v>105099</v>
      </c>
      <c r="K17" s="856">
        <f t="shared" si="8"/>
        <v>4103257</v>
      </c>
      <c r="L17" s="856">
        <f t="shared" si="9"/>
        <v>-981451</v>
      </c>
      <c r="M17" s="830">
        <f>+移出入推計WS!Y19+移出入推計WS!AA19+移出入推計WS!AB19</f>
        <v>2828724</v>
      </c>
      <c r="N17" s="830">
        <f>移出入推計WS!Z19</f>
        <v>3620585</v>
      </c>
      <c r="O17" s="828">
        <f t="shared" si="10"/>
        <v>-189590</v>
      </c>
      <c r="P17" s="293">
        <v>1</v>
      </c>
      <c r="Q17" s="293"/>
      <c r="R17" s="49">
        <f t="shared" si="11"/>
        <v>3121806</v>
      </c>
      <c r="S17" s="49">
        <f t="shared" si="12"/>
        <v>0</v>
      </c>
      <c r="U17" s="49">
        <f>民間設備製造1!E19</f>
        <v>392012</v>
      </c>
      <c r="V17" s="49">
        <f t="shared" si="13"/>
        <v>3610180</v>
      </c>
    </row>
    <row r="18" spans="1:22">
      <c r="A18" s="300">
        <v>202</v>
      </c>
      <c r="B18" s="90" t="s">
        <v>183</v>
      </c>
      <c r="C18" s="829">
        <f>'２次調整'!W20</f>
        <v>1723874</v>
      </c>
      <c r="D18" s="830">
        <f>民間消費!E20</f>
        <v>1179629</v>
      </c>
      <c r="E18" s="830">
        <f>政府消費!E20</f>
        <v>167936</v>
      </c>
      <c r="F18" s="830">
        <f t="shared" si="7"/>
        <v>679931</v>
      </c>
      <c r="G18" s="830">
        <f>民間住宅1!E20</f>
        <v>58334</v>
      </c>
      <c r="H18" s="830">
        <f>民間設備投資計!E20</f>
        <v>601946</v>
      </c>
      <c r="I18" s="830">
        <f>民間在庫品増加!E20</f>
        <v>19651</v>
      </c>
      <c r="J18" s="830">
        <f>公的投資!E20</f>
        <v>49727</v>
      </c>
      <c r="K18" s="856">
        <f t="shared" si="8"/>
        <v>2077223</v>
      </c>
      <c r="L18" s="856">
        <f t="shared" si="9"/>
        <v>-353349</v>
      </c>
      <c r="M18" s="830">
        <f>+移出入推計WS!Y20+移出入推計WS!AA20+移出入推計WS!AB20</f>
        <v>1535659</v>
      </c>
      <c r="N18" s="830">
        <f>移出入推計WS!Z20</f>
        <v>1832876</v>
      </c>
      <c r="O18" s="831">
        <f t="shared" si="10"/>
        <v>-56132</v>
      </c>
      <c r="P18" s="293">
        <v>202</v>
      </c>
      <c r="Q18" s="293"/>
      <c r="R18" s="49">
        <f t="shared" si="11"/>
        <v>1723874</v>
      </c>
      <c r="S18" s="49">
        <f t="shared" si="12"/>
        <v>0</v>
      </c>
      <c r="U18" s="49">
        <f>民間設備製造1!E20</f>
        <v>371983</v>
      </c>
      <c r="V18" s="49">
        <f t="shared" si="13"/>
        <v>1827609</v>
      </c>
    </row>
    <row r="19" spans="1:22">
      <c r="A19" s="300">
        <v>204</v>
      </c>
      <c r="B19" s="90" t="s">
        <v>184</v>
      </c>
      <c r="C19" s="829">
        <f>'２次調整'!W21</f>
        <v>1201250</v>
      </c>
      <c r="D19" s="830">
        <f>民間消費!E21</f>
        <v>1164111</v>
      </c>
      <c r="E19" s="830">
        <f>政府消費!E21</f>
        <v>175665</v>
      </c>
      <c r="F19" s="830">
        <f t="shared" si="7"/>
        <v>310925</v>
      </c>
      <c r="G19" s="830">
        <f>民間住宅1!E21</f>
        <v>87206</v>
      </c>
      <c r="H19" s="830">
        <f>民間設備投資計!E21</f>
        <v>207684</v>
      </c>
      <c r="I19" s="830">
        <f>民間在庫品増加!E21</f>
        <v>16035</v>
      </c>
      <c r="J19" s="830">
        <f>公的投資!E21</f>
        <v>44355</v>
      </c>
      <c r="K19" s="856">
        <f t="shared" si="8"/>
        <v>1695056</v>
      </c>
      <c r="L19" s="856">
        <f t="shared" si="9"/>
        <v>-493806</v>
      </c>
      <c r="M19" s="830">
        <f>+移出入推計WS!Y21+移出入推計WS!AA21+移出入推計WS!AB21</f>
        <v>1105111</v>
      </c>
      <c r="N19" s="830">
        <f>移出入推計WS!Z21</f>
        <v>1495664</v>
      </c>
      <c r="O19" s="831">
        <f t="shared" si="10"/>
        <v>-103253</v>
      </c>
      <c r="P19" s="293">
        <v>204</v>
      </c>
      <c r="Q19" s="293"/>
      <c r="R19" s="49">
        <f t="shared" si="11"/>
        <v>1201250</v>
      </c>
      <c r="S19" s="49">
        <f t="shared" si="12"/>
        <v>0</v>
      </c>
      <c r="U19" s="49">
        <f>民間設備製造1!E21</f>
        <v>20029</v>
      </c>
      <c r="V19" s="49">
        <f t="shared" si="13"/>
        <v>1491366</v>
      </c>
    </row>
    <row r="20" spans="1:22">
      <c r="A20" s="300">
        <v>206</v>
      </c>
      <c r="B20" s="90" t="s">
        <v>185</v>
      </c>
      <c r="C20" s="836">
        <f>'２次調整'!W22</f>
        <v>196682</v>
      </c>
      <c r="D20" s="830">
        <f>民間消費!E22</f>
        <v>228464</v>
      </c>
      <c r="E20" s="830">
        <f>政府消費!E22</f>
        <v>40508</v>
      </c>
      <c r="F20" s="830">
        <f t="shared" si="7"/>
        <v>50989</v>
      </c>
      <c r="G20" s="830">
        <f>民間住宅1!E22</f>
        <v>11216</v>
      </c>
      <c r="H20" s="830">
        <f>民間設備投資計!E22</f>
        <v>36642</v>
      </c>
      <c r="I20" s="830">
        <f>民間在庫品増加!E22</f>
        <v>3131</v>
      </c>
      <c r="J20" s="830">
        <f>公的投資!E22</f>
        <v>11017</v>
      </c>
      <c r="K20" s="856">
        <f t="shared" si="8"/>
        <v>330978</v>
      </c>
      <c r="L20" s="856">
        <f t="shared" si="9"/>
        <v>-134296</v>
      </c>
      <c r="M20" s="830">
        <f>+移出入推計WS!Y22+移出入推計WS!AA22+移出入推計WS!AB22</f>
        <v>187954</v>
      </c>
      <c r="N20" s="830">
        <f>移出入推計WS!Z22</f>
        <v>292045</v>
      </c>
      <c r="O20" s="835">
        <f t="shared" si="10"/>
        <v>-30205</v>
      </c>
      <c r="P20" s="293">
        <v>206</v>
      </c>
      <c r="Q20" s="293"/>
      <c r="R20" s="49">
        <f t="shared" si="11"/>
        <v>196682</v>
      </c>
      <c r="S20" s="49">
        <f t="shared" si="12"/>
        <v>0</v>
      </c>
      <c r="U20" s="49">
        <f>民間設備製造1!E22</f>
        <v>0</v>
      </c>
      <c r="V20" s="49">
        <f t="shared" si="13"/>
        <v>291205</v>
      </c>
    </row>
    <row r="21" spans="1:22">
      <c r="A21" s="301">
        <v>2</v>
      </c>
      <c r="B21" s="128" t="s">
        <v>186</v>
      </c>
      <c r="C21" s="829">
        <f>'２次調整'!W23</f>
        <v>1850269</v>
      </c>
      <c r="D21" s="827">
        <f>民間消費!E23</f>
        <v>1583066</v>
      </c>
      <c r="E21" s="827">
        <f>政府消費!E23</f>
        <v>252570</v>
      </c>
      <c r="F21" s="827">
        <f t="shared" si="7"/>
        <v>453471</v>
      </c>
      <c r="G21" s="827">
        <f>民間住宅1!E23</f>
        <v>92874</v>
      </c>
      <c r="H21" s="827">
        <f>民間設備投資計!E23</f>
        <v>338452</v>
      </c>
      <c r="I21" s="827">
        <f>民間在庫品増加!E23</f>
        <v>22145</v>
      </c>
      <c r="J21" s="827">
        <f>公的投資!E23</f>
        <v>51835</v>
      </c>
      <c r="K21" s="855">
        <f t="shared" si="8"/>
        <v>2340942</v>
      </c>
      <c r="L21" s="855">
        <f t="shared" si="9"/>
        <v>-490673</v>
      </c>
      <c r="M21" s="827">
        <f>+移出入推計WS!Y23+移出入推計WS!AA23+移出入推計WS!AB23</f>
        <v>1691435</v>
      </c>
      <c r="N21" s="827">
        <f>移出入推計WS!Z23</f>
        <v>2065574</v>
      </c>
      <c r="O21" s="828">
        <f t="shared" si="10"/>
        <v>-116534</v>
      </c>
      <c r="P21" s="293">
        <v>2</v>
      </c>
      <c r="Q21" s="293"/>
      <c r="R21" s="49">
        <f t="shared" si="11"/>
        <v>1850269</v>
      </c>
      <c r="S21" s="49">
        <f t="shared" si="12"/>
        <v>0</v>
      </c>
      <c r="U21" s="49">
        <f>民間設備製造1!E23</f>
        <v>79293</v>
      </c>
      <c r="V21" s="49">
        <f t="shared" si="13"/>
        <v>2059638</v>
      </c>
    </row>
    <row r="22" spans="1:22">
      <c r="A22" s="300">
        <v>207</v>
      </c>
      <c r="B22" s="90" t="s">
        <v>187</v>
      </c>
      <c r="C22" s="829">
        <f>'２次調整'!W24</f>
        <v>625498</v>
      </c>
      <c r="D22" s="830">
        <f>民間消費!E24</f>
        <v>436538</v>
      </c>
      <c r="E22" s="830">
        <f>政府消費!E24</f>
        <v>68548</v>
      </c>
      <c r="F22" s="830">
        <f t="shared" si="7"/>
        <v>149991</v>
      </c>
      <c r="G22" s="830">
        <f>民間住宅1!E24</f>
        <v>22655</v>
      </c>
      <c r="H22" s="830">
        <f>民間設備投資計!E24</f>
        <v>121006</v>
      </c>
      <c r="I22" s="830">
        <f>民間在庫品増加!E24</f>
        <v>6330</v>
      </c>
      <c r="J22" s="830">
        <f>公的投資!E24</f>
        <v>14073</v>
      </c>
      <c r="K22" s="856">
        <f t="shared" si="8"/>
        <v>669150</v>
      </c>
      <c r="L22" s="856">
        <f t="shared" si="9"/>
        <v>-43652</v>
      </c>
      <c r="M22" s="830">
        <f>+移出入推計WS!Y24+移出入推計WS!AA24+移出入推計WS!AB24</f>
        <v>561752</v>
      </c>
      <c r="N22" s="830">
        <f>移出入推計WS!Z24</f>
        <v>590437</v>
      </c>
      <c r="O22" s="831">
        <f t="shared" si="10"/>
        <v>-14967</v>
      </c>
      <c r="P22" s="293">
        <v>207</v>
      </c>
      <c r="Q22" s="293"/>
      <c r="R22" s="49">
        <f t="shared" si="11"/>
        <v>625498</v>
      </c>
      <c r="S22" s="49">
        <f t="shared" si="12"/>
        <v>0</v>
      </c>
      <c r="U22" s="49">
        <f>民間設備製造1!E24</f>
        <v>46926</v>
      </c>
      <c r="V22" s="49">
        <f t="shared" si="13"/>
        <v>588740</v>
      </c>
    </row>
    <row r="23" spans="1:22">
      <c r="A23" s="300">
        <v>214</v>
      </c>
      <c r="B23" s="90" t="s">
        <v>188</v>
      </c>
      <c r="C23" s="829">
        <f>'２次調整'!W25</f>
        <v>444942</v>
      </c>
      <c r="D23" s="830">
        <f>民間消費!E25</f>
        <v>511941</v>
      </c>
      <c r="E23" s="830">
        <f>政府消費!E25</f>
        <v>75548</v>
      </c>
      <c r="F23" s="830">
        <f t="shared" si="7"/>
        <v>120251</v>
      </c>
      <c r="G23" s="830">
        <f>民間住宅1!E25</f>
        <v>29482</v>
      </c>
      <c r="H23" s="830">
        <f>民間設備投資計!E25</f>
        <v>83900</v>
      </c>
      <c r="I23" s="830">
        <f>民間在庫品増加!E25</f>
        <v>6869</v>
      </c>
      <c r="J23" s="830">
        <f>公的投資!E25</f>
        <v>18385</v>
      </c>
      <c r="K23" s="856">
        <f t="shared" si="8"/>
        <v>726125</v>
      </c>
      <c r="L23" s="856">
        <f t="shared" si="9"/>
        <v>-281183</v>
      </c>
      <c r="M23" s="830">
        <f>+移出入推計WS!Y25+移出入推計WS!AA25+移出入推計WS!AB25</f>
        <v>415590</v>
      </c>
      <c r="N23" s="830">
        <f>移出入推計WS!Z25</f>
        <v>640710</v>
      </c>
      <c r="O23" s="831">
        <f t="shared" si="10"/>
        <v>-56063</v>
      </c>
      <c r="P23" s="293">
        <v>214</v>
      </c>
      <c r="Q23" s="293"/>
      <c r="R23" s="49">
        <f t="shared" si="11"/>
        <v>444942</v>
      </c>
      <c r="S23" s="49">
        <f t="shared" si="12"/>
        <v>0</v>
      </c>
      <c r="U23" s="49">
        <f>民間設備製造1!E25</f>
        <v>3513</v>
      </c>
      <c r="V23" s="49">
        <f t="shared" si="13"/>
        <v>638869</v>
      </c>
    </row>
    <row r="24" spans="1:22">
      <c r="A24" s="300">
        <v>217</v>
      </c>
      <c r="B24" s="90" t="s">
        <v>189</v>
      </c>
      <c r="C24" s="829">
        <f>'２次調整'!W26</f>
        <v>304752</v>
      </c>
      <c r="D24" s="830">
        <f>民間消費!E26</f>
        <v>350662</v>
      </c>
      <c r="E24" s="830">
        <f>政府消費!E26</f>
        <v>54961</v>
      </c>
      <c r="F24" s="830">
        <f t="shared" si="7"/>
        <v>85584</v>
      </c>
      <c r="G24" s="830">
        <f>民間住宅1!E26</f>
        <v>22756</v>
      </c>
      <c r="H24" s="830">
        <f>民間設備投資計!E26</f>
        <v>58079</v>
      </c>
      <c r="I24" s="830">
        <f>民間在庫品増加!E26</f>
        <v>4749</v>
      </c>
      <c r="J24" s="830">
        <f>公的投資!E26</f>
        <v>10760</v>
      </c>
      <c r="K24" s="856">
        <f t="shared" si="8"/>
        <v>501967</v>
      </c>
      <c r="L24" s="856">
        <f t="shared" si="9"/>
        <v>-197215</v>
      </c>
      <c r="M24" s="830">
        <f>+移出入推計WS!Y26+移出入推計WS!AA26+移出入推計WS!AB26</f>
        <v>286568</v>
      </c>
      <c r="N24" s="830">
        <f>移出入推計WS!Z26</f>
        <v>442920</v>
      </c>
      <c r="O24" s="831">
        <f t="shared" si="10"/>
        <v>-40863</v>
      </c>
      <c r="P24" s="293">
        <v>217</v>
      </c>
      <c r="Q24" s="293"/>
      <c r="R24" s="49">
        <f t="shared" si="11"/>
        <v>304752</v>
      </c>
      <c r="S24" s="49">
        <f t="shared" si="12"/>
        <v>0</v>
      </c>
      <c r="U24" s="49">
        <f>民間設備製造1!E26</f>
        <v>2508</v>
      </c>
      <c r="V24" s="49">
        <f t="shared" si="13"/>
        <v>441647</v>
      </c>
    </row>
    <row r="25" spans="1:22">
      <c r="A25" s="300">
        <v>219</v>
      </c>
      <c r="B25" s="90" t="s">
        <v>190</v>
      </c>
      <c r="C25" s="829">
        <f>'２次調整'!W27</f>
        <v>415426</v>
      </c>
      <c r="D25" s="830">
        <f>民間消費!E27</f>
        <v>223965</v>
      </c>
      <c r="E25" s="830">
        <f>政府消費!E27</f>
        <v>39902</v>
      </c>
      <c r="F25" s="830">
        <f t="shared" si="7"/>
        <v>82657</v>
      </c>
      <c r="G25" s="830">
        <f>民間住宅1!E27</f>
        <v>14121</v>
      </c>
      <c r="H25" s="830">
        <f>民間設備投資計!E27</f>
        <v>65194</v>
      </c>
      <c r="I25" s="830">
        <f>民間在庫品増加!E27</f>
        <v>3342</v>
      </c>
      <c r="J25" s="830">
        <f>公的投資!E27</f>
        <v>6760</v>
      </c>
      <c r="K25" s="856">
        <f t="shared" si="8"/>
        <v>353284</v>
      </c>
      <c r="L25" s="856">
        <f t="shared" si="9"/>
        <v>62142</v>
      </c>
      <c r="M25" s="830">
        <f>+移出入推計WS!Y27+移出入推計WS!AA27+移出入推計WS!AB27</f>
        <v>369730</v>
      </c>
      <c r="N25" s="830">
        <f>移出入推計WS!Z27</f>
        <v>311727</v>
      </c>
      <c r="O25" s="831">
        <f t="shared" si="10"/>
        <v>4139</v>
      </c>
      <c r="P25" s="293">
        <v>219</v>
      </c>
      <c r="Q25" s="293"/>
      <c r="R25" s="49">
        <f t="shared" si="11"/>
        <v>415426</v>
      </c>
      <c r="S25" s="49">
        <f t="shared" si="12"/>
        <v>0</v>
      </c>
      <c r="U25" s="49">
        <f>民間設備製造1!E27</f>
        <v>26083</v>
      </c>
      <c r="V25" s="49">
        <f t="shared" si="13"/>
        <v>310831</v>
      </c>
    </row>
    <row r="26" spans="1:22">
      <c r="A26" s="302">
        <v>301</v>
      </c>
      <c r="B26" s="201" t="s">
        <v>191</v>
      </c>
      <c r="C26" s="829">
        <f>'２次調整'!W28</f>
        <v>59651</v>
      </c>
      <c r="D26" s="837">
        <f>民間消費!E28</f>
        <v>59960</v>
      </c>
      <c r="E26" s="837">
        <f>政府消費!E28</f>
        <v>13611</v>
      </c>
      <c r="F26" s="837">
        <f t="shared" si="7"/>
        <v>14988</v>
      </c>
      <c r="G26" s="837">
        <f>民間住宅1!E28</f>
        <v>3860</v>
      </c>
      <c r="H26" s="837">
        <f>民間設備投資計!E28</f>
        <v>10273</v>
      </c>
      <c r="I26" s="837">
        <f>民間在庫品増加!E28</f>
        <v>855</v>
      </c>
      <c r="J26" s="837">
        <f>公的投資!E28</f>
        <v>1857</v>
      </c>
      <c r="K26" s="858">
        <f t="shared" si="8"/>
        <v>90416</v>
      </c>
      <c r="L26" s="858">
        <f t="shared" si="9"/>
        <v>-30765</v>
      </c>
      <c r="M26" s="837">
        <f>+移出入推計WS!Y28+移出入推計WS!AA28+移出入推計WS!AB28</f>
        <v>57795</v>
      </c>
      <c r="N26" s="837">
        <f>移出入推計WS!Z28</f>
        <v>79780</v>
      </c>
      <c r="O26" s="835">
        <f t="shared" si="10"/>
        <v>-8780</v>
      </c>
      <c r="P26" s="293">
        <v>301</v>
      </c>
      <c r="Q26" s="293"/>
      <c r="R26" s="49">
        <f t="shared" si="11"/>
        <v>59651</v>
      </c>
      <c r="S26" s="49">
        <f t="shared" si="12"/>
        <v>0</v>
      </c>
      <c r="U26" s="49">
        <f>民間設備製造1!E28</f>
        <v>263</v>
      </c>
      <c r="V26" s="49">
        <f t="shared" si="13"/>
        <v>79551</v>
      </c>
    </row>
    <row r="27" spans="1:22">
      <c r="A27" s="300">
        <v>3</v>
      </c>
      <c r="B27" s="65" t="s">
        <v>192</v>
      </c>
      <c r="C27" s="826">
        <f>'２次調整'!W29</f>
        <v>2959266</v>
      </c>
      <c r="D27" s="830">
        <f>民間消費!E29</f>
        <v>1565575</v>
      </c>
      <c r="E27" s="830">
        <f>政府消費!E29</f>
        <v>232393</v>
      </c>
      <c r="F27" s="830">
        <f t="shared" si="7"/>
        <v>788456</v>
      </c>
      <c r="G27" s="830">
        <f>民間住宅1!E29</f>
        <v>118699</v>
      </c>
      <c r="H27" s="830">
        <f>民間設備投資計!E29</f>
        <v>644682</v>
      </c>
      <c r="I27" s="830">
        <f>民間在庫品増加!E29</f>
        <v>25075</v>
      </c>
      <c r="J27" s="830">
        <f>公的投資!E29</f>
        <v>64169</v>
      </c>
      <c r="K27" s="856">
        <f t="shared" si="8"/>
        <v>2650593</v>
      </c>
      <c r="L27" s="856">
        <f t="shared" si="9"/>
        <v>308673</v>
      </c>
      <c r="M27" s="830">
        <f>+移出入推計WS!Y29+移出入推計WS!AA29+移出入推計WS!AB29</f>
        <v>2602795</v>
      </c>
      <c r="N27" s="830">
        <f>移出入推計WS!Z29</f>
        <v>2338800</v>
      </c>
      <c r="O27" s="828">
        <f t="shared" si="10"/>
        <v>44678</v>
      </c>
      <c r="P27" s="293">
        <v>3</v>
      </c>
      <c r="Q27" s="293"/>
      <c r="R27" s="49">
        <f t="shared" si="11"/>
        <v>2959266</v>
      </c>
      <c r="S27" s="49">
        <f t="shared" si="12"/>
        <v>0</v>
      </c>
      <c r="U27" s="49">
        <f>民間設備製造1!E29</f>
        <v>351242</v>
      </c>
      <c r="V27" s="49">
        <f t="shared" si="13"/>
        <v>2332078</v>
      </c>
    </row>
    <row r="28" spans="1:22">
      <c r="A28" s="300">
        <v>203</v>
      </c>
      <c r="B28" s="90" t="s">
        <v>193</v>
      </c>
      <c r="C28" s="829">
        <f>'２次調整'!W30</f>
        <v>1117352</v>
      </c>
      <c r="D28" s="830">
        <f>民間消費!E30</f>
        <v>665908</v>
      </c>
      <c r="E28" s="830">
        <f>政府消費!E30</f>
        <v>94769</v>
      </c>
      <c r="F28" s="830">
        <f t="shared" si="7"/>
        <v>250499</v>
      </c>
      <c r="G28" s="830">
        <f>民間住宅1!E30</f>
        <v>45655</v>
      </c>
      <c r="H28" s="830">
        <f>民間設備投資計!E30</f>
        <v>194989</v>
      </c>
      <c r="I28" s="830">
        <f>民間在庫品増加!E30</f>
        <v>9855</v>
      </c>
      <c r="J28" s="830">
        <f>公的投資!E30</f>
        <v>30570</v>
      </c>
      <c r="K28" s="856">
        <f t="shared" si="8"/>
        <v>1041746</v>
      </c>
      <c r="L28" s="856">
        <f t="shared" si="9"/>
        <v>75606</v>
      </c>
      <c r="M28" s="830">
        <f>+移出入推計WS!Y30+移出入推計WS!AA30+移出入推計WS!AB30</f>
        <v>986950</v>
      </c>
      <c r="N28" s="830">
        <f>移出入推計WS!Z30</f>
        <v>919204</v>
      </c>
      <c r="O28" s="831">
        <f t="shared" si="10"/>
        <v>7860</v>
      </c>
      <c r="P28" s="293">
        <v>203</v>
      </c>
      <c r="Q28" s="293"/>
      <c r="R28" s="49">
        <f t="shared" si="11"/>
        <v>1117352</v>
      </c>
      <c r="S28" s="49">
        <f t="shared" si="12"/>
        <v>0</v>
      </c>
      <c r="U28" s="49">
        <f>民間設備製造1!E30</f>
        <v>79660</v>
      </c>
      <c r="V28" s="49">
        <f t="shared" si="13"/>
        <v>916562</v>
      </c>
    </row>
    <row r="29" spans="1:22">
      <c r="A29" s="300">
        <v>210</v>
      </c>
      <c r="B29" s="90" t="s">
        <v>194</v>
      </c>
      <c r="C29" s="829">
        <f>'２次調整'!W31</f>
        <v>935443</v>
      </c>
      <c r="D29" s="830">
        <f>民間消費!E31</f>
        <v>566679</v>
      </c>
      <c r="E29" s="830">
        <f>政府消費!E31</f>
        <v>86019</v>
      </c>
      <c r="F29" s="830">
        <f t="shared" si="7"/>
        <v>276278</v>
      </c>
      <c r="G29" s="830">
        <f>民間住宅1!E31</f>
        <v>48987</v>
      </c>
      <c r="H29" s="830">
        <f>民間設備投資計!E31</f>
        <v>218301</v>
      </c>
      <c r="I29" s="830">
        <f>民間在庫品増加!E31</f>
        <v>8990</v>
      </c>
      <c r="J29" s="830">
        <f>公的投資!E31</f>
        <v>21315</v>
      </c>
      <c r="K29" s="856">
        <f t="shared" si="8"/>
        <v>950291</v>
      </c>
      <c r="L29" s="856">
        <f t="shared" si="9"/>
        <v>-14848</v>
      </c>
      <c r="M29" s="830">
        <f>+移出入推計WS!Y31+移出入推計WS!AA31+移出入推計WS!AB31</f>
        <v>830258</v>
      </c>
      <c r="N29" s="830">
        <f>移出入推計WS!Z31</f>
        <v>838507</v>
      </c>
      <c r="O29" s="831">
        <f t="shared" si="10"/>
        <v>-6599</v>
      </c>
      <c r="P29" s="293">
        <v>210</v>
      </c>
      <c r="Q29" s="293"/>
      <c r="R29" s="49">
        <f t="shared" si="11"/>
        <v>935443</v>
      </c>
      <c r="S29" s="49">
        <f t="shared" si="12"/>
        <v>0</v>
      </c>
      <c r="U29" s="49">
        <f>民間設備製造1!E31</f>
        <v>113097</v>
      </c>
      <c r="V29" s="49">
        <f t="shared" si="13"/>
        <v>836097</v>
      </c>
    </row>
    <row r="30" spans="1:22">
      <c r="A30" s="300">
        <v>216</v>
      </c>
      <c r="B30" s="90" t="s">
        <v>195</v>
      </c>
      <c r="C30" s="829">
        <f>'２次調整'!W32</f>
        <v>622431</v>
      </c>
      <c r="D30" s="830">
        <f>民間消費!E32</f>
        <v>201893</v>
      </c>
      <c r="E30" s="830">
        <f>政府消費!E32</f>
        <v>33017</v>
      </c>
      <c r="F30" s="830">
        <f t="shared" si="7"/>
        <v>193422</v>
      </c>
      <c r="G30" s="830">
        <f>民間住宅1!E32</f>
        <v>16295</v>
      </c>
      <c r="H30" s="830">
        <f>民間設備投資計!E32</f>
        <v>173000</v>
      </c>
      <c r="I30" s="830">
        <f>民間在庫品増加!E32</f>
        <v>4127</v>
      </c>
      <c r="J30" s="830">
        <f>公的投資!E32</f>
        <v>7880</v>
      </c>
      <c r="K30" s="856">
        <f t="shared" si="8"/>
        <v>436212</v>
      </c>
      <c r="L30" s="856">
        <f t="shared" si="9"/>
        <v>186219</v>
      </c>
      <c r="M30" s="830">
        <f>+移出入推計WS!Y32+移出入推計WS!AA32+移出入推計WS!AB32</f>
        <v>537981</v>
      </c>
      <c r="N30" s="830">
        <f>移出入推計WS!Z32</f>
        <v>384900</v>
      </c>
      <c r="O30" s="831">
        <f t="shared" si="10"/>
        <v>33138</v>
      </c>
      <c r="P30" s="293">
        <v>216</v>
      </c>
      <c r="Q30" s="293"/>
      <c r="R30" s="49">
        <f t="shared" si="11"/>
        <v>622431</v>
      </c>
      <c r="S30" s="49">
        <f t="shared" si="12"/>
        <v>0</v>
      </c>
      <c r="U30" s="49">
        <f>民間設備製造1!E32</f>
        <v>124708</v>
      </c>
      <c r="V30" s="49">
        <f t="shared" si="13"/>
        <v>383793</v>
      </c>
    </row>
    <row r="31" spans="1:22">
      <c r="A31" s="300">
        <v>381</v>
      </c>
      <c r="B31" s="90" t="s">
        <v>196</v>
      </c>
      <c r="C31" s="829">
        <f>'２次調整'!W33</f>
        <v>142304</v>
      </c>
      <c r="D31" s="830">
        <f>民間消費!E33</f>
        <v>59031</v>
      </c>
      <c r="E31" s="830">
        <f>政府消費!E33</f>
        <v>8677</v>
      </c>
      <c r="F31" s="830">
        <f t="shared" si="7"/>
        <v>22885</v>
      </c>
      <c r="G31" s="830">
        <f>民間住宅1!E33</f>
        <v>2154</v>
      </c>
      <c r="H31" s="830">
        <f>民間設備投資計!E33</f>
        <v>19855</v>
      </c>
      <c r="I31" s="830">
        <f>民間在庫品増加!E33</f>
        <v>876</v>
      </c>
      <c r="J31" s="830">
        <f>公的投資!E33</f>
        <v>2024</v>
      </c>
      <c r="K31" s="856">
        <f t="shared" si="8"/>
        <v>92617</v>
      </c>
      <c r="L31" s="856">
        <f t="shared" si="9"/>
        <v>49687</v>
      </c>
      <c r="M31" s="830">
        <f>+移出入推計WS!Y33+移出入推計WS!AA33+移出入推計WS!AB33</f>
        <v>123671</v>
      </c>
      <c r="N31" s="830">
        <f>移出入推計WS!Z33</f>
        <v>81722</v>
      </c>
      <c r="O31" s="831">
        <f t="shared" si="10"/>
        <v>7738</v>
      </c>
      <c r="P31" s="293">
        <v>381</v>
      </c>
      <c r="Q31" s="293"/>
      <c r="R31" s="49">
        <f t="shared" si="11"/>
        <v>142304</v>
      </c>
      <c r="S31" s="49">
        <f t="shared" si="12"/>
        <v>0</v>
      </c>
      <c r="U31" s="49">
        <f>民間設備製造1!E33</f>
        <v>9602</v>
      </c>
      <c r="V31" s="49">
        <f t="shared" si="13"/>
        <v>81488</v>
      </c>
    </row>
    <row r="32" spans="1:22">
      <c r="A32" s="300">
        <v>382</v>
      </c>
      <c r="B32" s="90" t="s">
        <v>197</v>
      </c>
      <c r="C32" s="836">
        <f>'２次調整'!W34</f>
        <v>141736</v>
      </c>
      <c r="D32" s="830">
        <f>民間消費!E34</f>
        <v>72064</v>
      </c>
      <c r="E32" s="830">
        <f>政府消費!E34</f>
        <v>9911</v>
      </c>
      <c r="F32" s="830">
        <f t="shared" si="7"/>
        <v>45372</v>
      </c>
      <c r="G32" s="830">
        <f>民間住宅1!E34</f>
        <v>5608</v>
      </c>
      <c r="H32" s="830">
        <f>民間設備投資計!E34</f>
        <v>38537</v>
      </c>
      <c r="I32" s="830">
        <f>民間在庫品増加!E34</f>
        <v>1227</v>
      </c>
      <c r="J32" s="830">
        <f>公的投資!E34</f>
        <v>2380</v>
      </c>
      <c r="K32" s="856">
        <f t="shared" si="8"/>
        <v>129727</v>
      </c>
      <c r="L32" s="856">
        <f t="shared" si="9"/>
        <v>12009</v>
      </c>
      <c r="M32" s="830">
        <f>+移出入推計WS!Y34+移出入推計WS!AA34+移出入推計WS!AB34</f>
        <v>123935</v>
      </c>
      <c r="N32" s="830">
        <f>移出入推計WS!Z34</f>
        <v>114467</v>
      </c>
      <c r="O32" s="835">
        <f t="shared" si="10"/>
        <v>2541</v>
      </c>
      <c r="P32" s="293">
        <v>382</v>
      </c>
      <c r="Q32" s="293"/>
      <c r="R32" s="49">
        <f t="shared" si="11"/>
        <v>141736</v>
      </c>
      <c r="S32" s="49">
        <f t="shared" si="12"/>
        <v>0</v>
      </c>
      <c r="U32" s="49">
        <f>民間設備製造1!E34</f>
        <v>24175</v>
      </c>
      <c r="V32" s="49">
        <f t="shared" si="13"/>
        <v>114138</v>
      </c>
    </row>
    <row r="33" spans="1:22">
      <c r="A33" s="301">
        <v>4</v>
      </c>
      <c r="B33" s="306" t="s">
        <v>198</v>
      </c>
      <c r="C33" s="829">
        <f>'２次調整'!W35</f>
        <v>1186285</v>
      </c>
      <c r="D33" s="827">
        <f>民間消費!E35</f>
        <v>551573</v>
      </c>
      <c r="E33" s="827">
        <f>政府消費!E35</f>
        <v>108058</v>
      </c>
      <c r="F33" s="827">
        <f t="shared" si="7"/>
        <v>212072</v>
      </c>
      <c r="G33" s="827">
        <f>民間住宅1!E35</f>
        <v>33687</v>
      </c>
      <c r="H33" s="827">
        <f>民間設備投資計!E35</f>
        <v>169895</v>
      </c>
      <c r="I33" s="827">
        <f>民間在庫品増加!E35</f>
        <v>8490</v>
      </c>
      <c r="J33" s="827">
        <f>公的投資!E35</f>
        <v>25766</v>
      </c>
      <c r="K33" s="855">
        <f t="shared" si="8"/>
        <v>897469</v>
      </c>
      <c r="L33" s="855">
        <f t="shared" si="9"/>
        <v>288816</v>
      </c>
      <c r="M33" s="827">
        <f>+移出入推計WS!Y35+移出入推計WS!AA35+移出入推計WS!AB35</f>
        <v>1052282</v>
      </c>
      <c r="N33" s="827">
        <f>移出入推計WS!Z35</f>
        <v>791898</v>
      </c>
      <c r="O33" s="828">
        <f t="shared" si="10"/>
        <v>28432</v>
      </c>
      <c r="P33" s="293">
        <v>4</v>
      </c>
      <c r="Q33" s="293"/>
      <c r="R33" s="49">
        <f t="shared" si="11"/>
        <v>1186285</v>
      </c>
      <c r="S33" s="49">
        <f t="shared" si="12"/>
        <v>0</v>
      </c>
      <c r="U33" s="49">
        <f>民間設備製造1!E35</f>
        <v>70539</v>
      </c>
      <c r="V33" s="49">
        <f t="shared" si="13"/>
        <v>789623</v>
      </c>
    </row>
    <row r="34" spans="1:22">
      <c r="A34" s="300">
        <v>213</v>
      </c>
      <c r="B34" s="92" t="s">
        <v>231</v>
      </c>
      <c r="C34" s="829">
        <f>'２次調整'!W36</f>
        <v>157261</v>
      </c>
      <c r="D34" s="830">
        <f>民間消費!E36</f>
        <v>86202</v>
      </c>
      <c r="E34" s="830">
        <f>政府消費!E36</f>
        <v>13835</v>
      </c>
      <c r="F34" s="830">
        <f t="shared" si="7"/>
        <v>28748</v>
      </c>
      <c r="G34" s="830">
        <f>民間住宅1!E36</f>
        <v>6197</v>
      </c>
      <c r="H34" s="830">
        <f>民間設備投資計!E36</f>
        <v>21287</v>
      </c>
      <c r="I34" s="830">
        <f>民間在庫品増加!E36</f>
        <v>1264</v>
      </c>
      <c r="J34" s="830">
        <f>公的投資!E36</f>
        <v>4816</v>
      </c>
      <c r="K34" s="856">
        <f t="shared" si="8"/>
        <v>133601</v>
      </c>
      <c r="L34" s="856">
        <f t="shared" si="9"/>
        <v>23660</v>
      </c>
      <c r="M34" s="830">
        <f>+移出入推計WS!Y36+移出入推計WS!AA36+移出入推計WS!AB36</f>
        <v>139205</v>
      </c>
      <c r="N34" s="830">
        <f>移出入推計WS!Z36</f>
        <v>117885</v>
      </c>
      <c r="O34" s="831">
        <f t="shared" si="10"/>
        <v>2340</v>
      </c>
      <c r="P34" s="293">
        <v>213</v>
      </c>
      <c r="Q34" s="293"/>
      <c r="R34" s="49">
        <f t="shared" si="11"/>
        <v>157261</v>
      </c>
      <c r="S34" s="49">
        <f t="shared" si="12"/>
        <v>0</v>
      </c>
      <c r="U34" s="49">
        <f>民間設備製造1!E36</f>
        <v>6496</v>
      </c>
      <c r="V34" s="49">
        <f t="shared" si="13"/>
        <v>117546</v>
      </c>
    </row>
    <row r="35" spans="1:22">
      <c r="A35" s="300">
        <v>215</v>
      </c>
      <c r="B35" s="92" t="s">
        <v>232</v>
      </c>
      <c r="C35" s="829">
        <f>'２次調整'!W37</f>
        <v>283836</v>
      </c>
      <c r="D35" s="830">
        <f>民間消費!E37</f>
        <v>165091</v>
      </c>
      <c r="E35" s="830">
        <f>政府消費!E37</f>
        <v>31007</v>
      </c>
      <c r="F35" s="830">
        <f t="shared" si="7"/>
        <v>47867</v>
      </c>
      <c r="G35" s="830">
        <f>民間住宅1!E37</f>
        <v>9387</v>
      </c>
      <c r="H35" s="830">
        <f>民間設備投資計!E37</f>
        <v>36126</v>
      </c>
      <c r="I35" s="830">
        <f>民間在庫品増加!E37</f>
        <v>2354</v>
      </c>
      <c r="J35" s="830">
        <f>公的投資!E37</f>
        <v>4918</v>
      </c>
      <c r="K35" s="856">
        <f t="shared" si="8"/>
        <v>248883</v>
      </c>
      <c r="L35" s="856">
        <f t="shared" si="9"/>
        <v>34953</v>
      </c>
      <c r="M35" s="830">
        <f>+移出入推計WS!Y37+移出入推計WS!AA37+移出入推計WS!AB37</f>
        <v>254850</v>
      </c>
      <c r="N35" s="830">
        <f>移出入推計WS!Z37</f>
        <v>219606</v>
      </c>
      <c r="O35" s="831">
        <f t="shared" si="10"/>
        <v>-291</v>
      </c>
      <c r="P35" s="293">
        <v>215</v>
      </c>
      <c r="Q35" s="293"/>
      <c r="R35" s="49">
        <f t="shared" si="11"/>
        <v>283836</v>
      </c>
      <c r="S35" s="49">
        <f t="shared" si="12"/>
        <v>0</v>
      </c>
      <c r="U35" s="49">
        <f>民間設備製造1!E37</f>
        <v>8573</v>
      </c>
      <c r="V35" s="49">
        <f t="shared" si="13"/>
        <v>218976</v>
      </c>
    </row>
    <row r="36" spans="1:22">
      <c r="A36" s="300">
        <v>218</v>
      </c>
      <c r="B36" s="90" t="s">
        <v>200</v>
      </c>
      <c r="C36" s="829">
        <f>'２次調整'!W38</f>
        <v>231387</v>
      </c>
      <c r="D36" s="830">
        <f>民間消費!E38</f>
        <v>94951</v>
      </c>
      <c r="E36" s="830">
        <f>政府消費!E38</f>
        <v>16808</v>
      </c>
      <c r="F36" s="830">
        <f t="shared" si="7"/>
        <v>46157</v>
      </c>
      <c r="G36" s="830">
        <f>民間住宅1!E38</f>
        <v>6217</v>
      </c>
      <c r="H36" s="830">
        <f>民間設備投資計!E38</f>
        <v>38400</v>
      </c>
      <c r="I36" s="830">
        <f>民間在庫品増加!E38</f>
        <v>1540</v>
      </c>
      <c r="J36" s="830">
        <f>公的投資!E38</f>
        <v>4841</v>
      </c>
      <c r="K36" s="856">
        <f t="shared" si="8"/>
        <v>162757</v>
      </c>
      <c r="L36" s="856">
        <f t="shared" si="9"/>
        <v>68630</v>
      </c>
      <c r="M36" s="830">
        <f>+移出入推計WS!Y38+移出入推計WS!AA38+移出入推計WS!AB38</f>
        <v>202700</v>
      </c>
      <c r="N36" s="830">
        <f>移出入推計WS!Z38</f>
        <v>143612</v>
      </c>
      <c r="O36" s="831">
        <f t="shared" si="10"/>
        <v>9542</v>
      </c>
      <c r="P36" s="293">
        <v>218</v>
      </c>
      <c r="Q36" s="293"/>
      <c r="R36" s="49">
        <f t="shared" si="11"/>
        <v>231387</v>
      </c>
      <c r="S36" s="49">
        <f t="shared" si="12"/>
        <v>0</v>
      </c>
      <c r="U36" s="49">
        <f>民間設備製造1!E38</f>
        <v>20382</v>
      </c>
      <c r="V36" s="49">
        <f t="shared" si="13"/>
        <v>143199</v>
      </c>
    </row>
    <row r="37" spans="1:22">
      <c r="A37" s="300">
        <v>220</v>
      </c>
      <c r="B37" s="90" t="s">
        <v>201</v>
      </c>
      <c r="C37" s="829">
        <f>'２次調整'!W39</f>
        <v>200138</v>
      </c>
      <c r="D37" s="830">
        <f>民間消費!E39</f>
        <v>88212</v>
      </c>
      <c r="E37" s="830">
        <f>政府消費!E39</f>
        <v>17193</v>
      </c>
      <c r="F37" s="830">
        <f t="shared" si="7"/>
        <v>39066</v>
      </c>
      <c r="G37" s="830">
        <f>民間住宅1!E39</f>
        <v>2966</v>
      </c>
      <c r="H37" s="830">
        <f>民間設備投資計!E39</f>
        <v>34686</v>
      </c>
      <c r="I37" s="830">
        <f>民間在庫品増加!E39</f>
        <v>1414</v>
      </c>
      <c r="J37" s="830">
        <f>公的投資!E39</f>
        <v>4993</v>
      </c>
      <c r="K37" s="856">
        <f t="shared" si="8"/>
        <v>149464</v>
      </c>
      <c r="L37" s="856">
        <f t="shared" si="9"/>
        <v>50674</v>
      </c>
      <c r="M37" s="830">
        <f>+移出入推計WS!Y39+移出入推計WS!AA39+移出入推計WS!AB39</f>
        <v>176911</v>
      </c>
      <c r="N37" s="830">
        <f>移出入推計WS!Z39</f>
        <v>131882</v>
      </c>
      <c r="O37" s="831">
        <f t="shared" si="10"/>
        <v>5645</v>
      </c>
      <c r="P37" s="293">
        <v>220</v>
      </c>
      <c r="Q37" s="293"/>
      <c r="R37" s="49">
        <f t="shared" si="11"/>
        <v>200138</v>
      </c>
      <c r="S37" s="49">
        <f t="shared" si="12"/>
        <v>0</v>
      </c>
      <c r="U37" s="49">
        <f>民間設備製造1!E39</f>
        <v>18139</v>
      </c>
      <c r="V37" s="49">
        <f t="shared" si="13"/>
        <v>131503</v>
      </c>
    </row>
    <row r="38" spans="1:22">
      <c r="A38" s="300">
        <v>228</v>
      </c>
      <c r="B38" s="90" t="s">
        <v>239</v>
      </c>
      <c r="C38" s="829">
        <f>'２次調整'!W40</f>
        <v>249999</v>
      </c>
      <c r="D38" s="830">
        <f>民間消費!E40</f>
        <v>77990</v>
      </c>
      <c r="E38" s="830">
        <f>政府消費!E40</f>
        <v>17161</v>
      </c>
      <c r="F38" s="830">
        <f t="shared" si="7"/>
        <v>39294</v>
      </c>
      <c r="G38" s="830">
        <f>民間住宅1!E40</f>
        <v>7477</v>
      </c>
      <c r="H38" s="830">
        <f>民間設備投資計!E40</f>
        <v>30506</v>
      </c>
      <c r="I38" s="830">
        <f>民間在庫品増加!E40</f>
        <v>1311</v>
      </c>
      <c r="J38" s="830">
        <f>公的投資!E40</f>
        <v>4176</v>
      </c>
      <c r="K38" s="856">
        <f t="shared" si="8"/>
        <v>138621</v>
      </c>
      <c r="L38" s="856">
        <f t="shared" si="9"/>
        <v>111378</v>
      </c>
      <c r="M38" s="830">
        <f>+移出入推計WS!Y40+移出入推計WS!AA40+移出入推計WS!AB40</f>
        <v>218409</v>
      </c>
      <c r="N38" s="830">
        <f>移出入推計WS!Z40</f>
        <v>122315</v>
      </c>
      <c r="O38" s="831">
        <f t="shared" si="10"/>
        <v>15284</v>
      </c>
      <c r="P38" s="293">
        <v>228</v>
      </c>
      <c r="Q38" s="293"/>
      <c r="R38" s="49">
        <f t="shared" si="11"/>
        <v>249999</v>
      </c>
      <c r="S38" s="49">
        <f t="shared" si="12"/>
        <v>0</v>
      </c>
      <c r="U38" s="49">
        <f>民間設備製造1!E40</f>
        <v>15160</v>
      </c>
      <c r="V38" s="49">
        <f t="shared" si="13"/>
        <v>121964</v>
      </c>
    </row>
    <row r="39" spans="1:22">
      <c r="A39" s="302">
        <v>365</v>
      </c>
      <c r="B39" s="201" t="s">
        <v>233</v>
      </c>
      <c r="C39" s="829">
        <f>'２次調整'!W41</f>
        <v>63664</v>
      </c>
      <c r="D39" s="837">
        <f>民間消費!E41</f>
        <v>39127</v>
      </c>
      <c r="E39" s="837">
        <f>政府消費!E41</f>
        <v>12054</v>
      </c>
      <c r="F39" s="837">
        <f t="shared" si="7"/>
        <v>10940</v>
      </c>
      <c r="G39" s="837">
        <f>民間住宅1!E41</f>
        <v>1443</v>
      </c>
      <c r="H39" s="837">
        <f>民間設備投資計!E41</f>
        <v>8890</v>
      </c>
      <c r="I39" s="837">
        <f>民間在庫品増加!E41</f>
        <v>607</v>
      </c>
      <c r="J39" s="837">
        <f>公的投資!E41</f>
        <v>2022</v>
      </c>
      <c r="K39" s="858">
        <f t="shared" si="8"/>
        <v>64143</v>
      </c>
      <c r="L39" s="858">
        <f t="shared" si="9"/>
        <v>-479</v>
      </c>
      <c r="M39" s="837">
        <f>+移出入推計WS!Y41+移出入推計WS!AA41+移出入推計WS!AB41</f>
        <v>60207</v>
      </c>
      <c r="N39" s="837">
        <f>移出入推計WS!Z41</f>
        <v>56598</v>
      </c>
      <c r="O39" s="835">
        <f t="shared" si="10"/>
        <v>-4088</v>
      </c>
      <c r="P39" s="293">
        <v>365</v>
      </c>
      <c r="Q39" s="293"/>
      <c r="R39" s="49">
        <f t="shared" si="11"/>
        <v>63664</v>
      </c>
      <c r="S39" s="49">
        <f t="shared" si="12"/>
        <v>0</v>
      </c>
      <c r="U39" s="49">
        <f>民間設備製造1!E41</f>
        <v>1789</v>
      </c>
      <c r="V39" s="49">
        <f t="shared" si="13"/>
        <v>56435</v>
      </c>
    </row>
    <row r="40" spans="1:22">
      <c r="A40" s="300">
        <v>5</v>
      </c>
      <c r="B40" s="91" t="s">
        <v>202</v>
      </c>
      <c r="C40" s="826">
        <f>'２次調整'!W42</f>
        <v>2681065</v>
      </c>
      <c r="D40" s="830">
        <f>民間消費!E42</f>
        <v>1247473</v>
      </c>
      <c r="E40" s="830">
        <f>政府消費!E42</f>
        <v>194003</v>
      </c>
      <c r="F40" s="830">
        <f t="shared" si="7"/>
        <v>566646</v>
      </c>
      <c r="G40" s="830">
        <f>民間住宅1!E42</f>
        <v>99398</v>
      </c>
      <c r="H40" s="830">
        <f>民間設備投資計!E42</f>
        <v>447308</v>
      </c>
      <c r="I40" s="830">
        <f>民間在庫品増加!E42</f>
        <v>19940</v>
      </c>
      <c r="J40" s="830">
        <f>公的投資!E42</f>
        <v>99617</v>
      </c>
      <c r="K40" s="856">
        <f t="shared" si="8"/>
        <v>2107739</v>
      </c>
      <c r="L40" s="856">
        <f t="shared" si="9"/>
        <v>573326</v>
      </c>
      <c r="M40" s="830">
        <f>+移出入推計WS!Y42+移出入推計WS!AA42+移出入推計WS!AB42</f>
        <v>2348230</v>
      </c>
      <c r="N40" s="830">
        <f>移出入推計WS!Z42</f>
        <v>1859803</v>
      </c>
      <c r="O40" s="828">
        <f t="shared" si="10"/>
        <v>84899</v>
      </c>
      <c r="P40" s="293">
        <v>5</v>
      </c>
      <c r="Q40" s="293"/>
      <c r="R40" s="49">
        <f t="shared" si="11"/>
        <v>2681065</v>
      </c>
      <c r="S40" s="49">
        <f t="shared" si="12"/>
        <v>0</v>
      </c>
      <c r="U40" s="49">
        <f>民間設備製造1!E42</f>
        <v>213966</v>
      </c>
      <c r="V40" s="49">
        <f t="shared" si="13"/>
        <v>1854457</v>
      </c>
    </row>
    <row r="41" spans="1:22">
      <c r="A41" s="300">
        <v>201</v>
      </c>
      <c r="B41" s="92" t="s">
        <v>240</v>
      </c>
      <c r="C41" s="829">
        <f>'２次調整'!W43</f>
        <v>2461077</v>
      </c>
      <c r="D41" s="830">
        <f>民間消費!E43</f>
        <v>1163339</v>
      </c>
      <c r="E41" s="830">
        <f>政府消費!E43</f>
        <v>173091</v>
      </c>
      <c r="F41" s="830">
        <f t="shared" si="7"/>
        <v>530534</v>
      </c>
      <c r="G41" s="830">
        <f>民間住宅1!E43</f>
        <v>93566</v>
      </c>
      <c r="H41" s="830">
        <f>民間設備投資計!E43</f>
        <v>418393</v>
      </c>
      <c r="I41" s="830">
        <f>民間在庫品増加!E43</f>
        <v>18575</v>
      </c>
      <c r="J41" s="830">
        <f>公的投資!E43</f>
        <v>96507</v>
      </c>
      <c r="K41" s="856">
        <f t="shared" si="8"/>
        <v>1963471</v>
      </c>
      <c r="L41" s="856">
        <f t="shared" si="9"/>
        <v>497606</v>
      </c>
      <c r="M41" s="830">
        <f>+移出入推計WS!Y43+移出入推計WS!AA43+移出入推計WS!AB43</f>
        <v>2152569</v>
      </c>
      <c r="N41" s="830">
        <f>移出入推計WS!Z43</f>
        <v>1732505</v>
      </c>
      <c r="O41" s="831">
        <f t="shared" si="10"/>
        <v>77542</v>
      </c>
      <c r="P41" s="293">
        <v>201</v>
      </c>
      <c r="Q41" s="293"/>
      <c r="R41" s="49">
        <f t="shared" si="11"/>
        <v>2461077</v>
      </c>
      <c r="S41" s="49">
        <f t="shared" si="12"/>
        <v>0</v>
      </c>
      <c r="U41" s="49">
        <f>民間設備製造1!E43</f>
        <v>201023</v>
      </c>
      <c r="V41" s="49">
        <f t="shared" si="13"/>
        <v>1727526</v>
      </c>
    </row>
    <row r="42" spans="1:22">
      <c r="A42" s="300">
        <v>442</v>
      </c>
      <c r="B42" s="90" t="s">
        <v>203</v>
      </c>
      <c r="C42" s="829">
        <f>'２次調整'!W44</f>
        <v>39000</v>
      </c>
      <c r="D42" s="830">
        <f>民間消費!E44</f>
        <v>24942</v>
      </c>
      <c r="E42" s="830">
        <f>政府消費!E44</f>
        <v>5961</v>
      </c>
      <c r="F42" s="830">
        <f t="shared" si="7"/>
        <v>9878</v>
      </c>
      <c r="G42" s="830">
        <f>民間住宅1!E44</f>
        <v>1016</v>
      </c>
      <c r="H42" s="830">
        <f>民間設備投資計!E44</f>
        <v>8473</v>
      </c>
      <c r="I42" s="830">
        <f>民間在庫品増加!E44</f>
        <v>389</v>
      </c>
      <c r="J42" s="830">
        <f>公的投資!E44</f>
        <v>299</v>
      </c>
      <c r="K42" s="856">
        <f t="shared" si="8"/>
        <v>41080</v>
      </c>
      <c r="L42" s="856">
        <f t="shared" si="9"/>
        <v>-2080</v>
      </c>
      <c r="M42" s="830">
        <f>+移出入推計WS!Y44+移出入推計WS!AA44+移出入推計WS!AB44</f>
        <v>36033</v>
      </c>
      <c r="N42" s="830">
        <f>移出入推計WS!Z44</f>
        <v>36248</v>
      </c>
      <c r="O42" s="831">
        <f t="shared" si="10"/>
        <v>-1865</v>
      </c>
      <c r="P42" s="293">
        <v>442</v>
      </c>
      <c r="Q42" s="293"/>
      <c r="R42" s="49">
        <f t="shared" si="11"/>
        <v>39000</v>
      </c>
      <c r="S42" s="49">
        <f t="shared" si="12"/>
        <v>0</v>
      </c>
      <c r="U42" s="49">
        <f>民間設備製造1!E44</f>
        <v>3925</v>
      </c>
      <c r="V42" s="49">
        <f t="shared" si="13"/>
        <v>36143</v>
      </c>
    </row>
    <row r="43" spans="1:22">
      <c r="A43" s="300">
        <v>443</v>
      </c>
      <c r="B43" s="90" t="s">
        <v>204</v>
      </c>
      <c r="C43" s="829">
        <f>'２次調整'!W45</f>
        <v>147534</v>
      </c>
      <c r="D43" s="830">
        <f>民間消費!E45</f>
        <v>37458</v>
      </c>
      <c r="E43" s="830">
        <f>政府消費!E45</f>
        <v>7293</v>
      </c>
      <c r="F43" s="830">
        <f t="shared" si="7"/>
        <v>20309</v>
      </c>
      <c r="G43" s="830">
        <f>民間住宅1!E45</f>
        <v>4145</v>
      </c>
      <c r="H43" s="830">
        <f>民間設備投資計!E45</f>
        <v>15537</v>
      </c>
      <c r="I43" s="830">
        <f>民間在庫品増加!E45</f>
        <v>627</v>
      </c>
      <c r="J43" s="830">
        <f>公的投資!E45</f>
        <v>1213</v>
      </c>
      <c r="K43" s="856">
        <f t="shared" si="8"/>
        <v>66273</v>
      </c>
      <c r="L43" s="856">
        <f t="shared" si="9"/>
        <v>81261</v>
      </c>
      <c r="M43" s="830">
        <f>+移出入推計WS!Y45+移出入推計WS!AA45+移出入推計WS!AB45</f>
        <v>127199</v>
      </c>
      <c r="N43" s="830">
        <f>移出入推計WS!Z45</f>
        <v>58477</v>
      </c>
      <c r="O43" s="831">
        <f t="shared" si="10"/>
        <v>12539</v>
      </c>
      <c r="P43" s="293">
        <v>443</v>
      </c>
      <c r="Q43" s="293"/>
      <c r="R43" s="49">
        <f t="shared" si="11"/>
        <v>147534</v>
      </c>
      <c r="S43" s="49">
        <f t="shared" si="12"/>
        <v>0</v>
      </c>
      <c r="U43" s="49">
        <f>民間設備製造1!E45</f>
        <v>8200</v>
      </c>
      <c r="V43" s="49">
        <f t="shared" si="13"/>
        <v>58309</v>
      </c>
    </row>
    <row r="44" spans="1:22">
      <c r="A44" s="300">
        <v>446</v>
      </c>
      <c r="B44" s="90" t="s">
        <v>234</v>
      </c>
      <c r="C44" s="836">
        <f>'２次調整'!W46</f>
        <v>33454</v>
      </c>
      <c r="D44" s="830">
        <f>民間消費!E46</f>
        <v>21734</v>
      </c>
      <c r="E44" s="830">
        <f>政府消費!E46</f>
        <v>7658</v>
      </c>
      <c r="F44" s="830">
        <f t="shared" si="7"/>
        <v>5925</v>
      </c>
      <c r="G44" s="830">
        <f>民間住宅1!E46</f>
        <v>671</v>
      </c>
      <c r="H44" s="830">
        <f>民間設備投資計!E46</f>
        <v>4905</v>
      </c>
      <c r="I44" s="830">
        <f>民間在庫品増加!E46</f>
        <v>349</v>
      </c>
      <c r="J44" s="830">
        <f>公的投資!E46</f>
        <v>1598</v>
      </c>
      <c r="K44" s="856">
        <f t="shared" si="8"/>
        <v>36915</v>
      </c>
      <c r="L44" s="856">
        <f t="shared" si="9"/>
        <v>-3461</v>
      </c>
      <c r="M44" s="830">
        <f>+移出入推計WS!Y46+移出入推計WS!AA46+移出入推計WS!AB46</f>
        <v>32429</v>
      </c>
      <c r="N44" s="830">
        <f>移出入推計WS!Z46</f>
        <v>32573</v>
      </c>
      <c r="O44" s="835">
        <f t="shared" si="10"/>
        <v>-3317</v>
      </c>
      <c r="P44" s="293">
        <v>446</v>
      </c>
      <c r="Q44" s="293"/>
      <c r="R44" s="49">
        <f t="shared" si="11"/>
        <v>33454</v>
      </c>
      <c r="S44" s="49">
        <f t="shared" si="12"/>
        <v>0</v>
      </c>
      <c r="U44" s="49">
        <f>民間設備製造1!E46</f>
        <v>818</v>
      </c>
      <c r="V44" s="49">
        <f t="shared" si="13"/>
        <v>32479</v>
      </c>
    </row>
    <row r="45" spans="1:22">
      <c r="A45" s="301">
        <v>6</v>
      </c>
      <c r="B45" s="306" t="s">
        <v>205</v>
      </c>
      <c r="C45" s="829">
        <f>'２次調整'!W47</f>
        <v>964276</v>
      </c>
      <c r="D45" s="827">
        <f>民間消費!E47</f>
        <v>541004</v>
      </c>
      <c r="E45" s="827">
        <f>政府消費!E47</f>
        <v>115176</v>
      </c>
      <c r="F45" s="827">
        <f t="shared" si="7"/>
        <v>213207</v>
      </c>
      <c r="G45" s="827">
        <f>民間住宅1!E47</f>
        <v>30883</v>
      </c>
      <c r="H45" s="827">
        <f>民間設備投資計!E47</f>
        <v>173797</v>
      </c>
      <c r="I45" s="827">
        <f>民間在庫品増加!E47</f>
        <v>8527</v>
      </c>
      <c r="J45" s="827">
        <f>公的投資!E47</f>
        <v>31871</v>
      </c>
      <c r="K45" s="855">
        <f t="shared" si="8"/>
        <v>901258</v>
      </c>
      <c r="L45" s="855">
        <f t="shared" si="9"/>
        <v>63018</v>
      </c>
      <c r="M45" s="827">
        <f>+移出入推計WS!Y47+移出入推計WS!AA47+移出入推計WS!AB47</f>
        <v>871677</v>
      </c>
      <c r="N45" s="827">
        <f>移出入推計WS!Z47</f>
        <v>795240</v>
      </c>
      <c r="O45" s="828">
        <f t="shared" si="10"/>
        <v>-13419</v>
      </c>
      <c r="P45" s="293">
        <v>6</v>
      </c>
      <c r="Q45" s="293"/>
      <c r="R45" s="49">
        <f t="shared" si="11"/>
        <v>964276</v>
      </c>
      <c r="S45" s="49">
        <f t="shared" si="12"/>
        <v>0</v>
      </c>
      <c r="U45" s="49">
        <f>民間設備製造1!E47</f>
        <v>74021</v>
      </c>
      <c r="V45" s="49">
        <f t="shared" si="13"/>
        <v>792955</v>
      </c>
    </row>
    <row r="46" spans="1:22">
      <c r="A46" s="300">
        <v>208</v>
      </c>
      <c r="B46" s="90" t="s">
        <v>206</v>
      </c>
      <c r="C46" s="829">
        <f>'２次調整'!W48</f>
        <v>132465</v>
      </c>
      <c r="D46" s="830">
        <f>民間消費!E48</f>
        <v>69275</v>
      </c>
      <c r="E46" s="830">
        <f>政府消費!E48</f>
        <v>12473</v>
      </c>
      <c r="F46" s="830">
        <f t="shared" si="7"/>
        <v>18899</v>
      </c>
      <c r="G46" s="830">
        <f>民間住宅1!E48</f>
        <v>3027</v>
      </c>
      <c r="H46" s="830">
        <f>民間設備投資計!E48</f>
        <v>14883</v>
      </c>
      <c r="I46" s="830">
        <f>民間在庫品増加!E48</f>
        <v>989</v>
      </c>
      <c r="J46" s="830">
        <f>公的投資!E48</f>
        <v>3898</v>
      </c>
      <c r="K46" s="856">
        <f t="shared" si="8"/>
        <v>104545</v>
      </c>
      <c r="L46" s="856">
        <f t="shared" si="9"/>
        <v>27920</v>
      </c>
      <c r="M46" s="830">
        <f>+移出入推計WS!Y48+移出入推計WS!AA48+移出入推計WS!AB48</f>
        <v>117745</v>
      </c>
      <c r="N46" s="830">
        <f>移出入推計WS!Z48</f>
        <v>92247</v>
      </c>
      <c r="O46" s="831">
        <f t="shared" si="10"/>
        <v>2422</v>
      </c>
      <c r="P46" s="293">
        <v>208</v>
      </c>
      <c r="Q46" s="293"/>
      <c r="R46" s="49">
        <f t="shared" si="11"/>
        <v>132465</v>
      </c>
      <c r="S46" s="49">
        <f t="shared" si="12"/>
        <v>0</v>
      </c>
      <c r="U46" s="49">
        <f>民間設備製造1!E48</f>
        <v>3309</v>
      </c>
      <c r="V46" s="49">
        <f t="shared" si="13"/>
        <v>91982</v>
      </c>
    </row>
    <row r="47" spans="1:22">
      <c r="A47" s="300">
        <v>212</v>
      </c>
      <c r="B47" s="90" t="s">
        <v>207</v>
      </c>
      <c r="C47" s="829">
        <f>'２次調整'!W49</f>
        <v>187045</v>
      </c>
      <c r="D47" s="830">
        <f>民間消費!E49</f>
        <v>107284</v>
      </c>
      <c r="E47" s="830">
        <f>政府消費!E49</f>
        <v>20874</v>
      </c>
      <c r="F47" s="830">
        <f t="shared" si="7"/>
        <v>55422</v>
      </c>
      <c r="G47" s="830">
        <f>民間住宅1!E49</f>
        <v>6461</v>
      </c>
      <c r="H47" s="830">
        <f>民間設備投資計!E49</f>
        <v>47172</v>
      </c>
      <c r="I47" s="830">
        <f>民間在庫品増加!E49</f>
        <v>1789</v>
      </c>
      <c r="J47" s="830">
        <f>公的投資!E49</f>
        <v>5526</v>
      </c>
      <c r="K47" s="856">
        <f t="shared" si="8"/>
        <v>189106</v>
      </c>
      <c r="L47" s="856">
        <f t="shared" si="9"/>
        <v>-2061</v>
      </c>
      <c r="M47" s="830">
        <f>+移出入推計WS!Y49+移出入推計WS!AA49+移出入推計WS!AB49</f>
        <v>168207</v>
      </c>
      <c r="N47" s="830">
        <f>移出入推計WS!Z49</f>
        <v>166861</v>
      </c>
      <c r="O47" s="831">
        <f t="shared" si="10"/>
        <v>-3407</v>
      </c>
      <c r="P47" s="293">
        <v>212</v>
      </c>
      <c r="Q47" s="293"/>
      <c r="R47" s="49">
        <f t="shared" si="11"/>
        <v>187045</v>
      </c>
      <c r="S47" s="49">
        <f t="shared" si="12"/>
        <v>0</v>
      </c>
      <c r="U47" s="49">
        <f>民間設備製造1!E49</f>
        <v>26237</v>
      </c>
      <c r="V47" s="49">
        <f t="shared" si="13"/>
        <v>166382</v>
      </c>
    </row>
    <row r="48" spans="1:22">
      <c r="A48" s="300">
        <v>227</v>
      </c>
      <c r="B48" s="90" t="s">
        <v>219</v>
      </c>
      <c r="C48" s="829">
        <f>'２次調整'!W50</f>
        <v>122003</v>
      </c>
      <c r="D48" s="830">
        <f>民間消費!E50</f>
        <v>76036</v>
      </c>
      <c r="E48" s="830">
        <f>政府消費!E50</f>
        <v>21199</v>
      </c>
      <c r="F48" s="830">
        <f t="shared" si="7"/>
        <v>19380</v>
      </c>
      <c r="G48" s="830">
        <f>民間住宅1!E50</f>
        <v>3149</v>
      </c>
      <c r="H48" s="830">
        <f>民間設備投資計!E50</f>
        <v>15092</v>
      </c>
      <c r="I48" s="830">
        <f>民間在庫品増加!E50</f>
        <v>1139</v>
      </c>
      <c r="J48" s="830">
        <f>公的投資!E50</f>
        <v>3792</v>
      </c>
      <c r="K48" s="856">
        <f t="shared" si="8"/>
        <v>120407</v>
      </c>
      <c r="L48" s="856">
        <f t="shared" si="9"/>
        <v>1596</v>
      </c>
      <c r="M48" s="830">
        <f>+移出入推計WS!Y50+移出入推計WS!AA50+移出入推計WS!AB50</f>
        <v>114244</v>
      </c>
      <c r="N48" s="830">
        <f>移出入推計WS!Z50</f>
        <v>106243</v>
      </c>
      <c r="O48" s="831">
        <f t="shared" ref="O48:O65" si="14">L48-(M48-N48)</f>
        <v>-6405</v>
      </c>
      <c r="P48" s="293">
        <v>227</v>
      </c>
      <c r="Q48" s="293"/>
      <c r="R48" s="49">
        <f t="shared" ref="R48:R65" si="15">D48+E48+F48+J48+L48</f>
        <v>122003</v>
      </c>
      <c r="S48" s="49">
        <f t="shared" ref="S48:S65" si="16">R48-C48</f>
        <v>0</v>
      </c>
      <c r="U48" s="49">
        <f>民間設備製造1!E50</f>
        <v>1762</v>
      </c>
      <c r="V48" s="49">
        <f t="shared" si="13"/>
        <v>105938</v>
      </c>
    </row>
    <row r="49" spans="1:22">
      <c r="A49" s="300">
        <v>229</v>
      </c>
      <c r="B49" s="90" t="s">
        <v>235</v>
      </c>
      <c r="C49" s="829">
        <f>'２次調整'!W51</f>
        <v>319419</v>
      </c>
      <c r="D49" s="830">
        <f>民間消費!E51</f>
        <v>151327</v>
      </c>
      <c r="E49" s="830">
        <f>政府消費!E51</f>
        <v>30554</v>
      </c>
      <c r="F49" s="830">
        <f t="shared" si="7"/>
        <v>69411</v>
      </c>
      <c r="G49" s="830">
        <f>民間住宅1!E51</f>
        <v>11256</v>
      </c>
      <c r="H49" s="830">
        <f>民間設備投資計!E51</f>
        <v>55664</v>
      </c>
      <c r="I49" s="830">
        <f>民間在庫品増加!E51</f>
        <v>2491</v>
      </c>
      <c r="J49" s="830">
        <f>公的投資!E51</f>
        <v>11976</v>
      </c>
      <c r="K49" s="856">
        <f t="shared" si="8"/>
        <v>263268</v>
      </c>
      <c r="L49" s="856">
        <f t="shared" si="9"/>
        <v>56151</v>
      </c>
      <c r="M49" s="830">
        <f>+移出入推計WS!Y51+移出入推計WS!AA51+移出入推計WS!AB51</f>
        <v>284208</v>
      </c>
      <c r="N49" s="830">
        <f>移出入推計WS!Z51</f>
        <v>232299</v>
      </c>
      <c r="O49" s="831">
        <f t="shared" si="14"/>
        <v>4242</v>
      </c>
      <c r="P49" s="293">
        <v>229</v>
      </c>
      <c r="Q49" s="293"/>
      <c r="R49" s="49">
        <f t="shared" si="15"/>
        <v>319419</v>
      </c>
      <c r="S49" s="49">
        <f t="shared" si="16"/>
        <v>0</v>
      </c>
      <c r="U49" s="49">
        <f>民間設備製造1!E51</f>
        <v>26518</v>
      </c>
      <c r="V49" s="49">
        <f t="shared" si="13"/>
        <v>231631</v>
      </c>
    </row>
    <row r="50" spans="1:22">
      <c r="A50" s="300">
        <v>464</v>
      </c>
      <c r="B50" s="90" t="s">
        <v>208</v>
      </c>
      <c r="C50" s="829">
        <f>'２次調整'!W52</f>
        <v>98849</v>
      </c>
      <c r="D50" s="830">
        <f>民間消費!E52</f>
        <v>65317</v>
      </c>
      <c r="E50" s="830">
        <f>政府消費!E52</f>
        <v>8304</v>
      </c>
      <c r="F50" s="830">
        <f t="shared" si="7"/>
        <v>30337</v>
      </c>
      <c r="G50" s="830">
        <f>民間住宅1!E52</f>
        <v>4592</v>
      </c>
      <c r="H50" s="830">
        <f>民間設備投資計!E52</f>
        <v>24736</v>
      </c>
      <c r="I50" s="830">
        <f>民間在庫品増加!E52</f>
        <v>1009</v>
      </c>
      <c r="J50" s="830">
        <f>公的投資!E52</f>
        <v>2693</v>
      </c>
      <c r="K50" s="856">
        <f t="shared" si="8"/>
        <v>106651</v>
      </c>
      <c r="L50" s="856">
        <f t="shared" si="9"/>
        <v>-7802</v>
      </c>
      <c r="M50" s="830">
        <f>+移出入推計WS!Y52+移出入推計WS!AA52+移出入推計WS!AB52</f>
        <v>87265</v>
      </c>
      <c r="N50" s="830">
        <f>移出入推計WS!Z52</f>
        <v>94105</v>
      </c>
      <c r="O50" s="831">
        <f t="shared" si="14"/>
        <v>-962</v>
      </c>
      <c r="P50" s="293">
        <v>464</v>
      </c>
      <c r="Q50" s="293"/>
      <c r="R50" s="49">
        <f t="shared" si="15"/>
        <v>98849</v>
      </c>
      <c r="S50" s="49">
        <f t="shared" si="16"/>
        <v>0</v>
      </c>
      <c r="U50" s="49">
        <f>民間設備製造1!E52</f>
        <v>12929</v>
      </c>
      <c r="V50" s="49">
        <f t="shared" si="13"/>
        <v>93835</v>
      </c>
    </row>
    <row r="51" spans="1:22">
      <c r="A51" s="300">
        <v>481</v>
      </c>
      <c r="B51" s="90" t="s">
        <v>209</v>
      </c>
      <c r="C51" s="829">
        <f>'２次調整'!W53</f>
        <v>44775</v>
      </c>
      <c r="D51" s="830">
        <f>民間消費!E53</f>
        <v>34256</v>
      </c>
      <c r="E51" s="830">
        <f>政府消費!E53</f>
        <v>6794</v>
      </c>
      <c r="F51" s="830">
        <f t="shared" si="7"/>
        <v>10210</v>
      </c>
      <c r="G51" s="830">
        <f>民間住宅1!E53</f>
        <v>1341</v>
      </c>
      <c r="H51" s="830">
        <f>民間設備投資計!E53</f>
        <v>8366</v>
      </c>
      <c r="I51" s="830">
        <f>民間在庫品増加!E53</f>
        <v>503</v>
      </c>
      <c r="J51" s="830">
        <f>公的投資!E53</f>
        <v>1880</v>
      </c>
      <c r="K51" s="856">
        <f t="shared" si="8"/>
        <v>53140</v>
      </c>
      <c r="L51" s="856">
        <f t="shared" si="9"/>
        <v>-8365</v>
      </c>
      <c r="M51" s="830">
        <f>+移出入推計WS!Y53+移出入推計WS!AA53+移出入推計WS!AB53</f>
        <v>41339</v>
      </c>
      <c r="N51" s="830">
        <f>移出入推計WS!Z53</f>
        <v>46889</v>
      </c>
      <c r="O51" s="831">
        <f t="shared" si="14"/>
        <v>-2815</v>
      </c>
      <c r="P51" s="293">
        <v>481</v>
      </c>
      <c r="Q51" s="293"/>
      <c r="R51" s="49">
        <f t="shared" si="15"/>
        <v>44775</v>
      </c>
      <c r="S51" s="49">
        <f t="shared" si="16"/>
        <v>0</v>
      </c>
      <c r="U51" s="49">
        <f>民間設備製造1!E53</f>
        <v>2483</v>
      </c>
      <c r="V51" s="49">
        <f t="shared" si="13"/>
        <v>46754</v>
      </c>
    </row>
    <row r="52" spans="1:22">
      <c r="A52" s="302">
        <v>501</v>
      </c>
      <c r="B52" s="201" t="s">
        <v>236</v>
      </c>
      <c r="C52" s="829">
        <f>'２次調整'!W54</f>
        <v>59720</v>
      </c>
      <c r="D52" s="837">
        <f>民間消費!E54</f>
        <v>37509</v>
      </c>
      <c r="E52" s="837">
        <f>政府消費!E54</f>
        <v>14978</v>
      </c>
      <c r="F52" s="837">
        <f t="shared" si="7"/>
        <v>9548</v>
      </c>
      <c r="G52" s="837">
        <f>民間住宅1!E54</f>
        <v>1057</v>
      </c>
      <c r="H52" s="837">
        <f>民間設備投資計!E54</f>
        <v>7884</v>
      </c>
      <c r="I52" s="837">
        <f>民間在庫品増加!E54</f>
        <v>607</v>
      </c>
      <c r="J52" s="837">
        <f>公的投資!E54</f>
        <v>2106</v>
      </c>
      <c r="K52" s="858">
        <f t="shared" si="8"/>
        <v>64141</v>
      </c>
      <c r="L52" s="858">
        <f t="shared" si="9"/>
        <v>-4421</v>
      </c>
      <c r="M52" s="837">
        <f>+移出入推計WS!Y54+移出入推計WS!AA54+移出入推計WS!AB54</f>
        <v>58669</v>
      </c>
      <c r="N52" s="837">
        <f>移出入推計WS!Z54</f>
        <v>56596</v>
      </c>
      <c r="O52" s="835">
        <f t="shared" si="14"/>
        <v>-6494</v>
      </c>
      <c r="P52" s="293">
        <v>501</v>
      </c>
      <c r="Q52" s="293"/>
      <c r="R52" s="49">
        <f t="shared" si="15"/>
        <v>59720</v>
      </c>
      <c r="S52" s="49">
        <f t="shared" si="16"/>
        <v>0</v>
      </c>
      <c r="U52" s="49">
        <f>民間設備製造1!E54</f>
        <v>783</v>
      </c>
      <c r="V52" s="49">
        <f t="shared" si="13"/>
        <v>56433</v>
      </c>
    </row>
    <row r="53" spans="1:22">
      <c r="A53" s="300">
        <v>7</v>
      </c>
      <c r="B53" s="93" t="s">
        <v>210</v>
      </c>
      <c r="C53" s="826">
        <f>'２次調整'!W55</f>
        <v>608472</v>
      </c>
      <c r="D53" s="830">
        <f>民間消費!E55</f>
        <v>395383</v>
      </c>
      <c r="E53" s="830">
        <f>政府消費!E55</f>
        <v>101384</v>
      </c>
      <c r="F53" s="830">
        <f t="shared" si="7"/>
        <v>110724</v>
      </c>
      <c r="G53" s="830">
        <f>民間住宅1!E55</f>
        <v>14913</v>
      </c>
      <c r="H53" s="830">
        <f>民間設備投資計!E55</f>
        <v>89798</v>
      </c>
      <c r="I53" s="830">
        <f>民間在庫品増加!E55</f>
        <v>6013</v>
      </c>
      <c r="J53" s="830">
        <f>公的投資!E55</f>
        <v>28191</v>
      </c>
      <c r="K53" s="856">
        <f t="shared" si="8"/>
        <v>635682</v>
      </c>
      <c r="L53" s="856">
        <f t="shared" si="9"/>
        <v>-27210</v>
      </c>
      <c r="M53" s="830">
        <f>+移出入推計WS!Y55+移出入推計WS!AA55+移出入推計WS!AB55</f>
        <v>567180</v>
      </c>
      <c r="N53" s="830">
        <f>移出入推計WS!Z55</f>
        <v>560906</v>
      </c>
      <c r="O53" s="828">
        <f t="shared" si="14"/>
        <v>-33484</v>
      </c>
      <c r="P53" s="293">
        <v>7</v>
      </c>
      <c r="Q53" s="293"/>
      <c r="R53" s="49">
        <f t="shared" si="15"/>
        <v>608472</v>
      </c>
      <c r="S53" s="49">
        <f t="shared" si="16"/>
        <v>0</v>
      </c>
      <c r="U53" s="49">
        <f>民間設備製造1!E55</f>
        <v>19423</v>
      </c>
      <c r="V53" s="49">
        <f t="shared" si="13"/>
        <v>559294</v>
      </c>
    </row>
    <row r="54" spans="1:22">
      <c r="A54" s="300">
        <v>209</v>
      </c>
      <c r="B54" s="90" t="s">
        <v>221</v>
      </c>
      <c r="C54" s="829">
        <f>'２次調整'!W56</f>
        <v>299001</v>
      </c>
      <c r="D54" s="830">
        <f>民間消費!E56</f>
        <v>187348</v>
      </c>
      <c r="E54" s="830">
        <f>政府消費!E56</f>
        <v>43470</v>
      </c>
      <c r="F54" s="830">
        <f t="shared" si="7"/>
        <v>51415</v>
      </c>
      <c r="G54" s="830">
        <f>民間住宅1!E56</f>
        <v>7416</v>
      </c>
      <c r="H54" s="830">
        <f>民間設備投資計!E56</f>
        <v>41179</v>
      </c>
      <c r="I54" s="830">
        <f>民間在庫品増加!E56</f>
        <v>2820</v>
      </c>
      <c r="J54" s="830">
        <f>公的投資!E56</f>
        <v>15812</v>
      </c>
      <c r="K54" s="856">
        <f t="shared" si="8"/>
        <v>298045</v>
      </c>
      <c r="L54" s="856">
        <f t="shared" si="9"/>
        <v>956</v>
      </c>
      <c r="M54" s="830">
        <f>+移出入推計WS!Y56+移出入推計WS!AA56+移出入推計WS!AB56</f>
        <v>274919</v>
      </c>
      <c r="N54" s="830">
        <f>移出入推計WS!Z56</f>
        <v>262985</v>
      </c>
      <c r="O54" s="831">
        <f t="shared" si="14"/>
        <v>-10978</v>
      </c>
      <c r="P54" s="293">
        <v>209</v>
      </c>
      <c r="Q54" s="293"/>
      <c r="R54" s="49">
        <f t="shared" si="15"/>
        <v>299001</v>
      </c>
      <c r="S54" s="49">
        <f t="shared" si="16"/>
        <v>0</v>
      </c>
      <c r="U54" s="49">
        <f>民間設備製造1!E56</f>
        <v>8183</v>
      </c>
      <c r="V54" s="49">
        <f t="shared" si="13"/>
        <v>262229</v>
      </c>
    </row>
    <row r="55" spans="1:22">
      <c r="A55" s="300">
        <v>222</v>
      </c>
      <c r="B55" s="90" t="s">
        <v>218</v>
      </c>
      <c r="C55" s="829">
        <f>'２次調整'!W57</f>
        <v>83896</v>
      </c>
      <c r="D55" s="830">
        <f>民間消費!E57</f>
        <v>57409</v>
      </c>
      <c r="E55" s="830">
        <f>政府消費!E57</f>
        <v>15811</v>
      </c>
      <c r="F55" s="830">
        <f t="shared" si="7"/>
        <v>17311</v>
      </c>
      <c r="G55" s="830">
        <f>民間住宅1!E57</f>
        <v>1788</v>
      </c>
      <c r="H55" s="830">
        <f>民間設備投資計!E57</f>
        <v>14636</v>
      </c>
      <c r="I55" s="830">
        <f>民間在庫品増加!E57</f>
        <v>887</v>
      </c>
      <c r="J55" s="830">
        <f>公的投資!E57</f>
        <v>3271</v>
      </c>
      <c r="K55" s="856">
        <f t="shared" si="8"/>
        <v>93802</v>
      </c>
      <c r="L55" s="856">
        <f t="shared" si="9"/>
        <v>-9906</v>
      </c>
      <c r="M55" s="830">
        <f>+移出入推計WS!Y57+移出入推計WS!AA57+移出入推計WS!AB57</f>
        <v>79298</v>
      </c>
      <c r="N55" s="830">
        <f>移出入推計WS!Z57</f>
        <v>82768</v>
      </c>
      <c r="O55" s="831">
        <f t="shared" si="14"/>
        <v>-6436</v>
      </c>
      <c r="P55" s="293">
        <v>222</v>
      </c>
      <c r="Q55" s="293"/>
      <c r="R55" s="49">
        <f t="shared" si="15"/>
        <v>83896</v>
      </c>
      <c r="S55" s="49">
        <f t="shared" si="16"/>
        <v>0</v>
      </c>
      <c r="U55" s="49">
        <f>民間設備製造1!E57</f>
        <v>4251</v>
      </c>
      <c r="V55" s="49">
        <f t="shared" si="13"/>
        <v>82530</v>
      </c>
    </row>
    <row r="56" spans="1:22">
      <c r="A56" s="300">
        <v>225</v>
      </c>
      <c r="B56" s="90" t="s">
        <v>222</v>
      </c>
      <c r="C56" s="829">
        <f>'２次調整'!W58</f>
        <v>126087</v>
      </c>
      <c r="D56" s="830">
        <f>民間消費!E58</f>
        <v>74790</v>
      </c>
      <c r="E56" s="830">
        <f>政府消費!E58</f>
        <v>21304</v>
      </c>
      <c r="F56" s="830">
        <f t="shared" si="7"/>
        <v>24662</v>
      </c>
      <c r="G56" s="830">
        <f>民間住宅1!E58</f>
        <v>3982</v>
      </c>
      <c r="H56" s="830">
        <f>民間設備投資計!E58</f>
        <v>19497</v>
      </c>
      <c r="I56" s="830">
        <f>民間在庫品増加!E58</f>
        <v>1183</v>
      </c>
      <c r="J56" s="830">
        <f>公的投資!E58</f>
        <v>4320</v>
      </c>
      <c r="K56" s="856">
        <f t="shared" si="8"/>
        <v>125076</v>
      </c>
      <c r="L56" s="856">
        <f t="shared" si="9"/>
        <v>1011</v>
      </c>
      <c r="M56" s="830">
        <f>+移出入推計WS!Y58+移出入推計WS!AA58+移出入推計WS!AB58</f>
        <v>117706</v>
      </c>
      <c r="N56" s="830">
        <f>移出入推計WS!Z58</f>
        <v>110363</v>
      </c>
      <c r="O56" s="831">
        <f t="shared" si="14"/>
        <v>-6332</v>
      </c>
      <c r="P56" s="293">
        <v>225</v>
      </c>
      <c r="Q56" s="293"/>
      <c r="R56" s="49">
        <f t="shared" si="15"/>
        <v>126087</v>
      </c>
      <c r="S56" s="49">
        <f t="shared" si="16"/>
        <v>0</v>
      </c>
      <c r="U56" s="49">
        <f>民間設備製造1!E58</f>
        <v>5650</v>
      </c>
      <c r="V56" s="49">
        <f t="shared" si="13"/>
        <v>110046</v>
      </c>
    </row>
    <row r="57" spans="1:22">
      <c r="A57" s="300">
        <v>585</v>
      </c>
      <c r="B57" s="90" t="s">
        <v>220</v>
      </c>
      <c r="C57" s="829">
        <f>'２次調整'!W59</f>
        <v>57671</v>
      </c>
      <c r="D57" s="830">
        <f>民間消費!E59</f>
        <v>41255</v>
      </c>
      <c r="E57" s="830">
        <f>政府消費!E59</f>
        <v>11069</v>
      </c>
      <c r="F57" s="830">
        <f t="shared" si="7"/>
        <v>9548</v>
      </c>
      <c r="G57" s="830">
        <f>民間住宅1!E59</f>
        <v>955</v>
      </c>
      <c r="H57" s="830">
        <f>民間設備投資計!E59</f>
        <v>7978</v>
      </c>
      <c r="I57" s="830">
        <f>民間在庫品増加!E59</f>
        <v>615</v>
      </c>
      <c r="J57" s="830">
        <f>公的投資!E59</f>
        <v>3140</v>
      </c>
      <c r="K57" s="856">
        <f t="shared" si="8"/>
        <v>65012</v>
      </c>
      <c r="L57" s="856">
        <f t="shared" si="9"/>
        <v>-7341</v>
      </c>
      <c r="M57" s="830">
        <f>+移出入推計WS!Y59+移出入推計WS!AA59+移出入推計WS!AB59</f>
        <v>54629</v>
      </c>
      <c r="N57" s="830">
        <f>移出入推計WS!Z59</f>
        <v>57365</v>
      </c>
      <c r="O57" s="831">
        <f t="shared" si="14"/>
        <v>-4605</v>
      </c>
      <c r="P57" s="293">
        <v>585</v>
      </c>
      <c r="Q57" s="293"/>
      <c r="R57" s="49">
        <f t="shared" si="15"/>
        <v>57671</v>
      </c>
      <c r="S57" s="49">
        <f t="shared" si="16"/>
        <v>0</v>
      </c>
      <c r="U57" s="49">
        <f>民間設備製造1!E59</f>
        <v>781</v>
      </c>
      <c r="V57" s="49">
        <f t="shared" si="13"/>
        <v>57200</v>
      </c>
    </row>
    <row r="58" spans="1:22">
      <c r="A58" s="300">
        <v>586</v>
      </c>
      <c r="B58" s="90" t="s">
        <v>237</v>
      </c>
      <c r="C58" s="836">
        <f>'２次調整'!W60</f>
        <v>41817</v>
      </c>
      <c r="D58" s="830">
        <f>民間消費!E60</f>
        <v>34581</v>
      </c>
      <c r="E58" s="830">
        <f>政府消費!E60</f>
        <v>9730</v>
      </c>
      <c r="F58" s="830">
        <f t="shared" si="7"/>
        <v>7788</v>
      </c>
      <c r="G58" s="830">
        <f>民間住宅1!E60</f>
        <v>772</v>
      </c>
      <c r="H58" s="830">
        <f>民間設備投資計!E60</f>
        <v>6508</v>
      </c>
      <c r="I58" s="830">
        <f>民間在庫品増加!E60</f>
        <v>508</v>
      </c>
      <c r="J58" s="830">
        <f>公的投資!E60</f>
        <v>1648</v>
      </c>
      <c r="K58" s="856">
        <f t="shared" si="8"/>
        <v>53747</v>
      </c>
      <c r="L58" s="856">
        <f t="shared" si="9"/>
        <v>-11930</v>
      </c>
      <c r="M58" s="830">
        <f>+移出入推計WS!Y60+移出入推計WS!AA60+移出入推計WS!AB60</f>
        <v>40628</v>
      </c>
      <c r="N58" s="830">
        <f>移出入推計WS!Z60</f>
        <v>47425</v>
      </c>
      <c r="O58" s="835">
        <f t="shared" si="14"/>
        <v>-5133</v>
      </c>
      <c r="P58" s="293">
        <v>586</v>
      </c>
      <c r="Q58" s="293"/>
      <c r="R58" s="49">
        <f t="shared" si="15"/>
        <v>41817</v>
      </c>
      <c r="S58" s="49">
        <f t="shared" si="16"/>
        <v>0</v>
      </c>
      <c r="U58" s="49">
        <f>民間設備製造1!E60</f>
        <v>558</v>
      </c>
      <c r="V58" s="49">
        <f t="shared" si="13"/>
        <v>47289</v>
      </c>
    </row>
    <row r="59" spans="1:22">
      <c r="A59" s="301">
        <v>8</v>
      </c>
      <c r="B59" s="127" t="s">
        <v>211</v>
      </c>
      <c r="C59" s="829">
        <f>'２次調整'!W61</f>
        <v>373363</v>
      </c>
      <c r="D59" s="827">
        <f>民間消費!E61</f>
        <v>238283</v>
      </c>
      <c r="E59" s="827">
        <f>政府消費!E61</f>
        <v>53738</v>
      </c>
      <c r="F59" s="827">
        <f t="shared" si="7"/>
        <v>75409</v>
      </c>
      <c r="G59" s="827">
        <f>民間住宅1!E61</f>
        <v>10444</v>
      </c>
      <c r="H59" s="827">
        <f>民間設備投資計!E61</f>
        <v>61389</v>
      </c>
      <c r="I59" s="827">
        <f>民間在庫品増加!E61</f>
        <v>3576</v>
      </c>
      <c r="J59" s="827">
        <f>公的投資!E61</f>
        <v>10616</v>
      </c>
      <c r="K59" s="855">
        <f t="shared" si="8"/>
        <v>378046</v>
      </c>
      <c r="L59" s="855">
        <f t="shared" si="9"/>
        <v>-4683</v>
      </c>
      <c r="M59" s="827">
        <f>+移出入推計WS!Y61+移出入推計WS!AA61+移出入推計WS!AB61</f>
        <v>342967</v>
      </c>
      <c r="N59" s="827">
        <f>移出入推計WS!Z61</f>
        <v>333576</v>
      </c>
      <c r="O59" s="828">
        <f t="shared" si="14"/>
        <v>-14074</v>
      </c>
      <c r="P59" s="293">
        <v>8</v>
      </c>
      <c r="Q59" s="293"/>
      <c r="R59" s="49">
        <f t="shared" si="15"/>
        <v>373363</v>
      </c>
      <c r="S59" s="49">
        <f t="shared" si="16"/>
        <v>0</v>
      </c>
      <c r="U59" s="49">
        <f>民間設備製造1!E61</f>
        <v>19536</v>
      </c>
      <c r="V59" s="49">
        <f t="shared" si="13"/>
        <v>332617</v>
      </c>
    </row>
    <row r="60" spans="1:22">
      <c r="A60" s="300">
        <v>221</v>
      </c>
      <c r="B60" s="90" t="s">
        <v>1144</v>
      </c>
      <c r="C60" s="829">
        <f>'２次調整'!W62</f>
        <v>146452</v>
      </c>
      <c r="D60" s="830">
        <f>民間消費!E62</f>
        <v>95707</v>
      </c>
      <c r="E60" s="830">
        <f>政府消費!E62</f>
        <v>22010</v>
      </c>
      <c r="F60" s="830">
        <f t="shared" si="7"/>
        <v>26631</v>
      </c>
      <c r="G60" s="830">
        <f>民間住宅1!E62</f>
        <v>4775</v>
      </c>
      <c r="H60" s="830">
        <f>民間設備投資計!E62</f>
        <v>20452</v>
      </c>
      <c r="I60" s="830">
        <f>民間在庫品増加!E62</f>
        <v>1404</v>
      </c>
      <c r="J60" s="830">
        <f>公的投資!E62</f>
        <v>4096</v>
      </c>
      <c r="K60" s="856">
        <f t="shared" si="8"/>
        <v>148444</v>
      </c>
      <c r="L60" s="856">
        <f t="shared" si="9"/>
        <v>-1992</v>
      </c>
      <c r="M60" s="830">
        <f>+移出入推計WS!Y62+移出入推計WS!AA62+移出入推計WS!AB62</f>
        <v>135085</v>
      </c>
      <c r="N60" s="830">
        <f>移出入推計WS!Z62</f>
        <v>130982</v>
      </c>
      <c r="O60" s="831">
        <f t="shared" si="14"/>
        <v>-6095</v>
      </c>
      <c r="P60" s="293">
        <v>221</v>
      </c>
      <c r="Q60" s="293"/>
      <c r="R60" s="49">
        <f t="shared" si="15"/>
        <v>146452</v>
      </c>
      <c r="S60" s="49">
        <f t="shared" si="16"/>
        <v>0</v>
      </c>
      <c r="U60" s="49">
        <f>民間設備製造1!E62</f>
        <v>4018</v>
      </c>
      <c r="V60" s="49">
        <f t="shared" si="13"/>
        <v>130606</v>
      </c>
    </row>
    <row r="61" spans="1:22">
      <c r="A61" s="302">
        <v>223</v>
      </c>
      <c r="B61" s="201" t="s">
        <v>223</v>
      </c>
      <c r="C61" s="829">
        <f>'２次調整'!W63</f>
        <v>226911</v>
      </c>
      <c r="D61" s="837">
        <f>民間消費!E63</f>
        <v>142576</v>
      </c>
      <c r="E61" s="837">
        <f>政府消費!E63</f>
        <v>31728</v>
      </c>
      <c r="F61" s="837">
        <f t="shared" si="7"/>
        <v>48778</v>
      </c>
      <c r="G61" s="837">
        <f>民間住宅1!E63</f>
        <v>5669</v>
      </c>
      <c r="H61" s="837">
        <f>民間設備投資計!E63</f>
        <v>40937</v>
      </c>
      <c r="I61" s="837">
        <f>民間在庫品増加!E63</f>
        <v>2172</v>
      </c>
      <c r="J61" s="837">
        <f>公的投資!E63</f>
        <v>6520</v>
      </c>
      <c r="K61" s="858">
        <f t="shared" si="8"/>
        <v>229602</v>
      </c>
      <c r="L61" s="858">
        <f t="shared" si="9"/>
        <v>-2691</v>
      </c>
      <c r="M61" s="837">
        <f>+移出入推計WS!Y63+移出入推計WS!AA63+移出入推計WS!AB63</f>
        <v>207882</v>
      </c>
      <c r="N61" s="837">
        <f>移出入推計WS!Z63</f>
        <v>202594</v>
      </c>
      <c r="O61" s="835">
        <f t="shared" si="14"/>
        <v>-7979</v>
      </c>
      <c r="P61" s="293">
        <v>223</v>
      </c>
      <c r="Q61" s="293"/>
      <c r="R61" s="49">
        <f t="shared" si="15"/>
        <v>226911</v>
      </c>
      <c r="S61" s="49">
        <f t="shared" si="16"/>
        <v>0</v>
      </c>
      <c r="U61" s="49">
        <f>民間設備製造1!E63</f>
        <v>15518</v>
      </c>
      <c r="V61" s="49">
        <f t="shared" si="13"/>
        <v>202011</v>
      </c>
    </row>
    <row r="62" spans="1:22">
      <c r="A62" s="300">
        <v>9</v>
      </c>
      <c r="B62" s="94" t="s">
        <v>212</v>
      </c>
      <c r="C62" s="826">
        <f>'２次調整'!W64</f>
        <v>471662</v>
      </c>
      <c r="D62" s="830">
        <f>民間消費!E64</f>
        <v>285128</v>
      </c>
      <c r="E62" s="830">
        <f>政府消費!E64</f>
        <v>67408</v>
      </c>
      <c r="F62" s="830">
        <f t="shared" si="7"/>
        <v>84746</v>
      </c>
      <c r="G62" s="830">
        <f>民間住宅1!E64</f>
        <v>13105</v>
      </c>
      <c r="H62" s="830">
        <f>民間設備投資計!E64</f>
        <v>67385</v>
      </c>
      <c r="I62" s="830">
        <f>民間在庫品増加!E64</f>
        <v>4256</v>
      </c>
      <c r="J62" s="830">
        <f>公的投資!E64</f>
        <v>12616</v>
      </c>
      <c r="K62" s="856">
        <f t="shared" si="8"/>
        <v>449898</v>
      </c>
      <c r="L62" s="856">
        <f t="shared" si="9"/>
        <v>21764</v>
      </c>
      <c r="M62" s="830">
        <f>+移出入推計WS!Y64+移出入推計WS!AA64+移出入推計WS!AB64</f>
        <v>432980</v>
      </c>
      <c r="N62" s="830">
        <f>移出入推計WS!Z64</f>
        <v>396976</v>
      </c>
      <c r="O62" s="831">
        <f t="shared" si="14"/>
        <v>-14240</v>
      </c>
      <c r="P62" s="293">
        <v>9</v>
      </c>
      <c r="Q62" s="293"/>
      <c r="R62" s="49">
        <f t="shared" si="15"/>
        <v>471662</v>
      </c>
      <c r="S62" s="49">
        <f t="shared" si="16"/>
        <v>0</v>
      </c>
      <c r="U62" s="49">
        <f>民間設備製造1!E64</f>
        <v>17578</v>
      </c>
      <c r="V62" s="49">
        <f t="shared" si="13"/>
        <v>395835</v>
      </c>
    </row>
    <row r="63" spans="1:22">
      <c r="A63" s="300">
        <v>205</v>
      </c>
      <c r="B63" s="92" t="s">
        <v>241</v>
      </c>
      <c r="C63" s="829">
        <f>'２次調整'!W65</f>
        <v>178186</v>
      </c>
      <c r="D63" s="830">
        <f>民間消費!E65</f>
        <v>99393</v>
      </c>
      <c r="E63" s="830">
        <f>政府消費!E65</f>
        <v>20041</v>
      </c>
      <c r="F63" s="830">
        <f t="shared" si="7"/>
        <v>34140</v>
      </c>
      <c r="G63" s="830">
        <f>民間住宅1!E65</f>
        <v>4307</v>
      </c>
      <c r="H63" s="830">
        <f>民間設備投資計!E65</f>
        <v>28349</v>
      </c>
      <c r="I63" s="830">
        <f>民間在庫品増加!E65</f>
        <v>1484</v>
      </c>
      <c r="J63" s="830">
        <f>公的投資!E65</f>
        <v>3258</v>
      </c>
      <c r="K63" s="856">
        <f t="shared" si="8"/>
        <v>156832</v>
      </c>
      <c r="L63" s="856">
        <f t="shared" si="9"/>
        <v>21354</v>
      </c>
      <c r="M63" s="830">
        <f>+移出入推計WS!Y65+移出入推計WS!AA65+移出入推計WS!AB65</f>
        <v>160333</v>
      </c>
      <c r="N63" s="830">
        <f>移出入推計WS!Z65</f>
        <v>138384</v>
      </c>
      <c r="O63" s="831">
        <f t="shared" si="14"/>
        <v>-595</v>
      </c>
      <c r="P63" s="293">
        <v>205</v>
      </c>
      <c r="Q63" s="293"/>
      <c r="R63" s="49">
        <f t="shared" si="15"/>
        <v>178186</v>
      </c>
      <c r="S63" s="49">
        <f t="shared" si="16"/>
        <v>0</v>
      </c>
      <c r="U63" s="49">
        <f>民間設備製造1!E65</f>
        <v>10987</v>
      </c>
      <c r="V63" s="49">
        <f t="shared" si="13"/>
        <v>137986</v>
      </c>
    </row>
    <row r="64" spans="1:22">
      <c r="A64" s="300">
        <v>224</v>
      </c>
      <c r="B64" s="90" t="s">
        <v>224</v>
      </c>
      <c r="C64" s="829">
        <f>'２次調整'!W66</f>
        <v>154709</v>
      </c>
      <c r="D64" s="830">
        <f>民間消費!E66</f>
        <v>92204</v>
      </c>
      <c r="E64" s="830">
        <f>政府消費!E66</f>
        <v>24334</v>
      </c>
      <c r="F64" s="830">
        <f t="shared" si="7"/>
        <v>27015</v>
      </c>
      <c r="G64" s="830">
        <f>民間住宅1!E66</f>
        <v>5506</v>
      </c>
      <c r="H64" s="830">
        <f>民間設備投資計!E66</f>
        <v>20114</v>
      </c>
      <c r="I64" s="830">
        <f>民間在庫品増加!E66</f>
        <v>1395</v>
      </c>
      <c r="J64" s="830">
        <f>公的投資!E66</f>
        <v>3906</v>
      </c>
      <c r="K64" s="856">
        <f t="shared" si="8"/>
        <v>147459</v>
      </c>
      <c r="L64" s="856">
        <f t="shared" si="9"/>
        <v>7250</v>
      </c>
      <c r="M64" s="830">
        <f>+移出入推計WS!Y66+移出入推計WS!AA66+移出入推計WS!AB66</f>
        <v>143349</v>
      </c>
      <c r="N64" s="830">
        <f>移出入推計WS!Z66</f>
        <v>130113</v>
      </c>
      <c r="O64" s="831">
        <f t="shared" si="14"/>
        <v>-5986</v>
      </c>
      <c r="P64" s="293">
        <v>224</v>
      </c>
      <c r="Q64" s="293"/>
      <c r="R64" s="49">
        <f t="shared" si="15"/>
        <v>154709</v>
      </c>
      <c r="S64" s="49">
        <f t="shared" si="16"/>
        <v>0</v>
      </c>
      <c r="U64" s="49">
        <f>民間設備製造1!E66</f>
        <v>3789</v>
      </c>
      <c r="V64" s="49">
        <f t="shared" si="13"/>
        <v>129739</v>
      </c>
    </row>
    <row r="65" spans="1:22">
      <c r="A65" s="302">
        <v>226</v>
      </c>
      <c r="B65" s="201" t="s">
        <v>225</v>
      </c>
      <c r="C65" s="836">
        <f>'２次調整'!W67</f>
        <v>138767</v>
      </c>
      <c r="D65" s="837">
        <f>民間消費!E67</f>
        <v>93531</v>
      </c>
      <c r="E65" s="837">
        <f>政府消費!E67</f>
        <v>23033</v>
      </c>
      <c r="F65" s="837">
        <f t="shared" si="7"/>
        <v>23591</v>
      </c>
      <c r="G65" s="837">
        <f>民間住宅1!E67</f>
        <v>3292</v>
      </c>
      <c r="H65" s="837">
        <f>民間設備投資計!E67</f>
        <v>18922</v>
      </c>
      <c r="I65" s="837">
        <f>民間在庫品増加!E67</f>
        <v>1377</v>
      </c>
      <c r="J65" s="837">
        <f>公的投資!E67</f>
        <v>5452</v>
      </c>
      <c r="K65" s="858">
        <f t="shared" si="8"/>
        <v>145607</v>
      </c>
      <c r="L65" s="858">
        <f t="shared" si="9"/>
        <v>-6840</v>
      </c>
      <c r="M65" s="837">
        <f>+移出入推計WS!Y67+移出入推計WS!AA67+移出入推計WS!AB67</f>
        <v>129298</v>
      </c>
      <c r="N65" s="837">
        <f>移出入推計WS!Z67</f>
        <v>128479</v>
      </c>
      <c r="O65" s="835">
        <f t="shared" si="14"/>
        <v>-7659</v>
      </c>
      <c r="P65" s="293">
        <v>226</v>
      </c>
      <c r="Q65" s="293"/>
      <c r="R65" s="49">
        <f t="shared" si="15"/>
        <v>138767</v>
      </c>
      <c r="S65" s="49">
        <f t="shared" si="16"/>
        <v>0</v>
      </c>
      <c r="U65" s="49">
        <f>民間設備製造1!E67</f>
        <v>2802</v>
      </c>
      <c r="V65" s="49">
        <f t="shared" si="13"/>
        <v>128110</v>
      </c>
    </row>
    <row r="66" spans="1:22">
      <c r="A66" s="75"/>
      <c r="B66" s="75"/>
    </row>
    <row r="67" spans="1:22">
      <c r="A67" s="75"/>
      <c r="B67" s="75" t="s">
        <v>1309</v>
      </c>
      <c r="C67" s="239">
        <f>+SUM(C17:C65)/2+C16</f>
        <v>20571143</v>
      </c>
      <c r="D67" s="239">
        <f t="shared" ref="D67:O67" si="17">+SUM(D17:D65)/2+D16</f>
        <v>12864972.249252094</v>
      </c>
      <c r="E67" s="239">
        <f t="shared" si="17"/>
        <v>2118619.8702144846</v>
      </c>
      <c r="F67" s="239">
        <f t="shared" si="17"/>
        <v>4681328.8742706832</v>
      </c>
      <c r="G67" s="239">
        <f t="shared" si="17"/>
        <v>789486</v>
      </c>
      <c r="H67" s="239">
        <f t="shared" si="17"/>
        <v>3699411.2620887607</v>
      </c>
      <c r="I67" s="239">
        <f t="shared" si="17"/>
        <v>192431.61218192161</v>
      </c>
      <c r="J67" s="239">
        <f t="shared" si="17"/>
        <v>676501.71112575324</v>
      </c>
      <c r="K67" s="239">
        <f t="shared" si="17"/>
        <v>20341422.704863016</v>
      </c>
      <c r="L67" s="239">
        <f t="shared" si="17"/>
        <v>229720.29513698537</v>
      </c>
      <c r="M67" s="239">
        <f t="shared" si="17"/>
        <v>18393588.133822538</v>
      </c>
      <c r="N67" s="239">
        <f t="shared" si="17"/>
        <v>17948628</v>
      </c>
      <c r="O67" s="239">
        <f t="shared" si="17"/>
        <v>-215239.83868555166</v>
      </c>
    </row>
    <row r="68" spans="1:22">
      <c r="A68" s="75"/>
      <c r="B68" s="75" t="s">
        <v>1307</v>
      </c>
      <c r="C68" s="239">
        <f>名目県内総支出!J44</f>
        <v>20571143</v>
      </c>
      <c r="D68" s="239">
        <f>名目県内総支出!J6</f>
        <v>12864972.249252094</v>
      </c>
      <c r="E68" s="239">
        <f>名目県内総支出!J61</f>
        <v>2118619.8702144846</v>
      </c>
      <c r="F68" s="239">
        <f>名目県内総支出!J28+名目県内総支出!J36</f>
        <v>4716469.1905586673</v>
      </c>
      <c r="G68" s="239">
        <f>名目県内総支出!J29</f>
        <v>789486</v>
      </c>
      <c r="H68" s="239">
        <f>名目県内総支出!J30</f>
        <v>3734551.5783767458</v>
      </c>
      <c r="I68" s="239">
        <f>名目県内総支出!J36</f>
        <v>192431.61218192161</v>
      </c>
      <c r="J68" s="239">
        <f>名目県内総支出!J31+名目県内総支出!J37</f>
        <v>676501.71112575324</v>
      </c>
      <c r="K68" s="239">
        <f>名目県内総支出!J62</f>
        <v>19973532.729112133</v>
      </c>
      <c r="L68" s="239">
        <f>名目県内総支出!J63</f>
        <v>597610.2708878651</v>
      </c>
      <c r="M68" s="239">
        <f>名目県内総支出!J39+名目県内総支出!J41+名目県内総支出!J64</f>
        <v>18393588.133822538</v>
      </c>
      <c r="N68" s="239">
        <f>名目県内総支出!J40</f>
        <v>17948628</v>
      </c>
      <c r="O68" s="239">
        <f>名目県内総支出!J43</f>
        <v>288694</v>
      </c>
    </row>
    <row r="69" spans="1:22">
      <c r="A69" s="75"/>
      <c r="B69" s="75"/>
      <c r="C69" s="838">
        <f>+C67-C68</f>
        <v>0</v>
      </c>
      <c r="D69" s="838">
        <f t="shared" ref="D69:O69" si="18">+D67-D68</f>
        <v>0</v>
      </c>
      <c r="E69" s="838">
        <f t="shared" si="18"/>
        <v>0</v>
      </c>
      <c r="F69" s="838">
        <f t="shared" si="18"/>
        <v>-35140.31628798414</v>
      </c>
      <c r="G69" s="838">
        <f t="shared" si="18"/>
        <v>0</v>
      </c>
      <c r="H69" s="838">
        <f t="shared" si="18"/>
        <v>-35140.316287985072</v>
      </c>
      <c r="I69" s="838">
        <f t="shared" si="18"/>
        <v>0</v>
      </c>
      <c r="J69" s="838">
        <f t="shared" si="18"/>
        <v>0</v>
      </c>
      <c r="K69" s="838">
        <f t="shared" si="18"/>
        <v>367889.97575088218</v>
      </c>
      <c r="L69" s="838">
        <f t="shared" si="18"/>
        <v>-367889.97575087973</v>
      </c>
      <c r="M69" s="838">
        <f t="shared" si="18"/>
        <v>0</v>
      </c>
      <c r="N69" s="838">
        <f t="shared" si="18"/>
        <v>0</v>
      </c>
      <c r="O69" s="838">
        <f t="shared" si="18"/>
        <v>-503933.83868555166</v>
      </c>
    </row>
    <row r="70" spans="1:22">
      <c r="A70" s="75"/>
      <c r="B70" s="75"/>
    </row>
    <row r="71" spans="1:22">
      <c r="A71" s="75"/>
      <c r="B71" s="75"/>
    </row>
    <row r="72" spans="1:22">
      <c r="A72" s="75"/>
      <c r="B72" s="75"/>
    </row>
    <row r="73" spans="1:22">
      <c r="A73" s="75"/>
      <c r="B73" s="75"/>
    </row>
    <row r="74" spans="1:22">
      <c r="A74" s="75"/>
      <c r="B74" s="75"/>
    </row>
    <row r="75" spans="1:22">
      <c r="A75" s="75"/>
      <c r="B75" s="75"/>
    </row>
    <row r="76" spans="1:22">
      <c r="A76" s="75"/>
      <c r="B76" s="75"/>
    </row>
    <row r="77" spans="1:22">
      <c r="A77" s="75"/>
      <c r="B77" s="75"/>
    </row>
    <row r="78" spans="1:22">
      <c r="A78" s="75"/>
      <c r="B78" s="75"/>
    </row>
    <row r="79" spans="1:22">
      <c r="A79" s="75"/>
      <c r="B79" s="75"/>
    </row>
    <row r="80" spans="1:22">
      <c r="A80" s="75"/>
      <c r="B80" s="75"/>
    </row>
    <row r="81" spans="1:2">
      <c r="A81" s="75"/>
      <c r="B81" s="75"/>
    </row>
    <row r="82" spans="1:2">
      <c r="A82" s="75"/>
      <c r="B82" s="75"/>
    </row>
    <row r="83" spans="1:2">
      <c r="A83" s="75"/>
      <c r="B83" s="75"/>
    </row>
    <row r="84" spans="1:2">
      <c r="A84" s="75"/>
      <c r="B84" s="75"/>
    </row>
    <row r="85" spans="1:2">
      <c r="A85" s="75"/>
      <c r="B85" s="75"/>
    </row>
    <row r="86" spans="1:2">
      <c r="A86" s="75"/>
      <c r="B86" s="75"/>
    </row>
    <row r="87" spans="1:2">
      <c r="A87" s="75"/>
      <c r="B87" s="75"/>
    </row>
    <row r="88" spans="1:2">
      <c r="A88" s="75"/>
      <c r="B88" s="75"/>
    </row>
    <row r="89" spans="1:2">
      <c r="A89" s="75"/>
      <c r="B89" s="75"/>
    </row>
  </sheetData>
  <mergeCells count="1">
    <mergeCell ref="L2:M2"/>
  </mergeCells>
  <phoneticPr fontId="13"/>
  <pageMargins left="0.75" right="0.75" top="1" bottom="1" header="0.51200000000000001" footer="0.51200000000000001"/>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theme="9" tint="0.59999389629810485"/>
  </sheetPr>
  <dimension ref="A1:W89"/>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7109375" defaultRowHeight="13"/>
  <cols>
    <col min="1" max="1" width="3.5703125" style="49" customWidth="1"/>
    <col min="2" max="2" width="10.0703125" style="49" customWidth="1"/>
    <col min="3" max="15" width="8.7109375" style="239"/>
    <col min="16" max="17" width="4.5703125" style="49" customWidth="1"/>
    <col min="18" max="18" width="10.5" style="49" customWidth="1"/>
    <col min="19" max="20" width="4.0703125" style="49" customWidth="1"/>
    <col min="21" max="16384" width="8.7109375" style="49"/>
  </cols>
  <sheetData>
    <row r="1" spans="1:23">
      <c r="A1" s="86"/>
      <c r="B1" s="65" t="s">
        <v>928</v>
      </c>
      <c r="F1" s="859" t="s">
        <v>347</v>
      </c>
      <c r="N1" s="239" t="s">
        <v>818</v>
      </c>
      <c r="O1" s="830"/>
      <c r="R1" s="851" t="s">
        <v>1344</v>
      </c>
      <c r="S1" s="843"/>
    </row>
    <row r="2" spans="1:23" ht="37.5">
      <c r="A2" s="294"/>
      <c r="B2" s="296" t="s">
        <v>930</v>
      </c>
      <c r="C2" s="275" t="s">
        <v>817</v>
      </c>
      <c r="D2" s="291" t="s">
        <v>68</v>
      </c>
      <c r="E2" s="275" t="s">
        <v>1289</v>
      </c>
      <c r="F2" s="297" t="s">
        <v>69</v>
      </c>
      <c r="G2" s="291"/>
      <c r="H2" s="291"/>
      <c r="I2" s="817"/>
      <c r="J2" s="291" t="s">
        <v>70</v>
      </c>
      <c r="K2" s="275" t="s">
        <v>671</v>
      </c>
      <c r="L2" s="2310" t="s">
        <v>71</v>
      </c>
      <c r="M2" s="2311"/>
      <c r="N2" s="291"/>
      <c r="O2" s="817"/>
      <c r="P2" s="92"/>
      <c r="Q2" s="92"/>
      <c r="R2" s="852" t="s">
        <v>1345</v>
      </c>
      <c r="S2" s="908">
        <f>+SUM(C69:O69)</f>
        <v>1105841.4959186469</v>
      </c>
      <c r="U2" s="852" t="s">
        <v>1343</v>
      </c>
      <c r="V2" s="845"/>
    </row>
    <row r="3" spans="1:23" ht="28.5">
      <c r="A3" s="295"/>
      <c r="B3" s="131" t="s">
        <v>931</v>
      </c>
      <c r="C3" s="853" t="s">
        <v>82</v>
      </c>
      <c r="D3" s="819"/>
      <c r="E3" s="820"/>
      <c r="F3" s="821" t="s">
        <v>83</v>
      </c>
      <c r="G3" s="822" t="s">
        <v>72</v>
      </c>
      <c r="H3" s="823" t="s">
        <v>73</v>
      </c>
      <c r="I3" s="824" t="s">
        <v>74</v>
      </c>
      <c r="J3" s="819"/>
      <c r="K3" s="853" t="s">
        <v>75</v>
      </c>
      <c r="L3" s="860" t="s">
        <v>76</v>
      </c>
      <c r="M3" s="297" t="s">
        <v>77</v>
      </c>
      <c r="N3" s="275" t="s">
        <v>78</v>
      </c>
      <c r="O3" s="817" t="s">
        <v>81</v>
      </c>
      <c r="P3" s="92"/>
      <c r="Q3" s="92"/>
      <c r="R3" s="854" t="s">
        <v>1346</v>
      </c>
      <c r="S3" s="847">
        <f>SUM(S4:S65)</f>
        <v>0</v>
      </c>
      <c r="U3" s="848" t="s">
        <v>956</v>
      </c>
      <c r="V3" s="849" t="s">
        <v>1342</v>
      </c>
    </row>
    <row r="4" spans="1:23">
      <c r="A4" s="303"/>
      <c r="B4" s="87" t="s">
        <v>166</v>
      </c>
      <c r="C4" s="827">
        <f>'２次調整'!X6</f>
        <v>20741145</v>
      </c>
      <c r="D4" s="830">
        <f>民間消費!F6</f>
        <v>12734654.393827613</v>
      </c>
      <c r="E4" s="830">
        <f>政府消費!F6</f>
        <v>2219145.343405799</v>
      </c>
      <c r="F4" s="830">
        <f t="shared" ref="F4:F14" si="0">G4+H4+I4</f>
        <v>3640361.880094762</v>
      </c>
      <c r="G4" s="830">
        <f>民間住宅1!F6</f>
        <v>609131</v>
      </c>
      <c r="H4" s="830">
        <f>民間設備投資計!F6</f>
        <v>3227882.7729199487</v>
      </c>
      <c r="I4" s="830">
        <f>民間在庫品増加!F6</f>
        <v>-196651.89282518681</v>
      </c>
      <c r="J4" s="830">
        <f>公的投資!F6</f>
        <v>774621.91339113994</v>
      </c>
      <c r="K4" s="855">
        <f t="shared" ref="K4:K14" si="1">D4+E4+F4+J4</f>
        <v>19368783.530719314</v>
      </c>
      <c r="L4" s="827">
        <f t="shared" ref="L4:L14" si="2">C4-K4</f>
        <v>1372361.4692806862</v>
      </c>
      <c r="M4" s="827">
        <f>SUM(M5:M14)</f>
        <v>16381948.318544077</v>
      </c>
      <c r="N4" s="827">
        <f>SUM(N5:N14)</f>
        <v>15903578</v>
      </c>
      <c r="O4" s="828">
        <f>SUM(O5:O14)</f>
        <v>893991.15073660854</v>
      </c>
      <c r="P4" s="77"/>
      <c r="Q4" s="77"/>
      <c r="R4" s="49">
        <f t="shared" ref="R4:R14" si="3">D4+E4+F4+J4+L4</f>
        <v>20741145</v>
      </c>
      <c r="S4" s="49">
        <f t="shared" ref="S4:S14" si="4">R4-C4</f>
        <v>0</v>
      </c>
      <c r="U4" s="49">
        <f>民間設備製造1!F6</f>
        <v>1393086.7710082817</v>
      </c>
      <c r="V4" s="49">
        <f t="shared" ref="V4:V14" si="5">D4+E4+G4+J4+U4</f>
        <v>17730639.421632834</v>
      </c>
    </row>
    <row r="5" spans="1:23">
      <c r="A5" s="298">
        <v>100</v>
      </c>
      <c r="B5" s="75" t="s">
        <v>172</v>
      </c>
      <c r="C5" s="830">
        <f>'２次調整'!X7</f>
        <v>6652436</v>
      </c>
      <c r="D5" s="830">
        <f>民間消費!F7</f>
        <v>3854243.3938276134</v>
      </c>
      <c r="E5" s="830">
        <f>政府消費!F7</f>
        <v>649150.34340579901</v>
      </c>
      <c r="F5" s="830">
        <f t="shared" si="0"/>
        <v>819954.88009476184</v>
      </c>
      <c r="G5" s="830">
        <f>民間住宅1!F7</f>
        <v>154243</v>
      </c>
      <c r="H5" s="830">
        <f>民間設備投資計!F7</f>
        <v>722321.77291994868</v>
      </c>
      <c r="I5" s="830">
        <f>民間在庫品増加!F7</f>
        <v>-56609.892825186806</v>
      </c>
      <c r="J5" s="830">
        <f>公的投資!F7</f>
        <v>252438.91339113994</v>
      </c>
      <c r="K5" s="856">
        <f t="shared" si="1"/>
        <v>5575787.5307193147</v>
      </c>
      <c r="L5" s="830">
        <f t="shared" si="2"/>
        <v>1076648.4692806853</v>
      </c>
      <c r="M5" s="830">
        <f t="shared" ref="M5:O6" si="6">M16</f>
        <v>5219251.3185440768</v>
      </c>
      <c r="N5" s="830">
        <f t="shared" si="6"/>
        <v>4578241</v>
      </c>
      <c r="O5" s="831">
        <f t="shared" si="6"/>
        <v>435638.15073660854</v>
      </c>
      <c r="P5" s="77">
        <v>100</v>
      </c>
      <c r="Q5" s="77"/>
      <c r="R5" s="49">
        <f t="shared" si="3"/>
        <v>6652436</v>
      </c>
      <c r="S5" s="49">
        <f t="shared" si="4"/>
        <v>0</v>
      </c>
      <c r="U5" s="49">
        <f>民間設備製造1!F7</f>
        <v>194127.77100828174</v>
      </c>
      <c r="V5" s="49">
        <f t="shared" si="5"/>
        <v>5104203.4216328347</v>
      </c>
    </row>
    <row r="6" spans="1:23">
      <c r="A6" s="298">
        <v>1</v>
      </c>
      <c r="B6" s="75" t="s">
        <v>323</v>
      </c>
      <c r="C6" s="830">
        <f>'２次調整'!X8</f>
        <v>3188094</v>
      </c>
      <c r="D6" s="830">
        <f>民間消費!F8</f>
        <v>2544488</v>
      </c>
      <c r="E6" s="830">
        <f>政府消費!F8</f>
        <v>402243</v>
      </c>
      <c r="F6" s="830">
        <f t="shared" si="0"/>
        <v>819883</v>
      </c>
      <c r="G6" s="830">
        <f>民間住宅1!F8</f>
        <v>94485</v>
      </c>
      <c r="H6" s="830">
        <f>民間設備投資計!F8</f>
        <v>764735</v>
      </c>
      <c r="I6" s="830">
        <f>民間在庫品増加!F8</f>
        <v>-39337</v>
      </c>
      <c r="J6" s="830">
        <f>公的投資!F8</f>
        <v>107729</v>
      </c>
      <c r="K6" s="856">
        <f t="shared" si="1"/>
        <v>3874343</v>
      </c>
      <c r="L6" s="830">
        <f t="shared" si="2"/>
        <v>-686249</v>
      </c>
      <c r="M6" s="830">
        <f t="shared" si="6"/>
        <v>2552256</v>
      </c>
      <c r="N6" s="830">
        <f t="shared" si="6"/>
        <v>3181196</v>
      </c>
      <c r="O6" s="831">
        <f t="shared" si="6"/>
        <v>-57309</v>
      </c>
      <c r="P6" s="77">
        <v>1</v>
      </c>
      <c r="Q6" s="77"/>
      <c r="R6" s="49">
        <f t="shared" si="3"/>
        <v>3188094</v>
      </c>
      <c r="S6" s="49">
        <f t="shared" si="4"/>
        <v>0</v>
      </c>
      <c r="U6" s="49">
        <f>民間設備製造1!F8</f>
        <v>397721</v>
      </c>
      <c r="V6" s="49">
        <f t="shared" si="5"/>
        <v>3546666</v>
      </c>
    </row>
    <row r="7" spans="1:23">
      <c r="A7" s="298">
        <v>2</v>
      </c>
      <c r="B7" s="75" t="s">
        <v>324</v>
      </c>
      <c r="C7" s="830">
        <f>'２次調整'!X9</f>
        <v>1896926</v>
      </c>
      <c r="D7" s="830">
        <f>民間消費!F9</f>
        <v>1574480</v>
      </c>
      <c r="E7" s="830">
        <f>政府消費!F9</f>
        <v>254490</v>
      </c>
      <c r="F7" s="830">
        <f t="shared" si="0"/>
        <v>324671</v>
      </c>
      <c r="G7" s="830">
        <f>民間住宅1!F9</f>
        <v>89279</v>
      </c>
      <c r="H7" s="830">
        <f>民間設備投資計!F9</f>
        <v>257947</v>
      </c>
      <c r="I7" s="830">
        <f>民間在庫品増加!F9</f>
        <v>-22555</v>
      </c>
      <c r="J7" s="830">
        <f>公的投資!F9</f>
        <v>67734</v>
      </c>
      <c r="K7" s="856">
        <f t="shared" si="1"/>
        <v>2221375</v>
      </c>
      <c r="L7" s="830">
        <f t="shared" si="2"/>
        <v>-324449</v>
      </c>
      <c r="M7" s="830">
        <f>M21</f>
        <v>1527079</v>
      </c>
      <c r="N7" s="830">
        <f>N21</f>
        <v>1823956</v>
      </c>
      <c r="O7" s="831">
        <f>O21</f>
        <v>-27572</v>
      </c>
      <c r="P7" s="77">
        <v>2</v>
      </c>
      <c r="Q7" s="77"/>
      <c r="R7" s="49">
        <f t="shared" si="3"/>
        <v>1896926</v>
      </c>
      <c r="S7" s="49">
        <f t="shared" si="4"/>
        <v>0</v>
      </c>
      <c r="U7" s="49">
        <f>民間設備製造1!F9</f>
        <v>47518</v>
      </c>
      <c r="V7" s="49">
        <f t="shared" si="5"/>
        <v>2033501</v>
      </c>
    </row>
    <row r="8" spans="1:23">
      <c r="A8" s="298">
        <v>3</v>
      </c>
      <c r="B8" s="75" t="s">
        <v>192</v>
      </c>
      <c r="C8" s="830">
        <f>'２次調整'!X10</f>
        <v>2756065</v>
      </c>
      <c r="D8" s="830">
        <f>民間消費!F10</f>
        <v>1548820</v>
      </c>
      <c r="E8" s="830">
        <f>政府消費!F10</f>
        <v>241396</v>
      </c>
      <c r="F8" s="830">
        <f t="shared" si="0"/>
        <v>725386</v>
      </c>
      <c r="G8" s="830">
        <f>民間住宅1!F10</f>
        <v>104731</v>
      </c>
      <c r="H8" s="830">
        <f>民間設備投資計!F10</f>
        <v>646795</v>
      </c>
      <c r="I8" s="830">
        <f>民間在庫品増加!F10</f>
        <v>-26140</v>
      </c>
      <c r="J8" s="830">
        <f>公的投資!F10</f>
        <v>59026</v>
      </c>
      <c r="K8" s="856">
        <f t="shared" si="1"/>
        <v>2574628</v>
      </c>
      <c r="L8" s="830">
        <f t="shared" si="2"/>
        <v>181437</v>
      </c>
      <c r="M8" s="830">
        <f>M27</f>
        <v>2146897</v>
      </c>
      <c r="N8" s="830">
        <f>N27</f>
        <v>2114011</v>
      </c>
      <c r="O8" s="831">
        <f>O27</f>
        <v>148551</v>
      </c>
      <c r="P8" s="77">
        <v>3</v>
      </c>
      <c r="Q8" s="77"/>
      <c r="R8" s="49">
        <f t="shared" si="3"/>
        <v>2756065</v>
      </c>
      <c r="S8" s="49">
        <f t="shared" si="4"/>
        <v>0</v>
      </c>
      <c r="U8" s="49">
        <f>民間設備製造1!F10</f>
        <v>402901</v>
      </c>
      <c r="V8" s="49">
        <f t="shared" si="5"/>
        <v>2356874</v>
      </c>
    </row>
    <row r="9" spans="1:23">
      <c r="A9" s="298">
        <v>4</v>
      </c>
      <c r="B9" s="75" t="s">
        <v>325</v>
      </c>
      <c r="C9" s="830">
        <f>'２次調整'!X11</f>
        <v>1222708</v>
      </c>
      <c r="D9" s="830">
        <f>民間消費!F11</f>
        <v>543363</v>
      </c>
      <c r="E9" s="830">
        <f>政府消費!F11</f>
        <v>110842</v>
      </c>
      <c r="F9" s="830">
        <f t="shared" si="0"/>
        <v>153373</v>
      </c>
      <c r="G9" s="830">
        <f>民間住宅1!F11</f>
        <v>29718</v>
      </c>
      <c r="H9" s="830">
        <f>民間設備投資計!F11</f>
        <v>132139</v>
      </c>
      <c r="I9" s="830">
        <f>民間在庫品増加!F11</f>
        <v>-8484</v>
      </c>
      <c r="J9" s="830">
        <f>公的投資!F11</f>
        <v>27999</v>
      </c>
      <c r="K9" s="856">
        <f t="shared" si="1"/>
        <v>835577</v>
      </c>
      <c r="L9" s="830">
        <f t="shared" si="2"/>
        <v>387131</v>
      </c>
      <c r="M9" s="830">
        <f>M33</f>
        <v>954552</v>
      </c>
      <c r="N9" s="830">
        <f>N33</f>
        <v>686087</v>
      </c>
      <c r="O9" s="831">
        <f>O33</f>
        <v>118666</v>
      </c>
      <c r="P9" s="77">
        <v>4</v>
      </c>
      <c r="Q9" s="77"/>
      <c r="R9" s="49">
        <f t="shared" si="3"/>
        <v>1222708</v>
      </c>
      <c r="S9" s="49">
        <f t="shared" si="4"/>
        <v>0</v>
      </c>
      <c r="U9" s="49">
        <f>民間設備製造1!F11</f>
        <v>52985</v>
      </c>
      <c r="V9" s="49">
        <f t="shared" si="5"/>
        <v>764907</v>
      </c>
    </row>
    <row r="10" spans="1:23">
      <c r="A10" s="298">
        <v>5</v>
      </c>
      <c r="B10" s="75" t="s">
        <v>326</v>
      </c>
      <c r="C10" s="830">
        <f>'２次調整'!X12</f>
        <v>2529549</v>
      </c>
      <c r="D10" s="830">
        <f>民間消費!F12</f>
        <v>1239078</v>
      </c>
      <c r="E10" s="830">
        <f>政府消費!F12</f>
        <v>199780</v>
      </c>
      <c r="F10" s="830">
        <f t="shared" si="0"/>
        <v>452733</v>
      </c>
      <c r="G10" s="830">
        <f>民間住宅1!F12</f>
        <v>79679</v>
      </c>
      <c r="H10" s="830">
        <f>民間設備投資計!F12</f>
        <v>393405</v>
      </c>
      <c r="I10" s="830">
        <f>民間在庫品増加!F12</f>
        <v>-20351</v>
      </c>
      <c r="J10" s="830">
        <f>公的投資!F12</f>
        <v>112825</v>
      </c>
      <c r="K10" s="856">
        <f t="shared" si="1"/>
        <v>2004416</v>
      </c>
      <c r="L10" s="830">
        <f t="shared" si="2"/>
        <v>525133</v>
      </c>
      <c r="M10" s="830">
        <f>M40</f>
        <v>1958260</v>
      </c>
      <c r="N10" s="830">
        <f>N40</f>
        <v>1645812</v>
      </c>
      <c r="O10" s="831">
        <f>O40</f>
        <v>212685</v>
      </c>
      <c r="P10" s="77">
        <v>5</v>
      </c>
      <c r="Q10" s="77"/>
      <c r="R10" s="49">
        <f t="shared" si="3"/>
        <v>2529549</v>
      </c>
      <c r="S10" s="49">
        <f t="shared" si="4"/>
        <v>0</v>
      </c>
      <c r="U10" s="49">
        <f>民間設備製造1!F12</f>
        <v>203528</v>
      </c>
      <c r="V10" s="49">
        <f t="shared" si="5"/>
        <v>1834890</v>
      </c>
    </row>
    <row r="11" spans="1:23">
      <c r="A11" s="298">
        <v>6</v>
      </c>
      <c r="B11" s="75" t="s">
        <v>327</v>
      </c>
      <c r="C11" s="830">
        <f>'２次調整'!X13</f>
        <v>999083</v>
      </c>
      <c r="D11" s="830">
        <f>民間消費!F13</f>
        <v>534896</v>
      </c>
      <c r="E11" s="830">
        <f>政府消費!F13</f>
        <v>123481</v>
      </c>
      <c r="F11" s="830">
        <f t="shared" si="0"/>
        <v>149742</v>
      </c>
      <c r="G11" s="830">
        <f>民間住宅1!F13</f>
        <v>23904</v>
      </c>
      <c r="H11" s="830">
        <f>民間設備投資計!F13</f>
        <v>134562</v>
      </c>
      <c r="I11" s="830">
        <f>民間在庫品増加!F13</f>
        <v>-8724</v>
      </c>
      <c r="J11" s="830">
        <f>公的投資!F13</f>
        <v>51141</v>
      </c>
      <c r="K11" s="856">
        <f t="shared" si="1"/>
        <v>859260</v>
      </c>
      <c r="L11" s="830">
        <f t="shared" si="2"/>
        <v>139823</v>
      </c>
      <c r="M11" s="830">
        <f>M45</f>
        <v>798385</v>
      </c>
      <c r="N11" s="830">
        <f>N45</f>
        <v>705532</v>
      </c>
      <c r="O11" s="831">
        <f>O45</f>
        <v>46970</v>
      </c>
      <c r="P11" s="77">
        <v>6</v>
      </c>
      <c r="Q11" s="77"/>
      <c r="R11" s="49">
        <f t="shared" si="3"/>
        <v>999083</v>
      </c>
      <c r="S11" s="49">
        <f t="shared" si="4"/>
        <v>0</v>
      </c>
      <c r="U11" s="49">
        <f>民間設備製造1!F13</f>
        <v>53164</v>
      </c>
      <c r="V11" s="49">
        <f t="shared" si="5"/>
        <v>786586</v>
      </c>
    </row>
    <row r="12" spans="1:23">
      <c r="A12" s="298">
        <v>7</v>
      </c>
      <c r="B12" s="75" t="s">
        <v>210</v>
      </c>
      <c r="C12" s="830">
        <f>'２次調整'!X14</f>
        <v>626037</v>
      </c>
      <c r="D12" s="830">
        <f>民間消費!F14</f>
        <v>383384</v>
      </c>
      <c r="E12" s="830">
        <f>政府消費!F14</f>
        <v>108595</v>
      </c>
      <c r="F12" s="830">
        <f t="shared" si="0"/>
        <v>79288</v>
      </c>
      <c r="G12" s="830">
        <f>民間住宅1!F14</f>
        <v>11180</v>
      </c>
      <c r="H12" s="830">
        <f>民間設備投資計!F14</f>
        <v>74359</v>
      </c>
      <c r="I12" s="830">
        <f>民間在庫品増加!F14</f>
        <v>-6251</v>
      </c>
      <c r="J12" s="830">
        <f>公的投資!F14</f>
        <v>44463</v>
      </c>
      <c r="K12" s="856">
        <f t="shared" si="1"/>
        <v>615730</v>
      </c>
      <c r="L12" s="830">
        <f t="shared" si="2"/>
        <v>10307</v>
      </c>
      <c r="M12" s="830">
        <f>M53</f>
        <v>517745</v>
      </c>
      <c r="N12" s="830">
        <f>N53</f>
        <v>505573</v>
      </c>
      <c r="O12" s="831">
        <f>O53</f>
        <v>-1865</v>
      </c>
      <c r="P12" s="77">
        <v>7</v>
      </c>
      <c r="Q12" s="77"/>
      <c r="R12" s="49">
        <f t="shared" si="3"/>
        <v>626037</v>
      </c>
      <c r="S12" s="49">
        <f t="shared" si="4"/>
        <v>0</v>
      </c>
      <c r="U12" s="49">
        <f>民間設備製造1!F14</f>
        <v>16032</v>
      </c>
      <c r="V12" s="49">
        <f t="shared" si="5"/>
        <v>563654</v>
      </c>
    </row>
    <row r="13" spans="1:23">
      <c r="A13" s="298">
        <v>8</v>
      </c>
      <c r="B13" s="75" t="s">
        <v>211</v>
      </c>
      <c r="C13" s="830">
        <f>'２次調整'!X15</f>
        <v>381050</v>
      </c>
      <c r="D13" s="830">
        <f>民間消費!F15</f>
        <v>231397</v>
      </c>
      <c r="E13" s="830">
        <f>政府消費!F15</f>
        <v>55955</v>
      </c>
      <c r="F13" s="830">
        <f t="shared" si="0"/>
        <v>45311</v>
      </c>
      <c r="G13" s="830">
        <f>民間住宅1!F15</f>
        <v>5635</v>
      </c>
      <c r="H13" s="830">
        <f>民間設備投資計!F15</f>
        <v>43272</v>
      </c>
      <c r="I13" s="830">
        <f>民間在庫品増加!F15</f>
        <v>-3596</v>
      </c>
      <c r="J13" s="830">
        <f>公的投資!F15</f>
        <v>21542</v>
      </c>
      <c r="K13" s="856">
        <f t="shared" si="1"/>
        <v>354205</v>
      </c>
      <c r="L13" s="830">
        <f t="shared" si="2"/>
        <v>26845</v>
      </c>
      <c r="M13" s="830">
        <f>M59</f>
        <v>309462</v>
      </c>
      <c r="N13" s="830">
        <f>N59</f>
        <v>290835</v>
      </c>
      <c r="O13" s="831">
        <f>O59</f>
        <v>8218</v>
      </c>
      <c r="P13" s="77">
        <v>8</v>
      </c>
      <c r="Q13" s="77"/>
      <c r="R13" s="49">
        <f t="shared" si="3"/>
        <v>381050</v>
      </c>
      <c r="S13" s="49">
        <f t="shared" si="4"/>
        <v>0</v>
      </c>
      <c r="U13" s="49">
        <f>民間設備製造1!F15</f>
        <v>9719</v>
      </c>
      <c r="V13" s="49">
        <f t="shared" si="5"/>
        <v>324248</v>
      </c>
    </row>
    <row r="14" spans="1:23">
      <c r="A14" s="298">
        <v>9</v>
      </c>
      <c r="B14" s="75" t="s">
        <v>212</v>
      </c>
      <c r="C14" s="830">
        <f>'２次調整'!X16</f>
        <v>489197</v>
      </c>
      <c r="D14" s="830">
        <f>民間消費!F16</f>
        <v>280505</v>
      </c>
      <c r="E14" s="830">
        <f>政府消費!F16</f>
        <v>73213</v>
      </c>
      <c r="F14" s="830">
        <f t="shared" si="0"/>
        <v>70020</v>
      </c>
      <c r="G14" s="830">
        <f>民間住宅1!F16</f>
        <v>16277</v>
      </c>
      <c r="H14" s="830">
        <f>民間設備投資計!F16</f>
        <v>58347</v>
      </c>
      <c r="I14" s="830">
        <f>民間在庫品増加!F16</f>
        <v>-4604</v>
      </c>
      <c r="J14" s="830">
        <f>公的投資!F16</f>
        <v>29724</v>
      </c>
      <c r="K14" s="856">
        <f t="shared" si="1"/>
        <v>453462</v>
      </c>
      <c r="L14" s="830">
        <f t="shared" si="2"/>
        <v>35735</v>
      </c>
      <c r="M14" s="830">
        <f>M62</f>
        <v>398061</v>
      </c>
      <c r="N14" s="830">
        <f>N62</f>
        <v>372335</v>
      </c>
      <c r="O14" s="831">
        <f>O62</f>
        <v>10009</v>
      </c>
      <c r="P14" s="77">
        <v>9</v>
      </c>
      <c r="Q14" s="77"/>
      <c r="R14" s="49">
        <f t="shared" si="3"/>
        <v>489197</v>
      </c>
      <c r="S14" s="49">
        <f t="shared" si="4"/>
        <v>0</v>
      </c>
      <c r="U14" s="49">
        <f>民間設備製造1!F16</f>
        <v>15391</v>
      </c>
      <c r="V14" s="49">
        <f t="shared" si="5"/>
        <v>415110</v>
      </c>
    </row>
    <row r="15" spans="1:23">
      <c r="A15" s="298"/>
      <c r="B15" s="87"/>
      <c r="C15" s="830" t="s">
        <v>1141</v>
      </c>
      <c r="D15" s="830" t="s">
        <v>678</v>
      </c>
      <c r="E15" s="830" t="s">
        <v>678</v>
      </c>
      <c r="F15" s="830"/>
      <c r="G15" s="830" t="s">
        <v>347</v>
      </c>
      <c r="H15" s="830" t="s">
        <v>678</v>
      </c>
      <c r="I15" s="830" t="s">
        <v>678</v>
      </c>
      <c r="J15" s="830" t="s">
        <v>678</v>
      </c>
      <c r="K15" s="856"/>
      <c r="L15" s="830"/>
      <c r="M15" s="830" t="s">
        <v>347</v>
      </c>
      <c r="N15" s="830" t="s">
        <v>347</v>
      </c>
      <c r="O15" s="831" t="s">
        <v>11</v>
      </c>
      <c r="P15" s="77"/>
      <c r="Q15" s="77"/>
      <c r="R15" s="49" t="s">
        <v>678</v>
      </c>
      <c r="S15" s="49" t="s">
        <v>11</v>
      </c>
      <c r="U15" s="49" t="s">
        <v>347</v>
      </c>
      <c r="V15" s="49" t="s">
        <v>347</v>
      </c>
    </row>
    <row r="16" spans="1:23">
      <c r="A16" s="299">
        <v>100</v>
      </c>
      <c r="B16" s="305" t="s">
        <v>172</v>
      </c>
      <c r="C16" s="833">
        <f>'２次調整'!X18</f>
        <v>6652436</v>
      </c>
      <c r="D16" s="833">
        <f>民間消費!F18</f>
        <v>3854243.3938276134</v>
      </c>
      <c r="E16" s="833">
        <f>政府消費!F18</f>
        <v>649150.34340579901</v>
      </c>
      <c r="F16" s="833">
        <f t="shared" ref="F16:F65" si="7">G16+H16+I16</f>
        <v>819954.88009476184</v>
      </c>
      <c r="G16" s="833">
        <f>民間住宅1!F18</f>
        <v>154243</v>
      </c>
      <c r="H16" s="833">
        <f>民間設備投資計!F18</f>
        <v>722321.77291994868</v>
      </c>
      <c r="I16" s="833">
        <f>民間在庫品増加!F18</f>
        <v>-56609.892825186806</v>
      </c>
      <c r="J16" s="833">
        <f>公的投資!F18</f>
        <v>252438.91339113994</v>
      </c>
      <c r="K16" s="857">
        <f t="shared" ref="K16:K65" si="8">D16+E16+F16+J16</f>
        <v>5575787.5307193147</v>
      </c>
      <c r="L16" s="833">
        <f>C16-K16</f>
        <v>1076648.4692806853</v>
      </c>
      <c r="M16" s="833">
        <f>+移出入推計WS!AI18+移出入推計WS!AK18+移出入推計WS!AL18</f>
        <v>5219251.3185440768</v>
      </c>
      <c r="N16" s="833">
        <f>移出入推計WS!AJ18</f>
        <v>4578241</v>
      </c>
      <c r="O16" s="834">
        <f t="shared" ref="O16:O47" si="9">L16-(M16-N16)</f>
        <v>435638.15073660854</v>
      </c>
      <c r="P16" s="293">
        <v>100</v>
      </c>
      <c r="Q16" s="293"/>
      <c r="R16" s="49">
        <f t="shared" ref="R16:R47" si="10">D16+E16+F16+J16+L16</f>
        <v>6652436</v>
      </c>
      <c r="S16" s="49">
        <f t="shared" ref="S16:S47" si="11">R16-C16</f>
        <v>0</v>
      </c>
      <c r="U16" s="49">
        <f>民間設備製造1!F18</f>
        <v>194127.77100828174</v>
      </c>
      <c r="V16" s="49">
        <f t="shared" ref="V16:V47" si="12">D16+E16+G16+J16+U16</f>
        <v>5104203.4216328347</v>
      </c>
      <c r="W16" s="49" t="s">
        <v>1105</v>
      </c>
    </row>
    <row r="17" spans="1:22">
      <c r="A17" s="300">
        <v>1</v>
      </c>
      <c r="B17" s="65" t="s">
        <v>182</v>
      </c>
      <c r="C17" s="830">
        <f>'２次調整'!X19</f>
        <v>3188094</v>
      </c>
      <c r="D17" s="830">
        <f>民間消費!F19</f>
        <v>2544488</v>
      </c>
      <c r="E17" s="830">
        <f>政府消費!F19</f>
        <v>402243</v>
      </c>
      <c r="F17" s="830">
        <f t="shared" si="7"/>
        <v>819883</v>
      </c>
      <c r="G17" s="830">
        <f>民間住宅1!F19</f>
        <v>94485</v>
      </c>
      <c r="H17" s="830">
        <f>民間設備投資計!F19</f>
        <v>764735</v>
      </c>
      <c r="I17" s="830">
        <f>民間在庫品増加!F19</f>
        <v>-39337</v>
      </c>
      <c r="J17" s="830">
        <f>公的投資!F19</f>
        <v>107729</v>
      </c>
      <c r="K17" s="856">
        <f t="shared" si="8"/>
        <v>3874343</v>
      </c>
      <c r="L17" s="830">
        <f t="shared" ref="L17:L65" si="13">C17-K17</f>
        <v>-686249</v>
      </c>
      <c r="M17" s="830">
        <f>+移出入推計WS!AI19+移出入推計WS!AK19+移出入推計WS!AL19</f>
        <v>2552256</v>
      </c>
      <c r="N17" s="830">
        <f>移出入推計WS!AJ19</f>
        <v>3181196</v>
      </c>
      <c r="O17" s="828">
        <f t="shared" si="9"/>
        <v>-57309</v>
      </c>
      <c r="P17" s="293">
        <v>1</v>
      </c>
      <c r="Q17" s="293"/>
      <c r="R17" s="49">
        <f t="shared" si="10"/>
        <v>3188094</v>
      </c>
      <c r="S17" s="49">
        <f t="shared" si="11"/>
        <v>0</v>
      </c>
      <c r="U17" s="49">
        <f>民間設備製造1!F19</f>
        <v>397721</v>
      </c>
      <c r="V17" s="49">
        <f t="shared" si="12"/>
        <v>3546666</v>
      </c>
    </row>
    <row r="18" spans="1:22">
      <c r="A18" s="300">
        <v>202</v>
      </c>
      <c r="B18" s="90" t="s">
        <v>183</v>
      </c>
      <c r="C18" s="830">
        <f>'２次調整'!X20</f>
        <v>1745894</v>
      </c>
      <c r="D18" s="830">
        <f>民間消費!F20</f>
        <v>1168856</v>
      </c>
      <c r="E18" s="830">
        <f>政府消費!F20</f>
        <v>171612</v>
      </c>
      <c r="F18" s="830">
        <f t="shared" si="7"/>
        <v>596234</v>
      </c>
      <c r="G18" s="830">
        <f>民間住宅1!F20</f>
        <v>45762</v>
      </c>
      <c r="H18" s="830">
        <f>民間設備投資計!F20</f>
        <v>570696</v>
      </c>
      <c r="I18" s="830">
        <f>民間在庫品増加!F20</f>
        <v>-20224</v>
      </c>
      <c r="J18" s="830">
        <f>公的投資!F20</f>
        <v>55194</v>
      </c>
      <c r="K18" s="856">
        <f t="shared" si="8"/>
        <v>1991896</v>
      </c>
      <c r="L18" s="830">
        <f t="shared" si="13"/>
        <v>-246002</v>
      </c>
      <c r="M18" s="830">
        <f>+移出入推計WS!AI20+移出入推計WS!AK20+移出入推計WS!AL20</f>
        <v>1370461</v>
      </c>
      <c r="N18" s="830">
        <f>移出入推計WS!AJ20</f>
        <v>1635532</v>
      </c>
      <c r="O18" s="831">
        <f t="shared" si="9"/>
        <v>19069</v>
      </c>
      <c r="P18" s="293">
        <v>202</v>
      </c>
      <c r="Q18" s="293"/>
      <c r="R18" s="49">
        <f t="shared" si="10"/>
        <v>1745894</v>
      </c>
      <c r="S18" s="49">
        <f t="shared" si="11"/>
        <v>0</v>
      </c>
      <c r="U18" s="49">
        <f>民間設備製造1!F20</f>
        <v>382005</v>
      </c>
      <c r="V18" s="49">
        <f t="shared" si="12"/>
        <v>1823429</v>
      </c>
    </row>
    <row r="19" spans="1:22">
      <c r="A19" s="300">
        <v>204</v>
      </c>
      <c r="B19" s="90" t="s">
        <v>184</v>
      </c>
      <c r="C19" s="830">
        <f>'２次調整'!X21</f>
        <v>1231982</v>
      </c>
      <c r="D19" s="830">
        <f>民間消費!F21</f>
        <v>1150660</v>
      </c>
      <c r="E19" s="830">
        <f>政府消費!F21</f>
        <v>187673</v>
      </c>
      <c r="F19" s="830">
        <f t="shared" si="7"/>
        <v>190952</v>
      </c>
      <c r="G19" s="830">
        <f>民間住宅1!F21</f>
        <v>43016</v>
      </c>
      <c r="H19" s="830">
        <f>民間設備投資計!F21</f>
        <v>163809</v>
      </c>
      <c r="I19" s="830">
        <f>民間在庫品増加!F21</f>
        <v>-15873</v>
      </c>
      <c r="J19" s="830">
        <f>公的投資!F21</f>
        <v>34042</v>
      </c>
      <c r="K19" s="856">
        <f t="shared" si="8"/>
        <v>1563327</v>
      </c>
      <c r="L19" s="830">
        <f t="shared" si="13"/>
        <v>-331345</v>
      </c>
      <c r="M19" s="830">
        <f>+移出入推計WS!AI21+移出入推計WS!AK21+移出入推計WS!AL21</f>
        <v>1004308</v>
      </c>
      <c r="N19" s="830">
        <f>移出入推計WS!AJ21</f>
        <v>1283637</v>
      </c>
      <c r="O19" s="831">
        <f t="shared" si="9"/>
        <v>-52016</v>
      </c>
      <c r="P19" s="293">
        <v>204</v>
      </c>
      <c r="Q19" s="293"/>
      <c r="R19" s="49">
        <f t="shared" si="10"/>
        <v>1231982</v>
      </c>
      <c r="S19" s="49">
        <f t="shared" si="11"/>
        <v>0</v>
      </c>
      <c r="U19" s="49">
        <f>民間設備製造1!F21</f>
        <v>15716</v>
      </c>
      <c r="V19" s="49">
        <f t="shared" si="12"/>
        <v>1431107</v>
      </c>
    </row>
    <row r="20" spans="1:22">
      <c r="A20" s="300">
        <v>206</v>
      </c>
      <c r="B20" s="90" t="s">
        <v>185</v>
      </c>
      <c r="C20" s="830">
        <f>'２次調整'!X22</f>
        <v>210218</v>
      </c>
      <c r="D20" s="830">
        <f>民間消費!F22</f>
        <v>224972</v>
      </c>
      <c r="E20" s="830">
        <f>政府消費!F22</f>
        <v>42958</v>
      </c>
      <c r="F20" s="830">
        <f t="shared" si="7"/>
        <v>32697</v>
      </c>
      <c r="G20" s="830">
        <f>民間住宅1!F22</f>
        <v>5707</v>
      </c>
      <c r="H20" s="830">
        <f>民間設備投資計!F22</f>
        <v>30230</v>
      </c>
      <c r="I20" s="830">
        <f>民間在庫品増加!F22</f>
        <v>-3240</v>
      </c>
      <c r="J20" s="830">
        <f>公的投資!F22</f>
        <v>18493</v>
      </c>
      <c r="K20" s="856">
        <f t="shared" si="8"/>
        <v>319120</v>
      </c>
      <c r="L20" s="830">
        <f t="shared" si="13"/>
        <v>-108902</v>
      </c>
      <c r="M20" s="830">
        <f>+移出入推計WS!AI22+移出入推計WS!AK22+移出入推計WS!AL22</f>
        <v>177487</v>
      </c>
      <c r="N20" s="830">
        <f>移出入推計WS!AJ22</f>
        <v>262027</v>
      </c>
      <c r="O20" s="835">
        <f t="shared" si="9"/>
        <v>-24362</v>
      </c>
      <c r="P20" s="293">
        <v>206</v>
      </c>
      <c r="Q20" s="293"/>
      <c r="R20" s="49">
        <f t="shared" si="10"/>
        <v>210218</v>
      </c>
      <c r="S20" s="49">
        <f t="shared" si="11"/>
        <v>0</v>
      </c>
      <c r="U20" s="49">
        <f>民間設備製造1!F22</f>
        <v>0</v>
      </c>
      <c r="V20" s="49">
        <f t="shared" si="12"/>
        <v>292130</v>
      </c>
    </row>
    <row r="21" spans="1:22">
      <c r="A21" s="301">
        <v>2</v>
      </c>
      <c r="B21" s="128" t="s">
        <v>186</v>
      </c>
      <c r="C21" s="827">
        <f>'２次調整'!X23</f>
        <v>1896926</v>
      </c>
      <c r="D21" s="827">
        <f>民間消費!F23</f>
        <v>1574480</v>
      </c>
      <c r="E21" s="827">
        <f>政府消費!F23</f>
        <v>254490</v>
      </c>
      <c r="F21" s="827">
        <f t="shared" si="7"/>
        <v>324671</v>
      </c>
      <c r="G21" s="827">
        <f>民間住宅1!F23</f>
        <v>89279</v>
      </c>
      <c r="H21" s="827">
        <f>民間設備投資計!F23</f>
        <v>257947</v>
      </c>
      <c r="I21" s="827">
        <f>民間在庫品増加!F23</f>
        <v>-22555</v>
      </c>
      <c r="J21" s="827">
        <f>公的投資!F23</f>
        <v>67734</v>
      </c>
      <c r="K21" s="855">
        <f t="shared" si="8"/>
        <v>2221375</v>
      </c>
      <c r="L21" s="827">
        <f t="shared" si="13"/>
        <v>-324449</v>
      </c>
      <c r="M21" s="827">
        <f>+移出入推計WS!AI23+移出入推計WS!AK23+移出入推計WS!AL23</f>
        <v>1527079</v>
      </c>
      <c r="N21" s="827">
        <f>移出入推計WS!AJ23</f>
        <v>1823956</v>
      </c>
      <c r="O21" s="828">
        <f t="shared" si="9"/>
        <v>-27572</v>
      </c>
      <c r="P21" s="293">
        <v>2</v>
      </c>
      <c r="Q21" s="293"/>
      <c r="R21" s="49">
        <f t="shared" si="10"/>
        <v>1896926</v>
      </c>
      <c r="S21" s="49">
        <f t="shared" si="11"/>
        <v>0</v>
      </c>
      <c r="U21" s="49">
        <f>民間設備製造1!F23</f>
        <v>47518</v>
      </c>
      <c r="V21" s="49">
        <f t="shared" si="12"/>
        <v>2033501</v>
      </c>
    </row>
    <row r="22" spans="1:22">
      <c r="A22" s="300">
        <v>207</v>
      </c>
      <c r="B22" s="90" t="s">
        <v>187</v>
      </c>
      <c r="C22" s="830">
        <f>'２次調整'!X24</f>
        <v>608917</v>
      </c>
      <c r="D22" s="830">
        <f>民間消費!F24</f>
        <v>433951</v>
      </c>
      <c r="E22" s="830">
        <f>政府消費!F24</f>
        <v>68006</v>
      </c>
      <c r="F22" s="830">
        <f t="shared" si="7"/>
        <v>111988</v>
      </c>
      <c r="G22" s="830">
        <f>民間住宅1!F24</f>
        <v>31297</v>
      </c>
      <c r="H22" s="830">
        <f>民間設備投資計!F24</f>
        <v>87130</v>
      </c>
      <c r="I22" s="830">
        <f>民間在庫品増加!F24</f>
        <v>-6439</v>
      </c>
      <c r="J22" s="830">
        <f>公的投資!F24</f>
        <v>20210</v>
      </c>
      <c r="K22" s="856">
        <f t="shared" si="8"/>
        <v>634155</v>
      </c>
      <c r="L22" s="830">
        <f t="shared" si="13"/>
        <v>-25238</v>
      </c>
      <c r="M22" s="830">
        <f>+移出入推計WS!AI24+移出入推計WS!AK24+移出入推計WS!AL24</f>
        <v>482538</v>
      </c>
      <c r="N22" s="830">
        <f>移出入推計WS!AJ24</f>
        <v>520700</v>
      </c>
      <c r="O22" s="831">
        <f t="shared" si="9"/>
        <v>12924</v>
      </c>
      <c r="P22" s="293">
        <v>207</v>
      </c>
      <c r="Q22" s="293"/>
      <c r="R22" s="49">
        <f t="shared" si="10"/>
        <v>608917</v>
      </c>
      <c r="S22" s="49">
        <f t="shared" si="11"/>
        <v>0</v>
      </c>
      <c r="U22" s="49">
        <f>民間設備製造1!F24</f>
        <v>27057</v>
      </c>
      <c r="V22" s="49">
        <f t="shared" si="12"/>
        <v>580521</v>
      </c>
    </row>
    <row r="23" spans="1:22">
      <c r="A23" s="300">
        <v>214</v>
      </c>
      <c r="B23" s="90" t="s">
        <v>188</v>
      </c>
      <c r="C23" s="830">
        <f>'２次調整'!X25</f>
        <v>484088</v>
      </c>
      <c r="D23" s="830">
        <f>民間消費!F25</f>
        <v>509090</v>
      </c>
      <c r="E23" s="830">
        <f>政府消費!F25</f>
        <v>77353</v>
      </c>
      <c r="F23" s="830">
        <f t="shared" si="7"/>
        <v>91041</v>
      </c>
      <c r="G23" s="830">
        <f>民間住宅1!F25</f>
        <v>31172</v>
      </c>
      <c r="H23" s="830">
        <f>民間設備投資計!F25</f>
        <v>66949</v>
      </c>
      <c r="I23" s="830">
        <f>民間在庫品増加!F25</f>
        <v>-7080</v>
      </c>
      <c r="J23" s="830">
        <f>公的投資!F25</f>
        <v>19800</v>
      </c>
      <c r="K23" s="856">
        <f t="shared" si="8"/>
        <v>697284</v>
      </c>
      <c r="L23" s="830">
        <f t="shared" si="13"/>
        <v>-213196</v>
      </c>
      <c r="M23" s="830">
        <f>+移出入推計WS!AI25+移出入推計WS!AK25+移出入推計WS!AL25</f>
        <v>396647</v>
      </c>
      <c r="N23" s="830">
        <f>移出入推計WS!AJ25</f>
        <v>572535</v>
      </c>
      <c r="O23" s="831">
        <f t="shared" si="9"/>
        <v>-37308</v>
      </c>
      <c r="P23" s="293">
        <v>214</v>
      </c>
      <c r="Q23" s="293"/>
      <c r="R23" s="49">
        <f t="shared" si="10"/>
        <v>484088</v>
      </c>
      <c r="S23" s="49">
        <f t="shared" si="11"/>
        <v>0</v>
      </c>
      <c r="U23" s="49">
        <f>民間設備製造1!F25</f>
        <v>896</v>
      </c>
      <c r="V23" s="49">
        <f t="shared" si="12"/>
        <v>638311</v>
      </c>
    </row>
    <row r="24" spans="1:22">
      <c r="A24" s="300">
        <v>217</v>
      </c>
      <c r="B24" s="90" t="s">
        <v>189</v>
      </c>
      <c r="C24" s="830">
        <f>'２次調整'!X26</f>
        <v>317979</v>
      </c>
      <c r="D24" s="830">
        <f>民間消費!F26</f>
        <v>348782</v>
      </c>
      <c r="E24" s="830">
        <f>政府消費!F26</f>
        <v>54102</v>
      </c>
      <c r="F24" s="830">
        <f t="shared" si="7"/>
        <v>57904</v>
      </c>
      <c r="G24" s="830">
        <f>民間住宅1!F26</f>
        <v>15379</v>
      </c>
      <c r="H24" s="830">
        <f>民間設備投資計!F26</f>
        <v>47291</v>
      </c>
      <c r="I24" s="830">
        <f>民間在庫品増加!F26</f>
        <v>-4766</v>
      </c>
      <c r="J24" s="830">
        <f>公的投資!F26</f>
        <v>8613</v>
      </c>
      <c r="K24" s="856">
        <f t="shared" si="8"/>
        <v>469401</v>
      </c>
      <c r="L24" s="830">
        <f t="shared" si="13"/>
        <v>-151422</v>
      </c>
      <c r="M24" s="830">
        <f>+移出入推計WS!AI26+移出入推計WS!AK26+移出入推計WS!AL26</f>
        <v>262385</v>
      </c>
      <c r="N24" s="830">
        <f>移出入推計WS!AJ26</f>
        <v>385422</v>
      </c>
      <c r="O24" s="831">
        <f t="shared" si="9"/>
        <v>-28385</v>
      </c>
      <c r="P24" s="293">
        <v>217</v>
      </c>
      <c r="Q24" s="293"/>
      <c r="R24" s="49">
        <f t="shared" si="10"/>
        <v>317979</v>
      </c>
      <c r="S24" s="49">
        <f t="shared" si="11"/>
        <v>0</v>
      </c>
      <c r="U24" s="49">
        <f>民間設備製造1!F26</f>
        <v>2825</v>
      </c>
      <c r="V24" s="49">
        <f t="shared" si="12"/>
        <v>429701</v>
      </c>
    </row>
    <row r="25" spans="1:22">
      <c r="A25" s="300">
        <v>219</v>
      </c>
      <c r="B25" s="90" t="s">
        <v>190</v>
      </c>
      <c r="C25" s="830">
        <f>'２次調整'!X27</f>
        <v>423131</v>
      </c>
      <c r="D25" s="830">
        <f>民間消費!F27</f>
        <v>222713</v>
      </c>
      <c r="E25" s="830">
        <f>政府消費!F27</f>
        <v>40877</v>
      </c>
      <c r="F25" s="830">
        <f t="shared" si="7"/>
        <v>54437</v>
      </c>
      <c r="G25" s="830">
        <f>民間住宅1!F27</f>
        <v>9493</v>
      </c>
      <c r="H25" s="830">
        <f>民間設備投資計!F27</f>
        <v>48348</v>
      </c>
      <c r="I25" s="830">
        <f>民間在庫品増加!F27</f>
        <v>-3404</v>
      </c>
      <c r="J25" s="830">
        <f>公的投資!F27</f>
        <v>17255</v>
      </c>
      <c r="K25" s="856">
        <f t="shared" si="8"/>
        <v>335282</v>
      </c>
      <c r="L25" s="830">
        <f t="shared" si="13"/>
        <v>87849</v>
      </c>
      <c r="M25" s="830">
        <f>+移出入推計WS!AI27+移出入推計WS!AK27+移出入推計WS!AL27</f>
        <v>331742</v>
      </c>
      <c r="N25" s="830">
        <f>移出入推計WS!AJ27</f>
        <v>275298</v>
      </c>
      <c r="O25" s="831">
        <f t="shared" si="9"/>
        <v>31405</v>
      </c>
      <c r="P25" s="293">
        <v>219</v>
      </c>
      <c r="Q25" s="293"/>
      <c r="R25" s="49">
        <f t="shared" si="10"/>
        <v>423131</v>
      </c>
      <c r="S25" s="49">
        <f t="shared" si="11"/>
        <v>0</v>
      </c>
      <c r="U25" s="49">
        <f>民間設備製造1!F27</f>
        <v>16587</v>
      </c>
      <c r="V25" s="49">
        <f t="shared" si="12"/>
        <v>306925</v>
      </c>
    </row>
    <row r="26" spans="1:22">
      <c r="A26" s="302">
        <v>301</v>
      </c>
      <c r="B26" s="201" t="s">
        <v>191</v>
      </c>
      <c r="C26" s="837">
        <f>'２次調整'!X28</f>
        <v>62811</v>
      </c>
      <c r="D26" s="837">
        <f>民間消費!F28</f>
        <v>59944</v>
      </c>
      <c r="E26" s="837">
        <f>政府消費!F28</f>
        <v>14152</v>
      </c>
      <c r="F26" s="837">
        <f t="shared" si="7"/>
        <v>9301</v>
      </c>
      <c r="G26" s="837">
        <f>民間住宅1!F28</f>
        <v>1938</v>
      </c>
      <c r="H26" s="837">
        <f>民間設備投資計!F28</f>
        <v>8229</v>
      </c>
      <c r="I26" s="837">
        <f>民間在庫品増加!F28</f>
        <v>-866</v>
      </c>
      <c r="J26" s="837">
        <f>公的投資!F28</f>
        <v>1856</v>
      </c>
      <c r="K26" s="858">
        <f t="shared" si="8"/>
        <v>85253</v>
      </c>
      <c r="L26" s="837">
        <f t="shared" si="13"/>
        <v>-22442</v>
      </c>
      <c r="M26" s="837">
        <f>+移出入推計WS!AI28+移出入推計WS!AK28+移出入推計WS!AL28</f>
        <v>53767</v>
      </c>
      <c r="N26" s="837">
        <f>移出入推計WS!AJ28</f>
        <v>70001</v>
      </c>
      <c r="O26" s="835">
        <f t="shared" si="9"/>
        <v>-6208</v>
      </c>
      <c r="P26" s="293">
        <v>301</v>
      </c>
      <c r="Q26" s="293"/>
      <c r="R26" s="49">
        <f t="shared" si="10"/>
        <v>62811</v>
      </c>
      <c r="S26" s="49">
        <f t="shared" si="11"/>
        <v>0</v>
      </c>
      <c r="U26" s="49">
        <f>民間設備製造1!F28</f>
        <v>153</v>
      </c>
      <c r="V26" s="49">
        <f t="shared" si="12"/>
        <v>78043</v>
      </c>
    </row>
    <row r="27" spans="1:22">
      <c r="A27" s="300">
        <v>3</v>
      </c>
      <c r="B27" s="65" t="s">
        <v>192</v>
      </c>
      <c r="C27" s="830">
        <f>'２次調整'!X29</f>
        <v>2756065</v>
      </c>
      <c r="D27" s="830">
        <f>民間消費!F29</f>
        <v>1548820</v>
      </c>
      <c r="E27" s="830">
        <f>政府消費!F29</f>
        <v>241396</v>
      </c>
      <c r="F27" s="830">
        <f t="shared" si="7"/>
        <v>725386</v>
      </c>
      <c r="G27" s="827">
        <f>民間住宅1!F29</f>
        <v>104731</v>
      </c>
      <c r="H27" s="830">
        <f>民間設備投資計!F29</f>
        <v>646795</v>
      </c>
      <c r="I27" s="830">
        <f>民間在庫品増加!F29</f>
        <v>-26140</v>
      </c>
      <c r="J27" s="830">
        <f>公的投資!F29</f>
        <v>59026</v>
      </c>
      <c r="K27" s="856">
        <f t="shared" si="8"/>
        <v>2574628</v>
      </c>
      <c r="L27" s="830">
        <f t="shared" si="13"/>
        <v>181437</v>
      </c>
      <c r="M27" s="830">
        <f>+移出入推計WS!AI29+移出入推計WS!AK29+移出入推計WS!AL29</f>
        <v>2146897</v>
      </c>
      <c r="N27" s="830">
        <f>移出入推計WS!AJ29</f>
        <v>2114011</v>
      </c>
      <c r="O27" s="828">
        <f t="shared" si="9"/>
        <v>148551</v>
      </c>
      <c r="P27" s="293">
        <v>3</v>
      </c>
      <c r="Q27" s="293"/>
      <c r="R27" s="49">
        <f t="shared" si="10"/>
        <v>2756065</v>
      </c>
      <c r="S27" s="49">
        <f t="shared" si="11"/>
        <v>0</v>
      </c>
      <c r="U27" s="49">
        <f>民間設備製造1!F29</f>
        <v>402901</v>
      </c>
      <c r="V27" s="49">
        <f t="shared" si="12"/>
        <v>2356874</v>
      </c>
    </row>
    <row r="28" spans="1:22">
      <c r="A28" s="300">
        <v>203</v>
      </c>
      <c r="B28" s="90" t="s">
        <v>193</v>
      </c>
      <c r="C28" s="830">
        <f>'２次調整'!X30</f>
        <v>1070357</v>
      </c>
      <c r="D28" s="830">
        <f>民間消費!F30</f>
        <v>660356</v>
      </c>
      <c r="E28" s="830">
        <f>政府消費!F30</f>
        <v>101988</v>
      </c>
      <c r="F28" s="830">
        <f t="shared" si="7"/>
        <v>182171</v>
      </c>
      <c r="G28" s="830">
        <f>民間住宅1!F30</f>
        <v>35856</v>
      </c>
      <c r="H28" s="830">
        <f>民間設備投資計!F30</f>
        <v>156185</v>
      </c>
      <c r="I28" s="830">
        <f>民間在庫品増加!F30</f>
        <v>-9870</v>
      </c>
      <c r="J28" s="830">
        <f>公的投資!F30</f>
        <v>27563</v>
      </c>
      <c r="K28" s="856">
        <f t="shared" si="8"/>
        <v>972078</v>
      </c>
      <c r="L28" s="830">
        <f t="shared" si="13"/>
        <v>98279</v>
      </c>
      <c r="M28" s="830">
        <f>+移出入推計WS!AI30+移出入推計WS!AK30+移出入推計WS!AL30</f>
        <v>838387</v>
      </c>
      <c r="N28" s="830">
        <f>移出入推計WS!AJ30</f>
        <v>798167</v>
      </c>
      <c r="O28" s="831">
        <f t="shared" si="9"/>
        <v>58059</v>
      </c>
      <c r="P28" s="293">
        <v>203</v>
      </c>
      <c r="Q28" s="293"/>
      <c r="R28" s="49">
        <f t="shared" si="10"/>
        <v>1070357</v>
      </c>
      <c r="S28" s="49">
        <f t="shared" si="11"/>
        <v>0</v>
      </c>
      <c r="U28" s="49">
        <f>民間設備製造1!F30</f>
        <v>64100</v>
      </c>
      <c r="V28" s="49">
        <f t="shared" si="12"/>
        <v>889863</v>
      </c>
    </row>
    <row r="29" spans="1:22">
      <c r="A29" s="300">
        <v>210</v>
      </c>
      <c r="B29" s="90" t="s">
        <v>194</v>
      </c>
      <c r="C29" s="830">
        <f>'２次調整'!X31</f>
        <v>789683</v>
      </c>
      <c r="D29" s="830">
        <f>民間消費!F31</f>
        <v>560193</v>
      </c>
      <c r="E29" s="830">
        <f>政府消費!F31</f>
        <v>87343</v>
      </c>
      <c r="F29" s="830">
        <f t="shared" si="7"/>
        <v>268044</v>
      </c>
      <c r="G29" s="830">
        <f>民間住宅1!F31</f>
        <v>48148</v>
      </c>
      <c r="H29" s="830">
        <f>民間設備投資計!F31</f>
        <v>229423</v>
      </c>
      <c r="I29" s="830">
        <f>民間在庫品増加!F31</f>
        <v>-9527</v>
      </c>
      <c r="J29" s="830">
        <f>公的投資!F31</f>
        <v>22803</v>
      </c>
      <c r="K29" s="856">
        <f t="shared" si="8"/>
        <v>938383</v>
      </c>
      <c r="L29" s="830">
        <f t="shared" si="13"/>
        <v>-148700</v>
      </c>
      <c r="M29" s="830">
        <f>+移出入推計WS!AI31+移出入推計WS!AK31+移出入推計WS!AL31</f>
        <v>625310</v>
      </c>
      <c r="N29" s="830">
        <f>移出入推計WS!AJ31</f>
        <v>770500</v>
      </c>
      <c r="O29" s="831">
        <f t="shared" si="9"/>
        <v>-3510</v>
      </c>
      <c r="P29" s="293">
        <v>210</v>
      </c>
      <c r="Q29" s="293"/>
      <c r="R29" s="49">
        <f t="shared" si="10"/>
        <v>789683</v>
      </c>
      <c r="S29" s="49">
        <f t="shared" si="11"/>
        <v>0</v>
      </c>
      <c r="U29" s="49">
        <f>民間設備製造1!F31</f>
        <v>140530</v>
      </c>
      <c r="V29" s="49">
        <f t="shared" si="12"/>
        <v>859017</v>
      </c>
    </row>
    <row r="30" spans="1:22">
      <c r="A30" s="300">
        <v>216</v>
      </c>
      <c r="B30" s="90" t="s">
        <v>195</v>
      </c>
      <c r="C30" s="830">
        <f>'２次調整'!X32</f>
        <v>620977</v>
      </c>
      <c r="D30" s="830">
        <f>民間消費!F32</f>
        <v>199220</v>
      </c>
      <c r="E30" s="830">
        <f>政府消費!F32</f>
        <v>32708</v>
      </c>
      <c r="F30" s="830">
        <f t="shared" si="7"/>
        <v>217997</v>
      </c>
      <c r="G30" s="830">
        <f>民間住宅1!F32</f>
        <v>13136</v>
      </c>
      <c r="H30" s="830">
        <f>民間設備投資計!F32</f>
        <v>209472</v>
      </c>
      <c r="I30" s="830">
        <f>民間在庫品増加!F32</f>
        <v>-4611</v>
      </c>
      <c r="J30" s="830">
        <f>公的投資!F32</f>
        <v>4235</v>
      </c>
      <c r="K30" s="856">
        <f t="shared" si="8"/>
        <v>454160</v>
      </c>
      <c r="L30" s="830">
        <f t="shared" si="13"/>
        <v>166817</v>
      </c>
      <c r="M30" s="830">
        <f>+移出入推計WS!AI32+移出入推計WS!AK32+移出入推計WS!AL32</f>
        <v>471593</v>
      </c>
      <c r="N30" s="830">
        <f>移出入推計WS!AJ32</f>
        <v>372908</v>
      </c>
      <c r="O30" s="831">
        <f t="shared" si="9"/>
        <v>68132</v>
      </c>
      <c r="P30" s="293">
        <v>216</v>
      </c>
      <c r="Q30" s="293"/>
      <c r="R30" s="49">
        <f t="shared" si="10"/>
        <v>620977</v>
      </c>
      <c r="S30" s="49">
        <f t="shared" si="11"/>
        <v>0</v>
      </c>
      <c r="U30" s="49">
        <f>民間設備製造1!F32</f>
        <v>166450</v>
      </c>
      <c r="V30" s="49">
        <f t="shared" si="12"/>
        <v>415749</v>
      </c>
    </row>
    <row r="31" spans="1:22">
      <c r="A31" s="300">
        <v>381</v>
      </c>
      <c r="B31" s="90" t="s">
        <v>196</v>
      </c>
      <c r="C31" s="830">
        <f>'２次調整'!X33</f>
        <v>131222</v>
      </c>
      <c r="D31" s="830">
        <f>民間消費!F33</f>
        <v>57849</v>
      </c>
      <c r="E31" s="830">
        <f>政府消費!F33</f>
        <v>8902</v>
      </c>
      <c r="F31" s="830">
        <f t="shared" si="7"/>
        <v>18624</v>
      </c>
      <c r="G31" s="830">
        <f>民間住宅1!F33</f>
        <v>3822</v>
      </c>
      <c r="H31" s="830">
        <f>民間設備投資計!F33</f>
        <v>15690</v>
      </c>
      <c r="I31" s="830">
        <f>民間在庫品増加!F33</f>
        <v>-888</v>
      </c>
      <c r="J31" s="830">
        <f>公的投資!F33</f>
        <v>2130</v>
      </c>
      <c r="K31" s="856">
        <f t="shared" si="8"/>
        <v>87505</v>
      </c>
      <c r="L31" s="830">
        <f t="shared" si="13"/>
        <v>43717</v>
      </c>
      <c r="M31" s="830">
        <f>+移出入推計WS!AI33+移出入推計WS!AK33+移出入推計WS!AL33</f>
        <v>100769</v>
      </c>
      <c r="N31" s="830">
        <f>移出入推計WS!AJ33</f>
        <v>71850</v>
      </c>
      <c r="O31" s="831">
        <f t="shared" si="9"/>
        <v>14798</v>
      </c>
      <c r="P31" s="293">
        <v>381</v>
      </c>
      <c r="Q31" s="293"/>
      <c r="R31" s="49">
        <f t="shared" si="10"/>
        <v>131222</v>
      </c>
      <c r="S31" s="49">
        <f t="shared" si="11"/>
        <v>0</v>
      </c>
      <c r="U31" s="49">
        <f>民間設備製造1!F33</f>
        <v>7401</v>
      </c>
      <c r="V31" s="49">
        <f t="shared" si="12"/>
        <v>80104</v>
      </c>
    </row>
    <row r="32" spans="1:22">
      <c r="A32" s="300">
        <v>382</v>
      </c>
      <c r="B32" s="90" t="s">
        <v>197</v>
      </c>
      <c r="C32" s="830">
        <f>'２次調整'!X34</f>
        <v>143826</v>
      </c>
      <c r="D32" s="830">
        <f>民間消費!F34</f>
        <v>71202</v>
      </c>
      <c r="E32" s="830">
        <f>政府消費!F34</f>
        <v>10455</v>
      </c>
      <c r="F32" s="830">
        <f t="shared" si="7"/>
        <v>38550</v>
      </c>
      <c r="G32" s="837">
        <f>民間住宅1!F34</f>
        <v>3769</v>
      </c>
      <c r="H32" s="830">
        <f>民間設備投資計!F34</f>
        <v>36025</v>
      </c>
      <c r="I32" s="830">
        <f>民間在庫品増加!F34</f>
        <v>-1244</v>
      </c>
      <c r="J32" s="830">
        <f>公的投資!F34</f>
        <v>2295</v>
      </c>
      <c r="K32" s="856">
        <f t="shared" si="8"/>
        <v>122502</v>
      </c>
      <c r="L32" s="830">
        <f t="shared" si="13"/>
        <v>21324</v>
      </c>
      <c r="M32" s="830">
        <f>+移出入推計WS!AI34+移出入推計WS!AK34+移出入推計WS!AL34</f>
        <v>110838</v>
      </c>
      <c r="N32" s="830">
        <f>移出入推計WS!AJ34</f>
        <v>100586</v>
      </c>
      <c r="O32" s="835">
        <f t="shared" si="9"/>
        <v>11072</v>
      </c>
      <c r="P32" s="293">
        <v>382</v>
      </c>
      <c r="Q32" s="293"/>
      <c r="R32" s="49">
        <f t="shared" si="10"/>
        <v>143826</v>
      </c>
      <c r="S32" s="49">
        <f t="shared" si="11"/>
        <v>0</v>
      </c>
      <c r="U32" s="49">
        <f>民間設備製造1!F34</f>
        <v>24420</v>
      </c>
      <c r="V32" s="49">
        <f t="shared" si="12"/>
        <v>112141</v>
      </c>
    </row>
    <row r="33" spans="1:22">
      <c r="A33" s="301">
        <v>4</v>
      </c>
      <c r="B33" s="306" t="s">
        <v>198</v>
      </c>
      <c r="C33" s="827">
        <f>'２次調整'!X35</f>
        <v>1222708</v>
      </c>
      <c r="D33" s="827">
        <f>民間消費!F35</f>
        <v>543363</v>
      </c>
      <c r="E33" s="827">
        <f>政府消費!F35</f>
        <v>110842</v>
      </c>
      <c r="F33" s="827">
        <f t="shared" si="7"/>
        <v>153373</v>
      </c>
      <c r="G33" s="830">
        <f>民間住宅1!F35</f>
        <v>29718</v>
      </c>
      <c r="H33" s="827">
        <f>民間設備投資計!F35</f>
        <v>132139</v>
      </c>
      <c r="I33" s="827">
        <f>民間在庫品増加!F35</f>
        <v>-8484</v>
      </c>
      <c r="J33" s="827">
        <f>公的投資!F35</f>
        <v>27999</v>
      </c>
      <c r="K33" s="855">
        <f t="shared" si="8"/>
        <v>835577</v>
      </c>
      <c r="L33" s="827">
        <f t="shared" si="13"/>
        <v>387131</v>
      </c>
      <c r="M33" s="827">
        <f>+移出入推計WS!AI35+移出入推計WS!AK35+移出入推計WS!AL35</f>
        <v>954552</v>
      </c>
      <c r="N33" s="827">
        <f>移出入推計WS!AJ35</f>
        <v>686087</v>
      </c>
      <c r="O33" s="828">
        <f t="shared" si="9"/>
        <v>118666</v>
      </c>
      <c r="P33" s="293">
        <v>4</v>
      </c>
      <c r="Q33" s="293"/>
      <c r="R33" s="49">
        <f t="shared" si="10"/>
        <v>1222708</v>
      </c>
      <c r="S33" s="49">
        <f t="shared" si="11"/>
        <v>0</v>
      </c>
      <c r="U33" s="49">
        <f>民間設備製造1!F35</f>
        <v>52985</v>
      </c>
      <c r="V33" s="49">
        <f t="shared" si="12"/>
        <v>764907</v>
      </c>
    </row>
    <row r="34" spans="1:22">
      <c r="A34" s="300">
        <v>213</v>
      </c>
      <c r="B34" s="92" t="s">
        <v>231</v>
      </c>
      <c r="C34" s="830">
        <f>'２次調整'!X36</f>
        <v>161988</v>
      </c>
      <c r="D34" s="830">
        <f>民間消費!F36</f>
        <v>84973</v>
      </c>
      <c r="E34" s="830">
        <f>政府消費!F36</f>
        <v>14075</v>
      </c>
      <c r="F34" s="830">
        <f t="shared" si="7"/>
        <v>17996</v>
      </c>
      <c r="G34" s="830">
        <f>民間住宅1!F36</f>
        <v>4307</v>
      </c>
      <c r="H34" s="830">
        <f>民間設備投資計!F36</f>
        <v>14914</v>
      </c>
      <c r="I34" s="830">
        <f>民間在庫品増加!F36</f>
        <v>-1225</v>
      </c>
      <c r="J34" s="830">
        <f>公的投資!F36</f>
        <v>3628</v>
      </c>
      <c r="K34" s="856">
        <f t="shared" si="8"/>
        <v>120672</v>
      </c>
      <c r="L34" s="830">
        <f t="shared" si="13"/>
        <v>41316</v>
      </c>
      <c r="M34" s="830">
        <f>+移出入推計WS!AI36+移出入推計WS!AK36+移出入推計WS!AL36</f>
        <v>126120</v>
      </c>
      <c r="N34" s="830">
        <f>移出入推計WS!AJ36</f>
        <v>99083</v>
      </c>
      <c r="O34" s="831">
        <f t="shared" si="9"/>
        <v>14279</v>
      </c>
      <c r="P34" s="293">
        <v>213</v>
      </c>
      <c r="Q34" s="293"/>
      <c r="R34" s="49">
        <f t="shared" si="10"/>
        <v>161988</v>
      </c>
      <c r="S34" s="49">
        <f t="shared" si="11"/>
        <v>0</v>
      </c>
      <c r="U34" s="49">
        <f>民間設備製造1!F36</f>
        <v>3483</v>
      </c>
      <c r="V34" s="49">
        <f t="shared" si="12"/>
        <v>110466</v>
      </c>
    </row>
    <row r="35" spans="1:22">
      <c r="A35" s="300">
        <v>215</v>
      </c>
      <c r="B35" s="92" t="s">
        <v>232</v>
      </c>
      <c r="C35" s="830">
        <f>'２次調整'!X37</f>
        <v>288809</v>
      </c>
      <c r="D35" s="830">
        <f>民間消費!F37</f>
        <v>162737</v>
      </c>
      <c r="E35" s="830">
        <f>政府消費!F37</f>
        <v>30858</v>
      </c>
      <c r="F35" s="830">
        <f t="shared" si="7"/>
        <v>33425</v>
      </c>
      <c r="G35" s="830">
        <f>民間住宅1!F37</f>
        <v>8596</v>
      </c>
      <c r="H35" s="830">
        <f>民間設備投資計!F37</f>
        <v>27228</v>
      </c>
      <c r="I35" s="830">
        <f>民間在庫品増加!F37</f>
        <v>-2399</v>
      </c>
      <c r="J35" s="830">
        <f>公的投資!F37</f>
        <v>9217</v>
      </c>
      <c r="K35" s="856">
        <f t="shared" si="8"/>
        <v>236237</v>
      </c>
      <c r="L35" s="830">
        <f t="shared" si="13"/>
        <v>52572</v>
      </c>
      <c r="M35" s="830">
        <f>+移出入推計WS!AI37+移出入推計WS!AK37+移出入推計WS!AL37</f>
        <v>228086</v>
      </c>
      <c r="N35" s="830">
        <f>移出入推計WS!AJ37</f>
        <v>193973</v>
      </c>
      <c r="O35" s="831">
        <f t="shared" si="9"/>
        <v>18459</v>
      </c>
      <c r="P35" s="293">
        <v>215</v>
      </c>
      <c r="Q35" s="293"/>
      <c r="R35" s="49">
        <f t="shared" si="10"/>
        <v>288809</v>
      </c>
      <c r="S35" s="49">
        <f t="shared" si="11"/>
        <v>0</v>
      </c>
      <c r="U35" s="49">
        <f>民間設備製造1!F37</f>
        <v>4849</v>
      </c>
      <c r="V35" s="49">
        <f t="shared" si="12"/>
        <v>216257</v>
      </c>
    </row>
    <row r="36" spans="1:22">
      <c r="A36" s="300">
        <v>218</v>
      </c>
      <c r="B36" s="90" t="s">
        <v>200</v>
      </c>
      <c r="C36" s="830">
        <f>'２次調整'!X38</f>
        <v>235141</v>
      </c>
      <c r="D36" s="830">
        <f>民間消費!F38</f>
        <v>94506</v>
      </c>
      <c r="E36" s="830">
        <f>政府消費!F38</f>
        <v>17318</v>
      </c>
      <c r="F36" s="830">
        <f t="shared" si="7"/>
        <v>33900</v>
      </c>
      <c r="G36" s="830">
        <f>民間住宅1!F38</f>
        <v>5061</v>
      </c>
      <c r="H36" s="830">
        <f>民間設備投資計!F38</f>
        <v>30373</v>
      </c>
      <c r="I36" s="830">
        <f>民間在庫品増加!F38</f>
        <v>-1534</v>
      </c>
      <c r="J36" s="830">
        <f>公的投資!F38</f>
        <v>5389</v>
      </c>
      <c r="K36" s="856">
        <f t="shared" si="8"/>
        <v>151113</v>
      </c>
      <c r="L36" s="830">
        <f t="shared" si="13"/>
        <v>84028</v>
      </c>
      <c r="M36" s="830">
        <f>+移出入推計WS!AI38+移出入推計WS!AK38+移出入推計WS!AL38</f>
        <v>181335</v>
      </c>
      <c r="N36" s="830">
        <f>移出入推計WS!AJ38</f>
        <v>124078</v>
      </c>
      <c r="O36" s="831">
        <f t="shared" si="9"/>
        <v>26771</v>
      </c>
      <c r="P36" s="293">
        <v>218</v>
      </c>
      <c r="Q36" s="293"/>
      <c r="R36" s="49">
        <f t="shared" si="10"/>
        <v>235141</v>
      </c>
      <c r="S36" s="49">
        <f t="shared" si="11"/>
        <v>0</v>
      </c>
      <c r="U36" s="49">
        <f>民間設備製造1!F38</f>
        <v>16058</v>
      </c>
      <c r="V36" s="49">
        <f t="shared" si="12"/>
        <v>138332</v>
      </c>
    </row>
    <row r="37" spans="1:22">
      <c r="A37" s="300">
        <v>220</v>
      </c>
      <c r="B37" s="90" t="s">
        <v>201</v>
      </c>
      <c r="C37" s="830">
        <f>'２次調整'!X39</f>
        <v>213474</v>
      </c>
      <c r="D37" s="830">
        <f>民間消費!F39</f>
        <v>86068</v>
      </c>
      <c r="E37" s="830">
        <f>政府消費!F39</f>
        <v>17738</v>
      </c>
      <c r="F37" s="830">
        <f t="shared" si="7"/>
        <v>34277</v>
      </c>
      <c r="G37" s="830">
        <f>民間住宅1!F39</f>
        <v>5186</v>
      </c>
      <c r="H37" s="830">
        <f>民間設備投資計!F39</f>
        <v>30516</v>
      </c>
      <c r="I37" s="830">
        <f>民間在庫品増加!F39</f>
        <v>-1425</v>
      </c>
      <c r="J37" s="830">
        <f>公的投資!F39</f>
        <v>2223</v>
      </c>
      <c r="K37" s="856">
        <f t="shared" si="8"/>
        <v>140306</v>
      </c>
      <c r="L37" s="830">
        <f t="shared" si="13"/>
        <v>73168</v>
      </c>
      <c r="M37" s="830">
        <f>+移出入推計WS!AI39+移出入推計WS!AK39+移出入推計WS!AL39</f>
        <v>165754</v>
      </c>
      <c r="N37" s="830">
        <f>移出入推計WS!AJ39</f>
        <v>115204</v>
      </c>
      <c r="O37" s="831">
        <f t="shared" si="9"/>
        <v>22618</v>
      </c>
      <c r="P37" s="293">
        <v>220</v>
      </c>
      <c r="Q37" s="293"/>
      <c r="R37" s="49">
        <f t="shared" si="10"/>
        <v>213474</v>
      </c>
      <c r="S37" s="49">
        <f t="shared" si="11"/>
        <v>0</v>
      </c>
      <c r="U37" s="49">
        <f>民間設備製造1!F39</f>
        <v>17225</v>
      </c>
      <c r="V37" s="49">
        <f t="shared" si="12"/>
        <v>128440</v>
      </c>
    </row>
    <row r="38" spans="1:22">
      <c r="A38" s="300">
        <v>228</v>
      </c>
      <c r="B38" s="90" t="s">
        <v>239</v>
      </c>
      <c r="C38" s="830">
        <f>'２次調整'!X40</f>
        <v>262980</v>
      </c>
      <c r="D38" s="830">
        <f>民間消費!F40</f>
        <v>76926</v>
      </c>
      <c r="E38" s="830">
        <f>政府消費!F40</f>
        <v>18411</v>
      </c>
      <c r="F38" s="830">
        <f t="shared" si="7"/>
        <v>26338</v>
      </c>
      <c r="G38" s="830">
        <f>民間住宅1!F40</f>
        <v>5850</v>
      </c>
      <c r="H38" s="830">
        <f>民間設備投資計!F40</f>
        <v>21760</v>
      </c>
      <c r="I38" s="830">
        <f>民間在庫品増加!F40</f>
        <v>-1272</v>
      </c>
      <c r="J38" s="830">
        <f>公的投資!F40</f>
        <v>3637</v>
      </c>
      <c r="K38" s="856">
        <f t="shared" si="8"/>
        <v>125312</v>
      </c>
      <c r="L38" s="830">
        <f t="shared" si="13"/>
        <v>137668</v>
      </c>
      <c r="M38" s="830">
        <f>+移出入推計WS!AI40+移出入推計WS!AK40+移出入推計WS!AL40</f>
        <v>202267</v>
      </c>
      <c r="N38" s="830">
        <f>移出入推計WS!AJ40</f>
        <v>102893</v>
      </c>
      <c r="O38" s="831">
        <f t="shared" si="9"/>
        <v>38294</v>
      </c>
      <c r="P38" s="293">
        <v>228</v>
      </c>
      <c r="Q38" s="293"/>
      <c r="R38" s="49">
        <f t="shared" si="10"/>
        <v>262980</v>
      </c>
      <c r="S38" s="49">
        <f t="shared" si="11"/>
        <v>0</v>
      </c>
      <c r="U38" s="49">
        <f>民間設備製造1!F40</f>
        <v>9889</v>
      </c>
      <c r="V38" s="49">
        <f t="shared" si="12"/>
        <v>114713</v>
      </c>
    </row>
    <row r="39" spans="1:22">
      <c r="A39" s="302">
        <v>365</v>
      </c>
      <c r="B39" s="201" t="s">
        <v>233</v>
      </c>
      <c r="C39" s="837">
        <f>'２次調整'!X41</f>
        <v>60316</v>
      </c>
      <c r="D39" s="837">
        <f>民間消費!F41</f>
        <v>38153</v>
      </c>
      <c r="E39" s="837">
        <f>政府消費!F41</f>
        <v>12442</v>
      </c>
      <c r="F39" s="837">
        <f t="shared" si="7"/>
        <v>7437</v>
      </c>
      <c r="G39" s="830">
        <f>民間住宅1!F41</f>
        <v>718</v>
      </c>
      <c r="H39" s="837">
        <f>民間設備投資計!F41</f>
        <v>7348</v>
      </c>
      <c r="I39" s="837">
        <f>民間在庫品増加!F41</f>
        <v>-629</v>
      </c>
      <c r="J39" s="837">
        <f>公的投資!F41</f>
        <v>3905</v>
      </c>
      <c r="K39" s="858">
        <f t="shared" si="8"/>
        <v>61937</v>
      </c>
      <c r="L39" s="837">
        <f t="shared" si="13"/>
        <v>-1621</v>
      </c>
      <c r="M39" s="837">
        <f>+移出入推計WS!AI41+移出入推計WS!AK41+移出入推計WS!AL41</f>
        <v>50990</v>
      </c>
      <c r="N39" s="837">
        <f>移出入推計WS!AJ41</f>
        <v>50856</v>
      </c>
      <c r="O39" s="835">
        <f t="shared" si="9"/>
        <v>-1755</v>
      </c>
      <c r="P39" s="293">
        <v>365</v>
      </c>
      <c r="Q39" s="293"/>
      <c r="R39" s="49">
        <f t="shared" si="10"/>
        <v>60316</v>
      </c>
      <c r="S39" s="49">
        <f t="shared" si="11"/>
        <v>0</v>
      </c>
      <c r="U39" s="49">
        <f>民間設備製造1!F41</f>
        <v>1481</v>
      </c>
      <c r="V39" s="49">
        <f t="shared" si="12"/>
        <v>56699</v>
      </c>
    </row>
    <row r="40" spans="1:22">
      <c r="A40" s="300">
        <v>5</v>
      </c>
      <c r="B40" s="91" t="s">
        <v>202</v>
      </c>
      <c r="C40" s="830">
        <f>'２次調整'!X42</f>
        <v>2529549</v>
      </c>
      <c r="D40" s="830">
        <f>民間消費!F42</f>
        <v>1239078</v>
      </c>
      <c r="E40" s="830">
        <f>政府消費!F42</f>
        <v>199780</v>
      </c>
      <c r="F40" s="830">
        <f t="shared" si="7"/>
        <v>452733</v>
      </c>
      <c r="G40" s="827">
        <f>民間住宅1!F42</f>
        <v>79679</v>
      </c>
      <c r="H40" s="830">
        <f>民間設備投資計!F42</f>
        <v>393405</v>
      </c>
      <c r="I40" s="830">
        <f>民間在庫品増加!F42</f>
        <v>-20351</v>
      </c>
      <c r="J40" s="830">
        <f>公的投資!F42</f>
        <v>112825</v>
      </c>
      <c r="K40" s="856">
        <f t="shared" si="8"/>
        <v>2004416</v>
      </c>
      <c r="L40" s="830">
        <f t="shared" si="13"/>
        <v>525133</v>
      </c>
      <c r="M40" s="830">
        <f>+移出入推計WS!AI42+移出入推計WS!AK42+移出入推計WS!AL42</f>
        <v>1958260</v>
      </c>
      <c r="N40" s="830">
        <f>移出入推計WS!AJ42</f>
        <v>1645812</v>
      </c>
      <c r="O40" s="828">
        <f t="shared" si="9"/>
        <v>212685</v>
      </c>
      <c r="P40" s="293">
        <v>5</v>
      </c>
      <c r="Q40" s="293"/>
      <c r="R40" s="49">
        <f t="shared" si="10"/>
        <v>2529549</v>
      </c>
      <c r="S40" s="49">
        <f t="shared" si="11"/>
        <v>0</v>
      </c>
      <c r="U40" s="49">
        <f>民間設備製造1!F42</f>
        <v>203528</v>
      </c>
      <c r="V40" s="49">
        <f t="shared" si="12"/>
        <v>1834890</v>
      </c>
    </row>
    <row r="41" spans="1:22">
      <c r="A41" s="300">
        <v>201</v>
      </c>
      <c r="B41" s="92" t="s">
        <v>240</v>
      </c>
      <c r="C41" s="830">
        <f>'２次調整'!X43</f>
        <v>2308385</v>
      </c>
      <c r="D41" s="830">
        <f>民間消費!F43</f>
        <v>1156417</v>
      </c>
      <c r="E41" s="830">
        <f>政府消費!F43</f>
        <v>177411</v>
      </c>
      <c r="F41" s="830">
        <f t="shared" si="7"/>
        <v>432094</v>
      </c>
      <c r="G41" s="830">
        <f>民間住宅1!F43</f>
        <v>76180</v>
      </c>
      <c r="H41" s="830">
        <f>民間設備投資計!F43</f>
        <v>374924</v>
      </c>
      <c r="I41" s="830">
        <f>民間在庫品増加!F43</f>
        <v>-19010</v>
      </c>
      <c r="J41" s="830">
        <f>公的投資!F43</f>
        <v>106461</v>
      </c>
      <c r="K41" s="856">
        <f t="shared" si="8"/>
        <v>1872383</v>
      </c>
      <c r="L41" s="830">
        <f t="shared" si="13"/>
        <v>436002</v>
      </c>
      <c r="M41" s="830">
        <f>+移出入推計WS!AI43+移出入推計WS!AK43+移出入推計WS!AL43</f>
        <v>1784304</v>
      </c>
      <c r="N41" s="830">
        <f>移出入推計WS!AJ43</f>
        <v>1537401</v>
      </c>
      <c r="O41" s="831">
        <f t="shared" si="9"/>
        <v>189099</v>
      </c>
      <c r="P41" s="293">
        <v>201</v>
      </c>
      <c r="Q41" s="293"/>
      <c r="R41" s="49">
        <f t="shared" si="10"/>
        <v>2308385</v>
      </c>
      <c r="S41" s="49">
        <f t="shared" si="11"/>
        <v>0</v>
      </c>
      <c r="U41" s="49">
        <f>民間設備製造1!F43</f>
        <v>197554</v>
      </c>
      <c r="V41" s="49">
        <f t="shared" si="12"/>
        <v>1714023</v>
      </c>
    </row>
    <row r="42" spans="1:22">
      <c r="A42" s="300">
        <v>442</v>
      </c>
      <c r="B42" s="90" t="s">
        <v>203</v>
      </c>
      <c r="C42" s="830">
        <f>'２次調整'!X44</f>
        <v>37651</v>
      </c>
      <c r="D42" s="830">
        <f>民間消費!F44</f>
        <v>24443</v>
      </c>
      <c r="E42" s="830">
        <f>政府消費!F44</f>
        <v>6224</v>
      </c>
      <c r="F42" s="830">
        <f t="shared" si="7"/>
        <v>5197</v>
      </c>
      <c r="G42" s="830">
        <f>民間住宅1!F44</f>
        <v>700</v>
      </c>
      <c r="H42" s="830">
        <f>民間設備投資計!F44</f>
        <v>4872</v>
      </c>
      <c r="I42" s="830">
        <f>民間在庫品増加!F44</f>
        <v>-375</v>
      </c>
      <c r="J42" s="830">
        <f>公的投資!F44</f>
        <v>1087</v>
      </c>
      <c r="K42" s="856">
        <f t="shared" si="8"/>
        <v>36951</v>
      </c>
      <c r="L42" s="830">
        <f t="shared" si="13"/>
        <v>700</v>
      </c>
      <c r="M42" s="830">
        <f>+移出入推計WS!AI44+移出入推計WS!AK44+移出入推計WS!AL44</f>
        <v>30966</v>
      </c>
      <c r="N42" s="830">
        <f>移出入推計WS!AJ44</f>
        <v>30340</v>
      </c>
      <c r="O42" s="831">
        <f t="shared" si="9"/>
        <v>74</v>
      </c>
      <c r="P42" s="293">
        <v>442</v>
      </c>
      <c r="Q42" s="293"/>
      <c r="R42" s="49">
        <f t="shared" si="10"/>
        <v>37651</v>
      </c>
      <c r="S42" s="49">
        <f t="shared" si="11"/>
        <v>0</v>
      </c>
      <c r="U42" s="49">
        <f>民間設備製造1!F44</f>
        <v>1372</v>
      </c>
      <c r="V42" s="49">
        <f t="shared" si="12"/>
        <v>33826</v>
      </c>
    </row>
    <row r="43" spans="1:22">
      <c r="A43" s="300">
        <v>443</v>
      </c>
      <c r="B43" s="90" t="s">
        <v>204</v>
      </c>
      <c r="C43" s="830">
        <f>'２次調整'!X45</f>
        <v>148143</v>
      </c>
      <c r="D43" s="830">
        <f>民間消費!F45</f>
        <v>36746</v>
      </c>
      <c r="E43" s="830">
        <f>政府消費!F45</f>
        <v>8022</v>
      </c>
      <c r="F43" s="830">
        <f t="shared" si="7"/>
        <v>11238</v>
      </c>
      <c r="G43" s="830">
        <f>民間住宅1!F45</f>
        <v>2207</v>
      </c>
      <c r="H43" s="830">
        <f>民間設備投資計!F45</f>
        <v>9617</v>
      </c>
      <c r="I43" s="830">
        <f>民間在庫品増加!F45</f>
        <v>-586</v>
      </c>
      <c r="J43" s="830">
        <f>公的投資!F45</f>
        <v>1693</v>
      </c>
      <c r="K43" s="856">
        <f t="shared" si="8"/>
        <v>57699</v>
      </c>
      <c r="L43" s="830">
        <f t="shared" si="13"/>
        <v>90444</v>
      </c>
      <c r="M43" s="830">
        <f>+移出入推計WS!AI45+移出入推計WS!AK45+移出入推計WS!AL45</f>
        <v>112627</v>
      </c>
      <c r="N43" s="830">
        <f>移出入推計WS!AJ45</f>
        <v>47376</v>
      </c>
      <c r="O43" s="831">
        <f t="shared" si="9"/>
        <v>25193</v>
      </c>
      <c r="P43" s="293">
        <v>443</v>
      </c>
      <c r="Q43" s="293"/>
      <c r="R43" s="49">
        <f t="shared" si="10"/>
        <v>148143</v>
      </c>
      <c r="S43" s="49">
        <f t="shared" si="11"/>
        <v>0</v>
      </c>
      <c r="U43" s="49">
        <f>民間設備製造1!F45</f>
        <v>4151</v>
      </c>
      <c r="V43" s="49">
        <f t="shared" si="12"/>
        <v>52819</v>
      </c>
    </row>
    <row r="44" spans="1:22">
      <c r="A44" s="300">
        <v>446</v>
      </c>
      <c r="B44" s="90" t="s">
        <v>234</v>
      </c>
      <c r="C44" s="830">
        <f>'２次調整'!X46</f>
        <v>35370</v>
      </c>
      <c r="D44" s="830">
        <f>民間消費!F46</f>
        <v>21472</v>
      </c>
      <c r="E44" s="830">
        <f>政府消費!F46</f>
        <v>8123</v>
      </c>
      <c r="F44" s="830">
        <f t="shared" si="7"/>
        <v>4204</v>
      </c>
      <c r="G44" s="837">
        <f>民間住宅1!F46</f>
        <v>592</v>
      </c>
      <c r="H44" s="830">
        <f>民間設備投資計!F46</f>
        <v>3992</v>
      </c>
      <c r="I44" s="830">
        <f>民間在庫品増加!F46</f>
        <v>-380</v>
      </c>
      <c r="J44" s="830">
        <f>公的投資!F46</f>
        <v>3584</v>
      </c>
      <c r="K44" s="856">
        <f t="shared" si="8"/>
        <v>37383</v>
      </c>
      <c r="L44" s="830">
        <f t="shared" si="13"/>
        <v>-2013</v>
      </c>
      <c r="M44" s="830">
        <f>+移出入推計WS!AI46+移出入推計WS!AK46+移出入推計WS!AL46</f>
        <v>30363</v>
      </c>
      <c r="N44" s="830">
        <f>移出入推計WS!AJ46</f>
        <v>30695</v>
      </c>
      <c r="O44" s="835">
        <f t="shared" si="9"/>
        <v>-1681</v>
      </c>
      <c r="P44" s="293">
        <v>446</v>
      </c>
      <c r="Q44" s="293"/>
      <c r="R44" s="49">
        <f t="shared" si="10"/>
        <v>35370</v>
      </c>
      <c r="S44" s="49">
        <f t="shared" si="11"/>
        <v>0</v>
      </c>
      <c r="U44" s="49">
        <f>民間設備製造1!F46</f>
        <v>451</v>
      </c>
      <c r="V44" s="49">
        <f t="shared" si="12"/>
        <v>34222</v>
      </c>
    </row>
    <row r="45" spans="1:22">
      <c r="A45" s="301">
        <v>6</v>
      </c>
      <c r="B45" s="306" t="s">
        <v>205</v>
      </c>
      <c r="C45" s="827">
        <f>'２次調整'!X47</f>
        <v>999083</v>
      </c>
      <c r="D45" s="827">
        <f>民間消費!F47</f>
        <v>534896</v>
      </c>
      <c r="E45" s="827">
        <f>政府消費!F47</f>
        <v>123481</v>
      </c>
      <c r="F45" s="827">
        <f t="shared" si="7"/>
        <v>149742</v>
      </c>
      <c r="G45" s="830">
        <f>民間住宅1!F47</f>
        <v>23904</v>
      </c>
      <c r="H45" s="827">
        <f>民間設備投資計!F47</f>
        <v>134562</v>
      </c>
      <c r="I45" s="827">
        <f>民間在庫品増加!F47</f>
        <v>-8724</v>
      </c>
      <c r="J45" s="827">
        <f>公的投資!F47</f>
        <v>51141</v>
      </c>
      <c r="K45" s="855">
        <f t="shared" si="8"/>
        <v>859260</v>
      </c>
      <c r="L45" s="827">
        <f t="shared" si="13"/>
        <v>139823</v>
      </c>
      <c r="M45" s="827">
        <f>+移出入推計WS!AI47+移出入推計WS!AK47+移出入推計WS!AL47</f>
        <v>798385</v>
      </c>
      <c r="N45" s="827">
        <f>移出入推計WS!AJ47</f>
        <v>705532</v>
      </c>
      <c r="O45" s="828">
        <f t="shared" si="9"/>
        <v>46970</v>
      </c>
      <c r="P45" s="293">
        <v>6</v>
      </c>
      <c r="Q45" s="293"/>
      <c r="R45" s="49">
        <f t="shared" si="10"/>
        <v>999083</v>
      </c>
      <c r="S45" s="49">
        <f t="shared" si="11"/>
        <v>0</v>
      </c>
      <c r="U45" s="49">
        <f>民間設備製造1!F47</f>
        <v>53164</v>
      </c>
      <c r="V45" s="49">
        <f t="shared" si="12"/>
        <v>786586</v>
      </c>
    </row>
    <row r="46" spans="1:22">
      <c r="A46" s="300">
        <v>208</v>
      </c>
      <c r="B46" s="90" t="s">
        <v>206</v>
      </c>
      <c r="C46" s="830">
        <f>'２次調整'!X48</f>
        <v>139268</v>
      </c>
      <c r="D46" s="830">
        <f>民間消費!F48</f>
        <v>68225</v>
      </c>
      <c r="E46" s="830">
        <f>政府消費!F48</f>
        <v>12547</v>
      </c>
      <c r="F46" s="830">
        <f t="shared" si="7"/>
        <v>14076</v>
      </c>
      <c r="G46" s="830">
        <f>民間住宅1!F48</f>
        <v>2136</v>
      </c>
      <c r="H46" s="830">
        <f>民間設備投資計!F48</f>
        <v>12944</v>
      </c>
      <c r="I46" s="830">
        <f>民間在庫品増加!F48</f>
        <v>-1004</v>
      </c>
      <c r="J46" s="830">
        <f>公的投資!F48</f>
        <v>4084</v>
      </c>
      <c r="K46" s="856">
        <f t="shared" si="8"/>
        <v>98932</v>
      </c>
      <c r="L46" s="830">
        <f t="shared" si="13"/>
        <v>40336</v>
      </c>
      <c r="M46" s="830">
        <f>+移出入推計WS!AI48+移出入推計WS!AK48+移出入推計WS!AL48</f>
        <v>108680</v>
      </c>
      <c r="N46" s="830">
        <f>移出入推計WS!AJ48</f>
        <v>81232</v>
      </c>
      <c r="O46" s="831">
        <f t="shared" si="9"/>
        <v>12888</v>
      </c>
      <c r="P46" s="293">
        <v>208</v>
      </c>
      <c r="Q46" s="293"/>
      <c r="R46" s="49">
        <f t="shared" si="10"/>
        <v>139268</v>
      </c>
      <c r="S46" s="49">
        <f t="shared" si="11"/>
        <v>0</v>
      </c>
      <c r="U46" s="49">
        <f>民間設備製造1!F48</f>
        <v>3572</v>
      </c>
      <c r="V46" s="49">
        <f t="shared" si="12"/>
        <v>90564</v>
      </c>
    </row>
    <row r="47" spans="1:22">
      <c r="A47" s="300">
        <v>212</v>
      </c>
      <c r="B47" s="90" t="s">
        <v>207</v>
      </c>
      <c r="C47" s="830">
        <f>'２次調整'!X49</f>
        <v>210150</v>
      </c>
      <c r="D47" s="830">
        <f>民間消費!F49</f>
        <v>105848</v>
      </c>
      <c r="E47" s="830">
        <f>政府消費!F49</f>
        <v>20315</v>
      </c>
      <c r="F47" s="830">
        <f t="shared" si="7"/>
        <v>36409</v>
      </c>
      <c r="G47" s="830">
        <f>民間住宅1!F49</f>
        <v>4971</v>
      </c>
      <c r="H47" s="830">
        <f>民間設備投資計!F49</f>
        <v>33144</v>
      </c>
      <c r="I47" s="830">
        <f>民間在庫品増加!F49</f>
        <v>-1706</v>
      </c>
      <c r="J47" s="830">
        <f>公的投資!F49</f>
        <v>5498</v>
      </c>
      <c r="K47" s="856">
        <f t="shared" si="8"/>
        <v>168070</v>
      </c>
      <c r="L47" s="830">
        <f t="shared" si="13"/>
        <v>42080</v>
      </c>
      <c r="M47" s="830">
        <f>+移出入推計WS!AI49+移出入推計WS!AK49+移出入推計WS!AL49</f>
        <v>164768</v>
      </c>
      <c r="N47" s="830">
        <f>移出入推計WS!AJ49</f>
        <v>138001</v>
      </c>
      <c r="O47" s="831">
        <f t="shared" si="9"/>
        <v>15313</v>
      </c>
      <c r="P47" s="293">
        <v>212</v>
      </c>
      <c r="Q47" s="293"/>
      <c r="R47" s="49">
        <f t="shared" si="10"/>
        <v>210150</v>
      </c>
      <c r="S47" s="49">
        <f t="shared" si="11"/>
        <v>0</v>
      </c>
      <c r="U47" s="49">
        <f>民間設備製造1!F49</f>
        <v>17223</v>
      </c>
      <c r="V47" s="49">
        <f t="shared" si="12"/>
        <v>153855</v>
      </c>
    </row>
    <row r="48" spans="1:22">
      <c r="A48" s="300">
        <v>227</v>
      </c>
      <c r="B48" s="90" t="s">
        <v>219</v>
      </c>
      <c r="C48" s="830">
        <f>'２次調整'!X50</f>
        <v>126623</v>
      </c>
      <c r="D48" s="830">
        <f>民間消費!F50</f>
        <v>75223</v>
      </c>
      <c r="E48" s="830">
        <f>政府消費!F50</f>
        <v>22582</v>
      </c>
      <c r="F48" s="830">
        <f t="shared" si="7"/>
        <v>14944</v>
      </c>
      <c r="G48" s="830">
        <f>民間住宅1!F50</f>
        <v>2279</v>
      </c>
      <c r="H48" s="830">
        <f>民間設備投資計!F50</f>
        <v>13949</v>
      </c>
      <c r="I48" s="830">
        <f>民間在庫品増加!F50</f>
        <v>-1284</v>
      </c>
      <c r="J48" s="830">
        <f>公的投資!F50</f>
        <v>13680</v>
      </c>
      <c r="K48" s="856">
        <f t="shared" si="8"/>
        <v>126429</v>
      </c>
      <c r="L48" s="830">
        <f t="shared" si="13"/>
        <v>194</v>
      </c>
      <c r="M48" s="830">
        <f>+移出入推計WS!AI50+移出入推計WS!AK50+移出入推計WS!AL50</f>
        <v>105066</v>
      </c>
      <c r="N48" s="830">
        <f>移出入推計WS!AJ50</f>
        <v>103810</v>
      </c>
      <c r="O48" s="831">
        <f t="shared" ref="O48:O65" si="14">L48-(M48-N48)</f>
        <v>-1062</v>
      </c>
      <c r="P48" s="293">
        <v>227</v>
      </c>
      <c r="Q48" s="293"/>
      <c r="R48" s="49">
        <f t="shared" ref="R48:R65" si="15">D48+E48+F48+J48+L48</f>
        <v>126623</v>
      </c>
      <c r="S48" s="49">
        <f t="shared" ref="S48:S65" si="16">R48-C48</f>
        <v>0</v>
      </c>
      <c r="U48" s="49">
        <f>民間設備製造1!F50</f>
        <v>1972</v>
      </c>
      <c r="V48" s="49">
        <f t="shared" ref="V48:V65" si="17">D48+E48+G48+J48+U48</f>
        <v>115736</v>
      </c>
    </row>
    <row r="49" spans="1:22">
      <c r="A49" s="300">
        <v>229</v>
      </c>
      <c r="B49" s="90" t="s">
        <v>235</v>
      </c>
      <c r="C49" s="830">
        <f>'２次調整'!X51</f>
        <v>314742</v>
      </c>
      <c r="D49" s="830">
        <f>民間消費!F51</f>
        <v>150512</v>
      </c>
      <c r="E49" s="830">
        <f>政府消費!F51</f>
        <v>32214</v>
      </c>
      <c r="F49" s="830">
        <f t="shared" si="7"/>
        <v>50611</v>
      </c>
      <c r="G49" s="830">
        <f>民間住宅1!F51</f>
        <v>6227</v>
      </c>
      <c r="H49" s="830">
        <f>民間設備投資計!F51</f>
        <v>46866</v>
      </c>
      <c r="I49" s="830">
        <f>民間在庫品増加!F51</f>
        <v>-2482</v>
      </c>
      <c r="J49" s="830">
        <f>公的投資!F51</f>
        <v>11104</v>
      </c>
      <c r="K49" s="856">
        <f t="shared" si="8"/>
        <v>244441</v>
      </c>
      <c r="L49" s="830">
        <f t="shared" si="13"/>
        <v>70301</v>
      </c>
      <c r="M49" s="830">
        <f>+移出入推計WS!AI51+移出入推計WS!AK51+移出入推計WS!AL51</f>
        <v>247775</v>
      </c>
      <c r="N49" s="830">
        <f>移出入推計WS!AJ51</f>
        <v>200709</v>
      </c>
      <c r="O49" s="831">
        <f t="shared" si="14"/>
        <v>23235</v>
      </c>
      <c r="P49" s="293">
        <v>229</v>
      </c>
      <c r="Q49" s="293"/>
      <c r="R49" s="49">
        <f t="shared" si="15"/>
        <v>314742</v>
      </c>
      <c r="S49" s="49">
        <f t="shared" si="16"/>
        <v>0</v>
      </c>
      <c r="U49" s="49">
        <f>民間設備製造1!F51</f>
        <v>23710</v>
      </c>
      <c r="V49" s="49">
        <f t="shared" si="17"/>
        <v>223767</v>
      </c>
    </row>
    <row r="50" spans="1:22">
      <c r="A50" s="300">
        <v>464</v>
      </c>
      <c r="B50" s="90" t="s">
        <v>208</v>
      </c>
      <c r="C50" s="830">
        <f>'２次調整'!X52</f>
        <v>99170</v>
      </c>
      <c r="D50" s="830">
        <f>民間消費!F52</f>
        <v>64986</v>
      </c>
      <c r="E50" s="830">
        <f>政府消費!F52</f>
        <v>8933</v>
      </c>
      <c r="F50" s="830">
        <f t="shared" si="7"/>
        <v>18684</v>
      </c>
      <c r="G50" s="830">
        <f>民間住宅1!F52</f>
        <v>5940</v>
      </c>
      <c r="H50" s="830">
        <f>民間設備投資計!F52</f>
        <v>13718</v>
      </c>
      <c r="I50" s="830">
        <f>民間在庫品増加!F52</f>
        <v>-974</v>
      </c>
      <c r="J50" s="830">
        <f>公的投資!F52</f>
        <v>3333</v>
      </c>
      <c r="K50" s="856">
        <f t="shared" si="8"/>
        <v>95936</v>
      </c>
      <c r="L50" s="830">
        <f t="shared" si="13"/>
        <v>3234</v>
      </c>
      <c r="M50" s="830">
        <f>+移出入推計WS!AI52+移出入推計WS!AK52+移出入推計WS!AL52</f>
        <v>77389</v>
      </c>
      <c r="N50" s="830">
        <f>移出入推計WS!AJ52</f>
        <v>78772</v>
      </c>
      <c r="O50" s="831">
        <f t="shared" si="14"/>
        <v>4617</v>
      </c>
      <c r="P50" s="293">
        <v>464</v>
      </c>
      <c r="Q50" s="293"/>
      <c r="R50" s="49">
        <f t="shared" si="15"/>
        <v>99170</v>
      </c>
      <c r="S50" s="49">
        <f t="shared" si="16"/>
        <v>0</v>
      </c>
      <c r="U50" s="49">
        <f>民間設備製造1!F52</f>
        <v>4630</v>
      </c>
      <c r="V50" s="49">
        <f t="shared" si="17"/>
        <v>87822</v>
      </c>
    </row>
    <row r="51" spans="1:22">
      <c r="A51" s="300">
        <v>481</v>
      </c>
      <c r="B51" s="90" t="s">
        <v>209</v>
      </c>
      <c r="C51" s="830">
        <f>'２次調整'!X53</f>
        <v>45708</v>
      </c>
      <c r="D51" s="830">
        <f>民間消費!F53</f>
        <v>33641</v>
      </c>
      <c r="E51" s="830">
        <f>政府消費!F53</f>
        <v>7761</v>
      </c>
      <c r="F51" s="830">
        <f t="shared" si="7"/>
        <v>6669</v>
      </c>
      <c r="G51" s="830">
        <f>民間住宅1!F53</f>
        <v>682</v>
      </c>
      <c r="H51" s="830">
        <f>民間設備投資計!F53</f>
        <v>6509</v>
      </c>
      <c r="I51" s="830">
        <f>民間在庫品増加!F53</f>
        <v>-522</v>
      </c>
      <c r="J51" s="830">
        <f>公的投資!F53</f>
        <v>3351</v>
      </c>
      <c r="K51" s="856">
        <f t="shared" si="8"/>
        <v>51422</v>
      </c>
      <c r="L51" s="830">
        <f t="shared" si="13"/>
        <v>-5714</v>
      </c>
      <c r="M51" s="830">
        <f>+移出入推計WS!AI53+移出入推計WS!AK53+移出入推計WS!AL53</f>
        <v>37708</v>
      </c>
      <c r="N51" s="830">
        <f>移出入推計WS!AJ53</f>
        <v>42222</v>
      </c>
      <c r="O51" s="831">
        <f t="shared" si="14"/>
        <v>-1200</v>
      </c>
      <c r="P51" s="293">
        <v>481</v>
      </c>
      <c r="Q51" s="293"/>
      <c r="R51" s="49">
        <f t="shared" si="15"/>
        <v>45708</v>
      </c>
      <c r="S51" s="49">
        <f t="shared" si="16"/>
        <v>0</v>
      </c>
      <c r="U51" s="49">
        <f>民間設備製造1!F53</f>
        <v>1638</v>
      </c>
      <c r="V51" s="49">
        <f t="shared" si="17"/>
        <v>47073</v>
      </c>
    </row>
    <row r="52" spans="1:22">
      <c r="A52" s="302">
        <v>501</v>
      </c>
      <c r="B52" s="201" t="s">
        <v>236</v>
      </c>
      <c r="C52" s="837">
        <f>'２次調整'!X54</f>
        <v>63422</v>
      </c>
      <c r="D52" s="837">
        <f>民間消費!F54</f>
        <v>36461</v>
      </c>
      <c r="E52" s="837">
        <f>政府消費!F54</f>
        <v>19129</v>
      </c>
      <c r="F52" s="837">
        <f t="shared" si="7"/>
        <v>8349</v>
      </c>
      <c r="G52" s="830">
        <f>民間住宅1!F54</f>
        <v>1669</v>
      </c>
      <c r="H52" s="837">
        <f>民間設備投資計!F54</f>
        <v>7432</v>
      </c>
      <c r="I52" s="837">
        <f>民間在庫品増加!F54</f>
        <v>-752</v>
      </c>
      <c r="J52" s="837">
        <f>公的投資!F54</f>
        <v>10091</v>
      </c>
      <c r="K52" s="858">
        <f t="shared" si="8"/>
        <v>74030</v>
      </c>
      <c r="L52" s="837">
        <f t="shared" si="13"/>
        <v>-10608</v>
      </c>
      <c r="M52" s="837">
        <f>+移出入推計WS!AI54+移出入推計WS!AK54+移出入推計WS!AL54</f>
        <v>56999</v>
      </c>
      <c r="N52" s="837">
        <f>移出入推計WS!AJ54</f>
        <v>60786</v>
      </c>
      <c r="O52" s="835">
        <f t="shared" si="14"/>
        <v>-6821</v>
      </c>
      <c r="P52" s="293">
        <v>501</v>
      </c>
      <c r="Q52" s="293"/>
      <c r="R52" s="49">
        <f t="shared" si="15"/>
        <v>63422</v>
      </c>
      <c r="S52" s="49">
        <f t="shared" si="16"/>
        <v>0</v>
      </c>
      <c r="U52" s="49">
        <f>民間設備製造1!F54</f>
        <v>419</v>
      </c>
      <c r="V52" s="49">
        <f t="shared" si="17"/>
        <v>67769</v>
      </c>
    </row>
    <row r="53" spans="1:22">
      <c r="A53" s="300">
        <v>7</v>
      </c>
      <c r="B53" s="93" t="s">
        <v>210</v>
      </c>
      <c r="C53" s="830">
        <f>'２次調整'!X55</f>
        <v>626037</v>
      </c>
      <c r="D53" s="830">
        <f>民間消費!F55</f>
        <v>383384</v>
      </c>
      <c r="E53" s="830">
        <f>政府消費!F55</f>
        <v>108595</v>
      </c>
      <c r="F53" s="830">
        <f t="shared" si="7"/>
        <v>79288</v>
      </c>
      <c r="G53" s="827">
        <f>民間住宅1!F55</f>
        <v>11180</v>
      </c>
      <c r="H53" s="830">
        <f>民間設備投資計!F55</f>
        <v>74359</v>
      </c>
      <c r="I53" s="830">
        <f>民間在庫品増加!F55</f>
        <v>-6251</v>
      </c>
      <c r="J53" s="830">
        <f>公的投資!F55</f>
        <v>44463</v>
      </c>
      <c r="K53" s="856">
        <f t="shared" si="8"/>
        <v>615730</v>
      </c>
      <c r="L53" s="830">
        <f t="shared" si="13"/>
        <v>10307</v>
      </c>
      <c r="M53" s="830">
        <f>+移出入推計WS!AI55+移出入推計WS!AK55+移出入推計WS!AL55</f>
        <v>517745</v>
      </c>
      <c r="N53" s="830">
        <f>移出入推計WS!AJ55</f>
        <v>505573</v>
      </c>
      <c r="O53" s="828">
        <f t="shared" si="14"/>
        <v>-1865</v>
      </c>
      <c r="P53" s="293">
        <v>7</v>
      </c>
      <c r="Q53" s="293"/>
      <c r="R53" s="49">
        <f t="shared" si="15"/>
        <v>626037</v>
      </c>
      <c r="S53" s="49">
        <f t="shared" si="16"/>
        <v>0</v>
      </c>
      <c r="U53" s="49">
        <f>民間設備製造1!F55</f>
        <v>16032</v>
      </c>
      <c r="V53" s="49">
        <f t="shared" si="17"/>
        <v>563654</v>
      </c>
    </row>
    <row r="54" spans="1:22">
      <c r="A54" s="300">
        <v>209</v>
      </c>
      <c r="B54" s="90" t="s">
        <v>221</v>
      </c>
      <c r="C54" s="830">
        <f>'２次調整'!X56</f>
        <v>310364</v>
      </c>
      <c r="D54" s="830">
        <f>民間消費!F56</f>
        <v>182730</v>
      </c>
      <c r="E54" s="830">
        <f>政府消費!F56</f>
        <v>46646</v>
      </c>
      <c r="F54" s="830">
        <f t="shared" si="7"/>
        <v>38249</v>
      </c>
      <c r="G54" s="830">
        <f>民間住宅1!F56</f>
        <v>6963</v>
      </c>
      <c r="H54" s="830">
        <f>民間設備投資計!F56</f>
        <v>34198</v>
      </c>
      <c r="I54" s="830">
        <f>民間在庫品増加!F56</f>
        <v>-2912</v>
      </c>
      <c r="J54" s="830">
        <f>公的投資!F56</f>
        <v>19141</v>
      </c>
      <c r="K54" s="856">
        <f t="shared" si="8"/>
        <v>286766</v>
      </c>
      <c r="L54" s="830">
        <f t="shared" si="13"/>
        <v>23598</v>
      </c>
      <c r="M54" s="830">
        <f>+移出入推計WS!AI56+移出入推計WS!AK56+移出入推計WS!AL56</f>
        <v>252654</v>
      </c>
      <c r="N54" s="830">
        <f>移出入推計WS!AJ56</f>
        <v>235462</v>
      </c>
      <c r="O54" s="831">
        <f t="shared" si="14"/>
        <v>6406</v>
      </c>
      <c r="P54" s="293">
        <v>209</v>
      </c>
      <c r="Q54" s="293"/>
      <c r="R54" s="49">
        <f t="shared" si="15"/>
        <v>310364</v>
      </c>
      <c r="S54" s="49">
        <f t="shared" si="16"/>
        <v>0</v>
      </c>
      <c r="U54" s="49">
        <f>民間設備製造1!F56</f>
        <v>7033</v>
      </c>
      <c r="V54" s="49">
        <f t="shared" si="17"/>
        <v>262513</v>
      </c>
    </row>
    <row r="55" spans="1:22">
      <c r="A55" s="300">
        <v>222</v>
      </c>
      <c r="B55" s="90" t="s">
        <v>218</v>
      </c>
      <c r="C55" s="830">
        <f>'２次調整'!X57</f>
        <v>77706</v>
      </c>
      <c r="D55" s="830">
        <f>民間消費!F57</f>
        <v>55439</v>
      </c>
      <c r="E55" s="830">
        <f>政府消費!F57</f>
        <v>17844</v>
      </c>
      <c r="F55" s="830">
        <f t="shared" si="7"/>
        <v>12909</v>
      </c>
      <c r="G55" s="830">
        <f>民間住宅1!F57</f>
        <v>1059</v>
      </c>
      <c r="H55" s="830">
        <f>民間設備投資計!F57</f>
        <v>12803</v>
      </c>
      <c r="I55" s="830">
        <f>民間在庫品増加!F57</f>
        <v>-953</v>
      </c>
      <c r="J55" s="830">
        <f>公的投資!F57</f>
        <v>7679</v>
      </c>
      <c r="K55" s="856">
        <f t="shared" si="8"/>
        <v>93871</v>
      </c>
      <c r="L55" s="830">
        <f t="shared" si="13"/>
        <v>-16165</v>
      </c>
      <c r="M55" s="830">
        <f>+移出入推計WS!AI57+移出入推計WS!AK57+移出入推計WS!AL57</f>
        <v>66707</v>
      </c>
      <c r="N55" s="830">
        <f>移出入推計WS!AJ57</f>
        <v>77077</v>
      </c>
      <c r="O55" s="831">
        <f t="shared" si="14"/>
        <v>-5795</v>
      </c>
      <c r="P55" s="293">
        <v>222</v>
      </c>
      <c r="Q55" s="293"/>
      <c r="R55" s="49">
        <f t="shared" si="15"/>
        <v>77706</v>
      </c>
      <c r="S55" s="49">
        <f t="shared" si="16"/>
        <v>0</v>
      </c>
      <c r="U55" s="49">
        <f>民間設備製造1!F57</f>
        <v>3911</v>
      </c>
      <c r="V55" s="49">
        <f t="shared" si="17"/>
        <v>85932</v>
      </c>
    </row>
    <row r="56" spans="1:22">
      <c r="A56" s="300">
        <v>225</v>
      </c>
      <c r="B56" s="90" t="s">
        <v>222</v>
      </c>
      <c r="C56" s="830">
        <f>'２次調整'!X58</f>
        <v>134766</v>
      </c>
      <c r="D56" s="830">
        <f>民間消費!F58</f>
        <v>72147</v>
      </c>
      <c r="E56" s="830">
        <f>政府消費!F58</f>
        <v>22226</v>
      </c>
      <c r="F56" s="830">
        <f t="shared" si="7"/>
        <v>16191</v>
      </c>
      <c r="G56" s="830">
        <f>民間住宅1!F58</f>
        <v>1938</v>
      </c>
      <c r="H56" s="830">
        <f>民間設備投資計!F58</f>
        <v>15455</v>
      </c>
      <c r="I56" s="830">
        <f>民間在庫品増加!F58</f>
        <v>-1202</v>
      </c>
      <c r="J56" s="830">
        <f>公的投資!F58</f>
        <v>7873</v>
      </c>
      <c r="K56" s="856">
        <f t="shared" si="8"/>
        <v>118437</v>
      </c>
      <c r="L56" s="830">
        <f t="shared" si="13"/>
        <v>16329</v>
      </c>
      <c r="M56" s="830">
        <f>+移出入推計WS!AI58+移出入推計WS!AK58+移出入推計WS!AL58</f>
        <v>110810</v>
      </c>
      <c r="N56" s="830">
        <f>移出入推計WS!AJ58</f>
        <v>97248</v>
      </c>
      <c r="O56" s="831">
        <f t="shared" si="14"/>
        <v>2767</v>
      </c>
      <c r="P56" s="293">
        <v>225</v>
      </c>
      <c r="Q56" s="293"/>
      <c r="R56" s="49">
        <f t="shared" si="15"/>
        <v>134766</v>
      </c>
      <c r="S56" s="49">
        <f t="shared" si="16"/>
        <v>0</v>
      </c>
      <c r="U56" s="49">
        <f>民間設備製造1!F58</f>
        <v>4236</v>
      </c>
      <c r="V56" s="49">
        <f t="shared" si="17"/>
        <v>108420</v>
      </c>
    </row>
    <row r="57" spans="1:22">
      <c r="A57" s="300">
        <v>585</v>
      </c>
      <c r="B57" s="90" t="s">
        <v>220</v>
      </c>
      <c r="C57" s="830">
        <f>'２次調整'!X59</f>
        <v>59857</v>
      </c>
      <c r="D57" s="830">
        <f>民間消費!F59</f>
        <v>39778</v>
      </c>
      <c r="E57" s="830">
        <f>政府消費!F59</f>
        <v>11546</v>
      </c>
      <c r="F57" s="830">
        <f t="shared" si="7"/>
        <v>6183</v>
      </c>
      <c r="G57" s="830">
        <f>民間住宅1!F59</f>
        <v>646</v>
      </c>
      <c r="H57" s="830">
        <f>民間設備投資計!F59</f>
        <v>6170</v>
      </c>
      <c r="I57" s="830">
        <f>民間在庫品増加!F59</f>
        <v>-633</v>
      </c>
      <c r="J57" s="830">
        <f>公的投資!F59</f>
        <v>4835</v>
      </c>
      <c r="K57" s="856">
        <f t="shared" si="8"/>
        <v>62342</v>
      </c>
      <c r="L57" s="830">
        <f t="shared" si="13"/>
        <v>-2485</v>
      </c>
      <c r="M57" s="830">
        <f>+移出入推計WS!AI59+移出入推計WS!AK59+移出入推計WS!AL59</f>
        <v>50153</v>
      </c>
      <c r="N57" s="830">
        <f>移出入推計WS!AJ59</f>
        <v>51189</v>
      </c>
      <c r="O57" s="831">
        <f t="shared" si="14"/>
        <v>-1449</v>
      </c>
      <c r="P57" s="293">
        <v>585</v>
      </c>
      <c r="Q57" s="293"/>
      <c r="R57" s="49">
        <f t="shared" si="15"/>
        <v>59857</v>
      </c>
      <c r="S57" s="49">
        <f t="shared" si="16"/>
        <v>0</v>
      </c>
      <c r="U57" s="49">
        <f>民間設備製造1!F59</f>
        <v>264</v>
      </c>
      <c r="V57" s="49">
        <f t="shared" si="17"/>
        <v>57069</v>
      </c>
    </row>
    <row r="58" spans="1:22">
      <c r="A58" s="300">
        <v>586</v>
      </c>
      <c r="B58" s="90" t="s">
        <v>237</v>
      </c>
      <c r="C58" s="830">
        <f>'２次調整'!X60</f>
        <v>43344</v>
      </c>
      <c r="D58" s="830">
        <f>民間消費!F60</f>
        <v>33290</v>
      </c>
      <c r="E58" s="830">
        <f>政府消費!F60</f>
        <v>10333</v>
      </c>
      <c r="F58" s="830">
        <f t="shared" si="7"/>
        <v>5756</v>
      </c>
      <c r="G58" s="837">
        <f>民間住宅1!F60</f>
        <v>574</v>
      </c>
      <c r="H58" s="830">
        <f>民間設備投資計!F60</f>
        <v>5733</v>
      </c>
      <c r="I58" s="830">
        <f>民間在庫品増加!F60</f>
        <v>-551</v>
      </c>
      <c r="J58" s="830">
        <f>公的投資!F60</f>
        <v>4935</v>
      </c>
      <c r="K58" s="856">
        <f t="shared" si="8"/>
        <v>54314</v>
      </c>
      <c r="L58" s="830">
        <f t="shared" si="13"/>
        <v>-10970</v>
      </c>
      <c r="M58" s="830">
        <f>+移出入推計WS!AI60+移出入推計WS!AK60+移出入推計WS!AL60</f>
        <v>37421</v>
      </c>
      <c r="N58" s="830">
        <f>移出入推計WS!AJ60</f>
        <v>44597</v>
      </c>
      <c r="O58" s="835">
        <f t="shared" si="14"/>
        <v>-3794</v>
      </c>
      <c r="P58" s="293">
        <v>586</v>
      </c>
      <c r="Q58" s="293"/>
      <c r="R58" s="49">
        <f t="shared" si="15"/>
        <v>43344</v>
      </c>
      <c r="S58" s="49">
        <f t="shared" si="16"/>
        <v>0</v>
      </c>
      <c r="U58" s="49">
        <f>民間設備製造1!F60</f>
        <v>588</v>
      </c>
      <c r="V58" s="49">
        <f t="shared" si="17"/>
        <v>49720</v>
      </c>
    </row>
    <row r="59" spans="1:22">
      <c r="A59" s="301">
        <v>8</v>
      </c>
      <c r="B59" s="127" t="s">
        <v>211</v>
      </c>
      <c r="C59" s="827">
        <f>'２次調整'!X61</f>
        <v>381050</v>
      </c>
      <c r="D59" s="827">
        <f>民間消費!F61</f>
        <v>231397</v>
      </c>
      <c r="E59" s="827">
        <f>政府消費!F61</f>
        <v>55955</v>
      </c>
      <c r="F59" s="827">
        <f t="shared" si="7"/>
        <v>45311</v>
      </c>
      <c r="G59" s="830">
        <f>民間住宅1!F61</f>
        <v>5635</v>
      </c>
      <c r="H59" s="827">
        <f>民間設備投資計!F61</f>
        <v>43272</v>
      </c>
      <c r="I59" s="827">
        <f>民間在庫品増加!F61</f>
        <v>-3596</v>
      </c>
      <c r="J59" s="827">
        <f>公的投資!F61</f>
        <v>21542</v>
      </c>
      <c r="K59" s="855">
        <f t="shared" si="8"/>
        <v>354205</v>
      </c>
      <c r="L59" s="827">
        <f t="shared" si="13"/>
        <v>26845</v>
      </c>
      <c r="M59" s="827">
        <f>+移出入推計WS!AI61+移出入推計WS!AK61+移出入推計WS!AL61</f>
        <v>309462</v>
      </c>
      <c r="N59" s="827">
        <f>移出入推計WS!AJ61</f>
        <v>290835</v>
      </c>
      <c r="O59" s="828">
        <f t="shared" si="14"/>
        <v>8218</v>
      </c>
      <c r="P59" s="293">
        <v>8</v>
      </c>
      <c r="Q59" s="293"/>
      <c r="R59" s="49">
        <f t="shared" si="15"/>
        <v>381050</v>
      </c>
      <c r="S59" s="49">
        <f t="shared" si="16"/>
        <v>0</v>
      </c>
      <c r="U59" s="49">
        <f>民間設備製造1!F61</f>
        <v>9719</v>
      </c>
      <c r="V59" s="49">
        <f t="shared" si="17"/>
        <v>324248</v>
      </c>
    </row>
    <row r="60" spans="1:22">
      <c r="A60" s="300">
        <v>221</v>
      </c>
      <c r="B60" s="90" t="s">
        <v>1144</v>
      </c>
      <c r="C60" s="830">
        <f>'２次調整'!X62</f>
        <v>153086</v>
      </c>
      <c r="D60" s="830">
        <f>民間消費!F62</f>
        <v>93164</v>
      </c>
      <c r="E60" s="830">
        <f>政府消費!F62</f>
        <v>21947</v>
      </c>
      <c r="F60" s="830">
        <f t="shared" si="7"/>
        <v>18749</v>
      </c>
      <c r="G60" s="830">
        <f>民間住宅1!F62</f>
        <v>2692</v>
      </c>
      <c r="H60" s="830">
        <f>民間設備投資計!F62</f>
        <v>17501</v>
      </c>
      <c r="I60" s="830">
        <f>民間在庫品増加!F62</f>
        <v>-1444</v>
      </c>
      <c r="J60" s="830">
        <f>公的投資!F62</f>
        <v>8359</v>
      </c>
      <c r="K60" s="856">
        <f t="shared" si="8"/>
        <v>142219</v>
      </c>
      <c r="L60" s="830">
        <f t="shared" si="13"/>
        <v>10867</v>
      </c>
      <c r="M60" s="830">
        <f>+移出入推計WS!AI62+移出入推計WS!AK62+移出入推計WS!AL62</f>
        <v>124028</v>
      </c>
      <c r="N60" s="830">
        <f>移出入推計WS!AJ62</f>
        <v>116775</v>
      </c>
      <c r="O60" s="831">
        <f t="shared" si="14"/>
        <v>3614</v>
      </c>
      <c r="P60" s="293">
        <v>221</v>
      </c>
      <c r="Q60" s="293"/>
      <c r="R60" s="49">
        <f t="shared" si="15"/>
        <v>153086</v>
      </c>
      <c r="S60" s="49">
        <f t="shared" si="16"/>
        <v>0</v>
      </c>
      <c r="U60" s="49">
        <f>民間設備製造1!F62</f>
        <v>4029</v>
      </c>
      <c r="V60" s="49">
        <f t="shared" si="17"/>
        <v>130191</v>
      </c>
    </row>
    <row r="61" spans="1:22">
      <c r="A61" s="302">
        <v>223</v>
      </c>
      <c r="B61" s="201" t="s">
        <v>223</v>
      </c>
      <c r="C61" s="837">
        <f>'２次調整'!X63</f>
        <v>227964</v>
      </c>
      <c r="D61" s="837">
        <f>民間消費!F63</f>
        <v>138233</v>
      </c>
      <c r="E61" s="837">
        <f>政府消費!F63</f>
        <v>34008</v>
      </c>
      <c r="F61" s="837">
        <f t="shared" si="7"/>
        <v>26562</v>
      </c>
      <c r="G61" s="830">
        <f>民間住宅1!F63</f>
        <v>2943</v>
      </c>
      <c r="H61" s="837">
        <f>民間設備投資計!F63</f>
        <v>25771</v>
      </c>
      <c r="I61" s="837">
        <f>民間在庫品増加!F63</f>
        <v>-2152</v>
      </c>
      <c r="J61" s="837">
        <f>公的投資!F63</f>
        <v>13183</v>
      </c>
      <c r="K61" s="858">
        <f t="shared" si="8"/>
        <v>211986</v>
      </c>
      <c r="L61" s="837">
        <f t="shared" si="13"/>
        <v>15978</v>
      </c>
      <c r="M61" s="837">
        <f>+移出入推計WS!AI63+移出入推計WS!AK63+移出入推計WS!AL63</f>
        <v>185434</v>
      </c>
      <c r="N61" s="837">
        <f>移出入推計WS!AJ63</f>
        <v>174060</v>
      </c>
      <c r="O61" s="835">
        <f t="shared" si="14"/>
        <v>4604</v>
      </c>
      <c r="P61" s="293">
        <v>223</v>
      </c>
      <c r="Q61" s="293"/>
      <c r="R61" s="49">
        <f t="shared" si="15"/>
        <v>227964</v>
      </c>
      <c r="S61" s="49">
        <f t="shared" si="16"/>
        <v>0</v>
      </c>
      <c r="U61" s="49">
        <f>民間設備製造1!F63</f>
        <v>5690</v>
      </c>
      <c r="V61" s="49">
        <f t="shared" si="17"/>
        <v>194057</v>
      </c>
    </row>
    <row r="62" spans="1:22">
      <c r="A62" s="300">
        <v>9</v>
      </c>
      <c r="B62" s="94" t="s">
        <v>212</v>
      </c>
      <c r="C62" s="830">
        <f>'２次調整'!X64</f>
        <v>489197</v>
      </c>
      <c r="D62" s="830">
        <f>民間消費!F64</f>
        <v>280505</v>
      </c>
      <c r="E62" s="830">
        <f>政府消費!F64</f>
        <v>73213</v>
      </c>
      <c r="F62" s="830">
        <f t="shared" si="7"/>
        <v>70020</v>
      </c>
      <c r="G62" s="827">
        <f>民間住宅1!F64</f>
        <v>16277</v>
      </c>
      <c r="H62" s="830">
        <f>民間設備投資計!F64</f>
        <v>58347</v>
      </c>
      <c r="I62" s="830">
        <f>民間在庫品増加!F64</f>
        <v>-4604</v>
      </c>
      <c r="J62" s="830">
        <f>公的投資!F64</f>
        <v>29724</v>
      </c>
      <c r="K62" s="856">
        <f t="shared" si="8"/>
        <v>453462</v>
      </c>
      <c r="L62" s="830">
        <f t="shared" si="13"/>
        <v>35735</v>
      </c>
      <c r="M62" s="830">
        <f>+移出入推計WS!AI64+移出入推計WS!AK64+移出入推計WS!AL64</f>
        <v>398061</v>
      </c>
      <c r="N62" s="830">
        <f>移出入推計WS!AJ64</f>
        <v>372335</v>
      </c>
      <c r="O62" s="831">
        <f t="shared" si="14"/>
        <v>10009</v>
      </c>
      <c r="P62" s="293">
        <v>9</v>
      </c>
      <c r="Q62" s="293"/>
      <c r="R62" s="49">
        <f t="shared" si="15"/>
        <v>489197</v>
      </c>
      <c r="S62" s="49">
        <f t="shared" si="16"/>
        <v>0</v>
      </c>
      <c r="U62" s="49">
        <f>民間設備製造1!F64</f>
        <v>15391</v>
      </c>
      <c r="V62" s="49">
        <f t="shared" si="17"/>
        <v>415110</v>
      </c>
    </row>
    <row r="63" spans="1:22">
      <c r="A63" s="300">
        <v>205</v>
      </c>
      <c r="B63" s="92" t="s">
        <v>241</v>
      </c>
      <c r="C63" s="830">
        <f>'２次調整'!X65</f>
        <v>188590</v>
      </c>
      <c r="D63" s="830">
        <f>民間消費!F65</f>
        <v>97702</v>
      </c>
      <c r="E63" s="830">
        <f>政府消費!F65</f>
        <v>21618</v>
      </c>
      <c r="F63" s="830">
        <f t="shared" si="7"/>
        <v>30139</v>
      </c>
      <c r="G63" s="830">
        <f>民間住宅1!F65</f>
        <v>3661</v>
      </c>
      <c r="H63" s="830">
        <f>民間設備投資計!F65</f>
        <v>28072</v>
      </c>
      <c r="I63" s="830">
        <f>民間在庫品増加!F65</f>
        <v>-1594</v>
      </c>
      <c r="J63" s="830">
        <f>公的投資!F65</f>
        <v>7580</v>
      </c>
      <c r="K63" s="856">
        <f t="shared" si="8"/>
        <v>157039</v>
      </c>
      <c r="L63" s="830">
        <f t="shared" si="13"/>
        <v>31551</v>
      </c>
      <c r="M63" s="830">
        <f>+移出入推計WS!AI65+移出入推計WS!AK65+移出入推計WS!AL65</f>
        <v>149760</v>
      </c>
      <c r="N63" s="830">
        <f>移出入推計WS!AJ65</f>
        <v>128944</v>
      </c>
      <c r="O63" s="831">
        <f t="shared" si="14"/>
        <v>10735</v>
      </c>
      <c r="P63" s="293">
        <v>205</v>
      </c>
      <c r="Q63" s="293"/>
      <c r="R63" s="49">
        <f t="shared" si="15"/>
        <v>188590</v>
      </c>
      <c r="S63" s="49">
        <f t="shared" si="16"/>
        <v>0</v>
      </c>
      <c r="U63" s="49">
        <f>民間設備製造1!F65</f>
        <v>13196</v>
      </c>
      <c r="V63" s="49">
        <f t="shared" si="17"/>
        <v>143757</v>
      </c>
    </row>
    <row r="64" spans="1:22">
      <c r="A64" s="300">
        <v>224</v>
      </c>
      <c r="B64" s="90" t="s">
        <v>224</v>
      </c>
      <c r="C64" s="830">
        <f>'２次調整'!X66</f>
        <v>157402</v>
      </c>
      <c r="D64" s="830">
        <f>民間消費!F66</f>
        <v>90600</v>
      </c>
      <c r="E64" s="830">
        <f>政府消費!F66</f>
        <v>26320</v>
      </c>
      <c r="F64" s="830">
        <f t="shared" si="7"/>
        <v>15962</v>
      </c>
      <c r="G64" s="830">
        <f>民間住宅1!F66</f>
        <v>3320</v>
      </c>
      <c r="H64" s="830">
        <f>民間設備投資計!F66</f>
        <v>14079</v>
      </c>
      <c r="I64" s="830">
        <f>民間在庫品増加!F66</f>
        <v>-1437</v>
      </c>
      <c r="J64" s="830">
        <f>公的投資!F66</f>
        <v>8623</v>
      </c>
      <c r="K64" s="856">
        <f t="shared" si="8"/>
        <v>141505</v>
      </c>
      <c r="L64" s="830">
        <f t="shared" si="13"/>
        <v>15897</v>
      </c>
      <c r="M64" s="830">
        <f>+移出入推計WS!AI66+移出入推計WS!AK66+移出入推計WS!AL66</f>
        <v>129624</v>
      </c>
      <c r="N64" s="830">
        <f>移出入推計WS!AJ66</f>
        <v>116189</v>
      </c>
      <c r="O64" s="831">
        <f t="shared" si="14"/>
        <v>2462</v>
      </c>
      <c r="P64" s="293">
        <v>224</v>
      </c>
      <c r="Q64" s="293"/>
      <c r="R64" s="49">
        <f t="shared" si="15"/>
        <v>157402</v>
      </c>
      <c r="S64" s="49">
        <f t="shared" si="16"/>
        <v>0</v>
      </c>
      <c r="U64" s="49">
        <f>民間設備製造1!F66</f>
        <v>674</v>
      </c>
      <c r="V64" s="49">
        <f t="shared" si="17"/>
        <v>129537</v>
      </c>
    </row>
    <row r="65" spans="1:22">
      <c r="A65" s="302">
        <v>226</v>
      </c>
      <c r="B65" s="201" t="s">
        <v>225</v>
      </c>
      <c r="C65" s="837">
        <f>'２次調整'!X67</f>
        <v>143205</v>
      </c>
      <c r="D65" s="837">
        <f>民間消費!F67</f>
        <v>92203</v>
      </c>
      <c r="E65" s="837">
        <f>政府消費!F67</f>
        <v>25275</v>
      </c>
      <c r="F65" s="837">
        <f t="shared" si="7"/>
        <v>23919</v>
      </c>
      <c r="G65" s="837">
        <f>民間住宅1!F67</f>
        <v>9296</v>
      </c>
      <c r="H65" s="837">
        <f>民間設備投資計!F67</f>
        <v>16196</v>
      </c>
      <c r="I65" s="837">
        <f>民間在庫品増加!F67</f>
        <v>-1573</v>
      </c>
      <c r="J65" s="837">
        <f>公的投資!F67</f>
        <v>13521</v>
      </c>
      <c r="K65" s="858">
        <f t="shared" si="8"/>
        <v>154918</v>
      </c>
      <c r="L65" s="837">
        <f t="shared" si="13"/>
        <v>-11713</v>
      </c>
      <c r="M65" s="837">
        <f>+移出入推計WS!AI67+移出入推計WS!AK67+移出入推計WS!AL67</f>
        <v>118677</v>
      </c>
      <c r="N65" s="837">
        <f>移出入推計WS!AJ67</f>
        <v>127202</v>
      </c>
      <c r="O65" s="835">
        <f t="shared" si="14"/>
        <v>-3188</v>
      </c>
      <c r="P65" s="293">
        <v>226</v>
      </c>
      <c r="Q65" s="293"/>
      <c r="R65" s="49">
        <f t="shared" si="15"/>
        <v>143205</v>
      </c>
      <c r="S65" s="49">
        <f t="shared" si="16"/>
        <v>0</v>
      </c>
      <c r="U65" s="49">
        <f>民間設備製造1!F67</f>
        <v>1521</v>
      </c>
      <c r="V65" s="49">
        <f t="shared" si="17"/>
        <v>141816</v>
      </c>
    </row>
    <row r="66" spans="1:22">
      <c r="A66" s="75"/>
      <c r="B66" s="75"/>
    </row>
    <row r="67" spans="1:22">
      <c r="A67" s="75"/>
      <c r="B67" s="75" t="s">
        <v>1309</v>
      </c>
      <c r="C67" s="239">
        <f>+SUM(C17:C65)/2+C16</f>
        <v>20741145</v>
      </c>
      <c r="D67" s="239">
        <f t="shared" ref="D67:O67" si="18">+SUM(D17:D65)/2+D16</f>
        <v>12734654.393827613</v>
      </c>
      <c r="E67" s="239">
        <f t="shared" si="18"/>
        <v>2219145.343405799</v>
      </c>
      <c r="F67" s="239">
        <f t="shared" si="18"/>
        <v>3640361.880094762</v>
      </c>
      <c r="G67" s="239">
        <f t="shared" si="18"/>
        <v>609131</v>
      </c>
      <c r="H67" s="239">
        <f t="shared" si="18"/>
        <v>3227882.7729199487</v>
      </c>
      <c r="I67" s="239">
        <f t="shared" si="18"/>
        <v>-196651.89282518681</v>
      </c>
      <c r="J67" s="239">
        <f t="shared" si="18"/>
        <v>774621.91339113994</v>
      </c>
      <c r="K67" s="239">
        <f t="shared" si="18"/>
        <v>19368783.530719314</v>
      </c>
      <c r="L67" s="239">
        <f t="shared" si="18"/>
        <v>1372361.4692806853</v>
      </c>
      <c r="M67" s="239">
        <f t="shared" si="18"/>
        <v>16381948.318544077</v>
      </c>
      <c r="N67" s="239">
        <f t="shared" si="18"/>
        <v>15903578</v>
      </c>
      <c r="O67" s="239">
        <f t="shared" si="18"/>
        <v>893991.15073660854</v>
      </c>
    </row>
    <row r="68" spans="1:22">
      <c r="A68" s="75"/>
      <c r="B68" s="75" t="s">
        <v>1307</v>
      </c>
      <c r="C68" s="239">
        <f>名目県内総支出!K44</f>
        <v>20741145</v>
      </c>
      <c r="D68" s="239">
        <f>名目県内総支出!K6</f>
        <v>12734654.393827613</v>
      </c>
      <c r="E68" s="239">
        <f>名目県内総支出!K61</f>
        <v>2219145.343405799</v>
      </c>
      <c r="F68" s="239">
        <f>名目県内総支出!K28+名目県内総支出!K36</f>
        <v>3647248.207503743</v>
      </c>
      <c r="G68" s="239">
        <f>名目県内総支出!K29</f>
        <v>609131</v>
      </c>
      <c r="H68" s="239">
        <f>名目県内総支出!K30</f>
        <v>3234769.1003289297</v>
      </c>
      <c r="I68" s="239">
        <f>名目県内総支出!K36</f>
        <v>-196651.89282518681</v>
      </c>
      <c r="J68" s="239">
        <f>名目県内総支出!K31+名目県内総支出!K37</f>
        <v>774621.91339113994</v>
      </c>
      <c r="K68" s="239">
        <f>名目県内総支出!K62</f>
        <v>20615546.177950352</v>
      </c>
      <c r="L68" s="239">
        <f>名目県内総支出!K63</f>
        <v>125598.82204964617</v>
      </c>
      <c r="M68" s="239">
        <f>名目県内総支出!K39+名目県内総支出!K41+名目県内総支出!K64</f>
        <v>16381948.318544077</v>
      </c>
      <c r="N68" s="239">
        <f>名目県内総支出!K40</f>
        <v>15903578</v>
      </c>
      <c r="O68" s="239">
        <f>名目県内総支出!K43</f>
        <v>-225623</v>
      </c>
    </row>
    <row r="69" spans="1:22">
      <c r="A69" s="75"/>
      <c r="B69" s="75"/>
      <c r="C69" s="838">
        <f>+C67-C68</f>
        <v>0</v>
      </c>
      <c r="D69" s="838">
        <f t="shared" ref="D69:O69" si="19">+D67-D68</f>
        <v>0</v>
      </c>
      <c r="E69" s="838">
        <f t="shared" si="19"/>
        <v>0</v>
      </c>
      <c r="F69" s="838">
        <f t="shared" si="19"/>
        <v>-6886.3274089810438</v>
      </c>
      <c r="G69" s="838">
        <f t="shared" si="19"/>
        <v>0</v>
      </c>
      <c r="H69" s="838">
        <f t="shared" si="19"/>
        <v>-6886.3274089810438</v>
      </c>
      <c r="I69" s="838">
        <f t="shared" si="19"/>
        <v>0</v>
      </c>
      <c r="J69" s="838">
        <f t="shared" si="19"/>
        <v>0</v>
      </c>
      <c r="K69" s="838">
        <f t="shared" si="19"/>
        <v>-1246762.6472310387</v>
      </c>
      <c r="L69" s="838">
        <f t="shared" si="19"/>
        <v>1246762.6472310391</v>
      </c>
      <c r="M69" s="838">
        <f t="shared" si="19"/>
        <v>0</v>
      </c>
      <c r="N69" s="838">
        <f t="shared" si="19"/>
        <v>0</v>
      </c>
      <c r="O69" s="838">
        <f t="shared" si="19"/>
        <v>1119614.1507366085</v>
      </c>
    </row>
    <row r="70" spans="1:22">
      <c r="A70" s="75"/>
      <c r="B70" s="75"/>
    </row>
    <row r="71" spans="1:22">
      <c r="A71" s="75"/>
      <c r="B71" s="75"/>
    </row>
    <row r="72" spans="1:22">
      <c r="A72" s="75"/>
      <c r="B72" s="75"/>
    </row>
    <row r="73" spans="1:22">
      <c r="A73" s="75"/>
      <c r="B73" s="75"/>
    </row>
    <row r="74" spans="1:22">
      <c r="A74" s="75"/>
      <c r="B74" s="75"/>
    </row>
    <row r="75" spans="1:22">
      <c r="A75" s="75"/>
      <c r="B75" s="75"/>
    </row>
    <row r="76" spans="1:22">
      <c r="A76" s="75"/>
      <c r="B76" s="75"/>
    </row>
    <row r="77" spans="1:22">
      <c r="A77" s="75"/>
      <c r="B77" s="75"/>
    </row>
    <row r="78" spans="1:22">
      <c r="A78" s="75"/>
      <c r="B78" s="75"/>
    </row>
    <row r="79" spans="1:22">
      <c r="A79" s="75"/>
      <c r="B79" s="75"/>
    </row>
    <row r="80" spans="1:22">
      <c r="A80" s="75"/>
      <c r="B80" s="75"/>
    </row>
    <row r="81" spans="1:2">
      <c r="A81" s="75"/>
      <c r="B81" s="75"/>
    </row>
    <row r="82" spans="1:2">
      <c r="A82" s="75"/>
      <c r="B82" s="75"/>
    </row>
    <row r="83" spans="1:2">
      <c r="A83" s="75"/>
      <c r="B83" s="75"/>
    </row>
    <row r="84" spans="1:2">
      <c r="A84" s="75"/>
      <c r="B84" s="75"/>
    </row>
    <row r="85" spans="1:2">
      <c r="A85" s="75"/>
      <c r="B85" s="75"/>
    </row>
    <row r="86" spans="1:2">
      <c r="A86" s="75"/>
      <c r="B86" s="75"/>
    </row>
    <row r="87" spans="1:2">
      <c r="A87" s="75"/>
      <c r="B87" s="75"/>
    </row>
    <row r="88" spans="1:2">
      <c r="A88" s="75"/>
      <c r="B88" s="75"/>
    </row>
    <row r="89" spans="1:2">
      <c r="A89" s="75"/>
      <c r="B89" s="75"/>
    </row>
  </sheetData>
  <mergeCells count="1">
    <mergeCell ref="L2:M2"/>
  </mergeCells>
  <phoneticPr fontId="13"/>
  <pageMargins left="0.75" right="0.75" top="1" bottom="1" header="0.51200000000000001" footer="0.51200000000000001"/>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theme="9" tint="0.59999389629810485"/>
  </sheetPr>
  <dimension ref="A1:X71"/>
  <sheetViews>
    <sheetView workbookViewId="0">
      <pane xSplit="2" ySplit="3" topLeftCell="C4" activePane="bottomRight" state="frozen"/>
      <selection pane="topRight" activeCell="C1" sqref="C1"/>
      <selection pane="bottomLeft" activeCell="A4" sqref="A4"/>
      <selection pane="bottomRight" activeCell="G11" sqref="G11"/>
    </sheetView>
  </sheetViews>
  <sheetFormatPr defaultColWidth="8.7109375" defaultRowHeight="13"/>
  <cols>
    <col min="1" max="1" width="3.7109375" style="49" customWidth="1"/>
    <col min="2" max="2" width="10.0703125" style="49" customWidth="1"/>
    <col min="3" max="15" width="8.7109375" style="239"/>
    <col min="16" max="17" width="4.2109375" style="49" customWidth="1"/>
    <col min="18" max="18" width="10.5" style="49" customWidth="1"/>
    <col min="19" max="20" width="4.2109375" style="49" customWidth="1"/>
    <col min="21" max="16384" width="8.7109375" style="49"/>
  </cols>
  <sheetData>
    <row r="1" spans="1:24">
      <c r="A1" s="86"/>
      <c r="B1" s="65" t="s">
        <v>929</v>
      </c>
      <c r="F1" s="239" t="s">
        <v>347</v>
      </c>
      <c r="J1" s="239" t="s">
        <v>347</v>
      </c>
      <c r="N1" s="239" t="s">
        <v>818</v>
      </c>
      <c r="O1" s="830"/>
      <c r="R1" s="851" t="s">
        <v>1344</v>
      </c>
      <c r="S1" s="843"/>
    </row>
    <row r="2" spans="1:24" ht="37.5">
      <c r="A2" s="294"/>
      <c r="B2" s="296" t="s">
        <v>930</v>
      </c>
      <c r="C2" s="275" t="s">
        <v>817</v>
      </c>
      <c r="D2" s="291" t="s">
        <v>68</v>
      </c>
      <c r="E2" s="275" t="s">
        <v>1289</v>
      </c>
      <c r="F2" s="297" t="s">
        <v>69</v>
      </c>
      <c r="G2" s="291"/>
      <c r="H2" s="291"/>
      <c r="I2" s="817"/>
      <c r="J2" s="291" t="s">
        <v>70</v>
      </c>
      <c r="K2" s="297" t="s">
        <v>671</v>
      </c>
      <c r="L2" s="2310" t="s">
        <v>71</v>
      </c>
      <c r="M2" s="2311"/>
      <c r="N2" s="291"/>
      <c r="O2" s="817"/>
      <c r="P2" s="92"/>
      <c r="Q2" s="92"/>
      <c r="R2" s="852" t="s">
        <v>1345</v>
      </c>
      <c r="S2" s="908">
        <f>+SUM(C69:O69)</f>
        <v>862189.14889032952</v>
      </c>
      <c r="U2" s="852" t="s">
        <v>1343</v>
      </c>
      <c r="V2" s="845"/>
    </row>
    <row r="3" spans="1:24" ht="28.5">
      <c r="A3" s="295"/>
      <c r="B3" s="131" t="s">
        <v>931</v>
      </c>
      <c r="C3" s="853" t="s">
        <v>82</v>
      </c>
      <c r="D3" s="352"/>
      <c r="E3" s="353"/>
      <c r="F3" s="351" t="s">
        <v>83</v>
      </c>
      <c r="G3" s="297" t="s">
        <v>72</v>
      </c>
      <c r="H3" s="275" t="s">
        <v>73</v>
      </c>
      <c r="I3" s="817" t="s">
        <v>74</v>
      </c>
      <c r="J3" s="352"/>
      <c r="K3" s="821" t="s">
        <v>75</v>
      </c>
      <c r="L3" s="351" t="s">
        <v>76</v>
      </c>
      <c r="M3" s="297" t="s">
        <v>77</v>
      </c>
      <c r="N3" s="275" t="s">
        <v>78</v>
      </c>
      <c r="O3" s="817" t="s">
        <v>81</v>
      </c>
      <c r="P3" s="92"/>
      <c r="Q3" s="92"/>
      <c r="R3" s="854" t="s">
        <v>1346</v>
      </c>
      <c r="S3" s="847">
        <f>SUM(S4:S65)</f>
        <v>0</v>
      </c>
      <c r="U3" s="848" t="s">
        <v>956</v>
      </c>
      <c r="V3" s="849" t="s">
        <v>1342</v>
      </c>
    </row>
    <row r="4" spans="1:24">
      <c r="A4" s="303"/>
      <c r="B4" s="87" t="s">
        <v>166</v>
      </c>
      <c r="C4" s="827">
        <f>'２次調整'!Y6</f>
        <v>21747193</v>
      </c>
      <c r="D4" s="827">
        <f>民間消費!G6</f>
        <v>12756939.555404345</v>
      </c>
      <c r="E4" s="827">
        <f>政府消費!G6</f>
        <v>2205142.1543817148</v>
      </c>
      <c r="F4" s="827">
        <f t="shared" ref="F4:F14" si="0">G4+H4+I4</f>
        <v>3971576.7283075927</v>
      </c>
      <c r="G4" s="827">
        <f>民間住宅1!G6</f>
        <v>637901</v>
      </c>
      <c r="H4" s="827">
        <f>民間設備投資計!G6</f>
        <v>3384514.6039532484</v>
      </c>
      <c r="I4" s="827">
        <f>民間在庫品増加!G6</f>
        <v>-50838.875645655848</v>
      </c>
      <c r="J4" s="828">
        <f>公的投資!G6</f>
        <v>801192.93264875666</v>
      </c>
      <c r="K4" s="856">
        <f t="shared" ref="K4:K14" si="1">D4+E4+F4+J4</f>
        <v>19734851.370742407</v>
      </c>
      <c r="L4" s="855">
        <f t="shared" ref="L4:L14" si="2">C4-K4</f>
        <v>2012341.6292575933</v>
      </c>
      <c r="M4" s="827">
        <f>SUM(M5:M14)</f>
        <v>17534957.469319031</v>
      </c>
      <c r="N4" s="827">
        <f>SUM(N5:N14)</f>
        <v>16589823</v>
      </c>
      <c r="O4" s="828">
        <f>SUM(O5:O14)</f>
        <v>1067207.1599385599</v>
      </c>
      <c r="P4" s="77"/>
      <c r="Q4" s="77"/>
      <c r="R4" s="49">
        <f t="shared" ref="R4:R14" si="3">D4+E4+F4+J4+L4</f>
        <v>21747193</v>
      </c>
      <c r="S4" s="49">
        <f t="shared" ref="S4:S14" si="4">R4-C4</f>
        <v>0</v>
      </c>
      <c r="U4" s="49">
        <f>民間設備製造1!G6</f>
        <v>1456495.0757567242</v>
      </c>
      <c r="V4" s="49">
        <f t="shared" ref="V4:V14" si="5">D4+E4+G4+J4+U4</f>
        <v>17857670.718191542</v>
      </c>
      <c r="W4" s="49" t="s">
        <v>11</v>
      </c>
    </row>
    <row r="5" spans="1:24">
      <c r="A5" s="298">
        <v>100</v>
      </c>
      <c r="B5" s="75" t="s">
        <v>172</v>
      </c>
      <c r="C5" s="830">
        <f>'２次調整'!Y7</f>
        <v>6937416</v>
      </c>
      <c r="D5" s="830">
        <f>民間消費!G7</f>
        <v>3949992.5554043446</v>
      </c>
      <c r="E5" s="830">
        <f>政府消費!G7</f>
        <v>640539.15438171476</v>
      </c>
      <c r="F5" s="830">
        <f t="shared" si="0"/>
        <v>909217.72830759245</v>
      </c>
      <c r="G5" s="830">
        <f>民間住宅1!G7</f>
        <v>171088</v>
      </c>
      <c r="H5" s="830">
        <f>民間設備投資計!G7</f>
        <v>752962.60395324836</v>
      </c>
      <c r="I5" s="830">
        <f>民間在庫品増加!G7</f>
        <v>-14832.875645655848</v>
      </c>
      <c r="J5" s="831">
        <f>公的投資!G7</f>
        <v>256173.93264875666</v>
      </c>
      <c r="K5" s="856">
        <f t="shared" si="1"/>
        <v>5755923.3707424086</v>
      </c>
      <c r="L5" s="856">
        <f t="shared" si="2"/>
        <v>1181492.6292575914</v>
      </c>
      <c r="M5" s="830">
        <f t="shared" ref="M5:O6" si="6">M16</f>
        <v>5556602.4693190316</v>
      </c>
      <c r="N5" s="830">
        <f t="shared" si="6"/>
        <v>4838635</v>
      </c>
      <c r="O5" s="831">
        <f t="shared" si="6"/>
        <v>463525.15993855987</v>
      </c>
      <c r="P5" s="77">
        <v>100</v>
      </c>
      <c r="Q5" s="77"/>
      <c r="R5" s="49">
        <f t="shared" si="3"/>
        <v>6937416</v>
      </c>
      <c r="S5" s="49">
        <f t="shared" si="4"/>
        <v>0</v>
      </c>
      <c r="U5" s="49">
        <f>民間設備製造1!G7</f>
        <v>190628.07575672423</v>
      </c>
      <c r="V5" s="49">
        <f t="shared" si="5"/>
        <v>5208421.7181915399</v>
      </c>
    </row>
    <row r="6" spans="1:24">
      <c r="A6" s="298">
        <v>1</v>
      </c>
      <c r="B6" s="75" t="s">
        <v>323</v>
      </c>
      <c r="C6" s="830">
        <f>'２次調整'!Y8</f>
        <v>3464074</v>
      </c>
      <c r="D6" s="830">
        <f>民間消費!G8</f>
        <v>2559452</v>
      </c>
      <c r="E6" s="830">
        <f>政府消費!G8</f>
        <v>392549</v>
      </c>
      <c r="F6" s="830">
        <f t="shared" si="0"/>
        <v>704389</v>
      </c>
      <c r="G6" s="830">
        <f>民間住宅1!G8</f>
        <v>135610</v>
      </c>
      <c r="H6" s="830">
        <f>民間設備投資計!G8</f>
        <v>578530</v>
      </c>
      <c r="I6" s="830">
        <f>民間在庫品増加!G8</f>
        <v>-9751</v>
      </c>
      <c r="J6" s="831">
        <f>公的投資!G8</f>
        <v>129074</v>
      </c>
      <c r="K6" s="856">
        <f t="shared" si="1"/>
        <v>3785464</v>
      </c>
      <c r="L6" s="856">
        <f t="shared" si="2"/>
        <v>-321390</v>
      </c>
      <c r="M6" s="830">
        <f t="shared" si="6"/>
        <v>2817469</v>
      </c>
      <c r="N6" s="830">
        <f t="shared" si="6"/>
        <v>3182196</v>
      </c>
      <c r="O6" s="831">
        <f t="shared" si="6"/>
        <v>43337</v>
      </c>
      <c r="P6" s="77">
        <v>1</v>
      </c>
      <c r="Q6" s="77"/>
      <c r="R6" s="49">
        <f t="shared" si="3"/>
        <v>3464074</v>
      </c>
      <c r="S6" s="49">
        <f t="shared" si="4"/>
        <v>0</v>
      </c>
      <c r="U6" s="49">
        <f>民間設備製造1!G8</f>
        <v>208705</v>
      </c>
      <c r="V6" s="49">
        <f t="shared" si="5"/>
        <v>3425390</v>
      </c>
    </row>
    <row r="7" spans="1:24">
      <c r="A7" s="298">
        <v>2</v>
      </c>
      <c r="B7" s="75" t="s">
        <v>324</v>
      </c>
      <c r="C7" s="830">
        <f>'２次調整'!Y9</f>
        <v>1981804</v>
      </c>
      <c r="D7" s="830">
        <f>民間消費!G9</f>
        <v>1569003</v>
      </c>
      <c r="E7" s="830">
        <f>政府消費!G9</f>
        <v>256372</v>
      </c>
      <c r="F7" s="830">
        <f t="shared" si="0"/>
        <v>343667</v>
      </c>
      <c r="G7" s="830">
        <f>民間住宅1!G9</f>
        <v>80224</v>
      </c>
      <c r="H7" s="830">
        <f>民間設備投資計!G9</f>
        <v>269182</v>
      </c>
      <c r="I7" s="830">
        <f>民間在庫品増加!G9</f>
        <v>-5739</v>
      </c>
      <c r="J7" s="831">
        <f>公的投資!G9</f>
        <v>59052</v>
      </c>
      <c r="K7" s="856">
        <f t="shared" si="1"/>
        <v>2228094</v>
      </c>
      <c r="L7" s="856">
        <f t="shared" si="2"/>
        <v>-246290</v>
      </c>
      <c r="M7" s="830">
        <f>M21</f>
        <v>1630629</v>
      </c>
      <c r="N7" s="830">
        <f>N21</f>
        <v>1873016</v>
      </c>
      <c r="O7" s="831">
        <f>O21</f>
        <v>-3903</v>
      </c>
      <c r="P7" s="77">
        <v>2</v>
      </c>
      <c r="Q7" s="77"/>
      <c r="R7" s="49">
        <f t="shared" si="3"/>
        <v>1981804</v>
      </c>
      <c r="S7" s="49">
        <f t="shared" si="4"/>
        <v>0</v>
      </c>
      <c r="U7" s="49">
        <f>民間設備製造1!G9</f>
        <v>51506</v>
      </c>
      <c r="V7" s="49">
        <f t="shared" si="5"/>
        <v>2016157</v>
      </c>
    </row>
    <row r="8" spans="1:24">
      <c r="A8" s="298">
        <v>3</v>
      </c>
      <c r="B8" s="75" t="s">
        <v>192</v>
      </c>
      <c r="C8" s="830">
        <f>'２次調整'!Y10</f>
        <v>2871866</v>
      </c>
      <c r="D8" s="830">
        <f>民間消費!G10</f>
        <v>1530937</v>
      </c>
      <c r="E8" s="830">
        <f>政府消費!G10</f>
        <v>240191</v>
      </c>
      <c r="F8" s="830">
        <f t="shared" si="0"/>
        <v>635166</v>
      </c>
      <c r="G8" s="830">
        <f>民間住宅1!G10</f>
        <v>93870</v>
      </c>
      <c r="H8" s="830">
        <f>民間設備投資計!G10</f>
        <v>547691</v>
      </c>
      <c r="I8" s="830">
        <f>民間在庫品増加!G10</f>
        <v>-6395</v>
      </c>
      <c r="J8" s="831">
        <f>公的投資!G10</f>
        <v>76420</v>
      </c>
      <c r="K8" s="856">
        <f t="shared" si="1"/>
        <v>2482714</v>
      </c>
      <c r="L8" s="856">
        <f t="shared" si="2"/>
        <v>389152</v>
      </c>
      <c r="M8" s="830">
        <f>M27</f>
        <v>2285527</v>
      </c>
      <c r="N8" s="830">
        <f>N27</f>
        <v>2087058</v>
      </c>
      <c r="O8" s="831">
        <f>O27</f>
        <v>190683</v>
      </c>
      <c r="P8" s="77">
        <v>3</v>
      </c>
      <c r="Q8" s="77"/>
      <c r="R8" s="49">
        <f t="shared" si="3"/>
        <v>2871866</v>
      </c>
      <c r="S8" s="49">
        <f t="shared" si="4"/>
        <v>0</v>
      </c>
      <c r="U8" s="49">
        <f>民間設備製造1!G10</f>
        <v>305140</v>
      </c>
      <c r="V8" s="49">
        <f t="shared" si="5"/>
        <v>2246558</v>
      </c>
    </row>
    <row r="9" spans="1:24">
      <c r="A9" s="298">
        <v>4</v>
      </c>
      <c r="B9" s="75" t="s">
        <v>325</v>
      </c>
      <c r="C9" s="830">
        <f>'２次調整'!Y11</f>
        <v>1240812</v>
      </c>
      <c r="D9" s="830">
        <f>民間消費!G11</f>
        <v>524413</v>
      </c>
      <c r="E9" s="830">
        <f>政府消費!G11</f>
        <v>112295</v>
      </c>
      <c r="F9" s="830">
        <f t="shared" si="0"/>
        <v>164967</v>
      </c>
      <c r="G9" s="830">
        <f>民間住宅1!G11</f>
        <v>24935</v>
      </c>
      <c r="H9" s="830">
        <f>民間設備投資計!G11</f>
        <v>142182</v>
      </c>
      <c r="I9" s="830">
        <f>民間在庫品増加!G11</f>
        <v>-2150</v>
      </c>
      <c r="J9" s="831">
        <f>公的投資!G11</f>
        <v>33450</v>
      </c>
      <c r="K9" s="856">
        <f t="shared" si="1"/>
        <v>835125</v>
      </c>
      <c r="L9" s="856">
        <f t="shared" si="2"/>
        <v>405687</v>
      </c>
      <c r="M9" s="830">
        <f>M33</f>
        <v>992502</v>
      </c>
      <c r="N9" s="830">
        <f>N33</f>
        <v>702035</v>
      </c>
      <c r="O9" s="831">
        <f>O33</f>
        <v>115220</v>
      </c>
      <c r="P9" s="77">
        <v>4</v>
      </c>
      <c r="Q9" s="77"/>
      <c r="R9" s="49">
        <f t="shared" si="3"/>
        <v>1240812</v>
      </c>
      <c r="S9" s="49">
        <f t="shared" si="4"/>
        <v>0</v>
      </c>
      <c r="U9" s="49">
        <f>民間設備製造1!G11</f>
        <v>60593</v>
      </c>
      <c r="V9" s="49">
        <f t="shared" si="5"/>
        <v>755686</v>
      </c>
      <c r="X9" s="95"/>
    </row>
    <row r="10" spans="1:24">
      <c r="A10" s="298">
        <v>5</v>
      </c>
      <c r="B10" s="75" t="s">
        <v>326</v>
      </c>
      <c r="C10" s="830">
        <f>'２次調整'!Y12</f>
        <v>2700289</v>
      </c>
      <c r="D10" s="830">
        <f>民間消費!G12</f>
        <v>1245173</v>
      </c>
      <c r="E10" s="830">
        <f>政府消費!G12</f>
        <v>205107</v>
      </c>
      <c r="F10" s="830">
        <f t="shared" si="0"/>
        <v>816986</v>
      </c>
      <c r="G10" s="830">
        <f>民間住宅1!G12</f>
        <v>77848</v>
      </c>
      <c r="H10" s="830">
        <f>民間設備投資計!G12</f>
        <v>745261</v>
      </c>
      <c r="I10" s="830">
        <f>民間在庫品増加!G12</f>
        <v>-6123</v>
      </c>
      <c r="J10" s="831">
        <f>公的投資!G12</f>
        <v>109904</v>
      </c>
      <c r="K10" s="856">
        <f t="shared" si="1"/>
        <v>2377170</v>
      </c>
      <c r="L10" s="856">
        <f t="shared" si="2"/>
        <v>323119</v>
      </c>
      <c r="M10" s="830">
        <f>M40</f>
        <v>2136751</v>
      </c>
      <c r="N10" s="830">
        <f>N40</f>
        <v>1998336</v>
      </c>
      <c r="O10" s="831">
        <f>O40</f>
        <v>184704</v>
      </c>
      <c r="P10" s="77">
        <v>5</v>
      </c>
      <c r="Q10" s="77"/>
      <c r="R10" s="49">
        <f t="shared" si="3"/>
        <v>2700289</v>
      </c>
      <c r="S10" s="49">
        <f t="shared" si="4"/>
        <v>0</v>
      </c>
      <c r="U10" s="49">
        <f>民間設備製造1!G12</f>
        <v>513020</v>
      </c>
      <c r="V10" s="49">
        <f t="shared" si="5"/>
        <v>2151052</v>
      </c>
    </row>
    <row r="11" spans="1:24">
      <c r="A11" s="298">
        <v>6</v>
      </c>
      <c r="B11" s="75" t="s">
        <v>327</v>
      </c>
      <c r="C11" s="830">
        <f>'２次調整'!Y13</f>
        <v>1036995</v>
      </c>
      <c r="D11" s="830">
        <f>民間消費!G13</f>
        <v>517889</v>
      </c>
      <c r="E11" s="830">
        <f>政府消費!G13</f>
        <v>121627</v>
      </c>
      <c r="F11" s="830">
        <f t="shared" si="0"/>
        <v>173855</v>
      </c>
      <c r="G11" s="830">
        <f>民間住宅1!G13</f>
        <v>26544</v>
      </c>
      <c r="H11" s="830">
        <f>民間設備投資計!G13</f>
        <v>149536</v>
      </c>
      <c r="I11" s="830">
        <f>民間在庫品増加!G13</f>
        <v>-2225</v>
      </c>
      <c r="J11" s="831">
        <f>公的投資!G13</f>
        <v>50158</v>
      </c>
      <c r="K11" s="856">
        <f t="shared" si="1"/>
        <v>863529</v>
      </c>
      <c r="L11" s="856">
        <f t="shared" si="2"/>
        <v>173466</v>
      </c>
      <c r="M11" s="830">
        <f>M45</f>
        <v>845856</v>
      </c>
      <c r="N11" s="830">
        <f>N45</f>
        <v>725914</v>
      </c>
      <c r="O11" s="831">
        <f>O45</f>
        <v>53524</v>
      </c>
      <c r="P11" s="77">
        <v>6</v>
      </c>
      <c r="Q11" s="77"/>
      <c r="R11" s="49">
        <f t="shared" si="3"/>
        <v>1036995</v>
      </c>
      <c r="S11" s="49">
        <f t="shared" si="4"/>
        <v>0</v>
      </c>
      <c r="U11" s="49">
        <f>民間設備製造1!G13</f>
        <v>65173</v>
      </c>
      <c r="V11" s="49">
        <f t="shared" si="5"/>
        <v>781391</v>
      </c>
    </row>
    <row r="12" spans="1:24">
      <c r="A12" s="298">
        <v>7</v>
      </c>
      <c r="B12" s="75" t="s">
        <v>210</v>
      </c>
      <c r="C12" s="830">
        <f>'２次調整'!Y14</f>
        <v>626163</v>
      </c>
      <c r="D12" s="830">
        <f>民間消費!G14</f>
        <v>364217</v>
      </c>
      <c r="E12" s="830">
        <f>政府消費!G14</f>
        <v>110251</v>
      </c>
      <c r="F12" s="830">
        <f t="shared" si="0"/>
        <v>83228</v>
      </c>
      <c r="G12" s="830">
        <f>民間住宅1!G14</f>
        <v>10485</v>
      </c>
      <c r="H12" s="830">
        <f>民間設備投資計!G14</f>
        <v>74283</v>
      </c>
      <c r="I12" s="830">
        <f>民間在庫品増加!G14</f>
        <v>-1540</v>
      </c>
      <c r="J12" s="831">
        <f>公的投資!G14</f>
        <v>40602</v>
      </c>
      <c r="K12" s="856">
        <f t="shared" si="1"/>
        <v>598298</v>
      </c>
      <c r="L12" s="856">
        <f t="shared" si="2"/>
        <v>27865</v>
      </c>
      <c r="M12" s="830">
        <f>M53</f>
        <v>532456</v>
      </c>
      <c r="N12" s="830">
        <f>N53</f>
        <v>502951</v>
      </c>
      <c r="O12" s="831">
        <f>O53</f>
        <v>-1640</v>
      </c>
      <c r="P12" s="77">
        <v>7</v>
      </c>
      <c r="Q12" s="77"/>
      <c r="R12" s="49">
        <f t="shared" si="3"/>
        <v>626163</v>
      </c>
      <c r="S12" s="49">
        <f t="shared" si="4"/>
        <v>0</v>
      </c>
      <c r="U12" s="49">
        <f>民間設備製造1!G14</f>
        <v>15833</v>
      </c>
      <c r="V12" s="49">
        <f t="shared" si="5"/>
        <v>541388</v>
      </c>
    </row>
    <row r="13" spans="1:24">
      <c r="A13" s="298">
        <v>8</v>
      </c>
      <c r="B13" s="75" t="s">
        <v>211</v>
      </c>
      <c r="C13" s="830">
        <f>'２次調整'!Y15</f>
        <v>389641</v>
      </c>
      <c r="D13" s="830">
        <f>民間消費!G15</f>
        <v>224860</v>
      </c>
      <c r="E13" s="830">
        <f>政府消費!G15</f>
        <v>55940</v>
      </c>
      <c r="F13" s="830">
        <f t="shared" si="0"/>
        <v>58150</v>
      </c>
      <c r="G13" s="830">
        <f>民間住宅1!G15</f>
        <v>6027</v>
      </c>
      <c r="H13" s="830">
        <f>民間設備投資計!G15</f>
        <v>53042</v>
      </c>
      <c r="I13" s="830">
        <f>民間在庫品増加!G15</f>
        <v>-919</v>
      </c>
      <c r="J13" s="831">
        <f>公的投資!G15</f>
        <v>17771</v>
      </c>
      <c r="K13" s="856">
        <f t="shared" si="1"/>
        <v>356721</v>
      </c>
      <c r="L13" s="856">
        <f t="shared" si="2"/>
        <v>32920</v>
      </c>
      <c r="M13" s="830">
        <f>M59</f>
        <v>323861</v>
      </c>
      <c r="N13" s="830">
        <f>N59</f>
        <v>299872</v>
      </c>
      <c r="O13" s="831">
        <f>O59</f>
        <v>8931</v>
      </c>
      <c r="P13" s="77">
        <v>8</v>
      </c>
      <c r="Q13" s="77"/>
      <c r="R13" s="49">
        <f t="shared" si="3"/>
        <v>389641</v>
      </c>
      <c r="S13" s="49">
        <f t="shared" si="4"/>
        <v>0</v>
      </c>
      <c r="U13" s="49">
        <f>民間設備製造1!G15</f>
        <v>18192</v>
      </c>
      <c r="V13" s="49">
        <f t="shared" si="5"/>
        <v>322790</v>
      </c>
    </row>
    <row r="14" spans="1:24">
      <c r="A14" s="298">
        <v>9</v>
      </c>
      <c r="B14" s="75" t="s">
        <v>212</v>
      </c>
      <c r="C14" s="830">
        <f>'２次調整'!Y16</f>
        <v>498133</v>
      </c>
      <c r="D14" s="830">
        <f>民間消費!G16</f>
        <v>271003</v>
      </c>
      <c r="E14" s="830">
        <f>政府消費!G16</f>
        <v>70271</v>
      </c>
      <c r="F14" s="830">
        <f t="shared" si="0"/>
        <v>81951</v>
      </c>
      <c r="G14" s="830">
        <f>民間住宅1!G16</f>
        <v>11270</v>
      </c>
      <c r="H14" s="830">
        <f>民間設備投資計!G16</f>
        <v>71845</v>
      </c>
      <c r="I14" s="830">
        <f>民間在庫品増加!G16</f>
        <v>-1164</v>
      </c>
      <c r="J14" s="831">
        <f>公的投資!G16</f>
        <v>28588</v>
      </c>
      <c r="K14" s="856">
        <f t="shared" si="1"/>
        <v>451813</v>
      </c>
      <c r="L14" s="856">
        <f t="shared" si="2"/>
        <v>46320</v>
      </c>
      <c r="M14" s="830">
        <f>M62</f>
        <v>413304</v>
      </c>
      <c r="N14" s="830">
        <f>N62</f>
        <v>379810</v>
      </c>
      <c r="O14" s="831">
        <f>O62</f>
        <v>12826</v>
      </c>
      <c r="P14" s="77">
        <v>9</v>
      </c>
      <c r="Q14" s="77"/>
      <c r="R14" s="49">
        <f t="shared" si="3"/>
        <v>498133</v>
      </c>
      <c r="S14" s="49">
        <f t="shared" si="4"/>
        <v>0</v>
      </c>
      <c r="U14" s="49">
        <f>民間設備製造1!G16</f>
        <v>27705</v>
      </c>
      <c r="V14" s="49">
        <f t="shared" si="5"/>
        <v>408837</v>
      </c>
    </row>
    <row r="15" spans="1:24">
      <c r="A15" s="298"/>
      <c r="B15" s="87"/>
      <c r="C15" s="837" t="s">
        <v>1174</v>
      </c>
      <c r="D15" s="837" t="s">
        <v>347</v>
      </c>
      <c r="E15" s="837" t="s">
        <v>678</v>
      </c>
      <c r="F15" s="837"/>
      <c r="G15" s="837" t="s">
        <v>347</v>
      </c>
      <c r="H15" s="837" t="s">
        <v>347</v>
      </c>
      <c r="I15" s="837" t="s">
        <v>347</v>
      </c>
      <c r="J15" s="835" t="s">
        <v>347</v>
      </c>
      <c r="K15" s="856"/>
      <c r="L15" s="856"/>
      <c r="M15" s="830" t="s">
        <v>678</v>
      </c>
      <c r="N15" s="830" t="s">
        <v>678</v>
      </c>
      <c r="O15" s="831" t="s">
        <v>924</v>
      </c>
      <c r="P15" s="77"/>
      <c r="Q15" s="77"/>
      <c r="R15" s="49" t="s">
        <v>678</v>
      </c>
      <c r="S15" s="49" t="s">
        <v>11</v>
      </c>
      <c r="U15" s="49" t="s">
        <v>347</v>
      </c>
      <c r="V15" s="49" t="s">
        <v>347</v>
      </c>
    </row>
    <row r="16" spans="1:24">
      <c r="A16" s="299">
        <v>100</v>
      </c>
      <c r="B16" s="305" t="s">
        <v>172</v>
      </c>
      <c r="C16" s="833">
        <f>'２次調整'!Y18</f>
        <v>6937416</v>
      </c>
      <c r="D16" s="833">
        <f>民間消費!G18</f>
        <v>3949992.5554043446</v>
      </c>
      <c r="E16" s="833">
        <f>政府消費!G18</f>
        <v>640539.15438171476</v>
      </c>
      <c r="F16" s="833">
        <f t="shared" ref="F16:F65" si="7">G16+H16+I16</f>
        <v>909217.72830759245</v>
      </c>
      <c r="G16" s="833">
        <f>民間住宅1!G18</f>
        <v>171088</v>
      </c>
      <c r="H16" s="833">
        <f>民間設備投資計!G18</f>
        <v>752962.60395324836</v>
      </c>
      <c r="I16" s="833">
        <f>民間在庫品増加!G18</f>
        <v>-14832.875645655848</v>
      </c>
      <c r="J16" s="834">
        <f>公的投資!G18</f>
        <v>256173.93264875666</v>
      </c>
      <c r="K16" s="857">
        <f t="shared" ref="K16:K65" si="8">D16+E16+F16+J16</f>
        <v>5755923.3707424086</v>
      </c>
      <c r="L16" s="857">
        <f>C16-K16</f>
        <v>1181492.6292575914</v>
      </c>
      <c r="M16" s="833">
        <f>移出入推計WS!AS18+移出入推計WS!AU18+移出入推計WS!AV18</f>
        <v>5556602.4693190316</v>
      </c>
      <c r="N16" s="833">
        <f>移出入推計WS!AT18</f>
        <v>4838635</v>
      </c>
      <c r="O16" s="834">
        <f t="shared" ref="O16:O47" si="9">L16-(M16-N16)</f>
        <v>463525.15993855987</v>
      </c>
      <c r="P16" s="293">
        <v>100</v>
      </c>
      <c r="Q16" s="293"/>
      <c r="R16" s="49">
        <f t="shared" ref="R16:R47" si="10">D16+E16+F16+J16+L16</f>
        <v>6937416</v>
      </c>
      <c r="S16" s="49">
        <f t="shared" ref="S16:S47" si="11">R16-C16</f>
        <v>0</v>
      </c>
      <c r="U16" s="49">
        <f>民間設備製造1!G18</f>
        <v>190628.07575672423</v>
      </c>
      <c r="V16" s="49">
        <f t="shared" ref="V16:V47" si="12">D16+E16+G16+J16+U16</f>
        <v>5208421.7181915399</v>
      </c>
      <c r="W16" s="49" t="s">
        <v>11</v>
      </c>
    </row>
    <row r="17" spans="1:22">
      <c r="A17" s="301">
        <v>1</v>
      </c>
      <c r="B17" s="128" t="s">
        <v>182</v>
      </c>
      <c r="C17" s="830">
        <f>'２次調整'!Y19</f>
        <v>3464074</v>
      </c>
      <c r="D17" s="830">
        <f>民間消費!G19</f>
        <v>2559452</v>
      </c>
      <c r="E17" s="830">
        <f>政府消費!G19</f>
        <v>392549</v>
      </c>
      <c r="F17" s="830">
        <f t="shared" si="7"/>
        <v>704389</v>
      </c>
      <c r="G17" s="830">
        <f>民間住宅1!G19</f>
        <v>135610</v>
      </c>
      <c r="H17" s="830">
        <f>民間設備投資計!G19</f>
        <v>578530</v>
      </c>
      <c r="I17" s="830">
        <f>民間在庫品増加!G19</f>
        <v>-9751</v>
      </c>
      <c r="J17" s="831">
        <f>公的投資!G19</f>
        <v>129074</v>
      </c>
      <c r="K17" s="855">
        <f t="shared" si="8"/>
        <v>3785464</v>
      </c>
      <c r="L17" s="855">
        <f t="shared" ref="L17:L65" si="13">C17-K17</f>
        <v>-321390</v>
      </c>
      <c r="M17" s="827">
        <f>移出入推計WS!AS19+移出入推計WS!AU19+移出入推計WS!AV19</f>
        <v>2817469</v>
      </c>
      <c r="N17" s="827">
        <f>移出入推計WS!AT19</f>
        <v>3182196</v>
      </c>
      <c r="O17" s="828">
        <f t="shared" si="9"/>
        <v>43337</v>
      </c>
      <c r="P17" s="293">
        <v>1</v>
      </c>
      <c r="Q17" s="293"/>
      <c r="R17" s="49">
        <f t="shared" si="10"/>
        <v>3464074</v>
      </c>
      <c r="S17" s="49">
        <f t="shared" si="11"/>
        <v>0</v>
      </c>
      <c r="U17" s="49">
        <f>民間設備製造1!G19</f>
        <v>208705</v>
      </c>
      <c r="V17" s="49">
        <f t="shared" si="12"/>
        <v>3425390</v>
      </c>
    </row>
    <row r="18" spans="1:22">
      <c r="A18" s="300">
        <v>202</v>
      </c>
      <c r="B18" s="90" t="s">
        <v>183</v>
      </c>
      <c r="C18" s="830">
        <f>'２次調整'!Y20</f>
        <v>1940658</v>
      </c>
      <c r="D18" s="830">
        <f>民間消費!G20</f>
        <v>1192179</v>
      </c>
      <c r="E18" s="830">
        <f>政府消費!G20</f>
        <v>163218</v>
      </c>
      <c r="F18" s="830">
        <f t="shared" si="7"/>
        <v>424547</v>
      </c>
      <c r="G18" s="830">
        <f>民間住宅1!G20</f>
        <v>58685</v>
      </c>
      <c r="H18" s="830">
        <f>民間設備投資計!G20</f>
        <v>370669</v>
      </c>
      <c r="I18" s="830">
        <f>民間在庫品増加!G20</f>
        <v>-4807</v>
      </c>
      <c r="J18" s="831">
        <f>公的投資!G20</f>
        <v>86120</v>
      </c>
      <c r="K18" s="856">
        <f t="shared" si="8"/>
        <v>1866064</v>
      </c>
      <c r="L18" s="856">
        <f t="shared" si="13"/>
        <v>74594</v>
      </c>
      <c r="M18" s="830">
        <f>移出入推計WS!AS20+移出入推計WS!AU20+移出入推計WS!AV20</f>
        <v>1544976</v>
      </c>
      <c r="N18" s="830">
        <f>移出入推計WS!AT20</f>
        <v>1568680</v>
      </c>
      <c r="O18" s="831">
        <f t="shared" si="9"/>
        <v>98298</v>
      </c>
      <c r="P18" s="293">
        <v>202</v>
      </c>
      <c r="Q18" s="293"/>
      <c r="R18" s="49">
        <f t="shared" si="10"/>
        <v>1940658</v>
      </c>
      <c r="S18" s="49">
        <f t="shared" si="11"/>
        <v>0</v>
      </c>
      <c r="U18" s="49">
        <f>民間設備製造1!G20</f>
        <v>188362</v>
      </c>
      <c r="V18" s="49">
        <f t="shared" si="12"/>
        <v>1688564</v>
      </c>
    </row>
    <row r="19" spans="1:22">
      <c r="A19" s="300">
        <v>204</v>
      </c>
      <c r="B19" s="90" t="s">
        <v>184</v>
      </c>
      <c r="C19" s="830">
        <f>'２次調整'!Y21</f>
        <v>1299577</v>
      </c>
      <c r="D19" s="830">
        <f>民間消費!G21</f>
        <v>1154052</v>
      </c>
      <c r="E19" s="830">
        <f>政府消費!G21</f>
        <v>185922</v>
      </c>
      <c r="F19" s="830">
        <f t="shared" si="7"/>
        <v>239470</v>
      </c>
      <c r="G19" s="830">
        <f>民間住宅1!G21</f>
        <v>66009</v>
      </c>
      <c r="H19" s="830">
        <f>民間設備投資計!G21</f>
        <v>177608</v>
      </c>
      <c r="I19" s="830">
        <f>民間在庫品増加!G21</f>
        <v>-4147</v>
      </c>
      <c r="J19" s="831">
        <f>公的投資!G21</f>
        <v>30504</v>
      </c>
      <c r="K19" s="856">
        <f t="shared" si="8"/>
        <v>1609948</v>
      </c>
      <c r="L19" s="856">
        <f t="shared" si="13"/>
        <v>-310371</v>
      </c>
      <c r="M19" s="830">
        <f>移出入推計WS!AS21+移出入推計WS!AU21+移出入推計WS!AV21</f>
        <v>1079794</v>
      </c>
      <c r="N19" s="830">
        <f>移出入推計WS!AT21</f>
        <v>1353380</v>
      </c>
      <c r="O19" s="831">
        <f t="shared" si="9"/>
        <v>-36785</v>
      </c>
      <c r="P19" s="293">
        <v>204</v>
      </c>
      <c r="Q19" s="293"/>
      <c r="R19" s="49">
        <f t="shared" si="10"/>
        <v>1299577</v>
      </c>
      <c r="S19" s="49">
        <f t="shared" si="11"/>
        <v>0</v>
      </c>
      <c r="U19" s="49">
        <f>民間設備製造1!G21</f>
        <v>20322</v>
      </c>
      <c r="V19" s="49">
        <f t="shared" si="12"/>
        <v>1456809</v>
      </c>
    </row>
    <row r="20" spans="1:22">
      <c r="A20" s="302">
        <v>206</v>
      </c>
      <c r="B20" s="201" t="s">
        <v>185</v>
      </c>
      <c r="C20" s="830">
        <f>'２次調整'!Y22</f>
        <v>223839</v>
      </c>
      <c r="D20" s="830">
        <f>民間消費!G22</f>
        <v>213221</v>
      </c>
      <c r="E20" s="830">
        <f>政府消費!G22</f>
        <v>43409</v>
      </c>
      <c r="F20" s="830">
        <f t="shared" si="7"/>
        <v>40372</v>
      </c>
      <c r="G20" s="830">
        <f>民間住宅1!G22</f>
        <v>10916</v>
      </c>
      <c r="H20" s="830">
        <f>民間設備投資計!G22</f>
        <v>30253</v>
      </c>
      <c r="I20" s="830">
        <f>民間在庫品増加!G22</f>
        <v>-797</v>
      </c>
      <c r="J20" s="831">
        <f>公的投資!G22</f>
        <v>12450</v>
      </c>
      <c r="K20" s="858">
        <f t="shared" si="8"/>
        <v>309452</v>
      </c>
      <c r="L20" s="858">
        <f t="shared" si="13"/>
        <v>-85613</v>
      </c>
      <c r="M20" s="837">
        <f>移出入推計WS!AS22+移出入推計WS!AU22+移出入推計WS!AV22</f>
        <v>192699</v>
      </c>
      <c r="N20" s="837">
        <f>移出入推計WS!AT22</f>
        <v>260136</v>
      </c>
      <c r="O20" s="835">
        <f t="shared" si="9"/>
        <v>-18176</v>
      </c>
      <c r="P20" s="293">
        <v>206</v>
      </c>
      <c r="Q20" s="293"/>
      <c r="R20" s="49">
        <f t="shared" si="10"/>
        <v>223839</v>
      </c>
      <c r="S20" s="49">
        <f t="shared" si="11"/>
        <v>0</v>
      </c>
      <c r="U20" s="49">
        <f>民間設備製造1!G22</f>
        <v>21</v>
      </c>
      <c r="V20" s="49">
        <f t="shared" si="12"/>
        <v>280017</v>
      </c>
    </row>
    <row r="21" spans="1:22">
      <c r="A21" s="300">
        <v>2</v>
      </c>
      <c r="B21" s="65" t="s">
        <v>186</v>
      </c>
      <c r="C21" s="827">
        <f>'２次調整'!Y23</f>
        <v>1981804</v>
      </c>
      <c r="D21" s="827">
        <f>民間消費!G23</f>
        <v>1569003</v>
      </c>
      <c r="E21" s="827">
        <f>政府消費!G23</f>
        <v>256372</v>
      </c>
      <c r="F21" s="827">
        <f t="shared" si="7"/>
        <v>343667</v>
      </c>
      <c r="G21" s="827">
        <f>民間住宅1!G23</f>
        <v>80224</v>
      </c>
      <c r="H21" s="827">
        <f>民間設備投資計!G23</f>
        <v>269182</v>
      </c>
      <c r="I21" s="827">
        <f>民間在庫品増加!G23</f>
        <v>-5739</v>
      </c>
      <c r="J21" s="828">
        <f>公的投資!G23</f>
        <v>59052</v>
      </c>
      <c r="K21" s="856">
        <f t="shared" si="8"/>
        <v>2228094</v>
      </c>
      <c r="L21" s="855">
        <f t="shared" si="13"/>
        <v>-246290</v>
      </c>
      <c r="M21" s="827">
        <f>移出入推計WS!AS23+移出入推計WS!AU23+移出入推計WS!AV23</f>
        <v>1630629</v>
      </c>
      <c r="N21" s="827">
        <f>移出入推計WS!AT23</f>
        <v>1873016</v>
      </c>
      <c r="O21" s="828">
        <f t="shared" si="9"/>
        <v>-3903</v>
      </c>
      <c r="P21" s="293">
        <v>2</v>
      </c>
      <c r="Q21" s="293"/>
      <c r="R21" s="49">
        <f t="shared" si="10"/>
        <v>1981804</v>
      </c>
      <c r="S21" s="49">
        <f t="shared" si="11"/>
        <v>0</v>
      </c>
      <c r="U21" s="49">
        <f>民間設備製造1!G23</f>
        <v>51506</v>
      </c>
      <c r="V21" s="49">
        <f t="shared" si="12"/>
        <v>2016157</v>
      </c>
    </row>
    <row r="22" spans="1:22">
      <c r="A22" s="300">
        <v>207</v>
      </c>
      <c r="B22" s="90" t="s">
        <v>187</v>
      </c>
      <c r="C22" s="830">
        <f>'２次調整'!Y24</f>
        <v>649233</v>
      </c>
      <c r="D22" s="830">
        <f>民間消費!G24</f>
        <v>435987</v>
      </c>
      <c r="E22" s="830">
        <f>政府消費!G24</f>
        <v>68766</v>
      </c>
      <c r="F22" s="830">
        <f t="shared" si="7"/>
        <v>109071</v>
      </c>
      <c r="G22" s="830">
        <f>民間住宅1!G24</f>
        <v>23835</v>
      </c>
      <c r="H22" s="830">
        <f>民間設備投資計!G24</f>
        <v>86852</v>
      </c>
      <c r="I22" s="830">
        <f>民間在庫品増加!G24</f>
        <v>-1616</v>
      </c>
      <c r="J22" s="831">
        <f>公的投資!G24</f>
        <v>13652</v>
      </c>
      <c r="K22" s="856">
        <f t="shared" si="8"/>
        <v>627476</v>
      </c>
      <c r="L22" s="856">
        <f t="shared" si="13"/>
        <v>21757</v>
      </c>
      <c r="M22" s="830">
        <f>移出入推計WS!AS24+移出入推計WS!AU24+移出入推計WS!AV24</f>
        <v>525213</v>
      </c>
      <c r="N22" s="830">
        <f>移出入推計WS!AT24</f>
        <v>527479</v>
      </c>
      <c r="O22" s="831">
        <f t="shared" si="9"/>
        <v>24023</v>
      </c>
      <c r="P22" s="293">
        <v>207</v>
      </c>
      <c r="Q22" s="293"/>
      <c r="R22" s="49">
        <f t="shared" si="10"/>
        <v>649233</v>
      </c>
      <c r="S22" s="49">
        <f t="shared" si="11"/>
        <v>0</v>
      </c>
      <c r="U22" s="49">
        <f>民間設備製造1!G24</f>
        <v>25550</v>
      </c>
      <c r="V22" s="49">
        <f t="shared" si="12"/>
        <v>567790</v>
      </c>
    </row>
    <row r="23" spans="1:22">
      <c r="A23" s="300">
        <v>214</v>
      </c>
      <c r="B23" s="90" t="s">
        <v>188</v>
      </c>
      <c r="C23" s="830">
        <f>'２次調整'!Y25</f>
        <v>479985</v>
      </c>
      <c r="D23" s="830">
        <f>民間消費!G25</f>
        <v>517663</v>
      </c>
      <c r="E23" s="830">
        <f>政府消費!G25</f>
        <v>76938</v>
      </c>
      <c r="F23" s="830">
        <f t="shared" si="7"/>
        <v>96149</v>
      </c>
      <c r="G23" s="830">
        <f>民間住宅1!G25</f>
        <v>25544</v>
      </c>
      <c r="H23" s="830">
        <f>民間設備投資計!G25</f>
        <v>72446</v>
      </c>
      <c r="I23" s="830">
        <f>民間在庫品増加!G25</f>
        <v>-1841</v>
      </c>
      <c r="J23" s="831">
        <f>公的投資!G25</f>
        <v>24040</v>
      </c>
      <c r="K23" s="856">
        <f t="shared" si="8"/>
        <v>714790</v>
      </c>
      <c r="L23" s="856">
        <f t="shared" si="13"/>
        <v>-234805</v>
      </c>
      <c r="M23" s="830">
        <f>移出入推計WS!AS25+移出入推計WS!AU25+移出入推計WS!AV25</f>
        <v>403687</v>
      </c>
      <c r="N23" s="830">
        <f>移出入推計WS!AT25</f>
        <v>600878</v>
      </c>
      <c r="O23" s="831">
        <f t="shared" si="9"/>
        <v>-37614</v>
      </c>
      <c r="P23" s="293">
        <v>214</v>
      </c>
      <c r="Q23" s="293"/>
      <c r="R23" s="49">
        <f t="shared" si="10"/>
        <v>479985</v>
      </c>
      <c r="S23" s="49">
        <f t="shared" si="11"/>
        <v>0</v>
      </c>
      <c r="U23" s="49">
        <f>民間設備製造1!G25</f>
        <v>2614</v>
      </c>
      <c r="V23" s="49">
        <f t="shared" si="12"/>
        <v>646799</v>
      </c>
    </row>
    <row r="24" spans="1:22">
      <c r="A24" s="300">
        <v>217</v>
      </c>
      <c r="B24" s="90" t="s">
        <v>189</v>
      </c>
      <c r="C24" s="830">
        <f>'２次調整'!Y26</f>
        <v>332830</v>
      </c>
      <c r="D24" s="830">
        <f>民間消費!G26</f>
        <v>341869</v>
      </c>
      <c r="E24" s="830">
        <f>政府消費!G26</f>
        <v>54158</v>
      </c>
      <c r="F24" s="830">
        <f t="shared" si="7"/>
        <v>65104</v>
      </c>
      <c r="G24" s="830">
        <f>民間住宅1!G26</f>
        <v>19614</v>
      </c>
      <c r="H24" s="830">
        <f>民間設備投資計!G26</f>
        <v>46700</v>
      </c>
      <c r="I24" s="830">
        <f>民間在庫品増加!G26</f>
        <v>-1210</v>
      </c>
      <c r="J24" s="831">
        <f>公的投資!G26</f>
        <v>8532</v>
      </c>
      <c r="K24" s="856">
        <f t="shared" si="8"/>
        <v>469663</v>
      </c>
      <c r="L24" s="856">
        <f t="shared" si="13"/>
        <v>-136833</v>
      </c>
      <c r="M24" s="830">
        <f>移出入推計WS!AS26+移出入推計WS!AU26+移出入推計WS!AV26</f>
        <v>280400</v>
      </c>
      <c r="N24" s="830">
        <f>移出入推計WS!AT26</f>
        <v>394816</v>
      </c>
      <c r="O24" s="831">
        <f t="shared" si="9"/>
        <v>-22417</v>
      </c>
      <c r="P24" s="293">
        <v>217</v>
      </c>
      <c r="Q24" s="293"/>
      <c r="R24" s="49">
        <f t="shared" si="10"/>
        <v>332830</v>
      </c>
      <c r="S24" s="49">
        <f t="shared" si="11"/>
        <v>0</v>
      </c>
      <c r="U24" s="49">
        <f>民間設備製造1!G26</f>
        <v>816</v>
      </c>
      <c r="V24" s="49">
        <f t="shared" si="12"/>
        <v>424989</v>
      </c>
    </row>
    <row r="25" spans="1:22">
      <c r="A25" s="300">
        <v>219</v>
      </c>
      <c r="B25" s="90" t="s">
        <v>190</v>
      </c>
      <c r="C25" s="830">
        <f>'２次調整'!Y27</f>
        <v>456136</v>
      </c>
      <c r="D25" s="830">
        <f>民間消費!G27</f>
        <v>214910</v>
      </c>
      <c r="E25" s="830">
        <f>政府消費!G27</f>
        <v>42215</v>
      </c>
      <c r="F25" s="830">
        <f t="shared" si="7"/>
        <v>62455</v>
      </c>
      <c r="G25" s="830">
        <f>民間住宅1!G27</f>
        <v>9248</v>
      </c>
      <c r="H25" s="830">
        <f>民間設備投資計!G27</f>
        <v>54059</v>
      </c>
      <c r="I25" s="830">
        <f>民間在庫品増加!G27</f>
        <v>-852</v>
      </c>
      <c r="J25" s="831">
        <f>公的投資!G27</f>
        <v>11340</v>
      </c>
      <c r="K25" s="856">
        <f t="shared" si="8"/>
        <v>330920</v>
      </c>
      <c r="L25" s="856">
        <f t="shared" si="13"/>
        <v>125216</v>
      </c>
      <c r="M25" s="830">
        <f>移出入推計WS!AS27+移出入推計WS!AU27+移出入推計WS!AV27</f>
        <v>365406</v>
      </c>
      <c r="N25" s="830">
        <f>移出入推計WS!AT27</f>
        <v>278183</v>
      </c>
      <c r="O25" s="831">
        <f t="shared" si="9"/>
        <v>37993</v>
      </c>
      <c r="P25" s="293">
        <v>219</v>
      </c>
      <c r="Q25" s="293"/>
      <c r="R25" s="49">
        <f t="shared" si="10"/>
        <v>456136</v>
      </c>
      <c r="S25" s="49">
        <f t="shared" si="11"/>
        <v>0</v>
      </c>
      <c r="U25" s="49">
        <f>民間設備製造1!G27</f>
        <v>21729</v>
      </c>
      <c r="V25" s="49">
        <f t="shared" si="12"/>
        <v>299442</v>
      </c>
    </row>
    <row r="26" spans="1:22">
      <c r="A26" s="300">
        <v>301</v>
      </c>
      <c r="B26" s="90" t="s">
        <v>191</v>
      </c>
      <c r="C26" s="837">
        <f>'２次調整'!Y28</f>
        <v>63620</v>
      </c>
      <c r="D26" s="837">
        <f>民間消費!G28</f>
        <v>58574</v>
      </c>
      <c r="E26" s="837">
        <f>政府消費!G28</f>
        <v>14295</v>
      </c>
      <c r="F26" s="837">
        <f t="shared" si="7"/>
        <v>10888</v>
      </c>
      <c r="G26" s="837">
        <f>民間住宅1!G28</f>
        <v>1983</v>
      </c>
      <c r="H26" s="837">
        <f>民間設備投資計!G28</f>
        <v>9125</v>
      </c>
      <c r="I26" s="837">
        <f>民間在庫品増加!G28</f>
        <v>-220</v>
      </c>
      <c r="J26" s="835">
        <f>公的投資!G28</f>
        <v>1488</v>
      </c>
      <c r="K26" s="856">
        <f t="shared" si="8"/>
        <v>85245</v>
      </c>
      <c r="L26" s="858">
        <f t="shared" si="13"/>
        <v>-21625</v>
      </c>
      <c r="M26" s="837">
        <f>移出入推計WS!AS28+移出入推計WS!AU28+移出入推計WS!AV28</f>
        <v>55923</v>
      </c>
      <c r="N26" s="837">
        <f>移出入推計WS!AT28</f>
        <v>71660</v>
      </c>
      <c r="O26" s="835">
        <f t="shared" si="9"/>
        <v>-5888</v>
      </c>
      <c r="P26" s="293">
        <v>301</v>
      </c>
      <c r="Q26" s="293"/>
      <c r="R26" s="49">
        <f t="shared" si="10"/>
        <v>63620</v>
      </c>
      <c r="S26" s="49">
        <f t="shared" si="11"/>
        <v>0</v>
      </c>
      <c r="U26" s="49">
        <f>民間設備製造1!G28</f>
        <v>797</v>
      </c>
      <c r="V26" s="49">
        <f t="shared" si="12"/>
        <v>77137</v>
      </c>
    </row>
    <row r="27" spans="1:22">
      <c r="A27" s="301">
        <v>3</v>
      </c>
      <c r="B27" s="128" t="s">
        <v>192</v>
      </c>
      <c r="C27" s="830">
        <f>'２次調整'!Y29</f>
        <v>2871866</v>
      </c>
      <c r="D27" s="830">
        <f>民間消費!G29</f>
        <v>1530937</v>
      </c>
      <c r="E27" s="830">
        <f>政府消費!G29</f>
        <v>240191</v>
      </c>
      <c r="F27" s="830">
        <f t="shared" si="7"/>
        <v>635166</v>
      </c>
      <c r="G27" s="830">
        <f>民間住宅1!G29</f>
        <v>93870</v>
      </c>
      <c r="H27" s="830">
        <f>民間設備投資計!G29</f>
        <v>547691</v>
      </c>
      <c r="I27" s="830">
        <f>民間在庫品増加!G29</f>
        <v>-6395</v>
      </c>
      <c r="J27" s="831">
        <f>公的投資!G29</f>
        <v>76420</v>
      </c>
      <c r="K27" s="855">
        <f t="shared" si="8"/>
        <v>2482714</v>
      </c>
      <c r="L27" s="855">
        <f t="shared" si="13"/>
        <v>389152</v>
      </c>
      <c r="M27" s="827">
        <f>移出入推計WS!AS29+移出入推計WS!AU29+移出入推計WS!AV29</f>
        <v>2285527</v>
      </c>
      <c r="N27" s="827">
        <f>移出入推計WS!AT29</f>
        <v>2087058</v>
      </c>
      <c r="O27" s="828">
        <f t="shared" si="9"/>
        <v>190683</v>
      </c>
      <c r="P27" s="293">
        <v>3</v>
      </c>
      <c r="Q27" s="293"/>
      <c r="R27" s="49">
        <f t="shared" si="10"/>
        <v>2871866</v>
      </c>
      <c r="S27" s="49">
        <f t="shared" si="11"/>
        <v>0</v>
      </c>
      <c r="U27" s="49">
        <f>民間設備製造1!G29</f>
        <v>305140</v>
      </c>
      <c r="V27" s="49">
        <f t="shared" si="12"/>
        <v>2246558</v>
      </c>
    </row>
    <row r="28" spans="1:22">
      <c r="A28" s="300">
        <v>203</v>
      </c>
      <c r="B28" s="90" t="s">
        <v>193</v>
      </c>
      <c r="C28" s="830">
        <f>'２次調整'!Y30</f>
        <v>1090335</v>
      </c>
      <c r="D28" s="830">
        <f>民間消費!G30</f>
        <v>655806</v>
      </c>
      <c r="E28" s="830">
        <f>政府消費!G30</f>
        <v>101333</v>
      </c>
      <c r="F28" s="830">
        <f t="shared" si="7"/>
        <v>190261</v>
      </c>
      <c r="G28" s="830">
        <f>民間住宅1!G30</f>
        <v>37913</v>
      </c>
      <c r="H28" s="830">
        <f>民間設備投資計!G30</f>
        <v>154871</v>
      </c>
      <c r="I28" s="830">
        <f>民間在庫品増加!G30</f>
        <v>-2523</v>
      </c>
      <c r="J28" s="831">
        <f>公的投資!G30</f>
        <v>32090</v>
      </c>
      <c r="K28" s="856">
        <f t="shared" si="8"/>
        <v>979490</v>
      </c>
      <c r="L28" s="856">
        <f t="shared" si="13"/>
        <v>110845</v>
      </c>
      <c r="M28" s="830">
        <f>移出入推計WS!AS30+移出入推計WS!AU30+移出入推計WS!AV30</f>
        <v>873706</v>
      </c>
      <c r="N28" s="830">
        <f>移出入推計WS!AT30</f>
        <v>823394</v>
      </c>
      <c r="O28" s="831">
        <f t="shared" si="9"/>
        <v>60533</v>
      </c>
      <c r="P28" s="293">
        <v>203</v>
      </c>
      <c r="Q28" s="293"/>
      <c r="R28" s="49">
        <f t="shared" si="10"/>
        <v>1090335</v>
      </c>
      <c r="S28" s="49">
        <f t="shared" si="11"/>
        <v>0</v>
      </c>
      <c r="U28" s="49">
        <f>民間設備製造1!G30</f>
        <v>59179</v>
      </c>
      <c r="V28" s="49">
        <f t="shared" si="12"/>
        <v>886321</v>
      </c>
    </row>
    <row r="29" spans="1:22">
      <c r="A29" s="300">
        <v>210</v>
      </c>
      <c r="B29" s="90" t="s">
        <v>194</v>
      </c>
      <c r="C29" s="830">
        <f>'２次調整'!Y31</f>
        <v>857731</v>
      </c>
      <c r="D29" s="830">
        <f>民間消費!G31</f>
        <v>558776</v>
      </c>
      <c r="E29" s="830">
        <f>政府消費!G31</f>
        <v>86391</v>
      </c>
      <c r="F29" s="830">
        <f t="shared" si="7"/>
        <v>253515</v>
      </c>
      <c r="G29" s="830">
        <f>民間住宅1!G31</f>
        <v>36735</v>
      </c>
      <c r="H29" s="830">
        <f>民間設備投資計!G31</f>
        <v>219161</v>
      </c>
      <c r="I29" s="830">
        <f>民間在庫品増加!G31</f>
        <v>-2381</v>
      </c>
      <c r="J29" s="831">
        <f>公的投資!G31</f>
        <v>25655</v>
      </c>
      <c r="K29" s="856">
        <f t="shared" si="8"/>
        <v>924337</v>
      </c>
      <c r="L29" s="856">
        <f t="shared" si="13"/>
        <v>-66606</v>
      </c>
      <c r="M29" s="830">
        <f>移出入推計WS!AS31+移出入推計WS!AU31+移出入推計WS!AV31</f>
        <v>691253</v>
      </c>
      <c r="N29" s="830">
        <f>移出入推計WS!AT31</f>
        <v>777031</v>
      </c>
      <c r="O29" s="831">
        <f t="shared" si="9"/>
        <v>19172</v>
      </c>
      <c r="P29" s="293">
        <v>210</v>
      </c>
      <c r="Q29" s="293"/>
      <c r="R29" s="49">
        <f t="shared" si="10"/>
        <v>857731</v>
      </c>
      <c r="S29" s="49">
        <f t="shared" si="11"/>
        <v>0</v>
      </c>
      <c r="U29" s="49">
        <f>民間設備製造1!G31</f>
        <v>128857</v>
      </c>
      <c r="V29" s="49">
        <f t="shared" si="12"/>
        <v>836414</v>
      </c>
    </row>
    <row r="30" spans="1:22">
      <c r="A30" s="300">
        <v>216</v>
      </c>
      <c r="B30" s="90" t="s">
        <v>195</v>
      </c>
      <c r="C30" s="830">
        <f>'２次調整'!Y32</f>
        <v>659678</v>
      </c>
      <c r="D30" s="830">
        <f>民間消費!G32</f>
        <v>190484</v>
      </c>
      <c r="E30" s="830">
        <f>政府消費!G32</f>
        <v>33322</v>
      </c>
      <c r="F30" s="830">
        <f t="shared" si="7"/>
        <v>138919</v>
      </c>
      <c r="G30" s="830">
        <f>民間住宅1!G32</f>
        <v>8796</v>
      </c>
      <c r="H30" s="830">
        <f>民間設備投資計!G32</f>
        <v>131087</v>
      </c>
      <c r="I30" s="830">
        <f>民間在庫品増加!G32</f>
        <v>-964</v>
      </c>
      <c r="J30" s="831">
        <f>公的投資!G32</f>
        <v>11593</v>
      </c>
      <c r="K30" s="856">
        <f t="shared" si="8"/>
        <v>374318</v>
      </c>
      <c r="L30" s="856">
        <f t="shared" si="13"/>
        <v>285360</v>
      </c>
      <c r="M30" s="830">
        <f>移出入推計WS!AS32+移出入推計WS!AU32+移出入推計WS!AV32</f>
        <v>512107</v>
      </c>
      <c r="N30" s="830">
        <f>移出入推計WS!AT32</f>
        <v>314665</v>
      </c>
      <c r="O30" s="831">
        <f t="shared" si="9"/>
        <v>87918</v>
      </c>
      <c r="P30" s="293">
        <v>216</v>
      </c>
      <c r="Q30" s="293"/>
      <c r="R30" s="49">
        <f t="shared" si="10"/>
        <v>659678</v>
      </c>
      <c r="S30" s="49">
        <f t="shared" si="11"/>
        <v>0</v>
      </c>
      <c r="U30" s="49">
        <f>民間設備製造1!G32</f>
        <v>94518</v>
      </c>
      <c r="V30" s="49">
        <f t="shared" si="12"/>
        <v>338713</v>
      </c>
    </row>
    <row r="31" spans="1:22">
      <c r="A31" s="300">
        <v>381</v>
      </c>
      <c r="B31" s="90" t="s">
        <v>196</v>
      </c>
      <c r="C31" s="830">
        <f>'２次調整'!Y33</f>
        <v>141245</v>
      </c>
      <c r="D31" s="830">
        <f>民間消費!G33</f>
        <v>56437</v>
      </c>
      <c r="E31" s="830">
        <f>政府消費!G33</f>
        <v>8953</v>
      </c>
      <c r="F31" s="830">
        <f t="shared" si="7"/>
        <v>18856</v>
      </c>
      <c r="G31" s="830">
        <f>民間住宅1!G33</f>
        <v>4025</v>
      </c>
      <c r="H31" s="830">
        <f>民間設備投資計!G33</f>
        <v>15056</v>
      </c>
      <c r="I31" s="830">
        <f>民間在庫品増加!G33</f>
        <v>-225</v>
      </c>
      <c r="J31" s="831">
        <f>公的投資!G33</f>
        <v>3075</v>
      </c>
      <c r="K31" s="856">
        <f t="shared" si="8"/>
        <v>87321</v>
      </c>
      <c r="L31" s="856">
        <f t="shared" si="13"/>
        <v>53924</v>
      </c>
      <c r="M31" s="830">
        <f>移出入推計WS!AS33+移出入推計WS!AU33+移出入推計WS!AV33</f>
        <v>110721</v>
      </c>
      <c r="N31" s="830">
        <f>移出入推計WS!AT33</f>
        <v>73405</v>
      </c>
      <c r="O31" s="831">
        <f t="shared" si="9"/>
        <v>16608</v>
      </c>
      <c r="P31" s="293">
        <v>381</v>
      </c>
      <c r="Q31" s="293"/>
      <c r="R31" s="49">
        <f t="shared" si="10"/>
        <v>141245</v>
      </c>
      <c r="S31" s="49">
        <f t="shared" si="11"/>
        <v>0</v>
      </c>
      <c r="U31" s="49">
        <f>民間設備製造1!G33</f>
        <v>6525</v>
      </c>
      <c r="V31" s="49">
        <f t="shared" si="12"/>
        <v>79015</v>
      </c>
    </row>
    <row r="32" spans="1:22">
      <c r="A32" s="302">
        <v>382</v>
      </c>
      <c r="B32" s="201" t="s">
        <v>197</v>
      </c>
      <c r="C32" s="830">
        <f>'２次調整'!Y34</f>
        <v>122877</v>
      </c>
      <c r="D32" s="830">
        <f>民間消費!G34</f>
        <v>69434</v>
      </c>
      <c r="E32" s="830">
        <f>政府消費!G34</f>
        <v>10192</v>
      </c>
      <c r="F32" s="830">
        <f t="shared" si="7"/>
        <v>33615</v>
      </c>
      <c r="G32" s="830">
        <f>民間住宅1!G34</f>
        <v>6401</v>
      </c>
      <c r="H32" s="830">
        <f>民間設備投資計!G34</f>
        <v>27516</v>
      </c>
      <c r="I32" s="830">
        <f>民間在庫品増加!G34</f>
        <v>-302</v>
      </c>
      <c r="J32" s="831">
        <f>公的投資!G34</f>
        <v>4007</v>
      </c>
      <c r="K32" s="858">
        <f t="shared" si="8"/>
        <v>117248</v>
      </c>
      <c r="L32" s="858">
        <f t="shared" si="13"/>
        <v>5629</v>
      </c>
      <c r="M32" s="837">
        <f>移出入推計WS!AS34+移出入推計WS!AU34+移出入推計WS!AV34</f>
        <v>97740</v>
      </c>
      <c r="N32" s="837">
        <f>移出入推計WS!AT34</f>
        <v>98563</v>
      </c>
      <c r="O32" s="835">
        <f t="shared" si="9"/>
        <v>6452</v>
      </c>
      <c r="P32" s="293">
        <v>382</v>
      </c>
      <c r="Q32" s="293"/>
      <c r="R32" s="49">
        <f t="shared" si="10"/>
        <v>122877</v>
      </c>
      <c r="S32" s="49">
        <f t="shared" si="11"/>
        <v>0</v>
      </c>
      <c r="U32" s="49">
        <f>民間設備製造1!G34</f>
        <v>16061</v>
      </c>
      <c r="V32" s="49">
        <f t="shared" si="12"/>
        <v>106095</v>
      </c>
    </row>
    <row r="33" spans="1:22">
      <c r="A33" s="300">
        <v>4</v>
      </c>
      <c r="B33" s="91" t="s">
        <v>198</v>
      </c>
      <c r="C33" s="827">
        <f>'２次調整'!Y35</f>
        <v>1240812</v>
      </c>
      <c r="D33" s="827">
        <f>民間消費!G35</f>
        <v>524413</v>
      </c>
      <c r="E33" s="827">
        <f>政府消費!G35</f>
        <v>112295</v>
      </c>
      <c r="F33" s="827">
        <f t="shared" si="7"/>
        <v>164967</v>
      </c>
      <c r="G33" s="827">
        <f>民間住宅1!G35</f>
        <v>24935</v>
      </c>
      <c r="H33" s="827">
        <f>民間設備投資計!G35</f>
        <v>142182</v>
      </c>
      <c r="I33" s="827">
        <f>民間在庫品増加!G35</f>
        <v>-2150</v>
      </c>
      <c r="J33" s="828">
        <f>公的投資!G35</f>
        <v>33450</v>
      </c>
      <c r="K33" s="856">
        <f t="shared" si="8"/>
        <v>835125</v>
      </c>
      <c r="L33" s="855">
        <f t="shared" si="13"/>
        <v>405687</v>
      </c>
      <c r="M33" s="827">
        <f>移出入推計WS!AS35+移出入推計WS!AU35+移出入推計WS!AV35</f>
        <v>992502</v>
      </c>
      <c r="N33" s="827">
        <f>移出入推計WS!AT35</f>
        <v>702035</v>
      </c>
      <c r="O33" s="828">
        <f t="shared" si="9"/>
        <v>115220</v>
      </c>
      <c r="P33" s="293">
        <v>4</v>
      </c>
      <c r="Q33" s="293"/>
      <c r="R33" s="49">
        <f t="shared" si="10"/>
        <v>1240812</v>
      </c>
      <c r="S33" s="49">
        <f t="shared" si="11"/>
        <v>0</v>
      </c>
      <c r="U33" s="49">
        <f>民間設備製造1!G35</f>
        <v>60593</v>
      </c>
      <c r="V33" s="49">
        <f t="shared" si="12"/>
        <v>755686</v>
      </c>
    </row>
    <row r="34" spans="1:22">
      <c r="A34" s="300">
        <v>213</v>
      </c>
      <c r="B34" s="92" t="s">
        <v>231</v>
      </c>
      <c r="C34" s="830">
        <f>'２次調整'!Y36</f>
        <v>163148</v>
      </c>
      <c r="D34" s="830">
        <f>民間消費!G36</f>
        <v>82724</v>
      </c>
      <c r="E34" s="830">
        <f>政府消費!G36</f>
        <v>14663</v>
      </c>
      <c r="F34" s="830">
        <f t="shared" si="7"/>
        <v>16743</v>
      </c>
      <c r="G34" s="830">
        <f>民間住宅1!G36</f>
        <v>2651</v>
      </c>
      <c r="H34" s="830">
        <f>民間設備投資計!G36</f>
        <v>14398</v>
      </c>
      <c r="I34" s="830">
        <f>民間在庫品増加!G36</f>
        <v>-306</v>
      </c>
      <c r="J34" s="831">
        <f>公的投資!G36</f>
        <v>4766</v>
      </c>
      <c r="K34" s="856">
        <f t="shared" si="8"/>
        <v>118896</v>
      </c>
      <c r="L34" s="856">
        <f t="shared" si="13"/>
        <v>44252</v>
      </c>
      <c r="M34" s="830">
        <f>移出入推計WS!AS36+移出入推計WS!AU36+移出入推計WS!AV36</f>
        <v>130439</v>
      </c>
      <c r="N34" s="830">
        <f>移出入推計WS!AT36</f>
        <v>99948</v>
      </c>
      <c r="O34" s="831">
        <f t="shared" si="9"/>
        <v>13761</v>
      </c>
      <c r="P34" s="293">
        <v>213</v>
      </c>
      <c r="Q34" s="293"/>
      <c r="R34" s="49">
        <f t="shared" si="10"/>
        <v>163148</v>
      </c>
      <c r="S34" s="49">
        <f t="shared" si="11"/>
        <v>0</v>
      </c>
      <c r="U34" s="49">
        <f>民間設備製造1!G36</f>
        <v>2782</v>
      </c>
      <c r="V34" s="49">
        <f t="shared" si="12"/>
        <v>107586</v>
      </c>
    </row>
    <row r="35" spans="1:22">
      <c r="A35" s="300">
        <v>215</v>
      </c>
      <c r="B35" s="92" t="s">
        <v>232</v>
      </c>
      <c r="C35" s="830">
        <f>'２次調整'!Y37</f>
        <v>291567</v>
      </c>
      <c r="D35" s="830">
        <f>民間消費!G37</f>
        <v>151942</v>
      </c>
      <c r="E35" s="830">
        <f>政府消費!G37</f>
        <v>31337</v>
      </c>
      <c r="F35" s="830">
        <f t="shared" si="7"/>
        <v>37193</v>
      </c>
      <c r="G35" s="830">
        <f>民間住宅1!G37</f>
        <v>7441</v>
      </c>
      <c r="H35" s="830">
        <f>民間設備投資計!G37</f>
        <v>30343</v>
      </c>
      <c r="I35" s="830">
        <f>民間在庫品増加!G37</f>
        <v>-591</v>
      </c>
      <c r="J35" s="831">
        <f>公的投資!G37</f>
        <v>9127</v>
      </c>
      <c r="K35" s="856">
        <f t="shared" si="8"/>
        <v>229599</v>
      </c>
      <c r="L35" s="856">
        <f t="shared" si="13"/>
        <v>61968</v>
      </c>
      <c r="M35" s="830">
        <f>移出入推計WS!AS37+移出入推計WS!AU37+移出入推計WS!AV37</f>
        <v>236139</v>
      </c>
      <c r="N35" s="830">
        <f>移出入推計WS!AT37</f>
        <v>193009</v>
      </c>
      <c r="O35" s="831">
        <f t="shared" si="9"/>
        <v>18838</v>
      </c>
      <c r="P35" s="293">
        <v>215</v>
      </c>
      <c r="Q35" s="293"/>
      <c r="R35" s="49">
        <f t="shared" si="10"/>
        <v>291567</v>
      </c>
      <c r="S35" s="49">
        <f t="shared" si="11"/>
        <v>0</v>
      </c>
      <c r="U35" s="49">
        <f>民間設備製造1!G37</f>
        <v>7912</v>
      </c>
      <c r="V35" s="49">
        <f t="shared" si="12"/>
        <v>207759</v>
      </c>
    </row>
    <row r="36" spans="1:22">
      <c r="A36" s="300">
        <v>218</v>
      </c>
      <c r="B36" s="90" t="s">
        <v>200</v>
      </c>
      <c r="C36" s="830">
        <f>'２次調整'!Y38</f>
        <v>239102</v>
      </c>
      <c r="D36" s="830">
        <f>民間消費!G38</f>
        <v>90898</v>
      </c>
      <c r="E36" s="830">
        <f>政府消費!G38</f>
        <v>17572</v>
      </c>
      <c r="F36" s="830">
        <f t="shared" si="7"/>
        <v>31739</v>
      </c>
      <c r="G36" s="830">
        <f>民間住宅1!G38</f>
        <v>5007</v>
      </c>
      <c r="H36" s="830">
        <f>民間設備投資計!G38</f>
        <v>27108</v>
      </c>
      <c r="I36" s="830">
        <f>民間在庫品増加!G38</f>
        <v>-376</v>
      </c>
      <c r="J36" s="831">
        <f>公的投資!G38</f>
        <v>5778</v>
      </c>
      <c r="K36" s="856">
        <f t="shared" si="8"/>
        <v>145987</v>
      </c>
      <c r="L36" s="856">
        <f t="shared" si="13"/>
        <v>93115</v>
      </c>
      <c r="M36" s="830">
        <f>移出入推計WS!AS38+移出入推計WS!AU38+移出入推計WS!AV38</f>
        <v>188855</v>
      </c>
      <c r="N36" s="830">
        <f>移出入推計WS!AT38</f>
        <v>122722</v>
      </c>
      <c r="O36" s="831">
        <f t="shared" si="9"/>
        <v>26982</v>
      </c>
      <c r="P36" s="293">
        <v>218</v>
      </c>
      <c r="Q36" s="293"/>
      <c r="R36" s="49">
        <f t="shared" si="10"/>
        <v>239102</v>
      </c>
      <c r="S36" s="49">
        <f t="shared" si="11"/>
        <v>0</v>
      </c>
      <c r="U36" s="49">
        <f>民間設備製造1!G38</f>
        <v>12846</v>
      </c>
      <c r="V36" s="49">
        <f t="shared" si="12"/>
        <v>132101</v>
      </c>
    </row>
    <row r="37" spans="1:22">
      <c r="A37" s="300">
        <v>220</v>
      </c>
      <c r="B37" s="90" t="s">
        <v>201</v>
      </c>
      <c r="C37" s="830">
        <f>'２次調整'!Y39</f>
        <v>209561</v>
      </c>
      <c r="D37" s="830">
        <f>民間消費!G39</f>
        <v>83822</v>
      </c>
      <c r="E37" s="830">
        <f>政府消費!G39</f>
        <v>18154</v>
      </c>
      <c r="F37" s="830">
        <f t="shared" si="7"/>
        <v>38753</v>
      </c>
      <c r="G37" s="830">
        <f>民間住宅1!G39</f>
        <v>4319</v>
      </c>
      <c r="H37" s="830">
        <f>民間設備投資計!G39</f>
        <v>34805</v>
      </c>
      <c r="I37" s="830">
        <f>民間在庫品増加!G39</f>
        <v>-371</v>
      </c>
      <c r="J37" s="831">
        <f>公的投資!G39</f>
        <v>3216</v>
      </c>
      <c r="K37" s="856">
        <f t="shared" si="8"/>
        <v>143945</v>
      </c>
      <c r="L37" s="856">
        <f t="shared" si="13"/>
        <v>65616</v>
      </c>
      <c r="M37" s="830">
        <f>移出入推計WS!AS39+移出入推計WS!AU39+移出入推計WS!AV39</f>
        <v>167145</v>
      </c>
      <c r="N37" s="830">
        <f>移出入推計WS!AT39</f>
        <v>121005</v>
      </c>
      <c r="O37" s="831">
        <f t="shared" si="9"/>
        <v>19476</v>
      </c>
      <c r="P37" s="293">
        <v>220</v>
      </c>
      <c r="Q37" s="293"/>
      <c r="R37" s="49">
        <f t="shared" si="10"/>
        <v>209561</v>
      </c>
      <c r="S37" s="49">
        <f t="shared" si="11"/>
        <v>0</v>
      </c>
      <c r="U37" s="49">
        <f>民間設備製造1!G39</f>
        <v>20742</v>
      </c>
      <c r="V37" s="49">
        <f t="shared" si="12"/>
        <v>130253</v>
      </c>
    </row>
    <row r="38" spans="1:22">
      <c r="A38" s="300">
        <v>228</v>
      </c>
      <c r="B38" s="90" t="s">
        <v>239</v>
      </c>
      <c r="C38" s="830">
        <f>'２次調整'!Y40</f>
        <v>275253</v>
      </c>
      <c r="D38" s="830">
        <f>民間消費!G40</f>
        <v>78000</v>
      </c>
      <c r="E38" s="830">
        <f>政府消費!G40</f>
        <v>18032</v>
      </c>
      <c r="F38" s="830">
        <f t="shared" si="7"/>
        <v>32101</v>
      </c>
      <c r="G38" s="830">
        <f>民間住宅1!G40</f>
        <v>4653</v>
      </c>
      <c r="H38" s="830">
        <f>民間設備投資計!G40</f>
        <v>27790</v>
      </c>
      <c r="I38" s="830">
        <f>民間在庫品増加!G40</f>
        <v>-342</v>
      </c>
      <c r="J38" s="831">
        <f>公的投資!G40</f>
        <v>4775</v>
      </c>
      <c r="K38" s="856">
        <f t="shared" si="8"/>
        <v>132908</v>
      </c>
      <c r="L38" s="856">
        <f t="shared" si="13"/>
        <v>142345</v>
      </c>
      <c r="M38" s="830">
        <f>移出入推計WS!AS40+移出入推計WS!AU40+移出入推計WS!AV40</f>
        <v>216112</v>
      </c>
      <c r="N38" s="830">
        <f>移出入推計WS!AT40</f>
        <v>111727</v>
      </c>
      <c r="O38" s="831">
        <f t="shared" si="9"/>
        <v>37960</v>
      </c>
      <c r="P38" s="293">
        <v>228</v>
      </c>
      <c r="Q38" s="293"/>
      <c r="R38" s="49">
        <f t="shared" si="10"/>
        <v>275253</v>
      </c>
      <c r="S38" s="49">
        <f t="shared" si="11"/>
        <v>0</v>
      </c>
      <c r="U38" s="49">
        <f>民間設備製造1!G40</f>
        <v>14805</v>
      </c>
      <c r="V38" s="49">
        <f t="shared" si="12"/>
        <v>120265</v>
      </c>
    </row>
    <row r="39" spans="1:22">
      <c r="A39" s="300">
        <v>365</v>
      </c>
      <c r="B39" s="90" t="s">
        <v>233</v>
      </c>
      <c r="C39" s="837">
        <f>'２次調整'!Y41</f>
        <v>62181</v>
      </c>
      <c r="D39" s="837">
        <f>民間消費!G41</f>
        <v>37027</v>
      </c>
      <c r="E39" s="837">
        <f>政府消費!G41</f>
        <v>12537</v>
      </c>
      <c r="F39" s="837">
        <f t="shared" si="7"/>
        <v>8438</v>
      </c>
      <c r="G39" s="837">
        <f>民間住宅1!G41</f>
        <v>864</v>
      </c>
      <c r="H39" s="837">
        <f>民間設備投資計!G41</f>
        <v>7738</v>
      </c>
      <c r="I39" s="837">
        <f>民間在庫品増加!G41</f>
        <v>-164</v>
      </c>
      <c r="J39" s="835">
        <f>公的投資!G41</f>
        <v>5788</v>
      </c>
      <c r="K39" s="856">
        <f t="shared" si="8"/>
        <v>63790</v>
      </c>
      <c r="L39" s="858">
        <f t="shared" si="13"/>
        <v>-1609</v>
      </c>
      <c r="M39" s="837">
        <f>移出入推計WS!AS41+移出入推計WS!AU41+移出入推計WS!AV41</f>
        <v>53812</v>
      </c>
      <c r="N39" s="837">
        <f>移出入推計WS!AT41</f>
        <v>53624</v>
      </c>
      <c r="O39" s="835">
        <f t="shared" si="9"/>
        <v>-1797</v>
      </c>
      <c r="P39" s="293">
        <v>365</v>
      </c>
      <c r="Q39" s="293"/>
      <c r="R39" s="49">
        <f t="shared" si="10"/>
        <v>62181</v>
      </c>
      <c r="S39" s="49">
        <f t="shared" si="11"/>
        <v>0</v>
      </c>
      <c r="U39" s="49">
        <f>民間設備製造1!G41</f>
        <v>1506</v>
      </c>
      <c r="V39" s="49">
        <f t="shared" si="12"/>
        <v>57722</v>
      </c>
    </row>
    <row r="40" spans="1:22">
      <c r="A40" s="301">
        <v>5</v>
      </c>
      <c r="B40" s="306" t="s">
        <v>202</v>
      </c>
      <c r="C40" s="830">
        <f>'２次調整'!Y42</f>
        <v>2700289</v>
      </c>
      <c r="D40" s="830">
        <f>民間消費!G42</f>
        <v>1245173</v>
      </c>
      <c r="E40" s="830">
        <f>政府消費!G42</f>
        <v>205107</v>
      </c>
      <c r="F40" s="830">
        <f t="shared" si="7"/>
        <v>816986</v>
      </c>
      <c r="G40" s="830">
        <f>民間住宅1!G42</f>
        <v>77848</v>
      </c>
      <c r="H40" s="830">
        <f>民間設備投資計!G42</f>
        <v>745261</v>
      </c>
      <c r="I40" s="830">
        <f>民間在庫品増加!G42</f>
        <v>-6123</v>
      </c>
      <c r="J40" s="831">
        <f>公的投資!G42</f>
        <v>109904</v>
      </c>
      <c r="K40" s="855">
        <f t="shared" si="8"/>
        <v>2377170</v>
      </c>
      <c r="L40" s="855">
        <f t="shared" si="13"/>
        <v>323119</v>
      </c>
      <c r="M40" s="827">
        <f>移出入推計WS!AS42+移出入推計WS!AU42+移出入推計WS!AV42</f>
        <v>2136751</v>
      </c>
      <c r="N40" s="827">
        <f>移出入推計WS!AT42</f>
        <v>1998336</v>
      </c>
      <c r="O40" s="828">
        <f t="shared" si="9"/>
        <v>184704</v>
      </c>
      <c r="P40" s="293">
        <v>5</v>
      </c>
      <c r="Q40" s="293"/>
      <c r="R40" s="49">
        <f t="shared" si="10"/>
        <v>2700289</v>
      </c>
      <c r="S40" s="49">
        <f t="shared" si="11"/>
        <v>0</v>
      </c>
      <c r="U40" s="49">
        <f>民間設備製造1!G42</f>
        <v>513020</v>
      </c>
      <c r="V40" s="49">
        <f t="shared" si="12"/>
        <v>2151052</v>
      </c>
    </row>
    <row r="41" spans="1:22">
      <c r="A41" s="300">
        <v>201</v>
      </c>
      <c r="B41" s="92" t="s">
        <v>240</v>
      </c>
      <c r="C41" s="830">
        <f>'２次調整'!Y43</f>
        <v>2465019</v>
      </c>
      <c r="D41" s="830">
        <f>民間消費!G43</f>
        <v>1163481</v>
      </c>
      <c r="E41" s="830">
        <f>政府消費!G43</f>
        <v>183252</v>
      </c>
      <c r="F41" s="830">
        <f t="shared" si="7"/>
        <v>791085</v>
      </c>
      <c r="G41" s="830">
        <f>民間住宅1!G43</f>
        <v>74196</v>
      </c>
      <c r="H41" s="830">
        <f>民間設備投資計!G43</f>
        <v>722657</v>
      </c>
      <c r="I41" s="830">
        <f>民間在庫品増加!G43</f>
        <v>-5768</v>
      </c>
      <c r="J41" s="831">
        <f>公的投資!G43</f>
        <v>101314</v>
      </c>
      <c r="K41" s="856">
        <f t="shared" si="8"/>
        <v>2239132</v>
      </c>
      <c r="L41" s="856">
        <f t="shared" si="13"/>
        <v>225887</v>
      </c>
      <c r="M41" s="830">
        <f>移出入推計WS!AS43+移出入推計WS!AU43+移出入推計WS!AV43</f>
        <v>1948231</v>
      </c>
      <c r="N41" s="830">
        <f>移出入推計WS!AT43</f>
        <v>1882295</v>
      </c>
      <c r="O41" s="831">
        <f t="shared" si="9"/>
        <v>159951</v>
      </c>
      <c r="P41" s="293">
        <v>201</v>
      </c>
      <c r="Q41" s="293"/>
      <c r="R41" s="49">
        <f t="shared" si="10"/>
        <v>2465019</v>
      </c>
      <c r="S41" s="49">
        <f t="shared" si="11"/>
        <v>0</v>
      </c>
      <c r="U41" s="49">
        <f>民間設備製造1!G43</f>
        <v>503902</v>
      </c>
      <c r="V41" s="49">
        <f t="shared" si="12"/>
        <v>2026145</v>
      </c>
    </row>
    <row r="42" spans="1:22">
      <c r="A42" s="300">
        <v>442</v>
      </c>
      <c r="B42" s="90" t="s">
        <v>203</v>
      </c>
      <c r="C42" s="830">
        <f>'２次調整'!Y44</f>
        <v>35453</v>
      </c>
      <c r="D42" s="830">
        <f>民間消費!G44</f>
        <v>24008</v>
      </c>
      <c r="E42" s="830">
        <f>政府消費!G44</f>
        <v>6180</v>
      </c>
      <c r="F42" s="830">
        <f t="shared" si="7"/>
        <v>5125</v>
      </c>
      <c r="G42" s="830">
        <f>民間住宅1!G44</f>
        <v>491</v>
      </c>
      <c r="H42" s="830">
        <f>民間設備投資計!G44</f>
        <v>4727</v>
      </c>
      <c r="I42" s="830">
        <f>民間在庫品増加!G44</f>
        <v>-93</v>
      </c>
      <c r="J42" s="831">
        <f>公的投資!G44</f>
        <v>909</v>
      </c>
      <c r="K42" s="856">
        <f t="shared" si="8"/>
        <v>36222</v>
      </c>
      <c r="L42" s="856">
        <f t="shared" si="13"/>
        <v>-769</v>
      </c>
      <c r="M42" s="830">
        <f>移出入推計WS!AS44+移出入推計WS!AU44+移出入推計WS!AV44</f>
        <v>30111</v>
      </c>
      <c r="N42" s="830">
        <f>移出入推計WS!AT44</f>
        <v>30450</v>
      </c>
      <c r="O42" s="831">
        <f t="shared" si="9"/>
        <v>-430</v>
      </c>
      <c r="P42" s="293">
        <v>442</v>
      </c>
      <c r="Q42" s="293"/>
      <c r="R42" s="49">
        <f t="shared" si="10"/>
        <v>35453</v>
      </c>
      <c r="S42" s="49">
        <f t="shared" si="11"/>
        <v>0</v>
      </c>
      <c r="U42" s="49">
        <f>民間設備製造1!G44</f>
        <v>1188</v>
      </c>
      <c r="V42" s="49">
        <f t="shared" si="12"/>
        <v>32776</v>
      </c>
    </row>
    <row r="43" spans="1:22">
      <c r="A43" s="300">
        <v>443</v>
      </c>
      <c r="B43" s="90" t="s">
        <v>204</v>
      </c>
      <c r="C43" s="830">
        <f>'２次調整'!Y45</f>
        <v>166121</v>
      </c>
      <c r="D43" s="830">
        <f>民間消費!G45</f>
        <v>36640</v>
      </c>
      <c r="E43" s="830">
        <f>政府消費!G45</f>
        <v>7766</v>
      </c>
      <c r="F43" s="830">
        <f t="shared" si="7"/>
        <v>15341</v>
      </c>
      <c r="G43" s="830">
        <f>民間住宅1!G45</f>
        <v>2474</v>
      </c>
      <c r="H43" s="830">
        <f>民間設備投資計!G45</f>
        <v>13026</v>
      </c>
      <c r="I43" s="830">
        <f>民間在庫品増加!G45</f>
        <v>-159</v>
      </c>
      <c r="J43" s="831">
        <f>公的投資!G45</f>
        <v>1938</v>
      </c>
      <c r="K43" s="856">
        <f t="shared" si="8"/>
        <v>61685</v>
      </c>
      <c r="L43" s="856">
        <f t="shared" si="13"/>
        <v>104436</v>
      </c>
      <c r="M43" s="830">
        <f>移出入推計WS!AS45+移出入推計WS!AU45+移出入推計WS!AV45</f>
        <v>128591</v>
      </c>
      <c r="N43" s="830">
        <f>移出入推計WS!AT45</f>
        <v>51855</v>
      </c>
      <c r="O43" s="831">
        <f t="shared" si="9"/>
        <v>27700</v>
      </c>
      <c r="P43" s="293">
        <v>443</v>
      </c>
      <c r="Q43" s="293"/>
      <c r="R43" s="49">
        <f t="shared" si="10"/>
        <v>166121</v>
      </c>
      <c r="S43" s="49">
        <f t="shared" si="11"/>
        <v>0</v>
      </c>
      <c r="U43" s="49">
        <f>民間設備製造1!G45</f>
        <v>7000</v>
      </c>
      <c r="V43" s="49">
        <f t="shared" si="12"/>
        <v>55818</v>
      </c>
    </row>
    <row r="44" spans="1:22">
      <c r="A44" s="302">
        <v>446</v>
      </c>
      <c r="B44" s="201" t="s">
        <v>234</v>
      </c>
      <c r="C44" s="830">
        <f>'２次調整'!Y46</f>
        <v>33696</v>
      </c>
      <c r="D44" s="830">
        <f>民間消費!G46</f>
        <v>21044</v>
      </c>
      <c r="E44" s="830">
        <f>政府消費!G46</f>
        <v>7909</v>
      </c>
      <c r="F44" s="830">
        <f t="shared" si="7"/>
        <v>5435</v>
      </c>
      <c r="G44" s="830">
        <f>民間住宅1!G46</f>
        <v>687</v>
      </c>
      <c r="H44" s="830">
        <f>民間設備投資計!G46</f>
        <v>4851</v>
      </c>
      <c r="I44" s="830">
        <f>民間在庫品増加!G46</f>
        <v>-103</v>
      </c>
      <c r="J44" s="831">
        <f>公的投資!G46</f>
        <v>5743</v>
      </c>
      <c r="K44" s="858">
        <f t="shared" si="8"/>
        <v>40131</v>
      </c>
      <c r="L44" s="858">
        <f t="shared" si="13"/>
        <v>-6435</v>
      </c>
      <c r="M44" s="837">
        <f>移出入推計WS!AS46+移出入推計WS!AU46+移出入推計WS!AV46</f>
        <v>29818</v>
      </c>
      <c r="N44" s="837">
        <f>移出入推計WS!AT46</f>
        <v>33736</v>
      </c>
      <c r="O44" s="835">
        <f t="shared" si="9"/>
        <v>-2517</v>
      </c>
      <c r="P44" s="293">
        <v>446</v>
      </c>
      <c r="Q44" s="293"/>
      <c r="R44" s="49">
        <f t="shared" si="10"/>
        <v>33696</v>
      </c>
      <c r="S44" s="49">
        <f t="shared" si="11"/>
        <v>0</v>
      </c>
      <c r="U44" s="49">
        <f>民間設備製造1!G46</f>
        <v>930</v>
      </c>
      <c r="V44" s="49">
        <f t="shared" si="12"/>
        <v>36313</v>
      </c>
    </row>
    <row r="45" spans="1:22">
      <c r="A45" s="300">
        <v>6</v>
      </c>
      <c r="B45" s="91" t="s">
        <v>205</v>
      </c>
      <c r="C45" s="827">
        <f>'２次調整'!Y47</f>
        <v>1036995</v>
      </c>
      <c r="D45" s="827">
        <f>民間消費!G47</f>
        <v>517889</v>
      </c>
      <c r="E45" s="827">
        <f>政府消費!G47</f>
        <v>121627</v>
      </c>
      <c r="F45" s="827">
        <f t="shared" si="7"/>
        <v>173855</v>
      </c>
      <c r="G45" s="827">
        <f>民間住宅1!G47</f>
        <v>26544</v>
      </c>
      <c r="H45" s="827">
        <f>民間設備投資計!G47</f>
        <v>149536</v>
      </c>
      <c r="I45" s="827">
        <f>民間在庫品増加!G47</f>
        <v>-2225</v>
      </c>
      <c r="J45" s="828">
        <f>公的投資!G47</f>
        <v>50158</v>
      </c>
      <c r="K45" s="856">
        <f t="shared" si="8"/>
        <v>863529</v>
      </c>
      <c r="L45" s="855">
        <f t="shared" si="13"/>
        <v>173466</v>
      </c>
      <c r="M45" s="827">
        <f>移出入推計WS!AS47+移出入推計WS!AU47+移出入推計WS!AV47</f>
        <v>845856</v>
      </c>
      <c r="N45" s="827">
        <f>移出入推計WS!AT47</f>
        <v>725914</v>
      </c>
      <c r="O45" s="828">
        <f t="shared" si="9"/>
        <v>53524</v>
      </c>
      <c r="P45" s="293">
        <v>6</v>
      </c>
      <c r="Q45" s="293"/>
      <c r="R45" s="49">
        <f t="shared" si="10"/>
        <v>1036995</v>
      </c>
      <c r="S45" s="49">
        <f t="shared" si="11"/>
        <v>0</v>
      </c>
      <c r="U45" s="49">
        <f>民間設備製造1!G47</f>
        <v>65173</v>
      </c>
      <c r="V45" s="49">
        <f t="shared" si="12"/>
        <v>781391</v>
      </c>
    </row>
    <row r="46" spans="1:22">
      <c r="A46" s="300">
        <v>208</v>
      </c>
      <c r="B46" s="90" t="s">
        <v>206</v>
      </c>
      <c r="C46" s="830">
        <f>'２次調整'!Y48</f>
        <v>135310</v>
      </c>
      <c r="D46" s="830">
        <f>民間消費!G48</f>
        <v>67006</v>
      </c>
      <c r="E46" s="830">
        <f>政府消費!G48</f>
        <v>12773</v>
      </c>
      <c r="F46" s="830">
        <f t="shared" si="7"/>
        <v>19493</v>
      </c>
      <c r="G46" s="830">
        <f>民間住宅1!G48</f>
        <v>3907</v>
      </c>
      <c r="H46" s="830">
        <f>民間設備投資計!G48</f>
        <v>15848</v>
      </c>
      <c r="I46" s="830">
        <f>民間在庫品増加!G48</f>
        <v>-262</v>
      </c>
      <c r="J46" s="831">
        <f>公的投資!G48</f>
        <v>2419</v>
      </c>
      <c r="K46" s="856">
        <f t="shared" si="8"/>
        <v>101691</v>
      </c>
      <c r="L46" s="856">
        <f t="shared" si="13"/>
        <v>33619</v>
      </c>
      <c r="M46" s="830">
        <f>移出入推計WS!AS48+移出入推計WS!AU48+移出入推計WS!AV48</f>
        <v>108543</v>
      </c>
      <c r="N46" s="830">
        <f>移出入推計WS!AT48</f>
        <v>85485</v>
      </c>
      <c r="O46" s="831">
        <f t="shared" si="9"/>
        <v>10561</v>
      </c>
      <c r="P46" s="293">
        <v>208</v>
      </c>
      <c r="Q46" s="293"/>
      <c r="R46" s="49">
        <f t="shared" si="10"/>
        <v>135310</v>
      </c>
      <c r="S46" s="49">
        <f t="shared" si="11"/>
        <v>0</v>
      </c>
      <c r="U46" s="49">
        <f>民間設備製造1!G48</f>
        <v>5913</v>
      </c>
      <c r="V46" s="49">
        <f t="shared" si="12"/>
        <v>92018</v>
      </c>
    </row>
    <row r="47" spans="1:22">
      <c r="A47" s="300">
        <v>212</v>
      </c>
      <c r="B47" s="90" t="s">
        <v>207</v>
      </c>
      <c r="C47" s="830">
        <f>'２次調整'!Y49</f>
        <v>226928</v>
      </c>
      <c r="D47" s="830">
        <f>民間消費!G49</f>
        <v>103900</v>
      </c>
      <c r="E47" s="830">
        <f>政府消費!G49</f>
        <v>21564</v>
      </c>
      <c r="F47" s="830">
        <f t="shared" si="7"/>
        <v>45944</v>
      </c>
      <c r="G47" s="830">
        <f>民間住宅1!G49</f>
        <v>5046</v>
      </c>
      <c r="H47" s="830">
        <f>民間設備投資計!G49</f>
        <v>41358</v>
      </c>
      <c r="I47" s="830">
        <f>民間在庫品増加!G49</f>
        <v>-460</v>
      </c>
      <c r="J47" s="831">
        <f>公的投資!G49</f>
        <v>7137</v>
      </c>
      <c r="K47" s="856">
        <f t="shared" si="8"/>
        <v>178545</v>
      </c>
      <c r="L47" s="856">
        <f t="shared" si="13"/>
        <v>48383</v>
      </c>
      <c r="M47" s="830">
        <f>移出入推計WS!AS49+移出入推計WS!AU49+移出入推計WS!AV49</f>
        <v>182121</v>
      </c>
      <c r="N47" s="830">
        <f>移出入推計WS!AT49</f>
        <v>150091</v>
      </c>
      <c r="O47" s="831">
        <f t="shared" si="9"/>
        <v>16353</v>
      </c>
      <c r="P47" s="293">
        <v>212</v>
      </c>
      <c r="Q47" s="293"/>
      <c r="R47" s="49">
        <f t="shared" si="10"/>
        <v>226928</v>
      </c>
      <c r="S47" s="49">
        <f t="shared" si="11"/>
        <v>0</v>
      </c>
      <c r="U47" s="49">
        <f>民間設備製造1!G49</f>
        <v>23915</v>
      </c>
      <c r="V47" s="49">
        <f t="shared" si="12"/>
        <v>161562</v>
      </c>
    </row>
    <row r="48" spans="1:22">
      <c r="A48" s="300">
        <v>227</v>
      </c>
      <c r="B48" s="90" t="s">
        <v>219</v>
      </c>
      <c r="C48" s="830">
        <f>'２次調整'!Y50</f>
        <v>124632</v>
      </c>
      <c r="D48" s="830">
        <f>民間消費!G50</f>
        <v>72707</v>
      </c>
      <c r="E48" s="830">
        <f>政府消費!G50</f>
        <v>21882</v>
      </c>
      <c r="F48" s="830">
        <f t="shared" si="7"/>
        <v>15136</v>
      </c>
      <c r="G48" s="830">
        <f>民間住宅1!G50</f>
        <v>1806</v>
      </c>
      <c r="H48" s="830">
        <f>民間設備投資計!G50</f>
        <v>13647</v>
      </c>
      <c r="I48" s="830">
        <f>民間在庫品増加!G50</f>
        <v>-317</v>
      </c>
      <c r="J48" s="831">
        <f>公的投資!G50</f>
        <v>13482</v>
      </c>
      <c r="K48" s="856">
        <f t="shared" si="8"/>
        <v>123207</v>
      </c>
      <c r="L48" s="856">
        <f t="shared" si="13"/>
        <v>1425</v>
      </c>
      <c r="M48" s="830">
        <f>移出入推計WS!AS50+移出入推計WS!AU50+移出入推計WS!AV50</f>
        <v>105944</v>
      </c>
      <c r="N48" s="830">
        <f>移出入推計WS!AT50</f>
        <v>103572</v>
      </c>
      <c r="O48" s="831">
        <f t="shared" ref="O48:O65" si="14">L48-(M48-N48)</f>
        <v>-947</v>
      </c>
      <c r="P48" s="293">
        <v>227</v>
      </c>
      <c r="Q48" s="293"/>
      <c r="R48" s="49">
        <f t="shared" ref="R48:R65" si="15">D48+E48+F48+J48+L48</f>
        <v>124632</v>
      </c>
      <c r="S48" s="49">
        <f t="shared" ref="S48:S65" si="16">R48-C48</f>
        <v>0</v>
      </c>
      <c r="U48" s="49">
        <f>民間設備製造1!G50</f>
        <v>1610</v>
      </c>
      <c r="V48" s="49">
        <f t="shared" ref="V48:V65" si="17">D48+E48+G48+J48+U48</f>
        <v>111487</v>
      </c>
    </row>
    <row r="49" spans="1:22">
      <c r="A49" s="300">
        <v>229</v>
      </c>
      <c r="B49" s="90" t="s">
        <v>235</v>
      </c>
      <c r="C49" s="830">
        <f>'２次調整'!Y51</f>
        <v>330253</v>
      </c>
      <c r="D49" s="830">
        <f>民間消費!G51</f>
        <v>142864</v>
      </c>
      <c r="E49" s="830">
        <f>政府消費!G51</f>
        <v>32592</v>
      </c>
      <c r="F49" s="830">
        <f t="shared" si="7"/>
        <v>56595</v>
      </c>
      <c r="G49" s="830">
        <f>民間住宅1!G51</f>
        <v>8600</v>
      </c>
      <c r="H49" s="830">
        <f>民間設備投資計!G51</f>
        <v>48622</v>
      </c>
      <c r="I49" s="830">
        <f>民間在庫品増加!G51</f>
        <v>-627</v>
      </c>
      <c r="J49" s="831">
        <f>公的投資!G51</f>
        <v>11294</v>
      </c>
      <c r="K49" s="856">
        <f t="shared" si="8"/>
        <v>243345</v>
      </c>
      <c r="L49" s="856">
        <f t="shared" si="13"/>
        <v>86908</v>
      </c>
      <c r="M49" s="830">
        <f>移出入推計WS!AS51+移出入推計WS!AU51+移出入推計WS!AV51</f>
        <v>265757</v>
      </c>
      <c r="N49" s="830">
        <f>移出入推計WS!AT51</f>
        <v>204565</v>
      </c>
      <c r="O49" s="831">
        <f t="shared" si="14"/>
        <v>25716</v>
      </c>
      <c r="P49" s="293">
        <v>229</v>
      </c>
      <c r="Q49" s="293"/>
      <c r="R49" s="49">
        <f t="shared" si="15"/>
        <v>330253</v>
      </c>
      <c r="S49" s="49">
        <f t="shared" si="16"/>
        <v>0</v>
      </c>
      <c r="U49" s="49">
        <f>民間設備製造1!G51</f>
        <v>24848</v>
      </c>
      <c r="V49" s="49">
        <f t="shared" si="17"/>
        <v>220198</v>
      </c>
    </row>
    <row r="50" spans="1:22">
      <c r="A50" s="300">
        <v>464</v>
      </c>
      <c r="B50" s="90" t="s">
        <v>208</v>
      </c>
      <c r="C50" s="830">
        <f>'２次調整'!Y52</f>
        <v>108804</v>
      </c>
      <c r="D50" s="830">
        <f>民間消費!G52</f>
        <v>64241</v>
      </c>
      <c r="E50" s="830">
        <f>政府消費!G52</f>
        <v>8821</v>
      </c>
      <c r="F50" s="830">
        <f t="shared" si="7"/>
        <v>20514</v>
      </c>
      <c r="G50" s="830">
        <f>民間住宅1!G52</f>
        <v>4319</v>
      </c>
      <c r="H50" s="830">
        <f>民間設備投資計!G52</f>
        <v>16441</v>
      </c>
      <c r="I50" s="830">
        <f>民間在庫品増加!G52</f>
        <v>-246</v>
      </c>
      <c r="J50" s="831">
        <f>公的投資!G52</f>
        <v>1874</v>
      </c>
      <c r="K50" s="856">
        <f t="shared" si="8"/>
        <v>95450</v>
      </c>
      <c r="L50" s="856">
        <f t="shared" si="13"/>
        <v>13354</v>
      </c>
      <c r="M50" s="830">
        <f>移出入推計WS!AS52+移出入推計WS!AU52+移出入推計WS!AV52</f>
        <v>86426</v>
      </c>
      <c r="N50" s="830">
        <f>移出入推計WS!AT52</f>
        <v>80239</v>
      </c>
      <c r="O50" s="831">
        <f t="shared" si="14"/>
        <v>7167</v>
      </c>
      <c r="P50" s="293">
        <v>464</v>
      </c>
      <c r="Q50" s="293"/>
      <c r="R50" s="49">
        <f t="shared" si="15"/>
        <v>108804</v>
      </c>
      <c r="S50" s="49">
        <f t="shared" si="16"/>
        <v>0</v>
      </c>
      <c r="U50" s="49">
        <f>民間設備製造1!G52</f>
        <v>7116</v>
      </c>
      <c r="V50" s="49">
        <f t="shared" si="17"/>
        <v>86371</v>
      </c>
    </row>
    <row r="51" spans="1:22">
      <c r="A51" s="300">
        <v>481</v>
      </c>
      <c r="B51" s="90" t="s">
        <v>209</v>
      </c>
      <c r="C51" s="830">
        <f>'２次調整'!Y53</f>
        <v>45634</v>
      </c>
      <c r="D51" s="830">
        <f>民間消費!G53</f>
        <v>32396</v>
      </c>
      <c r="E51" s="830">
        <f>政府消費!G53</f>
        <v>8069</v>
      </c>
      <c r="F51" s="830">
        <f t="shared" si="7"/>
        <v>7146</v>
      </c>
      <c r="G51" s="830">
        <f>民間住宅1!G53</f>
        <v>1060</v>
      </c>
      <c r="H51" s="830">
        <f>民間設備投資計!G53</f>
        <v>6216</v>
      </c>
      <c r="I51" s="830">
        <f>民間在庫品増加!G53</f>
        <v>-130</v>
      </c>
      <c r="J51" s="831">
        <f>公的投資!G53</f>
        <v>2834</v>
      </c>
      <c r="K51" s="856">
        <f t="shared" si="8"/>
        <v>50445</v>
      </c>
      <c r="L51" s="856">
        <f t="shared" si="13"/>
        <v>-4811</v>
      </c>
      <c r="M51" s="830">
        <f>移出入推計WS!AS53+移出入推計WS!AU53+移出入推計WS!AV53</f>
        <v>38826</v>
      </c>
      <c r="N51" s="830">
        <f>移出入推計WS!AT53</f>
        <v>42406</v>
      </c>
      <c r="O51" s="831">
        <f t="shared" si="14"/>
        <v>-1231</v>
      </c>
      <c r="P51" s="293">
        <v>481</v>
      </c>
      <c r="Q51" s="293"/>
      <c r="R51" s="49">
        <f t="shared" si="15"/>
        <v>45634</v>
      </c>
      <c r="S51" s="49">
        <f t="shared" si="16"/>
        <v>0</v>
      </c>
      <c r="U51" s="49">
        <f>民間設備製造1!G53</f>
        <v>1288</v>
      </c>
      <c r="V51" s="49">
        <f t="shared" si="17"/>
        <v>45647</v>
      </c>
    </row>
    <row r="52" spans="1:22">
      <c r="A52" s="300">
        <v>501</v>
      </c>
      <c r="B52" s="90" t="s">
        <v>236</v>
      </c>
      <c r="C52" s="837">
        <f>'２次調整'!Y54</f>
        <v>65434</v>
      </c>
      <c r="D52" s="837">
        <f>民間消費!G54</f>
        <v>34775</v>
      </c>
      <c r="E52" s="837">
        <f>政府消費!G54</f>
        <v>15926</v>
      </c>
      <c r="F52" s="837">
        <f t="shared" si="7"/>
        <v>9027</v>
      </c>
      <c r="G52" s="837">
        <f>民間住宅1!G54</f>
        <v>1806</v>
      </c>
      <c r="H52" s="837">
        <f>民間設備投資計!G54</f>
        <v>7404</v>
      </c>
      <c r="I52" s="837">
        <f>民間在庫品増加!G54</f>
        <v>-183</v>
      </c>
      <c r="J52" s="835">
        <f>公的投資!G54</f>
        <v>11118</v>
      </c>
      <c r="K52" s="856">
        <f t="shared" si="8"/>
        <v>70846</v>
      </c>
      <c r="L52" s="858">
        <f t="shared" si="13"/>
        <v>-5412</v>
      </c>
      <c r="M52" s="837">
        <f>移出入推計WS!AS54+移出入推計WS!AU54+移出入推計WS!AV54</f>
        <v>58239</v>
      </c>
      <c r="N52" s="837">
        <f>移出入推計WS!AT54</f>
        <v>59556</v>
      </c>
      <c r="O52" s="835">
        <f t="shared" si="14"/>
        <v>-4095</v>
      </c>
      <c r="P52" s="293">
        <v>501</v>
      </c>
      <c r="Q52" s="293"/>
      <c r="R52" s="49">
        <f t="shared" si="15"/>
        <v>65434</v>
      </c>
      <c r="S52" s="49">
        <f t="shared" si="16"/>
        <v>0</v>
      </c>
      <c r="U52" s="49">
        <f>民間設備製造1!G54</f>
        <v>483</v>
      </c>
      <c r="V52" s="49">
        <f t="shared" si="17"/>
        <v>64108</v>
      </c>
    </row>
    <row r="53" spans="1:22">
      <c r="A53" s="301">
        <v>7</v>
      </c>
      <c r="B53" s="347" t="s">
        <v>210</v>
      </c>
      <c r="C53" s="830">
        <f>'２次調整'!Y55</f>
        <v>626163</v>
      </c>
      <c r="D53" s="830">
        <f>民間消費!G55</f>
        <v>364217</v>
      </c>
      <c r="E53" s="830">
        <f>政府消費!G55</f>
        <v>110251</v>
      </c>
      <c r="F53" s="830">
        <f t="shared" si="7"/>
        <v>83228</v>
      </c>
      <c r="G53" s="830">
        <f>民間住宅1!G55</f>
        <v>10485</v>
      </c>
      <c r="H53" s="830">
        <f>民間設備投資計!G55</f>
        <v>74283</v>
      </c>
      <c r="I53" s="830">
        <f>民間在庫品増加!G55</f>
        <v>-1540</v>
      </c>
      <c r="J53" s="831">
        <f>公的投資!G55</f>
        <v>40602</v>
      </c>
      <c r="K53" s="855">
        <f t="shared" si="8"/>
        <v>598298</v>
      </c>
      <c r="L53" s="855">
        <f t="shared" si="13"/>
        <v>27865</v>
      </c>
      <c r="M53" s="827">
        <f>移出入推計WS!AS55+移出入推計WS!AU55+移出入推計WS!AV55</f>
        <v>532456</v>
      </c>
      <c r="N53" s="827">
        <f>移出入推計WS!AT55</f>
        <v>502951</v>
      </c>
      <c r="O53" s="828">
        <f t="shared" si="14"/>
        <v>-1640</v>
      </c>
      <c r="P53" s="293">
        <v>7</v>
      </c>
      <c r="Q53" s="293"/>
      <c r="R53" s="49">
        <f t="shared" si="15"/>
        <v>626163</v>
      </c>
      <c r="S53" s="49">
        <f t="shared" si="16"/>
        <v>0</v>
      </c>
      <c r="U53" s="49">
        <f>民間設備製造1!G55</f>
        <v>15833</v>
      </c>
      <c r="V53" s="49">
        <f t="shared" si="17"/>
        <v>541388</v>
      </c>
    </row>
    <row r="54" spans="1:22">
      <c r="A54" s="300">
        <v>209</v>
      </c>
      <c r="B54" s="90" t="s">
        <v>221</v>
      </c>
      <c r="C54" s="830">
        <f>'２次調整'!Y56</f>
        <v>309160</v>
      </c>
      <c r="D54" s="830">
        <f>民間消費!G56</f>
        <v>170853</v>
      </c>
      <c r="E54" s="830">
        <f>政府消費!G56</f>
        <v>46223</v>
      </c>
      <c r="F54" s="830">
        <f t="shared" si="7"/>
        <v>34254</v>
      </c>
      <c r="G54" s="830">
        <f>民間住宅1!G56</f>
        <v>5596</v>
      </c>
      <c r="H54" s="830">
        <f>民間設備投資計!G56</f>
        <v>29350</v>
      </c>
      <c r="I54" s="830">
        <f>民間在庫品増加!G56</f>
        <v>-692</v>
      </c>
      <c r="J54" s="831">
        <f>公的投資!G56</f>
        <v>17447</v>
      </c>
      <c r="K54" s="856">
        <f t="shared" si="8"/>
        <v>268777</v>
      </c>
      <c r="L54" s="856">
        <f t="shared" si="13"/>
        <v>40383</v>
      </c>
      <c r="M54" s="830">
        <f>移出入推計WS!AS56+移出入推計WS!AU56+移出入推計WS!AV56</f>
        <v>258051</v>
      </c>
      <c r="N54" s="830">
        <f>移出入推計WS!AT56</f>
        <v>225944</v>
      </c>
      <c r="O54" s="831">
        <f t="shared" si="14"/>
        <v>8276</v>
      </c>
      <c r="P54" s="293">
        <v>209</v>
      </c>
      <c r="Q54" s="293"/>
      <c r="R54" s="49">
        <f t="shared" si="15"/>
        <v>309160</v>
      </c>
      <c r="S54" s="49">
        <f t="shared" si="16"/>
        <v>0</v>
      </c>
      <c r="U54" s="49">
        <f>民間設備製造1!G56</f>
        <v>3092</v>
      </c>
      <c r="V54" s="49">
        <f t="shared" si="17"/>
        <v>243211</v>
      </c>
    </row>
    <row r="55" spans="1:22">
      <c r="A55" s="300">
        <v>222</v>
      </c>
      <c r="B55" s="90" t="s">
        <v>218</v>
      </c>
      <c r="C55" s="830">
        <f>'２次調整'!Y57</f>
        <v>82504</v>
      </c>
      <c r="D55" s="830">
        <f>民間消費!G57</f>
        <v>53903</v>
      </c>
      <c r="E55" s="830">
        <f>政府消費!G57</f>
        <v>17694</v>
      </c>
      <c r="F55" s="830">
        <f t="shared" si="7"/>
        <v>13194</v>
      </c>
      <c r="G55" s="830">
        <f>民間住宅1!G57</f>
        <v>1747</v>
      </c>
      <c r="H55" s="830">
        <f>民間設備投資計!G57</f>
        <v>11684</v>
      </c>
      <c r="I55" s="830">
        <f>民間在庫品増加!G57</f>
        <v>-237</v>
      </c>
      <c r="J55" s="831">
        <f>公的投資!G57</f>
        <v>7346</v>
      </c>
      <c r="K55" s="856">
        <f t="shared" si="8"/>
        <v>92137</v>
      </c>
      <c r="L55" s="856">
        <f t="shared" si="13"/>
        <v>-9633</v>
      </c>
      <c r="M55" s="830">
        <f>移出入推計WS!AS57+移出入推計WS!AU57+移出入推計WS!AV57</f>
        <v>72025</v>
      </c>
      <c r="N55" s="830">
        <f>移出入推計WS!AT57</f>
        <v>77454</v>
      </c>
      <c r="O55" s="831">
        <f t="shared" si="14"/>
        <v>-4204</v>
      </c>
      <c r="P55" s="293">
        <v>222</v>
      </c>
      <c r="Q55" s="293"/>
      <c r="R55" s="49">
        <f t="shared" si="15"/>
        <v>82504</v>
      </c>
      <c r="S55" s="49">
        <f t="shared" si="16"/>
        <v>0</v>
      </c>
      <c r="U55" s="49">
        <f>民間設備製造1!G57</f>
        <v>2683</v>
      </c>
      <c r="V55" s="49">
        <f t="shared" si="17"/>
        <v>83373</v>
      </c>
    </row>
    <row r="56" spans="1:22">
      <c r="A56" s="300">
        <v>225</v>
      </c>
      <c r="B56" s="90" t="s">
        <v>222</v>
      </c>
      <c r="C56" s="830">
        <f>'２次調整'!Y58</f>
        <v>136050</v>
      </c>
      <c r="D56" s="830">
        <f>民間消費!G58</f>
        <v>69326</v>
      </c>
      <c r="E56" s="830">
        <f>政府消費!G58</f>
        <v>23376</v>
      </c>
      <c r="F56" s="830">
        <f t="shared" si="7"/>
        <v>23161</v>
      </c>
      <c r="G56" s="830">
        <f>民間住宅1!G58</f>
        <v>2062</v>
      </c>
      <c r="H56" s="830">
        <f>民間設備投資計!G58</f>
        <v>21418</v>
      </c>
      <c r="I56" s="830">
        <f>民間在庫品増加!G58</f>
        <v>-319</v>
      </c>
      <c r="J56" s="831">
        <f>公的投資!G58</f>
        <v>8159</v>
      </c>
      <c r="K56" s="856">
        <f t="shared" si="8"/>
        <v>124022</v>
      </c>
      <c r="L56" s="856">
        <f t="shared" si="13"/>
        <v>12028</v>
      </c>
      <c r="M56" s="830">
        <f>移出入推計WS!AS58+移出入推計WS!AU58+移出入推計WS!AV58</f>
        <v>115348</v>
      </c>
      <c r="N56" s="830">
        <f>移出入推計WS!AT58</f>
        <v>104257</v>
      </c>
      <c r="O56" s="831">
        <f t="shared" si="14"/>
        <v>937</v>
      </c>
      <c r="P56" s="293">
        <v>225</v>
      </c>
      <c r="Q56" s="293"/>
      <c r="R56" s="49">
        <f t="shared" si="15"/>
        <v>136050</v>
      </c>
      <c r="S56" s="49">
        <f t="shared" si="16"/>
        <v>0</v>
      </c>
      <c r="U56" s="49">
        <f>民間設備製造1!G58</f>
        <v>9302</v>
      </c>
      <c r="V56" s="49">
        <f t="shared" si="17"/>
        <v>112225</v>
      </c>
    </row>
    <row r="57" spans="1:22">
      <c r="A57" s="300">
        <v>585</v>
      </c>
      <c r="B57" s="90" t="s">
        <v>220</v>
      </c>
      <c r="C57" s="830">
        <f>'２次調整'!Y59</f>
        <v>56965</v>
      </c>
      <c r="D57" s="830">
        <f>民間消費!G59</f>
        <v>38360</v>
      </c>
      <c r="E57" s="830">
        <f>政府消費!G59</f>
        <v>12465</v>
      </c>
      <c r="F57" s="830">
        <f t="shared" si="7"/>
        <v>6701</v>
      </c>
      <c r="G57" s="830">
        <f>民間住宅1!G59</f>
        <v>452</v>
      </c>
      <c r="H57" s="830">
        <f>民間設備投資計!G59</f>
        <v>6407</v>
      </c>
      <c r="I57" s="830">
        <f>民間在庫品増加!G59</f>
        <v>-158</v>
      </c>
      <c r="J57" s="831">
        <f>公的投資!G59</f>
        <v>3829</v>
      </c>
      <c r="K57" s="856">
        <f t="shared" si="8"/>
        <v>61355</v>
      </c>
      <c r="L57" s="856">
        <f t="shared" si="13"/>
        <v>-4390</v>
      </c>
      <c r="M57" s="830">
        <f>移出入推計WS!AS59+移出入推計WS!AU59+移出入推計WS!AV59</f>
        <v>49876</v>
      </c>
      <c r="N57" s="830">
        <f>移出入推計WS!AT59</f>
        <v>51577</v>
      </c>
      <c r="O57" s="831">
        <f t="shared" si="14"/>
        <v>-2689</v>
      </c>
      <c r="P57" s="293">
        <v>585</v>
      </c>
      <c r="Q57" s="293"/>
      <c r="R57" s="49">
        <f t="shared" si="15"/>
        <v>56965</v>
      </c>
      <c r="S57" s="49">
        <f t="shared" si="16"/>
        <v>0</v>
      </c>
      <c r="U57" s="49">
        <f>民間設備製造1!G59</f>
        <v>413</v>
      </c>
      <c r="V57" s="49">
        <f t="shared" si="17"/>
        <v>55519</v>
      </c>
    </row>
    <row r="58" spans="1:22">
      <c r="A58" s="302">
        <v>586</v>
      </c>
      <c r="B58" s="201" t="s">
        <v>237</v>
      </c>
      <c r="C58" s="830">
        <f>'２次調整'!Y60</f>
        <v>41484</v>
      </c>
      <c r="D58" s="830">
        <f>民間消費!G60</f>
        <v>31775</v>
      </c>
      <c r="E58" s="830">
        <f>政府消費!G60</f>
        <v>10493</v>
      </c>
      <c r="F58" s="830">
        <f t="shared" si="7"/>
        <v>5918</v>
      </c>
      <c r="G58" s="830">
        <f>民間住宅1!G60</f>
        <v>628</v>
      </c>
      <c r="H58" s="830">
        <f>民間設備投資計!G60</f>
        <v>5424</v>
      </c>
      <c r="I58" s="830">
        <f>民間在庫品増加!G60</f>
        <v>-134</v>
      </c>
      <c r="J58" s="831">
        <f>公的投資!G60</f>
        <v>3821</v>
      </c>
      <c r="K58" s="858">
        <f t="shared" si="8"/>
        <v>52007</v>
      </c>
      <c r="L58" s="858">
        <f t="shared" si="13"/>
        <v>-10523</v>
      </c>
      <c r="M58" s="837">
        <f>移出入推計WS!AS60+移出入推計WS!AU60+移出入推計WS!AV60</f>
        <v>37156</v>
      </c>
      <c r="N58" s="837">
        <f>移出入推計WS!AT60</f>
        <v>43719</v>
      </c>
      <c r="O58" s="835">
        <f t="shared" si="14"/>
        <v>-3960</v>
      </c>
      <c r="P58" s="293">
        <v>586</v>
      </c>
      <c r="Q58" s="293"/>
      <c r="R58" s="49">
        <f t="shared" si="15"/>
        <v>41484</v>
      </c>
      <c r="S58" s="49">
        <f t="shared" si="16"/>
        <v>0</v>
      </c>
      <c r="U58" s="49">
        <f>民間設備製造1!G60</f>
        <v>343</v>
      </c>
      <c r="V58" s="49">
        <f t="shared" si="17"/>
        <v>47060</v>
      </c>
    </row>
    <row r="59" spans="1:22">
      <c r="A59" s="300">
        <v>8</v>
      </c>
      <c r="B59" s="86" t="s">
        <v>211</v>
      </c>
      <c r="C59" s="827">
        <f>'２次調整'!Y61</f>
        <v>389641</v>
      </c>
      <c r="D59" s="827">
        <f>民間消費!G61</f>
        <v>224860</v>
      </c>
      <c r="E59" s="827">
        <f>政府消費!G61</f>
        <v>55940</v>
      </c>
      <c r="F59" s="827">
        <f t="shared" si="7"/>
        <v>58150</v>
      </c>
      <c r="G59" s="827">
        <f>民間住宅1!G61</f>
        <v>6027</v>
      </c>
      <c r="H59" s="827">
        <f>民間設備投資計!G61</f>
        <v>53042</v>
      </c>
      <c r="I59" s="827">
        <f>民間在庫品増加!G61</f>
        <v>-919</v>
      </c>
      <c r="J59" s="828">
        <f>公的投資!G61</f>
        <v>17771</v>
      </c>
      <c r="K59" s="856">
        <f t="shared" si="8"/>
        <v>356721</v>
      </c>
      <c r="L59" s="855">
        <f t="shared" si="13"/>
        <v>32920</v>
      </c>
      <c r="M59" s="827">
        <f>移出入推計WS!AS61+移出入推計WS!AU61+移出入推計WS!AV61</f>
        <v>323861</v>
      </c>
      <c r="N59" s="827">
        <f>移出入推計WS!AT61</f>
        <v>299872</v>
      </c>
      <c r="O59" s="828">
        <f t="shared" si="14"/>
        <v>8931</v>
      </c>
      <c r="P59" s="293">
        <v>8</v>
      </c>
      <c r="Q59" s="293"/>
      <c r="R59" s="49">
        <f t="shared" si="15"/>
        <v>389641</v>
      </c>
      <c r="S59" s="49">
        <f t="shared" si="16"/>
        <v>0</v>
      </c>
      <c r="U59" s="49">
        <f>民間設備製造1!G61</f>
        <v>18192</v>
      </c>
      <c r="V59" s="49">
        <f t="shared" si="17"/>
        <v>322790</v>
      </c>
    </row>
    <row r="60" spans="1:22">
      <c r="A60" s="300">
        <v>221</v>
      </c>
      <c r="B60" s="90" t="s">
        <v>1144</v>
      </c>
      <c r="C60" s="830">
        <f>'２次調整'!Y62</f>
        <v>157192</v>
      </c>
      <c r="D60" s="830">
        <f>民間消費!G62</f>
        <v>91257</v>
      </c>
      <c r="E60" s="830">
        <f>政府消費!G62</f>
        <v>22455</v>
      </c>
      <c r="F60" s="830">
        <f t="shared" si="7"/>
        <v>23703</v>
      </c>
      <c r="G60" s="830">
        <f>民間住宅1!G62</f>
        <v>2513</v>
      </c>
      <c r="H60" s="830">
        <f>民間設備投資計!G62</f>
        <v>21560</v>
      </c>
      <c r="I60" s="830">
        <f>民間在庫品増加!G62</f>
        <v>-370</v>
      </c>
      <c r="J60" s="831">
        <f>公的投資!G62</f>
        <v>6216</v>
      </c>
      <c r="K60" s="856">
        <f t="shared" si="8"/>
        <v>143631</v>
      </c>
      <c r="L60" s="856">
        <f t="shared" si="13"/>
        <v>13561</v>
      </c>
      <c r="M60" s="830">
        <f>移出入推計WS!AS62+移出入推計WS!AU62+移出入推計WS!AV62</f>
        <v>130588</v>
      </c>
      <c r="N60" s="830">
        <f>移出入推計WS!AT62</f>
        <v>120741</v>
      </c>
      <c r="O60" s="831">
        <f t="shared" si="14"/>
        <v>3714</v>
      </c>
      <c r="P60" s="293">
        <v>221</v>
      </c>
      <c r="Q60" s="293"/>
      <c r="R60" s="49">
        <f t="shared" si="15"/>
        <v>157192</v>
      </c>
      <c r="S60" s="49">
        <f t="shared" si="16"/>
        <v>0</v>
      </c>
      <c r="U60" s="49">
        <f>民間設備製造1!G62</f>
        <v>7528</v>
      </c>
      <c r="V60" s="49">
        <f t="shared" si="17"/>
        <v>129969</v>
      </c>
    </row>
    <row r="61" spans="1:22">
      <c r="A61" s="300">
        <v>223</v>
      </c>
      <c r="B61" s="90" t="s">
        <v>223</v>
      </c>
      <c r="C61" s="837">
        <f>'２次調整'!Y63</f>
        <v>232449</v>
      </c>
      <c r="D61" s="837">
        <f>民間消費!G63</f>
        <v>133603</v>
      </c>
      <c r="E61" s="837">
        <f>政府消費!G63</f>
        <v>33485</v>
      </c>
      <c r="F61" s="837">
        <f t="shared" si="7"/>
        <v>34447</v>
      </c>
      <c r="G61" s="837">
        <f>民間住宅1!G63</f>
        <v>3514</v>
      </c>
      <c r="H61" s="837">
        <f>民間設備投資計!G63</f>
        <v>31482</v>
      </c>
      <c r="I61" s="837">
        <f>民間在庫品増加!G63</f>
        <v>-549</v>
      </c>
      <c r="J61" s="835">
        <f>公的投資!G63</f>
        <v>11555</v>
      </c>
      <c r="K61" s="856">
        <f t="shared" si="8"/>
        <v>213090</v>
      </c>
      <c r="L61" s="858">
        <f t="shared" si="13"/>
        <v>19359</v>
      </c>
      <c r="M61" s="837">
        <f>移出入推計WS!AS63+移出入推計WS!AU63+移出入推計WS!AV63</f>
        <v>193273</v>
      </c>
      <c r="N61" s="837">
        <f>移出入推計WS!AT63</f>
        <v>179131</v>
      </c>
      <c r="O61" s="835">
        <f t="shared" si="14"/>
        <v>5217</v>
      </c>
      <c r="P61" s="293">
        <v>223</v>
      </c>
      <c r="Q61" s="293"/>
      <c r="R61" s="49">
        <f t="shared" si="15"/>
        <v>232449</v>
      </c>
      <c r="S61" s="49">
        <f t="shared" si="16"/>
        <v>0</v>
      </c>
      <c r="U61" s="49">
        <f>民間設備製造1!G63</f>
        <v>10664</v>
      </c>
      <c r="V61" s="49">
        <f t="shared" si="17"/>
        <v>192821</v>
      </c>
    </row>
    <row r="62" spans="1:22">
      <c r="A62" s="301">
        <v>9</v>
      </c>
      <c r="B62" s="346" t="s">
        <v>212</v>
      </c>
      <c r="C62" s="830">
        <f>'２次調整'!Y64</f>
        <v>498133</v>
      </c>
      <c r="D62" s="827">
        <f>民間消費!G64</f>
        <v>271003</v>
      </c>
      <c r="E62" s="827">
        <f>政府消費!G64</f>
        <v>70271</v>
      </c>
      <c r="F62" s="827">
        <f t="shared" si="7"/>
        <v>81951</v>
      </c>
      <c r="G62" s="827">
        <f>民間住宅1!G64</f>
        <v>11270</v>
      </c>
      <c r="H62" s="827">
        <f>民間設備投資計!G64</f>
        <v>71845</v>
      </c>
      <c r="I62" s="827">
        <f>民間在庫品増加!G64</f>
        <v>-1164</v>
      </c>
      <c r="J62" s="828">
        <f>公的投資!G64</f>
        <v>28588</v>
      </c>
      <c r="K62" s="855">
        <f t="shared" si="8"/>
        <v>451813</v>
      </c>
      <c r="L62" s="856">
        <f t="shared" si="13"/>
        <v>46320</v>
      </c>
      <c r="M62" s="830">
        <f>移出入推計WS!AS64+移出入推計WS!AU64+移出入推計WS!AV64</f>
        <v>413304</v>
      </c>
      <c r="N62" s="830">
        <f>移出入推計WS!AT64</f>
        <v>379810</v>
      </c>
      <c r="O62" s="831">
        <f t="shared" si="14"/>
        <v>12826</v>
      </c>
      <c r="P62" s="293">
        <v>9</v>
      </c>
      <c r="Q62" s="293"/>
      <c r="R62" s="49">
        <f t="shared" si="15"/>
        <v>498133</v>
      </c>
      <c r="S62" s="49">
        <f t="shared" si="16"/>
        <v>0</v>
      </c>
      <c r="U62" s="49">
        <f>民間設備製造1!G64</f>
        <v>27705</v>
      </c>
      <c r="V62" s="49">
        <f t="shared" si="17"/>
        <v>408837</v>
      </c>
    </row>
    <row r="63" spans="1:22">
      <c r="A63" s="300">
        <v>205</v>
      </c>
      <c r="B63" s="92" t="s">
        <v>241</v>
      </c>
      <c r="C63" s="830">
        <f>'２次調整'!Y65</f>
        <v>190810</v>
      </c>
      <c r="D63" s="830">
        <f>民間消費!G65</f>
        <v>94567</v>
      </c>
      <c r="E63" s="830">
        <f>政府消費!G65</f>
        <v>21095</v>
      </c>
      <c r="F63" s="830">
        <f t="shared" si="7"/>
        <v>41631</v>
      </c>
      <c r="G63" s="830">
        <f>民間住宅1!G65</f>
        <v>2572</v>
      </c>
      <c r="H63" s="830">
        <f>民間設備投資計!G65</f>
        <v>39505</v>
      </c>
      <c r="I63" s="830">
        <f>民間在庫品増加!G65</f>
        <v>-446</v>
      </c>
      <c r="J63" s="831">
        <f>公的投資!G65</f>
        <v>15868</v>
      </c>
      <c r="K63" s="856">
        <f t="shared" si="8"/>
        <v>173161</v>
      </c>
      <c r="L63" s="856">
        <f t="shared" si="13"/>
        <v>17649</v>
      </c>
      <c r="M63" s="830">
        <f>移出入推計WS!AS65+移出入推計WS!AU65+移出入推計WS!AV65</f>
        <v>154883</v>
      </c>
      <c r="N63" s="830">
        <f>移出入推計WS!AT65</f>
        <v>145565</v>
      </c>
      <c r="O63" s="831">
        <f t="shared" si="14"/>
        <v>8331</v>
      </c>
      <c r="P63" s="293">
        <v>205</v>
      </c>
      <c r="Q63" s="293"/>
      <c r="R63" s="49">
        <f t="shared" si="15"/>
        <v>190810</v>
      </c>
      <c r="S63" s="49">
        <f t="shared" si="16"/>
        <v>0</v>
      </c>
      <c r="U63" s="49">
        <f>民間設備製造1!G65</f>
        <v>22588</v>
      </c>
      <c r="V63" s="49">
        <f t="shared" si="17"/>
        <v>156690</v>
      </c>
    </row>
    <row r="64" spans="1:22">
      <c r="A64" s="300">
        <v>224</v>
      </c>
      <c r="B64" s="90" t="s">
        <v>224</v>
      </c>
      <c r="C64" s="830">
        <f>'２次調整'!Y66</f>
        <v>164774</v>
      </c>
      <c r="D64" s="830">
        <f>民間消費!G66</f>
        <v>87052</v>
      </c>
      <c r="E64" s="830">
        <f>政府消費!G66</f>
        <v>25539</v>
      </c>
      <c r="F64" s="830">
        <f t="shared" si="7"/>
        <v>22032</v>
      </c>
      <c r="G64" s="830">
        <f>民間住宅1!G66</f>
        <v>5301</v>
      </c>
      <c r="H64" s="830">
        <f>民間設備投資計!G66</f>
        <v>17094</v>
      </c>
      <c r="I64" s="830">
        <f>民間在庫品増加!G66</f>
        <v>-363</v>
      </c>
      <c r="J64" s="831">
        <f>公的投資!G66</f>
        <v>6257</v>
      </c>
      <c r="K64" s="856">
        <f t="shared" si="8"/>
        <v>140880</v>
      </c>
      <c r="L64" s="856">
        <f t="shared" si="13"/>
        <v>23894</v>
      </c>
      <c r="M64" s="830">
        <f>移出入推計WS!AS66+移出入推計WS!AU66+移出入推計WS!AV66</f>
        <v>138067</v>
      </c>
      <c r="N64" s="830">
        <f>移出入推計WS!AT66</f>
        <v>118429</v>
      </c>
      <c r="O64" s="831">
        <f t="shared" si="14"/>
        <v>4256</v>
      </c>
      <c r="P64" s="293">
        <v>224</v>
      </c>
      <c r="Q64" s="293"/>
      <c r="R64" s="49">
        <f t="shared" si="15"/>
        <v>164774</v>
      </c>
      <c r="S64" s="49">
        <f t="shared" si="16"/>
        <v>0</v>
      </c>
      <c r="U64" s="49">
        <f>民間設備製造1!G66</f>
        <v>3331</v>
      </c>
      <c r="V64" s="49">
        <f t="shared" si="17"/>
        <v>127480</v>
      </c>
    </row>
    <row r="65" spans="1:22">
      <c r="A65" s="302">
        <v>226</v>
      </c>
      <c r="B65" s="201" t="s">
        <v>225</v>
      </c>
      <c r="C65" s="837">
        <f>'２次調整'!Y67</f>
        <v>142549</v>
      </c>
      <c r="D65" s="837">
        <f>民間消費!G67</f>
        <v>89384</v>
      </c>
      <c r="E65" s="837">
        <f>政府消費!G67</f>
        <v>23637</v>
      </c>
      <c r="F65" s="837">
        <f t="shared" si="7"/>
        <v>18288</v>
      </c>
      <c r="G65" s="837">
        <f>民間住宅1!G67</f>
        <v>3397</v>
      </c>
      <c r="H65" s="837">
        <f>民間設備投資計!G67</f>
        <v>15246</v>
      </c>
      <c r="I65" s="837">
        <f>民間在庫品増加!G67</f>
        <v>-355</v>
      </c>
      <c r="J65" s="835">
        <f>公的投資!G67</f>
        <v>6463</v>
      </c>
      <c r="K65" s="858">
        <f t="shared" si="8"/>
        <v>137772</v>
      </c>
      <c r="L65" s="858">
        <f t="shared" si="13"/>
        <v>4777</v>
      </c>
      <c r="M65" s="837">
        <f>移出入推計WS!AS67+移出入推計WS!AU67+移出入推計WS!AV67</f>
        <v>120354</v>
      </c>
      <c r="N65" s="837">
        <f>移出入推計WS!AT67</f>
        <v>115816</v>
      </c>
      <c r="O65" s="835">
        <f t="shared" si="14"/>
        <v>239</v>
      </c>
      <c r="P65" s="293">
        <v>226</v>
      </c>
      <c r="Q65" s="293"/>
      <c r="R65" s="49">
        <f t="shared" si="15"/>
        <v>142549</v>
      </c>
      <c r="S65" s="49">
        <f t="shared" si="16"/>
        <v>0</v>
      </c>
      <c r="U65" s="49">
        <f>民間設備製造1!G67</f>
        <v>1786</v>
      </c>
      <c r="V65" s="49">
        <f t="shared" si="17"/>
        <v>124667</v>
      </c>
    </row>
    <row r="66" spans="1:22">
      <c r="A66" s="75"/>
      <c r="B66" s="75"/>
    </row>
    <row r="67" spans="1:22">
      <c r="A67" s="75"/>
      <c r="B67" s="75" t="s">
        <v>1309</v>
      </c>
      <c r="C67" s="239">
        <f>+SUM(C17:C65)/2+C16</f>
        <v>21747193</v>
      </c>
      <c r="D67" s="239">
        <f t="shared" ref="D67:O67" si="18">+SUM(D17:D65)/2+D16</f>
        <v>12756939.555404345</v>
      </c>
      <c r="E67" s="239">
        <f t="shared" si="18"/>
        <v>2205142.1543817148</v>
      </c>
      <c r="F67" s="239">
        <f t="shared" si="18"/>
        <v>3971576.7283075927</v>
      </c>
      <c r="G67" s="239">
        <f t="shared" si="18"/>
        <v>637901</v>
      </c>
      <c r="H67" s="239">
        <f t="shared" si="18"/>
        <v>3384514.6039532484</v>
      </c>
      <c r="I67" s="239">
        <f t="shared" si="18"/>
        <v>-50838.875645655848</v>
      </c>
      <c r="J67" s="239">
        <f t="shared" si="18"/>
        <v>801192.93264875666</v>
      </c>
      <c r="K67" s="239">
        <f t="shared" si="18"/>
        <v>19734851.37074241</v>
      </c>
      <c r="L67" s="239">
        <f t="shared" si="18"/>
        <v>2012341.6292575914</v>
      </c>
      <c r="M67" s="239">
        <f t="shared" si="18"/>
        <v>17534957.469319031</v>
      </c>
      <c r="N67" s="239">
        <f t="shared" si="18"/>
        <v>16589823</v>
      </c>
      <c r="O67" s="239">
        <f t="shared" si="18"/>
        <v>1067207.1599385599</v>
      </c>
    </row>
    <row r="68" spans="1:22">
      <c r="A68" s="75"/>
      <c r="B68" s="75" t="s">
        <v>1307</v>
      </c>
      <c r="C68" s="239">
        <f>名目県内総支出!L44</f>
        <v>21747193</v>
      </c>
      <c r="D68" s="239">
        <f>名目県内総支出!L6</f>
        <v>12756939.555404345</v>
      </c>
      <c r="E68" s="239">
        <f>名目県内総支出!L61</f>
        <v>2205142.1543817148</v>
      </c>
      <c r="F68" s="239">
        <f>名目県内総支出!L28+名目県内総支出!L36</f>
        <v>3950777.2338317083</v>
      </c>
      <c r="G68" s="239">
        <f>名目県内総支出!L29</f>
        <v>637901</v>
      </c>
      <c r="H68" s="239">
        <f>名目県内総支出!L30</f>
        <v>3363715.109477364</v>
      </c>
      <c r="I68" s="239">
        <f>名目県内総支出!L36</f>
        <v>-50838.875645655848</v>
      </c>
      <c r="J68" s="239">
        <f>名目県内総支出!L31+名目県内総支出!L37</f>
        <v>801192.93264875666</v>
      </c>
      <c r="K68" s="239">
        <f>名目県内総支出!L62</f>
        <v>20904860.148332629</v>
      </c>
      <c r="L68" s="239">
        <f>名目県内総支出!L63</f>
        <v>842332.85166737158</v>
      </c>
      <c r="M68" s="239">
        <f>名目県内総支出!L39+名目県内総支出!L41+名目県内総支出!L64</f>
        <v>17534957.469319031</v>
      </c>
      <c r="N68" s="239">
        <f>名目県内総支出!L40</f>
        <v>16589823</v>
      </c>
      <c r="O68" s="239">
        <f>名目県内総支出!L43</f>
        <v>246617</v>
      </c>
    </row>
    <row r="69" spans="1:22">
      <c r="A69" s="75"/>
      <c r="B69" s="75"/>
      <c r="C69" s="838">
        <f>+C67-C68</f>
        <v>0</v>
      </c>
      <c r="D69" s="838">
        <f t="shared" ref="D69:O69" si="19">+D67-D68</f>
        <v>0</v>
      </c>
      <c r="E69" s="838">
        <f t="shared" si="19"/>
        <v>0</v>
      </c>
      <c r="F69" s="838">
        <f t="shared" si="19"/>
        <v>20799.494475884363</v>
      </c>
      <c r="G69" s="838">
        <f t="shared" si="19"/>
        <v>0</v>
      </c>
      <c r="H69" s="838">
        <f t="shared" si="19"/>
        <v>20799.494475884363</v>
      </c>
      <c r="I69" s="838">
        <f t="shared" si="19"/>
        <v>0</v>
      </c>
      <c r="J69" s="838">
        <f t="shared" si="19"/>
        <v>0</v>
      </c>
      <c r="K69" s="838">
        <f t="shared" si="19"/>
        <v>-1170008.7775902189</v>
      </c>
      <c r="L69" s="838">
        <f t="shared" si="19"/>
        <v>1170008.7775902199</v>
      </c>
      <c r="M69" s="838">
        <f t="shared" si="19"/>
        <v>0</v>
      </c>
      <c r="N69" s="838">
        <f t="shared" si="19"/>
        <v>0</v>
      </c>
      <c r="O69" s="838">
        <f t="shared" si="19"/>
        <v>820590.15993855987</v>
      </c>
    </row>
    <row r="70" spans="1:22">
      <c r="A70" s="75"/>
      <c r="B70" s="75"/>
    </row>
    <row r="71" spans="1:22">
      <c r="A71" s="75"/>
      <c r="B71" s="75"/>
    </row>
  </sheetData>
  <mergeCells count="1">
    <mergeCell ref="L2:M2"/>
  </mergeCells>
  <phoneticPr fontId="13"/>
  <pageMargins left="0.75" right="0.75" top="1" bottom="1" header="0.51200000000000001" footer="0.51200000000000001"/>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theme="9" tint="0.59999389629810485"/>
  </sheetPr>
  <dimension ref="A1:W70"/>
  <sheetViews>
    <sheetView workbookViewId="0">
      <pane xSplit="2" ySplit="3" topLeftCell="C4" activePane="bottomRight" state="frozen"/>
      <selection pane="topRight" activeCell="C1" sqref="C1"/>
      <selection pane="bottomLeft" activeCell="A4" sqref="A4"/>
      <selection pane="bottomRight" activeCell="I9" sqref="I9"/>
    </sheetView>
  </sheetViews>
  <sheetFormatPr defaultColWidth="8.7109375" defaultRowHeight="13"/>
  <cols>
    <col min="1" max="1" width="3.92578125" style="49" customWidth="1"/>
    <col min="2" max="15" width="8.7109375" style="49"/>
    <col min="16" max="17" width="4.2109375" style="49" customWidth="1"/>
    <col min="18" max="18" width="10.5" style="49" customWidth="1"/>
    <col min="19" max="20" width="4.7109375" style="49" customWidth="1"/>
    <col min="21" max="21" width="9.5703125" style="49" customWidth="1"/>
    <col min="22" max="22" width="8.92578125" style="49" customWidth="1"/>
    <col min="23" max="16384" width="8.7109375" style="49"/>
  </cols>
  <sheetData>
    <row r="1" spans="1:23">
      <c r="A1" s="86"/>
      <c r="B1" s="65" t="s">
        <v>97</v>
      </c>
      <c r="C1" s="239"/>
      <c r="D1" s="239"/>
      <c r="E1" s="239"/>
      <c r="F1" s="1878" t="str">
        <f>'24R5'!F1</f>
        <v>市町民経済計算試算(2026.3)</v>
      </c>
      <c r="G1" s="682"/>
      <c r="H1" s="239"/>
      <c r="I1" s="239" t="s">
        <v>834</v>
      </c>
      <c r="J1" s="239"/>
      <c r="K1" s="239"/>
      <c r="L1" s="239"/>
      <c r="M1" s="239"/>
      <c r="N1" s="239" t="s">
        <v>818</v>
      </c>
      <c r="O1" s="830"/>
      <c r="R1" s="851" t="s">
        <v>1344</v>
      </c>
      <c r="S1" s="843"/>
    </row>
    <row r="2" spans="1:23" ht="25.5" customHeight="1">
      <c r="A2" s="294"/>
      <c r="B2" s="296" t="s">
        <v>930</v>
      </c>
      <c r="C2" s="275" t="s">
        <v>817</v>
      </c>
      <c r="D2" s="291" t="s">
        <v>68</v>
      </c>
      <c r="E2" s="275" t="s">
        <v>1289</v>
      </c>
      <c r="F2" s="297" t="s">
        <v>69</v>
      </c>
      <c r="G2" s="291"/>
      <c r="H2" s="291"/>
      <c r="I2" s="817"/>
      <c r="J2" s="291" t="s">
        <v>70</v>
      </c>
      <c r="K2" s="275" t="s">
        <v>671</v>
      </c>
      <c r="L2" s="2310" t="s">
        <v>71</v>
      </c>
      <c r="M2" s="2311"/>
      <c r="N2" s="291"/>
      <c r="O2" s="817"/>
      <c r="P2" s="92"/>
      <c r="Q2" s="92"/>
      <c r="R2" s="852" t="s">
        <v>1345</v>
      </c>
      <c r="S2" s="908">
        <f>+SUM(C69:O69)</f>
        <v>-88557.650561515242</v>
      </c>
      <c r="U2" s="852" t="s">
        <v>1343</v>
      </c>
      <c r="V2" s="845"/>
    </row>
    <row r="3" spans="1:23" ht="28.5">
      <c r="A3" s="295"/>
      <c r="B3" s="131" t="s">
        <v>931</v>
      </c>
      <c r="C3" s="853" t="s">
        <v>82</v>
      </c>
      <c r="D3" s="352"/>
      <c r="E3" s="353"/>
      <c r="F3" s="351" t="s">
        <v>83</v>
      </c>
      <c r="G3" s="297" t="s">
        <v>72</v>
      </c>
      <c r="H3" s="275" t="s">
        <v>73</v>
      </c>
      <c r="I3" s="817" t="s">
        <v>74</v>
      </c>
      <c r="J3" s="352"/>
      <c r="K3" s="853" t="s">
        <v>75</v>
      </c>
      <c r="L3" s="351" t="s">
        <v>76</v>
      </c>
      <c r="M3" s="297" t="s">
        <v>77</v>
      </c>
      <c r="N3" s="275" t="s">
        <v>78</v>
      </c>
      <c r="O3" s="817" t="s">
        <v>81</v>
      </c>
      <c r="P3" s="92"/>
      <c r="Q3" s="92"/>
      <c r="R3" s="854" t="s">
        <v>1346</v>
      </c>
      <c r="S3" s="847">
        <f>SUM(S4:S65)</f>
        <v>0</v>
      </c>
      <c r="U3" s="848" t="s">
        <v>956</v>
      </c>
      <c r="V3" s="849" t="s">
        <v>1342</v>
      </c>
    </row>
    <row r="4" spans="1:23">
      <c r="A4" s="303"/>
      <c r="B4" s="87" t="s">
        <v>166</v>
      </c>
      <c r="C4" s="827">
        <v>19997123</v>
      </c>
      <c r="D4" s="827">
        <v>12761443</v>
      </c>
      <c r="E4" s="827">
        <v>2291991</v>
      </c>
      <c r="F4" s="827">
        <v>4084942</v>
      </c>
      <c r="G4" s="827">
        <v>666390</v>
      </c>
      <c r="H4" s="827">
        <v>3347142</v>
      </c>
      <c r="I4" s="827">
        <v>71410</v>
      </c>
      <c r="J4" s="827">
        <v>642185</v>
      </c>
      <c r="K4" s="827">
        <v>19780561</v>
      </c>
      <c r="L4" s="855">
        <v>216562</v>
      </c>
      <c r="M4" s="827">
        <v>16993567</v>
      </c>
      <c r="N4" s="827">
        <v>16974877</v>
      </c>
      <c r="O4" s="828">
        <v>197872</v>
      </c>
      <c r="P4" s="77"/>
      <c r="Q4" s="77"/>
      <c r="R4" s="49">
        <f t="shared" ref="R4:R14" si="0">D4+E4+F4+J4+L4</f>
        <v>19997123</v>
      </c>
      <c r="S4" s="49">
        <f t="shared" ref="S4:S14" si="1">R4-C4</f>
        <v>0</v>
      </c>
      <c r="U4" s="49">
        <f>民間設備製造1!H6</f>
        <v>1423245.7470161011</v>
      </c>
      <c r="V4" s="49">
        <f t="shared" ref="V4:V14" si="2">D4+E4+G4+J4+U4</f>
        <v>17785254.747016102</v>
      </c>
      <c r="W4" s="49" t="s">
        <v>11</v>
      </c>
    </row>
    <row r="5" spans="1:23">
      <c r="A5" s="298">
        <v>100</v>
      </c>
      <c r="B5" s="75" t="s">
        <v>172</v>
      </c>
      <c r="C5" s="830">
        <v>6432390</v>
      </c>
      <c r="D5" s="830">
        <v>3906881</v>
      </c>
      <c r="E5" s="830">
        <v>667146</v>
      </c>
      <c r="F5" s="830">
        <v>985996</v>
      </c>
      <c r="G5" s="830">
        <v>189685</v>
      </c>
      <c r="H5" s="830">
        <v>775509</v>
      </c>
      <c r="I5" s="830">
        <v>20802</v>
      </c>
      <c r="J5" s="830">
        <v>201842</v>
      </c>
      <c r="K5" s="830">
        <v>5761865</v>
      </c>
      <c r="L5" s="856">
        <v>670525</v>
      </c>
      <c r="M5" s="830">
        <v>5426235</v>
      </c>
      <c r="N5" s="830">
        <v>4944602</v>
      </c>
      <c r="O5" s="831">
        <v>188892</v>
      </c>
      <c r="P5" s="77">
        <v>100</v>
      </c>
      <c r="Q5" s="77"/>
      <c r="R5" s="49">
        <f t="shared" si="0"/>
        <v>6432390</v>
      </c>
      <c r="S5" s="49">
        <f t="shared" si="1"/>
        <v>0</v>
      </c>
      <c r="U5" s="49">
        <f>民間設備製造1!H7</f>
        <v>209380.74701610114</v>
      </c>
      <c r="V5" s="49">
        <f t="shared" si="2"/>
        <v>5174934.7470161011</v>
      </c>
    </row>
    <row r="6" spans="1:23">
      <c r="A6" s="298">
        <v>1</v>
      </c>
      <c r="B6" s="75" t="s">
        <v>323</v>
      </c>
      <c r="C6" s="830">
        <v>3245720</v>
      </c>
      <c r="D6" s="830">
        <v>2536142</v>
      </c>
      <c r="E6" s="830">
        <v>400120</v>
      </c>
      <c r="F6" s="830">
        <v>687549</v>
      </c>
      <c r="G6" s="830">
        <v>146367</v>
      </c>
      <c r="H6" s="830">
        <v>527740</v>
      </c>
      <c r="I6" s="830">
        <v>13442</v>
      </c>
      <c r="J6" s="830">
        <v>99705</v>
      </c>
      <c r="K6" s="830">
        <v>3723516</v>
      </c>
      <c r="L6" s="856">
        <v>-477796</v>
      </c>
      <c r="M6" s="830">
        <v>2774255</v>
      </c>
      <c r="N6" s="830">
        <v>3195370</v>
      </c>
      <c r="O6" s="831">
        <v>-56681</v>
      </c>
      <c r="P6" s="77">
        <v>1</v>
      </c>
      <c r="Q6" s="77"/>
      <c r="R6" s="49">
        <f t="shared" si="0"/>
        <v>3245720</v>
      </c>
      <c r="S6" s="49">
        <f t="shared" si="1"/>
        <v>0</v>
      </c>
      <c r="U6" s="49">
        <f>民間設備製造1!H8</f>
        <v>162652</v>
      </c>
      <c r="V6" s="49">
        <f t="shared" si="2"/>
        <v>3344986</v>
      </c>
    </row>
    <row r="7" spans="1:23">
      <c r="A7" s="298">
        <v>2</v>
      </c>
      <c r="B7" s="75" t="s">
        <v>324</v>
      </c>
      <c r="C7" s="830">
        <v>1916235</v>
      </c>
      <c r="D7" s="830">
        <v>1569797</v>
      </c>
      <c r="E7" s="830">
        <v>267129</v>
      </c>
      <c r="F7" s="830">
        <v>386695</v>
      </c>
      <c r="G7" s="830">
        <v>82761</v>
      </c>
      <c r="H7" s="830">
        <v>295759</v>
      </c>
      <c r="I7" s="830">
        <v>8175</v>
      </c>
      <c r="J7" s="830">
        <v>40667</v>
      </c>
      <c r="K7" s="830">
        <v>2264288</v>
      </c>
      <c r="L7" s="856">
        <v>-348053</v>
      </c>
      <c r="M7" s="830">
        <v>1655526</v>
      </c>
      <c r="N7" s="830">
        <v>1943120</v>
      </c>
      <c r="O7" s="831">
        <v>-60459</v>
      </c>
      <c r="P7" s="77">
        <v>2</v>
      </c>
      <c r="Q7" s="77"/>
      <c r="R7" s="49">
        <f t="shared" si="0"/>
        <v>1916235</v>
      </c>
      <c r="S7" s="49">
        <f t="shared" si="1"/>
        <v>0</v>
      </c>
      <c r="U7" s="49">
        <f>民間設備製造1!H9</f>
        <v>73026</v>
      </c>
      <c r="V7" s="49">
        <f t="shared" si="2"/>
        <v>2033380</v>
      </c>
    </row>
    <row r="8" spans="1:23">
      <c r="A8" s="298">
        <v>3</v>
      </c>
      <c r="B8" s="75" t="s">
        <v>192</v>
      </c>
      <c r="C8" s="830">
        <v>2589684</v>
      </c>
      <c r="D8" s="830">
        <v>1535436</v>
      </c>
      <c r="E8" s="830">
        <v>251571</v>
      </c>
      <c r="F8" s="830">
        <v>790327</v>
      </c>
      <c r="G8" s="830">
        <v>94105</v>
      </c>
      <c r="H8" s="830">
        <v>686712</v>
      </c>
      <c r="I8" s="830">
        <v>9510</v>
      </c>
      <c r="J8" s="830">
        <v>56971</v>
      </c>
      <c r="K8" s="830">
        <v>2634305</v>
      </c>
      <c r="L8" s="856">
        <v>-44621</v>
      </c>
      <c r="M8" s="830">
        <v>2174892</v>
      </c>
      <c r="N8" s="830">
        <v>2260653</v>
      </c>
      <c r="O8" s="831">
        <v>41140</v>
      </c>
      <c r="P8" s="77">
        <v>3</v>
      </c>
      <c r="Q8" s="77"/>
      <c r="R8" s="49">
        <f t="shared" si="0"/>
        <v>2589684</v>
      </c>
      <c r="S8" s="49">
        <f t="shared" si="1"/>
        <v>0</v>
      </c>
      <c r="U8" s="49">
        <f>民間設備製造1!H10</f>
        <v>437398</v>
      </c>
      <c r="V8" s="49">
        <f t="shared" si="2"/>
        <v>2375481</v>
      </c>
    </row>
    <row r="9" spans="1:23">
      <c r="A9" s="298">
        <v>4</v>
      </c>
      <c r="B9" s="75" t="s">
        <v>325</v>
      </c>
      <c r="C9" s="830">
        <v>1113960</v>
      </c>
      <c r="D9" s="830">
        <v>548145</v>
      </c>
      <c r="E9" s="830">
        <v>114279</v>
      </c>
      <c r="F9" s="830">
        <v>272453</v>
      </c>
      <c r="G9" s="830">
        <v>24849</v>
      </c>
      <c r="H9" s="830">
        <v>244123</v>
      </c>
      <c r="I9" s="830">
        <v>3481</v>
      </c>
      <c r="J9" s="830">
        <v>29512</v>
      </c>
      <c r="K9" s="830">
        <v>964389</v>
      </c>
      <c r="L9" s="856">
        <v>149571</v>
      </c>
      <c r="M9" s="830">
        <v>938998</v>
      </c>
      <c r="N9" s="830">
        <v>827600</v>
      </c>
      <c r="O9" s="831">
        <v>38173</v>
      </c>
      <c r="P9" s="77">
        <v>4</v>
      </c>
      <c r="Q9" s="77"/>
      <c r="R9" s="49">
        <f t="shared" si="0"/>
        <v>1113960</v>
      </c>
      <c r="S9" s="49">
        <f t="shared" si="1"/>
        <v>0</v>
      </c>
      <c r="U9" s="49">
        <f>民間設備製造1!H11</f>
        <v>152643</v>
      </c>
      <c r="V9" s="49">
        <f t="shared" si="2"/>
        <v>869428</v>
      </c>
    </row>
    <row r="10" spans="1:23">
      <c r="A10" s="298">
        <v>5</v>
      </c>
      <c r="B10" s="75" t="s">
        <v>326</v>
      </c>
      <c r="C10" s="830">
        <v>2382248</v>
      </c>
      <c r="D10" s="830">
        <v>1235514</v>
      </c>
      <c r="E10" s="830">
        <v>214315</v>
      </c>
      <c r="F10" s="830">
        <v>525207</v>
      </c>
      <c r="G10" s="830">
        <v>75756</v>
      </c>
      <c r="H10" s="830">
        <v>441962</v>
      </c>
      <c r="I10" s="830">
        <v>7489</v>
      </c>
      <c r="J10" s="830">
        <v>99693</v>
      </c>
      <c r="K10" s="830">
        <v>2074729</v>
      </c>
      <c r="L10" s="856">
        <v>307519</v>
      </c>
      <c r="M10" s="830">
        <v>1990919</v>
      </c>
      <c r="N10" s="830">
        <v>1780449</v>
      </c>
      <c r="O10" s="831">
        <v>97049</v>
      </c>
      <c r="P10" s="77">
        <v>5</v>
      </c>
      <c r="Q10" s="77"/>
      <c r="R10" s="49">
        <f t="shared" si="0"/>
        <v>2382248</v>
      </c>
      <c r="S10" s="49">
        <f t="shared" si="1"/>
        <v>0</v>
      </c>
      <c r="U10" s="49">
        <f>民間設備製造1!H12</f>
        <v>242775</v>
      </c>
      <c r="V10" s="49">
        <f t="shared" si="2"/>
        <v>1868053</v>
      </c>
    </row>
    <row r="11" spans="1:23">
      <c r="A11" s="298">
        <v>6</v>
      </c>
      <c r="B11" s="75" t="s">
        <v>327</v>
      </c>
      <c r="C11" s="830">
        <v>955124</v>
      </c>
      <c r="D11" s="830">
        <v>539122</v>
      </c>
      <c r="E11" s="830">
        <v>128492</v>
      </c>
      <c r="F11" s="830">
        <v>191510</v>
      </c>
      <c r="G11" s="830">
        <v>24364</v>
      </c>
      <c r="H11" s="830">
        <v>163909</v>
      </c>
      <c r="I11" s="830">
        <v>3237</v>
      </c>
      <c r="J11" s="830">
        <v>37538</v>
      </c>
      <c r="K11" s="830">
        <v>896662</v>
      </c>
      <c r="L11" s="856">
        <v>58462</v>
      </c>
      <c r="M11" s="830">
        <v>822519</v>
      </c>
      <c r="N11" s="830">
        <v>769479</v>
      </c>
      <c r="O11" s="831">
        <v>5422</v>
      </c>
      <c r="P11" s="77">
        <v>6</v>
      </c>
      <c r="Q11" s="77"/>
      <c r="R11" s="49">
        <f t="shared" si="0"/>
        <v>955124</v>
      </c>
      <c r="S11" s="49">
        <f t="shared" si="1"/>
        <v>0</v>
      </c>
      <c r="U11" s="49">
        <f>民間設備製造1!H13</f>
        <v>77048</v>
      </c>
      <c r="V11" s="49">
        <f t="shared" si="2"/>
        <v>806564</v>
      </c>
    </row>
    <row r="12" spans="1:23">
      <c r="A12" s="298">
        <v>7</v>
      </c>
      <c r="B12" s="75" t="s">
        <v>210</v>
      </c>
      <c r="C12" s="830">
        <v>565410</v>
      </c>
      <c r="D12" s="830">
        <v>379074</v>
      </c>
      <c r="E12" s="830">
        <v>116256</v>
      </c>
      <c r="F12" s="830">
        <v>112013</v>
      </c>
      <c r="G12" s="830">
        <v>10033</v>
      </c>
      <c r="H12" s="830">
        <v>99643</v>
      </c>
      <c r="I12" s="830">
        <v>2337</v>
      </c>
      <c r="J12" s="830">
        <v>40045</v>
      </c>
      <c r="K12" s="830">
        <v>647388</v>
      </c>
      <c r="L12" s="856">
        <v>-81978</v>
      </c>
      <c r="M12" s="830">
        <v>509850</v>
      </c>
      <c r="N12" s="830">
        <v>555561</v>
      </c>
      <c r="O12" s="831">
        <v>-36267</v>
      </c>
      <c r="P12" s="77">
        <v>7</v>
      </c>
      <c r="Q12" s="77"/>
      <c r="R12" s="49">
        <f t="shared" si="0"/>
        <v>565410</v>
      </c>
      <c r="S12" s="49">
        <f t="shared" si="1"/>
        <v>0</v>
      </c>
      <c r="U12" s="49">
        <f>民間設備製造1!H14</f>
        <v>36394</v>
      </c>
      <c r="V12" s="49">
        <f t="shared" si="2"/>
        <v>581802</v>
      </c>
    </row>
    <row r="13" spans="1:23">
      <c r="A13" s="298">
        <v>8</v>
      </c>
      <c r="B13" s="75" t="s">
        <v>211</v>
      </c>
      <c r="C13" s="830">
        <v>355318</v>
      </c>
      <c r="D13" s="830">
        <v>230814</v>
      </c>
      <c r="E13" s="830">
        <v>58301</v>
      </c>
      <c r="F13" s="830">
        <v>61820</v>
      </c>
      <c r="G13" s="830">
        <v>6419</v>
      </c>
      <c r="H13" s="830">
        <v>54093</v>
      </c>
      <c r="I13" s="830">
        <v>1308</v>
      </c>
      <c r="J13" s="830">
        <v>11345</v>
      </c>
      <c r="K13" s="830">
        <v>362280</v>
      </c>
      <c r="L13" s="856">
        <v>-6962</v>
      </c>
      <c r="M13" s="830">
        <v>311980</v>
      </c>
      <c r="N13" s="830">
        <v>310894</v>
      </c>
      <c r="O13" s="831">
        <v>-8048</v>
      </c>
      <c r="P13" s="77">
        <v>8</v>
      </c>
      <c r="Q13" s="77"/>
      <c r="R13" s="49">
        <f t="shared" si="0"/>
        <v>355318</v>
      </c>
      <c r="S13" s="49">
        <f t="shared" si="1"/>
        <v>0</v>
      </c>
      <c r="U13" s="49">
        <f>民間設備製造1!H15</f>
        <v>18650</v>
      </c>
      <c r="V13" s="49">
        <f t="shared" si="2"/>
        <v>325529</v>
      </c>
    </row>
    <row r="14" spans="1:23">
      <c r="A14" s="298">
        <v>9</v>
      </c>
      <c r="B14" s="75" t="s">
        <v>212</v>
      </c>
      <c r="C14" s="830">
        <v>441034</v>
      </c>
      <c r="D14" s="830">
        <v>280518</v>
      </c>
      <c r="E14" s="830">
        <v>74382</v>
      </c>
      <c r="F14" s="830">
        <v>71372</v>
      </c>
      <c r="G14" s="830">
        <v>12051</v>
      </c>
      <c r="H14" s="830">
        <v>57692</v>
      </c>
      <c r="I14" s="830">
        <v>1629</v>
      </c>
      <c r="J14" s="830">
        <v>24867</v>
      </c>
      <c r="K14" s="830">
        <v>451139</v>
      </c>
      <c r="L14" s="856">
        <v>-10105</v>
      </c>
      <c r="M14" s="830">
        <v>388393</v>
      </c>
      <c r="N14" s="830">
        <v>387149</v>
      </c>
      <c r="O14" s="831">
        <v>-11349</v>
      </c>
      <c r="P14" s="77">
        <v>9</v>
      </c>
      <c r="Q14" s="77"/>
      <c r="R14" s="49">
        <f t="shared" si="0"/>
        <v>441034</v>
      </c>
      <c r="S14" s="49">
        <f t="shared" si="1"/>
        <v>0</v>
      </c>
      <c r="U14" s="49">
        <f>民間設備製造1!H16</f>
        <v>13279</v>
      </c>
      <c r="V14" s="49">
        <f t="shared" si="2"/>
        <v>405097</v>
      </c>
    </row>
    <row r="15" spans="1:23">
      <c r="A15" s="298"/>
      <c r="B15" s="87"/>
      <c r="C15" s="837" t="s">
        <v>839</v>
      </c>
      <c r="D15" s="837" t="s">
        <v>839</v>
      </c>
      <c r="E15" s="837" t="s">
        <v>839</v>
      </c>
      <c r="F15" s="837" t="s">
        <v>839</v>
      </c>
      <c r="G15" s="837" t="s">
        <v>839</v>
      </c>
      <c r="H15" s="837" t="s">
        <v>839</v>
      </c>
      <c r="I15" s="837" t="s">
        <v>839</v>
      </c>
      <c r="J15" s="837" t="s">
        <v>839</v>
      </c>
      <c r="K15" s="837" t="s">
        <v>839</v>
      </c>
      <c r="L15" s="856" t="s">
        <v>839</v>
      </c>
      <c r="M15" s="830" t="s">
        <v>839</v>
      </c>
      <c r="N15" s="830" t="s">
        <v>839</v>
      </c>
      <c r="O15" s="835" t="s">
        <v>839</v>
      </c>
      <c r="P15" s="77" t="s">
        <v>347</v>
      </c>
      <c r="Q15" s="77"/>
      <c r="R15" s="49" t="s">
        <v>347</v>
      </c>
      <c r="S15" s="49" t="s">
        <v>11</v>
      </c>
      <c r="U15" s="49" t="s">
        <v>347</v>
      </c>
      <c r="V15" s="49" t="s">
        <v>347</v>
      </c>
    </row>
    <row r="16" spans="1:23">
      <c r="A16" s="299">
        <v>100</v>
      </c>
      <c r="B16" s="305" t="s">
        <v>172</v>
      </c>
      <c r="C16" s="830">
        <v>6432390</v>
      </c>
      <c r="D16" s="830">
        <v>3906881</v>
      </c>
      <c r="E16" s="830">
        <v>667146</v>
      </c>
      <c r="F16" s="830">
        <v>985996</v>
      </c>
      <c r="G16" s="830">
        <v>189685</v>
      </c>
      <c r="H16" s="830">
        <v>775509</v>
      </c>
      <c r="I16" s="830">
        <v>20802</v>
      </c>
      <c r="J16" s="830">
        <v>201842</v>
      </c>
      <c r="K16" s="830">
        <v>5761865</v>
      </c>
      <c r="L16" s="857">
        <v>670525</v>
      </c>
      <c r="M16" s="833">
        <v>5426235</v>
      </c>
      <c r="N16" s="833">
        <v>4944602</v>
      </c>
      <c r="O16" s="834">
        <v>188892</v>
      </c>
      <c r="P16" s="293">
        <v>100</v>
      </c>
      <c r="Q16" s="293"/>
      <c r="R16" s="49">
        <f t="shared" ref="R16:R47" si="3">D16+E16+F16+J16+L16</f>
        <v>6432390</v>
      </c>
      <c r="S16" s="49">
        <f t="shared" ref="S16:S47" si="4">R16-C16</f>
        <v>0</v>
      </c>
      <c r="U16" s="49">
        <f>民間設備製造1!H18</f>
        <v>209380.74701610114</v>
      </c>
      <c r="V16" s="49">
        <f t="shared" ref="V16:V47" si="5">D16+E16+G16+J16+U16</f>
        <v>5174934.7470161011</v>
      </c>
      <c r="W16" s="49" t="s">
        <v>1106</v>
      </c>
    </row>
    <row r="17" spans="1:22">
      <c r="A17" s="301">
        <v>1</v>
      </c>
      <c r="B17" s="128" t="s">
        <v>182</v>
      </c>
      <c r="C17" s="827">
        <v>3245720</v>
      </c>
      <c r="D17" s="827">
        <v>2536142</v>
      </c>
      <c r="E17" s="827">
        <v>400120</v>
      </c>
      <c r="F17" s="827">
        <v>687549</v>
      </c>
      <c r="G17" s="827">
        <v>146367</v>
      </c>
      <c r="H17" s="827">
        <v>527740</v>
      </c>
      <c r="I17" s="827">
        <v>13442</v>
      </c>
      <c r="J17" s="827">
        <v>99705</v>
      </c>
      <c r="K17" s="827">
        <v>3723516</v>
      </c>
      <c r="L17" s="856">
        <v>-477796</v>
      </c>
      <c r="M17" s="830">
        <v>2774255</v>
      </c>
      <c r="N17" s="830">
        <v>3195370</v>
      </c>
      <c r="O17" s="828">
        <v>-56681</v>
      </c>
      <c r="P17" s="293">
        <v>1</v>
      </c>
      <c r="Q17" s="293"/>
      <c r="R17" s="49">
        <f t="shared" si="3"/>
        <v>3245720</v>
      </c>
      <c r="S17" s="49">
        <f t="shared" si="4"/>
        <v>0</v>
      </c>
      <c r="U17" s="49">
        <f>民間設備製造1!H19</f>
        <v>162652</v>
      </c>
      <c r="V17" s="49">
        <f t="shared" si="5"/>
        <v>3344986</v>
      </c>
    </row>
    <row r="18" spans="1:22">
      <c r="A18" s="300">
        <v>202</v>
      </c>
      <c r="B18" s="90" t="s">
        <v>183</v>
      </c>
      <c r="C18" s="830">
        <v>1752589</v>
      </c>
      <c r="D18" s="830">
        <v>1168970</v>
      </c>
      <c r="E18" s="830">
        <v>164015</v>
      </c>
      <c r="F18" s="830">
        <v>400929</v>
      </c>
      <c r="G18" s="830">
        <v>75838</v>
      </c>
      <c r="H18" s="830">
        <v>318698</v>
      </c>
      <c r="I18" s="830">
        <v>6393</v>
      </c>
      <c r="J18" s="830">
        <v>37010</v>
      </c>
      <c r="K18" s="830">
        <v>1770924</v>
      </c>
      <c r="L18" s="856">
        <v>-18335</v>
      </c>
      <c r="M18" s="830">
        <v>1468314</v>
      </c>
      <c r="N18" s="830">
        <v>1519735</v>
      </c>
      <c r="O18" s="831">
        <v>33086</v>
      </c>
      <c r="P18" s="293">
        <v>202</v>
      </c>
      <c r="Q18" s="293"/>
      <c r="R18" s="49">
        <f t="shared" si="3"/>
        <v>1752589</v>
      </c>
      <c r="S18" s="49">
        <f t="shared" si="4"/>
        <v>0</v>
      </c>
      <c r="U18" s="49">
        <f>民間設備製造1!H20</f>
        <v>147000</v>
      </c>
      <c r="V18" s="49">
        <f t="shared" si="5"/>
        <v>1592833</v>
      </c>
    </row>
    <row r="19" spans="1:22">
      <c r="A19" s="300">
        <v>204</v>
      </c>
      <c r="B19" s="90" t="s">
        <v>184</v>
      </c>
      <c r="C19" s="830">
        <v>1287120</v>
      </c>
      <c r="D19" s="830">
        <v>1140588</v>
      </c>
      <c r="E19" s="830">
        <v>189512</v>
      </c>
      <c r="F19" s="830">
        <v>244064</v>
      </c>
      <c r="G19" s="830">
        <v>61163</v>
      </c>
      <c r="H19" s="830">
        <v>177012</v>
      </c>
      <c r="I19" s="830">
        <v>5889</v>
      </c>
      <c r="J19" s="830">
        <v>57020</v>
      </c>
      <c r="K19" s="830">
        <v>1631184</v>
      </c>
      <c r="L19" s="856">
        <v>-344064</v>
      </c>
      <c r="M19" s="830">
        <v>1117758</v>
      </c>
      <c r="N19" s="830">
        <v>1399816</v>
      </c>
      <c r="O19" s="831">
        <v>-62006</v>
      </c>
      <c r="P19" s="293">
        <v>204</v>
      </c>
      <c r="Q19" s="293"/>
      <c r="R19" s="49">
        <f t="shared" si="3"/>
        <v>1287120</v>
      </c>
      <c r="S19" s="49">
        <f t="shared" si="4"/>
        <v>0</v>
      </c>
      <c r="U19" s="49">
        <f>民間設備製造1!H21</f>
        <v>15523</v>
      </c>
      <c r="V19" s="49">
        <f t="shared" si="5"/>
        <v>1463806</v>
      </c>
    </row>
    <row r="20" spans="1:22">
      <c r="A20" s="302">
        <v>206</v>
      </c>
      <c r="B20" s="201" t="s">
        <v>185</v>
      </c>
      <c r="C20" s="837">
        <v>206011</v>
      </c>
      <c r="D20" s="830">
        <v>226584</v>
      </c>
      <c r="E20" s="830">
        <v>46593</v>
      </c>
      <c r="F20" s="830">
        <v>42556</v>
      </c>
      <c r="G20" s="830">
        <v>9366</v>
      </c>
      <c r="H20" s="830">
        <v>32030</v>
      </c>
      <c r="I20" s="830">
        <v>1160</v>
      </c>
      <c r="J20" s="830">
        <v>5675</v>
      </c>
      <c r="K20" s="830">
        <v>321408</v>
      </c>
      <c r="L20" s="856">
        <v>-115397</v>
      </c>
      <c r="M20" s="830">
        <v>188183</v>
      </c>
      <c r="N20" s="830">
        <v>275819</v>
      </c>
      <c r="O20" s="835">
        <v>-27761</v>
      </c>
      <c r="P20" s="293">
        <v>206</v>
      </c>
      <c r="Q20" s="293"/>
      <c r="R20" s="49">
        <f t="shared" si="3"/>
        <v>206011</v>
      </c>
      <c r="S20" s="49">
        <f t="shared" si="4"/>
        <v>0</v>
      </c>
      <c r="U20" s="49">
        <f>民間設備製造1!H22</f>
        <v>129</v>
      </c>
      <c r="V20" s="49">
        <f t="shared" si="5"/>
        <v>288347</v>
      </c>
    </row>
    <row r="21" spans="1:22">
      <c r="A21" s="300">
        <v>2</v>
      </c>
      <c r="B21" s="65" t="s">
        <v>186</v>
      </c>
      <c r="C21" s="830">
        <v>1916235</v>
      </c>
      <c r="D21" s="827">
        <v>1569797</v>
      </c>
      <c r="E21" s="827">
        <v>267129</v>
      </c>
      <c r="F21" s="827">
        <v>386695</v>
      </c>
      <c r="G21" s="827">
        <v>82761</v>
      </c>
      <c r="H21" s="827">
        <v>295759</v>
      </c>
      <c r="I21" s="827">
        <v>8175</v>
      </c>
      <c r="J21" s="827">
        <v>40667</v>
      </c>
      <c r="K21" s="827">
        <v>2264288</v>
      </c>
      <c r="L21" s="855">
        <v>-348053</v>
      </c>
      <c r="M21" s="827">
        <v>1655526</v>
      </c>
      <c r="N21" s="827">
        <v>1943120</v>
      </c>
      <c r="O21" s="828">
        <v>-60459</v>
      </c>
      <c r="P21" s="293">
        <v>2</v>
      </c>
      <c r="Q21" s="293"/>
      <c r="R21" s="49">
        <f t="shared" si="3"/>
        <v>1916235</v>
      </c>
      <c r="S21" s="49">
        <f t="shared" si="4"/>
        <v>0</v>
      </c>
      <c r="U21" s="49">
        <f>民間設備製造1!H23</f>
        <v>73026</v>
      </c>
      <c r="V21" s="49">
        <f t="shared" si="5"/>
        <v>2033380</v>
      </c>
    </row>
    <row r="22" spans="1:22">
      <c r="A22" s="300">
        <v>207</v>
      </c>
      <c r="B22" s="90" t="s">
        <v>187</v>
      </c>
      <c r="C22" s="830">
        <v>639450</v>
      </c>
      <c r="D22" s="830">
        <v>430745</v>
      </c>
      <c r="E22" s="830">
        <v>70429</v>
      </c>
      <c r="F22" s="830">
        <v>142774</v>
      </c>
      <c r="G22" s="830">
        <v>29491</v>
      </c>
      <c r="H22" s="830">
        <v>110911</v>
      </c>
      <c r="I22" s="830">
        <v>2372</v>
      </c>
      <c r="J22" s="830">
        <v>12991</v>
      </c>
      <c r="K22" s="830">
        <v>656939</v>
      </c>
      <c r="L22" s="856">
        <v>-17489</v>
      </c>
      <c r="M22" s="830">
        <v>541772</v>
      </c>
      <c r="N22" s="830">
        <v>563758</v>
      </c>
      <c r="O22" s="831">
        <v>4497</v>
      </c>
      <c r="P22" s="293">
        <v>207</v>
      </c>
      <c r="Q22" s="293"/>
      <c r="R22" s="49">
        <f t="shared" si="3"/>
        <v>639450</v>
      </c>
      <c r="S22" s="49">
        <f t="shared" si="4"/>
        <v>0</v>
      </c>
      <c r="U22" s="49">
        <f>民間設備製造1!H24</f>
        <v>47008</v>
      </c>
      <c r="V22" s="49">
        <f t="shared" si="5"/>
        <v>590664</v>
      </c>
    </row>
    <row r="23" spans="1:22">
      <c r="A23" s="300">
        <v>214</v>
      </c>
      <c r="B23" s="90" t="s">
        <v>188</v>
      </c>
      <c r="C23" s="830">
        <v>450860</v>
      </c>
      <c r="D23" s="830">
        <v>513212</v>
      </c>
      <c r="E23" s="830">
        <v>81805</v>
      </c>
      <c r="F23" s="830">
        <v>99579</v>
      </c>
      <c r="G23" s="830">
        <v>24445</v>
      </c>
      <c r="H23" s="830">
        <v>72579</v>
      </c>
      <c r="I23" s="830">
        <v>2555</v>
      </c>
      <c r="J23" s="830">
        <v>13117</v>
      </c>
      <c r="K23" s="830">
        <v>707713</v>
      </c>
      <c r="L23" s="856">
        <v>-256853</v>
      </c>
      <c r="M23" s="830">
        <v>400336</v>
      </c>
      <c r="N23" s="830">
        <v>607331</v>
      </c>
      <c r="O23" s="831">
        <v>-49858</v>
      </c>
      <c r="P23" s="293">
        <v>214</v>
      </c>
      <c r="Q23" s="293"/>
      <c r="R23" s="49">
        <f t="shared" si="3"/>
        <v>450860</v>
      </c>
      <c r="S23" s="49">
        <f t="shared" si="4"/>
        <v>0</v>
      </c>
      <c r="U23" s="49">
        <f>民間設備製造1!H25</f>
        <v>2394</v>
      </c>
      <c r="V23" s="49">
        <f t="shared" si="5"/>
        <v>634973</v>
      </c>
    </row>
    <row r="24" spans="1:22">
      <c r="A24" s="300">
        <v>217</v>
      </c>
      <c r="B24" s="90" t="s">
        <v>189</v>
      </c>
      <c r="C24" s="830">
        <v>322287</v>
      </c>
      <c r="D24" s="830">
        <v>337641</v>
      </c>
      <c r="E24" s="830">
        <v>55557</v>
      </c>
      <c r="F24" s="830">
        <v>66974</v>
      </c>
      <c r="G24" s="830">
        <v>17521</v>
      </c>
      <c r="H24" s="830">
        <v>47765</v>
      </c>
      <c r="I24" s="830">
        <v>1688</v>
      </c>
      <c r="J24" s="830">
        <v>7420</v>
      </c>
      <c r="K24" s="830">
        <v>467592</v>
      </c>
      <c r="L24" s="856">
        <v>-145305</v>
      </c>
      <c r="M24" s="830">
        <v>284505</v>
      </c>
      <c r="N24" s="830">
        <v>401269</v>
      </c>
      <c r="O24" s="831">
        <v>-28541</v>
      </c>
      <c r="P24" s="293">
        <v>217</v>
      </c>
      <c r="Q24" s="293"/>
      <c r="R24" s="49">
        <f t="shared" si="3"/>
        <v>322287</v>
      </c>
      <c r="S24" s="49">
        <f t="shared" si="4"/>
        <v>0</v>
      </c>
      <c r="U24" s="49">
        <f>民間設備製造1!H26</f>
        <v>1387</v>
      </c>
      <c r="V24" s="49">
        <f t="shared" si="5"/>
        <v>419526</v>
      </c>
    </row>
    <row r="25" spans="1:22">
      <c r="A25" s="300">
        <v>219</v>
      </c>
      <c r="B25" s="90" t="s">
        <v>190</v>
      </c>
      <c r="C25" s="830">
        <v>442677</v>
      </c>
      <c r="D25" s="830">
        <v>227094</v>
      </c>
      <c r="E25" s="830">
        <v>44344</v>
      </c>
      <c r="F25" s="830">
        <v>65242</v>
      </c>
      <c r="G25" s="830">
        <v>9104</v>
      </c>
      <c r="H25" s="830">
        <v>54901</v>
      </c>
      <c r="I25" s="830">
        <v>1237</v>
      </c>
      <c r="J25" s="830">
        <v>5948</v>
      </c>
      <c r="K25" s="830">
        <v>342628</v>
      </c>
      <c r="L25" s="856">
        <v>100049</v>
      </c>
      <c r="M25" s="830">
        <v>372539</v>
      </c>
      <c r="N25" s="830">
        <v>294029</v>
      </c>
      <c r="O25" s="831">
        <v>21539</v>
      </c>
      <c r="P25" s="293">
        <v>219</v>
      </c>
      <c r="Q25" s="293"/>
      <c r="R25" s="49">
        <f t="shared" si="3"/>
        <v>442677</v>
      </c>
      <c r="S25" s="49">
        <f t="shared" si="4"/>
        <v>0</v>
      </c>
      <c r="U25" s="49">
        <f>民間設備製造1!H27</f>
        <v>21489</v>
      </c>
      <c r="V25" s="49">
        <f t="shared" si="5"/>
        <v>307979</v>
      </c>
    </row>
    <row r="26" spans="1:22">
      <c r="A26" s="300">
        <v>301</v>
      </c>
      <c r="B26" s="90" t="s">
        <v>191</v>
      </c>
      <c r="C26" s="830">
        <v>60961</v>
      </c>
      <c r="D26" s="830">
        <v>61105</v>
      </c>
      <c r="E26" s="830">
        <v>14994</v>
      </c>
      <c r="F26" s="830">
        <v>12126</v>
      </c>
      <c r="G26" s="830">
        <v>2200</v>
      </c>
      <c r="H26" s="830">
        <v>9603</v>
      </c>
      <c r="I26" s="830">
        <v>323</v>
      </c>
      <c r="J26" s="830">
        <v>1191</v>
      </c>
      <c r="K26" s="830">
        <v>89416</v>
      </c>
      <c r="L26" s="858">
        <v>-28455</v>
      </c>
      <c r="M26" s="837">
        <v>56374</v>
      </c>
      <c r="N26" s="837">
        <v>76733</v>
      </c>
      <c r="O26" s="835">
        <v>-8096</v>
      </c>
      <c r="P26" s="293">
        <v>301</v>
      </c>
      <c r="Q26" s="293"/>
      <c r="R26" s="49">
        <f t="shared" si="3"/>
        <v>60961</v>
      </c>
      <c r="S26" s="49">
        <f t="shared" si="4"/>
        <v>0</v>
      </c>
      <c r="U26" s="49">
        <f>民間設備製造1!H28</f>
        <v>748</v>
      </c>
      <c r="V26" s="49">
        <f t="shared" si="5"/>
        <v>80238</v>
      </c>
    </row>
    <row r="27" spans="1:22">
      <c r="A27" s="301">
        <v>3</v>
      </c>
      <c r="B27" s="128" t="s">
        <v>192</v>
      </c>
      <c r="C27" s="827">
        <v>2589684</v>
      </c>
      <c r="D27" s="827">
        <v>1535436</v>
      </c>
      <c r="E27" s="827">
        <v>251571</v>
      </c>
      <c r="F27" s="827">
        <v>790327</v>
      </c>
      <c r="G27" s="827">
        <v>94105</v>
      </c>
      <c r="H27" s="827">
        <v>686712</v>
      </c>
      <c r="I27" s="827">
        <v>9510</v>
      </c>
      <c r="J27" s="827">
        <v>56971</v>
      </c>
      <c r="K27" s="827">
        <v>2634305</v>
      </c>
      <c r="L27" s="856">
        <v>-44621</v>
      </c>
      <c r="M27" s="830">
        <v>2174892</v>
      </c>
      <c r="N27" s="830">
        <v>2260653</v>
      </c>
      <c r="O27" s="828">
        <v>41140</v>
      </c>
      <c r="P27" s="293">
        <v>3</v>
      </c>
      <c r="Q27" s="293"/>
      <c r="R27" s="49">
        <f t="shared" si="3"/>
        <v>2589684</v>
      </c>
      <c r="S27" s="49">
        <f t="shared" si="4"/>
        <v>0</v>
      </c>
      <c r="U27" s="49">
        <f>民間設備製造1!H29</f>
        <v>437398</v>
      </c>
      <c r="V27" s="49">
        <f t="shared" si="5"/>
        <v>2375481</v>
      </c>
    </row>
    <row r="28" spans="1:22">
      <c r="A28" s="300">
        <v>203</v>
      </c>
      <c r="B28" s="90" t="s">
        <v>193</v>
      </c>
      <c r="C28" s="830">
        <v>999436</v>
      </c>
      <c r="D28" s="830">
        <v>647083</v>
      </c>
      <c r="E28" s="830">
        <v>106372</v>
      </c>
      <c r="F28" s="830">
        <v>216800</v>
      </c>
      <c r="G28" s="830">
        <v>43863</v>
      </c>
      <c r="H28" s="830">
        <v>169339</v>
      </c>
      <c r="I28" s="830">
        <v>3598</v>
      </c>
      <c r="J28" s="830">
        <v>26428</v>
      </c>
      <c r="K28" s="830">
        <v>996683</v>
      </c>
      <c r="L28" s="856">
        <v>2753</v>
      </c>
      <c r="M28" s="830">
        <v>844654</v>
      </c>
      <c r="N28" s="830">
        <v>855313</v>
      </c>
      <c r="O28" s="831">
        <v>13412</v>
      </c>
      <c r="P28" s="293">
        <v>203</v>
      </c>
      <c r="Q28" s="293"/>
      <c r="R28" s="49">
        <f t="shared" si="3"/>
        <v>999436</v>
      </c>
      <c r="S28" s="49">
        <f t="shared" si="4"/>
        <v>0</v>
      </c>
      <c r="U28" s="49">
        <f>民間設備製造1!H30</f>
        <v>72419</v>
      </c>
      <c r="V28" s="49">
        <f t="shared" si="5"/>
        <v>896165</v>
      </c>
    </row>
    <row r="29" spans="1:22">
      <c r="A29" s="300">
        <v>210</v>
      </c>
      <c r="B29" s="90" t="s">
        <v>194</v>
      </c>
      <c r="C29" s="830">
        <v>739650</v>
      </c>
      <c r="D29" s="830">
        <v>555983</v>
      </c>
      <c r="E29" s="830">
        <v>88703</v>
      </c>
      <c r="F29" s="830">
        <v>369643</v>
      </c>
      <c r="G29" s="830">
        <v>32499</v>
      </c>
      <c r="H29" s="830">
        <v>333394</v>
      </c>
      <c r="I29" s="830">
        <v>3750</v>
      </c>
      <c r="J29" s="830">
        <v>24485</v>
      </c>
      <c r="K29" s="830">
        <v>1038814</v>
      </c>
      <c r="L29" s="856">
        <v>-299164</v>
      </c>
      <c r="M29" s="830">
        <v>630796</v>
      </c>
      <c r="N29" s="830">
        <v>891468</v>
      </c>
      <c r="O29" s="831">
        <v>-38492</v>
      </c>
      <c r="P29" s="293">
        <v>210</v>
      </c>
      <c r="Q29" s="293"/>
      <c r="R29" s="49">
        <f t="shared" si="3"/>
        <v>739650</v>
      </c>
      <c r="S29" s="49">
        <f t="shared" si="4"/>
        <v>0</v>
      </c>
      <c r="U29" s="49">
        <f>民間設備製造1!H31</f>
        <v>236873</v>
      </c>
      <c r="V29" s="49">
        <f t="shared" si="5"/>
        <v>938543</v>
      </c>
    </row>
    <row r="30" spans="1:22">
      <c r="A30" s="300">
        <v>216</v>
      </c>
      <c r="B30" s="90" t="s">
        <v>195</v>
      </c>
      <c r="C30" s="830">
        <v>581852</v>
      </c>
      <c r="D30" s="830">
        <v>199489</v>
      </c>
      <c r="E30" s="830">
        <v>36097</v>
      </c>
      <c r="F30" s="830">
        <v>149402</v>
      </c>
      <c r="G30" s="830">
        <v>9063</v>
      </c>
      <c r="H30" s="830">
        <v>138940</v>
      </c>
      <c r="I30" s="830">
        <v>1399</v>
      </c>
      <c r="J30" s="830">
        <v>2643</v>
      </c>
      <c r="K30" s="830">
        <v>387631</v>
      </c>
      <c r="L30" s="856">
        <v>194221</v>
      </c>
      <c r="M30" s="830">
        <v>476999</v>
      </c>
      <c r="N30" s="830">
        <v>332649</v>
      </c>
      <c r="O30" s="831">
        <v>49871</v>
      </c>
      <c r="P30" s="293">
        <v>216</v>
      </c>
      <c r="Q30" s="293"/>
      <c r="R30" s="49">
        <f t="shared" si="3"/>
        <v>581852</v>
      </c>
      <c r="S30" s="49">
        <f t="shared" si="4"/>
        <v>0</v>
      </c>
      <c r="U30" s="49">
        <f>民間設備製造1!H32</f>
        <v>103340</v>
      </c>
      <c r="V30" s="49">
        <f t="shared" si="5"/>
        <v>350632</v>
      </c>
    </row>
    <row r="31" spans="1:22">
      <c r="A31" s="300">
        <v>381</v>
      </c>
      <c r="B31" s="90" t="s">
        <v>196</v>
      </c>
      <c r="C31" s="830">
        <v>149532</v>
      </c>
      <c r="D31" s="830">
        <v>59527</v>
      </c>
      <c r="E31" s="830">
        <v>9590</v>
      </c>
      <c r="F31" s="830">
        <v>20254</v>
      </c>
      <c r="G31" s="830">
        <v>3351</v>
      </c>
      <c r="H31" s="830">
        <v>16575</v>
      </c>
      <c r="I31" s="830">
        <v>328</v>
      </c>
      <c r="J31" s="830">
        <v>1425</v>
      </c>
      <c r="K31" s="830">
        <v>90796</v>
      </c>
      <c r="L31" s="856">
        <v>58736</v>
      </c>
      <c r="M31" s="830">
        <v>122764</v>
      </c>
      <c r="N31" s="830">
        <v>77917</v>
      </c>
      <c r="O31" s="831">
        <v>13889</v>
      </c>
      <c r="P31" s="293">
        <v>381</v>
      </c>
      <c r="Q31" s="293"/>
      <c r="R31" s="49">
        <f t="shared" si="3"/>
        <v>149532</v>
      </c>
      <c r="S31" s="49">
        <f t="shared" si="4"/>
        <v>0</v>
      </c>
      <c r="U31" s="49">
        <f>民間設備製造1!H33</f>
        <v>7779</v>
      </c>
      <c r="V31" s="49">
        <f t="shared" si="5"/>
        <v>81672</v>
      </c>
    </row>
    <row r="32" spans="1:22">
      <c r="A32" s="302">
        <v>382</v>
      </c>
      <c r="B32" s="201" t="s">
        <v>197</v>
      </c>
      <c r="C32" s="837">
        <v>119214</v>
      </c>
      <c r="D32" s="830">
        <v>73354</v>
      </c>
      <c r="E32" s="830">
        <v>10809</v>
      </c>
      <c r="F32" s="830">
        <v>34228</v>
      </c>
      <c r="G32" s="830">
        <v>5329</v>
      </c>
      <c r="H32" s="830">
        <v>28464</v>
      </c>
      <c r="I32" s="830">
        <v>435</v>
      </c>
      <c r="J32" s="830">
        <v>1990</v>
      </c>
      <c r="K32" s="830">
        <v>120381</v>
      </c>
      <c r="L32" s="856">
        <v>-1167</v>
      </c>
      <c r="M32" s="830">
        <v>99679</v>
      </c>
      <c r="N32" s="830">
        <v>103306</v>
      </c>
      <c r="O32" s="835">
        <v>2460</v>
      </c>
      <c r="P32" s="293">
        <v>382</v>
      </c>
      <c r="Q32" s="293"/>
      <c r="R32" s="49">
        <f t="shared" si="3"/>
        <v>119214</v>
      </c>
      <c r="S32" s="49">
        <f t="shared" si="4"/>
        <v>0</v>
      </c>
      <c r="U32" s="49">
        <f>民間設備製造1!H34</f>
        <v>16987</v>
      </c>
      <c r="V32" s="49">
        <f t="shared" si="5"/>
        <v>108469</v>
      </c>
    </row>
    <row r="33" spans="1:23">
      <c r="A33" s="300">
        <v>4</v>
      </c>
      <c r="B33" s="91" t="s">
        <v>198</v>
      </c>
      <c r="C33" s="830">
        <v>1113960</v>
      </c>
      <c r="D33" s="827">
        <v>548145</v>
      </c>
      <c r="E33" s="827">
        <v>114279</v>
      </c>
      <c r="F33" s="827">
        <v>272453</v>
      </c>
      <c r="G33" s="827">
        <v>24849</v>
      </c>
      <c r="H33" s="827">
        <v>244123</v>
      </c>
      <c r="I33" s="827">
        <v>3481</v>
      </c>
      <c r="J33" s="827">
        <v>29512</v>
      </c>
      <c r="K33" s="827">
        <v>964389</v>
      </c>
      <c r="L33" s="855">
        <v>149571</v>
      </c>
      <c r="M33" s="827">
        <v>938998</v>
      </c>
      <c r="N33" s="827">
        <v>827600</v>
      </c>
      <c r="O33" s="828">
        <v>38173</v>
      </c>
      <c r="P33" s="293">
        <v>4</v>
      </c>
      <c r="Q33" s="293"/>
      <c r="R33" s="49">
        <f t="shared" si="3"/>
        <v>1113960</v>
      </c>
      <c r="S33" s="49">
        <f t="shared" si="4"/>
        <v>0</v>
      </c>
      <c r="U33" s="49">
        <f>民間設備製造1!H35</f>
        <v>152643</v>
      </c>
      <c r="V33" s="49">
        <f t="shared" si="5"/>
        <v>869428</v>
      </c>
    </row>
    <row r="34" spans="1:23">
      <c r="A34" s="300">
        <v>213</v>
      </c>
      <c r="B34" s="92" t="s">
        <v>231</v>
      </c>
      <c r="C34" s="830">
        <v>130104</v>
      </c>
      <c r="D34" s="830">
        <v>86219</v>
      </c>
      <c r="E34" s="830">
        <v>14945</v>
      </c>
      <c r="F34" s="830">
        <v>52150</v>
      </c>
      <c r="G34" s="830">
        <v>3896</v>
      </c>
      <c r="H34" s="830">
        <v>47687</v>
      </c>
      <c r="I34" s="830">
        <v>567</v>
      </c>
      <c r="J34" s="830">
        <v>3858</v>
      </c>
      <c r="K34" s="830">
        <v>157172</v>
      </c>
      <c r="L34" s="856">
        <v>-27068</v>
      </c>
      <c r="M34" s="830">
        <v>110581</v>
      </c>
      <c r="N34" s="830">
        <v>134879</v>
      </c>
      <c r="O34" s="831">
        <v>-2770</v>
      </c>
      <c r="P34" s="293">
        <v>213</v>
      </c>
      <c r="Q34" s="293"/>
      <c r="R34" s="49">
        <f t="shared" si="3"/>
        <v>130104</v>
      </c>
      <c r="S34" s="49">
        <f t="shared" si="4"/>
        <v>0</v>
      </c>
      <c r="U34" s="49">
        <f>民間設備製造1!H36</f>
        <v>33004</v>
      </c>
      <c r="V34" s="49">
        <f t="shared" si="5"/>
        <v>141922</v>
      </c>
    </row>
    <row r="35" spans="1:23">
      <c r="A35" s="300">
        <v>215</v>
      </c>
      <c r="B35" s="92" t="s">
        <v>232</v>
      </c>
      <c r="C35" s="830">
        <v>264140</v>
      </c>
      <c r="D35" s="830">
        <v>159247</v>
      </c>
      <c r="E35" s="830">
        <v>32973</v>
      </c>
      <c r="F35" s="830">
        <v>33577</v>
      </c>
      <c r="G35" s="830">
        <v>5228</v>
      </c>
      <c r="H35" s="830">
        <v>27503</v>
      </c>
      <c r="I35" s="830">
        <v>846</v>
      </c>
      <c r="J35" s="830">
        <v>8605</v>
      </c>
      <c r="K35" s="830">
        <v>234402</v>
      </c>
      <c r="L35" s="856">
        <v>29738</v>
      </c>
      <c r="M35" s="830">
        <v>226006</v>
      </c>
      <c r="N35" s="830">
        <v>201154</v>
      </c>
      <c r="O35" s="831">
        <v>4886</v>
      </c>
      <c r="P35" s="293">
        <v>215</v>
      </c>
      <c r="Q35" s="293"/>
      <c r="R35" s="49">
        <f t="shared" si="3"/>
        <v>264140</v>
      </c>
      <c r="S35" s="49">
        <f t="shared" si="4"/>
        <v>0</v>
      </c>
      <c r="U35" s="49">
        <f>民間設備製造1!H37</f>
        <v>4356</v>
      </c>
      <c r="V35" s="49">
        <f t="shared" si="5"/>
        <v>210409</v>
      </c>
    </row>
    <row r="36" spans="1:23">
      <c r="A36" s="300">
        <v>218</v>
      </c>
      <c r="B36" s="90" t="s">
        <v>200</v>
      </c>
      <c r="C36" s="830">
        <v>221050</v>
      </c>
      <c r="D36" s="830">
        <v>95265</v>
      </c>
      <c r="E36" s="830">
        <v>18256</v>
      </c>
      <c r="F36" s="830">
        <v>34678</v>
      </c>
      <c r="G36" s="830">
        <v>4400</v>
      </c>
      <c r="H36" s="830">
        <v>29717</v>
      </c>
      <c r="I36" s="830">
        <v>561</v>
      </c>
      <c r="J36" s="830">
        <v>7098</v>
      </c>
      <c r="K36" s="830">
        <v>155297</v>
      </c>
      <c r="L36" s="856">
        <v>65753</v>
      </c>
      <c r="M36" s="830">
        <v>183808</v>
      </c>
      <c r="N36" s="830">
        <v>133270</v>
      </c>
      <c r="O36" s="831">
        <v>15215</v>
      </c>
      <c r="P36" s="293">
        <v>218</v>
      </c>
      <c r="Q36" s="293"/>
      <c r="R36" s="49">
        <f t="shared" si="3"/>
        <v>221050</v>
      </c>
      <c r="S36" s="49">
        <f t="shared" si="4"/>
        <v>0</v>
      </c>
      <c r="U36" s="49">
        <f>民間設備製造1!H38</f>
        <v>14710</v>
      </c>
      <c r="V36" s="49">
        <f t="shared" si="5"/>
        <v>139729</v>
      </c>
    </row>
    <row r="37" spans="1:23">
      <c r="A37" s="300">
        <v>220</v>
      </c>
      <c r="B37" s="90" t="s">
        <v>201</v>
      </c>
      <c r="C37" s="830">
        <v>197739</v>
      </c>
      <c r="D37" s="830">
        <v>87129</v>
      </c>
      <c r="E37" s="830">
        <v>17527</v>
      </c>
      <c r="F37" s="830">
        <v>78601</v>
      </c>
      <c r="G37" s="830">
        <v>4784</v>
      </c>
      <c r="H37" s="830">
        <v>73142</v>
      </c>
      <c r="I37" s="830">
        <v>675</v>
      </c>
      <c r="J37" s="830">
        <v>3608</v>
      </c>
      <c r="K37" s="830">
        <v>186865</v>
      </c>
      <c r="L37" s="856">
        <v>10874</v>
      </c>
      <c r="M37" s="830">
        <v>165107</v>
      </c>
      <c r="N37" s="830">
        <v>160360</v>
      </c>
      <c r="O37" s="831">
        <v>6127</v>
      </c>
      <c r="P37" s="293">
        <v>220</v>
      </c>
      <c r="Q37" s="293"/>
      <c r="R37" s="49">
        <f t="shared" si="3"/>
        <v>197739</v>
      </c>
      <c r="S37" s="49">
        <f t="shared" si="4"/>
        <v>0</v>
      </c>
      <c r="U37" s="49">
        <f>民間設備製造1!H39</f>
        <v>56157</v>
      </c>
      <c r="V37" s="49">
        <f t="shared" si="5"/>
        <v>169205</v>
      </c>
      <c r="W37" s="49" t="s">
        <v>627</v>
      </c>
    </row>
    <row r="38" spans="1:23">
      <c r="A38" s="300">
        <v>228</v>
      </c>
      <c r="B38" s="90" t="s">
        <v>239</v>
      </c>
      <c r="C38" s="830">
        <v>238158</v>
      </c>
      <c r="D38" s="830">
        <v>81936</v>
      </c>
      <c r="E38" s="830">
        <v>17020</v>
      </c>
      <c r="F38" s="830">
        <v>62494</v>
      </c>
      <c r="G38" s="830">
        <v>5491</v>
      </c>
      <c r="H38" s="830">
        <v>56409</v>
      </c>
      <c r="I38" s="830">
        <v>594</v>
      </c>
      <c r="J38" s="830">
        <v>3176</v>
      </c>
      <c r="K38" s="830">
        <v>164626</v>
      </c>
      <c r="L38" s="856">
        <v>73532</v>
      </c>
      <c r="M38" s="830">
        <v>196523</v>
      </c>
      <c r="N38" s="830">
        <v>141275</v>
      </c>
      <c r="O38" s="831">
        <v>18284</v>
      </c>
      <c r="P38" s="293">
        <v>228</v>
      </c>
      <c r="Q38" s="293"/>
      <c r="R38" s="49">
        <f t="shared" si="3"/>
        <v>238158</v>
      </c>
      <c r="S38" s="49">
        <f t="shared" si="4"/>
        <v>0</v>
      </c>
      <c r="U38" s="49">
        <f>民間設備製造1!H40</f>
        <v>41215</v>
      </c>
      <c r="V38" s="49">
        <f t="shared" si="5"/>
        <v>148838</v>
      </c>
    </row>
    <row r="39" spans="1:23">
      <c r="A39" s="300">
        <v>365</v>
      </c>
      <c r="B39" s="90" t="s">
        <v>233</v>
      </c>
      <c r="C39" s="830">
        <v>62769</v>
      </c>
      <c r="D39" s="830">
        <v>38349</v>
      </c>
      <c r="E39" s="830">
        <v>13558</v>
      </c>
      <c r="F39" s="830">
        <v>10953</v>
      </c>
      <c r="G39" s="830">
        <v>1050</v>
      </c>
      <c r="H39" s="830">
        <v>9665</v>
      </c>
      <c r="I39" s="830">
        <v>238</v>
      </c>
      <c r="J39" s="830">
        <v>3167</v>
      </c>
      <c r="K39" s="830">
        <v>66027</v>
      </c>
      <c r="L39" s="858">
        <v>-3258</v>
      </c>
      <c r="M39" s="837">
        <v>56973</v>
      </c>
      <c r="N39" s="837">
        <v>56662</v>
      </c>
      <c r="O39" s="835">
        <v>-3569</v>
      </c>
      <c r="P39" s="293">
        <v>365</v>
      </c>
      <c r="Q39" s="293"/>
      <c r="R39" s="49">
        <f t="shared" si="3"/>
        <v>62769</v>
      </c>
      <c r="S39" s="49">
        <f t="shared" si="4"/>
        <v>0</v>
      </c>
      <c r="U39" s="49">
        <f>民間設備製造1!H41</f>
        <v>3201</v>
      </c>
      <c r="V39" s="49">
        <f t="shared" si="5"/>
        <v>59325</v>
      </c>
    </row>
    <row r="40" spans="1:23">
      <c r="A40" s="301">
        <v>5</v>
      </c>
      <c r="B40" s="306" t="s">
        <v>202</v>
      </c>
      <c r="C40" s="827">
        <v>2382248</v>
      </c>
      <c r="D40" s="827">
        <v>1235514</v>
      </c>
      <c r="E40" s="827">
        <v>214315</v>
      </c>
      <c r="F40" s="827">
        <v>525207</v>
      </c>
      <c r="G40" s="827">
        <v>75756</v>
      </c>
      <c r="H40" s="827">
        <v>441962</v>
      </c>
      <c r="I40" s="827">
        <v>7489</v>
      </c>
      <c r="J40" s="827">
        <v>99693</v>
      </c>
      <c r="K40" s="827">
        <v>2074729</v>
      </c>
      <c r="L40" s="856">
        <v>307519</v>
      </c>
      <c r="M40" s="830">
        <v>1990919</v>
      </c>
      <c r="N40" s="830">
        <v>1780449</v>
      </c>
      <c r="O40" s="828">
        <v>97049</v>
      </c>
      <c r="P40" s="293">
        <v>5</v>
      </c>
      <c r="Q40" s="293"/>
      <c r="R40" s="49">
        <f t="shared" si="3"/>
        <v>2382248</v>
      </c>
      <c r="S40" s="49">
        <f t="shared" si="4"/>
        <v>0</v>
      </c>
      <c r="U40" s="49">
        <f>民間設備製造1!H42</f>
        <v>242775</v>
      </c>
      <c r="V40" s="49">
        <f t="shared" si="5"/>
        <v>1868053</v>
      </c>
    </row>
    <row r="41" spans="1:23">
      <c r="A41" s="300">
        <v>201</v>
      </c>
      <c r="B41" s="92" t="s">
        <v>240</v>
      </c>
      <c r="C41" s="830">
        <v>2164871</v>
      </c>
      <c r="D41" s="830">
        <v>1150366</v>
      </c>
      <c r="E41" s="830">
        <v>190672</v>
      </c>
      <c r="F41" s="830">
        <v>489434</v>
      </c>
      <c r="G41" s="830">
        <v>72002</v>
      </c>
      <c r="H41" s="830">
        <v>410485</v>
      </c>
      <c r="I41" s="830">
        <v>6947</v>
      </c>
      <c r="J41" s="830">
        <v>93917</v>
      </c>
      <c r="K41" s="830">
        <v>1924389</v>
      </c>
      <c r="L41" s="856">
        <v>240482</v>
      </c>
      <c r="M41" s="830">
        <v>1806917</v>
      </c>
      <c r="N41" s="830">
        <v>1651433</v>
      </c>
      <c r="O41" s="831">
        <v>84998</v>
      </c>
      <c r="P41" s="293">
        <v>201</v>
      </c>
      <c r="Q41" s="293"/>
      <c r="R41" s="49">
        <f t="shared" si="3"/>
        <v>2164871</v>
      </c>
      <c r="S41" s="49">
        <f t="shared" si="4"/>
        <v>0</v>
      </c>
      <c r="U41" s="49">
        <f>民間設備製造1!H43</f>
        <v>225747</v>
      </c>
      <c r="V41" s="49">
        <f t="shared" si="5"/>
        <v>1732704</v>
      </c>
    </row>
    <row r="42" spans="1:23">
      <c r="A42" s="300">
        <v>442</v>
      </c>
      <c r="B42" s="90" t="s">
        <v>203</v>
      </c>
      <c r="C42" s="830">
        <v>31844</v>
      </c>
      <c r="D42" s="830">
        <v>24808</v>
      </c>
      <c r="E42" s="830">
        <v>6796</v>
      </c>
      <c r="F42" s="830">
        <v>6533</v>
      </c>
      <c r="G42" s="830">
        <v>585</v>
      </c>
      <c r="H42" s="830">
        <v>5807</v>
      </c>
      <c r="I42" s="830">
        <v>141</v>
      </c>
      <c r="J42" s="830">
        <v>875</v>
      </c>
      <c r="K42" s="830">
        <v>39012</v>
      </c>
      <c r="L42" s="856">
        <v>-7168</v>
      </c>
      <c r="M42" s="830">
        <v>28857</v>
      </c>
      <c r="N42" s="830">
        <v>33479</v>
      </c>
      <c r="O42" s="831">
        <v>-2546</v>
      </c>
      <c r="P42" s="293">
        <v>442</v>
      </c>
      <c r="Q42" s="293"/>
      <c r="R42" s="49">
        <f t="shared" si="3"/>
        <v>31844</v>
      </c>
      <c r="S42" s="49">
        <f t="shared" si="4"/>
        <v>0</v>
      </c>
      <c r="U42" s="49">
        <f>民間設備製造1!H44</f>
        <v>1989</v>
      </c>
      <c r="V42" s="49">
        <f t="shared" si="5"/>
        <v>35053</v>
      </c>
    </row>
    <row r="43" spans="1:23">
      <c r="A43" s="300">
        <v>443</v>
      </c>
      <c r="B43" s="90" t="s">
        <v>204</v>
      </c>
      <c r="C43" s="830">
        <v>156539</v>
      </c>
      <c r="D43" s="830">
        <v>38515</v>
      </c>
      <c r="E43" s="830">
        <v>8298</v>
      </c>
      <c r="F43" s="830">
        <v>24333</v>
      </c>
      <c r="G43" s="830">
        <v>2806</v>
      </c>
      <c r="H43" s="830">
        <v>21260</v>
      </c>
      <c r="I43" s="830">
        <v>267</v>
      </c>
      <c r="J43" s="830">
        <v>2928</v>
      </c>
      <c r="K43" s="830">
        <v>74074</v>
      </c>
      <c r="L43" s="856">
        <v>82465</v>
      </c>
      <c r="M43" s="830">
        <v>127523</v>
      </c>
      <c r="N43" s="830">
        <v>63567</v>
      </c>
      <c r="O43" s="831">
        <v>18509</v>
      </c>
      <c r="P43" s="293">
        <v>443</v>
      </c>
      <c r="Q43" s="293"/>
      <c r="R43" s="49">
        <f t="shared" si="3"/>
        <v>156539</v>
      </c>
      <c r="S43" s="49">
        <f t="shared" si="4"/>
        <v>0</v>
      </c>
      <c r="U43" s="49">
        <f>民間設備製造1!H45</f>
        <v>14306</v>
      </c>
      <c r="V43" s="49">
        <f t="shared" si="5"/>
        <v>66853</v>
      </c>
    </row>
    <row r="44" spans="1:23">
      <c r="A44" s="302">
        <v>446</v>
      </c>
      <c r="B44" s="201" t="s">
        <v>234</v>
      </c>
      <c r="C44" s="837">
        <v>28994</v>
      </c>
      <c r="D44" s="830">
        <v>21825</v>
      </c>
      <c r="E44" s="830">
        <v>8549</v>
      </c>
      <c r="F44" s="830">
        <v>4907</v>
      </c>
      <c r="G44" s="830">
        <v>363</v>
      </c>
      <c r="H44" s="830">
        <v>4410</v>
      </c>
      <c r="I44" s="830">
        <v>134</v>
      </c>
      <c r="J44" s="830">
        <v>1973</v>
      </c>
      <c r="K44" s="830">
        <v>37254</v>
      </c>
      <c r="L44" s="856">
        <v>-8260</v>
      </c>
      <c r="M44" s="830">
        <v>27622</v>
      </c>
      <c r="N44" s="830">
        <v>31970</v>
      </c>
      <c r="O44" s="835">
        <v>-3912</v>
      </c>
      <c r="P44" s="293">
        <v>446</v>
      </c>
      <c r="Q44" s="293"/>
      <c r="R44" s="49">
        <f t="shared" si="3"/>
        <v>28994</v>
      </c>
      <c r="S44" s="49">
        <f t="shared" si="4"/>
        <v>0</v>
      </c>
      <c r="U44" s="49">
        <f>民間設備製造1!H46</f>
        <v>733</v>
      </c>
      <c r="V44" s="49">
        <f t="shared" si="5"/>
        <v>33443</v>
      </c>
    </row>
    <row r="45" spans="1:23">
      <c r="A45" s="301">
        <v>6</v>
      </c>
      <c r="B45" s="306" t="s">
        <v>205</v>
      </c>
      <c r="C45" s="830">
        <v>955124</v>
      </c>
      <c r="D45" s="827">
        <v>539122</v>
      </c>
      <c r="E45" s="827">
        <v>128492</v>
      </c>
      <c r="F45" s="827">
        <v>191510</v>
      </c>
      <c r="G45" s="827">
        <v>24364</v>
      </c>
      <c r="H45" s="827">
        <v>163909</v>
      </c>
      <c r="I45" s="827">
        <v>3237</v>
      </c>
      <c r="J45" s="827">
        <v>37538</v>
      </c>
      <c r="K45" s="827">
        <v>896662</v>
      </c>
      <c r="L45" s="855">
        <v>58462</v>
      </c>
      <c r="M45" s="827">
        <v>822519</v>
      </c>
      <c r="N45" s="827">
        <v>769479</v>
      </c>
      <c r="O45" s="828">
        <v>5422</v>
      </c>
      <c r="P45" s="293">
        <v>6</v>
      </c>
      <c r="Q45" s="293"/>
      <c r="R45" s="49">
        <f t="shared" si="3"/>
        <v>955124</v>
      </c>
      <c r="S45" s="49">
        <f t="shared" si="4"/>
        <v>0</v>
      </c>
      <c r="U45" s="49">
        <f>民間設備製造1!H47</f>
        <v>77048</v>
      </c>
      <c r="V45" s="49">
        <f t="shared" si="5"/>
        <v>806564</v>
      </c>
    </row>
    <row r="46" spans="1:23">
      <c r="A46" s="300">
        <v>208</v>
      </c>
      <c r="B46" s="90" t="s">
        <v>206</v>
      </c>
      <c r="C46" s="830">
        <v>98484</v>
      </c>
      <c r="D46" s="830">
        <v>69043</v>
      </c>
      <c r="E46" s="830">
        <v>13176</v>
      </c>
      <c r="F46" s="830">
        <v>20816</v>
      </c>
      <c r="G46" s="830">
        <v>2987</v>
      </c>
      <c r="H46" s="830">
        <v>17444</v>
      </c>
      <c r="I46" s="830">
        <v>385</v>
      </c>
      <c r="J46" s="830">
        <v>3654</v>
      </c>
      <c r="K46" s="830">
        <v>106689</v>
      </c>
      <c r="L46" s="856">
        <v>-8205</v>
      </c>
      <c r="M46" s="830">
        <v>84770</v>
      </c>
      <c r="N46" s="830">
        <v>91556</v>
      </c>
      <c r="O46" s="831">
        <v>-1419</v>
      </c>
      <c r="P46" s="293">
        <v>208</v>
      </c>
      <c r="Q46" s="293"/>
      <c r="R46" s="49">
        <f t="shared" si="3"/>
        <v>98484</v>
      </c>
      <c r="S46" s="49">
        <f t="shared" si="4"/>
        <v>0</v>
      </c>
      <c r="U46" s="49">
        <f>民間設備製造1!H48</f>
        <v>7049</v>
      </c>
      <c r="V46" s="49">
        <f t="shared" si="5"/>
        <v>95909</v>
      </c>
    </row>
    <row r="47" spans="1:23">
      <c r="A47" s="300">
        <v>212</v>
      </c>
      <c r="B47" s="90" t="s">
        <v>207</v>
      </c>
      <c r="C47" s="830">
        <v>211032</v>
      </c>
      <c r="D47" s="830">
        <v>107752</v>
      </c>
      <c r="E47" s="830">
        <v>23832</v>
      </c>
      <c r="F47" s="830">
        <v>45118</v>
      </c>
      <c r="G47" s="830">
        <v>4199</v>
      </c>
      <c r="H47" s="830">
        <v>40258</v>
      </c>
      <c r="I47" s="830">
        <v>661</v>
      </c>
      <c r="J47" s="830">
        <v>6479</v>
      </c>
      <c r="K47" s="830">
        <v>183181</v>
      </c>
      <c r="L47" s="856">
        <v>27851</v>
      </c>
      <c r="M47" s="830">
        <v>179131</v>
      </c>
      <c r="N47" s="830">
        <v>157199</v>
      </c>
      <c r="O47" s="831">
        <v>5919</v>
      </c>
      <c r="P47" s="293">
        <v>212</v>
      </c>
      <c r="Q47" s="293"/>
      <c r="R47" s="49">
        <f t="shared" si="3"/>
        <v>211032</v>
      </c>
      <c r="S47" s="49">
        <f t="shared" si="4"/>
        <v>0</v>
      </c>
      <c r="U47" s="49">
        <f>民間設備製造1!H49</f>
        <v>22707</v>
      </c>
      <c r="V47" s="49">
        <f t="shared" si="5"/>
        <v>164969</v>
      </c>
    </row>
    <row r="48" spans="1:23">
      <c r="A48" s="300">
        <v>227</v>
      </c>
      <c r="B48" s="90" t="s">
        <v>219</v>
      </c>
      <c r="C48" s="830">
        <v>113937</v>
      </c>
      <c r="D48" s="830">
        <v>75157</v>
      </c>
      <c r="E48" s="830">
        <v>23726</v>
      </c>
      <c r="F48" s="830">
        <v>17433</v>
      </c>
      <c r="G48" s="830">
        <v>2564</v>
      </c>
      <c r="H48" s="830">
        <v>14417</v>
      </c>
      <c r="I48" s="830">
        <v>452</v>
      </c>
      <c r="J48" s="830">
        <v>8887</v>
      </c>
      <c r="K48" s="830">
        <v>125203</v>
      </c>
      <c r="L48" s="856">
        <v>-11266</v>
      </c>
      <c r="M48" s="830">
        <v>102912</v>
      </c>
      <c r="N48" s="830">
        <v>107444</v>
      </c>
      <c r="O48" s="831">
        <v>-6734</v>
      </c>
      <c r="P48" s="293">
        <v>227</v>
      </c>
      <c r="Q48" s="293"/>
      <c r="R48" s="49">
        <f t="shared" ref="R48:R65" si="6">D48+E48+F48+J48+L48</f>
        <v>113937</v>
      </c>
      <c r="S48" s="49">
        <f t="shared" ref="S48:S65" si="7">R48-C48</f>
        <v>0</v>
      </c>
      <c r="U48" s="49">
        <f>民間設備製造1!H50</f>
        <v>2046</v>
      </c>
      <c r="V48" s="49">
        <f t="shared" ref="V48:V65" si="8">D48+E48+G48+J48+U48</f>
        <v>112380</v>
      </c>
    </row>
    <row r="49" spans="1:22">
      <c r="A49" s="300">
        <v>229</v>
      </c>
      <c r="B49" s="90" t="s">
        <v>235</v>
      </c>
      <c r="C49" s="830">
        <v>324835</v>
      </c>
      <c r="D49" s="830">
        <v>150029</v>
      </c>
      <c r="E49" s="830">
        <v>33564</v>
      </c>
      <c r="F49" s="830">
        <v>67587</v>
      </c>
      <c r="G49" s="830">
        <v>7792</v>
      </c>
      <c r="H49" s="830">
        <v>58861</v>
      </c>
      <c r="I49" s="830">
        <v>934</v>
      </c>
      <c r="J49" s="830">
        <v>7605</v>
      </c>
      <c r="K49" s="830">
        <v>258785</v>
      </c>
      <c r="L49" s="856">
        <v>66050</v>
      </c>
      <c r="M49" s="830">
        <v>273951</v>
      </c>
      <c r="N49" s="830">
        <v>222079</v>
      </c>
      <c r="O49" s="831">
        <v>14178</v>
      </c>
      <c r="P49" s="293">
        <v>229</v>
      </c>
      <c r="Q49" s="293"/>
      <c r="R49" s="49">
        <f t="shared" si="6"/>
        <v>324835</v>
      </c>
      <c r="S49" s="49">
        <f t="shared" si="7"/>
        <v>0</v>
      </c>
      <c r="U49" s="49">
        <f>民間設備製造1!H51</f>
        <v>34122</v>
      </c>
      <c r="V49" s="49">
        <f t="shared" si="8"/>
        <v>233112</v>
      </c>
    </row>
    <row r="50" spans="1:22">
      <c r="A50" s="300">
        <v>464</v>
      </c>
      <c r="B50" s="90" t="s">
        <v>208</v>
      </c>
      <c r="C50" s="830">
        <v>106792</v>
      </c>
      <c r="D50" s="830">
        <v>67583</v>
      </c>
      <c r="E50" s="830">
        <v>9553</v>
      </c>
      <c r="F50" s="830">
        <v>22953</v>
      </c>
      <c r="G50" s="830">
        <v>3795</v>
      </c>
      <c r="H50" s="830">
        <v>18789</v>
      </c>
      <c r="I50" s="830">
        <v>369</v>
      </c>
      <c r="J50" s="830">
        <v>1994</v>
      </c>
      <c r="K50" s="830">
        <v>102083</v>
      </c>
      <c r="L50" s="856">
        <v>4709</v>
      </c>
      <c r="M50" s="830">
        <v>89219</v>
      </c>
      <c r="N50" s="830">
        <v>87603</v>
      </c>
      <c r="O50" s="831">
        <v>3093</v>
      </c>
      <c r="P50" s="293">
        <v>464</v>
      </c>
      <c r="Q50" s="293"/>
      <c r="R50" s="49">
        <f t="shared" si="6"/>
        <v>106792</v>
      </c>
      <c r="S50" s="49">
        <f t="shared" si="7"/>
        <v>0</v>
      </c>
      <c r="U50" s="49">
        <f>民間設備製造1!H52</f>
        <v>8904</v>
      </c>
      <c r="V50" s="49">
        <f t="shared" si="8"/>
        <v>91829</v>
      </c>
    </row>
    <row r="51" spans="1:22">
      <c r="A51" s="300">
        <v>481</v>
      </c>
      <c r="B51" s="90" t="s">
        <v>209</v>
      </c>
      <c r="C51" s="830">
        <v>40780</v>
      </c>
      <c r="D51" s="830">
        <v>33557</v>
      </c>
      <c r="E51" s="830">
        <v>8595</v>
      </c>
      <c r="F51" s="830">
        <v>7476</v>
      </c>
      <c r="G51" s="830">
        <v>807</v>
      </c>
      <c r="H51" s="830">
        <v>6483</v>
      </c>
      <c r="I51" s="830">
        <v>186</v>
      </c>
      <c r="J51" s="830">
        <v>1802</v>
      </c>
      <c r="K51" s="830">
        <v>51430</v>
      </c>
      <c r="L51" s="856">
        <v>-10650</v>
      </c>
      <c r="M51" s="830">
        <v>36892</v>
      </c>
      <c r="N51" s="830">
        <v>44135</v>
      </c>
      <c r="O51" s="831">
        <v>-3407</v>
      </c>
      <c r="P51" s="293">
        <v>481</v>
      </c>
      <c r="Q51" s="293"/>
      <c r="R51" s="49">
        <f t="shared" si="6"/>
        <v>40780</v>
      </c>
      <c r="S51" s="49">
        <f t="shared" si="7"/>
        <v>0</v>
      </c>
      <c r="U51" s="49">
        <f>民間設備製造1!H53</f>
        <v>1418</v>
      </c>
      <c r="V51" s="49">
        <f t="shared" si="8"/>
        <v>46179</v>
      </c>
    </row>
    <row r="52" spans="1:22">
      <c r="A52" s="302">
        <v>501</v>
      </c>
      <c r="B52" s="201" t="s">
        <v>236</v>
      </c>
      <c r="C52" s="830">
        <v>59264</v>
      </c>
      <c r="D52" s="830">
        <v>36001</v>
      </c>
      <c r="E52" s="830">
        <v>16046</v>
      </c>
      <c r="F52" s="830">
        <v>10127</v>
      </c>
      <c r="G52" s="830">
        <v>2220</v>
      </c>
      <c r="H52" s="830">
        <v>7657</v>
      </c>
      <c r="I52" s="830">
        <v>250</v>
      </c>
      <c r="J52" s="830">
        <v>7117</v>
      </c>
      <c r="K52" s="830">
        <v>69291</v>
      </c>
      <c r="L52" s="858">
        <v>-10027</v>
      </c>
      <c r="M52" s="837">
        <v>55644</v>
      </c>
      <c r="N52" s="837">
        <v>59463</v>
      </c>
      <c r="O52" s="835">
        <v>-6208</v>
      </c>
      <c r="P52" s="293">
        <v>501</v>
      </c>
      <c r="Q52" s="293"/>
      <c r="R52" s="49">
        <f t="shared" si="6"/>
        <v>59264</v>
      </c>
      <c r="S52" s="49">
        <f t="shared" si="7"/>
        <v>0</v>
      </c>
      <c r="U52" s="49">
        <f>民間設備製造1!H54</f>
        <v>802</v>
      </c>
      <c r="V52" s="49">
        <f t="shared" si="8"/>
        <v>62186</v>
      </c>
    </row>
    <row r="53" spans="1:22">
      <c r="A53" s="301">
        <v>7</v>
      </c>
      <c r="B53" s="347" t="s">
        <v>210</v>
      </c>
      <c r="C53" s="827">
        <v>565410</v>
      </c>
      <c r="D53" s="827">
        <v>379074</v>
      </c>
      <c r="E53" s="827">
        <v>116256</v>
      </c>
      <c r="F53" s="827">
        <v>112013</v>
      </c>
      <c r="G53" s="827">
        <v>10033</v>
      </c>
      <c r="H53" s="827">
        <v>99643</v>
      </c>
      <c r="I53" s="827">
        <v>2337</v>
      </c>
      <c r="J53" s="827">
        <v>40045</v>
      </c>
      <c r="K53" s="827">
        <v>647388</v>
      </c>
      <c r="L53" s="856">
        <v>-81978</v>
      </c>
      <c r="M53" s="830">
        <v>509850</v>
      </c>
      <c r="N53" s="830">
        <v>555561</v>
      </c>
      <c r="O53" s="828">
        <v>-36267</v>
      </c>
      <c r="P53" s="293">
        <v>7</v>
      </c>
      <c r="Q53" s="293"/>
      <c r="R53" s="49">
        <f t="shared" si="6"/>
        <v>565410</v>
      </c>
      <c r="S53" s="49">
        <f t="shared" si="7"/>
        <v>0</v>
      </c>
      <c r="U53" s="49">
        <f>民間設備製造1!H55</f>
        <v>36394</v>
      </c>
      <c r="V53" s="49">
        <f t="shared" si="8"/>
        <v>581802</v>
      </c>
    </row>
    <row r="54" spans="1:22">
      <c r="A54" s="300">
        <v>209</v>
      </c>
      <c r="B54" s="90" t="s">
        <v>221</v>
      </c>
      <c r="C54" s="830">
        <v>274173</v>
      </c>
      <c r="D54" s="830">
        <v>179434</v>
      </c>
      <c r="E54" s="830">
        <v>48849</v>
      </c>
      <c r="F54" s="830">
        <v>62713</v>
      </c>
      <c r="G54" s="830">
        <v>6581</v>
      </c>
      <c r="H54" s="830">
        <v>55021</v>
      </c>
      <c r="I54" s="830">
        <v>1111</v>
      </c>
      <c r="J54" s="830">
        <v>16882</v>
      </c>
      <c r="K54" s="830">
        <v>307878</v>
      </c>
      <c r="L54" s="856">
        <v>-33705</v>
      </c>
      <c r="M54" s="830">
        <v>242937</v>
      </c>
      <c r="N54" s="830">
        <v>264208</v>
      </c>
      <c r="O54" s="831">
        <v>-12434</v>
      </c>
      <c r="P54" s="293">
        <v>209</v>
      </c>
      <c r="Q54" s="293"/>
      <c r="R54" s="49">
        <f t="shared" si="6"/>
        <v>274173</v>
      </c>
      <c r="S54" s="49">
        <f t="shared" si="7"/>
        <v>0</v>
      </c>
      <c r="U54" s="49">
        <f>民間設備製造1!H56</f>
        <v>25160</v>
      </c>
      <c r="V54" s="49">
        <f t="shared" si="8"/>
        <v>276906</v>
      </c>
    </row>
    <row r="55" spans="1:22">
      <c r="A55" s="300">
        <v>222</v>
      </c>
      <c r="B55" s="90" t="s">
        <v>218</v>
      </c>
      <c r="C55" s="830">
        <v>83905</v>
      </c>
      <c r="D55" s="830">
        <v>55308</v>
      </c>
      <c r="E55" s="830">
        <v>18748</v>
      </c>
      <c r="F55" s="830">
        <v>13532</v>
      </c>
      <c r="G55" s="830">
        <v>706</v>
      </c>
      <c r="H55" s="830">
        <v>12484</v>
      </c>
      <c r="I55" s="830">
        <v>342</v>
      </c>
      <c r="J55" s="830">
        <v>7053</v>
      </c>
      <c r="K55" s="830">
        <v>94641</v>
      </c>
      <c r="L55" s="856">
        <v>-10736</v>
      </c>
      <c r="M55" s="830">
        <v>76514</v>
      </c>
      <c r="N55" s="830">
        <v>81217</v>
      </c>
      <c r="O55" s="831">
        <v>-6033</v>
      </c>
      <c r="P55" s="293">
        <v>222</v>
      </c>
      <c r="Q55" s="293"/>
      <c r="R55" s="49">
        <f t="shared" si="6"/>
        <v>83905</v>
      </c>
      <c r="S55" s="49">
        <f t="shared" si="7"/>
        <v>0</v>
      </c>
      <c r="U55" s="49">
        <f>民間設備製造1!H57</f>
        <v>3178</v>
      </c>
      <c r="V55" s="49">
        <f t="shared" si="8"/>
        <v>84993</v>
      </c>
    </row>
    <row r="56" spans="1:22">
      <c r="A56" s="300">
        <v>225</v>
      </c>
      <c r="B56" s="90" t="s">
        <v>222</v>
      </c>
      <c r="C56" s="830">
        <v>118462</v>
      </c>
      <c r="D56" s="830">
        <v>71907</v>
      </c>
      <c r="E56" s="830">
        <v>24186</v>
      </c>
      <c r="F56" s="830">
        <v>21483</v>
      </c>
      <c r="G56" s="830">
        <v>1595</v>
      </c>
      <c r="H56" s="830">
        <v>19433</v>
      </c>
      <c r="I56" s="830">
        <v>455</v>
      </c>
      <c r="J56" s="830">
        <v>8506</v>
      </c>
      <c r="K56" s="830">
        <v>126082</v>
      </c>
      <c r="L56" s="856">
        <v>-7620</v>
      </c>
      <c r="M56" s="830">
        <v>106723</v>
      </c>
      <c r="N56" s="830">
        <v>108198</v>
      </c>
      <c r="O56" s="831">
        <v>-6145</v>
      </c>
      <c r="P56" s="293">
        <v>225</v>
      </c>
      <c r="Q56" s="293"/>
      <c r="R56" s="49">
        <f t="shared" si="6"/>
        <v>118462</v>
      </c>
      <c r="S56" s="49">
        <f t="shared" si="7"/>
        <v>0</v>
      </c>
      <c r="U56" s="49">
        <f>民間設備製造1!H58</f>
        <v>7115</v>
      </c>
      <c r="V56" s="49">
        <f t="shared" si="8"/>
        <v>113309</v>
      </c>
    </row>
    <row r="57" spans="1:22">
      <c r="A57" s="300">
        <v>585</v>
      </c>
      <c r="B57" s="90" t="s">
        <v>220</v>
      </c>
      <c r="C57" s="830">
        <v>51320</v>
      </c>
      <c r="D57" s="830">
        <v>39486</v>
      </c>
      <c r="E57" s="830">
        <v>13263</v>
      </c>
      <c r="F57" s="830">
        <v>7602</v>
      </c>
      <c r="G57" s="830">
        <v>727</v>
      </c>
      <c r="H57" s="830">
        <v>6641</v>
      </c>
      <c r="I57" s="830">
        <v>234</v>
      </c>
      <c r="J57" s="830">
        <v>4367</v>
      </c>
      <c r="K57" s="830">
        <v>64718</v>
      </c>
      <c r="L57" s="856">
        <v>-13398</v>
      </c>
      <c r="M57" s="830">
        <v>47824</v>
      </c>
      <c r="N57" s="830">
        <v>55538</v>
      </c>
      <c r="O57" s="831">
        <v>-5684</v>
      </c>
      <c r="P57" s="293">
        <v>585</v>
      </c>
      <c r="Q57" s="293"/>
      <c r="R57" s="49">
        <f t="shared" si="6"/>
        <v>51320</v>
      </c>
      <c r="S57" s="49">
        <f t="shared" si="7"/>
        <v>0</v>
      </c>
      <c r="U57" s="49">
        <f>民間設備製造1!H59</f>
        <v>224</v>
      </c>
      <c r="V57" s="49">
        <f t="shared" si="8"/>
        <v>58067</v>
      </c>
    </row>
    <row r="58" spans="1:22">
      <c r="A58" s="302">
        <v>586</v>
      </c>
      <c r="B58" s="201" t="s">
        <v>237</v>
      </c>
      <c r="C58" s="837">
        <v>37550</v>
      </c>
      <c r="D58" s="830">
        <v>32939</v>
      </c>
      <c r="E58" s="830">
        <v>11210</v>
      </c>
      <c r="F58" s="830">
        <v>6683</v>
      </c>
      <c r="G58" s="830">
        <v>424</v>
      </c>
      <c r="H58" s="830">
        <v>6064</v>
      </c>
      <c r="I58" s="830">
        <v>195</v>
      </c>
      <c r="J58" s="830">
        <v>3237</v>
      </c>
      <c r="K58" s="830">
        <v>54069</v>
      </c>
      <c r="L58" s="856">
        <v>-16519</v>
      </c>
      <c r="M58" s="830">
        <v>35852</v>
      </c>
      <c r="N58" s="830">
        <v>46400</v>
      </c>
      <c r="O58" s="835">
        <v>-5971</v>
      </c>
      <c r="P58" s="293">
        <v>586</v>
      </c>
      <c r="Q58" s="293"/>
      <c r="R58" s="49">
        <f t="shared" si="6"/>
        <v>37550</v>
      </c>
      <c r="S58" s="49">
        <f t="shared" si="7"/>
        <v>0</v>
      </c>
      <c r="U58" s="49">
        <f>民間設備製造1!H60</f>
        <v>717</v>
      </c>
      <c r="V58" s="49">
        <f t="shared" si="8"/>
        <v>48527</v>
      </c>
    </row>
    <row r="59" spans="1:22">
      <c r="A59" s="300">
        <v>8</v>
      </c>
      <c r="B59" s="86" t="s">
        <v>211</v>
      </c>
      <c r="C59" s="830">
        <v>355318</v>
      </c>
      <c r="D59" s="827">
        <v>230814</v>
      </c>
      <c r="E59" s="827">
        <v>58301</v>
      </c>
      <c r="F59" s="827">
        <v>61820</v>
      </c>
      <c r="G59" s="827">
        <v>6419</v>
      </c>
      <c r="H59" s="827">
        <v>54093</v>
      </c>
      <c r="I59" s="827">
        <v>1308</v>
      </c>
      <c r="J59" s="827">
        <v>11345</v>
      </c>
      <c r="K59" s="827">
        <v>362280</v>
      </c>
      <c r="L59" s="855">
        <v>-6962</v>
      </c>
      <c r="M59" s="827">
        <v>311980</v>
      </c>
      <c r="N59" s="827">
        <v>310894</v>
      </c>
      <c r="O59" s="828">
        <v>-8048</v>
      </c>
      <c r="P59" s="293">
        <v>8</v>
      </c>
      <c r="Q59" s="293"/>
      <c r="R59" s="49">
        <f t="shared" si="6"/>
        <v>355318</v>
      </c>
      <c r="S59" s="49">
        <f t="shared" si="7"/>
        <v>0</v>
      </c>
      <c r="U59" s="49">
        <f>民間設備製造1!H61</f>
        <v>18650</v>
      </c>
      <c r="V59" s="49">
        <f t="shared" si="8"/>
        <v>325529</v>
      </c>
    </row>
    <row r="60" spans="1:22">
      <c r="A60" s="300">
        <v>221</v>
      </c>
      <c r="B60" s="90" t="s">
        <v>1144</v>
      </c>
      <c r="C60" s="830">
        <v>115472</v>
      </c>
      <c r="D60" s="830">
        <v>95238</v>
      </c>
      <c r="E60" s="830">
        <v>23612</v>
      </c>
      <c r="F60" s="830">
        <v>25177</v>
      </c>
      <c r="G60" s="830">
        <v>2644</v>
      </c>
      <c r="H60" s="830">
        <v>22003</v>
      </c>
      <c r="I60" s="830">
        <v>530</v>
      </c>
      <c r="J60" s="830">
        <v>2884</v>
      </c>
      <c r="K60" s="830">
        <v>146911</v>
      </c>
      <c r="L60" s="856">
        <v>-31439</v>
      </c>
      <c r="M60" s="830">
        <v>104051</v>
      </c>
      <c r="N60" s="830">
        <v>126073</v>
      </c>
      <c r="O60" s="831">
        <v>-9417</v>
      </c>
      <c r="P60" s="293">
        <v>221</v>
      </c>
      <c r="Q60" s="293"/>
      <c r="R60" s="49">
        <f t="shared" si="6"/>
        <v>115472</v>
      </c>
      <c r="S60" s="49">
        <f t="shared" si="7"/>
        <v>0</v>
      </c>
      <c r="U60" s="49">
        <f>民間設備製造1!H62</f>
        <v>7632</v>
      </c>
      <c r="V60" s="49">
        <f t="shared" si="8"/>
        <v>132010</v>
      </c>
    </row>
    <row r="61" spans="1:22">
      <c r="A61" s="300">
        <v>223</v>
      </c>
      <c r="B61" s="90" t="s">
        <v>223</v>
      </c>
      <c r="C61" s="830">
        <v>239846</v>
      </c>
      <c r="D61" s="830">
        <v>135576</v>
      </c>
      <c r="E61" s="830">
        <v>34689</v>
      </c>
      <c r="F61" s="830">
        <v>36643</v>
      </c>
      <c r="G61" s="830">
        <v>3775</v>
      </c>
      <c r="H61" s="830">
        <v>32090</v>
      </c>
      <c r="I61" s="830">
        <v>778</v>
      </c>
      <c r="J61" s="830">
        <v>8461</v>
      </c>
      <c r="K61" s="830">
        <v>215369</v>
      </c>
      <c r="L61" s="858">
        <v>24477</v>
      </c>
      <c r="M61" s="837">
        <v>207929</v>
      </c>
      <c r="N61" s="837">
        <v>184821</v>
      </c>
      <c r="O61" s="835">
        <v>1369</v>
      </c>
      <c r="P61" s="293">
        <v>223</v>
      </c>
      <c r="Q61" s="293"/>
      <c r="R61" s="49">
        <f t="shared" si="6"/>
        <v>239846</v>
      </c>
      <c r="S61" s="49">
        <f t="shared" si="7"/>
        <v>0</v>
      </c>
      <c r="U61" s="49">
        <f>民間設備製造1!H63</f>
        <v>11018</v>
      </c>
      <c r="V61" s="49">
        <f t="shared" si="8"/>
        <v>193519</v>
      </c>
    </row>
    <row r="62" spans="1:22">
      <c r="A62" s="301">
        <v>9</v>
      </c>
      <c r="B62" s="346" t="s">
        <v>212</v>
      </c>
      <c r="C62" s="827">
        <v>441034</v>
      </c>
      <c r="D62" s="827">
        <v>280518</v>
      </c>
      <c r="E62" s="827">
        <v>74382</v>
      </c>
      <c r="F62" s="827">
        <v>71372</v>
      </c>
      <c r="G62" s="827">
        <v>12051</v>
      </c>
      <c r="H62" s="827">
        <v>57692</v>
      </c>
      <c r="I62" s="827">
        <v>1629</v>
      </c>
      <c r="J62" s="827">
        <v>24867</v>
      </c>
      <c r="K62" s="827">
        <v>451139</v>
      </c>
      <c r="L62" s="856">
        <v>-10105</v>
      </c>
      <c r="M62" s="830">
        <v>388393</v>
      </c>
      <c r="N62" s="830">
        <v>387149</v>
      </c>
      <c r="O62" s="831">
        <v>-11349</v>
      </c>
      <c r="P62" s="293">
        <v>9</v>
      </c>
      <c r="Q62" s="293"/>
      <c r="R62" s="49">
        <f t="shared" si="6"/>
        <v>441034</v>
      </c>
      <c r="S62" s="49">
        <f t="shared" si="7"/>
        <v>0</v>
      </c>
      <c r="U62" s="49">
        <f>民間設備製造1!H64</f>
        <v>13279</v>
      </c>
      <c r="V62" s="49">
        <f t="shared" si="8"/>
        <v>405097</v>
      </c>
    </row>
    <row r="63" spans="1:22">
      <c r="A63" s="300">
        <v>205</v>
      </c>
      <c r="B63" s="92" t="s">
        <v>241</v>
      </c>
      <c r="C63" s="830">
        <v>155744</v>
      </c>
      <c r="D63" s="830">
        <v>97408</v>
      </c>
      <c r="E63" s="830">
        <v>22251</v>
      </c>
      <c r="F63" s="830">
        <v>26249</v>
      </c>
      <c r="G63" s="830">
        <v>3694</v>
      </c>
      <c r="H63" s="830">
        <v>22003</v>
      </c>
      <c r="I63" s="830">
        <v>552</v>
      </c>
      <c r="J63" s="830">
        <v>6952</v>
      </c>
      <c r="K63" s="830">
        <v>152860</v>
      </c>
      <c r="L63" s="856">
        <v>2884</v>
      </c>
      <c r="M63" s="830">
        <v>134863</v>
      </c>
      <c r="N63" s="830">
        <v>131178</v>
      </c>
      <c r="O63" s="831">
        <v>-801</v>
      </c>
      <c r="P63" s="293">
        <v>205</v>
      </c>
      <c r="Q63" s="293"/>
      <c r="R63" s="49">
        <f t="shared" si="6"/>
        <v>155744</v>
      </c>
      <c r="S63" s="49">
        <f t="shared" si="7"/>
        <v>0</v>
      </c>
      <c r="U63" s="49">
        <f>民間設備製造1!H65</f>
        <v>7024</v>
      </c>
      <c r="V63" s="49">
        <f t="shared" si="8"/>
        <v>137329</v>
      </c>
    </row>
    <row r="64" spans="1:22">
      <c r="A64" s="300">
        <v>224</v>
      </c>
      <c r="B64" s="90" t="s">
        <v>224</v>
      </c>
      <c r="C64" s="830">
        <v>153569</v>
      </c>
      <c r="D64" s="830">
        <v>90457</v>
      </c>
      <c r="E64" s="830">
        <v>26691</v>
      </c>
      <c r="F64" s="830">
        <v>20770</v>
      </c>
      <c r="G64" s="830">
        <v>4421</v>
      </c>
      <c r="H64" s="830">
        <v>15822</v>
      </c>
      <c r="I64" s="830">
        <v>527</v>
      </c>
      <c r="J64" s="830">
        <v>7923</v>
      </c>
      <c r="K64" s="830">
        <v>145841</v>
      </c>
      <c r="L64" s="856">
        <v>7728</v>
      </c>
      <c r="M64" s="830">
        <v>135691</v>
      </c>
      <c r="N64" s="830">
        <v>125155</v>
      </c>
      <c r="O64" s="831">
        <v>-2808</v>
      </c>
      <c r="P64" s="293">
        <v>224</v>
      </c>
      <c r="Q64" s="293"/>
      <c r="R64" s="49">
        <f t="shared" si="6"/>
        <v>153569</v>
      </c>
      <c r="S64" s="49">
        <f t="shared" si="7"/>
        <v>0</v>
      </c>
      <c r="U64" s="49">
        <f>民間設備製造1!H66</f>
        <v>1384</v>
      </c>
      <c r="V64" s="49">
        <f t="shared" si="8"/>
        <v>130876</v>
      </c>
    </row>
    <row r="65" spans="1:22">
      <c r="A65" s="302">
        <v>226</v>
      </c>
      <c r="B65" s="201" t="s">
        <v>225</v>
      </c>
      <c r="C65" s="837">
        <v>131721</v>
      </c>
      <c r="D65" s="837">
        <v>92653</v>
      </c>
      <c r="E65" s="837">
        <v>25440</v>
      </c>
      <c r="F65" s="837">
        <v>24353</v>
      </c>
      <c r="G65" s="837">
        <v>3936</v>
      </c>
      <c r="H65" s="837">
        <v>19867</v>
      </c>
      <c r="I65" s="837">
        <v>550</v>
      </c>
      <c r="J65" s="837">
        <v>9992</v>
      </c>
      <c r="K65" s="837">
        <v>152438</v>
      </c>
      <c r="L65" s="858">
        <v>-20717</v>
      </c>
      <c r="M65" s="837">
        <v>117839</v>
      </c>
      <c r="N65" s="837">
        <v>130816</v>
      </c>
      <c r="O65" s="835">
        <v>-7740</v>
      </c>
      <c r="P65" s="293">
        <v>226</v>
      </c>
      <c r="Q65" s="293"/>
      <c r="R65" s="49">
        <f t="shared" si="6"/>
        <v>131721</v>
      </c>
      <c r="S65" s="49">
        <f t="shared" si="7"/>
        <v>0</v>
      </c>
      <c r="U65" s="49">
        <f>民間設備製造1!H67</f>
        <v>4871</v>
      </c>
      <c r="V65" s="49">
        <f t="shared" si="8"/>
        <v>136892</v>
      </c>
    </row>
    <row r="66" spans="1:22">
      <c r="A66" s="75"/>
      <c r="B66" s="75"/>
      <c r="C66" s="239"/>
      <c r="D66" s="239"/>
      <c r="E66" s="239"/>
      <c r="F66" s="239"/>
      <c r="G66" s="239"/>
      <c r="H66" s="239"/>
      <c r="I66" s="239"/>
      <c r="J66" s="239"/>
      <c r="K66" s="239"/>
      <c r="L66" s="239"/>
      <c r="M66" s="239"/>
      <c r="N66" s="239"/>
      <c r="O66" s="239"/>
    </row>
    <row r="67" spans="1:22">
      <c r="A67" s="75"/>
      <c r="B67" s="75" t="s">
        <v>1309</v>
      </c>
      <c r="C67" s="239">
        <f>+SUM(C17:C65)/2+C16</f>
        <v>19997123</v>
      </c>
      <c r="D67" s="239">
        <f t="shared" ref="D67:O67" si="9">+SUM(D17:D65)/2+D16</f>
        <v>12761443</v>
      </c>
      <c r="E67" s="239">
        <f t="shared" si="9"/>
        <v>2291991</v>
      </c>
      <c r="F67" s="239">
        <f t="shared" si="9"/>
        <v>4084942</v>
      </c>
      <c r="G67" s="239">
        <f t="shared" si="9"/>
        <v>666390</v>
      </c>
      <c r="H67" s="239">
        <f t="shared" si="9"/>
        <v>3347142</v>
      </c>
      <c r="I67" s="239">
        <f t="shared" si="9"/>
        <v>71410</v>
      </c>
      <c r="J67" s="239">
        <f t="shared" si="9"/>
        <v>642185</v>
      </c>
      <c r="K67" s="239">
        <f t="shared" si="9"/>
        <v>19780561</v>
      </c>
      <c r="L67" s="239">
        <f t="shared" si="9"/>
        <v>216562</v>
      </c>
      <c r="M67" s="239">
        <f t="shared" si="9"/>
        <v>16993567</v>
      </c>
      <c r="N67" s="239">
        <f t="shared" si="9"/>
        <v>16974877</v>
      </c>
      <c r="O67" s="239">
        <f t="shared" si="9"/>
        <v>197872</v>
      </c>
    </row>
    <row r="68" spans="1:22">
      <c r="A68" s="75"/>
      <c r="B68" s="75" t="s">
        <v>1307</v>
      </c>
      <c r="C68" s="239">
        <f>名目県内総支出!M44</f>
        <v>19997123</v>
      </c>
      <c r="D68" s="239">
        <f>名目県内総支出!M6</f>
        <v>12761443</v>
      </c>
      <c r="E68" s="239">
        <f>名目県内総支出!M61</f>
        <v>2291991</v>
      </c>
      <c r="F68" s="239">
        <f>名目県内総支出!M28+名目県内総支出!M36</f>
        <v>4084942</v>
      </c>
      <c r="G68" s="239">
        <f>名目県内総支出!M29</f>
        <v>666390</v>
      </c>
      <c r="H68" s="239">
        <f>名目県内総支出!M30</f>
        <v>3347142</v>
      </c>
      <c r="I68" s="239">
        <f>名目県内総支出!M36</f>
        <v>71410</v>
      </c>
      <c r="J68" s="239">
        <f>名目県内総支出!M31+名目県内総支出!M37</f>
        <v>642185</v>
      </c>
      <c r="K68" s="239">
        <f>名目県内総支出!M62</f>
        <v>19780559</v>
      </c>
      <c r="L68" s="239">
        <f>名目県内総支出!M63</f>
        <v>216564</v>
      </c>
      <c r="M68" s="239">
        <f>名目県内総支出!M39+名目県内総支出!M41+名目県内総支出!M64</f>
        <v>17086366.650561515</v>
      </c>
      <c r="N68" s="239">
        <f>名目県内総支出!M40</f>
        <v>16970634</v>
      </c>
      <c r="O68" s="239">
        <f>名目県内総支出!M43</f>
        <v>197873</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2</v>
      </c>
      <c r="L69" s="838">
        <f t="shared" si="10"/>
        <v>-2</v>
      </c>
      <c r="M69" s="838">
        <f t="shared" si="10"/>
        <v>-92799.650561515242</v>
      </c>
      <c r="N69" s="838">
        <f t="shared" si="10"/>
        <v>4243</v>
      </c>
      <c r="O69" s="838">
        <f t="shared" si="10"/>
        <v>-1</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theme="9" tint="0.59999389629810485"/>
  </sheetPr>
  <dimension ref="A1:V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1" width="8.7109375" style="49"/>
    <col min="12" max="12" width="9.5" style="49" bestFit="1" customWidth="1"/>
    <col min="13" max="14" width="8.92578125" style="49" bestFit="1" customWidth="1"/>
    <col min="15" max="15" width="8.2109375" style="49" customWidth="1"/>
    <col min="16" max="16" width="4.2109375" style="49" customWidth="1"/>
    <col min="17" max="17" width="5.7109375" style="49" customWidth="1"/>
    <col min="18" max="18" width="8.5" style="49" customWidth="1"/>
    <col min="19" max="20" width="5.42578125" style="49" customWidth="1"/>
    <col min="21" max="21" width="9.5703125" style="49" customWidth="1"/>
    <col min="22" max="22" width="8.92578125" style="49" customWidth="1"/>
    <col min="23" max="16384" width="8.7109375" style="49"/>
  </cols>
  <sheetData>
    <row r="1" spans="1:22">
      <c r="A1" s="86"/>
      <c r="B1" s="65" t="s">
        <v>961</v>
      </c>
      <c r="C1" s="239"/>
      <c r="D1" s="239"/>
      <c r="E1" s="239"/>
      <c r="F1" s="1878" t="str">
        <f>'24R5'!F1</f>
        <v>市町民経済計算試算(2026.3)</v>
      </c>
      <c r="G1" s="682"/>
      <c r="H1" s="239" t="s">
        <v>347</v>
      </c>
      <c r="I1" s="239"/>
      <c r="J1" s="239"/>
      <c r="K1" s="239" t="s">
        <v>347</v>
      </c>
      <c r="L1" s="239"/>
      <c r="M1" s="239"/>
      <c r="N1" s="239" t="s">
        <v>818</v>
      </c>
      <c r="O1" s="830"/>
      <c r="R1" s="851" t="s">
        <v>1344</v>
      </c>
      <c r="S1" s="843"/>
    </row>
    <row r="2" spans="1:22" ht="25.5" customHeight="1">
      <c r="A2" s="294"/>
      <c r="B2" s="296" t="s">
        <v>930</v>
      </c>
      <c r="C2" s="275" t="s">
        <v>817</v>
      </c>
      <c r="D2" s="291" t="s">
        <v>68</v>
      </c>
      <c r="E2" s="275" t="s">
        <v>1289</v>
      </c>
      <c r="F2" s="297" t="s">
        <v>69</v>
      </c>
      <c r="G2" s="291"/>
      <c r="H2" s="291"/>
      <c r="I2" s="817"/>
      <c r="J2" s="291" t="s">
        <v>70</v>
      </c>
      <c r="K2" s="275" t="s">
        <v>671</v>
      </c>
      <c r="L2" s="2310" t="s">
        <v>71</v>
      </c>
      <c r="M2" s="2311"/>
      <c r="N2" s="291"/>
      <c r="O2" s="817"/>
      <c r="P2" s="92"/>
      <c r="Q2" s="313"/>
      <c r="R2" s="852" t="s">
        <v>1345</v>
      </c>
      <c r="S2" s="908">
        <f>+SUM(C69:O69)</f>
        <v>-4700.2761920820922</v>
      </c>
      <c r="T2" s="755"/>
      <c r="U2" s="840" t="s">
        <v>1343</v>
      </c>
      <c r="V2" s="841"/>
    </row>
    <row r="3" spans="1:22" ht="28.5">
      <c r="A3" s="357"/>
      <c r="B3" s="92" t="s">
        <v>931</v>
      </c>
      <c r="C3" s="853" t="s">
        <v>82</v>
      </c>
      <c r="D3" s="352"/>
      <c r="E3" s="353"/>
      <c r="F3" s="351" t="s">
        <v>83</v>
      </c>
      <c r="G3" s="297" t="s">
        <v>72</v>
      </c>
      <c r="H3" s="275" t="s">
        <v>73</v>
      </c>
      <c r="I3" s="817" t="s">
        <v>74</v>
      </c>
      <c r="J3" s="352"/>
      <c r="K3" s="853"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27">
        <v>19875506</v>
      </c>
      <c r="D4" s="875">
        <v>12744229</v>
      </c>
      <c r="E4" s="875">
        <v>2321386</v>
      </c>
      <c r="F4" s="875">
        <v>3984129</v>
      </c>
      <c r="G4" s="875">
        <v>676351</v>
      </c>
      <c r="H4" s="875">
        <v>3292201</v>
      </c>
      <c r="I4" s="864">
        <v>15577</v>
      </c>
      <c r="J4" s="875">
        <v>683320</v>
      </c>
      <c r="K4" s="875">
        <v>19733064</v>
      </c>
      <c r="L4" s="862">
        <v>142442</v>
      </c>
      <c r="M4" s="864">
        <v>16697154</v>
      </c>
      <c r="N4" s="864">
        <v>16884304</v>
      </c>
      <c r="O4" s="865">
        <v>329592</v>
      </c>
      <c r="P4" s="77"/>
      <c r="Q4" s="878"/>
      <c r="R4" s="807">
        <f t="shared" ref="R4:R14" si="0">D4+E4+F4+J4+L4</f>
        <v>19875506</v>
      </c>
      <c r="S4" s="807">
        <f t="shared" ref="S4:S14" si="1">R4-C4</f>
        <v>0</v>
      </c>
      <c r="T4" s="807"/>
      <c r="U4" s="49">
        <f>民間設備製造1!H6</f>
        <v>1423245.7470161011</v>
      </c>
      <c r="V4" s="49">
        <f t="shared" ref="V4:V14" si="2">D4+E4+G4+J4+U4</f>
        <v>17848531.747016102</v>
      </c>
    </row>
    <row r="5" spans="1:22">
      <c r="A5" s="298">
        <v>100</v>
      </c>
      <c r="B5" s="75" t="s">
        <v>172</v>
      </c>
      <c r="C5" s="830">
        <v>6348572</v>
      </c>
      <c r="D5" s="850">
        <v>3871326</v>
      </c>
      <c r="E5" s="850">
        <v>675624</v>
      </c>
      <c r="F5" s="850">
        <v>985420</v>
      </c>
      <c r="G5" s="850">
        <v>177511</v>
      </c>
      <c r="H5" s="850">
        <v>803445</v>
      </c>
      <c r="I5" s="868">
        <v>4464</v>
      </c>
      <c r="J5" s="850">
        <v>173336</v>
      </c>
      <c r="K5" s="850">
        <v>5705706</v>
      </c>
      <c r="L5" s="866">
        <v>642866</v>
      </c>
      <c r="M5" s="868">
        <v>5297256</v>
      </c>
      <c r="N5" s="868">
        <v>4882004</v>
      </c>
      <c r="O5" s="869">
        <v>227614</v>
      </c>
      <c r="P5" s="77">
        <v>100</v>
      </c>
      <c r="Q5" s="878"/>
      <c r="R5" s="807">
        <f t="shared" si="0"/>
        <v>6348572</v>
      </c>
      <c r="S5" s="807">
        <f t="shared" si="1"/>
        <v>0</v>
      </c>
      <c r="T5" s="807"/>
      <c r="U5" s="49">
        <f>民間設備製造1!H7</f>
        <v>209380.74701610114</v>
      </c>
      <c r="V5" s="49">
        <f t="shared" si="2"/>
        <v>5107177.7470161011</v>
      </c>
    </row>
    <row r="6" spans="1:22">
      <c r="A6" s="298">
        <v>1</v>
      </c>
      <c r="B6" s="75" t="s">
        <v>323</v>
      </c>
      <c r="C6" s="830">
        <v>3169353</v>
      </c>
      <c r="D6" s="850">
        <v>2531401</v>
      </c>
      <c r="E6" s="850">
        <v>406607</v>
      </c>
      <c r="F6" s="850">
        <v>639113</v>
      </c>
      <c r="G6" s="850">
        <v>144992</v>
      </c>
      <c r="H6" s="850">
        <v>491204</v>
      </c>
      <c r="I6" s="868">
        <v>2917</v>
      </c>
      <c r="J6" s="850">
        <v>93692</v>
      </c>
      <c r="K6" s="850">
        <v>3670813</v>
      </c>
      <c r="L6" s="866">
        <v>-501460</v>
      </c>
      <c r="M6" s="868">
        <v>2682501</v>
      </c>
      <c r="N6" s="868">
        <v>3140876</v>
      </c>
      <c r="O6" s="869">
        <v>-43085</v>
      </c>
      <c r="P6" s="77">
        <v>1</v>
      </c>
      <c r="Q6" s="878"/>
      <c r="R6" s="807">
        <f t="shared" si="0"/>
        <v>3169353</v>
      </c>
      <c r="S6" s="807">
        <f t="shared" si="1"/>
        <v>0</v>
      </c>
      <c r="T6" s="807"/>
      <c r="U6" s="49">
        <f>民間設備製造1!H8</f>
        <v>162652</v>
      </c>
      <c r="V6" s="49">
        <f t="shared" si="2"/>
        <v>3339344</v>
      </c>
    </row>
    <row r="7" spans="1:22">
      <c r="A7" s="298">
        <v>2</v>
      </c>
      <c r="B7" s="75" t="s">
        <v>324</v>
      </c>
      <c r="C7" s="830">
        <v>1951839</v>
      </c>
      <c r="D7" s="850">
        <v>1581757</v>
      </c>
      <c r="E7" s="850">
        <v>272920</v>
      </c>
      <c r="F7" s="850">
        <v>398599</v>
      </c>
      <c r="G7" s="850">
        <v>86134</v>
      </c>
      <c r="H7" s="850">
        <v>310655</v>
      </c>
      <c r="I7" s="868">
        <v>1810</v>
      </c>
      <c r="J7" s="850">
        <v>57833</v>
      </c>
      <c r="K7" s="850">
        <v>2311109</v>
      </c>
      <c r="L7" s="866">
        <v>-359270</v>
      </c>
      <c r="M7" s="868">
        <v>1664349</v>
      </c>
      <c r="N7" s="868">
        <v>1977466</v>
      </c>
      <c r="O7" s="869">
        <v>-46153</v>
      </c>
      <c r="P7" s="77">
        <v>2</v>
      </c>
      <c r="Q7" s="878"/>
      <c r="R7" s="807">
        <f t="shared" si="0"/>
        <v>1951839</v>
      </c>
      <c r="S7" s="807">
        <f t="shared" si="1"/>
        <v>0</v>
      </c>
      <c r="T7" s="807"/>
      <c r="U7" s="49">
        <f>民間設備製造1!H9</f>
        <v>73026</v>
      </c>
      <c r="V7" s="49">
        <f t="shared" si="2"/>
        <v>2071670</v>
      </c>
    </row>
    <row r="8" spans="1:22">
      <c r="A8" s="298">
        <v>3</v>
      </c>
      <c r="B8" s="75" t="s">
        <v>192</v>
      </c>
      <c r="C8" s="830">
        <v>2742033</v>
      </c>
      <c r="D8" s="850">
        <v>1553260</v>
      </c>
      <c r="E8" s="850">
        <v>257117</v>
      </c>
      <c r="F8" s="850">
        <v>723690</v>
      </c>
      <c r="G8" s="850">
        <v>99751</v>
      </c>
      <c r="H8" s="850">
        <v>621841</v>
      </c>
      <c r="I8" s="868">
        <v>2098</v>
      </c>
      <c r="J8" s="850">
        <v>62792</v>
      </c>
      <c r="K8" s="850">
        <v>2596859</v>
      </c>
      <c r="L8" s="866">
        <v>145174</v>
      </c>
      <c r="M8" s="868">
        <v>2268945</v>
      </c>
      <c r="N8" s="868">
        <v>2221964</v>
      </c>
      <c r="O8" s="869">
        <v>98193</v>
      </c>
      <c r="P8" s="77">
        <v>3</v>
      </c>
      <c r="Q8" s="878"/>
      <c r="R8" s="807">
        <f t="shared" si="0"/>
        <v>2742033</v>
      </c>
      <c r="S8" s="807">
        <f t="shared" si="1"/>
        <v>0</v>
      </c>
      <c r="T8" s="807"/>
      <c r="U8" s="49">
        <f>民間設備製造1!H10</f>
        <v>437398</v>
      </c>
      <c r="V8" s="49">
        <f t="shared" si="2"/>
        <v>2410318</v>
      </c>
    </row>
    <row r="9" spans="1:22">
      <c r="A9" s="298">
        <v>4</v>
      </c>
      <c r="B9" s="75" t="s">
        <v>325</v>
      </c>
      <c r="C9" s="830">
        <v>1094656</v>
      </c>
      <c r="D9" s="850">
        <v>549529</v>
      </c>
      <c r="E9" s="850">
        <v>114918</v>
      </c>
      <c r="F9" s="850">
        <v>258041</v>
      </c>
      <c r="G9" s="850">
        <v>27623</v>
      </c>
      <c r="H9" s="850">
        <v>229643</v>
      </c>
      <c r="I9" s="868">
        <v>775</v>
      </c>
      <c r="J9" s="850">
        <v>45647</v>
      </c>
      <c r="K9" s="850">
        <v>968135</v>
      </c>
      <c r="L9" s="866">
        <v>126521</v>
      </c>
      <c r="M9" s="868">
        <v>912521</v>
      </c>
      <c r="N9" s="868">
        <v>828371</v>
      </c>
      <c r="O9" s="869">
        <v>42371</v>
      </c>
      <c r="P9" s="77">
        <v>4</v>
      </c>
      <c r="Q9" s="878"/>
      <c r="R9" s="807">
        <f t="shared" si="0"/>
        <v>1094656</v>
      </c>
      <c r="S9" s="807">
        <f t="shared" si="1"/>
        <v>0</v>
      </c>
      <c r="T9" s="807"/>
      <c r="U9" s="49">
        <f>民間設備製造1!H11</f>
        <v>152643</v>
      </c>
      <c r="V9" s="49">
        <f t="shared" si="2"/>
        <v>890360</v>
      </c>
    </row>
    <row r="10" spans="1:22">
      <c r="A10" s="298">
        <v>5</v>
      </c>
      <c r="B10" s="75" t="s">
        <v>326</v>
      </c>
      <c r="C10" s="830">
        <v>2318281</v>
      </c>
      <c r="D10" s="850">
        <v>1228817</v>
      </c>
      <c r="E10" s="850">
        <v>216067</v>
      </c>
      <c r="F10" s="850">
        <v>546133</v>
      </c>
      <c r="G10" s="850">
        <v>90340</v>
      </c>
      <c r="H10" s="850">
        <v>454157</v>
      </c>
      <c r="I10" s="868">
        <v>1636</v>
      </c>
      <c r="J10" s="850">
        <v>99735</v>
      </c>
      <c r="K10" s="850">
        <v>2090752</v>
      </c>
      <c r="L10" s="866">
        <v>227529</v>
      </c>
      <c r="M10" s="868">
        <v>1917584</v>
      </c>
      <c r="N10" s="868">
        <v>1788922</v>
      </c>
      <c r="O10" s="869">
        <v>98867</v>
      </c>
      <c r="P10" s="77">
        <v>5</v>
      </c>
      <c r="Q10" s="878"/>
      <c r="R10" s="807">
        <f t="shared" si="0"/>
        <v>2318281</v>
      </c>
      <c r="S10" s="807">
        <f t="shared" si="1"/>
        <v>0</v>
      </c>
      <c r="T10" s="807"/>
      <c r="U10" s="49">
        <f>民間設備製造1!H12</f>
        <v>242775</v>
      </c>
      <c r="V10" s="49">
        <f t="shared" si="2"/>
        <v>1877734</v>
      </c>
    </row>
    <row r="11" spans="1:22">
      <c r="A11" s="298">
        <v>6</v>
      </c>
      <c r="B11" s="75" t="s">
        <v>327</v>
      </c>
      <c r="C11" s="830">
        <v>956345</v>
      </c>
      <c r="D11" s="850">
        <v>537959</v>
      </c>
      <c r="E11" s="850">
        <v>127810</v>
      </c>
      <c r="F11" s="850">
        <v>207839</v>
      </c>
      <c r="G11" s="850">
        <v>24255</v>
      </c>
      <c r="H11" s="850">
        <v>182880</v>
      </c>
      <c r="I11" s="868">
        <v>704</v>
      </c>
      <c r="J11" s="850">
        <v>40455</v>
      </c>
      <c r="K11" s="850">
        <v>914063</v>
      </c>
      <c r="L11" s="866">
        <v>42282</v>
      </c>
      <c r="M11" s="868">
        <v>812241</v>
      </c>
      <c r="N11" s="868">
        <v>782103</v>
      </c>
      <c r="O11" s="869">
        <v>12144</v>
      </c>
      <c r="P11" s="77">
        <v>6</v>
      </c>
      <c r="Q11" s="878"/>
      <c r="R11" s="807">
        <f t="shared" si="0"/>
        <v>956345</v>
      </c>
      <c r="S11" s="807">
        <f t="shared" si="1"/>
        <v>0</v>
      </c>
      <c r="T11" s="807"/>
      <c r="U11" s="49">
        <f>民間設備製造1!H13</f>
        <v>77048</v>
      </c>
      <c r="V11" s="49">
        <f t="shared" si="2"/>
        <v>807527</v>
      </c>
    </row>
    <row r="12" spans="1:22">
      <c r="A12" s="298">
        <v>7</v>
      </c>
      <c r="B12" s="75" t="s">
        <v>210</v>
      </c>
      <c r="C12" s="830">
        <v>570909</v>
      </c>
      <c r="D12" s="850">
        <v>378918</v>
      </c>
      <c r="E12" s="850">
        <v>118115</v>
      </c>
      <c r="F12" s="850">
        <v>98687</v>
      </c>
      <c r="G12" s="850">
        <v>9963</v>
      </c>
      <c r="H12" s="850">
        <v>88203</v>
      </c>
      <c r="I12" s="868">
        <v>521</v>
      </c>
      <c r="J12" s="850">
        <v>53946</v>
      </c>
      <c r="K12" s="850">
        <v>649666</v>
      </c>
      <c r="L12" s="866">
        <v>-78757</v>
      </c>
      <c r="M12" s="868">
        <v>507799</v>
      </c>
      <c r="N12" s="868">
        <v>555877</v>
      </c>
      <c r="O12" s="869">
        <v>-30679</v>
      </c>
      <c r="P12" s="77">
        <v>7</v>
      </c>
      <c r="Q12" s="878"/>
      <c r="R12" s="807">
        <f t="shared" si="0"/>
        <v>570909</v>
      </c>
      <c r="S12" s="807">
        <f t="shared" si="1"/>
        <v>0</v>
      </c>
      <c r="T12" s="807"/>
      <c r="U12" s="49">
        <f>民間設備製造1!H14</f>
        <v>36394</v>
      </c>
      <c r="V12" s="49">
        <f t="shared" si="2"/>
        <v>597336</v>
      </c>
    </row>
    <row r="13" spans="1:22">
      <c r="A13" s="298">
        <v>8</v>
      </c>
      <c r="B13" s="75" t="s">
        <v>211</v>
      </c>
      <c r="C13" s="830">
        <v>285502</v>
      </c>
      <c r="D13" s="850">
        <v>232665</v>
      </c>
      <c r="E13" s="850">
        <v>57862</v>
      </c>
      <c r="F13" s="850">
        <v>58689</v>
      </c>
      <c r="G13" s="850">
        <v>6717</v>
      </c>
      <c r="H13" s="850">
        <v>51683</v>
      </c>
      <c r="I13" s="868">
        <v>289</v>
      </c>
      <c r="J13" s="850">
        <v>15457</v>
      </c>
      <c r="K13" s="850">
        <v>364673</v>
      </c>
      <c r="L13" s="866">
        <v>-79171</v>
      </c>
      <c r="M13" s="868">
        <v>253281</v>
      </c>
      <c r="N13" s="868">
        <v>312027</v>
      </c>
      <c r="O13" s="869">
        <v>-20425</v>
      </c>
      <c r="P13" s="77">
        <v>8</v>
      </c>
      <c r="Q13" s="878"/>
      <c r="R13" s="807">
        <f t="shared" si="0"/>
        <v>285502</v>
      </c>
      <c r="S13" s="807">
        <f t="shared" si="1"/>
        <v>0</v>
      </c>
      <c r="T13" s="807"/>
      <c r="U13" s="49">
        <f>民間設備製造1!H15</f>
        <v>18650</v>
      </c>
      <c r="V13" s="49">
        <f t="shared" si="2"/>
        <v>331351</v>
      </c>
    </row>
    <row r="14" spans="1:22">
      <c r="A14" s="298">
        <v>9</v>
      </c>
      <c r="B14" s="75" t="s">
        <v>212</v>
      </c>
      <c r="C14" s="830">
        <v>438016</v>
      </c>
      <c r="D14" s="850">
        <v>278597</v>
      </c>
      <c r="E14" s="850">
        <v>74346</v>
      </c>
      <c r="F14" s="850">
        <v>67918</v>
      </c>
      <c r="G14" s="850">
        <v>9065</v>
      </c>
      <c r="H14" s="850">
        <v>58490</v>
      </c>
      <c r="I14" s="868">
        <v>363</v>
      </c>
      <c r="J14" s="850">
        <v>40427</v>
      </c>
      <c r="K14" s="850">
        <v>461288</v>
      </c>
      <c r="L14" s="866">
        <v>-23272</v>
      </c>
      <c r="M14" s="868">
        <v>380677</v>
      </c>
      <c r="N14" s="868">
        <v>394694</v>
      </c>
      <c r="O14" s="869">
        <v>-9255</v>
      </c>
      <c r="P14" s="77">
        <v>9</v>
      </c>
      <c r="Q14" s="878"/>
      <c r="R14" s="807">
        <f t="shared" si="0"/>
        <v>438016</v>
      </c>
      <c r="S14" s="807">
        <f t="shared" si="1"/>
        <v>0</v>
      </c>
      <c r="T14" s="807"/>
      <c r="U14" s="49">
        <f>民間設備製造1!H16</f>
        <v>13279</v>
      </c>
      <c r="V14" s="49">
        <f t="shared" si="2"/>
        <v>415714</v>
      </c>
    </row>
    <row r="15" spans="1:22">
      <c r="A15" s="298"/>
      <c r="B15" s="87"/>
      <c r="C15" s="87" t="s">
        <v>839</v>
      </c>
      <c r="D15" s="837" t="s">
        <v>839</v>
      </c>
      <c r="E15" s="837" t="s">
        <v>839</v>
      </c>
      <c r="F15" s="837" t="s">
        <v>839</v>
      </c>
      <c r="G15" s="837" t="s">
        <v>839</v>
      </c>
      <c r="H15" s="837" t="s">
        <v>839</v>
      </c>
      <c r="I15" s="837" t="s">
        <v>839</v>
      </c>
      <c r="J15" s="837" t="s">
        <v>839</v>
      </c>
      <c r="K15" s="837" t="s">
        <v>839</v>
      </c>
      <c r="L15" s="866" t="s">
        <v>839</v>
      </c>
      <c r="M15" s="868" t="s">
        <v>839</v>
      </c>
      <c r="N15" s="868" t="s">
        <v>839</v>
      </c>
      <c r="O15" s="869" t="s">
        <v>839</v>
      </c>
      <c r="P15" s="77" t="s">
        <v>347</v>
      </c>
      <c r="Q15" s="878"/>
      <c r="R15" s="807" t="s">
        <v>11</v>
      </c>
      <c r="S15" s="807" t="s">
        <v>11</v>
      </c>
      <c r="T15" s="807"/>
      <c r="U15" s="49" t="s">
        <v>347</v>
      </c>
      <c r="V15" s="49" t="s">
        <v>347</v>
      </c>
    </row>
    <row r="16" spans="1:22">
      <c r="A16" s="299">
        <v>100</v>
      </c>
      <c r="B16" s="305" t="s">
        <v>172</v>
      </c>
      <c r="C16" s="830">
        <v>6348572</v>
      </c>
      <c r="D16" s="830">
        <v>3871326</v>
      </c>
      <c r="E16" s="830">
        <v>675624</v>
      </c>
      <c r="F16" s="830">
        <v>985420</v>
      </c>
      <c r="G16" s="830">
        <v>177511</v>
      </c>
      <c r="H16" s="830">
        <v>803445</v>
      </c>
      <c r="I16" s="830">
        <v>4464</v>
      </c>
      <c r="J16" s="830">
        <v>173336</v>
      </c>
      <c r="K16" s="830">
        <v>5705706</v>
      </c>
      <c r="L16" s="857">
        <v>642866</v>
      </c>
      <c r="M16" s="833">
        <v>5297256</v>
      </c>
      <c r="N16" s="833">
        <v>4882004</v>
      </c>
      <c r="O16" s="834">
        <v>227614</v>
      </c>
      <c r="P16" s="293">
        <v>100</v>
      </c>
      <c r="Q16" s="878"/>
      <c r="R16" s="807">
        <f t="shared" ref="R16:R47" si="3">D16+E16+F16+J16+L16</f>
        <v>6348572</v>
      </c>
      <c r="S16" s="807">
        <f t="shared" ref="S16:S47" si="4">R16-C16</f>
        <v>0</v>
      </c>
      <c r="T16" s="807"/>
      <c r="U16" s="49">
        <f>民間設備製造1!H18</f>
        <v>209380.74701610114</v>
      </c>
      <c r="V16" s="49">
        <f t="shared" ref="V16:V47" si="5">D16+E16+G16+J16+U16</f>
        <v>5107177.7470161011</v>
      </c>
    </row>
    <row r="17" spans="1:22">
      <c r="A17" s="300">
        <v>1</v>
      </c>
      <c r="B17" s="65" t="s">
        <v>182</v>
      </c>
      <c r="C17" s="827">
        <v>3169353</v>
      </c>
      <c r="D17" s="827">
        <v>2531401</v>
      </c>
      <c r="E17" s="827">
        <v>406607</v>
      </c>
      <c r="F17" s="827">
        <v>639113</v>
      </c>
      <c r="G17" s="827">
        <v>144992</v>
      </c>
      <c r="H17" s="827">
        <v>491204</v>
      </c>
      <c r="I17" s="827">
        <v>2917</v>
      </c>
      <c r="J17" s="827">
        <v>93692</v>
      </c>
      <c r="K17" s="827">
        <v>3670813</v>
      </c>
      <c r="L17" s="856">
        <v>-501460</v>
      </c>
      <c r="M17" s="830">
        <v>2682501</v>
      </c>
      <c r="N17" s="830">
        <v>3140876</v>
      </c>
      <c r="O17" s="828">
        <v>-43085</v>
      </c>
      <c r="P17" s="293">
        <v>1</v>
      </c>
      <c r="Q17" s="878"/>
      <c r="R17" s="807">
        <f t="shared" si="3"/>
        <v>3169353</v>
      </c>
      <c r="S17" s="807">
        <f t="shared" si="4"/>
        <v>0</v>
      </c>
      <c r="T17" s="807"/>
      <c r="U17" s="49">
        <f>民間設備製造1!H19</f>
        <v>162652</v>
      </c>
      <c r="V17" s="49">
        <f t="shared" si="5"/>
        <v>3339344</v>
      </c>
    </row>
    <row r="18" spans="1:22">
      <c r="A18" s="300">
        <v>202</v>
      </c>
      <c r="B18" s="90" t="s">
        <v>183</v>
      </c>
      <c r="C18" s="830">
        <v>1692374</v>
      </c>
      <c r="D18" s="830">
        <v>1162035</v>
      </c>
      <c r="E18" s="830">
        <v>163053</v>
      </c>
      <c r="F18" s="830">
        <v>341604</v>
      </c>
      <c r="G18" s="830">
        <v>64942</v>
      </c>
      <c r="H18" s="830">
        <v>275283</v>
      </c>
      <c r="I18" s="830">
        <v>1379</v>
      </c>
      <c r="J18" s="830">
        <v>43522</v>
      </c>
      <c r="K18" s="830">
        <v>1710214</v>
      </c>
      <c r="L18" s="856">
        <v>-17840</v>
      </c>
      <c r="M18" s="830">
        <v>1402776</v>
      </c>
      <c r="N18" s="830">
        <v>1463319</v>
      </c>
      <c r="O18" s="831">
        <v>42703</v>
      </c>
      <c r="P18" s="293">
        <v>202</v>
      </c>
      <c r="Q18" s="878"/>
      <c r="R18" s="807">
        <f t="shared" si="3"/>
        <v>1692374</v>
      </c>
      <c r="S18" s="807">
        <f t="shared" si="4"/>
        <v>0</v>
      </c>
      <c r="T18" s="807"/>
      <c r="U18" s="49">
        <f>民間設備製造1!H20</f>
        <v>147000</v>
      </c>
      <c r="V18" s="49">
        <f t="shared" si="5"/>
        <v>1580552</v>
      </c>
    </row>
    <row r="19" spans="1:22">
      <c r="A19" s="300">
        <v>204</v>
      </c>
      <c r="B19" s="90" t="s">
        <v>184</v>
      </c>
      <c r="C19" s="830">
        <v>1270506</v>
      </c>
      <c r="D19" s="830">
        <v>1138521</v>
      </c>
      <c r="E19" s="830">
        <v>195137</v>
      </c>
      <c r="F19" s="830">
        <v>255714</v>
      </c>
      <c r="G19" s="830">
        <v>71802</v>
      </c>
      <c r="H19" s="830">
        <v>182631</v>
      </c>
      <c r="I19" s="830">
        <v>1281</v>
      </c>
      <c r="J19" s="830">
        <v>43613</v>
      </c>
      <c r="K19" s="830">
        <v>1632985</v>
      </c>
      <c r="L19" s="856">
        <v>-362479</v>
      </c>
      <c r="M19" s="830">
        <v>1092952</v>
      </c>
      <c r="N19" s="830">
        <v>1397239</v>
      </c>
      <c r="O19" s="831">
        <v>-58192</v>
      </c>
      <c r="P19" s="293">
        <v>204</v>
      </c>
      <c r="Q19" s="878"/>
      <c r="R19" s="807">
        <f t="shared" si="3"/>
        <v>1270506</v>
      </c>
      <c r="S19" s="807">
        <f t="shared" si="4"/>
        <v>0</v>
      </c>
      <c r="T19" s="807"/>
      <c r="U19" s="49">
        <f>民間設備製造1!H21</f>
        <v>15523</v>
      </c>
      <c r="V19" s="49">
        <f t="shared" si="5"/>
        <v>1464596</v>
      </c>
    </row>
    <row r="20" spans="1:22">
      <c r="A20" s="300">
        <v>206</v>
      </c>
      <c r="B20" s="90" t="s">
        <v>185</v>
      </c>
      <c r="C20" s="837">
        <v>206473</v>
      </c>
      <c r="D20" s="830">
        <v>230845</v>
      </c>
      <c r="E20" s="830">
        <v>48417</v>
      </c>
      <c r="F20" s="830">
        <v>41795</v>
      </c>
      <c r="G20" s="837">
        <v>8248</v>
      </c>
      <c r="H20" s="830">
        <v>33290</v>
      </c>
      <c r="I20" s="830">
        <v>257</v>
      </c>
      <c r="J20" s="830">
        <v>6557</v>
      </c>
      <c r="K20" s="830">
        <v>327614</v>
      </c>
      <c r="L20" s="856">
        <v>-121141</v>
      </c>
      <c r="M20" s="830">
        <v>186773</v>
      </c>
      <c r="N20" s="830">
        <v>280318</v>
      </c>
      <c r="O20" s="835">
        <v>-27596</v>
      </c>
      <c r="P20" s="293">
        <v>206</v>
      </c>
      <c r="Q20" s="878"/>
      <c r="R20" s="807">
        <f t="shared" si="3"/>
        <v>206473</v>
      </c>
      <c r="S20" s="807">
        <f t="shared" si="4"/>
        <v>0</v>
      </c>
      <c r="T20" s="807"/>
      <c r="U20" s="49">
        <f>民間設備製造1!H22</f>
        <v>129</v>
      </c>
      <c r="V20" s="49">
        <f t="shared" si="5"/>
        <v>294196</v>
      </c>
    </row>
    <row r="21" spans="1:22">
      <c r="A21" s="301">
        <v>2</v>
      </c>
      <c r="B21" s="128" t="s">
        <v>186</v>
      </c>
      <c r="C21" s="830">
        <v>1951839</v>
      </c>
      <c r="D21" s="827">
        <v>1581757</v>
      </c>
      <c r="E21" s="827">
        <v>272920</v>
      </c>
      <c r="F21" s="827">
        <v>398599</v>
      </c>
      <c r="G21" s="830">
        <v>86134</v>
      </c>
      <c r="H21" s="827">
        <v>310655</v>
      </c>
      <c r="I21" s="827">
        <v>1810</v>
      </c>
      <c r="J21" s="827">
        <v>57833</v>
      </c>
      <c r="K21" s="827">
        <v>2311109</v>
      </c>
      <c r="L21" s="855">
        <v>-359270</v>
      </c>
      <c r="M21" s="827">
        <v>1664349</v>
      </c>
      <c r="N21" s="827">
        <v>1977466</v>
      </c>
      <c r="O21" s="831">
        <v>-46153</v>
      </c>
      <c r="P21" s="293">
        <v>2</v>
      </c>
      <c r="Q21" s="878"/>
      <c r="R21" s="807">
        <f t="shared" si="3"/>
        <v>1951839</v>
      </c>
      <c r="S21" s="807">
        <f t="shared" si="4"/>
        <v>0</v>
      </c>
      <c r="T21" s="807"/>
      <c r="U21" s="49">
        <f>民間設備製造1!H23</f>
        <v>73026</v>
      </c>
      <c r="V21" s="49">
        <f t="shared" si="5"/>
        <v>2071670</v>
      </c>
    </row>
    <row r="22" spans="1:22">
      <c r="A22" s="300">
        <v>207</v>
      </c>
      <c r="B22" s="90" t="s">
        <v>187</v>
      </c>
      <c r="C22" s="830">
        <v>636622</v>
      </c>
      <c r="D22" s="830">
        <v>430765</v>
      </c>
      <c r="E22" s="830">
        <v>71021</v>
      </c>
      <c r="F22" s="830">
        <v>136507</v>
      </c>
      <c r="G22" s="830">
        <v>27051</v>
      </c>
      <c r="H22" s="830">
        <v>108946</v>
      </c>
      <c r="I22" s="830">
        <v>510</v>
      </c>
      <c r="J22" s="830">
        <v>8954</v>
      </c>
      <c r="K22" s="830">
        <v>647247</v>
      </c>
      <c r="L22" s="856">
        <v>-10625</v>
      </c>
      <c r="M22" s="830">
        <v>532991</v>
      </c>
      <c r="N22" s="830">
        <v>553807</v>
      </c>
      <c r="O22" s="831">
        <v>10191</v>
      </c>
      <c r="P22" s="293">
        <v>207</v>
      </c>
      <c r="Q22" s="878"/>
      <c r="R22" s="807">
        <f t="shared" si="3"/>
        <v>636622</v>
      </c>
      <c r="S22" s="807">
        <f t="shared" si="4"/>
        <v>0</v>
      </c>
      <c r="T22" s="807"/>
      <c r="U22" s="49">
        <f>民間設備製造1!H24</f>
        <v>47008</v>
      </c>
      <c r="V22" s="49">
        <f t="shared" si="5"/>
        <v>584799</v>
      </c>
    </row>
    <row r="23" spans="1:22">
      <c r="A23" s="300">
        <v>214</v>
      </c>
      <c r="B23" s="90" t="s">
        <v>188</v>
      </c>
      <c r="C23" s="830">
        <v>453519</v>
      </c>
      <c r="D23" s="830">
        <v>519321</v>
      </c>
      <c r="E23" s="830">
        <v>84323</v>
      </c>
      <c r="F23" s="830">
        <v>97344</v>
      </c>
      <c r="G23" s="830">
        <v>21171</v>
      </c>
      <c r="H23" s="830">
        <v>75606</v>
      </c>
      <c r="I23" s="830">
        <v>567</v>
      </c>
      <c r="J23" s="830">
        <v>21169</v>
      </c>
      <c r="K23" s="830">
        <v>722157</v>
      </c>
      <c r="L23" s="856">
        <v>-268638</v>
      </c>
      <c r="M23" s="830">
        <v>398177</v>
      </c>
      <c r="N23" s="830">
        <v>617903</v>
      </c>
      <c r="O23" s="831">
        <v>-48912</v>
      </c>
      <c r="P23" s="293">
        <v>214</v>
      </c>
      <c r="Q23" s="878"/>
      <c r="R23" s="807">
        <f t="shared" si="3"/>
        <v>453519</v>
      </c>
      <c r="S23" s="807">
        <f t="shared" si="4"/>
        <v>0</v>
      </c>
      <c r="T23" s="807"/>
      <c r="U23" s="49">
        <f>民間設備製造1!H25</f>
        <v>2394</v>
      </c>
      <c r="V23" s="49">
        <f t="shared" si="5"/>
        <v>648378</v>
      </c>
    </row>
    <row r="24" spans="1:22">
      <c r="A24" s="300">
        <v>217</v>
      </c>
      <c r="B24" s="90" t="s">
        <v>189</v>
      </c>
      <c r="C24" s="830">
        <v>334721</v>
      </c>
      <c r="D24" s="830">
        <v>340058</v>
      </c>
      <c r="E24" s="830">
        <v>55666</v>
      </c>
      <c r="F24" s="830">
        <v>74138</v>
      </c>
      <c r="G24" s="830">
        <v>22376</v>
      </c>
      <c r="H24" s="830">
        <v>51384</v>
      </c>
      <c r="I24" s="830">
        <v>378</v>
      </c>
      <c r="J24" s="830">
        <v>12800</v>
      </c>
      <c r="K24" s="830">
        <v>482662</v>
      </c>
      <c r="L24" s="856">
        <v>-147941</v>
      </c>
      <c r="M24" s="830">
        <v>290276</v>
      </c>
      <c r="N24" s="830">
        <v>412983</v>
      </c>
      <c r="O24" s="831">
        <v>-25234</v>
      </c>
      <c r="P24" s="293">
        <v>217</v>
      </c>
      <c r="Q24" s="878"/>
      <c r="R24" s="807">
        <f t="shared" si="3"/>
        <v>334721</v>
      </c>
      <c r="S24" s="807">
        <f t="shared" si="4"/>
        <v>0</v>
      </c>
      <c r="T24" s="807"/>
      <c r="U24" s="49">
        <f>民間設備製造1!H26</f>
        <v>1387</v>
      </c>
      <c r="V24" s="49">
        <f t="shared" si="5"/>
        <v>432287</v>
      </c>
    </row>
    <row r="25" spans="1:22">
      <c r="A25" s="300">
        <v>219</v>
      </c>
      <c r="B25" s="90" t="s">
        <v>190</v>
      </c>
      <c r="C25" s="830">
        <v>466383</v>
      </c>
      <c r="D25" s="830">
        <v>230930</v>
      </c>
      <c r="E25" s="830">
        <v>46716</v>
      </c>
      <c r="F25" s="830">
        <v>79413</v>
      </c>
      <c r="G25" s="830">
        <v>13658</v>
      </c>
      <c r="H25" s="830">
        <v>65471</v>
      </c>
      <c r="I25" s="830">
        <v>284</v>
      </c>
      <c r="J25" s="830">
        <v>12241</v>
      </c>
      <c r="K25" s="830">
        <v>369300</v>
      </c>
      <c r="L25" s="856">
        <v>97083</v>
      </c>
      <c r="M25" s="830">
        <v>387553</v>
      </c>
      <c r="N25" s="830">
        <v>315986</v>
      </c>
      <c r="O25" s="831">
        <v>25516</v>
      </c>
      <c r="P25" s="293">
        <v>219</v>
      </c>
      <c r="Q25" s="878"/>
      <c r="R25" s="807">
        <f t="shared" si="3"/>
        <v>466383</v>
      </c>
      <c r="S25" s="807">
        <f t="shared" si="4"/>
        <v>0</v>
      </c>
      <c r="T25" s="807"/>
      <c r="U25" s="49">
        <f>民間設備製造1!H27</f>
        <v>21489</v>
      </c>
      <c r="V25" s="49">
        <f t="shared" si="5"/>
        <v>325034</v>
      </c>
    </row>
    <row r="26" spans="1:22">
      <c r="A26" s="302">
        <v>301</v>
      </c>
      <c r="B26" s="201" t="s">
        <v>191</v>
      </c>
      <c r="C26" s="830">
        <v>60594</v>
      </c>
      <c r="D26" s="837">
        <v>60683</v>
      </c>
      <c r="E26" s="837">
        <v>15194</v>
      </c>
      <c r="F26" s="837">
        <v>11197</v>
      </c>
      <c r="G26" s="830">
        <v>1878</v>
      </c>
      <c r="H26" s="837">
        <v>9248</v>
      </c>
      <c r="I26" s="837">
        <v>71</v>
      </c>
      <c r="J26" s="837">
        <v>2669</v>
      </c>
      <c r="K26" s="837">
        <v>89743</v>
      </c>
      <c r="L26" s="858">
        <v>-29149</v>
      </c>
      <c r="M26" s="837">
        <v>55352</v>
      </c>
      <c r="N26" s="837">
        <v>76787</v>
      </c>
      <c r="O26" s="831">
        <v>-7714</v>
      </c>
      <c r="P26" s="293">
        <v>301</v>
      </c>
      <c r="Q26" s="878"/>
      <c r="R26" s="807">
        <f t="shared" si="3"/>
        <v>60594</v>
      </c>
      <c r="S26" s="807">
        <f t="shared" si="4"/>
        <v>0</v>
      </c>
      <c r="T26" s="807"/>
      <c r="U26" s="49">
        <f>民間設備製造1!H28</f>
        <v>748</v>
      </c>
      <c r="V26" s="49">
        <f t="shared" si="5"/>
        <v>81172</v>
      </c>
    </row>
    <row r="27" spans="1:22">
      <c r="A27" s="300">
        <v>3</v>
      </c>
      <c r="B27" s="65" t="s">
        <v>192</v>
      </c>
      <c r="C27" s="827">
        <v>2742033</v>
      </c>
      <c r="D27" s="830">
        <v>1553260</v>
      </c>
      <c r="E27" s="830">
        <v>257117</v>
      </c>
      <c r="F27" s="830">
        <v>723690</v>
      </c>
      <c r="G27" s="827">
        <v>99751</v>
      </c>
      <c r="H27" s="830">
        <v>621841</v>
      </c>
      <c r="I27" s="830">
        <v>2098</v>
      </c>
      <c r="J27" s="830">
        <v>62792</v>
      </c>
      <c r="K27" s="830">
        <v>2596859</v>
      </c>
      <c r="L27" s="856">
        <v>145174</v>
      </c>
      <c r="M27" s="830">
        <v>2268945</v>
      </c>
      <c r="N27" s="830">
        <v>2221964</v>
      </c>
      <c r="O27" s="828">
        <v>98193</v>
      </c>
      <c r="P27" s="293">
        <v>3</v>
      </c>
      <c r="Q27" s="878"/>
      <c r="R27" s="807">
        <f t="shared" si="3"/>
        <v>2742033</v>
      </c>
      <c r="S27" s="807">
        <f t="shared" si="4"/>
        <v>0</v>
      </c>
      <c r="T27" s="807"/>
      <c r="U27" s="49">
        <f>民間設備製造1!H29</f>
        <v>437398</v>
      </c>
      <c r="V27" s="49">
        <f t="shared" si="5"/>
        <v>2410318</v>
      </c>
    </row>
    <row r="28" spans="1:22">
      <c r="A28" s="300">
        <v>203</v>
      </c>
      <c r="B28" s="90" t="s">
        <v>193</v>
      </c>
      <c r="C28" s="830">
        <v>1097460</v>
      </c>
      <c r="D28" s="830">
        <v>654007</v>
      </c>
      <c r="E28" s="830">
        <v>109262</v>
      </c>
      <c r="F28" s="830">
        <v>210889</v>
      </c>
      <c r="G28" s="830">
        <v>44833</v>
      </c>
      <c r="H28" s="830">
        <v>165263</v>
      </c>
      <c r="I28" s="830">
        <v>793</v>
      </c>
      <c r="J28" s="830">
        <v>28040</v>
      </c>
      <c r="K28" s="830">
        <v>1002198</v>
      </c>
      <c r="L28" s="856">
        <v>95262</v>
      </c>
      <c r="M28" s="830">
        <v>911595</v>
      </c>
      <c r="N28" s="830">
        <v>857516</v>
      </c>
      <c r="O28" s="831">
        <v>41183</v>
      </c>
      <c r="P28" s="293">
        <v>203</v>
      </c>
      <c r="Q28" s="878"/>
      <c r="R28" s="807">
        <f t="shared" si="3"/>
        <v>1097460</v>
      </c>
      <c r="S28" s="807">
        <f t="shared" si="4"/>
        <v>0</v>
      </c>
      <c r="T28" s="807"/>
      <c r="U28" s="49">
        <f>民間設備製造1!H30</f>
        <v>72419</v>
      </c>
      <c r="V28" s="49">
        <f t="shared" si="5"/>
        <v>908561</v>
      </c>
    </row>
    <row r="29" spans="1:22">
      <c r="A29" s="300">
        <v>210</v>
      </c>
      <c r="B29" s="90" t="s">
        <v>194</v>
      </c>
      <c r="C29" s="830">
        <v>736939</v>
      </c>
      <c r="D29" s="830">
        <v>562330</v>
      </c>
      <c r="E29" s="830">
        <v>89080</v>
      </c>
      <c r="F29" s="830">
        <v>304434</v>
      </c>
      <c r="G29" s="830">
        <v>35074</v>
      </c>
      <c r="H29" s="830">
        <v>268537</v>
      </c>
      <c r="I29" s="830">
        <v>823</v>
      </c>
      <c r="J29" s="830">
        <v>24069</v>
      </c>
      <c r="K29" s="830">
        <v>979913</v>
      </c>
      <c r="L29" s="856">
        <v>-242974</v>
      </c>
      <c r="M29" s="830">
        <v>620742</v>
      </c>
      <c r="N29" s="830">
        <v>838448</v>
      </c>
      <c r="O29" s="831">
        <v>-25268</v>
      </c>
      <c r="P29" s="293">
        <v>210</v>
      </c>
      <c r="Q29" s="878"/>
      <c r="R29" s="807">
        <f t="shared" si="3"/>
        <v>736939</v>
      </c>
      <c r="S29" s="807">
        <f t="shared" si="4"/>
        <v>0</v>
      </c>
      <c r="T29" s="807"/>
      <c r="U29" s="49">
        <f>民間設備製造1!H31</f>
        <v>236873</v>
      </c>
      <c r="V29" s="49">
        <f t="shared" si="5"/>
        <v>947426</v>
      </c>
    </row>
    <row r="30" spans="1:22">
      <c r="A30" s="300">
        <v>216</v>
      </c>
      <c r="B30" s="90" t="s">
        <v>195</v>
      </c>
      <c r="C30" s="830">
        <v>611942</v>
      </c>
      <c r="D30" s="830">
        <v>202981</v>
      </c>
      <c r="E30" s="830">
        <v>37828</v>
      </c>
      <c r="F30" s="830">
        <v>153771</v>
      </c>
      <c r="G30" s="830">
        <v>12229</v>
      </c>
      <c r="H30" s="830">
        <v>141227</v>
      </c>
      <c r="I30" s="830">
        <v>315</v>
      </c>
      <c r="J30" s="830">
        <v>6342</v>
      </c>
      <c r="K30" s="830">
        <v>400922</v>
      </c>
      <c r="L30" s="856">
        <v>211020</v>
      </c>
      <c r="M30" s="830">
        <v>495648</v>
      </c>
      <c r="N30" s="830">
        <v>343043</v>
      </c>
      <c r="O30" s="831">
        <v>58415</v>
      </c>
      <c r="P30" s="293">
        <v>216</v>
      </c>
      <c r="Q30" s="878"/>
      <c r="R30" s="807">
        <f t="shared" si="3"/>
        <v>611942</v>
      </c>
      <c r="S30" s="807">
        <f t="shared" si="4"/>
        <v>0</v>
      </c>
      <c r="T30" s="807"/>
      <c r="U30" s="49">
        <f>民間設備製造1!H32</f>
        <v>103340</v>
      </c>
      <c r="V30" s="49">
        <f t="shared" si="5"/>
        <v>362720</v>
      </c>
    </row>
    <row r="31" spans="1:22">
      <c r="A31" s="300">
        <v>381</v>
      </c>
      <c r="B31" s="90" t="s">
        <v>196</v>
      </c>
      <c r="C31" s="830">
        <v>159509</v>
      </c>
      <c r="D31" s="830">
        <v>60060</v>
      </c>
      <c r="E31" s="830">
        <v>9668</v>
      </c>
      <c r="F31" s="830">
        <v>22058</v>
      </c>
      <c r="G31" s="830">
        <v>3695</v>
      </c>
      <c r="H31" s="830">
        <v>18291</v>
      </c>
      <c r="I31" s="830">
        <v>72</v>
      </c>
      <c r="J31" s="830">
        <v>1436</v>
      </c>
      <c r="K31" s="830">
        <v>93222</v>
      </c>
      <c r="L31" s="856">
        <v>66287</v>
      </c>
      <c r="M31" s="830">
        <v>129090</v>
      </c>
      <c r="N31" s="830">
        <v>79764</v>
      </c>
      <c r="O31" s="831">
        <v>16961</v>
      </c>
      <c r="P31" s="293">
        <v>381</v>
      </c>
      <c r="Q31" s="878"/>
      <c r="R31" s="807">
        <f t="shared" si="3"/>
        <v>159509</v>
      </c>
      <c r="S31" s="807">
        <f t="shared" si="4"/>
        <v>0</v>
      </c>
      <c r="T31" s="807"/>
      <c r="U31" s="49">
        <f>民間設備製造1!H33</f>
        <v>7779</v>
      </c>
      <c r="V31" s="49">
        <f t="shared" si="5"/>
        <v>82638</v>
      </c>
    </row>
    <row r="32" spans="1:22">
      <c r="A32" s="300">
        <v>382</v>
      </c>
      <c r="B32" s="90" t="s">
        <v>197</v>
      </c>
      <c r="C32" s="837">
        <v>136183</v>
      </c>
      <c r="D32" s="837">
        <v>73882</v>
      </c>
      <c r="E32" s="837">
        <v>11279</v>
      </c>
      <c r="F32" s="837">
        <v>32538</v>
      </c>
      <c r="G32" s="837">
        <v>3920</v>
      </c>
      <c r="H32" s="837">
        <v>28523</v>
      </c>
      <c r="I32" s="837">
        <v>95</v>
      </c>
      <c r="J32" s="837">
        <v>2905</v>
      </c>
      <c r="K32" s="837">
        <v>120604</v>
      </c>
      <c r="L32" s="856">
        <v>15579</v>
      </c>
      <c r="M32" s="830">
        <v>111870</v>
      </c>
      <c r="N32" s="830">
        <v>103193</v>
      </c>
      <c r="O32" s="835">
        <v>6902</v>
      </c>
      <c r="P32" s="293">
        <v>382</v>
      </c>
      <c r="Q32" s="878"/>
      <c r="R32" s="807">
        <f t="shared" si="3"/>
        <v>136183</v>
      </c>
      <c r="S32" s="807">
        <f t="shared" si="4"/>
        <v>0</v>
      </c>
      <c r="T32" s="807"/>
      <c r="U32" s="49">
        <f>民間設備製造1!H34</f>
        <v>16987</v>
      </c>
      <c r="V32" s="49">
        <f t="shared" si="5"/>
        <v>108973</v>
      </c>
    </row>
    <row r="33" spans="1:22">
      <c r="A33" s="301">
        <v>4</v>
      </c>
      <c r="B33" s="306" t="s">
        <v>198</v>
      </c>
      <c r="C33" s="830">
        <v>1094656</v>
      </c>
      <c r="D33" s="827">
        <v>549529</v>
      </c>
      <c r="E33" s="827">
        <v>114918</v>
      </c>
      <c r="F33" s="827">
        <v>258041</v>
      </c>
      <c r="G33" s="827">
        <v>27623</v>
      </c>
      <c r="H33" s="827">
        <v>229643</v>
      </c>
      <c r="I33" s="827">
        <v>775</v>
      </c>
      <c r="J33" s="827">
        <v>45647</v>
      </c>
      <c r="K33" s="827">
        <v>968135</v>
      </c>
      <c r="L33" s="855">
        <v>126521</v>
      </c>
      <c r="M33" s="827">
        <v>912521</v>
      </c>
      <c r="N33" s="827">
        <v>828371</v>
      </c>
      <c r="O33" s="831">
        <v>42371</v>
      </c>
      <c r="P33" s="293">
        <v>4</v>
      </c>
      <c r="Q33" s="878"/>
      <c r="R33" s="807">
        <f t="shared" si="3"/>
        <v>1094656</v>
      </c>
      <c r="S33" s="807">
        <f t="shared" si="4"/>
        <v>0</v>
      </c>
      <c r="T33" s="807"/>
      <c r="U33" s="49">
        <f>民間設備製造1!H35</f>
        <v>152643</v>
      </c>
      <c r="V33" s="49">
        <f t="shared" si="5"/>
        <v>890360</v>
      </c>
    </row>
    <row r="34" spans="1:22">
      <c r="A34" s="300">
        <v>213</v>
      </c>
      <c r="B34" s="92" t="s">
        <v>231</v>
      </c>
      <c r="C34" s="830">
        <v>130538</v>
      </c>
      <c r="D34" s="830">
        <v>85628</v>
      </c>
      <c r="E34" s="830">
        <v>15020</v>
      </c>
      <c r="F34" s="830">
        <v>25167</v>
      </c>
      <c r="G34" s="830">
        <v>5778</v>
      </c>
      <c r="H34" s="830">
        <v>19261</v>
      </c>
      <c r="I34" s="830">
        <v>128</v>
      </c>
      <c r="J34" s="830">
        <v>7406</v>
      </c>
      <c r="K34" s="830">
        <v>133221</v>
      </c>
      <c r="L34" s="856">
        <v>-2683</v>
      </c>
      <c r="M34" s="830">
        <v>109540</v>
      </c>
      <c r="N34" s="830">
        <v>113989</v>
      </c>
      <c r="O34" s="831">
        <v>1766</v>
      </c>
      <c r="P34" s="293">
        <v>213</v>
      </c>
      <c r="Q34" s="878"/>
      <c r="R34" s="807">
        <f t="shared" si="3"/>
        <v>130538</v>
      </c>
      <c r="S34" s="807">
        <f t="shared" si="4"/>
        <v>0</v>
      </c>
      <c r="T34" s="807"/>
      <c r="U34" s="49">
        <f>民間設備製造1!H36</f>
        <v>33004</v>
      </c>
      <c r="V34" s="49">
        <f t="shared" si="5"/>
        <v>146836</v>
      </c>
    </row>
    <row r="35" spans="1:22">
      <c r="A35" s="300">
        <v>215</v>
      </c>
      <c r="B35" s="92" t="s">
        <v>232</v>
      </c>
      <c r="C35" s="830">
        <v>264402</v>
      </c>
      <c r="D35" s="830">
        <v>161063</v>
      </c>
      <c r="E35" s="830">
        <v>32888</v>
      </c>
      <c r="F35" s="830">
        <v>55463</v>
      </c>
      <c r="G35" s="830">
        <v>7452</v>
      </c>
      <c r="H35" s="830">
        <v>47820</v>
      </c>
      <c r="I35" s="830">
        <v>191</v>
      </c>
      <c r="J35" s="830">
        <v>12930</v>
      </c>
      <c r="K35" s="830">
        <v>262344</v>
      </c>
      <c r="L35" s="856">
        <v>2058</v>
      </c>
      <c r="M35" s="830">
        <v>223220</v>
      </c>
      <c r="N35" s="830">
        <v>224471</v>
      </c>
      <c r="O35" s="831">
        <v>3309</v>
      </c>
      <c r="P35" s="293">
        <v>215</v>
      </c>
      <c r="Q35" s="878"/>
      <c r="R35" s="807">
        <f t="shared" si="3"/>
        <v>264402</v>
      </c>
      <c r="S35" s="807">
        <f t="shared" si="4"/>
        <v>0</v>
      </c>
      <c r="T35" s="807"/>
      <c r="U35" s="49">
        <f>民間設備製造1!H37</f>
        <v>4356</v>
      </c>
      <c r="V35" s="49">
        <f t="shared" si="5"/>
        <v>218689</v>
      </c>
    </row>
    <row r="36" spans="1:22">
      <c r="A36" s="300">
        <v>218</v>
      </c>
      <c r="B36" s="90" t="s">
        <v>200</v>
      </c>
      <c r="C36" s="830">
        <v>206492</v>
      </c>
      <c r="D36" s="830">
        <v>95218</v>
      </c>
      <c r="E36" s="830">
        <v>18281</v>
      </c>
      <c r="F36" s="830">
        <v>48919</v>
      </c>
      <c r="G36" s="830">
        <v>4900</v>
      </c>
      <c r="H36" s="830">
        <v>43897</v>
      </c>
      <c r="I36" s="830">
        <v>122</v>
      </c>
      <c r="J36" s="830">
        <v>7316</v>
      </c>
      <c r="K36" s="830">
        <v>169734</v>
      </c>
      <c r="L36" s="856">
        <v>36758</v>
      </c>
      <c r="M36" s="830">
        <v>170273</v>
      </c>
      <c r="N36" s="830">
        <v>145230</v>
      </c>
      <c r="O36" s="831">
        <v>11715</v>
      </c>
      <c r="P36" s="293">
        <v>218</v>
      </c>
      <c r="Q36" s="878"/>
      <c r="R36" s="807">
        <f t="shared" si="3"/>
        <v>206492</v>
      </c>
      <c r="S36" s="807">
        <f t="shared" si="4"/>
        <v>0</v>
      </c>
      <c r="T36" s="807"/>
      <c r="U36" s="49">
        <f>民間設備製造1!H38</f>
        <v>14710</v>
      </c>
      <c r="V36" s="49">
        <f t="shared" si="5"/>
        <v>140425</v>
      </c>
    </row>
    <row r="37" spans="1:22">
      <c r="A37" s="300">
        <v>220</v>
      </c>
      <c r="B37" s="90" t="s">
        <v>201</v>
      </c>
      <c r="C37" s="830">
        <v>201820</v>
      </c>
      <c r="D37" s="830">
        <v>86731</v>
      </c>
      <c r="E37" s="830">
        <v>17657</v>
      </c>
      <c r="F37" s="830">
        <v>82943</v>
      </c>
      <c r="G37" s="830">
        <v>3471</v>
      </c>
      <c r="H37" s="830">
        <v>79326</v>
      </c>
      <c r="I37" s="830">
        <v>146</v>
      </c>
      <c r="J37" s="830">
        <v>4320</v>
      </c>
      <c r="K37" s="830">
        <v>191651</v>
      </c>
      <c r="L37" s="856">
        <v>10169</v>
      </c>
      <c r="M37" s="830">
        <v>166306</v>
      </c>
      <c r="N37" s="830">
        <v>163983</v>
      </c>
      <c r="O37" s="831">
        <v>7846</v>
      </c>
      <c r="P37" s="293">
        <v>220</v>
      </c>
      <c r="Q37" s="878"/>
      <c r="R37" s="807">
        <f t="shared" si="3"/>
        <v>201820</v>
      </c>
      <c r="S37" s="807">
        <f t="shared" si="4"/>
        <v>0</v>
      </c>
      <c r="T37" s="807"/>
      <c r="U37" s="49">
        <f>民間設備製造1!H39</f>
        <v>56157</v>
      </c>
      <c r="V37" s="49">
        <f t="shared" si="5"/>
        <v>168336</v>
      </c>
    </row>
    <row r="38" spans="1:22">
      <c r="A38" s="300">
        <v>228</v>
      </c>
      <c r="B38" s="90" t="s">
        <v>239</v>
      </c>
      <c r="C38" s="830">
        <v>230443</v>
      </c>
      <c r="D38" s="830">
        <v>82517</v>
      </c>
      <c r="E38" s="830">
        <v>17584</v>
      </c>
      <c r="F38" s="830">
        <v>35993</v>
      </c>
      <c r="G38" s="830">
        <v>5124</v>
      </c>
      <c r="H38" s="830">
        <v>30736</v>
      </c>
      <c r="I38" s="830">
        <v>133</v>
      </c>
      <c r="J38" s="830">
        <v>6243</v>
      </c>
      <c r="K38" s="830">
        <v>142337</v>
      </c>
      <c r="L38" s="856">
        <v>88106</v>
      </c>
      <c r="M38" s="830">
        <v>188480</v>
      </c>
      <c r="N38" s="830">
        <v>121789</v>
      </c>
      <c r="O38" s="831">
        <v>21415</v>
      </c>
      <c r="P38" s="293">
        <v>228</v>
      </c>
      <c r="Q38" s="878"/>
      <c r="R38" s="807">
        <f t="shared" si="3"/>
        <v>230443</v>
      </c>
      <c r="S38" s="807">
        <f t="shared" si="4"/>
        <v>0</v>
      </c>
      <c r="T38" s="807"/>
      <c r="U38" s="49">
        <f>民間設備製造1!H40</f>
        <v>41215</v>
      </c>
      <c r="V38" s="49">
        <f t="shared" si="5"/>
        <v>152683</v>
      </c>
    </row>
    <row r="39" spans="1:22">
      <c r="A39" s="302">
        <v>365</v>
      </c>
      <c r="B39" s="201" t="s">
        <v>233</v>
      </c>
      <c r="C39" s="830">
        <v>60961</v>
      </c>
      <c r="D39" s="837">
        <v>38372</v>
      </c>
      <c r="E39" s="837">
        <v>13488</v>
      </c>
      <c r="F39" s="837">
        <v>9556</v>
      </c>
      <c r="G39" s="837">
        <v>898</v>
      </c>
      <c r="H39" s="837">
        <v>8603</v>
      </c>
      <c r="I39" s="837">
        <v>55</v>
      </c>
      <c r="J39" s="837">
        <v>7432</v>
      </c>
      <c r="K39" s="837">
        <v>68848</v>
      </c>
      <c r="L39" s="858">
        <v>-7887</v>
      </c>
      <c r="M39" s="837">
        <v>54702</v>
      </c>
      <c r="N39" s="837">
        <v>58909</v>
      </c>
      <c r="O39" s="831">
        <v>-3680</v>
      </c>
      <c r="P39" s="293">
        <v>365</v>
      </c>
      <c r="Q39" s="878"/>
      <c r="R39" s="807">
        <f t="shared" si="3"/>
        <v>60961</v>
      </c>
      <c r="S39" s="807">
        <f t="shared" si="4"/>
        <v>0</v>
      </c>
      <c r="T39" s="807"/>
      <c r="U39" s="49">
        <f>民間設備製造1!H41</f>
        <v>3201</v>
      </c>
      <c r="V39" s="49">
        <f t="shared" si="5"/>
        <v>63391</v>
      </c>
    </row>
    <row r="40" spans="1:22">
      <c r="A40" s="300">
        <v>5</v>
      </c>
      <c r="B40" s="91" t="s">
        <v>202</v>
      </c>
      <c r="C40" s="827">
        <v>2318281</v>
      </c>
      <c r="D40" s="827">
        <v>1228817</v>
      </c>
      <c r="E40" s="827">
        <v>216067</v>
      </c>
      <c r="F40" s="827">
        <v>546133</v>
      </c>
      <c r="G40" s="830">
        <v>90340</v>
      </c>
      <c r="H40" s="827">
        <v>454157</v>
      </c>
      <c r="I40" s="827">
        <v>1636</v>
      </c>
      <c r="J40" s="827">
        <v>99735</v>
      </c>
      <c r="K40" s="827">
        <v>2090752</v>
      </c>
      <c r="L40" s="856">
        <v>227529</v>
      </c>
      <c r="M40" s="830">
        <v>1917584</v>
      </c>
      <c r="N40" s="830">
        <v>1788922</v>
      </c>
      <c r="O40" s="828">
        <v>98867</v>
      </c>
      <c r="P40" s="293">
        <v>5</v>
      </c>
      <c r="Q40" s="878"/>
      <c r="R40" s="807">
        <f t="shared" si="3"/>
        <v>2318281</v>
      </c>
      <c r="S40" s="807">
        <f t="shared" si="4"/>
        <v>0</v>
      </c>
      <c r="T40" s="807"/>
      <c r="U40" s="49">
        <f>民間設備製造1!H42</f>
        <v>242775</v>
      </c>
      <c r="V40" s="49">
        <f t="shared" si="5"/>
        <v>1877734</v>
      </c>
    </row>
    <row r="41" spans="1:22">
      <c r="A41" s="300">
        <v>201</v>
      </c>
      <c r="B41" s="92" t="s">
        <v>240</v>
      </c>
      <c r="C41" s="830">
        <v>2111731</v>
      </c>
      <c r="D41" s="830">
        <v>1144503</v>
      </c>
      <c r="E41" s="830">
        <v>192628</v>
      </c>
      <c r="F41" s="830">
        <v>519933</v>
      </c>
      <c r="G41" s="830">
        <v>87257</v>
      </c>
      <c r="H41" s="830">
        <v>431159</v>
      </c>
      <c r="I41" s="830">
        <v>1517</v>
      </c>
      <c r="J41" s="830">
        <v>90955</v>
      </c>
      <c r="K41" s="830">
        <v>1948019</v>
      </c>
      <c r="L41" s="856">
        <v>163712</v>
      </c>
      <c r="M41" s="830">
        <v>1744439</v>
      </c>
      <c r="N41" s="830">
        <v>1666794</v>
      </c>
      <c r="O41" s="831">
        <v>86067</v>
      </c>
      <c r="P41" s="293">
        <v>201</v>
      </c>
      <c r="Q41" s="878"/>
      <c r="R41" s="807">
        <f t="shared" si="3"/>
        <v>2111731</v>
      </c>
      <c r="S41" s="807">
        <f t="shared" si="4"/>
        <v>0</v>
      </c>
      <c r="T41" s="807"/>
      <c r="U41" s="49">
        <f>民間設備製造1!H43</f>
        <v>225747</v>
      </c>
      <c r="V41" s="49">
        <f t="shared" si="5"/>
        <v>1741090</v>
      </c>
    </row>
    <row r="42" spans="1:22">
      <c r="A42" s="300">
        <v>442</v>
      </c>
      <c r="B42" s="90" t="s">
        <v>203</v>
      </c>
      <c r="C42" s="830">
        <v>33631</v>
      </c>
      <c r="D42" s="830">
        <v>24618</v>
      </c>
      <c r="E42" s="830">
        <v>6217</v>
      </c>
      <c r="F42" s="830">
        <v>5228</v>
      </c>
      <c r="G42" s="830">
        <v>674</v>
      </c>
      <c r="H42" s="830">
        <v>4523</v>
      </c>
      <c r="I42" s="830">
        <v>31</v>
      </c>
      <c r="J42" s="830">
        <v>1428</v>
      </c>
      <c r="K42" s="830">
        <v>37491</v>
      </c>
      <c r="L42" s="856">
        <v>-3860</v>
      </c>
      <c r="M42" s="830">
        <v>29507</v>
      </c>
      <c r="N42" s="830">
        <v>32079</v>
      </c>
      <c r="O42" s="831">
        <v>-1288</v>
      </c>
      <c r="P42" s="293">
        <v>442</v>
      </c>
      <c r="Q42" s="878"/>
      <c r="R42" s="807">
        <f t="shared" si="3"/>
        <v>33631</v>
      </c>
      <c r="S42" s="807">
        <f t="shared" si="4"/>
        <v>0</v>
      </c>
      <c r="T42" s="807"/>
      <c r="U42" s="49">
        <f>民間設備製造1!H44</f>
        <v>1989</v>
      </c>
      <c r="V42" s="49">
        <f t="shared" si="5"/>
        <v>34926</v>
      </c>
    </row>
    <row r="43" spans="1:22">
      <c r="A43" s="300">
        <v>443</v>
      </c>
      <c r="B43" s="90" t="s">
        <v>204</v>
      </c>
      <c r="C43" s="830">
        <v>145584</v>
      </c>
      <c r="D43" s="830">
        <v>38212</v>
      </c>
      <c r="E43" s="830">
        <v>8538</v>
      </c>
      <c r="F43" s="830">
        <v>15428</v>
      </c>
      <c r="G43" s="830">
        <v>1837</v>
      </c>
      <c r="H43" s="830">
        <v>13535</v>
      </c>
      <c r="I43" s="830">
        <v>56</v>
      </c>
      <c r="J43" s="830">
        <v>1652</v>
      </c>
      <c r="K43" s="830">
        <v>63830</v>
      </c>
      <c r="L43" s="856">
        <v>81754</v>
      </c>
      <c r="M43" s="830">
        <v>117664</v>
      </c>
      <c r="N43" s="830">
        <v>54615</v>
      </c>
      <c r="O43" s="831">
        <v>18705</v>
      </c>
      <c r="P43" s="293">
        <v>443</v>
      </c>
      <c r="Q43" s="878"/>
      <c r="R43" s="807">
        <f t="shared" si="3"/>
        <v>145584</v>
      </c>
      <c r="S43" s="807">
        <f t="shared" si="4"/>
        <v>0</v>
      </c>
      <c r="T43" s="807"/>
      <c r="U43" s="49">
        <f>民間設備製造1!H45</f>
        <v>14306</v>
      </c>
      <c r="V43" s="49">
        <f t="shared" si="5"/>
        <v>64545</v>
      </c>
    </row>
    <row r="44" spans="1:22">
      <c r="A44" s="300">
        <v>446</v>
      </c>
      <c r="B44" s="90" t="s">
        <v>234</v>
      </c>
      <c r="C44" s="837">
        <v>27335</v>
      </c>
      <c r="D44" s="837">
        <v>21484</v>
      </c>
      <c r="E44" s="837">
        <v>8684</v>
      </c>
      <c r="F44" s="837">
        <v>5544</v>
      </c>
      <c r="G44" s="830">
        <v>572</v>
      </c>
      <c r="H44" s="837">
        <v>4940</v>
      </c>
      <c r="I44" s="837">
        <v>32</v>
      </c>
      <c r="J44" s="837">
        <v>5700</v>
      </c>
      <c r="K44" s="837">
        <v>41412</v>
      </c>
      <c r="L44" s="856">
        <v>-14077</v>
      </c>
      <c r="M44" s="830">
        <v>25974</v>
      </c>
      <c r="N44" s="830">
        <v>35434</v>
      </c>
      <c r="O44" s="835">
        <v>-4617</v>
      </c>
      <c r="P44" s="293">
        <v>446</v>
      </c>
      <c r="Q44" s="878"/>
      <c r="R44" s="807">
        <f t="shared" si="3"/>
        <v>27335</v>
      </c>
      <c r="S44" s="807">
        <f t="shared" si="4"/>
        <v>0</v>
      </c>
      <c r="T44" s="807"/>
      <c r="U44" s="49">
        <f>民間設備製造1!H46</f>
        <v>733</v>
      </c>
      <c r="V44" s="49">
        <f t="shared" si="5"/>
        <v>37173</v>
      </c>
    </row>
    <row r="45" spans="1:22">
      <c r="A45" s="301">
        <v>6</v>
      </c>
      <c r="B45" s="306" t="s">
        <v>205</v>
      </c>
      <c r="C45" s="830">
        <v>956345</v>
      </c>
      <c r="D45" s="827">
        <v>537959</v>
      </c>
      <c r="E45" s="827">
        <v>127810</v>
      </c>
      <c r="F45" s="827">
        <v>207839</v>
      </c>
      <c r="G45" s="827">
        <v>24255</v>
      </c>
      <c r="H45" s="827">
        <v>182880</v>
      </c>
      <c r="I45" s="827">
        <v>704</v>
      </c>
      <c r="J45" s="827">
        <v>40455</v>
      </c>
      <c r="K45" s="827">
        <v>914063</v>
      </c>
      <c r="L45" s="855">
        <v>42282</v>
      </c>
      <c r="M45" s="827">
        <v>812241</v>
      </c>
      <c r="N45" s="827">
        <v>782103</v>
      </c>
      <c r="O45" s="831">
        <v>12144</v>
      </c>
      <c r="P45" s="293">
        <v>6</v>
      </c>
      <c r="Q45" s="878"/>
      <c r="R45" s="807">
        <f t="shared" si="3"/>
        <v>956345</v>
      </c>
      <c r="S45" s="807">
        <f t="shared" si="4"/>
        <v>0</v>
      </c>
      <c r="T45" s="807"/>
      <c r="U45" s="49">
        <f>民間設備製造1!H47</f>
        <v>77048</v>
      </c>
      <c r="V45" s="49">
        <f t="shared" si="5"/>
        <v>807527</v>
      </c>
    </row>
    <row r="46" spans="1:22">
      <c r="A46" s="300">
        <v>208</v>
      </c>
      <c r="B46" s="90" t="s">
        <v>206</v>
      </c>
      <c r="C46" s="830">
        <v>101878</v>
      </c>
      <c r="D46" s="830">
        <v>68842</v>
      </c>
      <c r="E46" s="830">
        <v>13547</v>
      </c>
      <c r="F46" s="830">
        <v>32045</v>
      </c>
      <c r="G46" s="830">
        <v>2797</v>
      </c>
      <c r="H46" s="830">
        <v>29164</v>
      </c>
      <c r="I46" s="830">
        <v>84</v>
      </c>
      <c r="J46" s="830">
        <v>4263</v>
      </c>
      <c r="K46" s="830">
        <v>118697</v>
      </c>
      <c r="L46" s="856">
        <v>-16819</v>
      </c>
      <c r="M46" s="830">
        <v>86490</v>
      </c>
      <c r="N46" s="830">
        <v>101561</v>
      </c>
      <c r="O46" s="831">
        <v>-1748</v>
      </c>
      <c r="P46" s="293">
        <v>208</v>
      </c>
      <c r="Q46" s="878"/>
      <c r="R46" s="807">
        <f t="shared" si="3"/>
        <v>101878</v>
      </c>
      <c r="S46" s="807">
        <f t="shared" si="4"/>
        <v>0</v>
      </c>
      <c r="T46" s="807"/>
      <c r="U46" s="49">
        <f>民間設備製造1!H48</f>
        <v>7049</v>
      </c>
      <c r="V46" s="49">
        <f t="shared" si="5"/>
        <v>96498</v>
      </c>
    </row>
    <row r="47" spans="1:22">
      <c r="A47" s="300">
        <v>212</v>
      </c>
      <c r="B47" s="90" t="s">
        <v>207</v>
      </c>
      <c r="C47" s="830">
        <v>214837</v>
      </c>
      <c r="D47" s="830">
        <v>106401</v>
      </c>
      <c r="E47" s="830">
        <v>22078</v>
      </c>
      <c r="F47" s="830">
        <v>47207</v>
      </c>
      <c r="G47" s="830">
        <v>4798</v>
      </c>
      <c r="H47" s="830">
        <v>42265</v>
      </c>
      <c r="I47" s="830">
        <v>144</v>
      </c>
      <c r="J47" s="830">
        <v>9554</v>
      </c>
      <c r="K47" s="830">
        <v>185240</v>
      </c>
      <c r="L47" s="856">
        <v>29597</v>
      </c>
      <c r="M47" s="830">
        <v>178829</v>
      </c>
      <c r="N47" s="830">
        <v>158498</v>
      </c>
      <c r="O47" s="831">
        <v>9266</v>
      </c>
      <c r="P47" s="293">
        <v>212</v>
      </c>
      <c r="Q47" s="878"/>
      <c r="R47" s="807">
        <f t="shared" si="3"/>
        <v>214837</v>
      </c>
      <c r="S47" s="807">
        <f t="shared" si="4"/>
        <v>0</v>
      </c>
      <c r="T47" s="807"/>
      <c r="U47" s="49">
        <f>民間設備製造1!H49</f>
        <v>22707</v>
      </c>
      <c r="V47" s="49">
        <f t="shared" si="5"/>
        <v>165538</v>
      </c>
    </row>
    <row r="48" spans="1:22">
      <c r="A48" s="300">
        <v>227</v>
      </c>
      <c r="B48" s="90" t="s">
        <v>219</v>
      </c>
      <c r="C48" s="830">
        <v>116463</v>
      </c>
      <c r="D48" s="830">
        <v>74166</v>
      </c>
      <c r="E48" s="830">
        <v>24271</v>
      </c>
      <c r="F48" s="830">
        <v>18269</v>
      </c>
      <c r="G48" s="830">
        <v>3348</v>
      </c>
      <c r="H48" s="830">
        <v>14825</v>
      </c>
      <c r="I48" s="830">
        <v>96</v>
      </c>
      <c r="J48" s="830">
        <v>6487</v>
      </c>
      <c r="K48" s="830">
        <v>123193</v>
      </c>
      <c r="L48" s="856">
        <v>-6730</v>
      </c>
      <c r="M48" s="830">
        <v>103685</v>
      </c>
      <c r="N48" s="830">
        <v>105408</v>
      </c>
      <c r="O48" s="831">
        <v>-5007</v>
      </c>
      <c r="P48" s="293">
        <v>227</v>
      </c>
      <c r="Q48" s="878"/>
      <c r="R48" s="807">
        <f t="shared" ref="R48:R65" si="6">D48+E48+F48+J48+L48</f>
        <v>116463</v>
      </c>
      <c r="S48" s="807">
        <f t="shared" ref="S48:S65" si="7">R48-C48</f>
        <v>0</v>
      </c>
      <c r="T48" s="807"/>
      <c r="U48" s="49">
        <f>民間設備製造1!H50</f>
        <v>2046</v>
      </c>
      <c r="V48" s="49">
        <f t="shared" ref="V48:V65" si="8">D48+E48+G48+J48+U48</f>
        <v>110318</v>
      </c>
    </row>
    <row r="49" spans="1:22">
      <c r="A49" s="300">
        <v>229</v>
      </c>
      <c r="B49" s="90" t="s">
        <v>235</v>
      </c>
      <c r="C49" s="830">
        <v>321795</v>
      </c>
      <c r="D49" s="830">
        <v>152174</v>
      </c>
      <c r="E49" s="830">
        <v>33643</v>
      </c>
      <c r="F49" s="830">
        <v>63193</v>
      </c>
      <c r="G49" s="830">
        <v>6492</v>
      </c>
      <c r="H49" s="830">
        <v>56497</v>
      </c>
      <c r="I49" s="830">
        <v>204</v>
      </c>
      <c r="J49" s="830">
        <v>7795</v>
      </c>
      <c r="K49" s="830">
        <v>256805</v>
      </c>
      <c r="L49" s="856">
        <v>64990</v>
      </c>
      <c r="M49" s="830">
        <v>268176</v>
      </c>
      <c r="N49" s="830">
        <v>219731</v>
      </c>
      <c r="O49" s="831">
        <v>16545</v>
      </c>
      <c r="P49" s="293">
        <v>229</v>
      </c>
      <c r="Q49" s="878"/>
      <c r="R49" s="807">
        <f t="shared" si="6"/>
        <v>321795</v>
      </c>
      <c r="S49" s="807">
        <f t="shared" si="7"/>
        <v>0</v>
      </c>
      <c r="T49" s="807"/>
      <c r="U49" s="49">
        <f>民間設備製造1!H51</f>
        <v>34122</v>
      </c>
      <c r="V49" s="49">
        <f t="shared" si="8"/>
        <v>234226</v>
      </c>
    </row>
    <row r="50" spans="1:22">
      <c r="A50" s="300">
        <v>464</v>
      </c>
      <c r="B50" s="90" t="s">
        <v>208</v>
      </c>
      <c r="C50" s="830">
        <v>102795</v>
      </c>
      <c r="D50" s="830">
        <v>67767</v>
      </c>
      <c r="E50" s="830">
        <v>9549</v>
      </c>
      <c r="F50" s="830">
        <v>27552</v>
      </c>
      <c r="G50" s="830">
        <v>4594</v>
      </c>
      <c r="H50" s="830">
        <v>22876</v>
      </c>
      <c r="I50" s="830">
        <v>82</v>
      </c>
      <c r="J50" s="830">
        <v>3119</v>
      </c>
      <c r="K50" s="830">
        <v>107987</v>
      </c>
      <c r="L50" s="856">
        <v>-5192</v>
      </c>
      <c r="M50" s="830">
        <v>85010</v>
      </c>
      <c r="N50" s="830">
        <v>92397</v>
      </c>
      <c r="O50" s="831">
        <v>2195</v>
      </c>
      <c r="P50" s="293">
        <v>464</v>
      </c>
      <c r="Q50" s="878"/>
      <c r="R50" s="807">
        <f t="shared" si="6"/>
        <v>102795</v>
      </c>
      <c r="S50" s="807">
        <f t="shared" si="7"/>
        <v>0</v>
      </c>
      <c r="T50" s="807"/>
      <c r="U50" s="49">
        <f>民間設備製造1!H52</f>
        <v>8904</v>
      </c>
      <c r="V50" s="49">
        <f t="shared" si="8"/>
        <v>93933</v>
      </c>
    </row>
    <row r="51" spans="1:22">
      <c r="A51" s="300">
        <v>481</v>
      </c>
      <c r="B51" s="90" t="s">
        <v>209</v>
      </c>
      <c r="C51" s="830">
        <v>41212</v>
      </c>
      <c r="D51" s="830">
        <v>33059</v>
      </c>
      <c r="E51" s="830">
        <v>8647</v>
      </c>
      <c r="F51" s="830">
        <v>10219</v>
      </c>
      <c r="G51" s="830">
        <v>817</v>
      </c>
      <c r="H51" s="830">
        <v>9361</v>
      </c>
      <c r="I51" s="830">
        <v>41</v>
      </c>
      <c r="J51" s="830">
        <v>2604</v>
      </c>
      <c r="K51" s="830">
        <v>54529</v>
      </c>
      <c r="L51" s="856">
        <v>-13317</v>
      </c>
      <c r="M51" s="830">
        <v>36722</v>
      </c>
      <c r="N51" s="830">
        <v>46657</v>
      </c>
      <c r="O51" s="831">
        <v>-3382</v>
      </c>
      <c r="P51" s="293">
        <v>481</v>
      </c>
      <c r="Q51" s="878"/>
      <c r="R51" s="807">
        <f t="shared" si="6"/>
        <v>41212</v>
      </c>
      <c r="S51" s="807">
        <f t="shared" si="7"/>
        <v>0</v>
      </c>
      <c r="T51" s="807"/>
      <c r="U51" s="49">
        <f>民間設備製造1!H53</f>
        <v>1418</v>
      </c>
      <c r="V51" s="49">
        <f t="shared" si="8"/>
        <v>46545</v>
      </c>
    </row>
    <row r="52" spans="1:22">
      <c r="A52" s="302">
        <v>501</v>
      </c>
      <c r="B52" s="201" t="s">
        <v>236</v>
      </c>
      <c r="C52" s="830">
        <v>57365</v>
      </c>
      <c r="D52" s="837">
        <v>35550</v>
      </c>
      <c r="E52" s="837">
        <v>16075</v>
      </c>
      <c r="F52" s="837">
        <v>9354</v>
      </c>
      <c r="G52" s="837">
        <v>1409</v>
      </c>
      <c r="H52" s="837">
        <v>7892</v>
      </c>
      <c r="I52" s="837">
        <v>53</v>
      </c>
      <c r="J52" s="837">
        <v>6633</v>
      </c>
      <c r="K52" s="837">
        <v>67612</v>
      </c>
      <c r="L52" s="858">
        <v>-10247</v>
      </c>
      <c r="M52" s="837">
        <v>53329</v>
      </c>
      <c r="N52" s="837">
        <v>57851</v>
      </c>
      <c r="O52" s="831">
        <v>-5725</v>
      </c>
      <c r="P52" s="293">
        <v>501</v>
      </c>
      <c r="Q52" s="878"/>
      <c r="R52" s="807">
        <f t="shared" si="6"/>
        <v>57365</v>
      </c>
      <c r="S52" s="807">
        <f t="shared" si="7"/>
        <v>0</v>
      </c>
      <c r="T52" s="807"/>
      <c r="U52" s="49">
        <f>民間設備製造1!H54</f>
        <v>802</v>
      </c>
      <c r="V52" s="49">
        <f t="shared" si="8"/>
        <v>60469</v>
      </c>
    </row>
    <row r="53" spans="1:22">
      <c r="A53" s="300">
        <v>7</v>
      </c>
      <c r="B53" s="93" t="s">
        <v>210</v>
      </c>
      <c r="C53" s="827">
        <v>570909</v>
      </c>
      <c r="D53" s="827">
        <v>378918</v>
      </c>
      <c r="E53" s="827">
        <v>118115</v>
      </c>
      <c r="F53" s="827">
        <v>98687</v>
      </c>
      <c r="G53" s="830">
        <v>9963</v>
      </c>
      <c r="H53" s="827">
        <v>88203</v>
      </c>
      <c r="I53" s="827">
        <v>521</v>
      </c>
      <c r="J53" s="827">
        <v>53946</v>
      </c>
      <c r="K53" s="827">
        <v>649666</v>
      </c>
      <c r="L53" s="856">
        <v>-78757</v>
      </c>
      <c r="M53" s="830">
        <v>507799</v>
      </c>
      <c r="N53" s="830">
        <v>555877</v>
      </c>
      <c r="O53" s="828">
        <v>-30679</v>
      </c>
      <c r="P53" s="293">
        <v>7</v>
      </c>
      <c r="Q53" s="878"/>
      <c r="R53" s="807">
        <f t="shared" si="6"/>
        <v>570909</v>
      </c>
      <c r="S53" s="807">
        <f t="shared" si="7"/>
        <v>0</v>
      </c>
      <c r="T53" s="807"/>
      <c r="U53" s="49">
        <f>民間設備製造1!H55</f>
        <v>36394</v>
      </c>
      <c r="V53" s="49">
        <f t="shared" si="8"/>
        <v>597336</v>
      </c>
    </row>
    <row r="54" spans="1:22">
      <c r="A54" s="300">
        <v>209</v>
      </c>
      <c r="B54" s="90" t="s">
        <v>221</v>
      </c>
      <c r="C54" s="830">
        <v>280458</v>
      </c>
      <c r="D54" s="830">
        <v>181482</v>
      </c>
      <c r="E54" s="830">
        <v>49554</v>
      </c>
      <c r="F54" s="830">
        <v>50252</v>
      </c>
      <c r="G54" s="830">
        <v>6166</v>
      </c>
      <c r="H54" s="830">
        <v>43831</v>
      </c>
      <c r="I54" s="830">
        <v>255</v>
      </c>
      <c r="J54" s="830">
        <v>29786</v>
      </c>
      <c r="K54" s="830">
        <v>311074</v>
      </c>
      <c r="L54" s="856">
        <v>-30616</v>
      </c>
      <c r="M54" s="830">
        <v>244814</v>
      </c>
      <c r="N54" s="830">
        <v>266166</v>
      </c>
      <c r="O54" s="831">
        <v>-9264</v>
      </c>
      <c r="P54" s="293">
        <v>209</v>
      </c>
      <c r="Q54" s="878"/>
      <c r="R54" s="807">
        <f t="shared" si="6"/>
        <v>280458</v>
      </c>
      <c r="S54" s="807">
        <f t="shared" si="7"/>
        <v>0</v>
      </c>
      <c r="T54" s="807"/>
      <c r="U54" s="49">
        <f>民間設備製造1!H56</f>
        <v>25160</v>
      </c>
      <c r="V54" s="49">
        <f t="shared" si="8"/>
        <v>292148</v>
      </c>
    </row>
    <row r="55" spans="1:22">
      <c r="A55" s="300">
        <v>222</v>
      </c>
      <c r="B55" s="90" t="s">
        <v>218</v>
      </c>
      <c r="C55" s="830">
        <v>85295</v>
      </c>
      <c r="D55" s="830">
        <v>54475</v>
      </c>
      <c r="E55" s="830">
        <v>19320</v>
      </c>
      <c r="F55" s="830">
        <v>14254</v>
      </c>
      <c r="G55" s="830">
        <v>1143</v>
      </c>
      <c r="H55" s="830">
        <v>13039</v>
      </c>
      <c r="I55" s="830">
        <v>72</v>
      </c>
      <c r="J55" s="830">
        <v>4299</v>
      </c>
      <c r="K55" s="830">
        <v>92348</v>
      </c>
      <c r="L55" s="856">
        <v>-7053</v>
      </c>
      <c r="M55" s="830">
        <v>76783</v>
      </c>
      <c r="N55" s="830">
        <v>79016</v>
      </c>
      <c r="O55" s="831">
        <v>-4820</v>
      </c>
      <c r="P55" s="293">
        <v>222</v>
      </c>
      <c r="Q55" s="878"/>
      <c r="R55" s="807">
        <f t="shared" si="6"/>
        <v>85295</v>
      </c>
      <c r="S55" s="807">
        <f t="shared" si="7"/>
        <v>0</v>
      </c>
      <c r="T55" s="807"/>
      <c r="U55" s="49">
        <f>民間設備製造1!H57</f>
        <v>3178</v>
      </c>
      <c r="V55" s="49">
        <f t="shared" si="8"/>
        <v>82415</v>
      </c>
    </row>
    <row r="56" spans="1:22">
      <c r="A56" s="300">
        <v>225</v>
      </c>
      <c r="B56" s="90" t="s">
        <v>222</v>
      </c>
      <c r="C56" s="830">
        <v>115101</v>
      </c>
      <c r="D56" s="830">
        <v>71033</v>
      </c>
      <c r="E56" s="830">
        <v>24705</v>
      </c>
      <c r="F56" s="830">
        <v>19947</v>
      </c>
      <c r="G56" s="830">
        <v>1674</v>
      </c>
      <c r="H56" s="830">
        <v>18174</v>
      </c>
      <c r="I56" s="830">
        <v>99</v>
      </c>
      <c r="J56" s="830">
        <v>9394</v>
      </c>
      <c r="K56" s="830">
        <v>125079</v>
      </c>
      <c r="L56" s="856">
        <v>-9978</v>
      </c>
      <c r="M56" s="830">
        <v>102866</v>
      </c>
      <c r="N56" s="830">
        <v>107022</v>
      </c>
      <c r="O56" s="831">
        <v>-5822</v>
      </c>
      <c r="P56" s="293">
        <v>225</v>
      </c>
      <c r="Q56" s="878"/>
      <c r="R56" s="807">
        <f t="shared" si="6"/>
        <v>115101</v>
      </c>
      <c r="S56" s="807">
        <f t="shared" si="7"/>
        <v>0</v>
      </c>
      <c r="T56" s="807"/>
      <c r="U56" s="49">
        <f>民間設備製造1!H58</f>
        <v>7115</v>
      </c>
      <c r="V56" s="49">
        <f t="shared" si="8"/>
        <v>113921</v>
      </c>
    </row>
    <row r="57" spans="1:22">
      <c r="A57" s="300">
        <v>585</v>
      </c>
      <c r="B57" s="90" t="s">
        <v>220</v>
      </c>
      <c r="C57" s="830">
        <v>52533</v>
      </c>
      <c r="D57" s="830">
        <v>39020</v>
      </c>
      <c r="E57" s="830">
        <v>13354</v>
      </c>
      <c r="F57" s="830">
        <v>8009</v>
      </c>
      <c r="G57" s="830">
        <v>694</v>
      </c>
      <c r="H57" s="830">
        <v>7263</v>
      </c>
      <c r="I57" s="830">
        <v>52</v>
      </c>
      <c r="J57" s="830">
        <v>6675</v>
      </c>
      <c r="K57" s="830">
        <v>67058</v>
      </c>
      <c r="L57" s="856">
        <v>-14525</v>
      </c>
      <c r="M57" s="830">
        <v>48088</v>
      </c>
      <c r="N57" s="830">
        <v>57377</v>
      </c>
      <c r="O57" s="831">
        <v>-5236</v>
      </c>
      <c r="P57" s="293">
        <v>585</v>
      </c>
      <c r="Q57" s="878"/>
      <c r="R57" s="807">
        <f t="shared" si="6"/>
        <v>52533</v>
      </c>
      <c r="S57" s="807">
        <f t="shared" si="7"/>
        <v>0</v>
      </c>
      <c r="T57" s="807"/>
      <c r="U57" s="49">
        <f>民間設備製造1!H59</f>
        <v>224</v>
      </c>
      <c r="V57" s="49">
        <f t="shared" si="8"/>
        <v>59967</v>
      </c>
    </row>
    <row r="58" spans="1:22">
      <c r="A58" s="300">
        <v>586</v>
      </c>
      <c r="B58" s="90" t="s">
        <v>237</v>
      </c>
      <c r="C58" s="837">
        <v>37522</v>
      </c>
      <c r="D58" s="837">
        <v>32908</v>
      </c>
      <c r="E58" s="837">
        <v>11182</v>
      </c>
      <c r="F58" s="837">
        <v>6225</v>
      </c>
      <c r="G58" s="830">
        <v>286</v>
      </c>
      <c r="H58" s="837">
        <v>5896</v>
      </c>
      <c r="I58" s="837">
        <v>43</v>
      </c>
      <c r="J58" s="837">
        <v>3792</v>
      </c>
      <c r="K58" s="837">
        <v>54107</v>
      </c>
      <c r="L58" s="856">
        <v>-16585</v>
      </c>
      <c r="M58" s="830">
        <v>35248</v>
      </c>
      <c r="N58" s="830">
        <v>46296</v>
      </c>
      <c r="O58" s="835">
        <v>-5537</v>
      </c>
      <c r="P58" s="293">
        <v>586</v>
      </c>
      <c r="Q58" s="878"/>
      <c r="R58" s="807">
        <f t="shared" si="6"/>
        <v>37522</v>
      </c>
      <c r="S58" s="807">
        <f t="shared" si="7"/>
        <v>0</v>
      </c>
      <c r="T58" s="807"/>
      <c r="U58" s="49">
        <f>民間設備製造1!H60</f>
        <v>717</v>
      </c>
      <c r="V58" s="49">
        <f t="shared" si="8"/>
        <v>48885</v>
      </c>
    </row>
    <row r="59" spans="1:22">
      <c r="A59" s="301">
        <v>8</v>
      </c>
      <c r="B59" s="127" t="s">
        <v>211</v>
      </c>
      <c r="C59" s="830">
        <v>285502</v>
      </c>
      <c r="D59" s="827">
        <v>232665</v>
      </c>
      <c r="E59" s="827">
        <v>57862</v>
      </c>
      <c r="F59" s="827">
        <v>58689</v>
      </c>
      <c r="G59" s="827">
        <v>6717</v>
      </c>
      <c r="H59" s="827">
        <v>51683</v>
      </c>
      <c r="I59" s="827">
        <v>289</v>
      </c>
      <c r="J59" s="827">
        <v>15457</v>
      </c>
      <c r="K59" s="827">
        <v>364673</v>
      </c>
      <c r="L59" s="855">
        <v>-79171</v>
      </c>
      <c r="M59" s="827">
        <v>253281</v>
      </c>
      <c r="N59" s="827">
        <v>312027</v>
      </c>
      <c r="O59" s="831">
        <v>-20425</v>
      </c>
      <c r="P59" s="293">
        <v>8</v>
      </c>
      <c r="Q59" s="878"/>
      <c r="R59" s="807">
        <f t="shared" si="6"/>
        <v>285502</v>
      </c>
      <c r="S59" s="807">
        <f t="shared" si="7"/>
        <v>0</v>
      </c>
      <c r="T59" s="807"/>
      <c r="U59" s="49">
        <f>民間設備製造1!H61</f>
        <v>18650</v>
      </c>
      <c r="V59" s="49">
        <f t="shared" si="8"/>
        <v>331351</v>
      </c>
    </row>
    <row r="60" spans="1:22">
      <c r="A60" s="300">
        <v>221</v>
      </c>
      <c r="B60" s="90" t="s">
        <v>1144</v>
      </c>
      <c r="C60" s="830">
        <v>50039</v>
      </c>
      <c r="D60" s="830">
        <v>95248</v>
      </c>
      <c r="E60" s="830">
        <v>24068</v>
      </c>
      <c r="F60" s="830">
        <v>22964</v>
      </c>
      <c r="G60" s="830">
        <v>2940</v>
      </c>
      <c r="H60" s="830">
        <v>19908</v>
      </c>
      <c r="I60" s="830">
        <v>116</v>
      </c>
      <c r="J60" s="830">
        <v>3353</v>
      </c>
      <c r="K60" s="830">
        <v>145633</v>
      </c>
      <c r="L60" s="856">
        <v>-95594</v>
      </c>
      <c r="M60" s="830">
        <v>52023</v>
      </c>
      <c r="N60" s="830">
        <v>124609</v>
      </c>
      <c r="O60" s="831">
        <v>-23008</v>
      </c>
      <c r="P60" s="293">
        <v>221</v>
      </c>
      <c r="Q60" s="878"/>
      <c r="R60" s="807">
        <f t="shared" si="6"/>
        <v>50039</v>
      </c>
      <c r="S60" s="807">
        <f t="shared" si="7"/>
        <v>0</v>
      </c>
      <c r="T60" s="807"/>
      <c r="U60" s="49">
        <f>民間設備製造1!H62</f>
        <v>7632</v>
      </c>
      <c r="V60" s="49">
        <f t="shared" si="8"/>
        <v>133241</v>
      </c>
    </row>
    <row r="61" spans="1:22">
      <c r="A61" s="302">
        <v>223</v>
      </c>
      <c r="B61" s="201" t="s">
        <v>223</v>
      </c>
      <c r="C61" s="830">
        <v>235463</v>
      </c>
      <c r="D61" s="830">
        <v>137417</v>
      </c>
      <c r="E61" s="830">
        <v>33794</v>
      </c>
      <c r="F61" s="830">
        <v>35725</v>
      </c>
      <c r="G61" s="837">
        <v>3777</v>
      </c>
      <c r="H61" s="830">
        <v>31775</v>
      </c>
      <c r="I61" s="830">
        <v>173</v>
      </c>
      <c r="J61" s="830">
        <v>12104</v>
      </c>
      <c r="K61" s="830">
        <v>219040</v>
      </c>
      <c r="L61" s="858">
        <v>16423</v>
      </c>
      <c r="M61" s="837">
        <v>201258</v>
      </c>
      <c r="N61" s="837">
        <v>187418</v>
      </c>
      <c r="O61" s="831">
        <v>2583</v>
      </c>
      <c r="P61" s="293">
        <v>223</v>
      </c>
      <c r="Q61" s="878"/>
      <c r="R61" s="807">
        <f t="shared" si="6"/>
        <v>235463</v>
      </c>
      <c r="S61" s="807">
        <f t="shared" si="7"/>
        <v>0</v>
      </c>
      <c r="T61" s="807"/>
      <c r="U61" s="49">
        <f>民間設備製造1!H63</f>
        <v>11018</v>
      </c>
      <c r="V61" s="49">
        <f t="shared" si="8"/>
        <v>198110</v>
      </c>
    </row>
    <row r="62" spans="1:22">
      <c r="A62" s="301">
        <v>9</v>
      </c>
      <c r="B62" s="346" t="s">
        <v>212</v>
      </c>
      <c r="C62" s="827">
        <v>438016</v>
      </c>
      <c r="D62" s="827">
        <v>278597</v>
      </c>
      <c r="E62" s="827">
        <v>74346</v>
      </c>
      <c r="F62" s="827">
        <v>67918</v>
      </c>
      <c r="G62" s="827">
        <v>9065</v>
      </c>
      <c r="H62" s="827">
        <v>58490</v>
      </c>
      <c r="I62" s="827">
        <v>363</v>
      </c>
      <c r="J62" s="827">
        <v>40427</v>
      </c>
      <c r="K62" s="827">
        <v>461288</v>
      </c>
      <c r="L62" s="856">
        <v>-23272</v>
      </c>
      <c r="M62" s="830">
        <v>380677</v>
      </c>
      <c r="N62" s="830">
        <v>394694</v>
      </c>
      <c r="O62" s="828">
        <v>-9255</v>
      </c>
      <c r="P62" s="293">
        <v>9</v>
      </c>
      <c r="Q62" s="878"/>
      <c r="R62" s="807">
        <f t="shared" si="6"/>
        <v>438016</v>
      </c>
      <c r="S62" s="807">
        <f t="shared" si="7"/>
        <v>0</v>
      </c>
      <c r="T62" s="807"/>
      <c r="U62" s="49">
        <f>民間設備製造1!H64</f>
        <v>13279</v>
      </c>
      <c r="V62" s="49">
        <f t="shared" si="8"/>
        <v>415714</v>
      </c>
    </row>
    <row r="63" spans="1:22">
      <c r="A63" s="300">
        <v>205</v>
      </c>
      <c r="B63" s="92" t="s">
        <v>241</v>
      </c>
      <c r="C63" s="830">
        <v>154460</v>
      </c>
      <c r="D63" s="830">
        <v>96936</v>
      </c>
      <c r="E63" s="830">
        <v>22785</v>
      </c>
      <c r="F63" s="830">
        <v>24611</v>
      </c>
      <c r="G63" s="830">
        <v>2552</v>
      </c>
      <c r="H63" s="830">
        <v>21937</v>
      </c>
      <c r="I63" s="830">
        <v>122</v>
      </c>
      <c r="J63" s="830">
        <v>10585</v>
      </c>
      <c r="K63" s="830">
        <v>154917</v>
      </c>
      <c r="L63" s="856">
        <v>-457</v>
      </c>
      <c r="M63" s="830">
        <v>132360</v>
      </c>
      <c r="N63" s="830">
        <v>132552</v>
      </c>
      <c r="O63" s="831">
        <v>-265</v>
      </c>
      <c r="P63" s="293">
        <v>205</v>
      </c>
      <c r="Q63" s="878"/>
      <c r="R63" s="807">
        <f t="shared" si="6"/>
        <v>154460</v>
      </c>
      <c r="S63" s="807">
        <f t="shared" si="7"/>
        <v>0</v>
      </c>
      <c r="T63" s="807"/>
      <c r="U63" s="49">
        <f>民間設備製造1!H65</f>
        <v>7024</v>
      </c>
      <c r="V63" s="49">
        <f t="shared" si="8"/>
        <v>139882</v>
      </c>
    </row>
    <row r="64" spans="1:22">
      <c r="A64" s="300">
        <v>224</v>
      </c>
      <c r="B64" s="90" t="s">
        <v>224</v>
      </c>
      <c r="C64" s="830">
        <v>146999</v>
      </c>
      <c r="D64" s="830">
        <v>89824</v>
      </c>
      <c r="E64" s="830">
        <v>25302</v>
      </c>
      <c r="F64" s="830">
        <v>21392</v>
      </c>
      <c r="G64" s="830">
        <v>3614</v>
      </c>
      <c r="H64" s="830">
        <v>17662</v>
      </c>
      <c r="I64" s="830">
        <v>116</v>
      </c>
      <c r="J64" s="830">
        <v>12874</v>
      </c>
      <c r="K64" s="830">
        <v>149392</v>
      </c>
      <c r="L64" s="856">
        <v>-2393</v>
      </c>
      <c r="M64" s="830">
        <v>127948</v>
      </c>
      <c r="N64" s="830">
        <v>127825</v>
      </c>
      <c r="O64" s="831">
        <v>-2516</v>
      </c>
      <c r="P64" s="293">
        <v>224</v>
      </c>
      <c r="Q64" s="878"/>
      <c r="R64" s="807">
        <f t="shared" si="6"/>
        <v>146999</v>
      </c>
      <c r="S64" s="807">
        <f t="shared" si="7"/>
        <v>0</v>
      </c>
      <c r="T64" s="807"/>
      <c r="U64" s="49">
        <f>民間設備製造1!H66</f>
        <v>1384</v>
      </c>
      <c r="V64" s="49">
        <f t="shared" si="8"/>
        <v>132998</v>
      </c>
    </row>
    <row r="65" spans="1:22">
      <c r="A65" s="302">
        <v>226</v>
      </c>
      <c r="B65" s="201" t="s">
        <v>225</v>
      </c>
      <c r="C65" s="837">
        <v>136557</v>
      </c>
      <c r="D65" s="837">
        <v>91837</v>
      </c>
      <c r="E65" s="837">
        <v>26259</v>
      </c>
      <c r="F65" s="837">
        <v>21915</v>
      </c>
      <c r="G65" s="837">
        <v>2899</v>
      </c>
      <c r="H65" s="837">
        <v>18891</v>
      </c>
      <c r="I65" s="837">
        <v>125</v>
      </c>
      <c r="J65" s="837">
        <v>16968</v>
      </c>
      <c r="K65" s="837">
        <v>156979</v>
      </c>
      <c r="L65" s="858">
        <v>-20422</v>
      </c>
      <c r="M65" s="837">
        <v>120369</v>
      </c>
      <c r="N65" s="837">
        <v>134317</v>
      </c>
      <c r="O65" s="835">
        <v>-6474</v>
      </c>
      <c r="P65" s="293">
        <v>226</v>
      </c>
      <c r="Q65" s="878"/>
      <c r="R65" s="807">
        <f t="shared" si="6"/>
        <v>136557</v>
      </c>
      <c r="S65" s="807">
        <f t="shared" si="7"/>
        <v>0</v>
      </c>
      <c r="T65" s="807"/>
      <c r="U65" s="49">
        <f>民間設備製造1!H67</f>
        <v>4871</v>
      </c>
      <c r="V65" s="49">
        <f t="shared" si="8"/>
        <v>142834</v>
      </c>
    </row>
    <row r="66" spans="1:22">
      <c r="A66" s="75"/>
      <c r="B66" s="75"/>
      <c r="C66" s="239"/>
      <c r="D66" s="239"/>
      <c r="E66" s="239"/>
      <c r="F66" s="239"/>
      <c r="G66" s="239"/>
      <c r="H66" s="239"/>
      <c r="I66" s="239"/>
      <c r="J66" s="239"/>
      <c r="K66" s="239"/>
      <c r="L66" s="239"/>
      <c r="M66" s="239"/>
      <c r="N66" s="239"/>
      <c r="O66" s="352"/>
    </row>
    <row r="67" spans="1:22">
      <c r="A67" s="75"/>
      <c r="B67" s="75" t="s">
        <v>1309</v>
      </c>
      <c r="C67" s="239">
        <f>+SUM(C17:C65)/2+C16</f>
        <v>19875506</v>
      </c>
      <c r="D67" s="239">
        <f t="shared" ref="D67:O67" si="9">+SUM(D17:D65)/2+D16</f>
        <v>12744229</v>
      </c>
      <c r="E67" s="239">
        <f t="shared" si="9"/>
        <v>2321386</v>
      </c>
      <c r="F67" s="239">
        <f t="shared" si="9"/>
        <v>3984129</v>
      </c>
      <c r="G67" s="239">
        <f t="shared" si="9"/>
        <v>676351</v>
      </c>
      <c r="H67" s="239">
        <f t="shared" si="9"/>
        <v>3292201</v>
      </c>
      <c r="I67" s="239">
        <f t="shared" si="9"/>
        <v>15577</v>
      </c>
      <c r="J67" s="239">
        <f t="shared" si="9"/>
        <v>683320</v>
      </c>
      <c r="K67" s="239">
        <f t="shared" si="9"/>
        <v>19733064</v>
      </c>
      <c r="L67" s="239">
        <f t="shared" si="9"/>
        <v>142442</v>
      </c>
      <c r="M67" s="239">
        <f t="shared" si="9"/>
        <v>16697154</v>
      </c>
      <c r="N67" s="239">
        <f t="shared" si="9"/>
        <v>16884304</v>
      </c>
      <c r="O67" s="239">
        <f t="shared" si="9"/>
        <v>329592</v>
      </c>
    </row>
    <row r="68" spans="1:22">
      <c r="A68" s="75"/>
      <c r="B68" s="75" t="s">
        <v>1307</v>
      </c>
      <c r="C68" s="239">
        <f>名目県内総支出!N44</f>
        <v>19875506</v>
      </c>
      <c r="D68" s="239">
        <f>名目県内総支出!N6</f>
        <v>12744229</v>
      </c>
      <c r="E68" s="239">
        <f>名目県内総支出!N61</f>
        <v>2321386</v>
      </c>
      <c r="F68" s="239">
        <f>名目県内総支出!N28+名目県内総支出!N36</f>
        <v>3984129</v>
      </c>
      <c r="G68" s="239">
        <f>名目県内総支出!N29</f>
        <v>676351</v>
      </c>
      <c r="H68" s="239">
        <f>名目県内総支出!N30</f>
        <v>3292201</v>
      </c>
      <c r="I68" s="239">
        <f>名目県内総支出!N36</f>
        <v>15577</v>
      </c>
      <c r="J68" s="239">
        <f>名目県内総支出!N31+名目県内総支出!N37</f>
        <v>683320</v>
      </c>
      <c r="K68" s="239">
        <f>名目県内総支出!N62</f>
        <v>19733065</v>
      </c>
      <c r="L68" s="239">
        <f>名目県内総支出!N63</f>
        <v>142441</v>
      </c>
      <c r="M68" s="239">
        <f>名目県内総支出!N39+名目県内総支出!N41+名目県内総支出!N64</f>
        <v>16690981.276192082</v>
      </c>
      <c r="N68" s="239">
        <f>名目県内総支出!N40</f>
        <v>16895177</v>
      </c>
      <c r="O68" s="239">
        <f>名目県内総支出!N43</f>
        <v>329592</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-1</v>
      </c>
      <c r="L69" s="838">
        <f t="shared" si="10"/>
        <v>1</v>
      </c>
      <c r="M69" s="838">
        <f t="shared" si="10"/>
        <v>6172.7238079179078</v>
      </c>
      <c r="N69" s="838">
        <f t="shared" si="10"/>
        <v>-10873</v>
      </c>
      <c r="O69" s="838">
        <f t="shared" si="10"/>
        <v>0</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theme="9" tint="0.59999389629810485"/>
  </sheetPr>
  <dimension ref="A1:W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 style="49" customWidth="1"/>
    <col min="18" max="18" width="8.5" style="49" customWidth="1"/>
    <col min="19" max="20" width="5.0703125" style="49" customWidth="1"/>
    <col min="21" max="21" width="9.5703125" style="49" customWidth="1"/>
    <col min="22" max="22" width="8.92578125" style="49" customWidth="1"/>
    <col min="23" max="23" width="3.2109375" style="49" customWidth="1"/>
    <col min="24" max="16384" width="8.7109375" style="49"/>
  </cols>
  <sheetData>
    <row r="1" spans="1:22">
      <c r="A1" s="86"/>
      <c r="B1" s="65" t="s">
        <v>922</v>
      </c>
      <c r="C1" s="239"/>
      <c r="D1" s="239"/>
      <c r="E1" s="239"/>
      <c r="F1" s="1878" t="str">
        <f>'24R5'!F1</f>
        <v>市町民経済計算試算(2026.3)</v>
      </c>
      <c r="G1" s="682"/>
      <c r="H1" s="239"/>
      <c r="I1" s="239"/>
      <c r="J1" s="239"/>
      <c r="K1" s="239"/>
      <c r="L1" s="239" t="s">
        <v>818</v>
      </c>
      <c r="M1" s="239"/>
      <c r="N1" s="49" t="s">
        <v>11</v>
      </c>
      <c r="O1" s="830"/>
      <c r="R1" s="851" t="s">
        <v>1344</v>
      </c>
      <c r="S1" s="843"/>
    </row>
    <row r="2" spans="1:22" ht="26.25" customHeight="1">
      <c r="A2" s="294"/>
      <c r="B2" s="296" t="s">
        <v>930</v>
      </c>
      <c r="C2" s="275" t="s">
        <v>817</v>
      </c>
      <c r="D2" s="291" t="s">
        <v>68</v>
      </c>
      <c r="E2" s="275" t="s">
        <v>1289</v>
      </c>
      <c r="F2" s="297" t="s">
        <v>69</v>
      </c>
      <c r="G2" s="291"/>
      <c r="H2" s="291"/>
      <c r="I2" s="817"/>
      <c r="J2" s="291" t="s">
        <v>70</v>
      </c>
      <c r="K2" s="275" t="s">
        <v>671</v>
      </c>
      <c r="L2" s="2310" t="s">
        <v>71</v>
      </c>
      <c r="M2" s="2311"/>
      <c r="N2" s="291"/>
      <c r="O2" s="817"/>
      <c r="P2" s="92"/>
      <c r="Q2" s="313"/>
      <c r="R2" s="888" t="s">
        <v>1345</v>
      </c>
      <c r="S2" s="909">
        <f>+SUM(C69:O69)</f>
        <v>103321.79504583776</v>
      </c>
      <c r="T2" s="755"/>
      <c r="U2" s="839" t="s">
        <v>1343</v>
      </c>
      <c r="V2" s="841"/>
    </row>
    <row r="3" spans="1:22" ht="28.5">
      <c r="A3" s="357"/>
      <c r="B3" s="92" t="s">
        <v>931</v>
      </c>
      <c r="C3" s="853" t="s">
        <v>82</v>
      </c>
      <c r="D3" s="352"/>
      <c r="E3" s="353"/>
      <c r="F3" s="351" t="s">
        <v>83</v>
      </c>
      <c r="G3" s="297" t="s">
        <v>72</v>
      </c>
      <c r="H3" s="275" t="s">
        <v>73</v>
      </c>
      <c r="I3" s="817" t="s">
        <v>74</v>
      </c>
      <c r="J3" s="352"/>
      <c r="K3" s="853" t="s">
        <v>75</v>
      </c>
      <c r="L3" s="351" t="s">
        <v>76</v>
      </c>
      <c r="M3" s="297" t="s">
        <v>77</v>
      </c>
      <c r="N3" s="297" t="s">
        <v>78</v>
      </c>
      <c r="O3" s="275" t="s">
        <v>81</v>
      </c>
      <c r="P3" s="92"/>
      <c r="Q3" s="355"/>
      <c r="R3" s="889" t="s">
        <v>1346</v>
      </c>
      <c r="S3" s="890">
        <f>SUM(S4:S65)</f>
        <v>0</v>
      </c>
      <c r="T3" s="755"/>
      <c r="U3" s="886" t="s">
        <v>956</v>
      </c>
      <c r="V3" s="887" t="s">
        <v>1347</v>
      </c>
    </row>
    <row r="4" spans="1:22">
      <c r="A4" s="303"/>
      <c r="B4" s="203" t="s">
        <v>166</v>
      </c>
      <c r="C4" s="864">
        <v>20571143</v>
      </c>
      <c r="D4" s="864">
        <v>13077487</v>
      </c>
      <c r="E4" s="864">
        <v>2384989</v>
      </c>
      <c r="F4" s="864">
        <v>4246262</v>
      </c>
      <c r="G4" s="864">
        <v>725868</v>
      </c>
      <c r="H4" s="864">
        <v>3477881</v>
      </c>
      <c r="I4" s="864">
        <v>42513</v>
      </c>
      <c r="J4" s="864">
        <v>818032</v>
      </c>
      <c r="K4" s="864">
        <v>20526770</v>
      </c>
      <c r="L4" s="862">
        <v>44373</v>
      </c>
      <c r="M4" s="864">
        <v>17332030</v>
      </c>
      <c r="N4" s="864">
        <v>17576353</v>
      </c>
      <c r="O4" s="865">
        <v>288696</v>
      </c>
      <c r="P4" s="77"/>
      <c r="Q4" s="878"/>
      <c r="R4" s="49">
        <f t="shared" ref="R4:R14" si="0">D4+E4+F4+J4+L4</f>
        <v>20571143</v>
      </c>
      <c r="S4" s="49">
        <f t="shared" ref="S4:S14" si="1">R4-C4</f>
        <v>0</v>
      </c>
      <c r="U4" s="49">
        <f>民間設備製造1!J6</f>
        <v>1234729.3709376652</v>
      </c>
      <c r="V4" s="49">
        <f t="shared" ref="V4:V14" si="2">D4+E4+G4+J4+U4</f>
        <v>18241105.370937664</v>
      </c>
    </row>
    <row r="5" spans="1:22">
      <c r="A5" s="298">
        <v>100</v>
      </c>
      <c r="B5" s="75" t="s">
        <v>172</v>
      </c>
      <c r="C5" s="868">
        <v>6421649</v>
      </c>
      <c r="D5" s="868">
        <v>4013570</v>
      </c>
      <c r="E5" s="868">
        <v>685267</v>
      </c>
      <c r="F5" s="868">
        <v>1107453</v>
      </c>
      <c r="G5" s="868">
        <v>212260</v>
      </c>
      <c r="H5" s="868">
        <v>882647</v>
      </c>
      <c r="I5" s="868">
        <v>12546</v>
      </c>
      <c r="J5" s="868">
        <v>251299</v>
      </c>
      <c r="K5" s="868">
        <v>6057589</v>
      </c>
      <c r="L5" s="866">
        <v>364060</v>
      </c>
      <c r="M5" s="868">
        <v>5379285</v>
      </c>
      <c r="N5" s="868">
        <v>5186901</v>
      </c>
      <c r="O5" s="869">
        <v>171676</v>
      </c>
      <c r="P5" s="77">
        <v>100</v>
      </c>
      <c r="Q5" s="878"/>
      <c r="R5" s="49">
        <f t="shared" si="0"/>
        <v>6421649</v>
      </c>
      <c r="S5" s="49">
        <f t="shared" si="1"/>
        <v>0</v>
      </c>
      <c r="U5" s="49">
        <f>民間設備製造1!J7</f>
        <v>220639.37093766523</v>
      </c>
      <c r="V5" s="49">
        <f t="shared" si="2"/>
        <v>5383035.370937665</v>
      </c>
    </row>
    <row r="6" spans="1:22">
      <c r="A6" s="298">
        <v>1</v>
      </c>
      <c r="B6" s="75" t="s">
        <v>323</v>
      </c>
      <c r="C6" s="868">
        <v>3309950</v>
      </c>
      <c r="D6" s="868">
        <v>2607987</v>
      </c>
      <c r="E6" s="868">
        <v>429681</v>
      </c>
      <c r="F6" s="868">
        <v>695517</v>
      </c>
      <c r="G6" s="868">
        <v>143519</v>
      </c>
      <c r="H6" s="868">
        <v>544022</v>
      </c>
      <c r="I6" s="868">
        <v>7976</v>
      </c>
      <c r="J6" s="868">
        <v>117487</v>
      </c>
      <c r="K6" s="868">
        <v>3850672</v>
      </c>
      <c r="L6" s="866">
        <v>-540722</v>
      </c>
      <c r="M6" s="868">
        <v>2812970</v>
      </c>
      <c r="N6" s="868">
        <v>3297195</v>
      </c>
      <c r="O6" s="869">
        <v>-56497</v>
      </c>
      <c r="P6" s="77">
        <v>1</v>
      </c>
      <c r="Q6" s="878"/>
      <c r="R6" s="49">
        <f t="shared" si="0"/>
        <v>3309950</v>
      </c>
      <c r="S6" s="49">
        <f t="shared" si="1"/>
        <v>0</v>
      </c>
      <c r="U6" s="49">
        <f>民間設備製造1!J8</f>
        <v>123196</v>
      </c>
      <c r="V6" s="49">
        <f t="shared" si="2"/>
        <v>3421870</v>
      </c>
    </row>
    <row r="7" spans="1:22">
      <c r="A7" s="298">
        <v>2</v>
      </c>
      <c r="B7" s="75" t="s">
        <v>324</v>
      </c>
      <c r="C7" s="868">
        <v>1969036</v>
      </c>
      <c r="D7" s="868">
        <v>1625737</v>
      </c>
      <c r="E7" s="868">
        <v>281281</v>
      </c>
      <c r="F7" s="868">
        <v>443907</v>
      </c>
      <c r="G7" s="868">
        <v>91840</v>
      </c>
      <c r="H7" s="868">
        <v>347088</v>
      </c>
      <c r="I7" s="868">
        <v>4979</v>
      </c>
      <c r="J7" s="868">
        <v>53279</v>
      </c>
      <c r="K7" s="868">
        <v>2404204</v>
      </c>
      <c r="L7" s="866">
        <v>-435168</v>
      </c>
      <c r="M7" s="868">
        <v>1686917</v>
      </c>
      <c r="N7" s="868">
        <v>2058637</v>
      </c>
      <c r="O7" s="869">
        <v>-63448</v>
      </c>
      <c r="P7" s="77">
        <v>2</v>
      </c>
      <c r="Q7" s="878"/>
      <c r="R7" s="49">
        <f t="shared" si="0"/>
        <v>1969036</v>
      </c>
      <c r="S7" s="49">
        <f t="shared" si="1"/>
        <v>0</v>
      </c>
      <c r="U7" s="49">
        <f>民間設備製造1!J9</f>
        <v>84342</v>
      </c>
      <c r="V7" s="49">
        <f t="shared" si="2"/>
        <v>2136479</v>
      </c>
    </row>
    <row r="8" spans="1:22">
      <c r="A8" s="298">
        <v>3</v>
      </c>
      <c r="B8" s="75" t="s">
        <v>192</v>
      </c>
      <c r="C8" s="868">
        <v>2788089</v>
      </c>
      <c r="D8" s="868">
        <v>1599573</v>
      </c>
      <c r="E8" s="868">
        <v>268662</v>
      </c>
      <c r="F8" s="868">
        <v>718360</v>
      </c>
      <c r="G8" s="868">
        <v>95587</v>
      </c>
      <c r="H8" s="868">
        <v>617244</v>
      </c>
      <c r="I8" s="868">
        <v>5529</v>
      </c>
      <c r="J8" s="868">
        <v>82953</v>
      </c>
      <c r="K8" s="868">
        <v>2669548</v>
      </c>
      <c r="L8" s="866">
        <v>118541</v>
      </c>
      <c r="M8" s="868">
        <v>2320315</v>
      </c>
      <c r="N8" s="868">
        <v>2285841</v>
      </c>
      <c r="O8" s="869">
        <v>84067</v>
      </c>
      <c r="P8" s="77">
        <v>3</v>
      </c>
      <c r="Q8" s="878"/>
      <c r="R8" s="49">
        <f t="shared" si="0"/>
        <v>2788089</v>
      </c>
      <c r="S8" s="49">
        <f t="shared" si="1"/>
        <v>0</v>
      </c>
      <c r="U8" s="49">
        <f>民間設備製造1!J10</f>
        <v>325560</v>
      </c>
      <c r="V8" s="49">
        <f t="shared" si="2"/>
        <v>2372335</v>
      </c>
    </row>
    <row r="9" spans="1:22">
      <c r="A9" s="298">
        <v>4</v>
      </c>
      <c r="B9" s="75" t="s">
        <v>325</v>
      </c>
      <c r="C9" s="868">
        <v>1151557</v>
      </c>
      <c r="D9" s="868">
        <v>545047</v>
      </c>
      <c r="E9" s="868">
        <v>119405</v>
      </c>
      <c r="F9" s="868">
        <v>268219</v>
      </c>
      <c r="G9" s="868">
        <v>31350</v>
      </c>
      <c r="H9" s="868">
        <v>234793</v>
      </c>
      <c r="I9" s="868">
        <v>2076</v>
      </c>
      <c r="J9" s="868">
        <v>69198</v>
      </c>
      <c r="K9" s="868">
        <v>1001869</v>
      </c>
      <c r="L9" s="866">
        <v>149688</v>
      </c>
      <c r="M9" s="868">
        <v>962798</v>
      </c>
      <c r="N9" s="868">
        <v>857865</v>
      </c>
      <c r="O9" s="869">
        <v>44755</v>
      </c>
      <c r="P9" s="77">
        <v>4</v>
      </c>
      <c r="Q9" s="878"/>
      <c r="R9" s="49">
        <f t="shared" si="0"/>
        <v>1151557</v>
      </c>
      <c r="S9" s="49">
        <f t="shared" si="1"/>
        <v>0</v>
      </c>
      <c r="U9" s="49">
        <f>民間設備製造1!J11</f>
        <v>125326</v>
      </c>
      <c r="V9" s="49">
        <f t="shared" si="2"/>
        <v>890326</v>
      </c>
    </row>
    <row r="10" spans="1:22">
      <c r="A10" s="298">
        <v>5</v>
      </c>
      <c r="B10" s="75" t="s">
        <v>326</v>
      </c>
      <c r="C10" s="868">
        <v>2510678</v>
      </c>
      <c r="D10" s="868">
        <v>1274762</v>
      </c>
      <c r="E10" s="868">
        <v>220835</v>
      </c>
      <c r="F10" s="868">
        <v>564719</v>
      </c>
      <c r="G10" s="868">
        <v>86099</v>
      </c>
      <c r="H10" s="868">
        <v>474149</v>
      </c>
      <c r="I10" s="868">
        <v>4471</v>
      </c>
      <c r="J10" s="868">
        <v>98816</v>
      </c>
      <c r="K10" s="868">
        <v>2159132</v>
      </c>
      <c r="L10" s="866">
        <v>351546</v>
      </c>
      <c r="M10" s="868">
        <v>2078333</v>
      </c>
      <c r="N10" s="868">
        <v>1848789</v>
      </c>
      <c r="O10" s="869">
        <v>122002</v>
      </c>
      <c r="P10" s="77">
        <v>5</v>
      </c>
      <c r="Q10" s="878"/>
      <c r="R10" s="49">
        <f t="shared" si="0"/>
        <v>2510678</v>
      </c>
      <c r="S10" s="49">
        <f t="shared" si="1"/>
        <v>0</v>
      </c>
      <c r="U10" s="49">
        <f>民間設備製造1!J12</f>
        <v>238228</v>
      </c>
      <c r="V10" s="49">
        <f t="shared" si="2"/>
        <v>1918740</v>
      </c>
    </row>
    <row r="11" spans="1:22">
      <c r="A11" s="298">
        <v>6</v>
      </c>
      <c r="B11" s="75" t="s">
        <v>327</v>
      </c>
      <c r="C11" s="868">
        <v>963483</v>
      </c>
      <c r="D11" s="868">
        <v>532743</v>
      </c>
      <c r="E11" s="868">
        <v>122655</v>
      </c>
      <c r="F11" s="868">
        <v>194087</v>
      </c>
      <c r="G11" s="868">
        <v>28382</v>
      </c>
      <c r="H11" s="868">
        <v>163862</v>
      </c>
      <c r="I11" s="868">
        <v>1843</v>
      </c>
      <c r="J11" s="868">
        <v>40276</v>
      </c>
      <c r="K11" s="868">
        <v>889761</v>
      </c>
      <c r="L11" s="866">
        <v>73722</v>
      </c>
      <c r="M11" s="868">
        <v>817545</v>
      </c>
      <c r="N11" s="868">
        <v>761870</v>
      </c>
      <c r="O11" s="869">
        <v>18047</v>
      </c>
      <c r="P11" s="77">
        <v>6</v>
      </c>
      <c r="Q11" s="878"/>
      <c r="R11" s="49">
        <f t="shared" si="0"/>
        <v>963483</v>
      </c>
      <c r="S11" s="49">
        <f t="shared" si="1"/>
        <v>0</v>
      </c>
      <c r="U11" s="49">
        <f>民間設備製造1!J13</f>
        <v>66632</v>
      </c>
      <c r="V11" s="49">
        <f t="shared" si="2"/>
        <v>790688</v>
      </c>
    </row>
    <row r="12" spans="1:22">
      <c r="A12" s="298">
        <v>7</v>
      </c>
      <c r="B12" s="75" t="s">
        <v>210</v>
      </c>
      <c r="C12" s="868">
        <v>610691</v>
      </c>
      <c r="D12" s="868">
        <v>373114</v>
      </c>
      <c r="E12" s="868">
        <v>117333</v>
      </c>
      <c r="F12" s="868">
        <v>104227</v>
      </c>
      <c r="G12" s="868">
        <v>13473</v>
      </c>
      <c r="H12" s="868">
        <v>89417</v>
      </c>
      <c r="I12" s="868">
        <v>1337</v>
      </c>
      <c r="J12" s="868">
        <v>51012</v>
      </c>
      <c r="K12" s="868">
        <v>645686</v>
      </c>
      <c r="L12" s="866">
        <v>-34995</v>
      </c>
      <c r="M12" s="868">
        <v>539051</v>
      </c>
      <c r="N12" s="868">
        <v>552878</v>
      </c>
      <c r="O12" s="869">
        <v>-21168</v>
      </c>
      <c r="P12" s="77">
        <v>7</v>
      </c>
      <c r="Q12" s="878"/>
      <c r="R12" s="49">
        <f t="shared" si="0"/>
        <v>610691</v>
      </c>
      <c r="S12" s="49">
        <f t="shared" si="1"/>
        <v>0</v>
      </c>
      <c r="U12" s="49">
        <f>民間設備製造1!J14</f>
        <v>18855</v>
      </c>
      <c r="V12" s="49">
        <f t="shared" si="2"/>
        <v>573787</v>
      </c>
    </row>
    <row r="13" spans="1:22">
      <c r="A13" s="298">
        <v>8</v>
      </c>
      <c r="B13" s="75" t="s">
        <v>211</v>
      </c>
      <c r="C13" s="868">
        <v>397845</v>
      </c>
      <c r="D13" s="868">
        <v>228572</v>
      </c>
      <c r="E13" s="868">
        <v>59829</v>
      </c>
      <c r="F13" s="868">
        <v>69188</v>
      </c>
      <c r="G13" s="868">
        <v>10005</v>
      </c>
      <c r="H13" s="868">
        <v>58407</v>
      </c>
      <c r="I13" s="868">
        <v>776</v>
      </c>
      <c r="J13" s="868">
        <v>17424</v>
      </c>
      <c r="K13" s="868">
        <v>375013</v>
      </c>
      <c r="L13" s="866">
        <v>22832</v>
      </c>
      <c r="M13" s="868">
        <v>342422</v>
      </c>
      <c r="N13" s="868">
        <v>321111</v>
      </c>
      <c r="O13" s="869">
        <v>1521</v>
      </c>
      <c r="P13" s="77">
        <v>8</v>
      </c>
      <c r="Q13" s="878"/>
      <c r="R13" s="49">
        <f t="shared" si="0"/>
        <v>397845</v>
      </c>
      <c r="S13" s="49">
        <f t="shared" si="1"/>
        <v>0</v>
      </c>
      <c r="U13" s="49">
        <f>民間設備製造1!J15</f>
        <v>17424</v>
      </c>
      <c r="V13" s="49">
        <f t="shared" si="2"/>
        <v>333254</v>
      </c>
    </row>
    <row r="14" spans="1:22">
      <c r="A14" s="298">
        <v>9</v>
      </c>
      <c r="B14" s="75" t="s">
        <v>212</v>
      </c>
      <c r="C14" s="868">
        <v>448165</v>
      </c>
      <c r="D14" s="868">
        <v>276382</v>
      </c>
      <c r="E14" s="868">
        <v>80041</v>
      </c>
      <c r="F14" s="868">
        <v>80585</v>
      </c>
      <c r="G14" s="868">
        <v>13353</v>
      </c>
      <c r="H14" s="868">
        <v>66252</v>
      </c>
      <c r="I14" s="868">
        <v>980</v>
      </c>
      <c r="J14" s="868">
        <v>36288</v>
      </c>
      <c r="K14" s="868">
        <v>473296</v>
      </c>
      <c r="L14" s="866">
        <v>-25131</v>
      </c>
      <c r="M14" s="868">
        <v>392394</v>
      </c>
      <c r="N14" s="868">
        <v>405266</v>
      </c>
      <c r="O14" s="869">
        <v>-12259</v>
      </c>
      <c r="P14" s="77">
        <v>9</v>
      </c>
      <c r="Q14" s="878"/>
      <c r="R14" s="49">
        <f t="shared" si="0"/>
        <v>448165</v>
      </c>
      <c r="S14" s="49">
        <f t="shared" si="1"/>
        <v>0</v>
      </c>
      <c r="U14" s="49">
        <f>民間設備製造1!J16</f>
        <v>14527</v>
      </c>
      <c r="V14" s="49">
        <f t="shared" si="2"/>
        <v>420591</v>
      </c>
    </row>
    <row r="15" spans="1:22">
      <c r="A15" s="298"/>
      <c r="B15" s="87"/>
      <c r="C15" s="872" t="s">
        <v>839</v>
      </c>
      <c r="D15" s="885" t="s">
        <v>839</v>
      </c>
      <c r="E15" s="885" t="s">
        <v>839</v>
      </c>
      <c r="F15" s="885" t="s">
        <v>839</v>
      </c>
      <c r="G15" s="885" t="s">
        <v>839</v>
      </c>
      <c r="H15" s="885" t="s">
        <v>839</v>
      </c>
      <c r="I15" s="872" t="s">
        <v>839</v>
      </c>
      <c r="J15" s="885" t="s">
        <v>839</v>
      </c>
      <c r="K15" s="885" t="s">
        <v>839</v>
      </c>
      <c r="L15" s="856" t="s">
        <v>839</v>
      </c>
      <c r="M15" s="830" t="s">
        <v>839</v>
      </c>
      <c r="N15" s="830" t="s">
        <v>839</v>
      </c>
      <c r="O15" s="831" t="s">
        <v>839</v>
      </c>
      <c r="P15" s="77" t="s">
        <v>347</v>
      </c>
      <c r="Q15" s="878"/>
      <c r="R15" s="49" t="s">
        <v>775</v>
      </c>
      <c r="S15" s="49" t="s">
        <v>11</v>
      </c>
      <c r="U15" s="49" t="s">
        <v>678</v>
      </c>
      <c r="V15" s="49" t="s">
        <v>347</v>
      </c>
    </row>
    <row r="16" spans="1:22">
      <c r="A16" s="299">
        <v>100</v>
      </c>
      <c r="B16" s="305" t="s">
        <v>172</v>
      </c>
      <c r="C16" s="868">
        <v>6421649</v>
      </c>
      <c r="D16" s="850">
        <v>4013570</v>
      </c>
      <c r="E16" s="850">
        <v>685267</v>
      </c>
      <c r="F16" s="850">
        <v>1107453</v>
      </c>
      <c r="G16" s="850">
        <v>212260</v>
      </c>
      <c r="H16" s="850">
        <v>882647</v>
      </c>
      <c r="I16" s="868">
        <v>12546</v>
      </c>
      <c r="J16" s="850">
        <v>251299</v>
      </c>
      <c r="K16" s="850">
        <v>6057589</v>
      </c>
      <c r="L16" s="857">
        <v>364060</v>
      </c>
      <c r="M16" s="833">
        <v>5379285</v>
      </c>
      <c r="N16" s="833">
        <v>5186901</v>
      </c>
      <c r="O16" s="828">
        <v>171676</v>
      </c>
      <c r="P16" s="293">
        <v>100</v>
      </c>
      <c r="Q16" s="878"/>
      <c r="R16" s="49">
        <f t="shared" ref="R16:R47" si="3">D16+E16+F16+J16+L16</f>
        <v>6421649</v>
      </c>
      <c r="S16" s="49">
        <f t="shared" ref="S16:S47" si="4">R16-C16</f>
        <v>0</v>
      </c>
      <c r="U16" s="49">
        <f>民間設備製造1!J18</f>
        <v>220639.37093766523</v>
      </c>
      <c r="V16" s="49">
        <f t="shared" ref="V16:V47" si="5">D16+E16+G16+J16+U16</f>
        <v>5383035.370937665</v>
      </c>
    </row>
    <row r="17" spans="1:22">
      <c r="A17" s="300">
        <v>1</v>
      </c>
      <c r="B17" s="65" t="s">
        <v>182</v>
      </c>
      <c r="C17" s="864">
        <v>3309950</v>
      </c>
      <c r="D17" s="864">
        <v>2607987</v>
      </c>
      <c r="E17" s="864">
        <v>429681</v>
      </c>
      <c r="F17" s="864">
        <v>695517</v>
      </c>
      <c r="G17" s="864">
        <v>143519</v>
      </c>
      <c r="H17" s="864">
        <v>544022</v>
      </c>
      <c r="I17" s="864">
        <v>7976</v>
      </c>
      <c r="J17" s="864">
        <v>117487</v>
      </c>
      <c r="K17" s="864">
        <v>3850672</v>
      </c>
      <c r="L17" s="866">
        <v>-540722</v>
      </c>
      <c r="M17" s="830">
        <v>2812970</v>
      </c>
      <c r="N17" s="830">
        <v>3297195</v>
      </c>
      <c r="O17" s="828">
        <v>-56497</v>
      </c>
      <c r="P17" s="293">
        <v>1</v>
      </c>
      <c r="Q17" s="878"/>
      <c r="R17" s="49">
        <f t="shared" si="3"/>
        <v>3309950</v>
      </c>
      <c r="S17" s="49">
        <f t="shared" si="4"/>
        <v>0</v>
      </c>
      <c r="U17" s="49">
        <f>民間設備製造1!J19</f>
        <v>123196</v>
      </c>
      <c r="V17" s="49">
        <f t="shared" si="5"/>
        <v>3421870</v>
      </c>
    </row>
    <row r="18" spans="1:22">
      <c r="A18" s="300">
        <v>202</v>
      </c>
      <c r="B18" s="90" t="s">
        <v>183</v>
      </c>
      <c r="C18" s="868">
        <v>1753411</v>
      </c>
      <c r="D18" s="850">
        <v>1198003</v>
      </c>
      <c r="E18" s="850">
        <v>167136</v>
      </c>
      <c r="F18" s="850">
        <v>365851</v>
      </c>
      <c r="G18" s="850">
        <v>59612</v>
      </c>
      <c r="H18" s="850">
        <v>302539</v>
      </c>
      <c r="I18" s="868">
        <v>3700</v>
      </c>
      <c r="J18" s="850">
        <v>55443</v>
      </c>
      <c r="K18" s="850">
        <v>1786433</v>
      </c>
      <c r="L18" s="856">
        <v>-33022</v>
      </c>
      <c r="M18" s="830">
        <v>1458271</v>
      </c>
      <c r="N18" s="830">
        <v>1529660</v>
      </c>
      <c r="O18" s="831">
        <v>38367</v>
      </c>
      <c r="P18" s="293">
        <v>202</v>
      </c>
      <c r="Q18" s="878"/>
      <c r="R18" s="49">
        <f t="shared" si="3"/>
        <v>1753411</v>
      </c>
      <c r="S18" s="49">
        <f t="shared" si="4"/>
        <v>0</v>
      </c>
      <c r="U18" s="49">
        <f>民間設備製造1!J20</f>
        <v>107319</v>
      </c>
      <c r="V18" s="49">
        <f t="shared" si="5"/>
        <v>1587513</v>
      </c>
    </row>
    <row r="19" spans="1:22">
      <c r="A19" s="300">
        <v>204</v>
      </c>
      <c r="B19" s="90" t="s">
        <v>184</v>
      </c>
      <c r="C19" s="868">
        <v>1335513</v>
      </c>
      <c r="D19" s="850">
        <v>1181915</v>
      </c>
      <c r="E19" s="850">
        <v>210472</v>
      </c>
      <c r="F19" s="850">
        <v>275107</v>
      </c>
      <c r="G19" s="850">
        <v>69637</v>
      </c>
      <c r="H19" s="850">
        <v>201941</v>
      </c>
      <c r="I19" s="868">
        <v>3529</v>
      </c>
      <c r="J19" s="850">
        <v>36216</v>
      </c>
      <c r="K19" s="850">
        <v>1703710</v>
      </c>
      <c r="L19" s="856">
        <v>-368197</v>
      </c>
      <c r="M19" s="830">
        <v>1154540</v>
      </c>
      <c r="N19" s="830">
        <v>1458827</v>
      </c>
      <c r="O19" s="831">
        <v>-63910</v>
      </c>
      <c r="P19" s="293">
        <v>204</v>
      </c>
      <c r="Q19" s="878"/>
      <c r="R19" s="49">
        <f t="shared" si="3"/>
        <v>1335513</v>
      </c>
      <c r="S19" s="49">
        <f t="shared" si="4"/>
        <v>0</v>
      </c>
      <c r="U19" s="49">
        <f>民間設備製造1!J21</f>
        <v>15739</v>
      </c>
      <c r="V19" s="49">
        <f t="shared" si="5"/>
        <v>1513979</v>
      </c>
    </row>
    <row r="20" spans="1:22">
      <c r="A20" s="300">
        <v>206</v>
      </c>
      <c r="B20" s="90" t="s">
        <v>185</v>
      </c>
      <c r="C20" s="872">
        <v>221026</v>
      </c>
      <c r="D20" s="850">
        <v>228069</v>
      </c>
      <c r="E20" s="850">
        <v>52073</v>
      </c>
      <c r="F20" s="850">
        <v>54559</v>
      </c>
      <c r="G20" s="850">
        <v>14270</v>
      </c>
      <c r="H20" s="850">
        <v>39542</v>
      </c>
      <c r="I20" s="868">
        <v>747</v>
      </c>
      <c r="J20" s="850">
        <v>25828</v>
      </c>
      <c r="K20" s="850">
        <v>360529</v>
      </c>
      <c r="L20" s="856">
        <v>-139503</v>
      </c>
      <c r="M20" s="830">
        <v>200159</v>
      </c>
      <c r="N20" s="830">
        <v>308708</v>
      </c>
      <c r="O20" s="835">
        <v>-30954</v>
      </c>
      <c r="P20" s="293">
        <v>206</v>
      </c>
      <c r="Q20" s="878"/>
      <c r="R20" s="49">
        <f t="shared" si="3"/>
        <v>221026</v>
      </c>
      <c r="S20" s="49">
        <f t="shared" si="4"/>
        <v>0</v>
      </c>
      <c r="U20" s="49">
        <f>民間設備製造1!J22</f>
        <v>138</v>
      </c>
      <c r="V20" s="49">
        <f t="shared" si="5"/>
        <v>320378</v>
      </c>
    </row>
    <row r="21" spans="1:22">
      <c r="A21" s="301">
        <v>2</v>
      </c>
      <c r="B21" s="128" t="s">
        <v>186</v>
      </c>
      <c r="C21" s="868">
        <v>1969036</v>
      </c>
      <c r="D21" s="827">
        <v>1625737</v>
      </c>
      <c r="E21" s="827">
        <v>281281</v>
      </c>
      <c r="F21" s="827">
        <v>443907</v>
      </c>
      <c r="G21" s="827">
        <v>91840</v>
      </c>
      <c r="H21" s="827">
        <v>347088</v>
      </c>
      <c r="I21" s="827">
        <v>4979</v>
      </c>
      <c r="J21" s="827">
        <v>53279</v>
      </c>
      <c r="K21" s="827">
        <v>2404204</v>
      </c>
      <c r="L21" s="855">
        <v>-435168</v>
      </c>
      <c r="M21" s="827">
        <v>1686917</v>
      </c>
      <c r="N21" s="827">
        <v>2058637</v>
      </c>
      <c r="O21" s="831">
        <v>-63448</v>
      </c>
      <c r="P21" s="293">
        <v>2</v>
      </c>
      <c r="Q21" s="878"/>
      <c r="R21" s="49">
        <f t="shared" si="3"/>
        <v>1969036</v>
      </c>
      <c r="S21" s="49">
        <f t="shared" si="4"/>
        <v>0</v>
      </c>
      <c r="U21" s="49">
        <f>民間設備製造1!J23</f>
        <v>84342</v>
      </c>
      <c r="V21" s="49">
        <f t="shared" si="5"/>
        <v>2136479</v>
      </c>
    </row>
    <row r="22" spans="1:22">
      <c r="A22" s="300">
        <v>207</v>
      </c>
      <c r="B22" s="90" t="s">
        <v>187</v>
      </c>
      <c r="C22" s="868">
        <v>670849</v>
      </c>
      <c r="D22" s="850">
        <v>447394</v>
      </c>
      <c r="E22" s="850">
        <v>73363</v>
      </c>
      <c r="F22" s="850">
        <v>163167</v>
      </c>
      <c r="G22" s="850">
        <v>28999</v>
      </c>
      <c r="H22" s="850">
        <v>132725</v>
      </c>
      <c r="I22" s="868">
        <v>1443</v>
      </c>
      <c r="J22" s="850">
        <v>12990</v>
      </c>
      <c r="K22" s="850">
        <v>696914</v>
      </c>
      <c r="L22" s="856">
        <v>-26065</v>
      </c>
      <c r="M22" s="830">
        <v>562891</v>
      </c>
      <c r="N22" s="830">
        <v>596743</v>
      </c>
      <c r="O22" s="831">
        <v>7787</v>
      </c>
      <c r="P22" s="293">
        <v>207</v>
      </c>
      <c r="Q22" s="878"/>
      <c r="R22" s="49">
        <f t="shared" si="3"/>
        <v>670849</v>
      </c>
      <c r="S22" s="49">
        <f t="shared" si="4"/>
        <v>0</v>
      </c>
      <c r="U22" s="49">
        <f>民間設備製造1!J24</f>
        <v>56570</v>
      </c>
      <c r="V22" s="49">
        <f t="shared" si="5"/>
        <v>619316</v>
      </c>
    </row>
    <row r="23" spans="1:22">
      <c r="A23" s="300">
        <v>214</v>
      </c>
      <c r="B23" s="90" t="s">
        <v>188</v>
      </c>
      <c r="C23" s="868">
        <v>468431</v>
      </c>
      <c r="D23" s="850">
        <v>536682</v>
      </c>
      <c r="E23" s="850">
        <v>87613</v>
      </c>
      <c r="F23" s="850">
        <v>121713</v>
      </c>
      <c r="G23" s="850">
        <v>32786</v>
      </c>
      <c r="H23" s="850">
        <v>87351</v>
      </c>
      <c r="I23" s="868">
        <v>1576</v>
      </c>
      <c r="J23" s="850">
        <v>14846</v>
      </c>
      <c r="K23" s="850">
        <v>760854</v>
      </c>
      <c r="L23" s="856">
        <v>-292423</v>
      </c>
      <c r="M23" s="830">
        <v>412221</v>
      </c>
      <c r="N23" s="830">
        <v>651493</v>
      </c>
      <c r="O23" s="831">
        <v>-53151</v>
      </c>
      <c r="P23" s="293">
        <v>214</v>
      </c>
      <c r="Q23" s="878"/>
      <c r="R23" s="49">
        <f t="shared" si="3"/>
        <v>468431</v>
      </c>
      <c r="S23" s="49">
        <f t="shared" si="4"/>
        <v>0</v>
      </c>
      <c r="U23" s="49">
        <f>民間設備製造1!J25</f>
        <v>4195</v>
      </c>
      <c r="V23" s="49">
        <f t="shared" si="5"/>
        <v>676122</v>
      </c>
    </row>
    <row r="24" spans="1:22">
      <c r="A24" s="300">
        <v>217</v>
      </c>
      <c r="B24" s="90" t="s">
        <v>189</v>
      </c>
      <c r="C24" s="868">
        <v>324653</v>
      </c>
      <c r="D24" s="850">
        <v>355086</v>
      </c>
      <c r="E24" s="850">
        <v>57132</v>
      </c>
      <c r="F24" s="850">
        <v>73822</v>
      </c>
      <c r="G24" s="850">
        <v>15366</v>
      </c>
      <c r="H24" s="850">
        <v>57420</v>
      </c>
      <c r="I24" s="868">
        <v>1036</v>
      </c>
      <c r="J24" s="850">
        <v>14139</v>
      </c>
      <c r="K24" s="850">
        <v>500179</v>
      </c>
      <c r="L24" s="856">
        <v>-175526</v>
      </c>
      <c r="M24" s="830">
        <v>283805</v>
      </c>
      <c r="N24" s="830">
        <v>428286</v>
      </c>
      <c r="O24" s="831">
        <v>-31045</v>
      </c>
      <c r="P24" s="293">
        <v>217</v>
      </c>
      <c r="Q24" s="878"/>
      <c r="R24" s="49">
        <f t="shared" si="3"/>
        <v>324653</v>
      </c>
      <c r="S24" s="49">
        <f t="shared" si="4"/>
        <v>0</v>
      </c>
      <c r="U24" s="49">
        <f>民間設備製造1!J26</f>
        <v>2753</v>
      </c>
      <c r="V24" s="49">
        <f t="shared" si="5"/>
        <v>444476</v>
      </c>
    </row>
    <row r="25" spans="1:22">
      <c r="A25" s="300">
        <v>219</v>
      </c>
      <c r="B25" s="90" t="s">
        <v>190</v>
      </c>
      <c r="C25" s="868">
        <v>442900</v>
      </c>
      <c r="D25" s="850">
        <v>226041</v>
      </c>
      <c r="E25" s="850">
        <v>47735</v>
      </c>
      <c r="F25" s="850">
        <v>72488</v>
      </c>
      <c r="G25" s="850">
        <v>12277</v>
      </c>
      <c r="H25" s="850">
        <v>59475</v>
      </c>
      <c r="I25" s="868">
        <v>736</v>
      </c>
      <c r="J25" s="850">
        <v>9254</v>
      </c>
      <c r="K25" s="850">
        <v>355518</v>
      </c>
      <c r="L25" s="856">
        <v>87382</v>
      </c>
      <c r="M25" s="830">
        <v>371257</v>
      </c>
      <c r="N25" s="830">
        <v>304418</v>
      </c>
      <c r="O25" s="831">
        <v>20543</v>
      </c>
      <c r="P25" s="293">
        <v>219</v>
      </c>
      <c r="Q25" s="878"/>
      <c r="R25" s="49">
        <f t="shared" si="3"/>
        <v>442900</v>
      </c>
      <c r="S25" s="49">
        <f t="shared" si="4"/>
        <v>0</v>
      </c>
      <c r="U25" s="49">
        <f>民間設備製造1!J27</f>
        <v>20624</v>
      </c>
      <c r="V25" s="49">
        <f t="shared" si="5"/>
        <v>315931</v>
      </c>
    </row>
    <row r="26" spans="1:22">
      <c r="A26" s="302">
        <v>301</v>
      </c>
      <c r="B26" s="201" t="s">
        <v>191</v>
      </c>
      <c r="C26" s="868">
        <v>62203</v>
      </c>
      <c r="D26" s="850">
        <v>60534</v>
      </c>
      <c r="E26" s="850">
        <v>15438</v>
      </c>
      <c r="F26" s="850">
        <v>12717</v>
      </c>
      <c r="G26" s="850">
        <v>2412</v>
      </c>
      <c r="H26" s="850">
        <v>10117</v>
      </c>
      <c r="I26" s="868">
        <v>188</v>
      </c>
      <c r="J26" s="850">
        <v>2050</v>
      </c>
      <c r="K26" s="850">
        <v>90739</v>
      </c>
      <c r="L26" s="858">
        <v>-28536</v>
      </c>
      <c r="M26" s="837">
        <v>56743</v>
      </c>
      <c r="N26" s="837">
        <v>77697</v>
      </c>
      <c r="O26" s="831">
        <v>-7582</v>
      </c>
      <c r="P26" s="293">
        <v>301</v>
      </c>
      <c r="Q26" s="878"/>
      <c r="R26" s="49">
        <f t="shared" si="3"/>
        <v>62203</v>
      </c>
      <c r="S26" s="49">
        <f t="shared" si="4"/>
        <v>0</v>
      </c>
      <c r="U26" s="49">
        <f>民間設備製造1!J28</f>
        <v>200</v>
      </c>
      <c r="V26" s="49">
        <f t="shared" si="5"/>
        <v>80634</v>
      </c>
    </row>
    <row r="27" spans="1:22">
      <c r="A27" s="300">
        <v>3</v>
      </c>
      <c r="B27" s="65" t="s">
        <v>192</v>
      </c>
      <c r="C27" s="864">
        <v>2788089</v>
      </c>
      <c r="D27" s="827">
        <v>1599573</v>
      </c>
      <c r="E27" s="827">
        <v>268662</v>
      </c>
      <c r="F27" s="827">
        <v>718360</v>
      </c>
      <c r="G27" s="827">
        <v>95587</v>
      </c>
      <c r="H27" s="827">
        <v>617244</v>
      </c>
      <c r="I27" s="827">
        <v>5529</v>
      </c>
      <c r="J27" s="827">
        <v>82953</v>
      </c>
      <c r="K27" s="827">
        <v>2669548</v>
      </c>
      <c r="L27" s="856">
        <v>118541</v>
      </c>
      <c r="M27" s="830">
        <v>2320315</v>
      </c>
      <c r="N27" s="830">
        <v>2285841</v>
      </c>
      <c r="O27" s="828">
        <v>84067</v>
      </c>
      <c r="P27" s="293">
        <v>3</v>
      </c>
      <c r="Q27" s="878"/>
      <c r="R27" s="49">
        <f t="shared" si="3"/>
        <v>2788089</v>
      </c>
      <c r="S27" s="49">
        <f t="shared" si="4"/>
        <v>0</v>
      </c>
      <c r="U27" s="49">
        <f>民間設備製造1!J29</f>
        <v>325560</v>
      </c>
      <c r="V27" s="49">
        <f t="shared" si="5"/>
        <v>2372335</v>
      </c>
    </row>
    <row r="28" spans="1:22">
      <c r="A28" s="300">
        <v>203</v>
      </c>
      <c r="B28" s="90" t="s">
        <v>193</v>
      </c>
      <c r="C28" s="868">
        <v>1072794</v>
      </c>
      <c r="D28" s="850">
        <v>681655</v>
      </c>
      <c r="E28" s="850">
        <v>114964</v>
      </c>
      <c r="F28" s="850">
        <v>236923</v>
      </c>
      <c r="G28" s="850">
        <v>43329</v>
      </c>
      <c r="H28" s="850">
        <v>191364</v>
      </c>
      <c r="I28" s="868">
        <v>2230</v>
      </c>
      <c r="J28" s="850">
        <v>43139</v>
      </c>
      <c r="K28" s="850">
        <v>1076681</v>
      </c>
      <c r="L28" s="856">
        <v>-3887</v>
      </c>
      <c r="M28" s="830">
        <v>898912</v>
      </c>
      <c r="N28" s="830">
        <v>921924</v>
      </c>
      <c r="O28" s="831">
        <v>19125</v>
      </c>
      <c r="P28" s="293">
        <v>203</v>
      </c>
      <c r="Q28" s="878"/>
      <c r="R28" s="49">
        <f t="shared" si="3"/>
        <v>1072794</v>
      </c>
      <c r="S28" s="49">
        <f t="shared" si="4"/>
        <v>0</v>
      </c>
      <c r="U28" s="49">
        <f>民間設備製造1!J30</f>
        <v>73707</v>
      </c>
      <c r="V28" s="49">
        <f t="shared" si="5"/>
        <v>956794</v>
      </c>
    </row>
    <row r="29" spans="1:22">
      <c r="A29" s="300">
        <v>210</v>
      </c>
      <c r="B29" s="90" t="s">
        <v>194</v>
      </c>
      <c r="C29" s="868">
        <v>802766</v>
      </c>
      <c r="D29" s="850">
        <v>584662</v>
      </c>
      <c r="E29" s="850">
        <v>93872</v>
      </c>
      <c r="F29" s="850">
        <v>266511</v>
      </c>
      <c r="G29" s="850">
        <v>31391</v>
      </c>
      <c r="H29" s="850">
        <v>233115</v>
      </c>
      <c r="I29" s="868">
        <v>2005</v>
      </c>
      <c r="J29" s="850">
        <v>22822</v>
      </c>
      <c r="K29" s="850">
        <v>967867</v>
      </c>
      <c r="L29" s="856">
        <v>-165101</v>
      </c>
      <c r="M29" s="830">
        <v>676785</v>
      </c>
      <c r="N29" s="830">
        <v>828751</v>
      </c>
      <c r="O29" s="831">
        <v>-13135</v>
      </c>
      <c r="P29" s="293">
        <v>210</v>
      </c>
      <c r="Q29" s="878"/>
      <c r="R29" s="49">
        <f t="shared" si="3"/>
        <v>802766</v>
      </c>
      <c r="S29" s="49">
        <f t="shared" si="4"/>
        <v>0</v>
      </c>
      <c r="U29" s="49">
        <f>民間設備製造1!J31</f>
        <v>127365</v>
      </c>
      <c r="V29" s="49">
        <f t="shared" si="5"/>
        <v>860112</v>
      </c>
    </row>
    <row r="30" spans="1:22">
      <c r="A30" s="300">
        <v>216</v>
      </c>
      <c r="B30" s="90" t="s">
        <v>195</v>
      </c>
      <c r="C30" s="868">
        <v>611137</v>
      </c>
      <c r="D30" s="850">
        <v>198283</v>
      </c>
      <c r="E30" s="850">
        <v>38146</v>
      </c>
      <c r="F30" s="850">
        <v>146182</v>
      </c>
      <c r="G30" s="850">
        <v>12795</v>
      </c>
      <c r="H30" s="850">
        <v>132570</v>
      </c>
      <c r="I30" s="868">
        <v>817</v>
      </c>
      <c r="J30" s="850">
        <v>12074</v>
      </c>
      <c r="K30" s="850">
        <v>394685</v>
      </c>
      <c r="L30" s="856">
        <v>216452</v>
      </c>
      <c r="M30" s="830">
        <v>497672</v>
      </c>
      <c r="N30" s="830">
        <v>337955</v>
      </c>
      <c r="O30" s="831">
        <v>56735</v>
      </c>
      <c r="P30" s="293">
        <v>216</v>
      </c>
      <c r="Q30" s="878"/>
      <c r="R30" s="49">
        <f t="shared" si="3"/>
        <v>611137</v>
      </c>
      <c r="S30" s="49">
        <f t="shared" si="4"/>
        <v>0</v>
      </c>
      <c r="U30" s="49">
        <f>民間設備製造1!J32</f>
        <v>89456</v>
      </c>
      <c r="V30" s="49">
        <f t="shared" si="5"/>
        <v>350754</v>
      </c>
    </row>
    <row r="31" spans="1:22">
      <c r="A31" s="300">
        <v>381</v>
      </c>
      <c r="B31" s="90" t="s">
        <v>196</v>
      </c>
      <c r="C31" s="868">
        <v>165275</v>
      </c>
      <c r="D31" s="850">
        <v>60779</v>
      </c>
      <c r="E31" s="850">
        <v>10157</v>
      </c>
      <c r="F31" s="850">
        <v>19693</v>
      </c>
      <c r="G31" s="850">
        <v>3827</v>
      </c>
      <c r="H31" s="850">
        <v>15672</v>
      </c>
      <c r="I31" s="868">
        <v>194</v>
      </c>
      <c r="J31" s="850">
        <v>2834</v>
      </c>
      <c r="K31" s="850">
        <v>93463</v>
      </c>
      <c r="L31" s="856">
        <v>71812</v>
      </c>
      <c r="M31" s="830">
        <v>134506</v>
      </c>
      <c r="N31" s="830">
        <v>80029</v>
      </c>
      <c r="O31" s="831">
        <v>17335</v>
      </c>
      <c r="P31" s="293">
        <v>381</v>
      </c>
      <c r="Q31" s="878"/>
      <c r="R31" s="49">
        <f t="shared" si="3"/>
        <v>165275</v>
      </c>
      <c r="S31" s="49">
        <f t="shared" si="4"/>
        <v>0</v>
      </c>
      <c r="U31" s="49">
        <f>民間設備製造1!J33</f>
        <v>5458</v>
      </c>
      <c r="V31" s="49">
        <f t="shared" si="5"/>
        <v>83055</v>
      </c>
    </row>
    <row r="32" spans="1:22">
      <c r="A32" s="300">
        <v>382</v>
      </c>
      <c r="B32" s="90" t="s">
        <v>197</v>
      </c>
      <c r="C32" s="872">
        <v>136117</v>
      </c>
      <c r="D32" s="850">
        <v>74194</v>
      </c>
      <c r="E32" s="850">
        <v>11523</v>
      </c>
      <c r="F32" s="850">
        <v>49051</v>
      </c>
      <c r="G32" s="850">
        <v>4245</v>
      </c>
      <c r="H32" s="850">
        <v>44523</v>
      </c>
      <c r="I32" s="868">
        <v>283</v>
      </c>
      <c r="J32" s="850">
        <v>2084</v>
      </c>
      <c r="K32" s="850">
        <v>136852</v>
      </c>
      <c r="L32" s="856">
        <v>-735</v>
      </c>
      <c r="M32" s="830">
        <v>112440</v>
      </c>
      <c r="N32" s="830">
        <v>117182</v>
      </c>
      <c r="O32" s="835">
        <v>4007</v>
      </c>
      <c r="P32" s="293">
        <v>382</v>
      </c>
      <c r="Q32" s="878"/>
      <c r="R32" s="49">
        <f t="shared" si="3"/>
        <v>136117</v>
      </c>
      <c r="S32" s="49">
        <f t="shared" si="4"/>
        <v>0</v>
      </c>
      <c r="U32" s="49">
        <f>民間設備製造1!J34</f>
        <v>29574</v>
      </c>
      <c r="V32" s="49">
        <f t="shared" si="5"/>
        <v>121620</v>
      </c>
    </row>
    <row r="33" spans="1:23">
      <c r="A33" s="301">
        <v>4</v>
      </c>
      <c r="B33" s="306" t="s">
        <v>198</v>
      </c>
      <c r="C33" s="868">
        <v>1151557</v>
      </c>
      <c r="D33" s="827">
        <v>545047</v>
      </c>
      <c r="E33" s="827">
        <v>119405</v>
      </c>
      <c r="F33" s="827">
        <v>268219</v>
      </c>
      <c r="G33" s="827">
        <v>31350</v>
      </c>
      <c r="H33" s="827">
        <v>234793</v>
      </c>
      <c r="I33" s="827">
        <v>2076</v>
      </c>
      <c r="J33" s="827">
        <v>69198</v>
      </c>
      <c r="K33" s="827">
        <v>1001869</v>
      </c>
      <c r="L33" s="855">
        <v>149688</v>
      </c>
      <c r="M33" s="827">
        <v>962798</v>
      </c>
      <c r="N33" s="827">
        <v>857865</v>
      </c>
      <c r="O33" s="831">
        <v>44755</v>
      </c>
      <c r="P33" s="293">
        <v>4</v>
      </c>
      <c r="Q33" s="878"/>
      <c r="R33" s="49">
        <f t="shared" si="3"/>
        <v>1151557</v>
      </c>
      <c r="S33" s="49">
        <f t="shared" si="4"/>
        <v>0</v>
      </c>
      <c r="U33" s="49">
        <f>民間設備製造1!J35</f>
        <v>125326</v>
      </c>
      <c r="V33" s="49">
        <f t="shared" si="5"/>
        <v>890326</v>
      </c>
    </row>
    <row r="34" spans="1:23">
      <c r="A34" s="300">
        <v>213</v>
      </c>
      <c r="B34" s="92" t="s">
        <v>231</v>
      </c>
      <c r="C34" s="868">
        <v>147240</v>
      </c>
      <c r="D34" s="850">
        <v>85389</v>
      </c>
      <c r="E34" s="850">
        <v>15160</v>
      </c>
      <c r="F34" s="850">
        <v>25290</v>
      </c>
      <c r="G34" s="850">
        <v>3448</v>
      </c>
      <c r="H34" s="850">
        <v>21560</v>
      </c>
      <c r="I34" s="868">
        <v>282</v>
      </c>
      <c r="J34" s="850">
        <v>10200</v>
      </c>
      <c r="K34" s="850">
        <v>136039</v>
      </c>
      <c r="L34" s="856">
        <v>11201</v>
      </c>
      <c r="M34" s="830">
        <v>123048</v>
      </c>
      <c r="N34" s="830">
        <v>116485</v>
      </c>
      <c r="O34" s="831">
        <v>4638</v>
      </c>
      <c r="P34" s="293">
        <v>213</v>
      </c>
      <c r="Q34" s="878"/>
      <c r="R34" s="49">
        <f t="shared" si="3"/>
        <v>147240</v>
      </c>
      <c r="S34" s="49">
        <f t="shared" si="4"/>
        <v>0</v>
      </c>
      <c r="U34" s="49">
        <f>民間設備製造1!J36</f>
        <v>6694</v>
      </c>
      <c r="V34" s="49">
        <f t="shared" si="5"/>
        <v>120891</v>
      </c>
    </row>
    <row r="35" spans="1:23">
      <c r="A35" s="300">
        <v>215</v>
      </c>
      <c r="B35" s="92" t="s">
        <v>232</v>
      </c>
      <c r="C35" s="868">
        <v>269658</v>
      </c>
      <c r="D35" s="850">
        <v>156743</v>
      </c>
      <c r="E35" s="850">
        <v>33894</v>
      </c>
      <c r="F35" s="850">
        <v>48264</v>
      </c>
      <c r="G35" s="850">
        <v>9626</v>
      </c>
      <c r="H35" s="850">
        <v>38107</v>
      </c>
      <c r="I35" s="868">
        <v>531</v>
      </c>
      <c r="J35" s="850">
        <v>17272</v>
      </c>
      <c r="K35" s="850">
        <v>256173</v>
      </c>
      <c r="L35" s="856">
        <v>13485</v>
      </c>
      <c r="M35" s="830">
        <v>228583</v>
      </c>
      <c r="N35" s="830">
        <v>219352</v>
      </c>
      <c r="O35" s="831">
        <v>4254</v>
      </c>
      <c r="P35" s="293">
        <v>215</v>
      </c>
      <c r="Q35" s="878"/>
      <c r="R35" s="49">
        <f t="shared" si="3"/>
        <v>269658</v>
      </c>
      <c r="S35" s="49">
        <f t="shared" si="4"/>
        <v>0</v>
      </c>
      <c r="U35" s="49">
        <f>民間設備製造1!J37</f>
        <v>10111</v>
      </c>
      <c r="V35" s="49">
        <f t="shared" si="5"/>
        <v>227646</v>
      </c>
    </row>
    <row r="36" spans="1:23">
      <c r="A36" s="300">
        <v>218</v>
      </c>
      <c r="B36" s="90" t="s">
        <v>200</v>
      </c>
      <c r="C36" s="868">
        <v>229833</v>
      </c>
      <c r="D36" s="850">
        <v>95384</v>
      </c>
      <c r="E36" s="850">
        <v>19109</v>
      </c>
      <c r="F36" s="850">
        <v>93534</v>
      </c>
      <c r="G36" s="850">
        <v>5541</v>
      </c>
      <c r="H36" s="850">
        <v>87539</v>
      </c>
      <c r="I36" s="868">
        <v>454</v>
      </c>
      <c r="J36" s="850">
        <v>11277</v>
      </c>
      <c r="K36" s="850">
        <v>219304</v>
      </c>
      <c r="L36" s="856">
        <v>10529</v>
      </c>
      <c r="M36" s="830">
        <v>189672</v>
      </c>
      <c r="N36" s="830">
        <v>187782</v>
      </c>
      <c r="O36" s="831">
        <v>8639</v>
      </c>
      <c r="P36" s="293">
        <v>218</v>
      </c>
      <c r="Q36" s="878"/>
      <c r="R36" s="49">
        <f t="shared" si="3"/>
        <v>229833</v>
      </c>
      <c r="S36" s="49">
        <f t="shared" si="4"/>
        <v>0</v>
      </c>
      <c r="U36" s="49">
        <f>民間設備製造1!J38</f>
        <v>63586</v>
      </c>
      <c r="V36" s="49">
        <f t="shared" si="5"/>
        <v>194897</v>
      </c>
    </row>
    <row r="37" spans="1:23">
      <c r="A37" s="300">
        <v>220</v>
      </c>
      <c r="B37" s="90" t="s">
        <v>201</v>
      </c>
      <c r="C37" s="868">
        <v>212877</v>
      </c>
      <c r="D37" s="850">
        <v>86222</v>
      </c>
      <c r="E37" s="850">
        <v>18329</v>
      </c>
      <c r="F37" s="850">
        <v>53093</v>
      </c>
      <c r="G37" s="850">
        <v>5620</v>
      </c>
      <c r="H37" s="850">
        <v>47117</v>
      </c>
      <c r="I37" s="868">
        <v>356</v>
      </c>
      <c r="J37" s="850">
        <v>14069</v>
      </c>
      <c r="K37" s="850">
        <v>171713</v>
      </c>
      <c r="L37" s="856">
        <v>41164</v>
      </c>
      <c r="M37" s="830">
        <v>176010</v>
      </c>
      <c r="N37" s="830">
        <v>147032</v>
      </c>
      <c r="O37" s="831">
        <v>12186</v>
      </c>
      <c r="P37" s="293">
        <v>220</v>
      </c>
      <c r="Q37" s="878"/>
      <c r="R37" s="49">
        <f t="shared" si="3"/>
        <v>212877</v>
      </c>
      <c r="S37" s="49">
        <f t="shared" si="4"/>
        <v>0</v>
      </c>
      <c r="U37" s="49">
        <f>民間設備製造1!J39</f>
        <v>28357</v>
      </c>
      <c r="V37" s="49">
        <f t="shared" si="5"/>
        <v>152597</v>
      </c>
      <c r="W37" s="49" t="s">
        <v>627</v>
      </c>
    </row>
    <row r="38" spans="1:23">
      <c r="A38" s="300">
        <v>228</v>
      </c>
      <c r="B38" s="90" t="s">
        <v>239</v>
      </c>
      <c r="C38" s="868">
        <v>229509</v>
      </c>
      <c r="D38" s="850">
        <v>83085</v>
      </c>
      <c r="E38" s="850">
        <v>18515</v>
      </c>
      <c r="F38" s="850">
        <v>38257</v>
      </c>
      <c r="G38" s="850">
        <v>6198</v>
      </c>
      <c r="H38" s="850">
        <v>31747</v>
      </c>
      <c r="I38" s="868">
        <v>312</v>
      </c>
      <c r="J38" s="850">
        <v>10572</v>
      </c>
      <c r="K38" s="850">
        <v>150429</v>
      </c>
      <c r="L38" s="856">
        <v>79080</v>
      </c>
      <c r="M38" s="830">
        <v>189105</v>
      </c>
      <c r="N38" s="830">
        <v>128807</v>
      </c>
      <c r="O38" s="831">
        <v>18782</v>
      </c>
      <c r="P38" s="293">
        <v>228</v>
      </c>
      <c r="Q38" s="878"/>
      <c r="R38" s="49">
        <f t="shared" si="3"/>
        <v>229509</v>
      </c>
      <c r="S38" s="49">
        <f t="shared" si="4"/>
        <v>0</v>
      </c>
      <c r="U38" s="49">
        <f>民間設備製造1!J40</f>
        <v>15310</v>
      </c>
      <c r="V38" s="49">
        <f t="shared" si="5"/>
        <v>133680</v>
      </c>
    </row>
    <row r="39" spans="1:23">
      <c r="A39" s="302">
        <v>365</v>
      </c>
      <c r="B39" s="201" t="s">
        <v>233</v>
      </c>
      <c r="C39" s="868">
        <v>62440</v>
      </c>
      <c r="D39" s="850">
        <v>38224</v>
      </c>
      <c r="E39" s="850">
        <v>14398</v>
      </c>
      <c r="F39" s="850">
        <v>9781</v>
      </c>
      <c r="G39" s="850">
        <v>917</v>
      </c>
      <c r="H39" s="850">
        <v>8723</v>
      </c>
      <c r="I39" s="868">
        <v>141</v>
      </c>
      <c r="J39" s="850">
        <v>5808</v>
      </c>
      <c r="K39" s="850">
        <v>68211</v>
      </c>
      <c r="L39" s="858">
        <v>-5771</v>
      </c>
      <c r="M39" s="837">
        <v>56380</v>
      </c>
      <c r="N39" s="837">
        <v>58407</v>
      </c>
      <c r="O39" s="831">
        <v>-3744</v>
      </c>
      <c r="P39" s="293">
        <v>365</v>
      </c>
      <c r="Q39" s="878"/>
      <c r="R39" s="49">
        <f t="shared" si="3"/>
        <v>62440</v>
      </c>
      <c r="S39" s="49">
        <f t="shared" si="4"/>
        <v>0</v>
      </c>
      <c r="U39" s="49">
        <f>民間設備製造1!J41</f>
        <v>1268</v>
      </c>
      <c r="V39" s="49">
        <f t="shared" si="5"/>
        <v>60615</v>
      </c>
    </row>
    <row r="40" spans="1:23">
      <c r="A40" s="300">
        <v>5</v>
      </c>
      <c r="B40" s="91" t="s">
        <v>202</v>
      </c>
      <c r="C40" s="864">
        <v>2510678</v>
      </c>
      <c r="D40" s="827">
        <v>1274762</v>
      </c>
      <c r="E40" s="827">
        <v>220835</v>
      </c>
      <c r="F40" s="827">
        <v>564719</v>
      </c>
      <c r="G40" s="827">
        <v>86099</v>
      </c>
      <c r="H40" s="827">
        <v>474149</v>
      </c>
      <c r="I40" s="827">
        <v>4471</v>
      </c>
      <c r="J40" s="827">
        <v>98816</v>
      </c>
      <c r="K40" s="827">
        <v>2159132</v>
      </c>
      <c r="L40" s="856">
        <v>351546</v>
      </c>
      <c r="M40" s="830">
        <v>2078333</v>
      </c>
      <c r="N40" s="830">
        <v>1848789</v>
      </c>
      <c r="O40" s="828">
        <v>122002</v>
      </c>
      <c r="P40" s="293">
        <v>5</v>
      </c>
      <c r="Q40" s="878"/>
      <c r="R40" s="49">
        <f t="shared" si="3"/>
        <v>2510678</v>
      </c>
      <c r="S40" s="49">
        <f t="shared" si="4"/>
        <v>0</v>
      </c>
      <c r="U40" s="49">
        <f>民間設備製造1!J42</f>
        <v>238228</v>
      </c>
      <c r="V40" s="49">
        <f t="shared" si="5"/>
        <v>1918740</v>
      </c>
    </row>
    <row r="41" spans="1:23">
      <c r="A41" s="300">
        <v>201</v>
      </c>
      <c r="B41" s="92" t="s">
        <v>240</v>
      </c>
      <c r="C41" s="868">
        <v>2279755</v>
      </c>
      <c r="D41" s="850">
        <v>1190352</v>
      </c>
      <c r="E41" s="850">
        <v>197169</v>
      </c>
      <c r="F41" s="850">
        <v>529996</v>
      </c>
      <c r="G41" s="850">
        <v>81416</v>
      </c>
      <c r="H41" s="850">
        <v>444415</v>
      </c>
      <c r="I41" s="868">
        <v>4165</v>
      </c>
      <c r="J41" s="850">
        <v>93716</v>
      </c>
      <c r="K41" s="850">
        <v>2011233</v>
      </c>
      <c r="L41" s="856">
        <v>268522</v>
      </c>
      <c r="M41" s="830">
        <v>1885407</v>
      </c>
      <c r="N41" s="830">
        <v>1722148</v>
      </c>
      <c r="O41" s="831">
        <v>105263</v>
      </c>
      <c r="P41" s="293">
        <v>201</v>
      </c>
      <c r="Q41" s="878"/>
      <c r="R41" s="49">
        <f t="shared" si="3"/>
        <v>2279755</v>
      </c>
      <c r="S41" s="49">
        <f t="shared" si="4"/>
        <v>0</v>
      </c>
      <c r="U41" s="49">
        <f>民間設備製造1!J43</f>
        <v>224654</v>
      </c>
      <c r="V41" s="49">
        <f t="shared" si="5"/>
        <v>1787307</v>
      </c>
    </row>
    <row r="42" spans="1:23">
      <c r="A42" s="300">
        <v>442</v>
      </c>
      <c r="B42" s="90" t="s">
        <v>203</v>
      </c>
      <c r="C42" s="868">
        <v>36897</v>
      </c>
      <c r="D42" s="850">
        <v>24639</v>
      </c>
      <c r="E42" s="850">
        <v>6332</v>
      </c>
      <c r="F42" s="850">
        <v>6023</v>
      </c>
      <c r="G42" s="850">
        <v>518</v>
      </c>
      <c r="H42" s="850">
        <v>5424</v>
      </c>
      <c r="I42" s="868">
        <v>81</v>
      </c>
      <c r="J42" s="850">
        <v>1914</v>
      </c>
      <c r="K42" s="850">
        <v>38908</v>
      </c>
      <c r="L42" s="856">
        <v>-2011</v>
      </c>
      <c r="M42" s="830">
        <v>32170</v>
      </c>
      <c r="N42" s="830">
        <v>33316</v>
      </c>
      <c r="O42" s="831">
        <v>-865</v>
      </c>
      <c r="P42" s="293">
        <v>442</v>
      </c>
      <c r="Q42" s="878"/>
      <c r="R42" s="49">
        <f t="shared" si="3"/>
        <v>36897</v>
      </c>
      <c r="S42" s="49">
        <f t="shared" si="4"/>
        <v>0</v>
      </c>
      <c r="U42" s="49">
        <f>民間設備製造1!J44</f>
        <v>1173</v>
      </c>
      <c r="V42" s="49">
        <f t="shared" si="5"/>
        <v>34576</v>
      </c>
    </row>
    <row r="43" spans="1:23">
      <c r="A43" s="300">
        <v>443</v>
      </c>
      <c r="B43" s="90" t="s">
        <v>204</v>
      </c>
      <c r="C43" s="868">
        <v>163726</v>
      </c>
      <c r="D43" s="850">
        <v>38247</v>
      </c>
      <c r="E43" s="850">
        <v>8700</v>
      </c>
      <c r="F43" s="850">
        <v>23510</v>
      </c>
      <c r="G43" s="850">
        <v>3587</v>
      </c>
      <c r="H43" s="850">
        <v>19774</v>
      </c>
      <c r="I43" s="868">
        <v>149</v>
      </c>
      <c r="J43" s="850">
        <v>1642</v>
      </c>
      <c r="K43" s="850">
        <v>72099</v>
      </c>
      <c r="L43" s="856">
        <v>91627</v>
      </c>
      <c r="M43" s="830">
        <v>132528</v>
      </c>
      <c r="N43" s="830">
        <v>61736</v>
      </c>
      <c r="O43" s="831">
        <v>20835</v>
      </c>
      <c r="P43" s="293">
        <v>443</v>
      </c>
      <c r="Q43" s="878"/>
      <c r="R43" s="49">
        <f t="shared" si="3"/>
        <v>163726</v>
      </c>
      <c r="S43" s="49">
        <f t="shared" si="4"/>
        <v>0</v>
      </c>
      <c r="U43" s="49">
        <f>民間設備製造1!J45</f>
        <v>11897</v>
      </c>
      <c r="V43" s="49">
        <f t="shared" si="5"/>
        <v>64073</v>
      </c>
    </row>
    <row r="44" spans="1:23">
      <c r="A44" s="300">
        <v>446</v>
      </c>
      <c r="B44" s="90" t="s">
        <v>234</v>
      </c>
      <c r="C44" s="872">
        <v>30300</v>
      </c>
      <c r="D44" s="850">
        <v>21524</v>
      </c>
      <c r="E44" s="850">
        <v>8634</v>
      </c>
      <c r="F44" s="850">
        <v>5190</v>
      </c>
      <c r="G44" s="850">
        <v>578</v>
      </c>
      <c r="H44" s="850">
        <v>4536</v>
      </c>
      <c r="I44" s="868">
        <v>76</v>
      </c>
      <c r="J44" s="850">
        <v>1544</v>
      </c>
      <c r="K44" s="850">
        <v>36892</v>
      </c>
      <c r="L44" s="856">
        <v>-6592</v>
      </c>
      <c r="M44" s="830">
        <v>28228</v>
      </c>
      <c r="N44" s="830">
        <v>31589</v>
      </c>
      <c r="O44" s="835">
        <v>-3231</v>
      </c>
      <c r="P44" s="293">
        <v>446</v>
      </c>
      <c r="Q44" s="878"/>
      <c r="R44" s="49">
        <f t="shared" si="3"/>
        <v>30300</v>
      </c>
      <c r="S44" s="49">
        <f t="shared" si="4"/>
        <v>0</v>
      </c>
      <c r="U44" s="49">
        <f>民間設備製造1!J46</f>
        <v>504</v>
      </c>
      <c r="V44" s="49">
        <f t="shared" si="5"/>
        <v>32784</v>
      </c>
    </row>
    <row r="45" spans="1:23">
      <c r="A45" s="301">
        <v>6</v>
      </c>
      <c r="B45" s="306" t="s">
        <v>205</v>
      </c>
      <c r="C45" s="868">
        <v>963483</v>
      </c>
      <c r="D45" s="827">
        <v>532743</v>
      </c>
      <c r="E45" s="827">
        <v>122655</v>
      </c>
      <c r="F45" s="827">
        <v>194087</v>
      </c>
      <c r="G45" s="827">
        <v>28382</v>
      </c>
      <c r="H45" s="827">
        <v>163862</v>
      </c>
      <c r="I45" s="827">
        <v>1843</v>
      </c>
      <c r="J45" s="827">
        <v>40276</v>
      </c>
      <c r="K45" s="827">
        <v>889761</v>
      </c>
      <c r="L45" s="855">
        <v>73722</v>
      </c>
      <c r="M45" s="827">
        <v>817545</v>
      </c>
      <c r="N45" s="827">
        <v>761870</v>
      </c>
      <c r="O45" s="831">
        <v>18047</v>
      </c>
      <c r="P45" s="293">
        <v>6</v>
      </c>
      <c r="Q45" s="878"/>
      <c r="R45" s="49">
        <f t="shared" si="3"/>
        <v>963483</v>
      </c>
      <c r="S45" s="49">
        <f t="shared" si="4"/>
        <v>0</v>
      </c>
      <c r="U45" s="49">
        <f>民間設備製造1!J47</f>
        <v>66632</v>
      </c>
      <c r="V45" s="49">
        <f t="shared" si="5"/>
        <v>790688</v>
      </c>
    </row>
    <row r="46" spans="1:23">
      <c r="A46" s="300">
        <v>208</v>
      </c>
      <c r="B46" s="90" t="s">
        <v>206</v>
      </c>
      <c r="C46" s="868">
        <v>98317</v>
      </c>
      <c r="D46" s="850">
        <v>68611</v>
      </c>
      <c r="E46" s="850">
        <v>13011</v>
      </c>
      <c r="F46" s="850">
        <v>20895</v>
      </c>
      <c r="G46" s="850">
        <v>2950</v>
      </c>
      <c r="H46" s="850">
        <v>17727</v>
      </c>
      <c r="I46" s="868">
        <v>218</v>
      </c>
      <c r="J46" s="850">
        <v>2761</v>
      </c>
      <c r="K46" s="850">
        <v>105278</v>
      </c>
      <c r="L46" s="856">
        <v>-6961</v>
      </c>
      <c r="M46" s="830">
        <v>83686</v>
      </c>
      <c r="N46" s="830">
        <v>90146</v>
      </c>
      <c r="O46" s="831">
        <v>-501</v>
      </c>
      <c r="P46" s="293">
        <v>208</v>
      </c>
      <c r="Q46" s="878"/>
      <c r="R46" s="49">
        <f t="shared" si="3"/>
        <v>98317</v>
      </c>
      <c r="S46" s="49">
        <f t="shared" si="4"/>
        <v>0</v>
      </c>
      <c r="U46" s="49">
        <f>民間設備製造1!J48</f>
        <v>6222</v>
      </c>
      <c r="V46" s="49">
        <f t="shared" si="5"/>
        <v>93555</v>
      </c>
    </row>
    <row r="47" spans="1:23">
      <c r="A47" s="300">
        <v>212</v>
      </c>
      <c r="B47" s="90" t="s">
        <v>207</v>
      </c>
      <c r="C47" s="868">
        <v>220981</v>
      </c>
      <c r="D47" s="850">
        <v>105804</v>
      </c>
      <c r="E47" s="850">
        <v>24262</v>
      </c>
      <c r="F47" s="850">
        <v>53681</v>
      </c>
      <c r="G47" s="850">
        <v>5780</v>
      </c>
      <c r="H47" s="850">
        <v>47496</v>
      </c>
      <c r="I47" s="868">
        <v>405</v>
      </c>
      <c r="J47" s="850">
        <v>11590</v>
      </c>
      <c r="K47" s="850">
        <v>195337</v>
      </c>
      <c r="L47" s="856">
        <v>25644</v>
      </c>
      <c r="M47" s="830">
        <v>185470</v>
      </c>
      <c r="N47" s="830">
        <v>167260</v>
      </c>
      <c r="O47" s="831">
        <v>7434</v>
      </c>
      <c r="P47" s="293">
        <v>212</v>
      </c>
      <c r="Q47" s="878"/>
      <c r="R47" s="49">
        <f t="shared" si="3"/>
        <v>220981</v>
      </c>
      <c r="S47" s="49">
        <f t="shared" si="4"/>
        <v>0</v>
      </c>
      <c r="U47" s="49">
        <f>民間設備製造1!J49</f>
        <v>26153</v>
      </c>
      <c r="V47" s="49">
        <f t="shared" si="5"/>
        <v>173589</v>
      </c>
    </row>
    <row r="48" spans="1:23">
      <c r="A48" s="300">
        <v>227</v>
      </c>
      <c r="B48" s="90" t="s">
        <v>219</v>
      </c>
      <c r="C48" s="868">
        <v>121960</v>
      </c>
      <c r="D48" s="850">
        <v>73214</v>
      </c>
      <c r="E48" s="850">
        <v>22431</v>
      </c>
      <c r="F48" s="850">
        <v>18794</v>
      </c>
      <c r="G48" s="850">
        <v>3189</v>
      </c>
      <c r="H48" s="850">
        <v>15348</v>
      </c>
      <c r="I48" s="868">
        <v>257</v>
      </c>
      <c r="J48" s="850">
        <v>9573</v>
      </c>
      <c r="K48" s="850">
        <v>124012</v>
      </c>
      <c r="L48" s="856">
        <v>-2052</v>
      </c>
      <c r="M48" s="830">
        <v>107126</v>
      </c>
      <c r="N48" s="830">
        <v>106187</v>
      </c>
      <c r="O48" s="831">
        <v>-2991</v>
      </c>
      <c r="P48" s="293">
        <v>227</v>
      </c>
      <c r="Q48" s="878"/>
      <c r="R48" s="49">
        <f t="shared" ref="R48:R65" si="6">D48+E48+F48+J48+L48</f>
        <v>121960</v>
      </c>
      <c r="S48" s="49">
        <f t="shared" ref="S48:S65" si="7">R48-C48</f>
        <v>0</v>
      </c>
      <c r="U48" s="49">
        <f>民間設備製造1!J50</f>
        <v>1795</v>
      </c>
      <c r="V48" s="49">
        <f t="shared" ref="V48:V65" si="8">D48+E48+G48+J48+U48</f>
        <v>110202</v>
      </c>
    </row>
    <row r="49" spans="1:22">
      <c r="A49" s="300">
        <v>229</v>
      </c>
      <c r="B49" s="90" t="s">
        <v>235</v>
      </c>
      <c r="C49" s="868">
        <v>330542</v>
      </c>
      <c r="D49" s="850">
        <v>149309</v>
      </c>
      <c r="E49" s="850">
        <v>30212</v>
      </c>
      <c r="F49" s="850">
        <v>58531</v>
      </c>
      <c r="G49" s="850">
        <v>9646</v>
      </c>
      <c r="H49" s="850">
        <v>48379</v>
      </c>
      <c r="I49" s="868">
        <v>506</v>
      </c>
      <c r="J49" s="850">
        <v>6291</v>
      </c>
      <c r="K49" s="850">
        <v>244343</v>
      </c>
      <c r="L49" s="856">
        <v>86199</v>
      </c>
      <c r="M49" s="830">
        <v>274222</v>
      </c>
      <c r="N49" s="830">
        <v>209222</v>
      </c>
      <c r="O49" s="831">
        <v>21199</v>
      </c>
      <c r="P49" s="293">
        <v>229</v>
      </c>
      <c r="Q49" s="878"/>
      <c r="R49" s="49">
        <f t="shared" si="6"/>
        <v>330542</v>
      </c>
      <c r="S49" s="49">
        <f t="shared" si="7"/>
        <v>0</v>
      </c>
      <c r="U49" s="49">
        <f>民間設備製造1!J51</f>
        <v>21679</v>
      </c>
      <c r="V49" s="49">
        <f t="shared" si="8"/>
        <v>217137</v>
      </c>
    </row>
    <row r="50" spans="1:22">
      <c r="A50" s="300">
        <v>464</v>
      </c>
      <c r="B50" s="90" t="s">
        <v>208</v>
      </c>
      <c r="C50" s="868">
        <v>89054</v>
      </c>
      <c r="D50" s="850">
        <v>67886</v>
      </c>
      <c r="E50" s="850">
        <v>9738</v>
      </c>
      <c r="F50" s="850">
        <v>23373</v>
      </c>
      <c r="G50" s="850">
        <v>4405</v>
      </c>
      <c r="H50" s="850">
        <v>18756</v>
      </c>
      <c r="I50" s="868">
        <v>212</v>
      </c>
      <c r="J50" s="850">
        <v>1490</v>
      </c>
      <c r="K50" s="850">
        <v>102487</v>
      </c>
      <c r="L50" s="856">
        <v>-13433</v>
      </c>
      <c r="M50" s="830">
        <v>74722</v>
      </c>
      <c r="N50" s="830">
        <v>87756</v>
      </c>
      <c r="O50" s="831">
        <v>-399</v>
      </c>
      <c r="P50" s="293">
        <v>464</v>
      </c>
      <c r="Q50" s="878"/>
      <c r="R50" s="49">
        <f t="shared" si="6"/>
        <v>89054</v>
      </c>
      <c r="S50" s="49">
        <f t="shared" si="7"/>
        <v>0</v>
      </c>
      <c r="U50" s="49">
        <f>民間設備製造1!J52</f>
        <v>7557</v>
      </c>
      <c r="V50" s="49">
        <f t="shared" si="8"/>
        <v>91076</v>
      </c>
    </row>
    <row r="51" spans="1:22">
      <c r="A51" s="300">
        <v>481</v>
      </c>
      <c r="B51" s="90" t="s">
        <v>209</v>
      </c>
      <c r="C51" s="868">
        <v>42534</v>
      </c>
      <c r="D51" s="850">
        <v>32793</v>
      </c>
      <c r="E51" s="850">
        <v>8643</v>
      </c>
      <c r="F51" s="850">
        <v>9524</v>
      </c>
      <c r="G51" s="850">
        <v>1276</v>
      </c>
      <c r="H51" s="850">
        <v>8138</v>
      </c>
      <c r="I51" s="868">
        <v>110</v>
      </c>
      <c r="J51" s="850">
        <v>2261</v>
      </c>
      <c r="K51" s="850">
        <v>53221</v>
      </c>
      <c r="L51" s="856">
        <v>-10687</v>
      </c>
      <c r="M51" s="830">
        <v>37792</v>
      </c>
      <c r="N51" s="830">
        <v>45571</v>
      </c>
      <c r="O51" s="831">
        <v>-2908</v>
      </c>
      <c r="P51" s="293">
        <v>481</v>
      </c>
      <c r="Q51" s="878"/>
      <c r="R51" s="49">
        <f t="shared" si="6"/>
        <v>42534</v>
      </c>
      <c r="S51" s="49">
        <f t="shared" si="7"/>
        <v>0</v>
      </c>
      <c r="U51" s="49">
        <f>民間設備製造1!J53</f>
        <v>2321</v>
      </c>
      <c r="V51" s="49">
        <f t="shared" si="8"/>
        <v>47294</v>
      </c>
    </row>
    <row r="52" spans="1:22">
      <c r="A52" s="302">
        <v>501</v>
      </c>
      <c r="B52" s="201" t="s">
        <v>236</v>
      </c>
      <c r="C52" s="868">
        <v>60095</v>
      </c>
      <c r="D52" s="850">
        <v>35126</v>
      </c>
      <c r="E52" s="850">
        <v>14358</v>
      </c>
      <c r="F52" s="850">
        <v>9289</v>
      </c>
      <c r="G52" s="850">
        <v>1136</v>
      </c>
      <c r="H52" s="850">
        <v>8018</v>
      </c>
      <c r="I52" s="868">
        <v>135</v>
      </c>
      <c r="J52" s="850">
        <v>6310</v>
      </c>
      <c r="K52" s="850">
        <v>65083</v>
      </c>
      <c r="L52" s="858">
        <v>-4988</v>
      </c>
      <c r="M52" s="837">
        <v>54527</v>
      </c>
      <c r="N52" s="837">
        <v>55728</v>
      </c>
      <c r="O52" s="831">
        <v>-3787</v>
      </c>
      <c r="P52" s="293">
        <v>501</v>
      </c>
      <c r="Q52" s="878"/>
      <c r="R52" s="49">
        <f t="shared" si="6"/>
        <v>60095</v>
      </c>
      <c r="S52" s="49">
        <f t="shared" si="7"/>
        <v>0</v>
      </c>
      <c r="U52" s="49">
        <f>民間設備製造1!J54</f>
        <v>905</v>
      </c>
      <c r="V52" s="49">
        <f t="shared" si="8"/>
        <v>57835</v>
      </c>
    </row>
    <row r="53" spans="1:22">
      <c r="A53" s="300">
        <v>7</v>
      </c>
      <c r="B53" s="93" t="s">
        <v>210</v>
      </c>
      <c r="C53" s="864">
        <v>610691</v>
      </c>
      <c r="D53" s="827">
        <v>373114</v>
      </c>
      <c r="E53" s="827">
        <v>117333</v>
      </c>
      <c r="F53" s="827">
        <v>104227</v>
      </c>
      <c r="G53" s="827">
        <v>13473</v>
      </c>
      <c r="H53" s="827">
        <v>89417</v>
      </c>
      <c r="I53" s="827">
        <v>1337</v>
      </c>
      <c r="J53" s="827">
        <v>51012</v>
      </c>
      <c r="K53" s="827">
        <v>645686</v>
      </c>
      <c r="L53" s="856">
        <v>-34995</v>
      </c>
      <c r="M53" s="830">
        <v>539051</v>
      </c>
      <c r="N53" s="830">
        <v>552878</v>
      </c>
      <c r="O53" s="828">
        <v>-21168</v>
      </c>
      <c r="P53" s="293">
        <v>7</v>
      </c>
      <c r="Q53" s="878"/>
      <c r="R53" s="49">
        <f t="shared" si="6"/>
        <v>610691</v>
      </c>
      <c r="S53" s="49">
        <f t="shared" si="7"/>
        <v>0</v>
      </c>
      <c r="U53" s="49">
        <f>民間設備製造1!J55</f>
        <v>18855</v>
      </c>
      <c r="V53" s="49">
        <f t="shared" si="8"/>
        <v>573787</v>
      </c>
    </row>
    <row r="54" spans="1:22">
      <c r="A54" s="300">
        <v>209</v>
      </c>
      <c r="B54" s="90" t="s">
        <v>221</v>
      </c>
      <c r="C54" s="868">
        <v>301055</v>
      </c>
      <c r="D54" s="850">
        <v>177336</v>
      </c>
      <c r="E54" s="850">
        <v>51106</v>
      </c>
      <c r="F54" s="850">
        <v>50958</v>
      </c>
      <c r="G54" s="850">
        <v>8690</v>
      </c>
      <c r="H54" s="850">
        <v>41640</v>
      </c>
      <c r="I54" s="868">
        <v>628</v>
      </c>
      <c r="J54" s="850">
        <v>23876</v>
      </c>
      <c r="K54" s="850">
        <v>303276</v>
      </c>
      <c r="L54" s="856">
        <v>-2221</v>
      </c>
      <c r="M54" s="830">
        <v>262189</v>
      </c>
      <c r="N54" s="830">
        <v>259685</v>
      </c>
      <c r="O54" s="831">
        <v>-4725</v>
      </c>
      <c r="P54" s="293">
        <v>209</v>
      </c>
      <c r="Q54" s="878"/>
      <c r="R54" s="49">
        <f t="shared" si="6"/>
        <v>301055</v>
      </c>
      <c r="S54" s="49">
        <f t="shared" si="7"/>
        <v>0</v>
      </c>
      <c r="U54" s="49">
        <f>民間設備製造1!J56</f>
        <v>8496</v>
      </c>
      <c r="V54" s="49">
        <f t="shared" si="8"/>
        <v>269504</v>
      </c>
    </row>
    <row r="55" spans="1:22">
      <c r="A55" s="300">
        <v>222</v>
      </c>
      <c r="B55" s="90" t="s">
        <v>218</v>
      </c>
      <c r="C55" s="868">
        <v>89904</v>
      </c>
      <c r="D55" s="850">
        <v>53861</v>
      </c>
      <c r="E55" s="850">
        <v>18116</v>
      </c>
      <c r="F55" s="850">
        <v>14365</v>
      </c>
      <c r="G55" s="850">
        <v>1535</v>
      </c>
      <c r="H55" s="850">
        <v>12645</v>
      </c>
      <c r="I55" s="868">
        <v>185</v>
      </c>
      <c r="J55" s="850">
        <v>2923</v>
      </c>
      <c r="K55" s="850">
        <v>89265</v>
      </c>
      <c r="L55" s="856">
        <v>639</v>
      </c>
      <c r="M55" s="830">
        <v>79801</v>
      </c>
      <c r="N55" s="830">
        <v>76434</v>
      </c>
      <c r="O55" s="831">
        <v>-2728</v>
      </c>
      <c r="P55" s="293">
        <v>222</v>
      </c>
      <c r="Q55" s="878"/>
      <c r="R55" s="49">
        <f t="shared" si="6"/>
        <v>89904</v>
      </c>
      <c r="S55" s="49">
        <f t="shared" si="7"/>
        <v>0</v>
      </c>
      <c r="U55" s="49">
        <f>民間設備製造1!J57</f>
        <v>2890</v>
      </c>
      <c r="V55" s="49">
        <f t="shared" si="8"/>
        <v>79325</v>
      </c>
    </row>
    <row r="56" spans="1:22">
      <c r="A56" s="300">
        <v>225</v>
      </c>
      <c r="B56" s="90" t="s">
        <v>222</v>
      </c>
      <c r="C56" s="868">
        <v>122019</v>
      </c>
      <c r="D56" s="850">
        <v>70626</v>
      </c>
      <c r="E56" s="850">
        <v>22754</v>
      </c>
      <c r="F56" s="850">
        <v>22881</v>
      </c>
      <c r="G56" s="850">
        <v>2152</v>
      </c>
      <c r="H56" s="850">
        <v>20463</v>
      </c>
      <c r="I56" s="868">
        <v>266</v>
      </c>
      <c r="J56" s="850">
        <v>12216</v>
      </c>
      <c r="K56" s="850">
        <v>128477</v>
      </c>
      <c r="L56" s="856">
        <v>-6458</v>
      </c>
      <c r="M56" s="830">
        <v>107341</v>
      </c>
      <c r="N56" s="830">
        <v>110010</v>
      </c>
      <c r="O56" s="831">
        <v>-3789</v>
      </c>
      <c r="P56" s="293">
        <v>225</v>
      </c>
      <c r="Q56" s="878"/>
      <c r="R56" s="49">
        <f t="shared" si="6"/>
        <v>122019</v>
      </c>
      <c r="S56" s="49">
        <f t="shared" si="7"/>
        <v>0</v>
      </c>
      <c r="U56" s="49">
        <f>民間設備製造1!J58</f>
        <v>6423</v>
      </c>
      <c r="V56" s="49">
        <f t="shared" si="8"/>
        <v>114171</v>
      </c>
    </row>
    <row r="57" spans="1:22">
      <c r="A57" s="300">
        <v>585</v>
      </c>
      <c r="B57" s="90" t="s">
        <v>220</v>
      </c>
      <c r="C57" s="868">
        <v>55368</v>
      </c>
      <c r="D57" s="850">
        <v>38621</v>
      </c>
      <c r="E57" s="850">
        <v>13914</v>
      </c>
      <c r="F57" s="850">
        <v>8522</v>
      </c>
      <c r="G57" s="850">
        <v>438</v>
      </c>
      <c r="H57" s="850">
        <v>7943</v>
      </c>
      <c r="I57" s="868">
        <v>141</v>
      </c>
      <c r="J57" s="850">
        <v>6953</v>
      </c>
      <c r="K57" s="850">
        <v>68010</v>
      </c>
      <c r="L57" s="856">
        <v>-12642</v>
      </c>
      <c r="M57" s="830">
        <v>50600</v>
      </c>
      <c r="N57" s="830">
        <v>58235</v>
      </c>
      <c r="O57" s="831">
        <v>-5007</v>
      </c>
      <c r="P57" s="293">
        <v>585</v>
      </c>
      <c r="Q57" s="878"/>
      <c r="R57" s="49">
        <f t="shared" si="6"/>
        <v>55368</v>
      </c>
      <c r="S57" s="49">
        <f t="shared" si="7"/>
        <v>0</v>
      </c>
      <c r="U57" s="49">
        <f>民間設備製造1!J59</f>
        <v>511</v>
      </c>
      <c r="V57" s="49">
        <f t="shared" si="8"/>
        <v>60437</v>
      </c>
    </row>
    <row r="58" spans="1:22">
      <c r="A58" s="300">
        <v>586</v>
      </c>
      <c r="B58" s="90" t="s">
        <v>237</v>
      </c>
      <c r="C58" s="872">
        <v>42345</v>
      </c>
      <c r="D58" s="850">
        <v>32670</v>
      </c>
      <c r="E58" s="850">
        <v>11443</v>
      </c>
      <c r="F58" s="850">
        <v>7501</v>
      </c>
      <c r="G58" s="850">
        <v>658</v>
      </c>
      <c r="H58" s="850">
        <v>6726</v>
      </c>
      <c r="I58" s="868">
        <v>117</v>
      </c>
      <c r="J58" s="850">
        <v>5044</v>
      </c>
      <c r="K58" s="850">
        <v>56658</v>
      </c>
      <c r="L58" s="856">
        <v>-14313</v>
      </c>
      <c r="M58" s="830">
        <v>39120</v>
      </c>
      <c r="N58" s="830">
        <v>48514</v>
      </c>
      <c r="O58" s="835">
        <v>-4919</v>
      </c>
      <c r="P58" s="293">
        <v>586</v>
      </c>
      <c r="Q58" s="878"/>
      <c r="R58" s="49">
        <f t="shared" si="6"/>
        <v>42345</v>
      </c>
      <c r="S58" s="49">
        <f t="shared" si="7"/>
        <v>0</v>
      </c>
      <c r="U58" s="49">
        <f>民間設備製造1!J60</f>
        <v>535</v>
      </c>
      <c r="V58" s="49">
        <f t="shared" si="8"/>
        <v>50350</v>
      </c>
    </row>
    <row r="59" spans="1:22">
      <c r="A59" s="301">
        <v>8</v>
      </c>
      <c r="B59" s="127" t="s">
        <v>211</v>
      </c>
      <c r="C59" s="868">
        <v>397845</v>
      </c>
      <c r="D59" s="827">
        <v>228572</v>
      </c>
      <c r="E59" s="827">
        <v>59829</v>
      </c>
      <c r="F59" s="827">
        <v>69188</v>
      </c>
      <c r="G59" s="827">
        <v>10005</v>
      </c>
      <c r="H59" s="827">
        <v>58407</v>
      </c>
      <c r="I59" s="827">
        <v>776</v>
      </c>
      <c r="J59" s="827">
        <v>17424</v>
      </c>
      <c r="K59" s="827">
        <v>375013</v>
      </c>
      <c r="L59" s="855">
        <v>22832</v>
      </c>
      <c r="M59" s="827">
        <v>342422</v>
      </c>
      <c r="N59" s="827">
        <v>321111</v>
      </c>
      <c r="O59" s="831">
        <v>1521</v>
      </c>
      <c r="P59" s="293">
        <v>8</v>
      </c>
      <c r="Q59" s="878"/>
      <c r="R59" s="49">
        <f t="shared" si="6"/>
        <v>397845</v>
      </c>
      <c r="S59" s="49">
        <f t="shared" si="7"/>
        <v>0</v>
      </c>
      <c r="U59" s="49">
        <f>民間設備製造1!J61</f>
        <v>17424</v>
      </c>
      <c r="V59" s="49">
        <f t="shared" si="8"/>
        <v>333254</v>
      </c>
    </row>
    <row r="60" spans="1:22">
      <c r="A60" s="300">
        <v>221</v>
      </c>
      <c r="B60" s="90" t="s">
        <v>1144</v>
      </c>
      <c r="C60" s="868">
        <v>146604</v>
      </c>
      <c r="D60" s="850">
        <v>94612</v>
      </c>
      <c r="E60" s="850">
        <v>25212</v>
      </c>
      <c r="F60" s="850">
        <v>27961</v>
      </c>
      <c r="G60" s="850">
        <v>4066</v>
      </c>
      <c r="H60" s="850">
        <v>23582</v>
      </c>
      <c r="I60" s="868">
        <v>313</v>
      </c>
      <c r="J60" s="850">
        <v>3454</v>
      </c>
      <c r="K60" s="850">
        <v>151239</v>
      </c>
      <c r="L60" s="856">
        <v>-4635</v>
      </c>
      <c r="M60" s="830">
        <v>127849</v>
      </c>
      <c r="N60" s="830">
        <v>129501</v>
      </c>
      <c r="O60" s="831">
        <v>-2983</v>
      </c>
      <c r="P60" s="293">
        <v>221</v>
      </c>
      <c r="Q60" s="878"/>
      <c r="R60" s="49">
        <f t="shared" si="6"/>
        <v>146604</v>
      </c>
      <c r="S60" s="49">
        <f t="shared" si="7"/>
        <v>0</v>
      </c>
      <c r="U60" s="49">
        <f>民間設備製造1!J62</f>
        <v>7054</v>
      </c>
      <c r="V60" s="49">
        <f t="shared" si="8"/>
        <v>134398</v>
      </c>
    </row>
    <row r="61" spans="1:22">
      <c r="A61" s="302">
        <v>223</v>
      </c>
      <c r="B61" s="201" t="s">
        <v>223</v>
      </c>
      <c r="C61" s="868">
        <v>251241</v>
      </c>
      <c r="D61" s="850">
        <v>133960</v>
      </c>
      <c r="E61" s="850">
        <v>34617</v>
      </c>
      <c r="F61" s="850">
        <v>41227</v>
      </c>
      <c r="G61" s="850">
        <v>5939</v>
      </c>
      <c r="H61" s="850">
        <v>34825</v>
      </c>
      <c r="I61" s="868">
        <v>463</v>
      </c>
      <c r="J61" s="850">
        <v>13970</v>
      </c>
      <c r="K61" s="850">
        <v>223774</v>
      </c>
      <c r="L61" s="858">
        <v>27467</v>
      </c>
      <c r="M61" s="837">
        <v>214573</v>
      </c>
      <c r="N61" s="837">
        <v>191610</v>
      </c>
      <c r="O61" s="831">
        <v>4504</v>
      </c>
      <c r="P61" s="293">
        <v>223</v>
      </c>
      <c r="Q61" s="878"/>
      <c r="R61" s="49">
        <f t="shared" si="6"/>
        <v>251241</v>
      </c>
      <c r="S61" s="49">
        <f t="shared" si="7"/>
        <v>0</v>
      </c>
      <c r="U61" s="49">
        <f>民間設備製造1!J63</f>
        <v>10370</v>
      </c>
      <c r="V61" s="49">
        <f t="shared" si="8"/>
        <v>198856</v>
      </c>
    </row>
    <row r="62" spans="1:22">
      <c r="A62" s="301">
        <v>9</v>
      </c>
      <c r="B62" s="346" t="s">
        <v>212</v>
      </c>
      <c r="C62" s="864">
        <v>448165</v>
      </c>
      <c r="D62" s="827">
        <v>276382</v>
      </c>
      <c r="E62" s="827">
        <v>80041</v>
      </c>
      <c r="F62" s="827">
        <v>80585</v>
      </c>
      <c r="G62" s="827">
        <v>13353</v>
      </c>
      <c r="H62" s="827">
        <v>66252</v>
      </c>
      <c r="I62" s="827">
        <v>980</v>
      </c>
      <c r="J62" s="827">
        <v>36288</v>
      </c>
      <c r="K62" s="827">
        <v>473296</v>
      </c>
      <c r="L62" s="856">
        <v>-25131</v>
      </c>
      <c r="M62" s="830">
        <v>392394</v>
      </c>
      <c r="N62" s="830">
        <v>405266</v>
      </c>
      <c r="O62" s="828">
        <v>-12259</v>
      </c>
      <c r="P62" s="293">
        <v>9</v>
      </c>
      <c r="Q62" s="878"/>
      <c r="R62" s="49">
        <f t="shared" si="6"/>
        <v>448165</v>
      </c>
      <c r="S62" s="49">
        <f t="shared" si="7"/>
        <v>0</v>
      </c>
      <c r="U62" s="49">
        <f>民間設備製造1!J64</f>
        <v>14527</v>
      </c>
      <c r="V62" s="49">
        <f t="shared" si="8"/>
        <v>420591</v>
      </c>
    </row>
    <row r="63" spans="1:22">
      <c r="A63" s="300">
        <v>205</v>
      </c>
      <c r="B63" s="92" t="s">
        <v>241</v>
      </c>
      <c r="C63" s="868">
        <v>157693</v>
      </c>
      <c r="D63" s="850">
        <v>95627</v>
      </c>
      <c r="E63" s="850">
        <v>24875</v>
      </c>
      <c r="F63" s="850">
        <v>30530</v>
      </c>
      <c r="G63" s="850">
        <v>4245</v>
      </c>
      <c r="H63" s="850">
        <v>25948</v>
      </c>
      <c r="I63" s="868">
        <v>337</v>
      </c>
      <c r="J63" s="850">
        <v>11739</v>
      </c>
      <c r="K63" s="850">
        <v>162771</v>
      </c>
      <c r="L63" s="856">
        <v>-5078</v>
      </c>
      <c r="M63" s="830">
        <v>136336</v>
      </c>
      <c r="N63" s="830">
        <v>139375</v>
      </c>
      <c r="O63" s="831">
        <v>-2039</v>
      </c>
      <c r="P63" s="293">
        <v>205</v>
      </c>
      <c r="Q63" s="878"/>
      <c r="R63" s="49">
        <f t="shared" si="6"/>
        <v>157693</v>
      </c>
      <c r="S63" s="49">
        <f t="shared" si="7"/>
        <v>0</v>
      </c>
      <c r="U63" s="49">
        <f>民間設備製造1!J65</f>
        <v>8160</v>
      </c>
      <c r="V63" s="49">
        <f t="shared" si="8"/>
        <v>144646</v>
      </c>
    </row>
    <row r="64" spans="1:22">
      <c r="A64" s="300">
        <v>224</v>
      </c>
      <c r="B64" s="90" t="s">
        <v>224</v>
      </c>
      <c r="C64" s="868">
        <v>154070</v>
      </c>
      <c r="D64" s="850">
        <v>89210</v>
      </c>
      <c r="E64" s="850">
        <v>27373</v>
      </c>
      <c r="F64" s="850">
        <v>23837</v>
      </c>
      <c r="G64" s="850">
        <v>4863</v>
      </c>
      <c r="H64" s="850">
        <v>18665</v>
      </c>
      <c r="I64" s="868">
        <v>309</v>
      </c>
      <c r="J64" s="850">
        <v>8719</v>
      </c>
      <c r="K64" s="850">
        <v>149139</v>
      </c>
      <c r="L64" s="856">
        <v>4931</v>
      </c>
      <c r="M64" s="830">
        <v>134822</v>
      </c>
      <c r="N64" s="830">
        <v>127702</v>
      </c>
      <c r="O64" s="831">
        <v>-2189</v>
      </c>
      <c r="P64" s="293">
        <v>224</v>
      </c>
      <c r="Q64" s="878"/>
      <c r="R64" s="49">
        <f t="shared" si="6"/>
        <v>154070</v>
      </c>
      <c r="S64" s="49">
        <f t="shared" si="7"/>
        <v>0</v>
      </c>
      <c r="U64" s="49">
        <f>民間設備製造1!J66</f>
        <v>2366</v>
      </c>
      <c r="V64" s="49">
        <f t="shared" si="8"/>
        <v>132531</v>
      </c>
    </row>
    <row r="65" spans="1:22">
      <c r="A65" s="302">
        <v>226</v>
      </c>
      <c r="B65" s="201" t="s">
        <v>225</v>
      </c>
      <c r="C65" s="872">
        <v>136402</v>
      </c>
      <c r="D65" s="885">
        <v>91545</v>
      </c>
      <c r="E65" s="885">
        <v>27793</v>
      </c>
      <c r="F65" s="885">
        <v>26218</v>
      </c>
      <c r="G65" s="885">
        <v>4245</v>
      </c>
      <c r="H65" s="885">
        <v>21639</v>
      </c>
      <c r="I65" s="872">
        <v>334</v>
      </c>
      <c r="J65" s="885">
        <v>15830</v>
      </c>
      <c r="K65" s="885">
        <v>161386</v>
      </c>
      <c r="L65" s="858">
        <v>-24984</v>
      </c>
      <c r="M65" s="837">
        <v>121236</v>
      </c>
      <c r="N65" s="837">
        <v>138189</v>
      </c>
      <c r="O65" s="835">
        <v>-8031</v>
      </c>
      <c r="P65" s="293">
        <v>226</v>
      </c>
      <c r="Q65" s="878"/>
      <c r="R65" s="49">
        <f t="shared" si="6"/>
        <v>136402</v>
      </c>
      <c r="S65" s="49">
        <f t="shared" si="7"/>
        <v>0</v>
      </c>
      <c r="U65" s="49">
        <f>民間設備製造1!J67</f>
        <v>4001</v>
      </c>
      <c r="V65" s="49">
        <f t="shared" si="8"/>
        <v>143414</v>
      </c>
    </row>
    <row r="66" spans="1:22">
      <c r="A66" s="75"/>
      <c r="B66" s="75"/>
      <c r="C66" s="239"/>
      <c r="D66" s="239"/>
      <c r="E66" s="239"/>
      <c r="F66" s="239"/>
      <c r="G66" s="239"/>
      <c r="H66" s="239"/>
      <c r="I66" s="239"/>
      <c r="J66" s="239"/>
      <c r="K66" s="239"/>
      <c r="L66" s="239"/>
      <c r="M66" s="239"/>
      <c r="N66" s="239"/>
      <c r="O66" s="352" t="s">
        <v>1104</v>
      </c>
    </row>
    <row r="67" spans="1:22">
      <c r="A67" s="75"/>
      <c r="B67" s="75" t="s">
        <v>1309</v>
      </c>
      <c r="C67" s="239">
        <f>+SUM(C17:C65)/2+C16</f>
        <v>20571143</v>
      </c>
      <c r="D67" s="239">
        <f t="shared" ref="D67:O67" si="9">+SUM(D17:D65)/2+D16</f>
        <v>13077487</v>
      </c>
      <c r="E67" s="239">
        <f t="shared" si="9"/>
        <v>2384989</v>
      </c>
      <c r="F67" s="239">
        <f t="shared" si="9"/>
        <v>4246262</v>
      </c>
      <c r="G67" s="239">
        <f t="shared" si="9"/>
        <v>725868</v>
      </c>
      <c r="H67" s="239">
        <f t="shared" si="9"/>
        <v>3477881</v>
      </c>
      <c r="I67" s="239">
        <f t="shared" si="9"/>
        <v>42513</v>
      </c>
      <c r="J67" s="239">
        <f t="shared" si="9"/>
        <v>818032</v>
      </c>
      <c r="K67" s="239">
        <f t="shared" si="9"/>
        <v>20526770</v>
      </c>
      <c r="L67" s="239">
        <f t="shared" si="9"/>
        <v>44373</v>
      </c>
      <c r="M67" s="239">
        <f t="shared" si="9"/>
        <v>17332030</v>
      </c>
      <c r="N67" s="239">
        <f t="shared" si="9"/>
        <v>17576353</v>
      </c>
      <c r="O67" s="239">
        <f t="shared" si="9"/>
        <v>288696</v>
      </c>
    </row>
    <row r="68" spans="1:22">
      <c r="A68" s="75"/>
      <c r="B68" s="75" t="s">
        <v>1307</v>
      </c>
      <c r="C68" s="239">
        <f>名目県内総支出!O44</f>
        <v>20571143</v>
      </c>
      <c r="D68" s="239">
        <f>名目県内総支出!O6</f>
        <v>13077487</v>
      </c>
      <c r="E68" s="239">
        <f>名目県内総支出!O61</f>
        <v>2384989</v>
      </c>
      <c r="F68" s="239">
        <f>名目県内総支出!O28+名目県内総支出!O36</f>
        <v>4246262</v>
      </c>
      <c r="G68" s="239">
        <f>名目県内総支出!O29</f>
        <v>725868</v>
      </c>
      <c r="H68" s="239">
        <f>名目県内総支出!O30</f>
        <v>3477881</v>
      </c>
      <c r="I68" s="239">
        <f>名目県内総支出!O36</f>
        <v>42513</v>
      </c>
      <c r="J68" s="239">
        <f>名目県内総支出!O31+名目県内総支出!O37</f>
        <v>818032</v>
      </c>
      <c r="K68" s="239">
        <f>名目県内総支出!O62</f>
        <v>20526772</v>
      </c>
      <c r="L68" s="239">
        <f>名目県内総支出!O63</f>
        <v>44371</v>
      </c>
      <c r="M68" s="239">
        <f>名目県内総支出!O39+名目県内総支出!O41+名目県内総支出!O64</f>
        <v>17240822.204954162</v>
      </c>
      <c r="N68" s="239">
        <f>名目県内総支出!O40</f>
        <v>17564241</v>
      </c>
      <c r="O68" s="239">
        <f>名目県内総支出!O43</f>
        <v>288694</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-2</v>
      </c>
      <c r="L69" s="838">
        <f t="shared" si="10"/>
        <v>2</v>
      </c>
      <c r="M69" s="838">
        <f t="shared" si="10"/>
        <v>91207.79504583776</v>
      </c>
      <c r="N69" s="838">
        <f t="shared" si="10"/>
        <v>12112</v>
      </c>
      <c r="O69" s="838">
        <f t="shared" si="10"/>
        <v>2</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8">
    <tabColor theme="9" tint="0.59999389629810485"/>
  </sheetPr>
  <dimension ref="A1:V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 style="49" customWidth="1"/>
    <col min="18" max="18" width="8.5" style="49" customWidth="1"/>
    <col min="19" max="20" width="5.5703125" style="49" customWidth="1"/>
    <col min="21" max="21" width="9.5703125" style="49" customWidth="1"/>
    <col min="22" max="22" width="8.92578125" style="49" customWidth="1"/>
    <col min="23" max="16384" width="8.7109375" style="49"/>
  </cols>
  <sheetData>
    <row r="1" spans="1:22">
      <c r="A1" s="86"/>
      <c r="B1" s="65" t="s">
        <v>877</v>
      </c>
      <c r="C1" s="239"/>
      <c r="D1" s="239"/>
      <c r="E1" s="239"/>
      <c r="F1" s="1878" t="str">
        <f>'24R5'!F1</f>
        <v>市町民経済計算試算(2026.3)</v>
      </c>
      <c r="G1" s="682"/>
      <c r="H1" s="239"/>
      <c r="I1" s="239"/>
      <c r="J1" s="239"/>
      <c r="K1" s="239"/>
      <c r="L1" s="239"/>
      <c r="M1" s="239"/>
      <c r="N1" s="239" t="s">
        <v>818</v>
      </c>
      <c r="O1" s="830"/>
      <c r="R1" s="851" t="s">
        <v>1344</v>
      </c>
      <c r="S1" s="843"/>
    </row>
    <row r="2" spans="1:22" ht="26.25" customHeight="1">
      <c r="A2" s="294"/>
      <c r="B2" s="296" t="s">
        <v>930</v>
      </c>
      <c r="C2" s="275" t="s">
        <v>817</v>
      </c>
      <c r="D2" s="291" t="s">
        <v>68</v>
      </c>
      <c r="E2" s="275" t="s">
        <v>1289</v>
      </c>
      <c r="F2" s="297" t="s">
        <v>69</v>
      </c>
      <c r="G2" s="291"/>
      <c r="H2" s="291"/>
      <c r="I2" s="817"/>
      <c r="J2" s="291" t="s">
        <v>70</v>
      </c>
      <c r="K2" s="297" t="s">
        <v>671</v>
      </c>
      <c r="L2" s="2310" t="s">
        <v>71</v>
      </c>
      <c r="M2" s="2311"/>
      <c r="N2" s="291"/>
      <c r="O2" s="817"/>
      <c r="P2" s="92"/>
      <c r="Q2" s="313"/>
      <c r="R2" s="852" t="s">
        <v>1345</v>
      </c>
      <c r="S2" s="908">
        <f>+SUM(C69:O69)</f>
        <v>202438.85223590955</v>
      </c>
      <c r="T2" s="755"/>
      <c r="U2" s="839" t="s">
        <v>1343</v>
      </c>
      <c r="V2" s="841"/>
    </row>
    <row r="3" spans="1:22" ht="28.5">
      <c r="A3" s="357"/>
      <c r="B3" s="92" t="s">
        <v>931</v>
      </c>
      <c r="C3" s="853" t="s">
        <v>82</v>
      </c>
      <c r="D3" s="352"/>
      <c r="E3" s="353"/>
      <c r="F3" s="351" t="s">
        <v>83</v>
      </c>
      <c r="G3" s="297" t="s">
        <v>72</v>
      </c>
      <c r="H3" s="275" t="s">
        <v>73</v>
      </c>
      <c r="I3" s="817" t="s">
        <v>74</v>
      </c>
      <c r="J3" s="352"/>
      <c r="K3" s="351"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4">
        <v>20741145</v>
      </c>
      <c r="D4" s="864">
        <v>12910180</v>
      </c>
      <c r="E4" s="864">
        <v>2450102</v>
      </c>
      <c r="F4" s="864">
        <v>4239114</v>
      </c>
      <c r="G4" s="864">
        <v>709621</v>
      </c>
      <c r="H4" s="864">
        <v>3560077</v>
      </c>
      <c r="I4" s="864">
        <v>-30584</v>
      </c>
      <c r="J4" s="864">
        <v>771900</v>
      </c>
      <c r="K4" s="864">
        <v>20371296</v>
      </c>
      <c r="L4" s="862">
        <v>369849</v>
      </c>
      <c r="M4" s="864">
        <v>18112027</v>
      </c>
      <c r="N4" s="864">
        <v>17516554</v>
      </c>
      <c r="O4" s="865">
        <v>-225624</v>
      </c>
      <c r="P4" s="77"/>
      <c r="Q4" s="878"/>
      <c r="R4" s="49">
        <f t="shared" ref="R4:R14" si="0">D4+E4+F4+J4+L4</f>
        <v>20741145</v>
      </c>
      <c r="S4" s="49">
        <f t="shared" ref="S4:S14" si="1">R4-C4</f>
        <v>0</v>
      </c>
      <c r="U4" s="49">
        <f>民間設備製造1!K6</f>
        <v>1316785.360226332</v>
      </c>
      <c r="V4" s="49">
        <f t="shared" ref="V4:V14" si="2">D4+E4+G4+J4+U4</f>
        <v>18158588.360226333</v>
      </c>
    </row>
    <row r="5" spans="1:22">
      <c r="A5" s="298">
        <v>100</v>
      </c>
      <c r="B5" s="75" t="s">
        <v>172</v>
      </c>
      <c r="C5" s="868">
        <v>6542948</v>
      </c>
      <c r="D5" s="868">
        <v>3944398</v>
      </c>
      <c r="E5" s="868">
        <v>708260</v>
      </c>
      <c r="F5" s="868">
        <v>1033786</v>
      </c>
      <c r="G5" s="868">
        <v>210388</v>
      </c>
      <c r="H5" s="868">
        <v>832280</v>
      </c>
      <c r="I5" s="868">
        <v>-8882</v>
      </c>
      <c r="J5" s="868">
        <v>230549</v>
      </c>
      <c r="K5" s="868">
        <v>5916993</v>
      </c>
      <c r="L5" s="866">
        <v>625955</v>
      </c>
      <c r="M5" s="868">
        <v>5679647</v>
      </c>
      <c r="N5" s="868">
        <v>5087812</v>
      </c>
      <c r="O5" s="869">
        <v>34120</v>
      </c>
      <c r="P5" s="77">
        <v>100</v>
      </c>
      <c r="Q5" s="878"/>
      <c r="R5" s="49">
        <f t="shared" si="0"/>
        <v>6542948</v>
      </c>
      <c r="S5" s="49">
        <f t="shared" si="1"/>
        <v>0</v>
      </c>
      <c r="U5" s="49">
        <f>民間設備製造1!K7</f>
        <v>170780.36022633198</v>
      </c>
      <c r="V5" s="49">
        <f t="shared" si="2"/>
        <v>5264375.3602263322</v>
      </c>
    </row>
    <row r="6" spans="1:22">
      <c r="A6" s="298">
        <v>1</v>
      </c>
      <c r="B6" s="75" t="s">
        <v>323</v>
      </c>
      <c r="C6" s="868">
        <v>3308965</v>
      </c>
      <c r="D6" s="868">
        <v>2564363</v>
      </c>
      <c r="E6" s="868">
        <v>437135</v>
      </c>
      <c r="F6" s="868">
        <v>673958</v>
      </c>
      <c r="G6" s="868">
        <v>129519</v>
      </c>
      <c r="H6" s="868">
        <v>550113</v>
      </c>
      <c r="I6" s="868">
        <v>-5674</v>
      </c>
      <c r="J6" s="868">
        <v>103679</v>
      </c>
      <c r="K6" s="868">
        <v>3779135</v>
      </c>
      <c r="L6" s="866">
        <v>-470170</v>
      </c>
      <c r="M6" s="868">
        <v>2913800</v>
      </c>
      <c r="N6" s="868">
        <v>3249544</v>
      </c>
      <c r="O6" s="869">
        <v>-134426</v>
      </c>
      <c r="P6" s="77">
        <v>1</v>
      </c>
      <c r="Q6" s="878"/>
      <c r="R6" s="49">
        <f t="shared" si="0"/>
        <v>3308965</v>
      </c>
      <c r="S6" s="49">
        <f t="shared" si="1"/>
        <v>0</v>
      </c>
      <c r="U6" s="49">
        <f>民間設備製造1!K8</f>
        <v>128530</v>
      </c>
      <c r="V6" s="49">
        <f t="shared" si="2"/>
        <v>3363226</v>
      </c>
    </row>
    <row r="7" spans="1:22">
      <c r="A7" s="298">
        <v>2</v>
      </c>
      <c r="B7" s="75" t="s">
        <v>324</v>
      </c>
      <c r="C7" s="868">
        <v>1950165</v>
      </c>
      <c r="D7" s="868">
        <v>1614197</v>
      </c>
      <c r="E7" s="868">
        <v>287424</v>
      </c>
      <c r="F7" s="868">
        <v>455891</v>
      </c>
      <c r="G7" s="868">
        <v>98061</v>
      </c>
      <c r="H7" s="868">
        <v>361479</v>
      </c>
      <c r="I7" s="868">
        <v>-3649</v>
      </c>
      <c r="J7" s="868">
        <v>72156</v>
      </c>
      <c r="K7" s="868">
        <v>2429668</v>
      </c>
      <c r="L7" s="866">
        <v>-479503</v>
      </c>
      <c r="M7" s="868">
        <v>1732908</v>
      </c>
      <c r="N7" s="868">
        <v>2089184</v>
      </c>
      <c r="O7" s="869">
        <v>-123227</v>
      </c>
      <c r="P7" s="77">
        <v>2</v>
      </c>
      <c r="Q7" s="878"/>
      <c r="R7" s="49">
        <f t="shared" si="0"/>
        <v>1950165</v>
      </c>
      <c r="S7" s="49">
        <f t="shared" si="1"/>
        <v>0</v>
      </c>
      <c r="U7" s="49">
        <f>民間設備製造1!J9</f>
        <v>84342</v>
      </c>
      <c r="V7" s="49">
        <f t="shared" si="2"/>
        <v>2156180</v>
      </c>
    </row>
    <row r="8" spans="1:22">
      <c r="A8" s="298">
        <v>3</v>
      </c>
      <c r="B8" s="75" t="s">
        <v>192</v>
      </c>
      <c r="C8" s="868">
        <v>2821463</v>
      </c>
      <c r="D8" s="868">
        <v>1593820</v>
      </c>
      <c r="E8" s="868">
        <v>271632</v>
      </c>
      <c r="F8" s="868">
        <v>894512</v>
      </c>
      <c r="G8" s="868">
        <v>103564</v>
      </c>
      <c r="H8" s="868">
        <v>795190</v>
      </c>
      <c r="I8" s="868">
        <v>-4242</v>
      </c>
      <c r="J8" s="868">
        <v>65013</v>
      </c>
      <c r="K8" s="868">
        <v>2824977</v>
      </c>
      <c r="L8" s="866">
        <v>-3514</v>
      </c>
      <c r="M8" s="868">
        <v>2431461</v>
      </c>
      <c r="N8" s="868">
        <v>2429097</v>
      </c>
      <c r="O8" s="869">
        <v>-5878</v>
      </c>
      <c r="P8" s="77">
        <v>3</v>
      </c>
      <c r="Q8" s="878"/>
      <c r="R8" s="49">
        <f t="shared" si="0"/>
        <v>2821463</v>
      </c>
      <c r="S8" s="49">
        <f t="shared" si="1"/>
        <v>0</v>
      </c>
      <c r="U8" s="49">
        <f>民間設備製造1!K10</f>
        <v>498925</v>
      </c>
      <c r="V8" s="49">
        <f t="shared" si="2"/>
        <v>2532954</v>
      </c>
    </row>
    <row r="9" spans="1:22">
      <c r="A9" s="298">
        <v>4</v>
      </c>
      <c r="B9" s="75" t="s">
        <v>325</v>
      </c>
      <c r="C9" s="868">
        <v>1151163</v>
      </c>
      <c r="D9" s="868">
        <v>541474</v>
      </c>
      <c r="E9" s="868">
        <v>123940</v>
      </c>
      <c r="F9" s="868">
        <v>199053</v>
      </c>
      <c r="G9" s="868">
        <v>23224</v>
      </c>
      <c r="H9" s="868">
        <v>177183</v>
      </c>
      <c r="I9" s="868">
        <v>-1354</v>
      </c>
      <c r="J9" s="868">
        <v>37423</v>
      </c>
      <c r="K9" s="868">
        <v>901890</v>
      </c>
      <c r="L9" s="866">
        <v>249273</v>
      </c>
      <c r="M9" s="868">
        <v>998921</v>
      </c>
      <c r="N9" s="868">
        <v>775504</v>
      </c>
      <c r="O9" s="869">
        <v>25856</v>
      </c>
      <c r="P9" s="77">
        <v>4</v>
      </c>
      <c r="Q9" s="878"/>
      <c r="R9" s="49">
        <f t="shared" si="0"/>
        <v>1151163</v>
      </c>
      <c r="S9" s="49">
        <f t="shared" si="1"/>
        <v>0</v>
      </c>
      <c r="U9" s="49">
        <f>民間設備製造1!K11</f>
        <v>78828</v>
      </c>
      <c r="V9" s="49">
        <f t="shared" si="2"/>
        <v>804889</v>
      </c>
    </row>
    <row r="10" spans="1:22">
      <c r="A10" s="298">
        <v>5</v>
      </c>
      <c r="B10" s="75" t="s">
        <v>326</v>
      </c>
      <c r="C10" s="868">
        <v>2534302</v>
      </c>
      <c r="D10" s="868">
        <v>1252027</v>
      </c>
      <c r="E10" s="868">
        <v>234997</v>
      </c>
      <c r="F10" s="868">
        <v>529538</v>
      </c>
      <c r="G10" s="868">
        <v>94989</v>
      </c>
      <c r="H10" s="868">
        <v>437727</v>
      </c>
      <c r="I10" s="868">
        <v>-3178</v>
      </c>
      <c r="J10" s="868">
        <v>100285</v>
      </c>
      <c r="K10" s="868">
        <v>2116847</v>
      </c>
      <c r="L10" s="866">
        <v>417455</v>
      </c>
      <c r="M10" s="868">
        <v>2179278</v>
      </c>
      <c r="N10" s="868">
        <v>1820203</v>
      </c>
      <c r="O10" s="869">
        <v>58380</v>
      </c>
      <c r="P10" s="77">
        <v>5</v>
      </c>
      <c r="Q10" s="878"/>
      <c r="R10" s="49">
        <f t="shared" si="0"/>
        <v>2534302</v>
      </c>
      <c r="S10" s="49">
        <f t="shared" si="1"/>
        <v>0</v>
      </c>
      <c r="U10" s="49">
        <f>民間設備製造1!K12</f>
        <v>207953</v>
      </c>
      <c r="V10" s="49">
        <f t="shared" si="2"/>
        <v>1890251</v>
      </c>
    </row>
    <row r="11" spans="1:22">
      <c r="A11" s="298">
        <v>6</v>
      </c>
      <c r="B11" s="75" t="s">
        <v>327</v>
      </c>
      <c r="C11" s="868">
        <v>984203</v>
      </c>
      <c r="D11" s="868">
        <v>527964</v>
      </c>
      <c r="E11" s="868">
        <v>124401</v>
      </c>
      <c r="F11" s="868">
        <v>190064</v>
      </c>
      <c r="G11" s="868">
        <v>21827</v>
      </c>
      <c r="H11" s="868">
        <v>169562</v>
      </c>
      <c r="I11" s="868">
        <v>-1325</v>
      </c>
      <c r="J11" s="868">
        <v>40425</v>
      </c>
      <c r="K11" s="868">
        <v>882854</v>
      </c>
      <c r="L11" s="866">
        <v>101349</v>
      </c>
      <c r="M11" s="868">
        <v>863717</v>
      </c>
      <c r="N11" s="868">
        <v>759135</v>
      </c>
      <c r="O11" s="869">
        <v>-3233</v>
      </c>
      <c r="P11" s="77">
        <v>6</v>
      </c>
      <c r="Q11" s="878"/>
      <c r="R11" s="49">
        <f t="shared" si="0"/>
        <v>984203</v>
      </c>
      <c r="S11" s="49">
        <f t="shared" si="1"/>
        <v>0</v>
      </c>
      <c r="U11" s="49">
        <f>民間設備製造1!K13</f>
        <v>73093</v>
      </c>
      <c r="V11" s="49">
        <f t="shared" si="2"/>
        <v>787710</v>
      </c>
    </row>
    <row r="12" spans="1:22">
      <c r="A12" s="298">
        <v>7</v>
      </c>
      <c r="B12" s="75" t="s">
        <v>210</v>
      </c>
      <c r="C12" s="868">
        <v>612526</v>
      </c>
      <c r="D12" s="868">
        <v>371615</v>
      </c>
      <c r="E12" s="868">
        <v>118645</v>
      </c>
      <c r="F12" s="868">
        <v>104503</v>
      </c>
      <c r="G12" s="868">
        <v>9737</v>
      </c>
      <c r="H12" s="868">
        <v>95729</v>
      </c>
      <c r="I12" s="868">
        <v>-963</v>
      </c>
      <c r="J12" s="868">
        <v>46997</v>
      </c>
      <c r="K12" s="868">
        <v>641760</v>
      </c>
      <c r="L12" s="866">
        <v>-29234</v>
      </c>
      <c r="M12" s="868">
        <v>559174</v>
      </c>
      <c r="N12" s="868">
        <v>551826</v>
      </c>
      <c r="O12" s="869">
        <v>-36582</v>
      </c>
      <c r="P12" s="77">
        <v>7</v>
      </c>
      <c r="Q12" s="878"/>
      <c r="R12" s="49">
        <f t="shared" si="0"/>
        <v>612526</v>
      </c>
      <c r="S12" s="49">
        <f t="shared" si="1"/>
        <v>0</v>
      </c>
      <c r="U12" s="49">
        <f>民間設備製造1!K14</f>
        <v>24250</v>
      </c>
      <c r="V12" s="49">
        <f t="shared" si="2"/>
        <v>571244</v>
      </c>
    </row>
    <row r="13" spans="1:22">
      <c r="A13" s="298">
        <v>8</v>
      </c>
      <c r="B13" s="75" t="s">
        <v>211</v>
      </c>
      <c r="C13" s="868">
        <v>391493</v>
      </c>
      <c r="D13" s="868">
        <v>228716</v>
      </c>
      <c r="E13" s="868">
        <v>63283</v>
      </c>
      <c r="F13" s="868">
        <v>87520</v>
      </c>
      <c r="G13" s="868">
        <v>6775</v>
      </c>
      <c r="H13" s="868">
        <v>81373</v>
      </c>
      <c r="I13" s="868">
        <v>-628</v>
      </c>
      <c r="J13" s="868">
        <v>38967</v>
      </c>
      <c r="K13" s="868">
        <v>418486</v>
      </c>
      <c r="L13" s="866">
        <v>-26993</v>
      </c>
      <c r="M13" s="868">
        <v>350809</v>
      </c>
      <c r="N13" s="868">
        <v>359841</v>
      </c>
      <c r="O13" s="869">
        <v>-17961</v>
      </c>
      <c r="P13" s="77">
        <v>8</v>
      </c>
      <c r="Q13" s="878"/>
      <c r="R13" s="49">
        <f t="shared" si="0"/>
        <v>391493</v>
      </c>
      <c r="S13" s="49">
        <f t="shared" si="1"/>
        <v>0</v>
      </c>
      <c r="U13" s="49">
        <f>民間設備製造1!K15</f>
        <v>35695</v>
      </c>
      <c r="V13" s="49">
        <f t="shared" si="2"/>
        <v>373436</v>
      </c>
    </row>
    <row r="14" spans="1:22">
      <c r="A14" s="298">
        <v>9</v>
      </c>
      <c r="B14" s="75" t="s">
        <v>212</v>
      </c>
      <c r="C14" s="868">
        <v>443917</v>
      </c>
      <c r="D14" s="868">
        <v>271606</v>
      </c>
      <c r="E14" s="868">
        <v>80385</v>
      </c>
      <c r="F14" s="868">
        <v>70289</v>
      </c>
      <c r="G14" s="868">
        <v>11537</v>
      </c>
      <c r="H14" s="868">
        <v>59441</v>
      </c>
      <c r="I14" s="868">
        <v>-689</v>
      </c>
      <c r="J14" s="868">
        <v>36406</v>
      </c>
      <c r="K14" s="868">
        <v>458686</v>
      </c>
      <c r="L14" s="866">
        <v>-14769</v>
      </c>
      <c r="M14" s="868">
        <v>402312</v>
      </c>
      <c r="N14" s="868">
        <v>394408</v>
      </c>
      <c r="O14" s="869">
        <v>-22673</v>
      </c>
      <c r="P14" s="77">
        <v>9</v>
      </c>
      <c r="Q14" s="878"/>
      <c r="R14" s="49">
        <f t="shared" si="0"/>
        <v>443917</v>
      </c>
      <c r="S14" s="49">
        <f t="shared" si="1"/>
        <v>0</v>
      </c>
      <c r="U14" s="49">
        <f>民間設備製造1!K16</f>
        <v>7912</v>
      </c>
      <c r="V14" s="49">
        <f t="shared" si="2"/>
        <v>407846</v>
      </c>
    </row>
    <row r="15" spans="1:22">
      <c r="A15" s="298"/>
      <c r="B15" s="87"/>
      <c r="C15" s="872" t="s">
        <v>839</v>
      </c>
      <c r="D15" s="850" t="s">
        <v>839</v>
      </c>
      <c r="E15" s="850" t="s">
        <v>839</v>
      </c>
      <c r="F15" s="850" t="s">
        <v>839</v>
      </c>
      <c r="G15" s="850" t="s">
        <v>839</v>
      </c>
      <c r="H15" s="850" t="s">
        <v>839</v>
      </c>
      <c r="I15" s="868" t="s">
        <v>839</v>
      </c>
      <c r="J15" s="850" t="s">
        <v>839</v>
      </c>
      <c r="K15" s="850" t="s">
        <v>839</v>
      </c>
      <c r="L15" s="856" t="s">
        <v>839</v>
      </c>
      <c r="M15" s="830" t="s">
        <v>839</v>
      </c>
      <c r="N15" s="830" t="s">
        <v>839</v>
      </c>
      <c r="O15" s="831" t="s">
        <v>839</v>
      </c>
      <c r="P15" s="77" t="s">
        <v>347</v>
      </c>
      <c r="Q15" s="878"/>
      <c r="R15" s="49" t="s">
        <v>774</v>
      </c>
      <c r="S15" s="49" t="s">
        <v>11</v>
      </c>
      <c r="U15" s="49" t="s">
        <v>678</v>
      </c>
      <c r="V15" s="49" t="s">
        <v>347</v>
      </c>
    </row>
    <row r="16" spans="1:22">
      <c r="A16" s="301">
        <v>100</v>
      </c>
      <c r="B16" s="203" t="s">
        <v>172</v>
      </c>
      <c r="C16" s="868">
        <v>6542948</v>
      </c>
      <c r="D16" s="875">
        <v>3944398</v>
      </c>
      <c r="E16" s="875">
        <v>708260</v>
      </c>
      <c r="F16" s="875">
        <v>1033786</v>
      </c>
      <c r="G16" s="875">
        <v>210388</v>
      </c>
      <c r="H16" s="875">
        <v>832280</v>
      </c>
      <c r="I16" s="864">
        <v>-8882</v>
      </c>
      <c r="J16" s="875">
        <v>230549</v>
      </c>
      <c r="K16" s="875">
        <v>5916993</v>
      </c>
      <c r="L16" s="855">
        <v>625955</v>
      </c>
      <c r="M16" s="827">
        <v>5679647</v>
      </c>
      <c r="N16" s="827">
        <v>5087812</v>
      </c>
      <c r="O16" s="828">
        <v>34120</v>
      </c>
      <c r="P16" s="293">
        <v>100</v>
      </c>
      <c r="Q16" s="878"/>
      <c r="R16" s="49">
        <f t="shared" ref="R16:R47" si="3">D16+E16+F16+J16+L16</f>
        <v>6542948</v>
      </c>
      <c r="S16" s="49">
        <f t="shared" ref="S16:S47" si="4">R16-C16</f>
        <v>0</v>
      </c>
      <c r="U16" s="49">
        <f>民間設備製造1!K18</f>
        <v>170780.36022633198</v>
      </c>
      <c r="V16" s="49">
        <f t="shared" ref="V16:V47" si="5">D16+E16+G16+J16+U16</f>
        <v>5264375.3602263322</v>
      </c>
    </row>
    <row r="17" spans="1:22">
      <c r="A17" s="301">
        <v>1</v>
      </c>
      <c r="B17" s="128" t="s">
        <v>182</v>
      </c>
      <c r="C17" s="864">
        <v>3308965</v>
      </c>
      <c r="D17" s="864">
        <v>2564363</v>
      </c>
      <c r="E17" s="864">
        <v>437135</v>
      </c>
      <c r="F17" s="864">
        <v>673958</v>
      </c>
      <c r="G17" s="864">
        <v>129519</v>
      </c>
      <c r="H17" s="864">
        <v>550113</v>
      </c>
      <c r="I17" s="864">
        <v>-5674</v>
      </c>
      <c r="J17" s="864">
        <v>103679</v>
      </c>
      <c r="K17" s="864">
        <v>3779135</v>
      </c>
      <c r="L17" s="862">
        <v>-470170</v>
      </c>
      <c r="M17" s="827">
        <v>2913800</v>
      </c>
      <c r="N17" s="827">
        <v>3249544</v>
      </c>
      <c r="O17" s="828">
        <v>-134426</v>
      </c>
      <c r="P17" s="293">
        <v>1</v>
      </c>
      <c r="Q17" s="878"/>
      <c r="R17" s="49">
        <f t="shared" si="3"/>
        <v>3308965</v>
      </c>
      <c r="S17" s="49">
        <f t="shared" si="4"/>
        <v>0</v>
      </c>
      <c r="U17" s="49">
        <f>民間設備製造1!K19</f>
        <v>128530</v>
      </c>
      <c r="V17" s="49">
        <f t="shared" si="5"/>
        <v>3363226</v>
      </c>
    </row>
    <row r="18" spans="1:22">
      <c r="A18" s="300">
        <v>202</v>
      </c>
      <c r="B18" s="90" t="s">
        <v>183</v>
      </c>
      <c r="C18" s="868">
        <v>1775377</v>
      </c>
      <c r="D18" s="850">
        <v>1167477</v>
      </c>
      <c r="E18" s="850">
        <v>170768</v>
      </c>
      <c r="F18" s="850">
        <v>370368</v>
      </c>
      <c r="G18" s="850">
        <v>64505</v>
      </c>
      <c r="H18" s="850">
        <v>308516</v>
      </c>
      <c r="I18" s="868">
        <v>-2653</v>
      </c>
      <c r="J18" s="850">
        <v>58697</v>
      </c>
      <c r="K18" s="850">
        <v>1767310</v>
      </c>
      <c r="L18" s="856">
        <v>8067</v>
      </c>
      <c r="M18" s="830">
        <v>1529891</v>
      </c>
      <c r="N18" s="830">
        <v>1519647</v>
      </c>
      <c r="O18" s="831">
        <v>-2177</v>
      </c>
      <c r="P18" s="293">
        <v>202</v>
      </c>
      <c r="Q18" s="878"/>
      <c r="R18" s="49">
        <f t="shared" si="3"/>
        <v>1775377</v>
      </c>
      <c r="S18" s="49">
        <f t="shared" si="4"/>
        <v>0</v>
      </c>
      <c r="U18" s="49">
        <f>民間設備製造1!K20</f>
        <v>113883</v>
      </c>
      <c r="V18" s="49">
        <f t="shared" si="5"/>
        <v>1575330</v>
      </c>
    </row>
    <row r="19" spans="1:22">
      <c r="A19" s="300">
        <v>204</v>
      </c>
      <c r="B19" s="90" t="s">
        <v>184</v>
      </c>
      <c r="C19" s="868">
        <v>1324680</v>
      </c>
      <c r="D19" s="850">
        <v>1162523</v>
      </c>
      <c r="E19" s="850">
        <v>216036</v>
      </c>
      <c r="F19" s="850">
        <v>257500</v>
      </c>
      <c r="G19" s="850">
        <v>57837</v>
      </c>
      <c r="H19" s="850">
        <v>202162</v>
      </c>
      <c r="I19" s="868">
        <v>-2499</v>
      </c>
      <c r="J19" s="850">
        <v>28358</v>
      </c>
      <c r="K19" s="850">
        <v>1664417</v>
      </c>
      <c r="L19" s="856">
        <v>-339737</v>
      </c>
      <c r="M19" s="830">
        <v>1188019</v>
      </c>
      <c r="N19" s="830">
        <v>1431173</v>
      </c>
      <c r="O19" s="831">
        <v>-96583</v>
      </c>
      <c r="P19" s="293">
        <v>204</v>
      </c>
      <c r="Q19" s="878"/>
      <c r="R19" s="49">
        <f t="shared" si="3"/>
        <v>1324680</v>
      </c>
      <c r="S19" s="49">
        <f t="shared" si="4"/>
        <v>0</v>
      </c>
      <c r="U19" s="49">
        <f>民間設備製造1!K21</f>
        <v>14514</v>
      </c>
      <c r="V19" s="49">
        <f t="shared" si="5"/>
        <v>1479268</v>
      </c>
    </row>
    <row r="20" spans="1:22">
      <c r="A20" s="302">
        <v>206</v>
      </c>
      <c r="B20" s="201" t="s">
        <v>185</v>
      </c>
      <c r="C20" s="872">
        <v>208908</v>
      </c>
      <c r="D20" s="885">
        <v>234363</v>
      </c>
      <c r="E20" s="885">
        <v>50331</v>
      </c>
      <c r="F20" s="885">
        <v>46090</v>
      </c>
      <c r="G20" s="885">
        <v>7177</v>
      </c>
      <c r="H20" s="885">
        <v>39435</v>
      </c>
      <c r="I20" s="872">
        <v>-522</v>
      </c>
      <c r="J20" s="885">
        <v>16624</v>
      </c>
      <c r="K20" s="885">
        <v>347408</v>
      </c>
      <c r="L20" s="858">
        <v>-138500</v>
      </c>
      <c r="M20" s="837">
        <v>195890</v>
      </c>
      <c r="N20" s="837">
        <v>298724</v>
      </c>
      <c r="O20" s="835">
        <v>-35666</v>
      </c>
      <c r="P20" s="293">
        <v>206</v>
      </c>
      <c r="Q20" s="878"/>
      <c r="R20" s="49">
        <f t="shared" si="3"/>
        <v>208908</v>
      </c>
      <c r="S20" s="49">
        <f t="shared" si="4"/>
        <v>0</v>
      </c>
      <c r="U20" s="49">
        <f>民間設備製造1!K22</f>
        <v>133</v>
      </c>
      <c r="V20" s="49">
        <f t="shared" si="5"/>
        <v>308628</v>
      </c>
    </row>
    <row r="21" spans="1:22">
      <c r="A21" s="300">
        <v>2</v>
      </c>
      <c r="B21" s="65" t="s">
        <v>186</v>
      </c>
      <c r="C21" s="868">
        <v>1950165</v>
      </c>
      <c r="D21" s="830">
        <v>1614197</v>
      </c>
      <c r="E21" s="830">
        <v>287424</v>
      </c>
      <c r="F21" s="830">
        <v>455891</v>
      </c>
      <c r="G21" s="830">
        <v>98061</v>
      </c>
      <c r="H21" s="830">
        <v>361479</v>
      </c>
      <c r="I21" s="830">
        <v>-3649</v>
      </c>
      <c r="J21" s="830">
        <v>72156</v>
      </c>
      <c r="K21" s="830">
        <v>2429668</v>
      </c>
      <c r="L21" s="856">
        <v>-479503</v>
      </c>
      <c r="M21" s="830">
        <v>1732908</v>
      </c>
      <c r="N21" s="830">
        <v>2089184</v>
      </c>
      <c r="O21" s="831">
        <v>-123227</v>
      </c>
      <c r="P21" s="293">
        <v>2</v>
      </c>
      <c r="Q21" s="878"/>
      <c r="R21" s="49">
        <f t="shared" si="3"/>
        <v>1950165</v>
      </c>
      <c r="S21" s="49">
        <f t="shared" si="4"/>
        <v>0</v>
      </c>
      <c r="U21" s="49">
        <f>民間設備製造1!K23</f>
        <v>90819</v>
      </c>
      <c r="V21" s="49">
        <f t="shared" si="5"/>
        <v>2162657</v>
      </c>
    </row>
    <row r="22" spans="1:22">
      <c r="A22" s="300">
        <v>207</v>
      </c>
      <c r="B22" s="90" t="s">
        <v>187</v>
      </c>
      <c r="C22" s="868">
        <v>676888</v>
      </c>
      <c r="D22" s="850">
        <v>442192</v>
      </c>
      <c r="E22" s="850">
        <v>73595</v>
      </c>
      <c r="F22" s="850">
        <v>147313</v>
      </c>
      <c r="G22" s="850">
        <v>22843</v>
      </c>
      <c r="H22" s="850">
        <v>125493</v>
      </c>
      <c r="I22" s="868">
        <v>-1023</v>
      </c>
      <c r="J22" s="850">
        <v>18046</v>
      </c>
      <c r="K22" s="850">
        <v>681146</v>
      </c>
      <c r="L22" s="856">
        <v>-4258</v>
      </c>
      <c r="M22" s="830">
        <v>587747</v>
      </c>
      <c r="N22" s="830">
        <v>585693</v>
      </c>
      <c r="O22" s="831">
        <v>-6312</v>
      </c>
      <c r="P22" s="293">
        <v>207</v>
      </c>
      <c r="Q22" s="878"/>
      <c r="R22" s="49">
        <f t="shared" si="3"/>
        <v>676888</v>
      </c>
      <c r="S22" s="49">
        <f t="shared" si="4"/>
        <v>0</v>
      </c>
      <c r="U22" s="49">
        <f>民間設備製造1!K24</f>
        <v>50803</v>
      </c>
      <c r="V22" s="49">
        <f t="shared" si="5"/>
        <v>607479</v>
      </c>
    </row>
    <row r="23" spans="1:22">
      <c r="A23" s="300">
        <v>214</v>
      </c>
      <c r="B23" s="90" t="s">
        <v>188</v>
      </c>
      <c r="C23" s="868">
        <v>466094</v>
      </c>
      <c r="D23" s="850">
        <v>529649</v>
      </c>
      <c r="E23" s="850">
        <v>89869</v>
      </c>
      <c r="F23" s="850">
        <v>125122</v>
      </c>
      <c r="G23" s="850">
        <v>36836</v>
      </c>
      <c r="H23" s="850">
        <v>89430</v>
      </c>
      <c r="I23" s="868">
        <v>-1144</v>
      </c>
      <c r="J23" s="850">
        <v>17138</v>
      </c>
      <c r="K23" s="850">
        <v>761778</v>
      </c>
      <c r="L23" s="856">
        <v>-295684</v>
      </c>
      <c r="M23" s="830">
        <v>425281</v>
      </c>
      <c r="N23" s="830">
        <v>655026</v>
      </c>
      <c r="O23" s="831">
        <v>-65939</v>
      </c>
      <c r="P23" s="293">
        <v>214</v>
      </c>
      <c r="Q23" s="878"/>
      <c r="R23" s="49">
        <f t="shared" si="3"/>
        <v>466094</v>
      </c>
      <c r="S23" s="49">
        <f t="shared" si="4"/>
        <v>0</v>
      </c>
      <c r="U23" s="49">
        <f>民間設備製造1!K25</f>
        <v>3394</v>
      </c>
      <c r="V23" s="49">
        <f t="shared" si="5"/>
        <v>676886</v>
      </c>
    </row>
    <row r="24" spans="1:22">
      <c r="A24" s="300">
        <v>217</v>
      </c>
      <c r="B24" s="90" t="s">
        <v>189</v>
      </c>
      <c r="C24" s="868">
        <v>329234</v>
      </c>
      <c r="D24" s="850">
        <v>352013</v>
      </c>
      <c r="E24" s="850">
        <v>57613</v>
      </c>
      <c r="F24" s="850">
        <v>81270</v>
      </c>
      <c r="G24" s="850">
        <v>20747</v>
      </c>
      <c r="H24" s="850">
        <v>61281</v>
      </c>
      <c r="I24" s="868">
        <v>-758</v>
      </c>
      <c r="J24" s="850">
        <v>13827</v>
      </c>
      <c r="K24" s="850">
        <v>504723</v>
      </c>
      <c r="L24" s="856">
        <v>-175489</v>
      </c>
      <c r="M24" s="830">
        <v>297326</v>
      </c>
      <c r="N24" s="830">
        <v>433993</v>
      </c>
      <c r="O24" s="831">
        <v>-38822</v>
      </c>
      <c r="P24" s="293">
        <v>217</v>
      </c>
      <c r="Q24" s="878"/>
      <c r="R24" s="49">
        <f t="shared" si="3"/>
        <v>329234</v>
      </c>
      <c r="S24" s="49">
        <f t="shared" si="4"/>
        <v>0</v>
      </c>
      <c r="U24" s="49">
        <f>民間設備製造1!K26</f>
        <v>4377</v>
      </c>
      <c r="V24" s="49">
        <f t="shared" si="5"/>
        <v>448577</v>
      </c>
    </row>
    <row r="25" spans="1:22">
      <c r="A25" s="300">
        <v>219</v>
      </c>
      <c r="B25" s="90" t="s">
        <v>190</v>
      </c>
      <c r="C25" s="868">
        <v>415559</v>
      </c>
      <c r="D25" s="850">
        <v>230317</v>
      </c>
      <c r="E25" s="850">
        <v>50461</v>
      </c>
      <c r="F25" s="850">
        <v>88329</v>
      </c>
      <c r="G25" s="850">
        <v>14819</v>
      </c>
      <c r="H25" s="850">
        <v>74093</v>
      </c>
      <c r="I25" s="868">
        <v>-583</v>
      </c>
      <c r="J25" s="850">
        <v>19164</v>
      </c>
      <c r="K25" s="850">
        <v>388271</v>
      </c>
      <c r="L25" s="856">
        <v>27288</v>
      </c>
      <c r="M25" s="830">
        <v>363603</v>
      </c>
      <c r="N25" s="830">
        <v>333860</v>
      </c>
      <c r="O25" s="831">
        <v>-2455</v>
      </c>
      <c r="P25" s="293">
        <v>219</v>
      </c>
      <c r="Q25" s="878"/>
      <c r="R25" s="49">
        <f t="shared" si="3"/>
        <v>415559</v>
      </c>
      <c r="S25" s="49">
        <f t="shared" si="4"/>
        <v>0</v>
      </c>
      <c r="U25" s="49">
        <f>民間設備製造1!K27</f>
        <v>31643</v>
      </c>
      <c r="V25" s="49">
        <f t="shared" si="5"/>
        <v>346404</v>
      </c>
    </row>
    <row r="26" spans="1:22">
      <c r="A26" s="300">
        <v>301</v>
      </c>
      <c r="B26" s="90" t="s">
        <v>191</v>
      </c>
      <c r="C26" s="868">
        <v>62390</v>
      </c>
      <c r="D26" s="850">
        <v>60026</v>
      </c>
      <c r="E26" s="850">
        <v>15886</v>
      </c>
      <c r="F26" s="850">
        <v>13857</v>
      </c>
      <c r="G26" s="850">
        <v>2816</v>
      </c>
      <c r="H26" s="850">
        <v>11182</v>
      </c>
      <c r="I26" s="868">
        <v>-141</v>
      </c>
      <c r="J26" s="850">
        <v>3981</v>
      </c>
      <c r="K26" s="850">
        <v>93750</v>
      </c>
      <c r="L26" s="856">
        <v>-31360</v>
      </c>
      <c r="M26" s="830">
        <v>58951</v>
      </c>
      <c r="N26" s="830">
        <v>80612</v>
      </c>
      <c r="O26" s="831">
        <v>-9699</v>
      </c>
      <c r="P26" s="293">
        <v>301</v>
      </c>
      <c r="Q26" s="878"/>
      <c r="R26" s="49">
        <f t="shared" si="3"/>
        <v>62390</v>
      </c>
      <c r="S26" s="49">
        <f t="shared" si="4"/>
        <v>0</v>
      </c>
      <c r="U26" s="49">
        <f>民間設備製造1!K28</f>
        <v>602</v>
      </c>
      <c r="V26" s="49">
        <f t="shared" si="5"/>
        <v>83311</v>
      </c>
    </row>
    <row r="27" spans="1:22">
      <c r="A27" s="301">
        <v>3</v>
      </c>
      <c r="B27" s="128" t="s">
        <v>192</v>
      </c>
      <c r="C27" s="864">
        <v>2821463</v>
      </c>
      <c r="D27" s="827">
        <v>1593820</v>
      </c>
      <c r="E27" s="827">
        <v>271632</v>
      </c>
      <c r="F27" s="827">
        <v>894512</v>
      </c>
      <c r="G27" s="827">
        <v>103564</v>
      </c>
      <c r="H27" s="827">
        <v>795190</v>
      </c>
      <c r="I27" s="827">
        <v>-4242</v>
      </c>
      <c r="J27" s="827">
        <v>65013</v>
      </c>
      <c r="K27" s="827">
        <v>2824977</v>
      </c>
      <c r="L27" s="855">
        <v>-3514</v>
      </c>
      <c r="M27" s="827">
        <v>2431461</v>
      </c>
      <c r="N27" s="827">
        <v>2429097</v>
      </c>
      <c r="O27" s="828">
        <v>-5878</v>
      </c>
      <c r="P27" s="293">
        <v>3</v>
      </c>
      <c r="Q27" s="878"/>
      <c r="R27" s="49">
        <f t="shared" si="3"/>
        <v>2821463</v>
      </c>
      <c r="S27" s="49">
        <f t="shared" si="4"/>
        <v>0</v>
      </c>
      <c r="U27" s="49">
        <f>民間設備製造1!K29</f>
        <v>498925</v>
      </c>
      <c r="V27" s="49">
        <f t="shared" si="5"/>
        <v>2532954</v>
      </c>
    </row>
    <row r="28" spans="1:22">
      <c r="A28" s="300">
        <v>203</v>
      </c>
      <c r="B28" s="90" t="s">
        <v>193</v>
      </c>
      <c r="C28" s="868">
        <v>1142555</v>
      </c>
      <c r="D28" s="850">
        <v>678175</v>
      </c>
      <c r="E28" s="850">
        <v>115270</v>
      </c>
      <c r="F28" s="850">
        <v>252290</v>
      </c>
      <c r="G28" s="850">
        <v>46786</v>
      </c>
      <c r="H28" s="850">
        <v>207119</v>
      </c>
      <c r="I28" s="868">
        <v>-1615</v>
      </c>
      <c r="J28" s="850">
        <v>29796</v>
      </c>
      <c r="K28" s="850">
        <v>1075531</v>
      </c>
      <c r="L28" s="856">
        <v>67024</v>
      </c>
      <c r="M28" s="830">
        <v>987389</v>
      </c>
      <c r="N28" s="830">
        <v>924811</v>
      </c>
      <c r="O28" s="831">
        <v>4446</v>
      </c>
      <c r="P28" s="293">
        <v>203</v>
      </c>
      <c r="Q28" s="878"/>
      <c r="R28" s="49">
        <f t="shared" si="3"/>
        <v>1142555</v>
      </c>
      <c r="S28" s="49">
        <f t="shared" si="4"/>
        <v>0</v>
      </c>
      <c r="U28" s="49">
        <f>民間設備製造1!K30</f>
        <v>89623</v>
      </c>
      <c r="V28" s="49">
        <f t="shared" si="5"/>
        <v>959650</v>
      </c>
    </row>
    <row r="29" spans="1:22">
      <c r="A29" s="300">
        <v>210</v>
      </c>
      <c r="B29" s="90" t="s">
        <v>194</v>
      </c>
      <c r="C29" s="868">
        <v>805895</v>
      </c>
      <c r="D29" s="850">
        <v>579398</v>
      </c>
      <c r="E29" s="850">
        <v>94411</v>
      </c>
      <c r="F29" s="850">
        <v>314047</v>
      </c>
      <c r="G29" s="850">
        <v>37217</v>
      </c>
      <c r="H29" s="850">
        <v>278346</v>
      </c>
      <c r="I29" s="868">
        <v>-1516</v>
      </c>
      <c r="J29" s="850">
        <v>21924</v>
      </c>
      <c r="K29" s="850">
        <v>1009780</v>
      </c>
      <c r="L29" s="856">
        <v>-203885</v>
      </c>
      <c r="M29" s="830">
        <v>703328</v>
      </c>
      <c r="N29" s="830">
        <v>868274</v>
      </c>
      <c r="O29" s="831">
        <v>-38939</v>
      </c>
      <c r="P29" s="293">
        <v>210</v>
      </c>
      <c r="Q29" s="878"/>
      <c r="R29" s="49">
        <f t="shared" si="3"/>
        <v>805895</v>
      </c>
      <c r="S29" s="49">
        <f t="shared" si="4"/>
        <v>0</v>
      </c>
      <c r="U29" s="49">
        <f>民間設備製造1!K31</f>
        <v>172158</v>
      </c>
      <c r="V29" s="49">
        <f t="shared" si="5"/>
        <v>905108</v>
      </c>
    </row>
    <row r="30" spans="1:22">
      <c r="A30" s="300">
        <v>216</v>
      </c>
      <c r="B30" s="90" t="s">
        <v>195</v>
      </c>
      <c r="C30" s="868">
        <v>545767</v>
      </c>
      <c r="D30" s="850">
        <v>202221</v>
      </c>
      <c r="E30" s="850">
        <v>39807</v>
      </c>
      <c r="F30" s="850">
        <v>269625</v>
      </c>
      <c r="G30" s="850">
        <v>12152</v>
      </c>
      <c r="H30" s="850">
        <v>258252</v>
      </c>
      <c r="I30" s="868">
        <v>-779</v>
      </c>
      <c r="J30" s="850">
        <v>7127</v>
      </c>
      <c r="K30" s="850">
        <v>518780</v>
      </c>
      <c r="L30" s="856">
        <v>26987</v>
      </c>
      <c r="M30" s="830">
        <v>463644</v>
      </c>
      <c r="N30" s="830">
        <v>446080</v>
      </c>
      <c r="O30" s="831">
        <v>9423</v>
      </c>
      <c r="P30" s="293">
        <v>216</v>
      </c>
      <c r="Q30" s="878"/>
      <c r="R30" s="49">
        <f t="shared" si="3"/>
        <v>545767</v>
      </c>
      <c r="S30" s="49">
        <f t="shared" si="4"/>
        <v>0</v>
      </c>
      <c r="U30" s="49">
        <f>民間設備製造1!K32</f>
        <v>209363</v>
      </c>
      <c r="V30" s="49">
        <f t="shared" si="5"/>
        <v>470670</v>
      </c>
    </row>
    <row r="31" spans="1:22">
      <c r="A31" s="300">
        <v>381</v>
      </c>
      <c r="B31" s="90" t="s">
        <v>196</v>
      </c>
      <c r="C31" s="868">
        <v>171112</v>
      </c>
      <c r="D31" s="850">
        <v>60479</v>
      </c>
      <c r="E31" s="850">
        <v>10391</v>
      </c>
      <c r="F31" s="850">
        <v>20182</v>
      </c>
      <c r="G31" s="850">
        <v>2900</v>
      </c>
      <c r="H31" s="850">
        <v>17422</v>
      </c>
      <c r="I31" s="868">
        <v>-140</v>
      </c>
      <c r="J31" s="850">
        <v>2089</v>
      </c>
      <c r="K31" s="850">
        <v>93141</v>
      </c>
      <c r="L31" s="856">
        <v>77971</v>
      </c>
      <c r="M31" s="830">
        <v>144268</v>
      </c>
      <c r="N31" s="830">
        <v>80089</v>
      </c>
      <c r="O31" s="831">
        <v>13792</v>
      </c>
      <c r="P31" s="293">
        <v>381</v>
      </c>
      <c r="Q31" s="878"/>
      <c r="R31" s="49">
        <f t="shared" si="3"/>
        <v>171112</v>
      </c>
      <c r="S31" s="49">
        <f t="shared" si="4"/>
        <v>0</v>
      </c>
      <c r="U31" s="49">
        <f>民間設備製造1!K33</f>
        <v>7221</v>
      </c>
      <c r="V31" s="49">
        <f t="shared" si="5"/>
        <v>83080</v>
      </c>
    </row>
    <row r="32" spans="1:22">
      <c r="A32" s="302">
        <v>382</v>
      </c>
      <c r="B32" s="201" t="s">
        <v>197</v>
      </c>
      <c r="C32" s="872">
        <v>156134</v>
      </c>
      <c r="D32" s="885">
        <v>73547</v>
      </c>
      <c r="E32" s="885">
        <v>11753</v>
      </c>
      <c r="F32" s="885">
        <v>38368</v>
      </c>
      <c r="G32" s="885">
        <v>4509</v>
      </c>
      <c r="H32" s="885">
        <v>34051</v>
      </c>
      <c r="I32" s="872">
        <v>-192</v>
      </c>
      <c r="J32" s="885">
        <v>4077</v>
      </c>
      <c r="K32" s="885">
        <v>127745</v>
      </c>
      <c r="L32" s="858">
        <v>28389</v>
      </c>
      <c r="M32" s="837">
        <v>132832</v>
      </c>
      <c r="N32" s="837">
        <v>109843</v>
      </c>
      <c r="O32" s="835">
        <v>5400</v>
      </c>
      <c r="P32" s="293">
        <v>382</v>
      </c>
      <c r="Q32" s="878"/>
      <c r="R32" s="49">
        <f t="shared" si="3"/>
        <v>156134</v>
      </c>
      <c r="S32" s="49">
        <f t="shared" si="4"/>
        <v>0</v>
      </c>
      <c r="U32" s="49">
        <f>民間設備製造1!K34</f>
        <v>20560</v>
      </c>
      <c r="V32" s="49">
        <f t="shared" si="5"/>
        <v>114446</v>
      </c>
    </row>
    <row r="33" spans="1:22">
      <c r="A33" s="300">
        <v>4</v>
      </c>
      <c r="B33" s="91" t="s">
        <v>198</v>
      </c>
      <c r="C33" s="868">
        <v>1151163</v>
      </c>
      <c r="D33" s="830">
        <v>541474</v>
      </c>
      <c r="E33" s="830">
        <v>123940</v>
      </c>
      <c r="F33" s="830">
        <v>199053</v>
      </c>
      <c r="G33" s="830">
        <v>23224</v>
      </c>
      <c r="H33" s="830">
        <v>177183</v>
      </c>
      <c r="I33" s="830">
        <v>-1354</v>
      </c>
      <c r="J33" s="830">
        <v>37423</v>
      </c>
      <c r="K33" s="830">
        <v>901890</v>
      </c>
      <c r="L33" s="856">
        <v>249273</v>
      </c>
      <c r="M33" s="830">
        <v>998921</v>
      </c>
      <c r="N33" s="830">
        <v>775504</v>
      </c>
      <c r="O33" s="831">
        <v>25856</v>
      </c>
      <c r="P33" s="293">
        <v>4</v>
      </c>
      <c r="Q33" s="878"/>
      <c r="R33" s="49">
        <f t="shared" si="3"/>
        <v>1151163</v>
      </c>
      <c r="S33" s="49">
        <f t="shared" si="4"/>
        <v>0</v>
      </c>
      <c r="U33" s="49">
        <f>民間設備製造1!K35</f>
        <v>78828</v>
      </c>
      <c r="V33" s="49">
        <f t="shared" si="5"/>
        <v>804889</v>
      </c>
    </row>
    <row r="34" spans="1:22">
      <c r="A34" s="300">
        <v>213</v>
      </c>
      <c r="B34" s="92" t="s">
        <v>231</v>
      </c>
      <c r="C34" s="868">
        <v>135004</v>
      </c>
      <c r="D34" s="850">
        <v>83643</v>
      </c>
      <c r="E34" s="850">
        <v>15835</v>
      </c>
      <c r="F34" s="850">
        <v>18973</v>
      </c>
      <c r="G34" s="850">
        <v>2202</v>
      </c>
      <c r="H34" s="850">
        <v>16959</v>
      </c>
      <c r="I34" s="868">
        <v>-188</v>
      </c>
      <c r="J34" s="850">
        <v>6509</v>
      </c>
      <c r="K34" s="850">
        <v>124960</v>
      </c>
      <c r="L34" s="856">
        <v>10044</v>
      </c>
      <c r="M34" s="830">
        <v>117832</v>
      </c>
      <c r="N34" s="830">
        <v>107449</v>
      </c>
      <c r="O34" s="831">
        <v>-339</v>
      </c>
      <c r="P34" s="293">
        <v>213</v>
      </c>
      <c r="Q34" s="878"/>
      <c r="R34" s="49">
        <f t="shared" si="3"/>
        <v>135004</v>
      </c>
      <c r="S34" s="49">
        <f t="shared" si="4"/>
        <v>0</v>
      </c>
      <c r="U34" s="49">
        <f>民間設備製造1!K36</f>
        <v>2958</v>
      </c>
      <c r="V34" s="49">
        <f t="shared" si="5"/>
        <v>111147</v>
      </c>
    </row>
    <row r="35" spans="1:22">
      <c r="A35" s="300">
        <v>215</v>
      </c>
      <c r="B35" s="92" t="s">
        <v>232</v>
      </c>
      <c r="C35" s="868">
        <v>264450</v>
      </c>
      <c r="D35" s="850">
        <v>159287</v>
      </c>
      <c r="E35" s="850">
        <v>35034</v>
      </c>
      <c r="F35" s="850">
        <v>47126</v>
      </c>
      <c r="G35" s="850">
        <v>6499</v>
      </c>
      <c r="H35" s="850">
        <v>41006</v>
      </c>
      <c r="I35" s="868">
        <v>-379</v>
      </c>
      <c r="J35" s="850">
        <v>10669</v>
      </c>
      <c r="K35" s="850">
        <v>252116</v>
      </c>
      <c r="L35" s="856">
        <v>12334</v>
      </c>
      <c r="M35" s="830">
        <v>232920</v>
      </c>
      <c r="N35" s="830">
        <v>216786</v>
      </c>
      <c r="O35" s="831">
        <v>-3800</v>
      </c>
      <c r="P35" s="293">
        <v>215</v>
      </c>
      <c r="Q35" s="878"/>
      <c r="R35" s="49">
        <f t="shared" si="3"/>
        <v>264450</v>
      </c>
      <c r="S35" s="49">
        <f t="shared" si="4"/>
        <v>0</v>
      </c>
      <c r="U35" s="49">
        <f>民間設備製造1!K37</f>
        <v>13093</v>
      </c>
      <c r="V35" s="49">
        <f t="shared" si="5"/>
        <v>224582</v>
      </c>
    </row>
    <row r="36" spans="1:22">
      <c r="A36" s="300">
        <v>218</v>
      </c>
      <c r="B36" s="90" t="s">
        <v>200</v>
      </c>
      <c r="C36" s="868">
        <v>237918</v>
      </c>
      <c r="D36" s="850">
        <v>93860</v>
      </c>
      <c r="E36" s="850">
        <v>20372</v>
      </c>
      <c r="F36" s="850">
        <v>42397</v>
      </c>
      <c r="G36" s="850">
        <v>4530</v>
      </c>
      <c r="H36" s="850">
        <v>38111</v>
      </c>
      <c r="I36" s="868">
        <v>-244</v>
      </c>
      <c r="J36" s="850">
        <v>6022</v>
      </c>
      <c r="K36" s="850">
        <v>162651</v>
      </c>
      <c r="L36" s="856">
        <v>75267</v>
      </c>
      <c r="M36" s="830">
        <v>203702</v>
      </c>
      <c r="N36" s="830">
        <v>139858</v>
      </c>
      <c r="O36" s="831">
        <v>11423</v>
      </c>
      <c r="P36" s="293">
        <v>218</v>
      </c>
      <c r="Q36" s="878"/>
      <c r="R36" s="49">
        <f t="shared" si="3"/>
        <v>237918</v>
      </c>
      <c r="S36" s="49">
        <f t="shared" si="4"/>
        <v>0</v>
      </c>
      <c r="U36" s="49">
        <f>民間設備製造1!K38</f>
        <v>20676</v>
      </c>
      <c r="V36" s="49">
        <f t="shared" si="5"/>
        <v>145460</v>
      </c>
    </row>
    <row r="37" spans="1:22">
      <c r="A37" s="300">
        <v>220</v>
      </c>
      <c r="B37" s="90" t="s">
        <v>201</v>
      </c>
      <c r="C37" s="868">
        <v>203411</v>
      </c>
      <c r="D37" s="850">
        <v>85093</v>
      </c>
      <c r="E37" s="850">
        <v>19049</v>
      </c>
      <c r="F37" s="850">
        <v>45589</v>
      </c>
      <c r="G37" s="850">
        <v>3599</v>
      </c>
      <c r="H37" s="850">
        <v>42223</v>
      </c>
      <c r="I37" s="868">
        <v>-233</v>
      </c>
      <c r="J37" s="850">
        <v>5706</v>
      </c>
      <c r="K37" s="850">
        <v>155437</v>
      </c>
      <c r="L37" s="856">
        <v>47974</v>
      </c>
      <c r="M37" s="830">
        <v>175013</v>
      </c>
      <c r="N37" s="830">
        <v>133655</v>
      </c>
      <c r="O37" s="831">
        <v>6616</v>
      </c>
      <c r="P37" s="293">
        <v>220</v>
      </c>
      <c r="Q37" s="878"/>
      <c r="R37" s="49">
        <f t="shared" si="3"/>
        <v>203411</v>
      </c>
      <c r="S37" s="49">
        <f t="shared" si="4"/>
        <v>0</v>
      </c>
      <c r="U37" s="49">
        <f>民間設備製造1!K39</f>
        <v>25846</v>
      </c>
      <c r="V37" s="49">
        <f t="shared" si="5"/>
        <v>139293</v>
      </c>
    </row>
    <row r="38" spans="1:22">
      <c r="A38" s="300">
        <v>228</v>
      </c>
      <c r="B38" s="90" t="s">
        <v>239</v>
      </c>
      <c r="C38" s="868">
        <v>247072</v>
      </c>
      <c r="D38" s="850">
        <v>82320</v>
      </c>
      <c r="E38" s="850">
        <v>19397</v>
      </c>
      <c r="F38" s="850">
        <v>36067</v>
      </c>
      <c r="G38" s="850">
        <v>5801</v>
      </c>
      <c r="H38" s="850">
        <v>30481</v>
      </c>
      <c r="I38" s="868">
        <v>-215</v>
      </c>
      <c r="J38" s="850">
        <v>5638</v>
      </c>
      <c r="K38" s="850">
        <v>143422</v>
      </c>
      <c r="L38" s="856">
        <v>103650</v>
      </c>
      <c r="M38" s="830">
        <v>210616</v>
      </c>
      <c r="N38" s="830">
        <v>123323</v>
      </c>
      <c r="O38" s="831">
        <v>16357</v>
      </c>
      <c r="P38" s="293">
        <v>228</v>
      </c>
      <c r="Q38" s="878"/>
      <c r="R38" s="49">
        <f t="shared" si="3"/>
        <v>247072</v>
      </c>
      <c r="S38" s="49">
        <f t="shared" si="4"/>
        <v>0</v>
      </c>
      <c r="U38" s="49">
        <f>民間設備製造1!K40</f>
        <v>14954</v>
      </c>
      <c r="V38" s="49">
        <f t="shared" si="5"/>
        <v>128110</v>
      </c>
    </row>
    <row r="39" spans="1:22">
      <c r="A39" s="300">
        <v>365</v>
      </c>
      <c r="B39" s="90" t="s">
        <v>233</v>
      </c>
      <c r="C39" s="868">
        <v>63308</v>
      </c>
      <c r="D39" s="850">
        <v>37271</v>
      </c>
      <c r="E39" s="850">
        <v>14253</v>
      </c>
      <c r="F39" s="850">
        <v>8901</v>
      </c>
      <c r="G39" s="850">
        <v>593</v>
      </c>
      <c r="H39" s="850">
        <v>8403</v>
      </c>
      <c r="I39" s="868">
        <v>-95</v>
      </c>
      <c r="J39" s="850">
        <v>2879</v>
      </c>
      <c r="K39" s="850">
        <v>63304</v>
      </c>
      <c r="L39" s="856">
        <v>4</v>
      </c>
      <c r="M39" s="830">
        <v>58838</v>
      </c>
      <c r="N39" s="830">
        <v>54433</v>
      </c>
      <c r="O39" s="831">
        <v>-4401</v>
      </c>
      <c r="P39" s="293">
        <v>365</v>
      </c>
      <c r="Q39" s="878"/>
      <c r="R39" s="49">
        <f t="shared" si="3"/>
        <v>63308</v>
      </c>
      <c r="S39" s="49">
        <f t="shared" si="4"/>
        <v>0</v>
      </c>
      <c r="U39" s="49">
        <f>民間設備製造1!K41</f>
        <v>1301</v>
      </c>
      <c r="V39" s="49">
        <f t="shared" si="5"/>
        <v>56297</v>
      </c>
    </row>
    <row r="40" spans="1:22">
      <c r="A40" s="301">
        <v>5</v>
      </c>
      <c r="B40" s="306" t="s">
        <v>202</v>
      </c>
      <c r="C40" s="864">
        <v>2534302</v>
      </c>
      <c r="D40" s="827">
        <v>1252027</v>
      </c>
      <c r="E40" s="827">
        <v>234997</v>
      </c>
      <c r="F40" s="827">
        <v>529538</v>
      </c>
      <c r="G40" s="827">
        <v>94989</v>
      </c>
      <c r="H40" s="827">
        <v>437727</v>
      </c>
      <c r="I40" s="827">
        <v>-3178</v>
      </c>
      <c r="J40" s="827">
        <v>100285</v>
      </c>
      <c r="K40" s="827">
        <v>2116847</v>
      </c>
      <c r="L40" s="855">
        <v>417455</v>
      </c>
      <c r="M40" s="827">
        <v>2179278</v>
      </c>
      <c r="N40" s="827">
        <v>1820203</v>
      </c>
      <c r="O40" s="828">
        <v>58380</v>
      </c>
      <c r="P40" s="293">
        <v>5</v>
      </c>
      <c r="Q40" s="878"/>
      <c r="R40" s="49">
        <f t="shared" si="3"/>
        <v>2534302</v>
      </c>
      <c r="S40" s="49">
        <f t="shared" si="4"/>
        <v>0</v>
      </c>
      <c r="U40" s="49">
        <f>民間設備製造1!K42</f>
        <v>207953</v>
      </c>
      <c r="V40" s="49">
        <f t="shared" si="5"/>
        <v>1890251</v>
      </c>
    </row>
    <row r="41" spans="1:22">
      <c r="A41" s="300">
        <v>201</v>
      </c>
      <c r="B41" s="92" t="s">
        <v>240</v>
      </c>
      <c r="C41" s="868">
        <v>2304890</v>
      </c>
      <c r="D41" s="850">
        <v>1169023</v>
      </c>
      <c r="E41" s="850">
        <v>209305</v>
      </c>
      <c r="F41" s="850">
        <v>492908</v>
      </c>
      <c r="G41" s="850">
        <v>91412</v>
      </c>
      <c r="H41" s="850">
        <v>404443</v>
      </c>
      <c r="I41" s="868">
        <v>-2947</v>
      </c>
      <c r="J41" s="850">
        <v>91653</v>
      </c>
      <c r="K41" s="850">
        <v>1962889</v>
      </c>
      <c r="L41" s="856">
        <v>342001</v>
      </c>
      <c r="M41" s="830">
        <v>1979683</v>
      </c>
      <c r="N41" s="830">
        <v>1687819</v>
      </c>
      <c r="O41" s="831">
        <v>50137</v>
      </c>
      <c r="P41" s="293">
        <v>201</v>
      </c>
      <c r="Q41" s="878"/>
      <c r="R41" s="49">
        <f t="shared" si="3"/>
        <v>2304890</v>
      </c>
      <c r="S41" s="49">
        <f t="shared" si="4"/>
        <v>0</v>
      </c>
      <c r="U41" s="49">
        <f>民間設備製造1!K43</f>
        <v>191308</v>
      </c>
      <c r="V41" s="49">
        <f t="shared" si="5"/>
        <v>1752701</v>
      </c>
    </row>
    <row r="42" spans="1:22">
      <c r="A42" s="300">
        <v>442</v>
      </c>
      <c r="B42" s="90" t="s">
        <v>203</v>
      </c>
      <c r="C42" s="868">
        <v>35406</v>
      </c>
      <c r="D42" s="850">
        <v>24125</v>
      </c>
      <c r="E42" s="850">
        <v>7115</v>
      </c>
      <c r="F42" s="850">
        <v>6704</v>
      </c>
      <c r="G42" s="850">
        <v>783</v>
      </c>
      <c r="H42" s="850">
        <v>5979</v>
      </c>
      <c r="I42" s="868">
        <v>-58</v>
      </c>
      <c r="J42" s="850">
        <v>821</v>
      </c>
      <c r="K42" s="850">
        <v>38765</v>
      </c>
      <c r="L42" s="856">
        <v>-3359</v>
      </c>
      <c r="M42" s="830">
        <v>32457</v>
      </c>
      <c r="N42" s="830">
        <v>33333</v>
      </c>
      <c r="O42" s="831">
        <v>-2483</v>
      </c>
      <c r="P42" s="293">
        <v>442</v>
      </c>
      <c r="Q42" s="878"/>
      <c r="R42" s="49">
        <f t="shared" si="3"/>
        <v>35406</v>
      </c>
      <c r="S42" s="49">
        <f t="shared" si="4"/>
        <v>0</v>
      </c>
      <c r="U42" s="49">
        <f>民間設備製造1!K44</f>
        <v>1672</v>
      </c>
      <c r="V42" s="49">
        <f t="shared" si="5"/>
        <v>34516</v>
      </c>
    </row>
    <row r="43" spans="1:22">
      <c r="A43" s="300">
        <v>443</v>
      </c>
      <c r="B43" s="90" t="s">
        <v>204</v>
      </c>
      <c r="C43" s="868">
        <v>163940</v>
      </c>
      <c r="D43" s="850">
        <v>37810</v>
      </c>
      <c r="E43" s="850">
        <v>9556</v>
      </c>
      <c r="F43" s="850">
        <v>24471</v>
      </c>
      <c r="G43" s="850">
        <v>2011</v>
      </c>
      <c r="H43" s="850">
        <v>22575</v>
      </c>
      <c r="I43" s="868">
        <v>-115</v>
      </c>
      <c r="J43" s="850">
        <v>4483</v>
      </c>
      <c r="K43" s="850">
        <v>76320</v>
      </c>
      <c r="L43" s="856">
        <v>87620</v>
      </c>
      <c r="M43" s="830">
        <v>138012</v>
      </c>
      <c r="N43" s="830">
        <v>65625</v>
      </c>
      <c r="O43" s="831">
        <v>15233</v>
      </c>
      <c r="P43" s="293">
        <v>443</v>
      </c>
      <c r="Q43" s="878"/>
      <c r="R43" s="49">
        <f t="shared" si="3"/>
        <v>163940</v>
      </c>
      <c r="S43" s="49">
        <f t="shared" si="4"/>
        <v>0</v>
      </c>
      <c r="U43" s="49">
        <f>民間設備製造1!K45</f>
        <v>14624</v>
      </c>
      <c r="V43" s="49">
        <f t="shared" si="5"/>
        <v>68484</v>
      </c>
    </row>
    <row r="44" spans="1:22">
      <c r="A44" s="302">
        <v>446</v>
      </c>
      <c r="B44" s="201" t="s">
        <v>234</v>
      </c>
      <c r="C44" s="872">
        <v>30066</v>
      </c>
      <c r="D44" s="885">
        <v>21069</v>
      </c>
      <c r="E44" s="885">
        <v>9021</v>
      </c>
      <c r="F44" s="885">
        <v>5455</v>
      </c>
      <c r="G44" s="885">
        <v>783</v>
      </c>
      <c r="H44" s="885">
        <v>4730</v>
      </c>
      <c r="I44" s="872">
        <v>-58</v>
      </c>
      <c r="J44" s="885">
        <v>3328</v>
      </c>
      <c r="K44" s="885">
        <v>38873</v>
      </c>
      <c r="L44" s="858">
        <v>-8807</v>
      </c>
      <c r="M44" s="837">
        <v>29126</v>
      </c>
      <c r="N44" s="837">
        <v>33426</v>
      </c>
      <c r="O44" s="835">
        <v>-4507</v>
      </c>
      <c r="P44" s="293">
        <v>446</v>
      </c>
      <c r="Q44" s="878"/>
      <c r="R44" s="49">
        <f t="shared" si="3"/>
        <v>30066</v>
      </c>
      <c r="S44" s="49">
        <f t="shared" si="4"/>
        <v>0</v>
      </c>
      <c r="U44" s="49">
        <f>民間設備製造1!K46</f>
        <v>349</v>
      </c>
      <c r="V44" s="49">
        <f t="shared" si="5"/>
        <v>34550</v>
      </c>
    </row>
    <row r="45" spans="1:22">
      <c r="A45" s="300">
        <v>6</v>
      </c>
      <c r="B45" s="91" t="s">
        <v>205</v>
      </c>
      <c r="C45" s="868">
        <v>984203</v>
      </c>
      <c r="D45" s="830">
        <v>527964</v>
      </c>
      <c r="E45" s="830">
        <v>124401</v>
      </c>
      <c r="F45" s="830">
        <v>190064</v>
      </c>
      <c r="G45" s="830">
        <v>21827</v>
      </c>
      <c r="H45" s="830">
        <v>169562</v>
      </c>
      <c r="I45" s="830">
        <v>-1325</v>
      </c>
      <c r="J45" s="830">
        <v>40425</v>
      </c>
      <c r="K45" s="830">
        <v>882854</v>
      </c>
      <c r="L45" s="856">
        <v>101349</v>
      </c>
      <c r="M45" s="830">
        <v>863717</v>
      </c>
      <c r="N45" s="830">
        <v>759135</v>
      </c>
      <c r="O45" s="831">
        <v>-3233</v>
      </c>
      <c r="P45" s="293">
        <v>6</v>
      </c>
      <c r="Q45" s="878"/>
      <c r="R45" s="49">
        <f t="shared" si="3"/>
        <v>984203</v>
      </c>
      <c r="S45" s="49">
        <f t="shared" si="4"/>
        <v>0</v>
      </c>
      <c r="U45" s="49">
        <f>民間設備製造1!K47</f>
        <v>73093</v>
      </c>
      <c r="V45" s="49">
        <f t="shared" si="5"/>
        <v>787710</v>
      </c>
    </row>
    <row r="46" spans="1:22">
      <c r="A46" s="300">
        <v>208</v>
      </c>
      <c r="B46" s="90" t="s">
        <v>206</v>
      </c>
      <c r="C46" s="868">
        <v>115247</v>
      </c>
      <c r="D46" s="850">
        <v>67458</v>
      </c>
      <c r="E46" s="850">
        <v>13607</v>
      </c>
      <c r="F46" s="850">
        <v>23221</v>
      </c>
      <c r="G46" s="850">
        <v>2519</v>
      </c>
      <c r="H46" s="850">
        <v>20866</v>
      </c>
      <c r="I46" s="868">
        <v>-164</v>
      </c>
      <c r="J46" s="850">
        <v>4781</v>
      </c>
      <c r="K46" s="850">
        <v>109067</v>
      </c>
      <c r="L46" s="856">
        <v>6180</v>
      </c>
      <c r="M46" s="830">
        <v>100636</v>
      </c>
      <c r="N46" s="830">
        <v>93783</v>
      </c>
      <c r="O46" s="831">
        <v>-673</v>
      </c>
      <c r="P46" s="293">
        <v>208</v>
      </c>
      <c r="Q46" s="878"/>
      <c r="R46" s="49">
        <f t="shared" si="3"/>
        <v>115247</v>
      </c>
      <c r="S46" s="49">
        <f t="shared" si="4"/>
        <v>0</v>
      </c>
      <c r="U46" s="49">
        <f>民間設備製造1!K48</f>
        <v>8944</v>
      </c>
      <c r="V46" s="49">
        <f t="shared" si="5"/>
        <v>97309</v>
      </c>
    </row>
    <row r="47" spans="1:22">
      <c r="A47" s="300">
        <v>212</v>
      </c>
      <c r="B47" s="90" t="s">
        <v>207</v>
      </c>
      <c r="C47" s="868">
        <v>216481</v>
      </c>
      <c r="D47" s="850">
        <v>104034</v>
      </c>
      <c r="E47" s="850">
        <v>24201</v>
      </c>
      <c r="F47" s="850">
        <v>57538</v>
      </c>
      <c r="G47" s="850">
        <v>4933</v>
      </c>
      <c r="H47" s="850">
        <v>52901</v>
      </c>
      <c r="I47" s="868">
        <v>-296</v>
      </c>
      <c r="J47" s="850">
        <v>11650</v>
      </c>
      <c r="K47" s="850">
        <v>197423</v>
      </c>
      <c r="L47" s="856">
        <v>19058</v>
      </c>
      <c r="M47" s="830">
        <v>188320</v>
      </c>
      <c r="N47" s="830">
        <v>169757</v>
      </c>
      <c r="O47" s="831">
        <v>495</v>
      </c>
      <c r="P47" s="293">
        <v>212</v>
      </c>
      <c r="Q47" s="878"/>
      <c r="R47" s="49">
        <f t="shared" si="3"/>
        <v>216481</v>
      </c>
      <c r="S47" s="49">
        <f t="shared" si="4"/>
        <v>0</v>
      </c>
      <c r="U47" s="49">
        <f>民間設備製造1!K49</f>
        <v>32066</v>
      </c>
      <c r="V47" s="49">
        <f t="shared" si="5"/>
        <v>176884</v>
      </c>
    </row>
    <row r="48" spans="1:22">
      <c r="A48" s="300">
        <v>227</v>
      </c>
      <c r="B48" s="90" t="s">
        <v>219</v>
      </c>
      <c r="C48" s="868">
        <v>119992</v>
      </c>
      <c r="D48" s="850">
        <v>71208</v>
      </c>
      <c r="E48" s="850">
        <v>23454</v>
      </c>
      <c r="F48" s="850">
        <v>20460</v>
      </c>
      <c r="G48" s="850">
        <v>3112</v>
      </c>
      <c r="H48" s="850">
        <v>17532</v>
      </c>
      <c r="I48" s="868">
        <v>-184</v>
      </c>
      <c r="J48" s="850">
        <v>7121</v>
      </c>
      <c r="K48" s="850">
        <v>122243</v>
      </c>
      <c r="L48" s="856">
        <v>-2251</v>
      </c>
      <c r="M48" s="830">
        <v>109652</v>
      </c>
      <c r="N48" s="830">
        <v>105112</v>
      </c>
      <c r="O48" s="831">
        <v>-6791</v>
      </c>
      <c r="P48" s="293">
        <v>227</v>
      </c>
      <c r="Q48" s="878"/>
      <c r="R48" s="49">
        <f t="shared" ref="R48:R65" si="6">D48+E48+F48+J48+L48</f>
        <v>119992</v>
      </c>
      <c r="S48" s="49">
        <f t="shared" ref="S48:S65" si="7">R48-C48</f>
        <v>0</v>
      </c>
      <c r="U48" s="49">
        <f>民間設備製造1!K50</f>
        <v>3882</v>
      </c>
      <c r="V48" s="49">
        <f t="shared" ref="V48:V65" si="8">D48+E48+G48+J48+U48</f>
        <v>108777</v>
      </c>
    </row>
    <row r="49" spans="1:22">
      <c r="A49" s="300">
        <v>229</v>
      </c>
      <c r="B49" s="90" t="s">
        <v>235</v>
      </c>
      <c r="C49" s="868">
        <v>328633</v>
      </c>
      <c r="D49" s="850">
        <v>152326</v>
      </c>
      <c r="E49" s="850">
        <v>30072</v>
      </c>
      <c r="F49" s="850">
        <v>52396</v>
      </c>
      <c r="G49" s="850">
        <v>6605</v>
      </c>
      <c r="H49" s="850">
        <v>46155</v>
      </c>
      <c r="I49" s="868">
        <v>-364</v>
      </c>
      <c r="J49" s="850">
        <v>7431</v>
      </c>
      <c r="K49" s="850">
        <v>242225</v>
      </c>
      <c r="L49" s="856">
        <v>86408</v>
      </c>
      <c r="M49" s="830">
        <v>282384</v>
      </c>
      <c r="N49" s="830">
        <v>208281</v>
      </c>
      <c r="O49" s="831">
        <v>12305</v>
      </c>
      <c r="P49" s="293">
        <v>229</v>
      </c>
      <c r="Q49" s="878"/>
      <c r="R49" s="49">
        <f t="shared" si="6"/>
        <v>328633</v>
      </c>
      <c r="S49" s="49">
        <f t="shared" si="7"/>
        <v>0</v>
      </c>
      <c r="U49" s="49">
        <f>民間設備製造1!K51</f>
        <v>19669</v>
      </c>
      <c r="V49" s="49">
        <f t="shared" si="8"/>
        <v>216103</v>
      </c>
    </row>
    <row r="50" spans="1:22">
      <c r="A50" s="300">
        <v>464</v>
      </c>
      <c r="B50" s="90" t="s">
        <v>208</v>
      </c>
      <c r="C50" s="868">
        <v>97127</v>
      </c>
      <c r="D50" s="850">
        <v>66830</v>
      </c>
      <c r="E50" s="850">
        <v>9709</v>
      </c>
      <c r="F50" s="850">
        <v>18213</v>
      </c>
      <c r="G50" s="850">
        <v>3218</v>
      </c>
      <c r="H50" s="850">
        <v>15140</v>
      </c>
      <c r="I50" s="868">
        <v>-145</v>
      </c>
      <c r="J50" s="850">
        <v>2053</v>
      </c>
      <c r="K50" s="850">
        <v>96805</v>
      </c>
      <c r="L50" s="856">
        <v>322</v>
      </c>
      <c r="M50" s="830">
        <v>83889</v>
      </c>
      <c r="N50" s="830">
        <v>83239</v>
      </c>
      <c r="O50" s="831">
        <v>-328</v>
      </c>
      <c r="P50" s="293">
        <v>464</v>
      </c>
      <c r="Q50" s="878"/>
      <c r="R50" s="49">
        <f t="shared" si="6"/>
        <v>97127</v>
      </c>
      <c r="S50" s="49">
        <f t="shared" si="7"/>
        <v>0</v>
      </c>
      <c r="U50" s="49">
        <f>民間設備製造1!K52</f>
        <v>4393</v>
      </c>
      <c r="V50" s="49">
        <f t="shared" si="8"/>
        <v>86203</v>
      </c>
    </row>
    <row r="51" spans="1:22">
      <c r="A51" s="300">
        <v>481</v>
      </c>
      <c r="B51" s="90" t="s">
        <v>209</v>
      </c>
      <c r="C51" s="868">
        <v>47325</v>
      </c>
      <c r="D51" s="850">
        <v>31926</v>
      </c>
      <c r="E51" s="850">
        <v>9036</v>
      </c>
      <c r="F51" s="850">
        <v>9244</v>
      </c>
      <c r="G51" s="850">
        <v>699</v>
      </c>
      <c r="H51" s="850">
        <v>8622</v>
      </c>
      <c r="I51" s="868">
        <v>-77</v>
      </c>
      <c r="J51" s="850">
        <v>1326</v>
      </c>
      <c r="K51" s="850">
        <v>51532</v>
      </c>
      <c r="L51" s="856">
        <v>-4207</v>
      </c>
      <c r="M51" s="830">
        <v>43134</v>
      </c>
      <c r="N51" s="830">
        <v>44311</v>
      </c>
      <c r="O51" s="831">
        <v>-3030</v>
      </c>
      <c r="P51" s="293">
        <v>481</v>
      </c>
      <c r="Q51" s="878"/>
      <c r="R51" s="49">
        <f t="shared" si="6"/>
        <v>47325</v>
      </c>
      <c r="S51" s="49">
        <f t="shared" si="7"/>
        <v>0</v>
      </c>
      <c r="U51" s="49">
        <f>民間設備製造1!K53</f>
        <v>2928</v>
      </c>
      <c r="V51" s="49">
        <f t="shared" si="8"/>
        <v>45915</v>
      </c>
    </row>
    <row r="52" spans="1:22">
      <c r="A52" s="300">
        <v>501</v>
      </c>
      <c r="B52" s="90" t="s">
        <v>236</v>
      </c>
      <c r="C52" s="868">
        <v>59398</v>
      </c>
      <c r="D52" s="850">
        <v>34182</v>
      </c>
      <c r="E52" s="850">
        <v>14322</v>
      </c>
      <c r="F52" s="850">
        <v>8992</v>
      </c>
      <c r="G52" s="850">
        <v>741</v>
      </c>
      <c r="H52" s="850">
        <v>8346</v>
      </c>
      <c r="I52" s="868">
        <v>-95</v>
      </c>
      <c r="J52" s="850">
        <v>6063</v>
      </c>
      <c r="K52" s="850">
        <v>63559</v>
      </c>
      <c r="L52" s="856">
        <v>-4161</v>
      </c>
      <c r="M52" s="830">
        <v>55702</v>
      </c>
      <c r="N52" s="830">
        <v>54652</v>
      </c>
      <c r="O52" s="831">
        <v>-5211</v>
      </c>
      <c r="P52" s="293">
        <v>501</v>
      </c>
      <c r="Q52" s="878"/>
      <c r="R52" s="49">
        <f t="shared" si="6"/>
        <v>59398</v>
      </c>
      <c r="S52" s="49">
        <f t="shared" si="7"/>
        <v>0</v>
      </c>
      <c r="U52" s="49">
        <f>民間設備製造1!K54</f>
        <v>1211</v>
      </c>
      <c r="V52" s="49">
        <f t="shared" si="8"/>
        <v>56519</v>
      </c>
    </row>
    <row r="53" spans="1:22">
      <c r="A53" s="301">
        <v>7</v>
      </c>
      <c r="B53" s="347" t="s">
        <v>210</v>
      </c>
      <c r="C53" s="864">
        <v>612526</v>
      </c>
      <c r="D53" s="875">
        <v>371615</v>
      </c>
      <c r="E53" s="875">
        <v>118645</v>
      </c>
      <c r="F53" s="827">
        <v>104503</v>
      </c>
      <c r="G53" s="875">
        <v>9737</v>
      </c>
      <c r="H53" s="875">
        <v>95729</v>
      </c>
      <c r="I53" s="864">
        <v>-963</v>
      </c>
      <c r="J53" s="875">
        <v>46997</v>
      </c>
      <c r="K53" s="827">
        <v>641760</v>
      </c>
      <c r="L53" s="855">
        <v>-29234</v>
      </c>
      <c r="M53" s="827">
        <v>559174</v>
      </c>
      <c r="N53" s="827">
        <v>551826</v>
      </c>
      <c r="O53" s="828">
        <v>-36582</v>
      </c>
      <c r="P53" s="293">
        <v>7</v>
      </c>
      <c r="Q53" s="878"/>
      <c r="R53" s="49">
        <f t="shared" si="6"/>
        <v>612526</v>
      </c>
      <c r="S53" s="49">
        <f t="shared" si="7"/>
        <v>0</v>
      </c>
      <c r="U53" s="49">
        <f>民間設備製造1!K55</f>
        <v>24250</v>
      </c>
      <c r="V53" s="49">
        <f t="shared" si="8"/>
        <v>571244</v>
      </c>
    </row>
    <row r="54" spans="1:22">
      <c r="A54" s="300">
        <v>209</v>
      </c>
      <c r="B54" s="90" t="s">
        <v>221</v>
      </c>
      <c r="C54" s="868">
        <v>294759</v>
      </c>
      <c r="D54" s="850">
        <v>180882</v>
      </c>
      <c r="E54" s="850">
        <v>51606</v>
      </c>
      <c r="F54" s="850">
        <v>44497</v>
      </c>
      <c r="G54" s="850">
        <v>6139</v>
      </c>
      <c r="H54" s="850">
        <v>38800</v>
      </c>
      <c r="I54" s="868">
        <v>-442</v>
      </c>
      <c r="J54" s="850">
        <v>17298</v>
      </c>
      <c r="K54" s="850">
        <v>294283</v>
      </c>
      <c r="L54" s="856">
        <v>476</v>
      </c>
      <c r="M54" s="830">
        <v>266205</v>
      </c>
      <c r="N54" s="830">
        <v>253044</v>
      </c>
      <c r="O54" s="831">
        <v>-12685</v>
      </c>
      <c r="P54" s="293">
        <v>209</v>
      </c>
      <c r="Q54" s="878"/>
      <c r="R54" s="49">
        <f t="shared" si="6"/>
        <v>294759</v>
      </c>
      <c r="S54" s="49">
        <f t="shared" si="7"/>
        <v>0</v>
      </c>
      <c r="U54" s="49">
        <f>民間設備製造1!K56</f>
        <v>5772</v>
      </c>
      <c r="V54" s="49">
        <f t="shared" si="8"/>
        <v>261697</v>
      </c>
    </row>
    <row r="55" spans="1:22">
      <c r="A55" s="300">
        <v>222</v>
      </c>
      <c r="B55" s="90" t="s">
        <v>218</v>
      </c>
      <c r="C55" s="868">
        <v>90408</v>
      </c>
      <c r="D55" s="850">
        <v>52505</v>
      </c>
      <c r="E55" s="850">
        <v>18442</v>
      </c>
      <c r="F55" s="850">
        <v>18407</v>
      </c>
      <c r="G55" s="850">
        <v>868</v>
      </c>
      <c r="H55" s="850">
        <v>17683</v>
      </c>
      <c r="I55" s="868">
        <v>-144</v>
      </c>
      <c r="J55" s="850">
        <v>6722</v>
      </c>
      <c r="K55" s="850">
        <v>96076</v>
      </c>
      <c r="L55" s="856">
        <v>-5668</v>
      </c>
      <c r="M55" s="830">
        <v>83021</v>
      </c>
      <c r="N55" s="830">
        <v>82612</v>
      </c>
      <c r="O55" s="831">
        <v>-6077</v>
      </c>
      <c r="P55" s="293">
        <v>222</v>
      </c>
      <c r="Q55" s="878"/>
      <c r="R55" s="49">
        <f t="shared" si="6"/>
        <v>90408</v>
      </c>
      <c r="S55" s="49">
        <f t="shared" si="7"/>
        <v>0</v>
      </c>
      <c r="U55" s="49">
        <f>民間設備製造1!K57</f>
        <v>7147</v>
      </c>
      <c r="V55" s="49">
        <f t="shared" si="8"/>
        <v>85684</v>
      </c>
    </row>
    <row r="56" spans="1:22">
      <c r="A56" s="300">
        <v>225</v>
      </c>
      <c r="B56" s="90" t="s">
        <v>222</v>
      </c>
      <c r="C56" s="868">
        <v>128146</v>
      </c>
      <c r="D56" s="850">
        <v>69057</v>
      </c>
      <c r="E56" s="850">
        <v>22738</v>
      </c>
      <c r="F56" s="850">
        <v>26234</v>
      </c>
      <c r="G56" s="850">
        <v>1778</v>
      </c>
      <c r="H56" s="850">
        <v>24651</v>
      </c>
      <c r="I56" s="868">
        <v>-195</v>
      </c>
      <c r="J56" s="850">
        <v>11944</v>
      </c>
      <c r="K56" s="850">
        <v>129973</v>
      </c>
      <c r="L56" s="856">
        <v>-1827</v>
      </c>
      <c r="M56" s="830">
        <v>115891</v>
      </c>
      <c r="N56" s="830">
        <v>111759</v>
      </c>
      <c r="O56" s="831">
        <v>-5959</v>
      </c>
      <c r="P56" s="293">
        <v>225</v>
      </c>
      <c r="Q56" s="878"/>
      <c r="R56" s="49">
        <f t="shared" si="6"/>
        <v>128146</v>
      </c>
      <c r="S56" s="49">
        <f t="shared" si="7"/>
        <v>0</v>
      </c>
      <c r="U56" s="49">
        <f>民間設備製造1!K58</f>
        <v>10434</v>
      </c>
      <c r="V56" s="49">
        <f t="shared" si="8"/>
        <v>115951</v>
      </c>
    </row>
    <row r="57" spans="1:22">
      <c r="A57" s="300">
        <v>585</v>
      </c>
      <c r="B57" s="90" t="s">
        <v>220</v>
      </c>
      <c r="C57" s="868">
        <v>55623</v>
      </c>
      <c r="D57" s="850">
        <v>37385</v>
      </c>
      <c r="E57" s="850">
        <v>14214</v>
      </c>
      <c r="F57" s="850">
        <v>8583</v>
      </c>
      <c r="G57" s="850">
        <v>529</v>
      </c>
      <c r="H57" s="850">
        <v>8155</v>
      </c>
      <c r="I57" s="868">
        <v>-101</v>
      </c>
      <c r="J57" s="850">
        <v>7407</v>
      </c>
      <c r="K57" s="850">
        <v>67589</v>
      </c>
      <c r="L57" s="856">
        <v>-11966</v>
      </c>
      <c r="M57" s="830">
        <v>52584</v>
      </c>
      <c r="N57" s="830">
        <v>58117</v>
      </c>
      <c r="O57" s="831">
        <v>-6433</v>
      </c>
      <c r="P57" s="293">
        <v>585</v>
      </c>
      <c r="Q57" s="878"/>
      <c r="R57" s="49">
        <f t="shared" si="6"/>
        <v>55623</v>
      </c>
      <c r="S57" s="49">
        <f t="shared" si="7"/>
        <v>0</v>
      </c>
      <c r="U57" s="49">
        <f>民間設備製造1!K59</f>
        <v>532</v>
      </c>
      <c r="V57" s="49">
        <f t="shared" si="8"/>
        <v>60067</v>
      </c>
    </row>
    <row r="58" spans="1:22">
      <c r="A58" s="302">
        <v>586</v>
      </c>
      <c r="B58" s="201" t="s">
        <v>237</v>
      </c>
      <c r="C58" s="872">
        <v>43590</v>
      </c>
      <c r="D58" s="885">
        <v>31786</v>
      </c>
      <c r="E58" s="885">
        <v>11645</v>
      </c>
      <c r="F58" s="885">
        <v>6782</v>
      </c>
      <c r="G58" s="885">
        <v>423</v>
      </c>
      <c r="H58" s="885">
        <v>6440</v>
      </c>
      <c r="I58" s="872">
        <v>-81</v>
      </c>
      <c r="J58" s="885">
        <v>3626</v>
      </c>
      <c r="K58" s="885">
        <v>53839</v>
      </c>
      <c r="L58" s="858">
        <v>-10249</v>
      </c>
      <c r="M58" s="837">
        <v>41473</v>
      </c>
      <c r="N58" s="837">
        <v>46294</v>
      </c>
      <c r="O58" s="835">
        <v>-5428</v>
      </c>
      <c r="P58" s="293">
        <v>586</v>
      </c>
      <c r="Q58" s="878"/>
      <c r="R58" s="49">
        <f t="shared" si="6"/>
        <v>43590</v>
      </c>
      <c r="S58" s="49">
        <f t="shared" si="7"/>
        <v>0</v>
      </c>
      <c r="U58" s="49">
        <f>民間設備製造1!K60</f>
        <v>365</v>
      </c>
      <c r="V58" s="49">
        <f t="shared" si="8"/>
        <v>47845</v>
      </c>
    </row>
    <row r="59" spans="1:22">
      <c r="A59" s="300">
        <v>8</v>
      </c>
      <c r="B59" s="86" t="s">
        <v>211</v>
      </c>
      <c r="C59" s="868">
        <v>391493</v>
      </c>
      <c r="D59" s="850">
        <v>228716</v>
      </c>
      <c r="E59" s="850">
        <v>63283</v>
      </c>
      <c r="F59" s="830">
        <v>87520</v>
      </c>
      <c r="G59" s="850">
        <v>6775</v>
      </c>
      <c r="H59" s="850">
        <v>81373</v>
      </c>
      <c r="I59" s="868">
        <v>-628</v>
      </c>
      <c r="J59" s="850">
        <v>38967</v>
      </c>
      <c r="K59" s="830">
        <v>418486</v>
      </c>
      <c r="L59" s="856">
        <v>-26993</v>
      </c>
      <c r="M59" s="830">
        <v>350809</v>
      </c>
      <c r="N59" s="830">
        <v>359841</v>
      </c>
      <c r="O59" s="831">
        <v>-17961</v>
      </c>
      <c r="P59" s="293">
        <v>8</v>
      </c>
      <c r="Q59" s="878"/>
      <c r="R59" s="49">
        <f t="shared" si="6"/>
        <v>391493</v>
      </c>
      <c r="S59" s="49">
        <f t="shared" si="7"/>
        <v>0</v>
      </c>
      <c r="U59" s="49">
        <f>民間設備製造1!K61</f>
        <v>35695</v>
      </c>
      <c r="V59" s="49">
        <f t="shared" si="8"/>
        <v>373436</v>
      </c>
    </row>
    <row r="60" spans="1:22">
      <c r="A60" s="300">
        <v>221</v>
      </c>
      <c r="B60" s="90" t="s">
        <v>1144</v>
      </c>
      <c r="C60" s="868">
        <v>145452</v>
      </c>
      <c r="D60" s="850">
        <v>92758</v>
      </c>
      <c r="E60" s="850">
        <v>26117</v>
      </c>
      <c r="F60" s="850">
        <v>24704</v>
      </c>
      <c r="G60" s="850">
        <v>3324</v>
      </c>
      <c r="H60" s="850">
        <v>21606</v>
      </c>
      <c r="I60" s="868">
        <v>-226</v>
      </c>
      <c r="J60" s="850">
        <v>7031</v>
      </c>
      <c r="K60" s="850">
        <v>150610</v>
      </c>
      <c r="L60" s="856">
        <v>-5158</v>
      </c>
      <c r="M60" s="830">
        <v>131704</v>
      </c>
      <c r="N60" s="830">
        <v>129504</v>
      </c>
      <c r="O60" s="831">
        <v>-7358</v>
      </c>
      <c r="P60" s="293">
        <v>221</v>
      </c>
      <c r="Q60" s="878"/>
      <c r="R60" s="49">
        <f t="shared" si="6"/>
        <v>145452</v>
      </c>
      <c r="S60" s="49">
        <f t="shared" si="7"/>
        <v>0</v>
      </c>
      <c r="U60" s="49">
        <f>民間設備製造1!K62</f>
        <v>4790</v>
      </c>
      <c r="V60" s="49">
        <f t="shared" si="8"/>
        <v>134020</v>
      </c>
    </row>
    <row r="61" spans="1:22">
      <c r="A61" s="300">
        <v>223</v>
      </c>
      <c r="B61" s="90" t="s">
        <v>223</v>
      </c>
      <c r="C61" s="868">
        <v>246041</v>
      </c>
      <c r="D61" s="850">
        <v>135958</v>
      </c>
      <c r="E61" s="850">
        <v>37166</v>
      </c>
      <c r="F61" s="850">
        <v>62816</v>
      </c>
      <c r="G61" s="850">
        <v>3451</v>
      </c>
      <c r="H61" s="850">
        <v>59767</v>
      </c>
      <c r="I61" s="868">
        <v>-402</v>
      </c>
      <c r="J61" s="850">
        <v>31936</v>
      </c>
      <c r="K61" s="850">
        <v>267876</v>
      </c>
      <c r="L61" s="856">
        <v>-21835</v>
      </c>
      <c r="M61" s="830">
        <v>219105</v>
      </c>
      <c r="N61" s="830">
        <v>230337</v>
      </c>
      <c r="O61" s="831">
        <v>-10603</v>
      </c>
      <c r="P61" s="293">
        <v>223</v>
      </c>
      <c r="Q61" s="878"/>
      <c r="R61" s="49">
        <f t="shared" si="6"/>
        <v>246041</v>
      </c>
      <c r="S61" s="49">
        <f t="shared" si="7"/>
        <v>0</v>
      </c>
      <c r="U61" s="49">
        <f>民間設備製造1!K63</f>
        <v>30905</v>
      </c>
      <c r="V61" s="49">
        <f t="shared" si="8"/>
        <v>239416</v>
      </c>
    </row>
    <row r="62" spans="1:22">
      <c r="A62" s="301">
        <v>9</v>
      </c>
      <c r="B62" s="346" t="s">
        <v>212</v>
      </c>
      <c r="C62" s="864">
        <v>443917</v>
      </c>
      <c r="D62" s="875">
        <v>271606</v>
      </c>
      <c r="E62" s="875">
        <v>80385</v>
      </c>
      <c r="F62" s="827">
        <v>70289</v>
      </c>
      <c r="G62" s="875">
        <v>11537</v>
      </c>
      <c r="H62" s="875">
        <v>59441</v>
      </c>
      <c r="I62" s="864">
        <v>-689</v>
      </c>
      <c r="J62" s="875">
        <v>36406</v>
      </c>
      <c r="K62" s="827">
        <v>458686</v>
      </c>
      <c r="L62" s="855">
        <v>-14769</v>
      </c>
      <c r="M62" s="827">
        <v>402312</v>
      </c>
      <c r="N62" s="827">
        <v>394408</v>
      </c>
      <c r="O62" s="828">
        <v>-22673</v>
      </c>
      <c r="P62" s="293">
        <v>9</v>
      </c>
      <c r="Q62" s="878"/>
      <c r="R62" s="49">
        <f t="shared" si="6"/>
        <v>443917</v>
      </c>
      <c r="S62" s="49">
        <f t="shared" si="7"/>
        <v>0</v>
      </c>
      <c r="U62" s="49">
        <f>民間設備製造1!K64</f>
        <v>7912</v>
      </c>
      <c r="V62" s="49">
        <f t="shared" si="8"/>
        <v>407846</v>
      </c>
    </row>
    <row r="63" spans="1:22">
      <c r="A63" s="300">
        <v>205</v>
      </c>
      <c r="B63" s="92" t="s">
        <v>241</v>
      </c>
      <c r="C63" s="868">
        <v>154806</v>
      </c>
      <c r="D63" s="850">
        <v>93687</v>
      </c>
      <c r="E63" s="850">
        <v>24048</v>
      </c>
      <c r="F63" s="850">
        <v>23273</v>
      </c>
      <c r="G63" s="850">
        <v>3535</v>
      </c>
      <c r="H63" s="850">
        <v>19963</v>
      </c>
      <c r="I63" s="868">
        <v>-225</v>
      </c>
      <c r="J63" s="850">
        <v>8729</v>
      </c>
      <c r="K63" s="850">
        <v>149737</v>
      </c>
      <c r="L63" s="856">
        <v>5069</v>
      </c>
      <c r="M63" s="830">
        <v>138206</v>
      </c>
      <c r="N63" s="830">
        <v>128754</v>
      </c>
      <c r="O63" s="831">
        <v>-4383</v>
      </c>
      <c r="P63" s="293">
        <v>205</v>
      </c>
      <c r="Q63" s="878"/>
      <c r="R63" s="49">
        <f t="shared" si="6"/>
        <v>154806</v>
      </c>
      <c r="S63" s="49">
        <f t="shared" si="7"/>
        <v>0</v>
      </c>
      <c r="U63" s="49">
        <f>民間設備製造1!K65</f>
        <v>3169</v>
      </c>
      <c r="V63" s="49">
        <f t="shared" si="8"/>
        <v>133168</v>
      </c>
    </row>
    <row r="64" spans="1:22">
      <c r="A64" s="300">
        <v>224</v>
      </c>
      <c r="B64" s="90" t="s">
        <v>224</v>
      </c>
      <c r="C64" s="868">
        <v>153631</v>
      </c>
      <c r="D64" s="850">
        <v>87855</v>
      </c>
      <c r="E64" s="850">
        <v>26948</v>
      </c>
      <c r="F64" s="850">
        <v>23514</v>
      </c>
      <c r="G64" s="850">
        <v>4530</v>
      </c>
      <c r="H64" s="850">
        <v>19218</v>
      </c>
      <c r="I64" s="868">
        <v>-234</v>
      </c>
      <c r="J64" s="850">
        <v>17569</v>
      </c>
      <c r="K64" s="850">
        <v>155886</v>
      </c>
      <c r="L64" s="856">
        <v>-2255</v>
      </c>
      <c r="M64" s="830">
        <v>138775</v>
      </c>
      <c r="N64" s="830">
        <v>134041</v>
      </c>
      <c r="O64" s="831">
        <v>-6989</v>
      </c>
      <c r="P64" s="293">
        <v>224</v>
      </c>
      <c r="Q64" s="878"/>
      <c r="R64" s="49">
        <f t="shared" si="6"/>
        <v>153631</v>
      </c>
      <c r="S64" s="49">
        <f t="shared" si="7"/>
        <v>0</v>
      </c>
      <c r="U64" s="49">
        <f>民間設備製造1!K66</f>
        <v>1658</v>
      </c>
      <c r="V64" s="49">
        <f t="shared" si="8"/>
        <v>138560</v>
      </c>
    </row>
    <row r="65" spans="1:22">
      <c r="A65" s="302">
        <v>226</v>
      </c>
      <c r="B65" s="201" t="s">
        <v>225</v>
      </c>
      <c r="C65" s="872">
        <v>135480</v>
      </c>
      <c r="D65" s="885">
        <v>90064</v>
      </c>
      <c r="E65" s="885">
        <v>29389</v>
      </c>
      <c r="F65" s="885">
        <v>23502</v>
      </c>
      <c r="G65" s="885">
        <v>3472</v>
      </c>
      <c r="H65" s="885">
        <v>20260</v>
      </c>
      <c r="I65" s="872">
        <v>-230</v>
      </c>
      <c r="J65" s="885">
        <v>10108</v>
      </c>
      <c r="K65" s="885">
        <v>153063</v>
      </c>
      <c r="L65" s="858">
        <v>-17583</v>
      </c>
      <c r="M65" s="837">
        <v>125331</v>
      </c>
      <c r="N65" s="837">
        <v>131613</v>
      </c>
      <c r="O65" s="835">
        <v>-11301</v>
      </c>
      <c r="P65" s="293">
        <v>226</v>
      </c>
      <c r="Q65" s="878"/>
      <c r="R65" s="49">
        <f t="shared" si="6"/>
        <v>135480</v>
      </c>
      <c r="S65" s="49">
        <f t="shared" si="7"/>
        <v>0</v>
      </c>
      <c r="U65" s="49">
        <f>民間設備製造1!K67</f>
        <v>3085</v>
      </c>
      <c r="V65" s="49">
        <f t="shared" si="8"/>
        <v>136118</v>
      </c>
    </row>
    <row r="66" spans="1:22">
      <c r="A66" s="75"/>
      <c r="B66" s="75"/>
      <c r="C66" s="239"/>
      <c r="D66" s="239"/>
      <c r="E66" s="239"/>
      <c r="F66" s="239"/>
      <c r="G66" s="239"/>
      <c r="H66" s="239"/>
      <c r="I66" s="239"/>
      <c r="J66" s="239"/>
      <c r="K66" s="239"/>
      <c r="L66" s="239"/>
      <c r="M66" s="239"/>
      <c r="N66" s="239"/>
      <c r="O66" s="352" t="s">
        <v>1077</v>
      </c>
    </row>
    <row r="67" spans="1:22">
      <c r="A67" s="75"/>
      <c r="B67" s="75" t="s">
        <v>1309</v>
      </c>
      <c r="C67" s="239">
        <f>+SUM(C17:C65)/2+C16</f>
        <v>20741145</v>
      </c>
      <c r="D67" s="239">
        <f t="shared" ref="D67:O67" si="9">+SUM(D17:D65)/2+D16</f>
        <v>12910180</v>
      </c>
      <c r="E67" s="239">
        <f t="shared" si="9"/>
        <v>2450102</v>
      </c>
      <c r="F67" s="239">
        <f t="shared" si="9"/>
        <v>4239114</v>
      </c>
      <c r="G67" s="239">
        <f t="shared" si="9"/>
        <v>709621</v>
      </c>
      <c r="H67" s="239">
        <f t="shared" si="9"/>
        <v>3560077</v>
      </c>
      <c r="I67" s="239">
        <f t="shared" si="9"/>
        <v>-30584</v>
      </c>
      <c r="J67" s="239">
        <f t="shared" si="9"/>
        <v>771900</v>
      </c>
      <c r="K67" s="239">
        <f t="shared" si="9"/>
        <v>20371296</v>
      </c>
      <c r="L67" s="239">
        <f t="shared" si="9"/>
        <v>369849</v>
      </c>
      <c r="M67" s="239">
        <f t="shared" si="9"/>
        <v>18112027</v>
      </c>
      <c r="N67" s="239">
        <f t="shared" si="9"/>
        <v>17516554</v>
      </c>
      <c r="O67" s="239">
        <f t="shared" si="9"/>
        <v>-225624</v>
      </c>
    </row>
    <row r="68" spans="1:22">
      <c r="A68" s="75"/>
      <c r="B68" s="75" t="s">
        <v>1307</v>
      </c>
      <c r="C68" s="239">
        <f>名目県内総支出!P44</f>
        <v>20741145</v>
      </c>
      <c r="D68" s="239">
        <f>名目県内総支出!P6</f>
        <v>12910180</v>
      </c>
      <c r="E68" s="239">
        <f>名目県内総支出!P61</f>
        <v>2450102</v>
      </c>
      <c r="F68" s="239">
        <f>名目県内総支出!P28+名目県内総支出!P36</f>
        <v>4239114</v>
      </c>
      <c r="G68" s="239">
        <f>名目県内総支出!P29</f>
        <v>709621</v>
      </c>
      <c r="H68" s="239">
        <f>名目県内総支出!P30</f>
        <v>3560077</v>
      </c>
      <c r="I68" s="239">
        <f>名目県内総支出!P36</f>
        <v>-30584</v>
      </c>
      <c r="J68" s="239">
        <f>名目県内総支出!P31+名目県内総支出!P37</f>
        <v>771900</v>
      </c>
      <c r="K68" s="239">
        <f>名目県内総支出!P62</f>
        <v>20371295</v>
      </c>
      <c r="L68" s="239">
        <f>名目県内総支出!P63</f>
        <v>369850</v>
      </c>
      <c r="M68" s="239">
        <f>名目県内総支出!P39+名目県内総支出!P41+名目県内総支出!P64</f>
        <v>17915790.14776409</v>
      </c>
      <c r="N68" s="239">
        <f>名目県内総支出!P40</f>
        <v>17510351</v>
      </c>
      <c r="O68" s="239">
        <f>名目県内総支出!P43</f>
        <v>-225623</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1</v>
      </c>
      <c r="L69" s="838">
        <f t="shared" si="10"/>
        <v>-1</v>
      </c>
      <c r="M69" s="838">
        <f t="shared" si="10"/>
        <v>196236.85223590955</v>
      </c>
      <c r="N69" s="838">
        <f t="shared" si="10"/>
        <v>6203</v>
      </c>
      <c r="O69" s="838">
        <f t="shared" si="10"/>
        <v>-1</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9">
    <tabColor theme="9" tint="0.59999389629810485"/>
  </sheetPr>
  <dimension ref="A1:V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 style="49" customWidth="1"/>
    <col min="18" max="18" width="8.5" style="49" customWidth="1"/>
    <col min="19" max="20" width="4.2109375" style="49" customWidth="1"/>
    <col min="21" max="21" width="9.5703125" style="49" customWidth="1"/>
    <col min="22" max="22" width="8.92578125" style="49" customWidth="1"/>
    <col min="23" max="16384" width="8.7109375" style="49"/>
  </cols>
  <sheetData>
    <row r="1" spans="1:22">
      <c r="A1" s="86"/>
      <c r="B1" s="65" t="s">
        <v>124</v>
      </c>
      <c r="C1" s="239"/>
      <c r="D1" s="239"/>
      <c r="E1" s="239"/>
      <c r="F1" s="1878" t="str">
        <f>'24R5'!F1</f>
        <v>市町民経済計算試算(2026.3)</v>
      </c>
      <c r="G1" s="682"/>
      <c r="H1" s="239"/>
      <c r="I1" s="239"/>
      <c r="J1" s="239"/>
      <c r="K1" s="239"/>
      <c r="L1" s="239"/>
      <c r="M1" s="239"/>
      <c r="N1" s="239" t="s">
        <v>818</v>
      </c>
      <c r="O1" s="830"/>
      <c r="R1" s="851" t="s">
        <v>1344</v>
      </c>
      <c r="S1" s="843"/>
    </row>
    <row r="2" spans="1:22" ht="26.25" customHeight="1">
      <c r="A2" s="294"/>
      <c r="B2" s="296" t="s">
        <v>930</v>
      </c>
      <c r="C2" s="297" t="s">
        <v>817</v>
      </c>
      <c r="D2" s="275" t="s">
        <v>68</v>
      </c>
      <c r="E2" s="291" t="s">
        <v>1289</v>
      </c>
      <c r="F2" s="297" t="s">
        <v>69</v>
      </c>
      <c r="G2" s="291"/>
      <c r="H2" s="291"/>
      <c r="I2" s="817"/>
      <c r="J2" s="275" t="s">
        <v>70</v>
      </c>
      <c r="K2" s="275" t="s">
        <v>671</v>
      </c>
      <c r="L2" s="2310" t="s">
        <v>71</v>
      </c>
      <c r="M2" s="2311"/>
      <c r="N2" s="291"/>
      <c r="O2" s="817"/>
      <c r="P2" s="92"/>
      <c r="Q2" s="313"/>
      <c r="R2" s="852" t="s">
        <v>1345</v>
      </c>
      <c r="S2" s="908">
        <f>+SUM(C69:O69)</f>
        <v>-65447.653720028698</v>
      </c>
      <c r="T2" s="755"/>
      <c r="U2" s="839" t="s">
        <v>1343</v>
      </c>
      <c r="V2" s="841"/>
    </row>
    <row r="3" spans="1:22" ht="28.5">
      <c r="A3" s="357"/>
      <c r="B3" s="92" t="s">
        <v>931</v>
      </c>
      <c r="C3" s="351" t="s">
        <v>82</v>
      </c>
      <c r="D3" s="353"/>
      <c r="E3" s="352"/>
      <c r="F3" s="351" t="s">
        <v>83</v>
      </c>
      <c r="G3" s="297" t="s">
        <v>72</v>
      </c>
      <c r="H3" s="275" t="s">
        <v>73</v>
      </c>
      <c r="I3" s="817" t="s">
        <v>74</v>
      </c>
      <c r="J3" s="353"/>
      <c r="K3" s="853"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3">
        <v>21747193</v>
      </c>
      <c r="D4" s="865">
        <v>13068268</v>
      </c>
      <c r="E4" s="864">
        <v>2518395</v>
      </c>
      <c r="F4" s="862">
        <v>4531356</v>
      </c>
      <c r="G4" s="864">
        <v>746870</v>
      </c>
      <c r="H4" s="864">
        <v>3628849</v>
      </c>
      <c r="I4" s="865">
        <v>155637</v>
      </c>
      <c r="J4" s="863">
        <v>771815</v>
      </c>
      <c r="K4" s="863">
        <v>20889834</v>
      </c>
      <c r="L4" s="862">
        <v>857359</v>
      </c>
      <c r="M4" s="864">
        <v>17988315</v>
      </c>
      <c r="N4" s="864">
        <v>17377573</v>
      </c>
      <c r="O4" s="865">
        <v>246617</v>
      </c>
      <c r="P4" s="77"/>
      <c r="Q4" s="878"/>
      <c r="R4" s="807">
        <f t="shared" ref="R4:R14" si="0">D4+E4+F4+J4+L4</f>
        <v>21747193</v>
      </c>
      <c r="S4" s="807">
        <f t="shared" ref="S4:S14" si="1">R4-C4</f>
        <v>0</v>
      </c>
      <c r="T4" s="807"/>
      <c r="U4" s="49">
        <f>民間設備製造1!K6</f>
        <v>1316785.360226332</v>
      </c>
      <c r="V4" s="49">
        <f t="shared" ref="V4:V14" si="2">D4+E4+G4+J4+U4</f>
        <v>18422133.360226333</v>
      </c>
    </row>
    <row r="5" spans="1:22">
      <c r="A5" s="298">
        <v>100</v>
      </c>
      <c r="B5" s="75" t="s">
        <v>172</v>
      </c>
      <c r="C5" s="867">
        <v>6861821</v>
      </c>
      <c r="D5" s="869">
        <v>4015510</v>
      </c>
      <c r="E5" s="868">
        <v>721533</v>
      </c>
      <c r="F5" s="866">
        <v>1208811</v>
      </c>
      <c r="G5" s="868">
        <v>214843</v>
      </c>
      <c r="H5" s="868">
        <v>948794</v>
      </c>
      <c r="I5" s="869">
        <v>45174</v>
      </c>
      <c r="J5" s="867">
        <v>214704</v>
      </c>
      <c r="K5" s="867">
        <v>6160558</v>
      </c>
      <c r="L5" s="866">
        <v>701263</v>
      </c>
      <c r="M5" s="868">
        <v>5638555</v>
      </c>
      <c r="N5" s="868">
        <v>5124768</v>
      </c>
      <c r="O5" s="869">
        <v>187476</v>
      </c>
      <c r="P5" s="77">
        <v>100</v>
      </c>
      <c r="Q5" s="878"/>
      <c r="R5" s="807">
        <f t="shared" si="0"/>
        <v>6861821</v>
      </c>
      <c r="S5" s="807">
        <f t="shared" si="1"/>
        <v>0</v>
      </c>
      <c r="T5" s="807"/>
      <c r="U5" s="49">
        <f>民間設備製造1!K7</f>
        <v>170780.36022633198</v>
      </c>
      <c r="V5" s="49">
        <f t="shared" si="2"/>
        <v>5337370.3602263322</v>
      </c>
    </row>
    <row r="6" spans="1:22">
      <c r="A6" s="298">
        <v>1</v>
      </c>
      <c r="B6" s="75" t="s">
        <v>323</v>
      </c>
      <c r="C6" s="867">
        <v>3538433</v>
      </c>
      <c r="D6" s="869">
        <v>2601911</v>
      </c>
      <c r="E6" s="868">
        <v>451050</v>
      </c>
      <c r="F6" s="866">
        <v>789941</v>
      </c>
      <c r="G6" s="868">
        <v>170448</v>
      </c>
      <c r="H6" s="868">
        <v>589881</v>
      </c>
      <c r="I6" s="869">
        <v>29612</v>
      </c>
      <c r="J6" s="867">
        <v>147391</v>
      </c>
      <c r="K6" s="867">
        <v>3990293</v>
      </c>
      <c r="L6" s="866">
        <v>-451860</v>
      </c>
      <c r="M6" s="868">
        <v>2947875</v>
      </c>
      <c r="N6" s="868">
        <v>3319394</v>
      </c>
      <c r="O6" s="869">
        <v>-80341</v>
      </c>
      <c r="P6" s="77">
        <v>1</v>
      </c>
      <c r="Q6" s="878"/>
      <c r="R6" s="807">
        <f t="shared" si="0"/>
        <v>3538433</v>
      </c>
      <c r="S6" s="807">
        <f t="shared" si="1"/>
        <v>0</v>
      </c>
      <c r="T6" s="807"/>
      <c r="U6" s="49">
        <f>民間設備製造1!K8</f>
        <v>128530</v>
      </c>
      <c r="V6" s="49">
        <f t="shared" si="2"/>
        <v>3499330</v>
      </c>
    </row>
    <row r="7" spans="1:22">
      <c r="A7" s="298">
        <v>2</v>
      </c>
      <c r="B7" s="75" t="s">
        <v>324</v>
      </c>
      <c r="C7" s="867">
        <v>2053609</v>
      </c>
      <c r="D7" s="869">
        <v>1622211</v>
      </c>
      <c r="E7" s="868">
        <v>298556</v>
      </c>
      <c r="F7" s="866">
        <v>494154</v>
      </c>
      <c r="G7" s="868">
        <v>93191</v>
      </c>
      <c r="H7" s="868">
        <v>382676</v>
      </c>
      <c r="I7" s="869">
        <v>18287</v>
      </c>
      <c r="J7" s="867">
        <v>56831</v>
      </c>
      <c r="K7" s="867">
        <v>2471752</v>
      </c>
      <c r="L7" s="866">
        <v>-418143</v>
      </c>
      <c r="M7" s="868">
        <v>1729607</v>
      </c>
      <c r="N7" s="868">
        <v>2056170</v>
      </c>
      <c r="O7" s="869">
        <v>-91580</v>
      </c>
      <c r="P7" s="77">
        <v>2</v>
      </c>
      <c r="Q7" s="878"/>
      <c r="R7" s="807">
        <f t="shared" si="0"/>
        <v>2053609</v>
      </c>
      <c r="S7" s="807">
        <f t="shared" si="1"/>
        <v>0</v>
      </c>
      <c r="T7" s="807"/>
      <c r="U7" s="49">
        <f>民間設備製造1!K9</f>
        <v>90819</v>
      </c>
      <c r="V7" s="49">
        <f t="shared" si="2"/>
        <v>2161608</v>
      </c>
    </row>
    <row r="8" spans="1:22">
      <c r="A8" s="298">
        <v>3</v>
      </c>
      <c r="B8" s="75" t="s">
        <v>192</v>
      </c>
      <c r="C8" s="867">
        <v>2957502</v>
      </c>
      <c r="D8" s="869">
        <v>1603251</v>
      </c>
      <c r="E8" s="868">
        <v>275896</v>
      </c>
      <c r="F8" s="866">
        <v>740929</v>
      </c>
      <c r="G8" s="868">
        <v>95280</v>
      </c>
      <c r="H8" s="868">
        <v>624400</v>
      </c>
      <c r="I8" s="869">
        <v>21249</v>
      </c>
      <c r="J8" s="867">
        <v>56697</v>
      </c>
      <c r="K8" s="867">
        <v>2676773</v>
      </c>
      <c r="L8" s="866">
        <v>280729</v>
      </c>
      <c r="M8" s="868">
        <v>2412380</v>
      </c>
      <c r="N8" s="868">
        <v>2226721</v>
      </c>
      <c r="O8" s="869">
        <v>95070</v>
      </c>
      <c r="P8" s="77">
        <v>3</v>
      </c>
      <c r="Q8" s="878"/>
      <c r="R8" s="807">
        <f t="shared" si="0"/>
        <v>2957502</v>
      </c>
      <c r="S8" s="807">
        <f t="shared" si="1"/>
        <v>0</v>
      </c>
      <c r="T8" s="807"/>
      <c r="U8" s="49">
        <f>民間設備製造1!K10</f>
        <v>498925</v>
      </c>
      <c r="V8" s="49">
        <f t="shared" si="2"/>
        <v>2530049</v>
      </c>
    </row>
    <row r="9" spans="1:22">
      <c r="A9" s="298">
        <v>4</v>
      </c>
      <c r="B9" s="75" t="s">
        <v>325</v>
      </c>
      <c r="C9" s="867">
        <v>1197785</v>
      </c>
      <c r="D9" s="869">
        <v>546695</v>
      </c>
      <c r="E9" s="868">
        <v>127210</v>
      </c>
      <c r="F9" s="866">
        <v>221998</v>
      </c>
      <c r="G9" s="868">
        <v>31211</v>
      </c>
      <c r="H9" s="868">
        <v>183843</v>
      </c>
      <c r="I9" s="869">
        <v>6944</v>
      </c>
      <c r="J9" s="867">
        <v>38847</v>
      </c>
      <c r="K9" s="867">
        <v>934750</v>
      </c>
      <c r="L9" s="866">
        <v>263035</v>
      </c>
      <c r="M9" s="868">
        <v>984894</v>
      </c>
      <c r="N9" s="868">
        <v>777588</v>
      </c>
      <c r="O9" s="869">
        <v>55729</v>
      </c>
      <c r="P9" s="77">
        <v>4</v>
      </c>
      <c r="Q9" s="878"/>
      <c r="R9" s="807">
        <f t="shared" si="0"/>
        <v>1197785</v>
      </c>
      <c r="S9" s="807">
        <f t="shared" si="1"/>
        <v>0</v>
      </c>
      <c r="T9" s="807"/>
      <c r="U9" s="49">
        <f>民間設備製造1!K11</f>
        <v>78828</v>
      </c>
      <c r="V9" s="49">
        <f t="shared" si="2"/>
        <v>822791</v>
      </c>
    </row>
    <row r="10" spans="1:22">
      <c r="A10" s="298">
        <v>5</v>
      </c>
      <c r="B10" s="75" t="s">
        <v>326</v>
      </c>
      <c r="C10" s="867">
        <v>2608505</v>
      </c>
      <c r="D10" s="869">
        <v>1271525</v>
      </c>
      <c r="E10" s="868">
        <v>247406</v>
      </c>
      <c r="F10" s="866">
        <v>558306</v>
      </c>
      <c r="G10" s="868">
        <v>85805</v>
      </c>
      <c r="H10" s="868">
        <v>456399</v>
      </c>
      <c r="I10" s="869">
        <v>16102</v>
      </c>
      <c r="J10" s="867">
        <v>96567</v>
      </c>
      <c r="K10" s="867">
        <v>2173804</v>
      </c>
      <c r="L10" s="866">
        <v>434701</v>
      </c>
      <c r="M10" s="868">
        <v>2129782</v>
      </c>
      <c r="N10" s="868">
        <v>1808317</v>
      </c>
      <c r="O10" s="869">
        <v>113236</v>
      </c>
      <c r="P10" s="77">
        <v>5</v>
      </c>
      <c r="Q10" s="878"/>
      <c r="R10" s="807">
        <f t="shared" si="0"/>
        <v>2608505</v>
      </c>
      <c r="S10" s="807">
        <f t="shared" si="1"/>
        <v>0</v>
      </c>
      <c r="T10" s="807"/>
      <c r="U10" s="49">
        <f>民間設備製造1!K12</f>
        <v>207953</v>
      </c>
      <c r="V10" s="49">
        <f t="shared" si="2"/>
        <v>1909256</v>
      </c>
    </row>
    <row r="11" spans="1:22">
      <c r="A11" s="298">
        <v>6</v>
      </c>
      <c r="B11" s="75" t="s">
        <v>327</v>
      </c>
      <c r="C11" s="867">
        <v>1015903</v>
      </c>
      <c r="D11" s="869">
        <v>530687</v>
      </c>
      <c r="E11" s="868">
        <v>126909</v>
      </c>
      <c r="F11" s="866">
        <v>215407</v>
      </c>
      <c r="G11" s="868">
        <v>20683</v>
      </c>
      <c r="H11" s="868">
        <v>187903</v>
      </c>
      <c r="I11" s="869">
        <v>6821</v>
      </c>
      <c r="J11" s="867">
        <v>56632</v>
      </c>
      <c r="K11" s="867">
        <v>929635</v>
      </c>
      <c r="L11" s="866">
        <v>86268</v>
      </c>
      <c r="M11" s="868">
        <v>845031</v>
      </c>
      <c r="N11" s="868">
        <v>773333</v>
      </c>
      <c r="O11" s="869">
        <v>14570</v>
      </c>
      <c r="P11" s="77">
        <v>6</v>
      </c>
      <c r="Q11" s="878"/>
      <c r="R11" s="807">
        <f t="shared" si="0"/>
        <v>1015903</v>
      </c>
      <c r="S11" s="807">
        <f t="shared" si="1"/>
        <v>0</v>
      </c>
      <c r="T11" s="807"/>
      <c r="U11" s="49">
        <f>民間設備製造1!K13</f>
        <v>73093</v>
      </c>
      <c r="V11" s="49">
        <f t="shared" si="2"/>
        <v>808004</v>
      </c>
    </row>
    <row r="12" spans="1:22">
      <c r="A12" s="298">
        <v>7</v>
      </c>
      <c r="B12" s="75" t="s">
        <v>210</v>
      </c>
      <c r="C12" s="867">
        <v>630036</v>
      </c>
      <c r="D12" s="869">
        <v>373523</v>
      </c>
      <c r="E12" s="868">
        <v>118975</v>
      </c>
      <c r="F12" s="866">
        <v>108872</v>
      </c>
      <c r="G12" s="868">
        <v>11012</v>
      </c>
      <c r="H12" s="868">
        <v>93021</v>
      </c>
      <c r="I12" s="869">
        <v>4839</v>
      </c>
      <c r="J12" s="867">
        <v>44224</v>
      </c>
      <c r="K12" s="867">
        <v>645594</v>
      </c>
      <c r="L12" s="866">
        <v>-15558</v>
      </c>
      <c r="M12" s="868">
        <v>544585</v>
      </c>
      <c r="N12" s="868">
        <v>537049</v>
      </c>
      <c r="O12" s="869">
        <v>-23094</v>
      </c>
      <c r="P12" s="77">
        <v>7</v>
      </c>
      <c r="Q12" s="878"/>
      <c r="R12" s="807">
        <f t="shared" si="0"/>
        <v>630036</v>
      </c>
      <c r="S12" s="807">
        <f t="shared" si="1"/>
        <v>0</v>
      </c>
      <c r="T12" s="807"/>
      <c r="U12" s="49">
        <f>民間設備製造1!K14</f>
        <v>24250</v>
      </c>
      <c r="V12" s="49">
        <f t="shared" si="2"/>
        <v>571984</v>
      </c>
    </row>
    <row r="13" spans="1:22">
      <c r="A13" s="298">
        <v>8</v>
      </c>
      <c r="B13" s="75" t="s">
        <v>211</v>
      </c>
      <c r="C13" s="867">
        <v>418388</v>
      </c>
      <c r="D13" s="869">
        <v>230015</v>
      </c>
      <c r="E13" s="868">
        <v>65260</v>
      </c>
      <c r="F13" s="866">
        <v>109799</v>
      </c>
      <c r="G13" s="868">
        <v>11605</v>
      </c>
      <c r="H13" s="868">
        <v>95121</v>
      </c>
      <c r="I13" s="869">
        <v>3073</v>
      </c>
      <c r="J13" s="867">
        <v>21635</v>
      </c>
      <c r="K13" s="867">
        <v>426709</v>
      </c>
      <c r="L13" s="866">
        <v>-8321</v>
      </c>
      <c r="M13" s="868">
        <v>354638</v>
      </c>
      <c r="N13" s="868">
        <v>354965</v>
      </c>
      <c r="O13" s="869">
        <v>-7994</v>
      </c>
      <c r="P13" s="77">
        <v>8</v>
      </c>
      <c r="Q13" s="878"/>
      <c r="R13" s="807">
        <f t="shared" si="0"/>
        <v>418388</v>
      </c>
      <c r="S13" s="807">
        <f t="shared" si="1"/>
        <v>0</v>
      </c>
      <c r="T13" s="807"/>
      <c r="U13" s="49">
        <f>民間設備製造1!K15</f>
        <v>35695</v>
      </c>
      <c r="V13" s="49">
        <f t="shared" si="2"/>
        <v>364210</v>
      </c>
    </row>
    <row r="14" spans="1:22">
      <c r="A14" s="298">
        <v>9</v>
      </c>
      <c r="B14" s="75" t="s">
        <v>212</v>
      </c>
      <c r="C14" s="867">
        <v>465211</v>
      </c>
      <c r="D14" s="869">
        <v>272940</v>
      </c>
      <c r="E14" s="868">
        <v>85600</v>
      </c>
      <c r="F14" s="866">
        <v>83139</v>
      </c>
      <c r="G14" s="868">
        <v>12792</v>
      </c>
      <c r="H14" s="868">
        <v>66811</v>
      </c>
      <c r="I14" s="869">
        <v>3536</v>
      </c>
      <c r="J14" s="867">
        <v>38287</v>
      </c>
      <c r="K14" s="867">
        <v>479966</v>
      </c>
      <c r="L14" s="866">
        <v>-14755</v>
      </c>
      <c r="M14" s="868">
        <v>400968</v>
      </c>
      <c r="N14" s="868">
        <v>399268</v>
      </c>
      <c r="O14" s="869">
        <v>-16455</v>
      </c>
      <c r="P14" s="77">
        <v>9</v>
      </c>
      <c r="Q14" s="878"/>
      <c r="R14" s="807">
        <f t="shared" si="0"/>
        <v>465211</v>
      </c>
      <c r="S14" s="807">
        <f t="shared" si="1"/>
        <v>0</v>
      </c>
      <c r="T14" s="807"/>
      <c r="U14" s="49">
        <f>民間設備製造1!K16</f>
        <v>7912</v>
      </c>
      <c r="V14" s="49">
        <f t="shared" si="2"/>
        <v>417531</v>
      </c>
    </row>
    <row r="15" spans="1:22">
      <c r="A15" s="298"/>
      <c r="B15" s="87"/>
      <c r="C15" s="867" t="s">
        <v>839</v>
      </c>
      <c r="D15" s="869" t="s">
        <v>839</v>
      </c>
      <c r="E15" s="868" t="s">
        <v>839</v>
      </c>
      <c r="F15" s="866" t="s">
        <v>839</v>
      </c>
      <c r="G15" s="868" t="s">
        <v>839</v>
      </c>
      <c r="H15" s="868" t="s">
        <v>839</v>
      </c>
      <c r="I15" s="869" t="s">
        <v>839</v>
      </c>
      <c r="J15" s="867" t="s">
        <v>839</v>
      </c>
      <c r="K15" s="867" t="s">
        <v>1807</v>
      </c>
      <c r="L15" s="856" t="s">
        <v>839</v>
      </c>
      <c r="M15" s="830" t="s">
        <v>839</v>
      </c>
      <c r="N15" s="830" t="s">
        <v>839</v>
      </c>
      <c r="O15" s="831" t="s">
        <v>839</v>
      </c>
      <c r="P15" s="77" t="s">
        <v>811</v>
      </c>
      <c r="Q15" s="878"/>
      <c r="R15" s="807" t="s">
        <v>774</v>
      </c>
      <c r="S15" s="807" t="s">
        <v>11</v>
      </c>
      <c r="T15" s="807"/>
      <c r="U15" s="49" t="s">
        <v>1068</v>
      </c>
      <c r="V15" s="49" t="s">
        <v>811</v>
      </c>
    </row>
    <row r="16" spans="1:22">
      <c r="A16" s="299">
        <v>100</v>
      </c>
      <c r="B16" s="305" t="s">
        <v>172</v>
      </c>
      <c r="C16" s="879">
        <v>6861821</v>
      </c>
      <c r="D16" s="882">
        <v>4015510</v>
      </c>
      <c r="E16" s="883">
        <v>721533</v>
      </c>
      <c r="F16" s="884">
        <v>1208811</v>
      </c>
      <c r="G16" s="883">
        <v>214843</v>
      </c>
      <c r="H16" s="883">
        <v>948794</v>
      </c>
      <c r="I16" s="882">
        <v>45174</v>
      </c>
      <c r="J16" s="879">
        <v>214704</v>
      </c>
      <c r="K16" s="879">
        <v>6160558</v>
      </c>
      <c r="L16" s="855">
        <v>701263</v>
      </c>
      <c r="M16" s="833">
        <v>5638555</v>
      </c>
      <c r="N16" s="833">
        <v>5124768</v>
      </c>
      <c r="O16" s="828">
        <v>187476</v>
      </c>
      <c r="P16" s="293">
        <v>100</v>
      </c>
      <c r="Q16" s="878"/>
      <c r="R16" s="807">
        <f t="shared" ref="R16:R47" si="3">D16+E16+F16+J16+L16</f>
        <v>6861821</v>
      </c>
      <c r="S16" s="807">
        <f t="shared" ref="S16:S47" si="4">R16-C16</f>
        <v>0</v>
      </c>
      <c r="T16" s="807"/>
      <c r="U16" s="49">
        <f>民間設備製造1!K18</f>
        <v>170780.36022633198</v>
      </c>
      <c r="V16" s="49">
        <f t="shared" ref="V16:V47" si="5">D16+E16+G16+J16+U16</f>
        <v>5337370.3602263322</v>
      </c>
    </row>
    <row r="17" spans="1:22">
      <c r="A17" s="300">
        <v>1</v>
      </c>
      <c r="B17" s="65" t="s">
        <v>182</v>
      </c>
      <c r="C17" s="867">
        <v>3538433</v>
      </c>
      <c r="D17" s="869">
        <v>2601911</v>
      </c>
      <c r="E17" s="868">
        <v>451050</v>
      </c>
      <c r="F17" s="866">
        <v>789941</v>
      </c>
      <c r="G17" s="868">
        <v>170448</v>
      </c>
      <c r="H17" s="868">
        <v>589881</v>
      </c>
      <c r="I17" s="869">
        <v>29612</v>
      </c>
      <c r="J17" s="867">
        <v>147391</v>
      </c>
      <c r="K17" s="867">
        <v>3990293</v>
      </c>
      <c r="L17" s="862">
        <v>-451860</v>
      </c>
      <c r="M17" s="830">
        <v>2947875</v>
      </c>
      <c r="N17" s="830">
        <v>3319394</v>
      </c>
      <c r="O17" s="828">
        <v>-80341</v>
      </c>
      <c r="P17" s="293">
        <v>1</v>
      </c>
      <c r="Q17" s="878"/>
      <c r="R17" s="807">
        <f t="shared" si="3"/>
        <v>3538433</v>
      </c>
      <c r="S17" s="807">
        <f t="shared" si="4"/>
        <v>0</v>
      </c>
      <c r="T17" s="807"/>
      <c r="U17" s="49">
        <f>民間設備製造1!K19</f>
        <v>128530</v>
      </c>
      <c r="V17" s="49">
        <f t="shared" si="5"/>
        <v>3499330</v>
      </c>
    </row>
    <row r="18" spans="1:22">
      <c r="A18" s="300">
        <v>202</v>
      </c>
      <c r="B18" s="90" t="s">
        <v>183</v>
      </c>
      <c r="C18" s="867">
        <v>1891559</v>
      </c>
      <c r="D18" s="869">
        <v>1181523</v>
      </c>
      <c r="E18" s="868">
        <v>175056</v>
      </c>
      <c r="F18" s="866">
        <v>428258</v>
      </c>
      <c r="G18" s="868">
        <v>85828</v>
      </c>
      <c r="H18" s="868">
        <v>328715</v>
      </c>
      <c r="I18" s="869">
        <v>13715</v>
      </c>
      <c r="J18" s="867">
        <v>67003</v>
      </c>
      <c r="K18" s="867">
        <v>1851840</v>
      </c>
      <c r="L18" s="856">
        <v>39719</v>
      </c>
      <c r="M18" s="830">
        <v>1542197</v>
      </c>
      <c r="N18" s="830">
        <v>1540485</v>
      </c>
      <c r="O18" s="831">
        <v>38007</v>
      </c>
      <c r="P18" s="293">
        <v>202</v>
      </c>
      <c r="Q18" s="878"/>
      <c r="R18" s="807">
        <f t="shared" si="3"/>
        <v>1891559</v>
      </c>
      <c r="S18" s="807">
        <f t="shared" si="4"/>
        <v>0</v>
      </c>
      <c r="T18" s="807"/>
      <c r="U18" s="49">
        <f>民間設備製造1!K20</f>
        <v>113883</v>
      </c>
      <c r="V18" s="49">
        <f t="shared" si="5"/>
        <v>1623293</v>
      </c>
    </row>
    <row r="19" spans="1:22">
      <c r="A19" s="300">
        <v>204</v>
      </c>
      <c r="B19" s="90" t="s">
        <v>184</v>
      </c>
      <c r="C19" s="867">
        <v>1411171</v>
      </c>
      <c r="D19" s="869">
        <v>1184510</v>
      </c>
      <c r="E19" s="868">
        <v>222491</v>
      </c>
      <c r="F19" s="866">
        <v>308106</v>
      </c>
      <c r="G19" s="868">
        <v>77037</v>
      </c>
      <c r="H19" s="868">
        <v>217959</v>
      </c>
      <c r="I19" s="869">
        <v>13110</v>
      </c>
      <c r="J19" s="867">
        <v>48685</v>
      </c>
      <c r="K19" s="867">
        <v>1763792</v>
      </c>
      <c r="L19" s="856">
        <v>-352621</v>
      </c>
      <c r="M19" s="830">
        <v>1197361</v>
      </c>
      <c r="N19" s="830">
        <v>1467241</v>
      </c>
      <c r="O19" s="831">
        <v>-82741</v>
      </c>
      <c r="P19" s="293">
        <v>204</v>
      </c>
      <c r="Q19" s="878"/>
      <c r="R19" s="807">
        <f t="shared" si="3"/>
        <v>1411171</v>
      </c>
      <c r="S19" s="807">
        <f t="shared" si="4"/>
        <v>0</v>
      </c>
      <c r="T19" s="807"/>
      <c r="U19" s="49">
        <f>民間設備製造1!K21</f>
        <v>14514</v>
      </c>
      <c r="V19" s="49">
        <f t="shared" si="5"/>
        <v>1547237</v>
      </c>
    </row>
    <row r="20" spans="1:22">
      <c r="A20" s="300">
        <v>206</v>
      </c>
      <c r="B20" s="90" t="s">
        <v>185</v>
      </c>
      <c r="C20" s="867">
        <v>235703</v>
      </c>
      <c r="D20" s="869">
        <v>235878</v>
      </c>
      <c r="E20" s="868">
        <v>53503</v>
      </c>
      <c r="F20" s="866">
        <v>53577</v>
      </c>
      <c r="G20" s="868">
        <v>7583</v>
      </c>
      <c r="H20" s="868">
        <v>43207</v>
      </c>
      <c r="I20" s="869">
        <v>2787</v>
      </c>
      <c r="J20" s="867">
        <v>31703</v>
      </c>
      <c r="K20" s="867">
        <v>374661</v>
      </c>
      <c r="L20" s="858">
        <v>-138958</v>
      </c>
      <c r="M20" s="830">
        <v>208317</v>
      </c>
      <c r="N20" s="830">
        <v>311668</v>
      </c>
      <c r="O20" s="835">
        <v>-35607</v>
      </c>
      <c r="P20" s="293">
        <v>206</v>
      </c>
      <c r="Q20" s="878"/>
      <c r="R20" s="807">
        <f t="shared" si="3"/>
        <v>235703</v>
      </c>
      <c r="S20" s="807">
        <f t="shared" si="4"/>
        <v>0</v>
      </c>
      <c r="T20" s="807"/>
      <c r="U20" s="49">
        <f>民間設備製造1!K22</f>
        <v>133</v>
      </c>
      <c r="V20" s="49">
        <f t="shared" si="5"/>
        <v>328800</v>
      </c>
    </row>
    <row r="21" spans="1:22">
      <c r="A21" s="301">
        <v>2</v>
      </c>
      <c r="B21" s="128" t="s">
        <v>186</v>
      </c>
      <c r="C21" s="863">
        <v>2053609</v>
      </c>
      <c r="D21" s="865">
        <v>1622211</v>
      </c>
      <c r="E21" s="864">
        <v>298556</v>
      </c>
      <c r="F21" s="855">
        <v>494154</v>
      </c>
      <c r="G21" s="864">
        <v>93191</v>
      </c>
      <c r="H21" s="864">
        <v>382676</v>
      </c>
      <c r="I21" s="865">
        <v>18287</v>
      </c>
      <c r="J21" s="863">
        <v>56831</v>
      </c>
      <c r="K21" s="826">
        <v>2471752</v>
      </c>
      <c r="L21" s="856">
        <v>-418143</v>
      </c>
      <c r="M21" s="827">
        <v>1729607</v>
      </c>
      <c r="N21" s="827">
        <v>2056170</v>
      </c>
      <c r="O21" s="831">
        <v>-91580</v>
      </c>
      <c r="P21" s="293">
        <v>2</v>
      </c>
      <c r="Q21" s="878"/>
      <c r="R21" s="807">
        <f t="shared" si="3"/>
        <v>2053609</v>
      </c>
      <c r="S21" s="807">
        <f t="shared" si="4"/>
        <v>0</v>
      </c>
      <c r="T21" s="807"/>
      <c r="U21" s="49">
        <f>民間設備製造1!K23</f>
        <v>90819</v>
      </c>
      <c r="V21" s="49">
        <f t="shared" si="5"/>
        <v>2161608</v>
      </c>
    </row>
    <row r="22" spans="1:22">
      <c r="A22" s="300">
        <v>207</v>
      </c>
      <c r="B22" s="90" t="s">
        <v>187</v>
      </c>
      <c r="C22" s="867">
        <v>694796</v>
      </c>
      <c r="D22" s="869">
        <v>445260</v>
      </c>
      <c r="E22" s="868">
        <v>77044</v>
      </c>
      <c r="F22" s="866">
        <v>178071</v>
      </c>
      <c r="G22" s="868">
        <v>27935</v>
      </c>
      <c r="H22" s="868">
        <v>144959</v>
      </c>
      <c r="I22" s="869">
        <v>5177</v>
      </c>
      <c r="J22" s="867">
        <v>12067</v>
      </c>
      <c r="K22" s="867">
        <v>712442</v>
      </c>
      <c r="L22" s="856">
        <v>-17646</v>
      </c>
      <c r="M22" s="830">
        <v>572964</v>
      </c>
      <c r="N22" s="830">
        <v>592657</v>
      </c>
      <c r="O22" s="831">
        <v>2047</v>
      </c>
      <c r="P22" s="293">
        <v>207</v>
      </c>
      <c r="Q22" s="878"/>
      <c r="R22" s="807">
        <f t="shared" si="3"/>
        <v>694796</v>
      </c>
      <c r="S22" s="807">
        <f t="shared" si="4"/>
        <v>0</v>
      </c>
      <c r="T22" s="807"/>
      <c r="U22" s="49">
        <f>民間設備製造1!K24</f>
        <v>50803</v>
      </c>
      <c r="V22" s="49">
        <f t="shared" si="5"/>
        <v>613109</v>
      </c>
    </row>
    <row r="23" spans="1:22">
      <c r="A23" s="300">
        <v>214</v>
      </c>
      <c r="B23" s="90" t="s">
        <v>188</v>
      </c>
      <c r="C23" s="867">
        <v>488652</v>
      </c>
      <c r="D23" s="869">
        <v>531244</v>
      </c>
      <c r="E23" s="868">
        <v>92694</v>
      </c>
      <c r="F23" s="866">
        <v>129398</v>
      </c>
      <c r="G23" s="868">
        <v>32771</v>
      </c>
      <c r="H23" s="868">
        <v>90896</v>
      </c>
      <c r="I23" s="869">
        <v>5731</v>
      </c>
      <c r="J23" s="867">
        <v>16123</v>
      </c>
      <c r="K23" s="867">
        <v>769459</v>
      </c>
      <c r="L23" s="856">
        <v>-280807</v>
      </c>
      <c r="M23" s="830">
        <v>422590</v>
      </c>
      <c r="N23" s="830">
        <v>640088</v>
      </c>
      <c r="O23" s="831">
        <v>-63309</v>
      </c>
      <c r="P23" s="293">
        <v>214</v>
      </c>
      <c r="Q23" s="878"/>
      <c r="R23" s="807">
        <f t="shared" si="3"/>
        <v>488652</v>
      </c>
      <c r="S23" s="807">
        <f t="shared" si="4"/>
        <v>0</v>
      </c>
      <c r="T23" s="807"/>
      <c r="U23" s="49">
        <f>民間設備製造1!K25</f>
        <v>3394</v>
      </c>
      <c r="V23" s="49">
        <f t="shared" si="5"/>
        <v>676226</v>
      </c>
    </row>
    <row r="24" spans="1:22">
      <c r="A24" s="300">
        <v>217</v>
      </c>
      <c r="B24" s="90" t="s">
        <v>189</v>
      </c>
      <c r="C24" s="867">
        <v>334662</v>
      </c>
      <c r="D24" s="869">
        <v>353683</v>
      </c>
      <c r="E24" s="868">
        <v>60042</v>
      </c>
      <c r="F24" s="866">
        <v>81058</v>
      </c>
      <c r="G24" s="868">
        <v>15056</v>
      </c>
      <c r="H24" s="868">
        <v>62198</v>
      </c>
      <c r="I24" s="869">
        <v>3804</v>
      </c>
      <c r="J24" s="867">
        <v>15795</v>
      </c>
      <c r="K24" s="867">
        <v>510578</v>
      </c>
      <c r="L24" s="856">
        <v>-175916</v>
      </c>
      <c r="M24" s="830">
        <v>287665</v>
      </c>
      <c r="N24" s="830">
        <v>424733</v>
      </c>
      <c r="O24" s="831">
        <v>-38848</v>
      </c>
      <c r="P24" s="293">
        <v>217</v>
      </c>
      <c r="Q24" s="878"/>
      <c r="R24" s="807">
        <f t="shared" si="3"/>
        <v>334662</v>
      </c>
      <c r="S24" s="807">
        <f t="shared" si="4"/>
        <v>0</v>
      </c>
      <c r="T24" s="807"/>
      <c r="U24" s="49">
        <f>民間設備製造1!K26</f>
        <v>4377</v>
      </c>
      <c r="V24" s="49">
        <f t="shared" si="5"/>
        <v>448953</v>
      </c>
    </row>
    <row r="25" spans="1:22">
      <c r="A25" s="300">
        <v>219</v>
      </c>
      <c r="B25" s="90" t="s">
        <v>190</v>
      </c>
      <c r="C25" s="867">
        <v>470402</v>
      </c>
      <c r="D25" s="869">
        <v>231310</v>
      </c>
      <c r="E25" s="868">
        <v>52225</v>
      </c>
      <c r="F25" s="866">
        <v>90547</v>
      </c>
      <c r="G25" s="868">
        <v>14682</v>
      </c>
      <c r="H25" s="868">
        <v>72994</v>
      </c>
      <c r="I25" s="869">
        <v>2871</v>
      </c>
      <c r="J25" s="867">
        <v>10354</v>
      </c>
      <c r="K25" s="867">
        <v>384436</v>
      </c>
      <c r="L25" s="856">
        <v>85966</v>
      </c>
      <c r="M25" s="830">
        <v>387950</v>
      </c>
      <c r="N25" s="830">
        <v>319800</v>
      </c>
      <c r="O25" s="831">
        <v>17816</v>
      </c>
      <c r="P25" s="293">
        <v>219</v>
      </c>
      <c r="Q25" s="878"/>
      <c r="R25" s="807">
        <f t="shared" si="3"/>
        <v>470402</v>
      </c>
      <c r="S25" s="807">
        <f t="shared" si="4"/>
        <v>0</v>
      </c>
      <c r="T25" s="807"/>
      <c r="U25" s="49">
        <f>民間設備製造1!K27</f>
        <v>31643</v>
      </c>
      <c r="V25" s="49">
        <f t="shared" si="5"/>
        <v>340214</v>
      </c>
    </row>
    <row r="26" spans="1:22">
      <c r="A26" s="302">
        <v>301</v>
      </c>
      <c r="B26" s="201" t="s">
        <v>191</v>
      </c>
      <c r="C26" s="871">
        <v>65097</v>
      </c>
      <c r="D26" s="873">
        <v>60714</v>
      </c>
      <c r="E26" s="872">
        <v>16551</v>
      </c>
      <c r="F26" s="870">
        <v>15080</v>
      </c>
      <c r="G26" s="872">
        <v>2747</v>
      </c>
      <c r="H26" s="872">
        <v>11629</v>
      </c>
      <c r="I26" s="873">
        <v>704</v>
      </c>
      <c r="J26" s="871">
        <v>2492</v>
      </c>
      <c r="K26" s="871">
        <v>94837</v>
      </c>
      <c r="L26" s="856">
        <v>-29740</v>
      </c>
      <c r="M26" s="837">
        <v>58438</v>
      </c>
      <c r="N26" s="837">
        <v>78892</v>
      </c>
      <c r="O26" s="831">
        <v>-9286</v>
      </c>
      <c r="P26" s="293">
        <v>301</v>
      </c>
      <c r="Q26" s="878"/>
      <c r="R26" s="807">
        <f t="shared" si="3"/>
        <v>65097</v>
      </c>
      <c r="S26" s="807">
        <f t="shared" si="4"/>
        <v>0</v>
      </c>
      <c r="T26" s="807"/>
      <c r="U26" s="49">
        <f>民間設備製造1!K28</f>
        <v>602</v>
      </c>
      <c r="V26" s="49">
        <f t="shared" si="5"/>
        <v>83106</v>
      </c>
    </row>
    <row r="27" spans="1:22">
      <c r="A27" s="300">
        <v>3</v>
      </c>
      <c r="B27" s="65" t="s">
        <v>192</v>
      </c>
      <c r="C27" s="867">
        <v>2957502</v>
      </c>
      <c r="D27" s="869">
        <v>1603251</v>
      </c>
      <c r="E27" s="868">
        <v>275896</v>
      </c>
      <c r="F27" s="856">
        <v>740929</v>
      </c>
      <c r="G27" s="868">
        <v>95280</v>
      </c>
      <c r="H27" s="868">
        <v>624400</v>
      </c>
      <c r="I27" s="869">
        <v>21249</v>
      </c>
      <c r="J27" s="867">
        <v>56697</v>
      </c>
      <c r="K27" s="829">
        <v>2676773</v>
      </c>
      <c r="L27" s="855">
        <v>280729</v>
      </c>
      <c r="M27" s="830">
        <v>2412380</v>
      </c>
      <c r="N27" s="830">
        <v>2226721</v>
      </c>
      <c r="O27" s="828">
        <v>95070</v>
      </c>
      <c r="P27" s="293">
        <v>3</v>
      </c>
      <c r="Q27" s="878"/>
      <c r="R27" s="807">
        <f t="shared" si="3"/>
        <v>2957502</v>
      </c>
      <c r="S27" s="807">
        <f t="shared" si="4"/>
        <v>0</v>
      </c>
      <c r="T27" s="807"/>
      <c r="U27" s="49">
        <f>民間設備製造1!K29</f>
        <v>498925</v>
      </c>
      <c r="V27" s="49">
        <f t="shared" si="5"/>
        <v>2530049</v>
      </c>
    </row>
    <row r="28" spans="1:22">
      <c r="A28" s="300">
        <v>203</v>
      </c>
      <c r="B28" s="90" t="s">
        <v>193</v>
      </c>
      <c r="C28" s="867">
        <v>1192055</v>
      </c>
      <c r="D28" s="869">
        <v>683549</v>
      </c>
      <c r="E28" s="868">
        <v>118198</v>
      </c>
      <c r="F28" s="866">
        <v>253399</v>
      </c>
      <c r="G28" s="868">
        <v>44332</v>
      </c>
      <c r="H28" s="868">
        <v>200918</v>
      </c>
      <c r="I28" s="869">
        <v>8149</v>
      </c>
      <c r="J28" s="867">
        <v>29828</v>
      </c>
      <c r="K28" s="867">
        <v>1084974</v>
      </c>
      <c r="L28" s="856">
        <v>107081</v>
      </c>
      <c r="M28" s="830">
        <v>975902</v>
      </c>
      <c r="N28" s="830">
        <v>902555</v>
      </c>
      <c r="O28" s="831">
        <v>33734</v>
      </c>
      <c r="P28" s="293">
        <v>203</v>
      </c>
      <c r="Q28" s="878"/>
      <c r="R28" s="807">
        <f t="shared" si="3"/>
        <v>1192055</v>
      </c>
      <c r="S28" s="807">
        <f t="shared" si="4"/>
        <v>0</v>
      </c>
      <c r="T28" s="807"/>
      <c r="U28" s="49">
        <f>民間設備製造1!K30</f>
        <v>89623</v>
      </c>
      <c r="V28" s="49">
        <f t="shared" si="5"/>
        <v>965530</v>
      </c>
    </row>
    <row r="29" spans="1:22">
      <c r="A29" s="300">
        <v>210</v>
      </c>
      <c r="B29" s="90" t="s">
        <v>194</v>
      </c>
      <c r="C29" s="867">
        <v>823001</v>
      </c>
      <c r="D29" s="869">
        <v>580392</v>
      </c>
      <c r="E29" s="868">
        <v>95147</v>
      </c>
      <c r="F29" s="866">
        <v>261207</v>
      </c>
      <c r="G29" s="868">
        <v>30617</v>
      </c>
      <c r="H29" s="868">
        <v>223087</v>
      </c>
      <c r="I29" s="869">
        <v>7503</v>
      </c>
      <c r="J29" s="867">
        <v>14892</v>
      </c>
      <c r="K29" s="867">
        <v>951638</v>
      </c>
      <c r="L29" s="856">
        <v>-128637</v>
      </c>
      <c r="M29" s="830">
        <v>680668</v>
      </c>
      <c r="N29" s="830">
        <v>791637</v>
      </c>
      <c r="O29" s="831">
        <v>-17668</v>
      </c>
      <c r="P29" s="293">
        <v>210</v>
      </c>
      <c r="Q29" s="878"/>
      <c r="R29" s="807">
        <f t="shared" si="3"/>
        <v>823001</v>
      </c>
      <c r="S29" s="807">
        <f t="shared" si="4"/>
        <v>0</v>
      </c>
      <c r="T29" s="807"/>
      <c r="U29" s="49">
        <f>民間設備製造1!K31</f>
        <v>172158</v>
      </c>
      <c r="V29" s="49">
        <f t="shared" si="5"/>
        <v>893206</v>
      </c>
    </row>
    <row r="30" spans="1:22">
      <c r="A30" s="300">
        <v>216</v>
      </c>
      <c r="B30" s="90" t="s">
        <v>195</v>
      </c>
      <c r="C30" s="867">
        <v>591869</v>
      </c>
      <c r="D30" s="869">
        <v>203393</v>
      </c>
      <c r="E30" s="868">
        <v>39346</v>
      </c>
      <c r="F30" s="866">
        <v>162603</v>
      </c>
      <c r="G30" s="868">
        <v>12484</v>
      </c>
      <c r="H30" s="868">
        <v>146206</v>
      </c>
      <c r="I30" s="869">
        <v>3913</v>
      </c>
      <c r="J30" s="867">
        <v>6790</v>
      </c>
      <c r="K30" s="867">
        <v>412132</v>
      </c>
      <c r="L30" s="856">
        <v>179737</v>
      </c>
      <c r="M30" s="830">
        <v>474691</v>
      </c>
      <c r="N30" s="830">
        <v>342839</v>
      </c>
      <c r="O30" s="831">
        <v>47885</v>
      </c>
      <c r="P30" s="293">
        <v>216</v>
      </c>
      <c r="Q30" s="878"/>
      <c r="R30" s="807">
        <f t="shared" si="3"/>
        <v>591869</v>
      </c>
      <c r="S30" s="807">
        <f t="shared" si="4"/>
        <v>0</v>
      </c>
      <c r="T30" s="807"/>
      <c r="U30" s="49">
        <f>民間設備製造1!K32</f>
        <v>209363</v>
      </c>
      <c r="V30" s="49">
        <f t="shared" si="5"/>
        <v>471376</v>
      </c>
    </row>
    <row r="31" spans="1:22">
      <c r="A31" s="300">
        <v>381</v>
      </c>
      <c r="B31" s="90" t="s">
        <v>196</v>
      </c>
      <c r="C31" s="867">
        <v>190785</v>
      </c>
      <c r="D31" s="869">
        <v>61712</v>
      </c>
      <c r="E31" s="868">
        <v>10773</v>
      </c>
      <c r="F31" s="866">
        <v>26044</v>
      </c>
      <c r="G31" s="868">
        <v>2616</v>
      </c>
      <c r="H31" s="868">
        <v>22719</v>
      </c>
      <c r="I31" s="869">
        <v>709</v>
      </c>
      <c r="J31" s="867">
        <v>1673</v>
      </c>
      <c r="K31" s="867">
        <v>100202</v>
      </c>
      <c r="L31" s="856">
        <v>90583</v>
      </c>
      <c r="M31" s="830">
        <v>152041</v>
      </c>
      <c r="N31" s="830">
        <v>83355</v>
      </c>
      <c r="O31" s="831">
        <v>21897</v>
      </c>
      <c r="P31" s="293">
        <v>381</v>
      </c>
      <c r="Q31" s="878"/>
      <c r="R31" s="807">
        <f t="shared" si="3"/>
        <v>190785</v>
      </c>
      <c r="S31" s="807">
        <f t="shared" si="4"/>
        <v>0</v>
      </c>
      <c r="T31" s="807"/>
      <c r="U31" s="49">
        <f>民間設備製造1!K33</f>
        <v>7221</v>
      </c>
      <c r="V31" s="49">
        <f t="shared" si="5"/>
        <v>83995</v>
      </c>
    </row>
    <row r="32" spans="1:22">
      <c r="A32" s="300">
        <v>382</v>
      </c>
      <c r="B32" s="90" t="s">
        <v>197</v>
      </c>
      <c r="C32" s="867">
        <v>159792</v>
      </c>
      <c r="D32" s="869">
        <v>74205</v>
      </c>
      <c r="E32" s="868">
        <v>12432</v>
      </c>
      <c r="F32" s="866">
        <v>37676</v>
      </c>
      <c r="G32" s="868">
        <v>5231</v>
      </c>
      <c r="H32" s="868">
        <v>31470</v>
      </c>
      <c r="I32" s="869">
        <v>975</v>
      </c>
      <c r="J32" s="867">
        <v>3514</v>
      </c>
      <c r="K32" s="867">
        <v>127827</v>
      </c>
      <c r="L32" s="858">
        <v>31965</v>
      </c>
      <c r="M32" s="830">
        <v>129078</v>
      </c>
      <c r="N32" s="830">
        <v>106335</v>
      </c>
      <c r="O32" s="835">
        <v>9222</v>
      </c>
      <c r="P32" s="293">
        <v>382</v>
      </c>
      <c r="Q32" s="878"/>
      <c r="R32" s="807">
        <f t="shared" si="3"/>
        <v>159792</v>
      </c>
      <c r="S32" s="807">
        <f t="shared" si="4"/>
        <v>0</v>
      </c>
      <c r="T32" s="807"/>
      <c r="U32" s="49">
        <f>民間設備製造1!K34</f>
        <v>20560</v>
      </c>
      <c r="V32" s="49">
        <f t="shared" si="5"/>
        <v>115942</v>
      </c>
    </row>
    <row r="33" spans="1:22">
      <c r="A33" s="301">
        <v>4</v>
      </c>
      <c r="B33" s="306" t="s">
        <v>198</v>
      </c>
      <c r="C33" s="863">
        <v>1197785</v>
      </c>
      <c r="D33" s="865">
        <v>546695</v>
      </c>
      <c r="E33" s="864">
        <v>127210</v>
      </c>
      <c r="F33" s="855">
        <v>221998</v>
      </c>
      <c r="G33" s="864">
        <v>31211</v>
      </c>
      <c r="H33" s="864">
        <v>183843</v>
      </c>
      <c r="I33" s="865">
        <v>6944</v>
      </c>
      <c r="J33" s="863">
        <v>38847</v>
      </c>
      <c r="K33" s="826">
        <v>934750</v>
      </c>
      <c r="L33" s="856">
        <v>263035</v>
      </c>
      <c r="M33" s="827">
        <v>984894</v>
      </c>
      <c r="N33" s="827">
        <v>777588</v>
      </c>
      <c r="O33" s="831">
        <v>55729</v>
      </c>
      <c r="P33" s="293">
        <v>4</v>
      </c>
      <c r="Q33" s="878"/>
      <c r="R33" s="807">
        <f t="shared" si="3"/>
        <v>1197785</v>
      </c>
      <c r="S33" s="807">
        <f t="shared" si="4"/>
        <v>0</v>
      </c>
      <c r="T33" s="807"/>
      <c r="U33" s="49">
        <f>民間設備製造1!K35</f>
        <v>78828</v>
      </c>
      <c r="V33" s="49">
        <f t="shared" si="5"/>
        <v>822791</v>
      </c>
    </row>
    <row r="34" spans="1:22">
      <c r="A34" s="300">
        <v>213</v>
      </c>
      <c r="B34" s="92" t="s">
        <v>231</v>
      </c>
      <c r="C34" s="867">
        <v>145088</v>
      </c>
      <c r="D34" s="869">
        <v>84229</v>
      </c>
      <c r="E34" s="868">
        <v>16455</v>
      </c>
      <c r="F34" s="866">
        <v>23605</v>
      </c>
      <c r="G34" s="868">
        <v>2594</v>
      </c>
      <c r="H34" s="868">
        <v>20072</v>
      </c>
      <c r="I34" s="869">
        <v>939</v>
      </c>
      <c r="J34" s="867">
        <v>4662</v>
      </c>
      <c r="K34" s="867">
        <v>128951</v>
      </c>
      <c r="L34" s="856">
        <v>16137</v>
      </c>
      <c r="M34" s="830">
        <v>119833</v>
      </c>
      <c r="N34" s="830">
        <v>107270</v>
      </c>
      <c r="O34" s="831">
        <v>3574</v>
      </c>
      <c r="P34" s="293">
        <v>213</v>
      </c>
      <c r="Q34" s="878"/>
      <c r="R34" s="807">
        <f t="shared" si="3"/>
        <v>145088</v>
      </c>
      <c r="S34" s="807">
        <f t="shared" si="4"/>
        <v>0</v>
      </c>
      <c r="T34" s="807"/>
      <c r="U34" s="49">
        <f>民間設備製造1!K36</f>
        <v>2958</v>
      </c>
      <c r="V34" s="49">
        <f t="shared" si="5"/>
        <v>110898</v>
      </c>
    </row>
    <row r="35" spans="1:22">
      <c r="A35" s="300">
        <v>215</v>
      </c>
      <c r="B35" s="92" t="s">
        <v>232</v>
      </c>
      <c r="C35" s="867">
        <v>285171</v>
      </c>
      <c r="D35" s="869">
        <v>160369</v>
      </c>
      <c r="E35" s="868">
        <v>35675</v>
      </c>
      <c r="F35" s="866">
        <v>59842</v>
      </c>
      <c r="G35" s="868">
        <v>9693</v>
      </c>
      <c r="H35" s="868">
        <v>48221</v>
      </c>
      <c r="I35" s="869">
        <v>1928</v>
      </c>
      <c r="J35" s="867">
        <v>9185</v>
      </c>
      <c r="K35" s="867">
        <v>265071</v>
      </c>
      <c r="L35" s="856">
        <v>20100</v>
      </c>
      <c r="M35" s="830">
        <v>237231</v>
      </c>
      <c r="N35" s="830">
        <v>220504</v>
      </c>
      <c r="O35" s="831">
        <v>3373</v>
      </c>
      <c r="P35" s="293">
        <v>215</v>
      </c>
      <c r="Q35" s="878"/>
      <c r="R35" s="807">
        <f t="shared" si="3"/>
        <v>285171</v>
      </c>
      <c r="S35" s="807">
        <f t="shared" si="4"/>
        <v>0</v>
      </c>
      <c r="T35" s="807"/>
      <c r="U35" s="49">
        <f>民間設備製造1!K37</f>
        <v>13093</v>
      </c>
      <c r="V35" s="49">
        <f t="shared" si="5"/>
        <v>228015</v>
      </c>
    </row>
    <row r="36" spans="1:22">
      <c r="A36" s="300">
        <v>218</v>
      </c>
      <c r="B36" s="90" t="s">
        <v>200</v>
      </c>
      <c r="C36" s="867">
        <v>255875</v>
      </c>
      <c r="D36" s="869">
        <v>94365</v>
      </c>
      <c r="E36" s="868">
        <v>20950</v>
      </c>
      <c r="F36" s="866">
        <v>47544</v>
      </c>
      <c r="G36" s="868">
        <v>4066</v>
      </c>
      <c r="H36" s="868">
        <v>42251</v>
      </c>
      <c r="I36" s="869">
        <v>1227</v>
      </c>
      <c r="J36" s="867">
        <v>5682</v>
      </c>
      <c r="K36" s="867">
        <v>168541</v>
      </c>
      <c r="L36" s="856">
        <v>87334</v>
      </c>
      <c r="M36" s="830">
        <v>207225</v>
      </c>
      <c r="N36" s="830">
        <v>140204</v>
      </c>
      <c r="O36" s="831">
        <v>20313</v>
      </c>
      <c r="P36" s="293">
        <v>218</v>
      </c>
      <c r="Q36" s="878"/>
      <c r="R36" s="807">
        <f t="shared" si="3"/>
        <v>255875</v>
      </c>
      <c r="S36" s="807">
        <f t="shared" si="4"/>
        <v>0</v>
      </c>
      <c r="T36" s="807"/>
      <c r="U36" s="49">
        <f>民間設備製造1!K38</f>
        <v>20676</v>
      </c>
      <c r="V36" s="49">
        <f t="shared" si="5"/>
        <v>145739</v>
      </c>
    </row>
    <row r="37" spans="1:22">
      <c r="A37" s="300">
        <v>220</v>
      </c>
      <c r="B37" s="90" t="s">
        <v>201</v>
      </c>
      <c r="C37" s="867">
        <v>210687</v>
      </c>
      <c r="D37" s="869">
        <v>85992</v>
      </c>
      <c r="E37" s="868">
        <v>19515</v>
      </c>
      <c r="F37" s="866">
        <v>39824</v>
      </c>
      <c r="G37" s="868">
        <v>6550</v>
      </c>
      <c r="H37" s="868">
        <v>32034</v>
      </c>
      <c r="I37" s="869">
        <v>1240</v>
      </c>
      <c r="J37" s="867">
        <v>9552</v>
      </c>
      <c r="K37" s="867">
        <v>154883</v>
      </c>
      <c r="L37" s="856">
        <v>55804</v>
      </c>
      <c r="M37" s="830">
        <v>171783</v>
      </c>
      <c r="N37" s="830">
        <v>128842</v>
      </c>
      <c r="O37" s="831">
        <v>12863</v>
      </c>
      <c r="P37" s="293">
        <v>220</v>
      </c>
      <c r="Q37" s="878"/>
      <c r="R37" s="807">
        <f t="shared" si="3"/>
        <v>210687</v>
      </c>
      <c r="S37" s="807">
        <f t="shared" si="4"/>
        <v>0</v>
      </c>
      <c r="T37" s="807"/>
      <c r="U37" s="49">
        <f>民間設備製造1!K39</f>
        <v>25846</v>
      </c>
      <c r="V37" s="49">
        <f t="shared" si="5"/>
        <v>147455</v>
      </c>
    </row>
    <row r="38" spans="1:22">
      <c r="A38" s="300">
        <v>228</v>
      </c>
      <c r="B38" s="90" t="s">
        <v>239</v>
      </c>
      <c r="C38" s="867">
        <v>235214</v>
      </c>
      <c r="D38" s="869">
        <v>84436</v>
      </c>
      <c r="E38" s="868">
        <v>20222</v>
      </c>
      <c r="F38" s="866">
        <v>39905</v>
      </c>
      <c r="G38" s="868">
        <v>7319</v>
      </c>
      <c r="H38" s="868">
        <v>31470</v>
      </c>
      <c r="I38" s="869">
        <v>1116</v>
      </c>
      <c r="J38" s="867">
        <v>5453</v>
      </c>
      <c r="K38" s="867">
        <v>150016</v>
      </c>
      <c r="L38" s="856">
        <v>85198</v>
      </c>
      <c r="M38" s="830">
        <v>190983</v>
      </c>
      <c r="N38" s="830">
        <v>124793</v>
      </c>
      <c r="O38" s="831">
        <v>19008</v>
      </c>
      <c r="P38" s="293">
        <v>228</v>
      </c>
      <c r="Q38" s="878"/>
      <c r="R38" s="807">
        <f t="shared" si="3"/>
        <v>235214</v>
      </c>
      <c r="S38" s="807">
        <f t="shared" si="4"/>
        <v>0</v>
      </c>
      <c r="T38" s="807"/>
      <c r="U38" s="49">
        <f>民間設備製造1!K40</f>
        <v>14954</v>
      </c>
      <c r="V38" s="49">
        <f t="shared" si="5"/>
        <v>132384</v>
      </c>
    </row>
    <row r="39" spans="1:22">
      <c r="A39" s="302">
        <v>365</v>
      </c>
      <c r="B39" s="201" t="s">
        <v>233</v>
      </c>
      <c r="C39" s="871">
        <v>65750</v>
      </c>
      <c r="D39" s="873">
        <v>37304</v>
      </c>
      <c r="E39" s="872">
        <v>14393</v>
      </c>
      <c r="F39" s="870">
        <v>11278</v>
      </c>
      <c r="G39" s="872">
        <v>989</v>
      </c>
      <c r="H39" s="872">
        <v>9795</v>
      </c>
      <c r="I39" s="873">
        <v>494</v>
      </c>
      <c r="J39" s="871">
        <v>4313</v>
      </c>
      <c r="K39" s="871">
        <v>67288</v>
      </c>
      <c r="L39" s="856">
        <v>-1538</v>
      </c>
      <c r="M39" s="837">
        <v>57839</v>
      </c>
      <c r="N39" s="837">
        <v>55975</v>
      </c>
      <c r="O39" s="831">
        <v>-3402</v>
      </c>
      <c r="P39" s="293">
        <v>365</v>
      </c>
      <c r="Q39" s="878"/>
      <c r="R39" s="807">
        <f t="shared" si="3"/>
        <v>65750</v>
      </c>
      <c r="S39" s="807">
        <f t="shared" si="4"/>
        <v>0</v>
      </c>
      <c r="T39" s="807"/>
      <c r="U39" s="49">
        <f>民間設備製造1!K41</f>
        <v>1301</v>
      </c>
      <c r="V39" s="49">
        <f t="shared" si="5"/>
        <v>58300</v>
      </c>
    </row>
    <row r="40" spans="1:22">
      <c r="A40" s="300">
        <v>5</v>
      </c>
      <c r="B40" s="91" t="s">
        <v>202</v>
      </c>
      <c r="C40" s="867">
        <v>2608505</v>
      </c>
      <c r="D40" s="869">
        <v>1271525</v>
      </c>
      <c r="E40" s="868">
        <v>247406</v>
      </c>
      <c r="F40" s="856">
        <v>558306</v>
      </c>
      <c r="G40" s="868">
        <v>85805</v>
      </c>
      <c r="H40" s="868">
        <v>456399</v>
      </c>
      <c r="I40" s="869">
        <v>16102</v>
      </c>
      <c r="J40" s="867">
        <v>96567</v>
      </c>
      <c r="K40" s="829">
        <v>2173804</v>
      </c>
      <c r="L40" s="855">
        <v>434701</v>
      </c>
      <c r="M40" s="830">
        <v>2129782</v>
      </c>
      <c r="N40" s="830">
        <v>1808317</v>
      </c>
      <c r="O40" s="828">
        <v>113236</v>
      </c>
      <c r="P40" s="293">
        <v>5</v>
      </c>
      <c r="Q40" s="878"/>
      <c r="R40" s="807">
        <f t="shared" si="3"/>
        <v>2608505</v>
      </c>
      <c r="S40" s="807">
        <f t="shared" si="4"/>
        <v>0</v>
      </c>
      <c r="T40" s="807"/>
      <c r="U40" s="49">
        <f>民間設備製造1!K42</f>
        <v>207953</v>
      </c>
      <c r="V40" s="49">
        <f t="shared" si="5"/>
        <v>1909256</v>
      </c>
    </row>
    <row r="41" spans="1:22">
      <c r="A41" s="300">
        <v>201</v>
      </c>
      <c r="B41" s="92" t="s">
        <v>240</v>
      </c>
      <c r="C41" s="867">
        <v>2371505</v>
      </c>
      <c r="D41" s="869">
        <v>1187358</v>
      </c>
      <c r="E41" s="868">
        <v>220020</v>
      </c>
      <c r="F41" s="866">
        <v>524677</v>
      </c>
      <c r="G41" s="868">
        <v>81784</v>
      </c>
      <c r="H41" s="868">
        <v>427976</v>
      </c>
      <c r="I41" s="869">
        <v>14917</v>
      </c>
      <c r="J41" s="867">
        <v>88299</v>
      </c>
      <c r="K41" s="867">
        <v>2020354</v>
      </c>
      <c r="L41" s="856">
        <v>351151</v>
      </c>
      <c r="M41" s="830">
        <v>1933777</v>
      </c>
      <c r="N41" s="830">
        <v>1680667</v>
      </c>
      <c r="O41" s="831">
        <v>98041</v>
      </c>
      <c r="P41" s="293">
        <v>201</v>
      </c>
      <c r="Q41" s="878"/>
      <c r="R41" s="807">
        <f t="shared" si="3"/>
        <v>2371505</v>
      </c>
      <c r="S41" s="807">
        <f t="shared" si="4"/>
        <v>0</v>
      </c>
      <c r="T41" s="807"/>
      <c r="U41" s="49">
        <f>民間設備製造1!K43</f>
        <v>191308</v>
      </c>
      <c r="V41" s="49">
        <f t="shared" si="5"/>
        <v>1768769</v>
      </c>
    </row>
    <row r="42" spans="1:22">
      <c r="A42" s="300">
        <v>442</v>
      </c>
      <c r="B42" s="90" t="s">
        <v>203</v>
      </c>
      <c r="C42" s="867">
        <v>35444</v>
      </c>
      <c r="D42" s="869">
        <v>24257</v>
      </c>
      <c r="E42" s="868">
        <v>7895</v>
      </c>
      <c r="F42" s="866">
        <v>6633</v>
      </c>
      <c r="G42" s="868">
        <v>681</v>
      </c>
      <c r="H42" s="868">
        <v>5652</v>
      </c>
      <c r="I42" s="869">
        <v>300</v>
      </c>
      <c r="J42" s="867">
        <v>922</v>
      </c>
      <c r="K42" s="867">
        <v>39707</v>
      </c>
      <c r="L42" s="856">
        <v>-4263</v>
      </c>
      <c r="M42" s="830">
        <v>31249</v>
      </c>
      <c r="N42" s="830">
        <v>33031</v>
      </c>
      <c r="O42" s="831">
        <v>-2481</v>
      </c>
      <c r="P42" s="293">
        <v>442</v>
      </c>
      <c r="Q42" s="878"/>
      <c r="R42" s="807">
        <f t="shared" si="3"/>
        <v>35444</v>
      </c>
      <c r="S42" s="807">
        <f t="shared" si="4"/>
        <v>0</v>
      </c>
      <c r="T42" s="807"/>
      <c r="U42" s="49">
        <f>民間設備製造1!K44</f>
        <v>1672</v>
      </c>
      <c r="V42" s="49">
        <f t="shared" si="5"/>
        <v>35427</v>
      </c>
    </row>
    <row r="43" spans="1:22">
      <c r="A43" s="300">
        <v>443</v>
      </c>
      <c r="B43" s="90" t="s">
        <v>204</v>
      </c>
      <c r="C43" s="867">
        <v>169206</v>
      </c>
      <c r="D43" s="869">
        <v>38653</v>
      </c>
      <c r="E43" s="868">
        <v>9532</v>
      </c>
      <c r="F43" s="866">
        <v>20950</v>
      </c>
      <c r="G43" s="868">
        <v>2747</v>
      </c>
      <c r="H43" s="868">
        <v>17616</v>
      </c>
      <c r="I43" s="869">
        <v>587</v>
      </c>
      <c r="J43" s="867">
        <v>4322</v>
      </c>
      <c r="K43" s="867">
        <v>73457</v>
      </c>
      <c r="L43" s="856">
        <v>95749</v>
      </c>
      <c r="M43" s="830">
        <v>134832</v>
      </c>
      <c r="N43" s="830">
        <v>61106</v>
      </c>
      <c r="O43" s="831">
        <v>22023</v>
      </c>
      <c r="P43" s="293">
        <v>443</v>
      </c>
      <c r="Q43" s="878"/>
      <c r="R43" s="807">
        <f t="shared" si="3"/>
        <v>169206</v>
      </c>
      <c r="S43" s="807">
        <f t="shared" si="4"/>
        <v>0</v>
      </c>
      <c r="T43" s="807"/>
      <c r="U43" s="49">
        <f>民間設備製造1!K45</f>
        <v>14624</v>
      </c>
      <c r="V43" s="49">
        <f t="shared" si="5"/>
        <v>69878</v>
      </c>
    </row>
    <row r="44" spans="1:22">
      <c r="A44" s="300">
        <v>446</v>
      </c>
      <c r="B44" s="90" t="s">
        <v>234</v>
      </c>
      <c r="C44" s="867">
        <v>32350</v>
      </c>
      <c r="D44" s="869">
        <v>21257</v>
      </c>
      <c r="E44" s="868">
        <v>9959</v>
      </c>
      <c r="F44" s="866">
        <v>6046</v>
      </c>
      <c r="G44" s="868">
        <v>593</v>
      </c>
      <c r="H44" s="868">
        <v>5155</v>
      </c>
      <c r="I44" s="869">
        <v>298</v>
      </c>
      <c r="J44" s="867">
        <v>3024</v>
      </c>
      <c r="K44" s="867">
        <v>40286</v>
      </c>
      <c r="L44" s="858">
        <v>-7936</v>
      </c>
      <c r="M44" s="830">
        <v>29924</v>
      </c>
      <c r="N44" s="830">
        <v>33513</v>
      </c>
      <c r="O44" s="835">
        <v>-4347</v>
      </c>
      <c r="P44" s="293">
        <v>446</v>
      </c>
      <c r="Q44" s="878"/>
      <c r="R44" s="807">
        <f t="shared" si="3"/>
        <v>32350</v>
      </c>
      <c r="S44" s="807">
        <f t="shared" si="4"/>
        <v>0</v>
      </c>
      <c r="T44" s="807"/>
      <c r="U44" s="49">
        <f>民間設備製造1!K46</f>
        <v>349</v>
      </c>
      <c r="V44" s="49">
        <f t="shared" si="5"/>
        <v>35182</v>
      </c>
    </row>
    <row r="45" spans="1:22">
      <c r="A45" s="301">
        <v>6</v>
      </c>
      <c r="B45" s="306" t="s">
        <v>205</v>
      </c>
      <c r="C45" s="863">
        <v>1015903</v>
      </c>
      <c r="D45" s="865">
        <v>530687</v>
      </c>
      <c r="E45" s="864">
        <v>126909</v>
      </c>
      <c r="F45" s="855">
        <v>215407</v>
      </c>
      <c r="G45" s="864">
        <v>20683</v>
      </c>
      <c r="H45" s="864">
        <v>187903</v>
      </c>
      <c r="I45" s="865">
        <v>6821</v>
      </c>
      <c r="J45" s="863">
        <v>56632</v>
      </c>
      <c r="K45" s="826">
        <v>929635</v>
      </c>
      <c r="L45" s="856">
        <v>86268</v>
      </c>
      <c r="M45" s="827">
        <v>845031</v>
      </c>
      <c r="N45" s="827">
        <v>773333</v>
      </c>
      <c r="O45" s="831">
        <v>14570</v>
      </c>
      <c r="P45" s="293">
        <v>6</v>
      </c>
      <c r="Q45" s="878"/>
      <c r="R45" s="807">
        <f t="shared" si="3"/>
        <v>1015903</v>
      </c>
      <c r="S45" s="807">
        <f t="shared" si="4"/>
        <v>0</v>
      </c>
      <c r="T45" s="807"/>
      <c r="U45" s="49">
        <f>民間設備製造1!K47</f>
        <v>73093</v>
      </c>
      <c r="V45" s="49">
        <f t="shared" si="5"/>
        <v>808004</v>
      </c>
    </row>
    <row r="46" spans="1:22">
      <c r="A46" s="300">
        <v>208</v>
      </c>
      <c r="B46" s="90" t="s">
        <v>206</v>
      </c>
      <c r="C46" s="867">
        <v>143629</v>
      </c>
      <c r="D46" s="869">
        <v>68020</v>
      </c>
      <c r="E46" s="868">
        <v>13399</v>
      </c>
      <c r="F46" s="866">
        <v>25064</v>
      </c>
      <c r="G46" s="868">
        <v>3583</v>
      </c>
      <c r="H46" s="868">
        <v>20592</v>
      </c>
      <c r="I46" s="869">
        <v>889</v>
      </c>
      <c r="J46" s="867">
        <v>11296</v>
      </c>
      <c r="K46" s="867">
        <v>117779</v>
      </c>
      <c r="L46" s="856">
        <v>25850</v>
      </c>
      <c r="M46" s="830">
        <v>117156</v>
      </c>
      <c r="N46" s="830">
        <v>97977</v>
      </c>
      <c r="O46" s="831">
        <v>6671</v>
      </c>
      <c r="P46" s="293">
        <v>208</v>
      </c>
      <c r="Q46" s="878"/>
      <c r="R46" s="807">
        <f t="shared" si="3"/>
        <v>143629</v>
      </c>
      <c r="S46" s="807">
        <f t="shared" si="4"/>
        <v>0</v>
      </c>
      <c r="T46" s="807"/>
      <c r="U46" s="49">
        <f>民間設備製造1!K48</f>
        <v>8944</v>
      </c>
      <c r="V46" s="49">
        <f t="shared" si="5"/>
        <v>105242</v>
      </c>
    </row>
    <row r="47" spans="1:22">
      <c r="A47" s="300">
        <v>212</v>
      </c>
      <c r="B47" s="90" t="s">
        <v>207</v>
      </c>
      <c r="C47" s="867">
        <v>227069</v>
      </c>
      <c r="D47" s="869">
        <v>104826</v>
      </c>
      <c r="E47" s="868">
        <v>25256</v>
      </c>
      <c r="F47" s="866">
        <v>54567</v>
      </c>
      <c r="G47" s="868">
        <v>4418</v>
      </c>
      <c r="H47" s="868">
        <v>48624</v>
      </c>
      <c r="I47" s="869">
        <v>1525</v>
      </c>
      <c r="J47" s="867">
        <v>14858</v>
      </c>
      <c r="K47" s="867">
        <v>199507</v>
      </c>
      <c r="L47" s="856">
        <v>27562</v>
      </c>
      <c r="M47" s="830">
        <v>187292</v>
      </c>
      <c r="N47" s="830">
        <v>165963</v>
      </c>
      <c r="O47" s="831">
        <v>6233</v>
      </c>
      <c r="P47" s="293">
        <v>212</v>
      </c>
      <c r="Q47" s="878"/>
      <c r="R47" s="807">
        <f t="shared" si="3"/>
        <v>227069</v>
      </c>
      <c r="S47" s="807">
        <f t="shared" si="4"/>
        <v>0</v>
      </c>
      <c r="T47" s="807"/>
      <c r="U47" s="49">
        <f>民間設備製造1!K49</f>
        <v>32066</v>
      </c>
      <c r="V47" s="49">
        <f t="shared" si="5"/>
        <v>181424</v>
      </c>
    </row>
    <row r="48" spans="1:22">
      <c r="A48" s="300">
        <v>227</v>
      </c>
      <c r="B48" s="90" t="s">
        <v>219</v>
      </c>
      <c r="C48" s="867">
        <v>121565</v>
      </c>
      <c r="D48" s="869">
        <v>71210</v>
      </c>
      <c r="E48" s="868">
        <v>24436</v>
      </c>
      <c r="F48" s="866">
        <v>18830</v>
      </c>
      <c r="G48" s="868">
        <v>2154</v>
      </c>
      <c r="H48" s="868">
        <v>15748</v>
      </c>
      <c r="I48" s="869">
        <v>928</v>
      </c>
      <c r="J48" s="867">
        <v>8033</v>
      </c>
      <c r="K48" s="867">
        <v>122509</v>
      </c>
      <c r="L48" s="856">
        <v>-944</v>
      </c>
      <c r="M48" s="830">
        <v>105831</v>
      </c>
      <c r="N48" s="830">
        <v>101911</v>
      </c>
      <c r="O48" s="831">
        <v>-4864</v>
      </c>
      <c r="P48" s="293">
        <v>227</v>
      </c>
      <c r="Q48" s="878"/>
      <c r="R48" s="807">
        <f t="shared" ref="R48:R65" si="6">D48+E48+F48+J48+L48</f>
        <v>121565</v>
      </c>
      <c r="S48" s="807">
        <f t="shared" ref="S48:S65" si="7">R48-C48</f>
        <v>0</v>
      </c>
      <c r="T48" s="807"/>
      <c r="U48" s="49">
        <f>民間設備製造1!K50</f>
        <v>3882</v>
      </c>
      <c r="V48" s="49">
        <f t="shared" ref="V48:V65" si="8">D48+E48+G48+J48+U48</f>
        <v>109715</v>
      </c>
    </row>
    <row r="49" spans="1:22">
      <c r="A49" s="300">
        <v>229</v>
      </c>
      <c r="B49" s="90" t="s">
        <v>235</v>
      </c>
      <c r="C49" s="867">
        <v>353043</v>
      </c>
      <c r="D49" s="869">
        <v>152780</v>
      </c>
      <c r="E49" s="868">
        <v>29717</v>
      </c>
      <c r="F49" s="866">
        <v>74330</v>
      </c>
      <c r="G49" s="868">
        <v>6330</v>
      </c>
      <c r="H49" s="868">
        <v>66183</v>
      </c>
      <c r="I49" s="869">
        <v>1817</v>
      </c>
      <c r="J49" s="867">
        <v>6726</v>
      </c>
      <c r="K49" s="867">
        <v>263553</v>
      </c>
      <c r="L49" s="856">
        <v>89490</v>
      </c>
      <c r="M49" s="830">
        <v>286331</v>
      </c>
      <c r="N49" s="830">
        <v>219241</v>
      </c>
      <c r="O49" s="831">
        <v>22400</v>
      </c>
      <c r="P49" s="293">
        <v>229</v>
      </c>
      <c r="Q49" s="878"/>
      <c r="R49" s="807">
        <f t="shared" si="6"/>
        <v>353043</v>
      </c>
      <c r="S49" s="807">
        <f t="shared" si="7"/>
        <v>0</v>
      </c>
      <c r="T49" s="807"/>
      <c r="U49" s="49">
        <f>民間設備製造1!K51</f>
        <v>19669</v>
      </c>
      <c r="V49" s="49">
        <f t="shared" si="8"/>
        <v>215222</v>
      </c>
    </row>
    <row r="50" spans="1:22">
      <c r="A50" s="300">
        <v>464</v>
      </c>
      <c r="B50" s="90" t="s">
        <v>208</v>
      </c>
      <c r="C50" s="867">
        <v>60198</v>
      </c>
      <c r="D50" s="869">
        <v>67678</v>
      </c>
      <c r="E50" s="868">
        <v>10162</v>
      </c>
      <c r="F50" s="866">
        <v>22755</v>
      </c>
      <c r="G50" s="868">
        <v>3143</v>
      </c>
      <c r="H50" s="868">
        <v>18806</v>
      </c>
      <c r="I50" s="869">
        <v>806</v>
      </c>
      <c r="J50" s="867">
        <v>9921</v>
      </c>
      <c r="K50" s="867">
        <v>110516</v>
      </c>
      <c r="L50" s="856">
        <v>-50318</v>
      </c>
      <c r="M50" s="830">
        <v>51419</v>
      </c>
      <c r="N50" s="830">
        <v>91935</v>
      </c>
      <c r="O50" s="831">
        <v>-9802</v>
      </c>
      <c r="P50" s="293">
        <v>464</v>
      </c>
      <c r="Q50" s="878"/>
      <c r="R50" s="807">
        <f t="shared" si="6"/>
        <v>60198</v>
      </c>
      <c r="S50" s="807">
        <f t="shared" si="7"/>
        <v>0</v>
      </c>
      <c r="T50" s="807"/>
      <c r="U50" s="49">
        <f>民間設備製造1!K52</f>
        <v>4393</v>
      </c>
      <c r="V50" s="49">
        <f t="shared" si="8"/>
        <v>95297</v>
      </c>
    </row>
    <row r="51" spans="1:22">
      <c r="A51" s="300">
        <v>481</v>
      </c>
      <c r="B51" s="90" t="s">
        <v>209</v>
      </c>
      <c r="C51" s="867">
        <v>49299</v>
      </c>
      <c r="D51" s="869">
        <v>31987</v>
      </c>
      <c r="E51" s="868">
        <v>8876</v>
      </c>
      <c r="F51" s="866">
        <v>9847</v>
      </c>
      <c r="G51" s="868">
        <v>637</v>
      </c>
      <c r="H51" s="868">
        <v>8823</v>
      </c>
      <c r="I51" s="869">
        <v>387</v>
      </c>
      <c r="J51" s="867">
        <v>1328</v>
      </c>
      <c r="K51" s="867">
        <v>52038</v>
      </c>
      <c r="L51" s="856">
        <v>-2739</v>
      </c>
      <c r="M51" s="830">
        <v>42392</v>
      </c>
      <c r="N51" s="830">
        <v>43289</v>
      </c>
      <c r="O51" s="831">
        <v>-1842</v>
      </c>
      <c r="P51" s="293">
        <v>481</v>
      </c>
      <c r="Q51" s="878"/>
      <c r="R51" s="807">
        <f t="shared" si="6"/>
        <v>49299</v>
      </c>
      <c r="S51" s="807">
        <f t="shared" si="7"/>
        <v>0</v>
      </c>
      <c r="T51" s="807"/>
      <c r="U51" s="49">
        <f>民間設備製造1!K53</f>
        <v>2928</v>
      </c>
      <c r="V51" s="49">
        <f t="shared" si="8"/>
        <v>45756</v>
      </c>
    </row>
    <row r="52" spans="1:22">
      <c r="A52" s="302">
        <v>501</v>
      </c>
      <c r="B52" s="201" t="s">
        <v>236</v>
      </c>
      <c r="C52" s="871">
        <v>61100</v>
      </c>
      <c r="D52" s="873">
        <v>34186</v>
      </c>
      <c r="E52" s="872">
        <v>15063</v>
      </c>
      <c r="F52" s="870">
        <v>10014</v>
      </c>
      <c r="G52" s="872">
        <v>418</v>
      </c>
      <c r="H52" s="872">
        <v>9127</v>
      </c>
      <c r="I52" s="873">
        <v>469</v>
      </c>
      <c r="J52" s="871">
        <v>4470</v>
      </c>
      <c r="K52" s="871">
        <v>63733</v>
      </c>
      <c r="L52" s="856">
        <v>-2633</v>
      </c>
      <c r="M52" s="837">
        <v>54610</v>
      </c>
      <c r="N52" s="837">
        <v>53017</v>
      </c>
      <c r="O52" s="831">
        <v>-4226</v>
      </c>
      <c r="P52" s="293">
        <v>501</v>
      </c>
      <c r="Q52" s="878"/>
      <c r="R52" s="807">
        <f t="shared" si="6"/>
        <v>61100</v>
      </c>
      <c r="S52" s="807">
        <f t="shared" si="7"/>
        <v>0</v>
      </c>
      <c r="T52" s="807"/>
      <c r="U52" s="49">
        <f>民間設備製造1!K54</f>
        <v>1211</v>
      </c>
      <c r="V52" s="49">
        <f t="shared" si="8"/>
        <v>55348</v>
      </c>
    </row>
    <row r="53" spans="1:22">
      <c r="A53" s="300">
        <v>7</v>
      </c>
      <c r="B53" s="93" t="s">
        <v>210</v>
      </c>
      <c r="C53" s="867">
        <v>630036</v>
      </c>
      <c r="D53" s="869">
        <v>373523</v>
      </c>
      <c r="E53" s="868">
        <v>118975</v>
      </c>
      <c r="F53" s="856">
        <v>108872</v>
      </c>
      <c r="G53" s="868">
        <v>11012</v>
      </c>
      <c r="H53" s="868">
        <v>93021</v>
      </c>
      <c r="I53" s="869">
        <v>4839</v>
      </c>
      <c r="J53" s="867">
        <v>44224</v>
      </c>
      <c r="K53" s="829">
        <v>645594</v>
      </c>
      <c r="L53" s="855">
        <v>-15558</v>
      </c>
      <c r="M53" s="830">
        <v>544585</v>
      </c>
      <c r="N53" s="830">
        <v>537049</v>
      </c>
      <c r="O53" s="828">
        <v>-23094</v>
      </c>
      <c r="P53" s="293">
        <v>7</v>
      </c>
      <c r="Q53" s="878"/>
      <c r="R53" s="807">
        <f t="shared" si="6"/>
        <v>630036</v>
      </c>
      <c r="S53" s="807">
        <f t="shared" si="7"/>
        <v>0</v>
      </c>
      <c r="T53" s="807"/>
      <c r="U53" s="49">
        <f>民間設備製造1!K55</f>
        <v>24250</v>
      </c>
      <c r="V53" s="49">
        <f t="shared" si="8"/>
        <v>571984</v>
      </c>
    </row>
    <row r="54" spans="1:22">
      <c r="A54" s="300">
        <v>209</v>
      </c>
      <c r="B54" s="90" t="s">
        <v>221</v>
      </c>
      <c r="C54" s="867">
        <v>309490</v>
      </c>
      <c r="D54" s="869">
        <v>182107</v>
      </c>
      <c r="E54" s="868">
        <v>51641</v>
      </c>
      <c r="F54" s="866">
        <v>50557</v>
      </c>
      <c r="G54" s="868">
        <v>5824</v>
      </c>
      <c r="H54" s="868">
        <v>42532</v>
      </c>
      <c r="I54" s="869">
        <v>2201</v>
      </c>
      <c r="J54" s="867">
        <v>14549</v>
      </c>
      <c r="K54" s="867">
        <v>298854</v>
      </c>
      <c r="L54" s="856">
        <v>10636</v>
      </c>
      <c r="M54" s="830">
        <v>264048</v>
      </c>
      <c r="N54" s="830">
        <v>248607</v>
      </c>
      <c r="O54" s="831">
        <v>-4805</v>
      </c>
      <c r="P54" s="293">
        <v>209</v>
      </c>
      <c r="Q54" s="878"/>
      <c r="R54" s="807">
        <f t="shared" si="6"/>
        <v>309490</v>
      </c>
      <c r="S54" s="807">
        <f t="shared" si="7"/>
        <v>0</v>
      </c>
      <c r="T54" s="807"/>
      <c r="U54" s="49">
        <f>民間設備製造1!K56</f>
        <v>5772</v>
      </c>
      <c r="V54" s="49">
        <f t="shared" si="8"/>
        <v>259893</v>
      </c>
    </row>
    <row r="55" spans="1:22">
      <c r="A55" s="300">
        <v>222</v>
      </c>
      <c r="B55" s="90" t="s">
        <v>218</v>
      </c>
      <c r="C55" s="867">
        <v>85915</v>
      </c>
      <c r="D55" s="869">
        <v>52559</v>
      </c>
      <c r="E55" s="868">
        <v>17619</v>
      </c>
      <c r="F55" s="866">
        <v>19034</v>
      </c>
      <c r="G55" s="868">
        <v>1495</v>
      </c>
      <c r="H55" s="868">
        <v>16821</v>
      </c>
      <c r="I55" s="869">
        <v>718</v>
      </c>
      <c r="J55" s="867">
        <v>6275</v>
      </c>
      <c r="K55" s="867">
        <v>95487</v>
      </c>
      <c r="L55" s="856">
        <v>-9572</v>
      </c>
      <c r="M55" s="830">
        <v>74973</v>
      </c>
      <c r="N55" s="830">
        <v>79433</v>
      </c>
      <c r="O55" s="831">
        <v>-5112</v>
      </c>
      <c r="P55" s="293">
        <v>222</v>
      </c>
      <c r="Q55" s="878"/>
      <c r="R55" s="807">
        <f t="shared" si="6"/>
        <v>85915</v>
      </c>
      <c r="S55" s="807">
        <f t="shared" si="7"/>
        <v>0</v>
      </c>
      <c r="T55" s="807"/>
      <c r="U55" s="49">
        <f>民間設備製造1!K57</f>
        <v>7147</v>
      </c>
      <c r="V55" s="49">
        <f t="shared" si="8"/>
        <v>85095</v>
      </c>
    </row>
    <row r="56" spans="1:22">
      <c r="A56" s="300">
        <v>225</v>
      </c>
      <c r="B56" s="90" t="s">
        <v>222</v>
      </c>
      <c r="C56" s="867">
        <v>127954</v>
      </c>
      <c r="D56" s="869">
        <v>69371</v>
      </c>
      <c r="E56" s="868">
        <v>22881</v>
      </c>
      <c r="F56" s="866">
        <v>22369</v>
      </c>
      <c r="G56" s="868">
        <v>2616</v>
      </c>
      <c r="H56" s="868">
        <v>18726</v>
      </c>
      <c r="I56" s="869">
        <v>1027</v>
      </c>
      <c r="J56" s="867">
        <v>16335</v>
      </c>
      <c r="K56" s="867">
        <v>130956</v>
      </c>
      <c r="L56" s="856">
        <v>-3002</v>
      </c>
      <c r="M56" s="830">
        <v>109947</v>
      </c>
      <c r="N56" s="830">
        <v>108938</v>
      </c>
      <c r="O56" s="831">
        <v>-4011</v>
      </c>
      <c r="P56" s="293">
        <v>225</v>
      </c>
      <c r="Q56" s="878"/>
      <c r="R56" s="807">
        <f t="shared" si="6"/>
        <v>127954</v>
      </c>
      <c r="S56" s="807">
        <f t="shared" si="7"/>
        <v>0</v>
      </c>
      <c r="T56" s="807"/>
      <c r="U56" s="49">
        <f>民間設備製造1!K58</f>
        <v>10434</v>
      </c>
      <c r="V56" s="49">
        <f t="shared" si="8"/>
        <v>121637</v>
      </c>
    </row>
    <row r="57" spans="1:22">
      <c r="A57" s="300">
        <v>585</v>
      </c>
      <c r="B57" s="90" t="s">
        <v>220</v>
      </c>
      <c r="C57" s="867">
        <v>55465</v>
      </c>
      <c r="D57" s="869">
        <v>37569</v>
      </c>
      <c r="E57" s="868">
        <v>14806</v>
      </c>
      <c r="F57" s="866">
        <v>9365</v>
      </c>
      <c r="G57" s="868">
        <v>703</v>
      </c>
      <c r="H57" s="868">
        <v>8170</v>
      </c>
      <c r="I57" s="869">
        <v>492</v>
      </c>
      <c r="J57" s="867">
        <v>4418</v>
      </c>
      <c r="K57" s="867">
        <v>66158</v>
      </c>
      <c r="L57" s="856">
        <v>-10693</v>
      </c>
      <c r="M57" s="830">
        <v>50150</v>
      </c>
      <c r="N57" s="830">
        <v>55035</v>
      </c>
      <c r="O57" s="831">
        <v>-5808</v>
      </c>
      <c r="P57" s="293">
        <v>585</v>
      </c>
      <c r="Q57" s="878"/>
      <c r="R57" s="807">
        <f t="shared" si="6"/>
        <v>55465</v>
      </c>
      <c r="S57" s="807">
        <f t="shared" si="7"/>
        <v>0</v>
      </c>
      <c r="T57" s="807"/>
      <c r="U57" s="49">
        <f>民間設備製造1!K59</f>
        <v>532</v>
      </c>
      <c r="V57" s="49">
        <f t="shared" si="8"/>
        <v>58028</v>
      </c>
    </row>
    <row r="58" spans="1:22">
      <c r="A58" s="300">
        <v>586</v>
      </c>
      <c r="B58" s="90" t="s">
        <v>237</v>
      </c>
      <c r="C58" s="867">
        <v>51212</v>
      </c>
      <c r="D58" s="869">
        <v>31917</v>
      </c>
      <c r="E58" s="868">
        <v>12028</v>
      </c>
      <c r="F58" s="866">
        <v>7547</v>
      </c>
      <c r="G58" s="868">
        <v>374</v>
      </c>
      <c r="H58" s="868">
        <v>6772</v>
      </c>
      <c r="I58" s="869">
        <v>401</v>
      </c>
      <c r="J58" s="867">
        <v>2647</v>
      </c>
      <c r="K58" s="867">
        <v>54139</v>
      </c>
      <c r="L58" s="858">
        <v>-2927</v>
      </c>
      <c r="M58" s="830">
        <v>45467</v>
      </c>
      <c r="N58" s="830">
        <v>45036</v>
      </c>
      <c r="O58" s="835">
        <v>-3358</v>
      </c>
      <c r="P58" s="293">
        <v>586</v>
      </c>
      <c r="Q58" s="878"/>
      <c r="R58" s="807">
        <f t="shared" si="6"/>
        <v>51212</v>
      </c>
      <c r="S58" s="807">
        <f t="shared" si="7"/>
        <v>0</v>
      </c>
      <c r="T58" s="807"/>
      <c r="U58" s="49">
        <f>民間設備製造1!K60</f>
        <v>365</v>
      </c>
      <c r="V58" s="49">
        <f t="shared" si="8"/>
        <v>47331</v>
      </c>
    </row>
    <row r="59" spans="1:22">
      <c r="A59" s="301">
        <v>8</v>
      </c>
      <c r="B59" s="127" t="s">
        <v>211</v>
      </c>
      <c r="C59" s="863">
        <v>418388</v>
      </c>
      <c r="D59" s="865">
        <v>230015</v>
      </c>
      <c r="E59" s="864">
        <v>65260</v>
      </c>
      <c r="F59" s="855">
        <v>109799</v>
      </c>
      <c r="G59" s="864">
        <v>11605</v>
      </c>
      <c r="H59" s="864">
        <v>95121</v>
      </c>
      <c r="I59" s="865">
        <v>3073</v>
      </c>
      <c r="J59" s="863">
        <v>21635</v>
      </c>
      <c r="K59" s="855">
        <v>426709</v>
      </c>
      <c r="L59" s="856">
        <v>-8321</v>
      </c>
      <c r="M59" s="827">
        <v>354638</v>
      </c>
      <c r="N59" s="827">
        <v>354965</v>
      </c>
      <c r="O59" s="831">
        <v>-7994</v>
      </c>
      <c r="P59" s="293">
        <v>8</v>
      </c>
      <c r="Q59" s="878"/>
      <c r="R59" s="807">
        <f t="shared" si="6"/>
        <v>418388</v>
      </c>
      <c r="S59" s="807">
        <f t="shared" si="7"/>
        <v>0</v>
      </c>
      <c r="T59" s="807"/>
      <c r="U59" s="49">
        <f>民間設備製造1!K61</f>
        <v>35695</v>
      </c>
      <c r="V59" s="49">
        <f t="shared" si="8"/>
        <v>364210</v>
      </c>
    </row>
    <row r="60" spans="1:22">
      <c r="A60" s="300">
        <v>221</v>
      </c>
      <c r="B60" s="90" t="s">
        <v>1144</v>
      </c>
      <c r="C60" s="867">
        <v>158212</v>
      </c>
      <c r="D60" s="869">
        <v>93970</v>
      </c>
      <c r="E60" s="868">
        <v>26801</v>
      </c>
      <c r="F60" s="866">
        <v>29782</v>
      </c>
      <c r="G60" s="868">
        <v>4945</v>
      </c>
      <c r="H60" s="868">
        <v>23695</v>
      </c>
      <c r="I60" s="869">
        <v>1142</v>
      </c>
      <c r="J60" s="867">
        <v>4402</v>
      </c>
      <c r="K60" s="866">
        <v>154955</v>
      </c>
      <c r="L60" s="856">
        <v>3257</v>
      </c>
      <c r="M60" s="830">
        <v>135187</v>
      </c>
      <c r="N60" s="830">
        <v>128902</v>
      </c>
      <c r="O60" s="831">
        <v>-3028</v>
      </c>
      <c r="P60" s="293">
        <v>221</v>
      </c>
      <c r="Q60" s="878"/>
      <c r="R60" s="807">
        <f t="shared" si="6"/>
        <v>158212</v>
      </c>
      <c r="S60" s="807">
        <f t="shared" si="7"/>
        <v>0</v>
      </c>
      <c r="T60" s="807"/>
      <c r="U60" s="49">
        <f>民間設備製造1!K62</f>
        <v>4790</v>
      </c>
      <c r="V60" s="49">
        <f t="shared" si="8"/>
        <v>134908</v>
      </c>
    </row>
    <row r="61" spans="1:22">
      <c r="A61" s="302">
        <v>223</v>
      </c>
      <c r="B61" s="201" t="s">
        <v>223</v>
      </c>
      <c r="C61" s="871">
        <v>260176</v>
      </c>
      <c r="D61" s="873">
        <v>136045</v>
      </c>
      <c r="E61" s="872">
        <v>38459</v>
      </c>
      <c r="F61" s="870">
        <v>80017</v>
      </c>
      <c r="G61" s="872">
        <v>6660</v>
      </c>
      <c r="H61" s="872">
        <v>71426</v>
      </c>
      <c r="I61" s="873">
        <v>1931</v>
      </c>
      <c r="J61" s="871">
        <v>17233</v>
      </c>
      <c r="K61" s="870">
        <v>271754</v>
      </c>
      <c r="L61" s="856">
        <v>-11578</v>
      </c>
      <c r="M61" s="837">
        <v>219451</v>
      </c>
      <c r="N61" s="837">
        <v>226063</v>
      </c>
      <c r="O61" s="831">
        <v>-4966</v>
      </c>
      <c r="P61" s="293">
        <v>223</v>
      </c>
      <c r="Q61" s="878"/>
      <c r="R61" s="807">
        <f t="shared" si="6"/>
        <v>260176</v>
      </c>
      <c r="S61" s="807">
        <f t="shared" si="7"/>
        <v>0</v>
      </c>
      <c r="T61" s="807"/>
      <c r="U61" s="49">
        <f>民間設備製造1!K63</f>
        <v>30905</v>
      </c>
      <c r="V61" s="49">
        <f t="shared" si="8"/>
        <v>229302</v>
      </c>
    </row>
    <row r="62" spans="1:22">
      <c r="A62" s="300">
        <v>9</v>
      </c>
      <c r="B62" s="94" t="s">
        <v>212</v>
      </c>
      <c r="C62" s="867">
        <v>465211</v>
      </c>
      <c r="D62" s="869">
        <v>272940</v>
      </c>
      <c r="E62" s="868">
        <v>85600</v>
      </c>
      <c r="F62" s="856">
        <v>83139</v>
      </c>
      <c r="G62" s="868">
        <v>12792</v>
      </c>
      <c r="H62" s="868">
        <v>66811</v>
      </c>
      <c r="I62" s="869">
        <v>3536</v>
      </c>
      <c r="J62" s="867">
        <v>38287</v>
      </c>
      <c r="K62" s="829">
        <v>479966</v>
      </c>
      <c r="L62" s="855">
        <v>-14755</v>
      </c>
      <c r="M62" s="830">
        <v>400968</v>
      </c>
      <c r="N62" s="830">
        <v>399268</v>
      </c>
      <c r="O62" s="828">
        <v>-16455</v>
      </c>
      <c r="P62" s="293">
        <v>9</v>
      </c>
      <c r="Q62" s="878"/>
      <c r="R62" s="807">
        <f t="shared" si="6"/>
        <v>465211</v>
      </c>
      <c r="S62" s="807">
        <f t="shared" si="7"/>
        <v>0</v>
      </c>
      <c r="T62" s="807"/>
      <c r="U62" s="49">
        <f>民間設備製造1!K64</f>
        <v>7912</v>
      </c>
      <c r="V62" s="49">
        <f t="shared" si="8"/>
        <v>417531</v>
      </c>
    </row>
    <row r="63" spans="1:22">
      <c r="A63" s="300">
        <v>205</v>
      </c>
      <c r="B63" s="92" t="s">
        <v>241</v>
      </c>
      <c r="C63" s="867">
        <v>166404</v>
      </c>
      <c r="D63" s="869">
        <v>94001</v>
      </c>
      <c r="E63" s="868">
        <v>25313</v>
      </c>
      <c r="F63" s="866">
        <v>26868</v>
      </c>
      <c r="G63" s="868">
        <v>4022</v>
      </c>
      <c r="H63" s="868">
        <v>21674</v>
      </c>
      <c r="I63" s="869">
        <v>1172</v>
      </c>
      <c r="J63" s="867">
        <v>11878</v>
      </c>
      <c r="K63" s="867">
        <v>158060</v>
      </c>
      <c r="L63" s="856">
        <v>8344</v>
      </c>
      <c r="M63" s="830">
        <v>140721</v>
      </c>
      <c r="N63" s="830">
        <v>131485</v>
      </c>
      <c r="O63" s="831">
        <v>-892</v>
      </c>
      <c r="P63" s="293">
        <v>205</v>
      </c>
      <c r="Q63" s="878"/>
      <c r="R63" s="807">
        <f t="shared" si="6"/>
        <v>166404</v>
      </c>
      <c r="S63" s="807">
        <f t="shared" si="7"/>
        <v>0</v>
      </c>
      <c r="T63" s="807"/>
      <c r="U63" s="49">
        <f>民間設備製造1!K65</f>
        <v>3169</v>
      </c>
      <c r="V63" s="49">
        <f t="shared" si="8"/>
        <v>138383</v>
      </c>
    </row>
    <row r="64" spans="1:22">
      <c r="A64" s="300">
        <v>224</v>
      </c>
      <c r="B64" s="90" t="s">
        <v>224</v>
      </c>
      <c r="C64" s="867">
        <v>161900</v>
      </c>
      <c r="D64" s="869">
        <v>88214</v>
      </c>
      <c r="E64" s="868">
        <v>30254</v>
      </c>
      <c r="F64" s="866">
        <v>28625</v>
      </c>
      <c r="G64" s="868">
        <v>5495</v>
      </c>
      <c r="H64" s="868">
        <v>21968</v>
      </c>
      <c r="I64" s="869">
        <v>1162</v>
      </c>
      <c r="J64" s="867">
        <v>11579</v>
      </c>
      <c r="K64" s="867">
        <v>158672</v>
      </c>
      <c r="L64" s="856">
        <v>3228</v>
      </c>
      <c r="M64" s="830">
        <v>139779</v>
      </c>
      <c r="N64" s="830">
        <v>131994</v>
      </c>
      <c r="O64" s="831">
        <v>-4557</v>
      </c>
      <c r="P64" s="293">
        <v>224</v>
      </c>
      <c r="Q64" s="878"/>
      <c r="R64" s="807">
        <f t="shared" si="6"/>
        <v>161900</v>
      </c>
      <c r="S64" s="807">
        <f t="shared" si="7"/>
        <v>0</v>
      </c>
      <c r="T64" s="807"/>
      <c r="U64" s="49">
        <f>民間設備製造1!K66</f>
        <v>1658</v>
      </c>
      <c r="V64" s="49">
        <f t="shared" si="8"/>
        <v>137200</v>
      </c>
    </row>
    <row r="65" spans="1:22">
      <c r="A65" s="302">
        <v>226</v>
      </c>
      <c r="B65" s="201" t="s">
        <v>225</v>
      </c>
      <c r="C65" s="871">
        <v>136907</v>
      </c>
      <c r="D65" s="873">
        <v>90725</v>
      </c>
      <c r="E65" s="872">
        <v>30033</v>
      </c>
      <c r="F65" s="870">
        <v>27646</v>
      </c>
      <c r="G65" s="872">
        <v>3275</v>
      </c>
      <c r="H65" s="872">
        <v>23169</v>
      </c>
      <c r="I65" s="873">
        <v>1202</v>
      </c>
      <c r="J65" s="871">
        <v>14830</v>
      </c>
      <c r="K65" s="871">
        <v>163234</v>
      </c>
      <c r="L65" s="858">
        <v>-26327</v>
      </c>
      <c r="M65" s="837">
        <v>120468</v>
      </c>
      <c r="N65" s="837">
        <v>135789</v>
      </c>
      <c r="O65" s="835">
        <v>-11006</v>
      </c>
      <c r="P65" s="293">
        <v>226</v>
      </c>
      <c r="Q65" s="878"/>
      <c r="R65" s="807">
        <f t="shared" si="6"/>
        <v>136907</v>
      </c>
      <c r="S65" s="807">
        <f t="shared" si="7"/>
        <v>0</v>
      </c>
      <c r="T65" s="807"/>
      <c r="U65" s="49">
        <f>民間設備製造1!K67</f>
        <v>3085</v>
      </c>
      <c r="V65" s="49">
        <f t="shared" si="8"/>
        <v>141948</v>
      </c>
    </row>
    <row r="66" spans="1:22">
      <c r="A66" s="75"/>
      <c r="B66" s="75"/>
      <c r="C66" s="239"/>
      <c r="D66" s="239"/>
      <c r="E66" s="239"/>
      <c r="F66" s="239"/>
      <c r="G66" s="239"/>
      <c r="H66" s="239"/>
      <c r="I66" s="239"/>
      <c r="J66" s="239"/>
      <c r="K66" s="239"/>
      <c r="L66" s="239"/>
      <c r="M66" s="239"/>
      <c r="N66" s="239"/>
      <c r="O66" s="352" t="s">
        <v>1103</v>
      </c>
    </row>
    <row r="67" spans="1:22">
      <c r="A67" s="75"/>
      <c r="B67" s="75" t="s">
        <v>1309</v>
      </c>
      <c r="C67" s="239">
        <f>+SUM(C17:C65)/2+C16</f>
        <v>21747193</v>
      </c>
      <c r="D67" s="239">
        <f t="shared" ref="D67:O67" si="9">+SUM(D17:D65)/2+D16</f>
        <v>13068268</v>
      </c>
      <c r="E67" s="239">
        <f t="shared" si="9"/>
        <v>2518395</v>
      </c>
      <c r="F67" s="239">
        <f t="shared" si="9"/>
        <v>4531356</v>
      </c>
      <c r="G67" s="239">
        <f t="shared" si="9"/>
        <v>746870</v>
      </c>
      <c r="H67" s="239">
        <f t="shared" si="9"/>
        <v>3628849</v>
      </c>
      <c r="I67" s="239">
        <f t="shared" si="9"/>
        <v>155637</v>
      </c>
      <c r="J67" s="239">
        <f t="shared" si="9"/>
        <v>771815</v>
      </c>
      <c r="K67" s="239">
        <f t="shared" si="9"/>
        <v>20889834</v>
      </c>
      <c r="L67" s="239">
        <f t="shared" si="9"/>
        <v>857359</v>
      </c>
      <c r="M67" s="850">
        <f t="shared" si="9"/>
        <v>17988315</v>
      </c>
      <c r="N67" s="239">
        <f t="shared" si="9"/>
        <v>17377573</v>
      </c>
      <c r="O67" s="239">
        <f t="shared" si="9"/>
        <v>246617</v>
      </c>
    </row>
    <row r="68" spans="1:22">
      <c r="A68" s="75"/>
      <c r="B68" s="75" t="s">
        <v>1307</v>
      </c>
      <c r="C68" s="239">
        <f>名目県内総支出!Q44</f>
        <v>21747193</v>
      </c>
      <c r="D68" s="239">
        <f>名目県内総支出!Q6</f>
        <v>13068268</v>
      </c>
      <c r="E68" s="239">
        <f>名目県内総支出!Q61</f>
        <v>2518395</v>
      </c>
      <c r="F68" s="239">
        <f>名目県内総支出!Q28+名目県内総支出!Q36</f>
        <v>4531356</v>
      </c>
      <c r="G68" s="239">
        <f>名目県内総支出!Q29</f>
        <v>746870</v>
      </c>
      <c r="H68" s="239">
        <f>名目県内総支出!Q30</f>
        <v>3628849</v>
      </c>
      <c r="I68" s="239">
        <f>名目県内総支出!Q36</f>
        <v>155637</v>
      </c>
      <c r="J68" s="239">
        <f>名目県内総支出!Q31+名目県内総支出!Q37</f>
        <v>771815</v>
      </c>
      <c r="K68" s="239">
        <f>名目県内総支出!Q62</f>
        <v>20889834</v>
      </c>
      <c r="L68" s="850">
        <f>名目県内総支出!Q63</f>
        <v>857359</v>
      </c>
      <c r="M68" s="850">
        <f>名目県内総支出!Q39+名目県内総支出!Q41+名目県内総支出!Q64</f>
        <v>18064939.653720029</v>
      </c>
      <c r="N68" s="239">
        <f>名目県内総支出!Q40</f>
        <v>17366396</v>
      </c>
      <c r="O68" s="239">
        <f>名目県内総支出!Q43</f>
        <v>246617</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0</v>
      </c>
      <c r="L69" s="838">
        <f t="shared" si="10"/>
        <v>0</v>
      </c>
      <c r="M69" s="838">
        <f t="shared" si="10"/>
        <v>-76624.653720028698</v>
      </c>
      <c r="N69" s="838">
        <f t="shared" si="10"/>
        <v>11177</v>
      </c>
      <c r="O69" s="838">
        <f t="shared" si="10"/>
        <v>0</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5" right="0.75" top="1" bottom="1" header="0.51200000000000001" footer="0.51200000000000001"/>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0ECD-780C-4310-B8E6-BE5D307A5C16}">
  <sheetPr>
    <tabColor theme="9" tint="0.59999389629810485"/>
  </sheetPr>
  <dimension ref="A1:G12"/>
  <sheetViews>
    <sheetView workbookViewId="0">
      <selection activeCell="G9" sqref="G9"/>
    </sheetView>
  </sheetViews>
  <sheetFormatPr defaultRowHeight="13"/>
  <cols>
    <col min="1" max="1" width="11.35546875" style="73" customWidth="1"/>
    <col min="2" max="2" width="17.640625" style="73" customWidth="1"/>
    <col min="3" max="3" width="9.140625" style="73"/>
    <col min="4" max="4" width="8.85546875" style="73" customWidth="1"/>
    <col min="5" max="256" width="9.140625" style="73"/>
    <col min="257" max="257" width="5.7109375" style="73" customWidth="1"/>
    <col min="258" max="258" width="17.640625" style="73" customWidth="1"/>
    <col min="259" max="512" width="9.140625" style="73"/>
    <col min="513" max="513" width="5.7109375" style="73" customWidth="1"/>
    <col min="514" max="514" width="17.640625" style="73" customWidth="1"/>
    <col min="515" max="768" width="9.140625" style="73"/>
    <col min="769" max="769" width="5.7109375" style="73" customWidth="1"/>
    <col min="770" max="770" width="17.640625" style="73" customWidth="1"/>
    <col min="771" max="1024" width="9.140625" style="73"/>
    <col min="1025" max="1025" width="5.7109375" style="73" customWidth="1"/>
    <col min="1026" max="1026" width="17.640625" style="73" customWidth="1"/>
    <col min="1027" max="1280" width="9.140625" style="73"/>
    <col min="1281" max="1281" width="5.7109375" style="73" customWidth="1"/>
    <col min="1282" max="1282" width="17.640625" style="73" customWidth="1"/>
    <col min="1283" max="1536" width="9.140625" style="73"/>
    <col min="1537" max="1537" width="5.7109375" style="73" customWidth="1"/>
    <col min="1538" max="1538" width="17.640625" style="73" customWidth="1"/>
    <col min="1539" max="1792" width="9.140625" style="73"/>
    <col min="1793" max="1793" width="5.7109375" style="73" customWidth="1"/>
    <col min="1794" max="1794" width="17.640625" style="73" customWidth="1"/>
    <col min="1795" max="2048" width="9.140625" style="73"/>
    <col min="2049" max="2049" width="5.7109375" style="73" customWidth="1"/>
    <col min="2050" max="2050" width="17.640625" style="73" customWidth="1"/>
    <col min="2051" max="2304" width="9.140625" style="73"/>
    <col min="2305" max="2305" width="5.7109375" style="73" customWidth="1"/>
    <col min="2306" max="2306" width="17.640625" style="73" customWidth="1"/>
    <col min="2307" max="2560" width="9.140625" style="73"/>
    <col min="2561" max="2561" width="5.7109375" style="73" customWidth="1"/>
    <col min="2562" max="2562" width="17.640625" style="73" customWidth="1"/>
    <col min="2563" max="2816" width="9.140625" style="73"/>
    <col min="2817" max="2817" width="5.7109375" style="73" customWidth="1"/>
    <col min="2818" max="2818" width="17.640625" style="73" customWidth="1"/>
    <col min="2819" max="3072" width="9.140625" style="73"/>
    <col min="3073" max="3073" width="5.7109375" style="73" customWidth="1"/>
    <col min="3074" max="3074" width="17.640625" style="73" customWidth="1"/>
    <col min="3075" max="3328" width="9.140625" style="73"/>
    <col min="3329" max="3329" width="5.7109375" style="73" customWidth="1"/>
    <col min="3330" max="3330" width="17.640625" style="73" customWidth="1"/>
    <col min="3331" max="3584" width="9.140625" style="73"/>
    <col min="3585" max="3585" width="5.7109375" style="73" customWidth="1"/>
    <col min="3586" max="3586" width="17.640625" style="73" customWidth="1"/>
    <col min="3587" max="3840" width="9.140625" style="73"/>
    <col min="3841" max="3841" width="5.7109375" style="73" customWidth="1"/>
    <col min="3842" max="3842" width="17.640625" style="73" customWidth="1"/>
    <col min="3843" max="4096" width="9.140625" style="73"/>
    <col min="4097" max="4097" width="5.7109375" style="73" customWidth="1"/>
    <col min="4098" max="4098" width="17.640625" style="73" customWidth="1"/>
    <col min="4099" max="4352" width="9.140625" style="73"/>
    <col min="4353" max="4353" width="5.7109375" style="73" customWidth="1"/>
    <col min="4354" max="4354" width="17.640625" style="73" customWidth="1"/>
    <col min="4355" max="4608" width="9.140625" style="73"/>
    <col min="4609" max="4609" width="5.7109375" style="73" customWidth="1"/>
    <col min="4610" max="4610" width="17.640625" style="73" customWidth="1"/>
    <col min="4611" max="4864" width="9.140625" style="73"/>
    <col min="4865" max="4865" width="5.7109375" style="73" customWidth="1"/>
    <col min="4866" max="4866" width="17.640625" style="73" customWidth="1"/>
    <col min="4867" max="5120" width="9.140625" style="73"/>
    <col min="5121" max="5121" width="5.7109375" style="73" customWidth="1"/>
    <col min="5122" max="5122" width="17.640625" style="73" customWidth="1"/>
    <col min="5123" max="5376" width="9.140625" style="73"/>
    <col min="5377" max="5377" width="5.7109375" style="73" customWidth="1"/>
    <col min="5378" max="5378" width="17.640625" style="73" customWidth="1"/>
    <col min="5379" max="5632" width="9.140625" style="73"/>
    <col min="5633" max="5633" width="5.7109375" style="73" customWidth="1"/>
    <col min="5634" max="5634" width="17.640625" style="73" customWidth="1"/>
    <col min="5635" max="5888" width="9.140625" style="73"/>
    <col min="5889" max="5889" width="5.7109375" style="73" customWidth="1"/>
    <col min="5890" max="5890" width="17.640625" style="73" customWidth="1"/>
    <col min="5891" max="6144" width="9.140625" style="73"/>
    <col min="6145" max="6145" width="5.7109375" style="73" customWidth="1"/>
    <col min="6146" max="6146" width="17.640625" style="73" customWidth="1"/>
    <col min="6147" max="6400" width="9.140625" style="73"/>
    <col min="6401" max="6401" width="5.7109375" style="73" customWidth="1"/>
    <col min="6402" max="6402" width="17.640625" style="73" customWidth="1"/>
    <col min="6403" max="6656" width="9.140625" style="73"/>
    <col min="6657" max="6657" width="5.7109375" style="73" customWidth="1"/>
    <col min="6658" max="6658" width="17.640625" style="73" customWidth="1"/>
    <col min="6659" max="6912" width="9.140625" style="73"/>
    <col min="6913" max="6913" width="5.7109375" style="73" customWidth="1"/>
    <col min="6914" max="6914" width="17.640625" style="73" customWidth="1"/>
    <col min="6915" max="7168" width="9.140625" style="73"/>
    <col min="7169" max="7169" width="5.7109375" style="73" customWidth="1"/>
    <col min="7170" max="7170" width="17.640625" style="73" customWidth="1"/>
    <col min="7171" max="7424" width="9.140625" style="73"/>
    <col min="7425" max="7425" width="5.7109375" style="73" customWidth="1"/>
    <col min="7426" max="7426" width="17.640625" style="73" customWidth="1"/>
    <col min="7427" max="7680" width="9.140625" style="73"/>
    <col min="7681" max="7681" width="5.7109375" style="73" customWidth="1"/>
    <col min="7682" max="7682" width="17.640625" style="73" customWidth="1"/>
    <col min="7683" max="7936" width="9.140625" style="73"/>
    <col min="7937" max="7937" width="5.7109375" style="73" customWidth="1"/>
    <col min="7938" max="7938" width="17.640625" style="73" customWidth="1"/>
    <col min="7939" max="8192" width="9.140625" style="73"/>
    <col min="8193" max="8193" width="5.7109375" style="73" customWidth="1"/>
    <col min="8194" max="8194" width="17.640625" style="73" customWidth="1"/>
    <col min="8195" max="8448" width="9.140625" style="73"/>
    <col min="8449" max="8449" width="5.7109375" style="73" customWidth="1"/>
    <col min="8450" max="8450" width="17.640625" style="73" customWidth="1"/>
    <col min="8451" max="8704" width="9.140625" style="73"/>
    <col min="8705" max="8705" width="5.7109375" style="73" customWidth="1"/>
    <col min="8706" max="8706" width="17.640625" style="73" customWidth="1"/>
    <col min="8707" max="8960" width="9.140625" style="73"/>
    <col min="8961" max="8961" width="5.7109375" style="73" customWidth="1"/>
    <col min="8962" max="8962" width="17.640625" style="73" customWidth="1"/>
    <col min="8963" max="9216" width="9.140625" style="73"/>
    <col min="9217" max="9217" width="5.7109375" style="73" customWidth="1"/>
    <col min="9218" max="9218" width="17.640625" style="73" customWidth="1"/>
    <col min="9219" max="9472" width="9.140625" style="73"/>
    <col min="9473" max="9473" width="5.7109375" style="73" customWidth="1"/>
    <col min="9474" max="9474" width="17.640625" style="73" customWidth="1"/>
    <col min="9475" max="9728" width="9.140625" style="73"/>
    <col min="9729" max="9729" width="5.7109375" style="73" customWidth="1"/>
    <col min="9730" max="9730" width="17.640625" style="73" customWidth="1"/>
    <col min="9731" max="9984" width="9.140625" style="73"/>
    <col min="9985" max="9985" width="5.7109375" style="73" customWidth="1"/>
    <col min="9986" max="9986" width="17.640625" style="73" customWidth="1"/>
    <col min="9987" max="10240" width="9.140625" style="73"/>
    <col min="10241" max="10241" width="5.7109375" style="73" customWidth="1"/>
    <col min="10242" max="10242" width="17.640625" style="73" customWidth="1"/>
    <col min="10243" max="10496" width="9.140625" style="73"/>
    <col min="10497" max="10497" width="5.7109375" style="73" customWidth="1"/>
    <col min="10498" max="10498" width="17.640625" style="73" customWidth="1"/>
    <col min="10499" max="10752" width="9.140625" style="73"/>
    <col min="10753" max="10753" width="5.7109375" style="73" customWidth="1"/>
    <col min="10754" max="10754" width="17.640625" style="73" customWidth="1"/>
    <col min="10755" max="11008" width="9.140625" style="73"/>
    <col min="11009" max="11009" width="5.7109375" style="73" customWidth="1"/>
    <col min="11010" max="11010" width="17.640625" style="73" customWidth="1"/>
    <col min="11011" max="11264" width="9.140625" style="73"/>
    <col min="11265" max="11265" width="5.7109375" style="73" customWidth="1"/>
    <col min="11266" max="11266" width="17.640625" style="73" customWidth="1"/>
    <col min="11267" max="11520" width="9.140625" style="73"/>
    <col min="11521" max="11521" width="5.7109375" style="73" customWidth="1"/>
    <col min="11522" max="11522" width="17.640625" style="73" customWidth="1"/>
    <col min="11523" max="11776" width="9.140625" style="73"/>
    <col min="11777" max="11777" width="5.7109375" style="73" customWidth="1"/>
    <col min="11778" max="11778" width="17.640625" style="73" customWidth="1"/>
    <col min="11779" max="12032" width="9.140625" style="73"/>
    <col min="12033" max="12033" width="5.7109375" style="73" customWidth="1"/>
    <col min="12034" max="12034" width="17.640625" style="73" customWidth="1"/>
    <col min="12035" max="12288" width="9.140625" style="73"/>
    <col min="12289" max="12289" width="5.7109375" style="73" customWidth="1"/>
    <col min="12290" max="12290" width="17.640625" style="73" customWidth="1"/>
    <col min="12291" max="12544" width="9.140625" style="73"/>
    <col min="12545" max="12545" width="5.7109375" style="73" customWidth="1"/>
    <col min="12546" max="12546" width="17.640625" style="73" customWidth="1"/>
    <col min="12547" max="12800" width="9.140625" style="73"/>
    <col min="12801" max="12801" width="5.7109375" style="73" customWidth="1"/>
    <col min="12802" max="12802" width="17.640625" style="73" customWidth="1"/>
    <col min="12803" max="13056" width="9.140625" style="73"/>
    <col min="13057" max="13057" width="5.7109375" style="73" customWidth="1"/>
    <col min="13058" max="13058" width="17.640625" style="73" customWidth="1"/>
    <col min="13059" max="13312" width="9.140625" style="73"/>
    <col min="13313" max="13313" width="5.7109375" style="73" customWidth="1"/>
    <col min="13314" max="13314" width="17.640625" style="73" customWidth="1"/>
    <col min="13315" max="13568" width="9.140625" style="73"/>
    <col min="13569" max="13569" width="5.7109375" style="73" customWidth="1"/>
    <col min="13570" max="13570" width="17.640625" style="73" customWidth="1"/>
    <col min="13571" max="13824" width="9.140625" style="73"/>
    <col min="13825" max="13825" width="5.7109375" style="73" customWidth="1"/>
    <col min="13826" max="13826" width="17.640625" style="73" customWidth="1"/>
    <col min="13827" max="14080" width="9.140625" style="73"/>
    <col min="14081" max="14081" width="5.7109375" style="73" customWidth="1"/>
    <col min="14082" max="14082" width="17.640625" style="73" customWidth="1"/>
    <col min="14083" max="14336" width="9.140625" style="73"/>
    <col min="14337" max="14337" width="5.7109375" style="73" customWidth="1"/>
    <col min="14338" max="14338" width="17.640625" style="73" customWidth="1"/>
    <col min="14339" max="14592" width="9.140625" style="73"/>
    <col min="14593" max="14593" width="5.7109375" style="73" customWidth="1"/>
    <col min="14594" max="14594" width="17.640625" style="73" customWidth="1"/>
    <col min="14595" max="14848" width="9.140625" style="73"/>
    <col min="14849" max="14849" width="5.7109375" style="73" customWidth="1"/>
    <col min="14850" max="14850" width="17.640625" style="73" customWidth="1"/>
    <col min="14851" max="15104" width="9.140625" style="73"/>
    <col min="15105" max="15105" width="5.7109375" style="73" customWidth="1"/>
    <col min="15106" max="15106" width="17.640625" style="73" customWidth="1"/>
    <col min="15107" max="15360" width="9.140625" style="73"/>
    <col min="15361" max="15361" width="5.7109375" style="73" customWidth="1"/>
    <col min="15362" max="15362" width="17.640625" style="73" customWidth="1"/>
    <col min="15363" max="15616" width="9.140625" style="73"/>
    <col min="15617" max="15617" width="5.7109375" style="73" customWidth="1"/>
    <col min="15618" max="15618" width="17.640625" style="73" customWidth="1"/>
    <col min="15619" max="15872" width="9.140625" style="73"/>
    <col min="15873" max="15873" width="5.7109375" style="73" customWidth="1"/>
    <col min="15874" max="15874" width="17.640625" style="73" customWidth="1"/>
    <col min="15875" max="16128" width="9.140625" style="73"/>
    <col min="16129" max="16129" width="5.7109375" style="73" customWidth="1"/>
    <col min="16130" max="16130" width="17.640625" style="73" customWidth="1"/>
    <col min="16131" max="16384" width="9.140625" style="73"/>
  </cols>
  <sheetData>
    <row r="1" spans="1:7">
      <c r="A1" s="2031" t="s">
        <v>1823</v>
      </c>
      <c r="B1" s="2032"/>
      <c r="C1" s="2032"/>
    </row>
    <row r="2" spans="1:7">
      <c r="A2" s="2033" t="s">
        <v>1824</v>
      </c>
      <c r="B2" s="2033" t="s">
        <v>1825</v>
      </c>
      <c r="C2" s="2294" t="s">
        <v>1826</v>
      </c>
      <c r="D2" s="2295"/>
    </row>
    <row r="3" spans="1:7">
      <c r="A3" s="2033" t="s">
        <v>1829</v>
      </c>
      <c r="B3" s="2038">
        <v>46122</v>
      </c>
      <c r="C3" s="2039"/>
      <c r="D3" s="2040"/>
    </row>
    <row r="4" spans="1:7">
      <c r="A4" s="2034" t="s">
        <v>1832</v>
      </c>
      <c r="B4" s="2035">
        <v>46213</v>
      </c>
      <c r="C4" s="2296" t="s">
        <v>1827</v>
      </c>
      <c r="D4" s="2297"/>
    </row>
    <row r="5" spans="1:7">
      <c r="A5" s="2033" t="s">
        <v>1834</v>
      </c>
      <c r="B5" s="2036">
        <v>46305</v>
      </c>
      <c r="C5" s="2033"/>
      <c r="D5" s="2037"/>
    </row>
    <row r="6" spans="1:7">
      <c r="A6" s="2033" t="s">
        <v>1828</v>
      </c>
      <c r="B6" s="2038">
        <v>46397</v>
      </c>
      <c r="C6" s="2039"/>
      <c r="D6" s="2040"/>
    </row>
    <row r="8" spans="1:7">
      <c r="A8" s="2032"/>
      <c r="B8" s="2032"/>
      <c r="C8" s="2032"/>
      <c r="D8" s="2032"/>
    </row>
    <row r="9" spans="1:7">
      <c r="A9" s="2032" t="s">
        <v>1830</v>
      </c>
      <c r="B9" s="2032"/>
      <c r="C9" s="2032"/>
      <c r="D9" s="2032"/>
      <c r="E9" s="2032"/>
      <c r="F9" s="2041"/>
      <c r="G9" s="2032"/>
    </row>
    <row r="10" spans="1:7">
      <c r="A10" s="2032" t="s">
        <v>1831</v>
      </c>
      <c r="B10" s="2032"/>
      <c r="C10" s="2032"/>
      <c r="D10" s="2032"/>
      <c r="E10" s="2032"/>
      <c r="F10" s="2032"/>
      <c r="G10" s="2032"/>
    </row>
    <row r="11" spans="1:7">
      <c r="A11" s="2032" t="s">
        <v>1833</v>
      </c>
      <c r="B11" s="2032"/>
      <c r="C11" s="2032"/>
      <c r="D11" s="2032"/>
      <c r="E11" s="2032"/>
      <c r="F11" s="2032"/>
      <c r="G11" s="2032"/>
    </row>
    <row r="12" spans="1:7">
      <c r="A12" s="2032"/>
      <c r="B12" s="2032"/>
      <c r="C12" s="2032"/>
      <c r="D12" s="2032"/>
    </row>
  </sheetData>
  <mergeCells count="2">
    <mergeCell ref="C2:D2"/>
    <mergeCell ref="C4:D4"/>
  </mergeCells>
  <phoneticPr fontId="13"/>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0">
    <tabColor theme="9" tint="0.59999389629810485"/>
  </sheetPr>
  <dimension ref="A1:V70"/>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8515625" defaultRowHeight="13"/>
  <cols>
    <col min="1" max="1" width="3.92578125" style="49" customWidth="1"/>
    <col min="2" max="15" width="8.78515625" style="49"/>
    <col min="16" max="16" width="4.2109375" style="49" customWidth="1"/>
    <col min="17" max="17" width="5.5" style="49" customWidth="1"/>
    <col min="18" max="18" width="8.5" style="49" customWidth="1"/>
    <col min="19" max="20" width="5.5" style="49" customWidth="1"/>
    <col min="21" max="21" width="9.5703125" style="49" customWidth="1"/>
    <col min="22" max="22" width="8.92578125" style="49" customWidth="1"/>
    <col min="23" max="16384" width="8.78515625" style="49"/>
  </cols>
  <sheetData>
    <row r="1" spans="1:22">
      <c r="A1" s="86"/>
      <c r="B1" s="65" t="s">
        <v>1027</v>
      </c>
      <c r="C1" s="239"/>
      <c r="D1" s="239"/>
      <c r="E1" s="239"/>
      <c r="F1" s="1878" t="str">
        <f>'24R5'!F1</f>
        <v>市町民経済計算試算(2026.3)</v>
      </c>
      <c r="G1" s="682"/>
      <c r="H1" s="239"/>
      <c r="I1" s="239"/>
      <c r="J1" s="239"/>
      <c r="K1" s="239"/>
      <c r="L1" s="239"/>
      <c r="M1" s="239"/>
      <c r="N1" s="239" t="s">
        <v>818</v>
      </c>
      <c r="O1" s="830"/>
      <c r="R1" s="851" t="s">
        <v>1344</v>
      </c>
      <c r="S1" s="843"/>
    </row>
    <row r="2" spans="1:22" ht="26.25" customHeight="1">
      <c r="A2" s="294"/>
      <c r="B2" s="296" t="s">
        <v>930</v>
      </c>
      <c r="C2" s="297" t="s">
        <v>817</v>
      </c>
      <c r="D2" s="275" t="s">
        <v>68</v>
      </c>
      <c r="E2" s="291" t="s">
        <v>1289</v>
      </c>
      <c r="F2" s="297" t="s">
        <v>69</v>
      </c>
      <c r="G2" s="291"/>
      <c r="H2" s="291"/>
      <c r="I2" s="817"/>
      <c r="J2" s="275" t="s">
        <v>70</v>
      </c>
      <c r="K2" s="817" t="s">
        <v>671</v>
      </c>
      <c r="L2" s="2310" t="s">
        <v>71</v>
      </c>
      <c r="M2" s="2311"/>
      <c r="N2" s="291"/>
      <c r="O2" s="817"/>
      <c r="P2" s="92"/>
      <c r="Q2" s="313"/>
      <c r="R2" s="852" t="s">
        <v>1345</v>
      </c>
      <c r="S2" s="908">
        <f>+SUM(C69:O69)</f>
        <v>-57409.222932728182</v>
      </c>
      <c r="T2" s="755"/>
      <c r="U2" s="839" t="s">
        <v>1343</v>
      </c>
      <c r="V2" s="841"/>
    </row>
    <row r="3" spans="1:22" ht="28.5">
      <c r="A3" s="357"/>
      <c r="B3" s="92" t="s">
        <v>931</v>
      </c>
      <c r="C3" s="351" t="s">
        <v>82</v>
      </c>
      <c r="D3" s="353"/>
      <c r="E3" s="352"/>
      <c r="F3" s="351" t="s">
        <v>83</v>
      </c>
      <c r="G3" s="297" t="s">
        <v>72</v>
      </c>
      <c r="H3" s="275" t="s">
        <v>73</v>
      </c>
      <c r="I3" s="817" t="s">
        <v>74</v>
      </c>
      <c r="J3" s="353"/>
      <c r="K3" s="861"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3">
        <v>21965422</v>
      </c>
      <c r="D4" s="865">
        <v>12971297</v>
      </c>
      <c r="E4" s="864">
        <v>2535493</v>
      </c>
      <c r="F4" s="862">
        <v>4386665</v>
      </c>
      <c r="G4" s="864">
        <v>752059</v>
      </c>
      <c r="H4" s="864">
        <v>3697164</v>
      </c>
      <c r="I4" s="865">
        <v>-62558</v>
      </c>
      <c r="J4" s="863">
        <v>776243</v>
      </c>
      <c r="K4" s="865">
        <v>20669698</v>
      </c>
      <c r="L4" s="862">
        <v>1295724</v>
      </c>
      <c r="M4" s="864">
        <v>17938429</v>
      </c>
      <c r="N4" s="864">
        <v>16624536</v>
      </c>
      <c r="O4" s="865">
        <v>-18169</v>
      </c>
      <c r="P4" s="77"/>
      <c r="Q4" s="878"/>
      <c r="R4" s="807">
        <f t="shared" ref="R4:R14" si="0">D4+E4+F4+J4+L4</f>
        <v>21965422</v>
      </c>
      <c r="S4" s="807">
        <f t="shared" ref="S4:S14" si="1">C4-R4</f>
        <v>0</v>
      </c>
      <c r="T4" s="807"/>
      <c r="U4" s="49">
        <v>1344059.9495526401</v>
      </c>
      <c r="V4" s="49">
        <f t="shared" ref="V4:V14" si="2">D4+E4+G4+J4+U4</f>
        <v>18379151.94955264</v>
      </c>
    </row>
    <row r="5" spans="1:22">
      <c r="A5" s="298">
        <v>100</v>
      </c>
      <c r="B5" s="75" t="s">
        <v>172</v>
      </c>
      <c r="C5" s="867">
        <v>6885364</v>
      </c>
      <c r="D5" s="869">
        <v>4051443</v>
      </c>
      <c r="E5" s="868">
        <v>718365</v>
      </c>
      <c r="F5" s="866">
        <v>1111362</v>
      </c>
      <c r="G5" s="868">
        <v>191860</v>
      </c>
      <c r="H5" s="868">
        <v>937981</v>
      </c>
      <c r="I5" s="869">
        <v>-18479</v>
      </c>
      <c r="J5" s="867">
        <v>224325</v>
      </c>
      <c r="K5" s="869">
        <v>6105495</v>
      </c>
      <c r="L5" s="866">
        <v>779869</v>
      </c>
      <c r="M5" s="868">
        <v>5583675</v>
      </c>
      <c r="N5" s="868">
        <v>4910621</v>
      </c>
      <c r="O5" s="869">
        <v>106815</v>
      </c>
      <c r="P5" s="77">
        <v>100</v>
      </c>
      <c r="Q5" s="878"/>
      <c r="R5" s="807">
        <f t="shared" si="0"/>
        <v>6885364</v>
      </c>
      <c r="S5" s="807">
        <f t="shared" si="1"/>
        <v>0</v>
      </c>
      <c r="T5" s="807"/>
      <c r="U5" s="49">
        <v>242995.94955264009</v>
      </c>
      <c r="V5" s="49">
        <f t="shared" si="2"/>
        <v>5428988.9495526403</v>
      </c>
    </row>
    <row r="6" spans="1:22">
      <c r="A6" s="298">
        <v>1</v>
      </c>
      <c r="B6" s="75" t="s">
        <v>323</v>
      </c>
      <c r="C6" s="867">
        <v>3558388</v>
      </c>
      <c r="D6" s="869">
        <v>2612475</v>
      </c>
      <c r="E6" s="868">
        <v>456960</v>
      </c>
      <c r="F6" s="866">
        <v>718164</v>
      </c>
      <c r="G6" s="868">
        <v>148777</v>
      </c>
      <c r="H6" s="868">
        <v>581262</v>
      </c>
      <c r="I6" s="869">
        <v>-11875</v>
      </c>
      <c r="J6" s="867">
        <v>136149</v>
      </c>
      <c r="K6" s="869">
        <v>3923748</v>
      </c>
      <c r="L6" s="866">
        <v>-365360</v>
      </c>
      <c r="M6" s="868">
        <v>2929824</v>
      </c>
      <c r="N6" s="868">
        <v>3155851</v>
      </c>
      <c r="O6" s="869">
        <v>-139333</v>
      </c>
      <c r="P6" s="77">
        <v>1</v>
      </c>
      <c r="Q6" s="878"/>
      <c r="R6" s="807">
        <f t="shared" si="0"/>
        <v>3558388</v>
      </c>
      <c r="S6" s="807">
        <f t="shared" si="1"/>
        <v>0</v>
      </c>
      <c r="T6" s="807"/>
      <c r="U6" s="49">
        <v>134638</v>
      </c>
      <c r="V6" s="49">
        <f t="shared" si="2"/>
        <v>3488999</v>
      </c>
    </row>
    <row r="7" spans="1:22">
      <c r="A7" s="298">
        <v>2</v>
      </c>
      <c r="B7" s="75" t="s">
        <v>324</v>
      </c>
      <c r="C7" s="867">
        <v>2143401</v>
      </c>
      <c r="D7" s="869">
        <v>1582789</v>
      </c>
      <c r="E7" s="868">
        <v>305510</v>
      </c>
      <c r="F7" s="866">
        <v>476686</v>
      </c>
      <c r="G7" s="868">
        <v>96339</v>
      </c>
      <c r="H7" s="868">
        <v>387682</v>
      </c>
      <c r="I7" s="869">
        <v>-7335</v>
      </c>
      <c r="J7" s="867">
        <v>58469</v>
      </c>
      <c r="K7" s="869">
        <v>2423454</v>
      </c>
      <c r="L7" s="866">
        <v>-280053</v>
      </c>
      <c r="M7" s="868">
        <v>1780374</v>
      </c>
      <c r="N7" s="868">
        <v>1949172</v>
      </c>
      <c r="O7" s="869">
        <v>-111255</v>
      </c>
      <c r="P7" s="77">
        <v>2</v>
      </c>
      <c r="Q7" s="878"/>
      <c r="R7" s="807">
        <f t="shared" si="0"/>
        <v>2143401</v>
      </c>
      <c r="S7" s="807">
        <f t="shared" si="1"/>
        <v>0</v>
      </c>
      <c r="T7" s="807"/>
      <c r="U7" s="49">
        <v>111815</v>
      </c>
      <c r="V7" s="49">
        <f t="shared" si="2"/>
        <v>2154922</v>
      </c>
    </row>
    <row r="8" spans="1:22">
      <c r="A8" s="298">
        <v>3</v>
      </c>
      <c r="B8" s="75" t="s">
        <v>192</v>
      </c>
      <c r="C8" s="867">
        <v>2909491</v>
      </c>
      <c r="D8" s="869">
        <v>1569045</v>
      </c>
      <c r="E8" s="868">
        <v>279016</v>
      </c>
      <c r="F8" s="866">
        <v>772329</v>
      </c>
      <c r="G8" s="868">
        <v>118667</v>
      </c>
      <c r="H8" s="868">
        <v>661784</v>
      </c>
      <c r="I8" s="869">
        <v>-8122</v>
      </c>
      <c r="J8" s="867">
        <v>62967</v>
      </c>
      <c r="K8" s="869">
        <v>2683357</v>
      </c>
      <c r="L8" s="866">
        <v>226134</v>
      </c>
      <c r="M8" s="868">
        <v>2346807</v>
      </c>
      <c r="N8" s="868">
        <v>2158211</v>
      </c>
      <c r="O8" s="869">
        <v>37538</v>
      </c>
      <c r="P8" s="77">
        <v>3</v>
      </c>
      <c r="Q8" s="878"/>
      <c r="R8" s="807">
        <f t="shared" si="0"/>
        <v>2909491</v>
      </c>
      <c r="S8" s="807">
        <f t="shared" si="1"/>
        <v>0</v>
      </c>
      <c r="T8" s="807"/>
      <c r="U8" s="49">
        <v>356199</v>
      </c>
      <c r="V8" s="49">
        <f t="shared" si="2"/>
        <v>2385894</v>
      </c>
    </row>
    <row r="9" spans="1:22">
      <c r="A9" s="298">
        <v>4</v>
      </c>
      <c r="B9" s="75" t="s">
        <v>325</v>
      </c>
      <c r="C9" s="867">
        <v>1259561</v>
      </c>
      <c r="D9" s="869">
        <v>528406</v>
      </c>
      <c r="E9" s="868">
        <v>128588</v>
      </c>
      <c r="F9" s="866">
        <v>248304</v>
      </c>
      <c r="G9" s="868">
        <v>35557</v>
      </c>
      <c r="H9" s="868">
        <v>215618</v>
      </c>
      <c r="I9" s="869">
        <v>-2871</v>
      </c>
      <c r="J9" s="867">
        <v>43570</v>
      </c>
      <c r="K9" s="869">
        <v>948868</v>
      </c>
      <c r="L9" s="866">
        <v>310693</v>
      </c>
      <c r="M9" s="868">
        <v>1019986</v>
      </c>
      <c r="N9" s="868">
        <v>763170</v>
      </c>
      <c r="O9" s="869">
        <v>53877</v>
      </c>
      <c r="P9" s="77">
        <v>4</v>
      </c>
      <c r="Q9" s="878"/>
      <c r="R9" s="807">
        <f t="shared" si="0"/>
        <v>1259561</v>
      </c>
      <c r="S9" s="807">
        <f t="shared" si="1"/>
        <v>0</v>
      </c>
      <c r="T9" s="807"/>
      <c r="U9" s="49">
        <v>107572</v>
      </c>
      <c r="V9" s="49">
        <f t="shared" si="2"/>
        <v>843693</v>
      </c>
    </row>
    <row r="10" spans="1:22">
      <c r="A10" s="298">
        <v>5</v>
      </c>
      <c r="B10" s="75" t="s">
        <v>326</v>
      </c>
      <c r="C10" s="867">
        <v>2670969</v>
      </c>
      <c r="D10" s="869">
        <v>1278820</v>
      </c>
      <c r="E10" s="868">
        <v>249127</v>
      </c>
      <c r="F10" s="866">
        <v>580745</v>
      </c>
      <c r="G10" s="868">
        <v>109179</v>
      </c>
      <c r="H10" s="868">
        <v>478244</v>
      </c>
      <c r="I10" s="869">
        <v>-6678</v>
      </c>
      <c r="J10" s="867">
        <v>97963</v>
      </c>
      <c r="K10" s="869">
        <v>2206655</v>
      </c>
      <c r="L10" s="866">
        <v>464314</v>
      </c>
      <c r="M10" s="868">
        <v>2150799</v>
      </c>
      <c r="N10" s="868">
        <v>1774802</v>
      </c>
      <c r="O10" s="869">
        <v>88317</v>
      </c>
      <c r="P10" s="77">
        <v>5</v>
      </c>
      <c r="Q10" s="878"/>
      <c r="R10" s="807">
        <f t="shared" si="0"/>
        <v>2670969</v>
      </c>
      <c r="S10" s="807">
        <f t="shared" si="1"/>
        <v>0</v>
      </c>
      <c r="T10" s="807"/>
      <c r="U10" s="49">
        <v>226985</v>
      </c>
      <c r="V10" s="49">
        <f t="shared" si="2"/>
        <v>1962074</v>
      </c>
    </row>
    <row r="11" spans="1:22">
      <c r="A11" s="298">
        <v>6</v>
      </c>
      <c r="B11" s="75" t="s">
        <v>327</v>
      </c>
      <c r="C11" s="867">
        <v>1022521</v>
      </c>
      <c r="D11" s="869">
        <v>508203</v>
      </c>
      <c r="E11" s="868">
        <v>126892</v>
      </c>
      <c r="F11" s="866">
        <v>210630</v>
      </c>
      <c r="G11" s="868">
        <v>19388</v>
      </c>
      <c r="H11" s="868">
        <v>193957</v>
      </c>
      <c r="I11" s="869">
        <v>-2715</v>
      </c>
      <c r="J11" s="867">
        <v>51451</v>
      </c>
      <c r="K11" s="869">
        <v>897176</v>
      </c>
      <c r="L11" s="866">
        <v>125345</v>
      </c>
      <c r="M11" s="868">
        <v>839624</v>
      </c>
      <c r="N11" s="868">
        <v>721593</v>
      </c>
      <c r="O11" s="869">
        <v>7314</v>
      </c>
      <c r="P11" s="77">
        <v>6</v>
      </c>
      <c r="Q11" s="878"/>
      <c r="R11" s="807">
        <f t="shared" si="0"/>
        <v>1022521</v>
      </c>
      <c r="S11" s="807">
        <f t="shared" si="1"/>
        <v>0</v>
      </c>
      <c r="T11" s="807"/>
      <c r="U11" s="49">
        <v>91802</v>
      </c>
      <c r="V11" s="49">
        <f t="shared" si="2"/>
        <v>797736</v>
      </c>
    </row>
    <row r="12" spans="1:22">
      <c r="A12" s="298">
        <v>7</v>
      </c>
      <c r="B12" s="75" t="s">
        <v>210</v>
      </c>
      <c r="C12" s="867">
        <v>622690</v>
      </c>
      <c r="D12" s="869">
        <v>359148</v>
      </c>
      <c r="E12" s="868">
        <v>120849</v>
      </c>
      <c r="F12" s="866">
        <v>107244</v>
      </c>
      <c r="G12" s="868">
        <v>11261</v>
      </c>
      <c r="H12" s="868">
        <v>97900</v>
      </c>
      <c r="I12" s="869">
        <v>-1917</v>
      </c>
      <c r="J12" s="867">
        <v>45741</v>
      </c>
      <c r="K12" s="869">
        <v>632982</v>
      </c>
      <c r="L12" s="866">
        <v>-10292</v>
      </c>
      <c r="M12" s="868">
        <v>533759</v>
      </c>
      <c r="N12" s="868">
        <v>509104</v>
      </c>
      <c r="O12" s="869">
        <v>-34947</v>
      </c>
      <c r="P12" s="77">
        <v>7</v>
      </c>
      <c r="Q12" s="878"/>
      <c r="R12" s="807">
        <f t="shared" si="0"/>
        <v>622690</v>
      </c>
      <c r="S12" s="807">
        <f t="shared" si="1"/>
        <v>0</v>
      </c>
      <c r="T12" s="807"/>
      <c r="U12" s="49">
        <v>25848</v>
      </c>
      <c r="V12" s="49">
        <f t="shared" si="2"/>
        <v>562847</v>
      </c>
    </row>
    <row r="13" spans="1:22">
      <c r="A13" s="298">
        <v>8</v>
      </c>
      <c r="B13" s="75" t="s">
        <v>211</v>
      </c>
      <c r="C13" s="867">
        <v>422586</v>
      </c>
      <c r="D13" s="869">
        <v>222923</v>
      </c>
      <c r="E13" s="868">
        <v>66014</v>
      </c>
      <c r="F13" s="866">
        <v>72400</v>
      </c>
      <c r="G13" s="868">
        <v>10072</v>
      </c>
      <c r="H13" s="868">
        <v>63488</v>
      </c>
      <c r="I13" s="869">
        <v>-1160</v>
      </c>
      <c r="J13" s="867">
        <v>22011</v>
      </c>
      <c r="K13" s="869">
        <v>383348</v>
      </c>
      <c r="L13" s="866">
        <v>39238</v>
      </c>
      <c r="M13" s="868">
        <v>353992</v>
      </c>
      <c r="N13" s="868">
        <v>308325</v>
      </c>
      <c r="O13" s="869">
        <v>-6429</v>
      </c>
      <c r="P13" s="77">
        <v>8</v>
      </c>
      <c r="Q13" s="878"/>
      <c r="R13" s="807">
        <f t="shared" si="0"/>
        <v>422586</v>
      </c>
      <c r="S13" s="807">
        <f t="shared" si="1"/>
        <v>0</v>
      </c>
      <c r="T13" s="807"/>
      <c r="U13" s="49">
        <v>19849</v>
      </c>
      <c r="V13" s="49">
        <f t="shared" si="2"/>
        <v>340869</v>
      </c>
    </row>
    <row r="14" spans="1:22">
      <c r="A14" s="298">
        <v>9</v>
      </c>
      <c r="B14" s="75" t="s">
        <v>212</v>
      </c>
      <c r="C14" s="867">
        <v>470451</v>
      </c>
      <c r="D14" s="869">
        <v>258045</v>
      </c>
      <c r="E14" s="868">
        <v>84172</v>
      </c>
      <c r="F14" s="866">
        <v>88801</v>
      </c>
      <c r="G14" s="868">
        <v>10959</v>
      </c>
      <c r="H14" s="868">
        <v>79248</v>
      </c>
      <c r="I14" s="869">
        <v>-1406</v>
      </c>
      <c r="J14" s="867">
        <v>33597</v>
      </c>
      <c r="K14" s="869">
        <v>464615</v>
      </c>
      <c r="L14" s="866">
        <v>5836</v>
      </c>
      <c r="M14" s="868">
        <v>399589</v>
      </c>
      <c r="N14" s="868">
        <v>373687</v>
      </c>
      <c r="O14" s="869">
        <v>-20066</v>
      </c>
      <c r="P14" s="77">
        <v>9</v>
      </c>
      <c r="Q14" s="878"/>
      <c r="R14" s="807">
        <f t="shared" si="0"/>
        <v>470451</v>
      </c>
      <c r="S14" s="807">
        <f t="shared" si="1"/>
        <v>0</v>
      </c>
      <c r="T14" s="807"/>
      <c r="U14" s="49">
        <v>26356</v>
      </c>
      <c r="V14" s="49">
        <f t="shared" si="2"/>
        <v>413129</v>
      </c>
    </row>
    <row r="15" spans="1:22">
      <c r="A15" s="298"/>
      <c r="B15" s="87"/>
      <c r="C15" s="867" t="s">
        <v>839</v>
      </c>
      <c r="D15" s="869" t="s">
        <v>839</v>
      </c>
      <c r="E15" s="868" t="s">
        <v>839</v>
      </c>
      <c r="F15" s="866" t="s">
        <v>839</v>
      </c>
      <c r="G15" s="868" t="s">
        <v>839</v>
      </c>
      <c r="H15" s="868" t="s">
        <v>839</v>
      </c>
      <c r="I15" s="869" t="s">
        <v>839</v>
      </c>
      <c r="J15" s="867" t="s">
        <v>839</v>
      </c>
      <c r="K15" s="869" t="s">
        <v>839</v>
      </c>
      <c r="L15" s="856" t="s">
        <v>839</v>
      </c>
      <c r="M15" s="830" t="s">
        <v>839</v>
      </c>
      <c r="N15" s="830" t="s">
        <v>839</v>
      </c>
      <c r="O15" s="831" t="s">
        <v>839</v>
      </c>
      <c r="P15" s="77" t="s">
        <v>11</v>
      </c>
      <c r="Q15" s="878"/>
      <c r="R15" s="807" t="s">
        <v>11</v>
      </c>
      <c r="S15" s="807" t="s">
        <v>11</v>
      </c>
      <c r="T15" s="807"/>
      <c r="U15" s="49" t="s">
        <v>11</v>
      </c>
      <c r="V15" s="49" t="s">
        <v>11</v>
      </c>
    </row>
    <row r="16" spans="1:22">
      <c r="A16" s="299">
        <v>100</v>
      </c>
      <c r="B16" s="305" t="s">
        <v>172</v>
      </c>
      <c r="C16" s="879">
        <v>6885364</v>
      </c>
      <c r="D16" s="882">
        <v>4051443</v>
      </c>
      <c r="E16" s="883">
        <v>718365</v>
      </c>
      <c r="F16" s="884">
        <v>1111362</v>
      </c>
      <c r="G16" s="883">
        <v>191860</v>
      </c>
      <c r="H16" s="883">
        <v>937981</v>
      </c>
      <c r="I16" s="882">
        <v>-18479</v>
      </c>
      <c r="J16" s="879">
        <v>224325</v>
      </c>
      <c r="K16" s="882">
        <v>6105495</v>
      </c>
      <c r="L16" s="855">
        <v>779869</v>
      </c>
      <c r="M16" s="827">
        <v>5583675</v>
      </c>
      <c r="N16" s="827">
        <v>4910621</v>
      </c>
      <c r="O16" s="828">
        <v>106815</v>
      </c>
      <c r="P16" s="293">
        <v>100</v>
      </c>
      <c r="Q16" s="878"/>
      <c r="R16" s="807">
        <f t="shared" ref="R16:R65" si="3">D16+E16+F16+J16+L16</f>
        <v>6885364</v>
      </c>
      <c r="S16" s="807">
        <f t="shared" ref="S16:S65" si="4">C16-R16</f>
        <v>0</v>
      </c>
      <c r="T16" s="807"/>
      <c r="U16" s="49">
        <v>242995.94955264009</v>
      </c>
      <c r="V16" s="49">
        <f t="shared" ref="V16:V65" si="5">D16+E16+G16+J16+U16</f>
        <v>5428988.9495526403</v>
      </c>
    </row>
    <row r="17" spans="1:22">
      <c r="A17" s="300">
        <v>1</v>
      </c>
      <c r="B17" s="65" t="s">
        <v>182</v>
      </c>
      <c r="C17" s="863">
        <v>3558388</v>
      </c>
      <c r="D17" s="869">
        <v>2612475</v>
      </c>
      <c r="E17" s="868">
        <v>456960</v>
      </c>
      <c r="F17" s="866">
        <v>718164</v>
      </c>
      <c r="G17" s="868">
        <v>148777</v>
      </c>
      <c r="H17" s="868">
        <v>581262</v>
      </c>
      <c r="I17" s="869">
        <v>-11875</v>
      </c>
      <c r="J17" s="867">
        <v>136149</v>
      </c>
      <c r="K17" s="869">
        <v>3923748</v>
      </c>
      <c r="L17" s="862">
        <v>-365360</v>
      </c>
      <c r="M17" s="864">
        <v>2929824</v>
      </c>
      <c r="N17" s="864">
        <v>3155851</v>
      </c>
      <c r="O17" s="828">
        <v>-139333</v>
      </c>
      <c r="P17" s="293">
        <v>1</v>
      </c>
      <c r="Q17" s="878"/>
      <c r="R17" s="807">
        <f t="shared" si="3"/>
        <v>3558388</v>
      </c>
      <c r="S17" s="807">
        <f t="shared" si="4"/>
        <v>0</v>
      </c>
      <c r="T17" s="807"/>
      <c r="U17" s="49">
        <v>134638</v>
      </c>
      <c r="V17" s="49">
        <f t="shared" si="5"/>
        <v>3488999</v>
      </c>
    </row>
    <row r="18" spans="1:22">
      <c r="A18" s="300">
        <v>202</v>
      </c>
      <c r="B18" s="90" t="s">
        <v>183</v>
      </c>
      <c r="C18" s="867">
        <v>1932353</v>
      </c>
      <c r="D18" s="869">
        <v>1191131</v>
      </c>
      <c r="E18" s="868">
        <v>177952</v>
      </c>
      <c r="F18" s="866">
        <v>394025</v>
      </c>
      <c r="G18" s="868">
        <v>74248</v>
      </c>
      <c r="H18" s="868">
        <v>325307</v>
      </c>
      <c r="I18" s="869">
        <v>-5530</v>
      </c>
      <c r="J18" s="867">
        <v>64190</v>
      </c>
      <c r="K18" s="869">
        <v>1827298</v>
      </c>
      <c r="L18" s="856">
        <v>105055</v>
      </c>
      <c r="M18" s="830">
        <v>1554852</v>
      </c>
      <c r="N18" s="830">
        <v>1469687</v>
      </c>
      <c r="O18" s="831">
        <v>19890</v>
      </c>
      <c r="P18" s="293">
        <v>202</v>
      </c>
      <c r="Q18" s="878"/>
      <c r="R18" s="807">
        <f t="shared" si="3"/>
        <v>1932353</v>
      </c>
      <c r="S18" s="807">
        <f t="shared" si="4"/>
        <v>0</v>
      </c>
      <c r="T18" s="807"/>
      <c r="U18" s="49">
        <v>117282</v>
      </c>
      <c r="V18" s="49">
        <f t="shared" si="5"/>
        <v>1624803</v>
      </c>
    </row>
    <row r="19" spans="1:22">
      <c r="A19" s="300">
        <v>204</v>
      </c>
      <c r="B19" s="90" t="s">
        <v>184</v>
      </c>
      <c r="C19" s="867">
        <v>1403765</v>
      </c>
      <c r="D19" s="869">
        <v>1190093</v>
      </c>
      <c r="E19" s="868">
        <v>224660</v>
      </c>
      <c r="F19" s="866">
        <v>266063</v>
      </c>
      <c r="G19" s="868">
        <v>57734</v>
      </c>
      <c r="H19" s="868">
        <v>213548</v>
      </c>
      <c r="I19" s="869">
        <v>-5219</v>
      </c>
      <c r="J19" s="867">
        <v>43487</v>
      </c>
      <c r="K19" s="869">
        <v>1724303</v>
      </c>
      <c r="L19" s="856">
        <v>-320538</v>
      </c>
      <c r="M19" s="830">
        <v>1178670</v>
      </c>
      <c r="N19" s="830">
        <v>1386848</v>
      </c>
      <c r="O19" s="831">
        <v>-112360</v>
      </c>
      <c r="P19" s="293">
        <v>204</v>
      </c>
      <c r="Q19" s="878"/>
      <c r="R19" s="807">
        <f t="shared" si="3"/>
        <v>1403765</v>
      </c>
      <c r="S19" s="807">
        <f t="shared" si="4"/>
        <v>0</v>
      </c>
      <c r="T19" s="807"/>
      <c r="U19" s="49">
        <v>17302</v>
      </c>
      <c r="V19" s="49">
        <f t="shared" si="5"/>
        <v>1533276</v>
      </c>
    </row>
    <row r="20" spans="1:22">
      <c r="A20" s="300">
        <v>206</v>
      </c>
      <c r="B20" s="90" t="s">
        <v>185</v>
      </c>
      <c r="C20" s="871">
        <v>222270</v>
      </c>
      <c r="D20" s="869">
        <v>231251</v>
      </c>
      <c r="E20" s="868">
        <v>54348</v>
      </c>
      <c r="F20" s="866">
        <v>58076</v>
      </c>
      <c r="G20" s="868">
        <v>16795</v>
      </c>
      <c r="H20" s="868">
        <v>42407</v>
      </c>
      <c r="I20" s="869">
        <v>-1126</v>
      </c>
      <c r="J20" s="867">
        <v>28472</v>
      </c>
      <c r="K20" s="869">
        <v>372147</v>
      </c>
      <c r="L20" s="858">
        <v>-149877</v>
      </c>
      <c r="M20" s="837">
        <v>196302</v>
      </c>
      <c r="N20" s="837">
        <v>299316</v>
      </c>
      <c r="O20" s="835">
        <v>-46863</v>
      </c>
      <c r="P20" s="293">
        <v>206</v>
      </c>
      <c r="Q20" s="878"/>
      <c r="R20" s="807">
        <f t="shared" si="3"/>
        <v>222270</v>
      </c>
      <c r="S20" s="807">
        <f t="shared" si="4"/>
        <v>0</v>
      </c>
      <c r="T20" s="807"/>
      <c r="U20" s="49">
        <v>54</v>
      </c>
      <c r="V20" s="49">
        <f t="shared" si="5"/>
        <v>330920</v>
      </c>
    </row>
    <row r="21" spans="1:22">
      <c r="A21" s="301">
        <v>2</v>
      </c>
      <c r="B21" s="128" t="s">
        <v>186</v>
      </c>
      <c r="C21" s="867">
        <v>2143401</v>
      </c>
      <c r="D21" s="865">
        <v>1582789</v>
      </c>
      <c r="E21" s="864">
        <v>305510</v>
      </c>
      <c r="F21" s="855">
        <v>476686</v>
      </c>
      <c r="G21" s="864">
        <v>96339</v>
      </c>
      <c r="H21" s="864">
        <v>387682</v>
      </c>
      <c r="I21" s="865">
        <v>-7335</v>
      </c>
      <c r="J21" s="863">
        <v>58469</v>
      </c>
      <c r="K21" s="828">
        <v>2423454</v>
      </c>
      <c r="L21" s="856">
        <v>-280053</v>
      </c>
      <c r="M21" s="830">
        <v>1780374</v>
      </c>
      <c r="N21" s="830">
        <v>1949172</v>
      </c>
      <c r="O21" s="831">
        <v>-111255</v>
      </c>
      <c r="P21" s="293">
        <v>2</v>
      </c>
      <c r="Q21" s="878"/>
      <c r="R21" s="807">
        <f t="shared" si="3"/>
        <v>2143401</v>
      </c>
      <c r="S21" s="807">
        <f t="shared" si="4"/>
        <v>0</v>
      </c>
      <c r="T21" s="807"/>
      <c r="U21" s="49">
        <v>111815</v>
      </c>
      <c r="V21" s="49">
        <f t="shared" si="5"/>
        <v>2154922</v>
      </c>
    </row>
    <row r="22" spans="1:22">
      <c r="A22" s="300">
        <v>207</v>
      </c>
      <c r="B22" s="90" t="s">
        <v>187</v>
      </c>
      <c r="C22" s="867">
        <v>730525</v>
      </c>
      <c r="D22" s="869">
        <v>435419</v>
      </c>
      <c r="E22" s="868">
        <v>78247</v>
      </c>
      <c r="F22" s="866">
        <v>180268</v>
      </c>
      <c r="G22" s="868">
        <v>36011</v>
      </c>
      <c r="H22" s="868">
        <v>146397</v>
      </c>
      <c r="I22" s="869">
        <v>-2140</v>
      </c>
      <c r="J22" s="867">
        <v>13216</v>
      </c>
      <c r="K22" s="869">
        <v>707150</v>
      </c>
      <c r="L22" s="856">
        <v>23375</v>
      </c>
      <c r="M22" s="830">
        <v>593464</v>
      </c>
      <c r="N22" s="830">
        <v>568757</v>
      </c>
      <c r="O22" s="831">
        <v>-1332</v>
      </c>
      <c r="P22" s="293">
        <v>207</v>
      </c>
      <c r="Q22" s="878"/>
      <c r="R22" s="807">
        <f t="shared" si="3"/>
        <v>730525</v>
      </c>
      <c r="S22" s="807">
        <f t="shared" si="4"/>
        <v>0</v>
      </c>
      <c r="T22" s="807"/>
      <c r="U22" s="49">
        <v>65882</v>
      </c>
      <c r="V22" s="49">
        <f t="shared" si="5"/>
        <v>628775</v>
      </c>
    </row>
    <row r="23" spans="1:22">
      <c r="A23" s="300">
        <v>214</v>
      </c>
      <c r="B23" s="90" t="s">
        <v>188</v>
      </c>
      <c r="C23" s="867">
        <v>490527</v>
      </c>
      <c r="D23" s="869">
        <v>517055</v>
      </c>
      <c r="E23" s="868">
        <v>96176</v>
      </c>
      <c r="F23" s="866">
        <v>110473</v>
      </c>
      <c r="G23" s="868">
        <v>26565</v>
      </c>
      <c r="H23" s="868">
        <v>86147</v>
      </c>
      <c r="I23" s="869">
        <v>-2239</v>
      </c>
      <c r="J23" s="867">
        <v>15965</v>
      </c>
      <c r="K23" s="869">
        <v>739669</v>
      </c>
      <c r="L23" s="856">
        <v>-249142</v>
      </c>
      <c r="M23" s="830">
        <v>420976</v>
      </c>
      <c r="N23" s="830">
        <v>594912</v>
      </c>
      <c r="O23" s="831">
        <v>-75206</v>
      </c>
      <c r="P23" s="293">
        <v>214</v>
      </c>
      <c r="Q23" s="878"/>
      <c r="R23" s="807">
        <f t="shared" si="3"/>
        <v>490527</v>
      </c>
      <c r="S23" s="807">
        <f t="shared" si="4"/>
        <v>0</v>
      </c>
      <c r="T23" s="807"/>
      <c r="U23" s="49">
        <v>1967</v>
      </c>
      <c r="V23" s="49">
        <f t="shared" si="5"/>
        <v>657728</v>
      </c>
    </row>
    <row r="24" spans="1:22">
      <c r="A24" s="300">
        <v>217</v>
      </c>
      <c r="B24" s="90" t="s">
        <v>189</v>
      </c>
      <c r="C24" s="867">
        <v>341864</v>
      </c>
      <c r="D24" s="869">
        <v>343701</v>
      </c>
      <c r="E24" s="868">
        <v>61812</v>
      </c>
      <c r="F24" s="866">
        <v>73474</v>
      </c>
      <c r="G24" s="868">
        <v>15930</v>
      </c>
      <c r="H24" s="868">
        <v>59040</v>
      </c>
      <c r="I24" s="869">
        <v>-1496</v>
      </c>
      <c r="J24" s="867">
        <v>15218</v>
      </c>
      <c r="K24" s="869">
        <v>494205</v>
      </c>
      <c r="L24" s="856">
        <v>-152341</v>
      </c>
      <c r="M24" s="830">
        <v>290703</v>
      </c>
      <c r="N24" s="830">
        <v>397487</v>
      </c>
      <c r="O24" s="831">
        <v>-45557</v>
      </c>
      <c r="P24" s="293">
        <v>217</v>
      </c>
      <c r="Q24" s="878"/>
      <c r="R24" s="807">
        <f t="shared" si="3"/>
        <v>341864</v>
      </c>
      <c r="S24" s="807">
        <f t="shared" si="4"/>
        <v>0</v>
      </c>
      <c r="T24" s="807"/>
      <c r="U24" s="49">
        <v>2795</v>
      </c>
      <c r="V24" s="49">
        <f t="shared" si="5"/>
        <v>439456</v>
      </c>
    </row>
    <row r="25" spans="1:22">
      <c r="A25" s="300">
        <v>219</v>
      </c>
      <c r="B25" s="90" t="s">
        <v>190</v>
      </c>
      <c r="C25" s="867">
        <v>516303</v>
      </c>
      <c r="D25" s="869">
        <v>228694</v>
      </c>
      <c r="E25" s="868">
        <v>52632</v>
      </c>
      <c r="F25" s="866">
        <v>99144</v>
      </c>
      <c r="G25" s="868">
        <v>14720</v>
      </c>
      <c r="H25" s="868">
        <v>85610</v>
      </c>
      <c r="I25" s="869">
        <v>-1186</v>
      </c>
      <c r="J25" s="867">
        <v>11528</v>
      </c>
      <c r="K25" s="869">
        <v>391998</v>
      </c>
      <c r="L25" s="856">
        <v>124305</v>
      </c>
      <c r="M25" s="830">
        <v>418059</v>
      </c>
      <c r="N25" s="830">
        <v>315282</v>
      </c>
      <c r="O25" s="831">
        <v>21528</v>
      </c>
      <c r="P25" s="293">
        <v>219</v>
      </c>
      <c r="Q25" s="878"/>
      <c r="R25" s="807">
        <f t="shared" si="3"/>
        <v>516303</v>
      </c>
      <c r="S25" s="807">
        <f t="shared" si="4"/>
        <v>0</v>
      </c>
      <c r="T25" s="807"/>
      <c r="U25" s="49">
        <v>40975</v>
      </c>
      <c r="V25" s="49">
        <f t="shared" si="5"/>
        <v>348549</v>
      </c>
    </row>
    <row r="26" spans="1:22">
      <c r="A26" s="302">
        <v>301</v>
      </c>
      <c r="B26" s="201" t="s">
        <v>191</v>
      </c>
      <c r="C26" s="867">
        <v>64182</v>
      </c>
      <c r="D26" s="873">
        <v>57920</v>
      </c>
      <c r="E26" s="872">
        <v>16643</v>
      </c>
      <c r="F26" s="870">
        <v>13327</v>
      </c>
      <c r="G26" s="872">
        <v>3113</v>
      </c>
      <c r="H26" s="872">
        <v>10488</v>
      </c>
      <c r="I26" s="873">
        <v>-274</v>
      </c>
      <c r="J26" s="871">
        <v>2542</v>
      </c>
      <c r="K26" s="873">
        <v>90432</v>
      </c>
      <c r="L26" s="856">
        <v>-26250</v>
      </c>
      <c r="M26" s="830">
        <v>57172</v>
      </c>
      <c r="N26" s="830">
        <v>72734</v>
      </c>
      <c r="O26" s="831">
        <v>-10688</v>
      </c>
      <c r="P26" s="293">
        <v>301</v>
      </c>
      <c r="Q26" s="878"/>
      <c r="R26" s="807">
        <f t="shared" si="3"/>
        <v>64182</v>
      </c>
      <c r="S26" s="807">
        <f t="shared" si="4"/>
        <v>0</v>
      </c>
      <c r="T26" s="807"/>
      <c r="U26" s="49">
        <v>196</v>
      </c>
      <c r="V26" s="49">
        <f t="shared" si="5"/>
        <v>80414</v>
      </c>
    </row>
    <row r="27" spans="1:22">
      <c r="A27" s="300">
        <v>3</v>
      </c>
      <c r="B27" s="65" t="s">
        <v>192</v>
      </c>
      <c r="C27" s="863">
        <v>2909491</v>
      </c>
      <c r="D27" s="869">
        <v>1569045</v>
      </c>
      <c r="E27" s="868">
        <v>279016</v>
      </c>
      <c r="F27" s="856">
        <v>772329</v>
      </c>
      <c r="G27" s="868">
        <v>118667</v>
      </c>
      <c r="H27" s="868">
        <v>661784</v>
      </c>
      <c r="I27" s="869">
        <v>-8122</v>
      </c>
      <c r="J27" s="867">
        <v>62967</v>
      </c>
      <c r="K27" s="831">
        <v>2683357</v>
      </c>
      <c r="L27" s="855">
        <v>226134</v>
      </c>
      <c r="M27" s="827">
        <v>2346807</v>
      </c>
      <c r="N27" s="827">
        <v>2158211</v>
      </c>
      <c r="O27" s="828">
        <v>37538</v>
      </c>
      <c r="P27" s="293">
        <v>3</v>
      </c>
      <c r="Q27" s="878"/>
      <c r="R27" s="807">
        <f t="shared" si="3"/>
        <v>2909491</v>
      </c>
      <c r="S27" s="807">
        <f t="shared" si="4"/>
        <v>0</v>
      </c>
      <c r="T27" s="807"/>
      <c r="U27" s="49">
        <v>356199</v>
      </c>
      <c r="V27" s="49">
        <f t="shared" si="5"/>
        <v>2385894</v>
      </c>
    </row>
    <row r="28" spans="1:22">
      <c r="A28" s="300">
        <v>203</v>
      </c>
      <c r="B28" s="90" t="s">
        <v>193</v>
      </c>
      <c r="C28" s="867">
        <v>1167214</v>
      </c>
      <c r="D28" s="869">
        <v>672676</v>
      </c>
      <c r="E28" s="868">
        <v>118907</v>
      </c>
      <c r="F28" s="866">
        <v>265645</v>
      </c>
      <c r="G28" s="868">
        <v>55205</v>
      </c>
      <c r="H28" s="868">
        <v>213738</v>
      </c>
      <c r="I28" s="869">
        <v>-3298</v>
      </c>
      <c r="J28" s="867">
        <v>32336</v>
      </c>
      <c r="K28" s="869">
        <v>1089564</v>
      </c>
      <c r="L28" s="856">
        <v>77650</v>
      </c>
      <c r="M28" s="830">
        <v>945072</v>
      </c>
      <c r="N28" s="830">
        <v>876331</v>
      </c>
      <c r="O28" s="831">
        <v>8909</v>
      </c>
      <c r="P28" s="293">
        <v>203</v>
      </c>
      <c r="Q28" s="878"/>
      <c r="R28" s="807">
        <f t="shared" si="3"/>
        <v>1167214</v>
      </c>
      <c r="S28" s="807">
        <f t="shared" si="4"/>
        <v>0</v>
      </c>
      <c r="T28" s="807"/>
      <c r="U28" s="49">
        <v>89687</v>
      </c>
      <c r="V28" s="49">
        <f t="shared" si="5"/>
        <v>968811</v>
      </c>
    </row>
    <row r="29" spans="1:22">
      <c r="A29" s="300">
        <v>210</v>
      </c>
      <c r="B29" s="90" t="s">
        <v>194</v>
      </c>
      <c r="C29" s="867">
        <v>857657</v>
      </c>
      <c r="D29" s="869">
        <v>565886</v>
      </c>
      <c r="E29" s="868">
        <v>97454</v>
      </c>
      <c r="F29" s="866">
        <v>301996</v>
      </c>
      <c r="G29" s="868">
        <v>40334</v>
      </c>
      <c r="H29" s="868">
        <v>264637</v>
      </c>
      <c r="I29" s="869">
        <v>-2975</v>
      </c>
      <c r="J29" s="867">
        <v>17485</v>
      </c>
      <c r="K29" s="869">
        <v>982821</v>
      </c>
      <c r="L29" s="856">
        <v>-125164</v>
      </c>
      <c r="M29" s="830">
        <v>699624</v>
      </c>
      <c r="N29" s="830">
        <v>790478</v>
      </c>
      <c r="O29" s="831">
        <v>-34310</v>
      </c>
      <c r="P29" s="293">
        <v>210</v>
      </c>
      <c r="Q29" s="878"/>
      <c r="R29" s="807">
        <f t="shared" si="3"/>
        <v>857657</v>
      </c>
      <c r="S29" s="807">
        <f t="shared" si="4"/>
        <v>0</v>
      </c>
      <c r="T29" s="807"/>
      <c r="U29" s="49">
        <v>152699</v>
      </c>
      <c r="V29" s="49">
        <f t="shared" si="5"/>
        <v>873858</v>
      </c>
    </row>
    <row r="30" spans="1:22">
      <c r="A30" s="300">
        <v>216</v>
      </c>
      <c r="B30" s="90" t="s">
        <v>195</v>
      </c>
      <c r="C30" s="867">
        <v>547207</v>
      </c>
      <c r="D30" s="869">
        <v>200688</v>
      </c>
      <c r="E30" s="868">
        <v>39437</v>
      </c>
      <c r="F30" s="866">
        <v>143332</v>
      </c>
      <c r="G30" s="868">
        <v>13920</v>
      </c>
      <c r="H30" s="868">
        <v>130596</v>
      </c>
      <c r="I30" s="869">
        <v>-1184</v>
      </c>
      <c r="J30" s="867">
        <v>7802</v>
      </c>
      <c r="K30" s="869">
        <v>391259</v>
      </c>
      <c r="L30" s="856">
        <v>155948</v>
      </c>
      <c r="M30" s="830">
        <v>434661</v>
      </c>
      <c r="N30" s="830">
        <v>314688</v>
      </c>
      <c r="O30" s="831">
        <v>35975</v>
      </c>
      <c r="P30" s="293">
        <v>216</v>
      </c>
      <c r="Q30" s="878"/>
      <c r="R30" s="807">
        <f t="shared" si="3"/>
        <v>547207</v>
      </c>
      <c r="S30" s="807">
        <f t="shared" si="4"/>
        <v>0</v>
      </c>
      <c r="T30" s="807"/>
      <c r="U30" s="49">
        <v>86020</v>
      </c>
      <c r="V30" s="49">
        <f t="shared" si="5"/>
        <v>347867</v>
      </c>
    </row>
    <row r="31" spans="1:22">
      <c r="A31" s="300">
        <v>381</v>
      </c>
      <c r="B31" s="90" t="s">
        <v>196</v>
      </c>
      <c r="C31" s="867">
        <v>177828</v>
      </c>
      <c r="D31" s="869">
        <v>58882</v>
      </c>
      <c r="E31" s="868">
        <v>10627</v>
      </c>
      <c r="F31" s="866">
        <v>18688</v>
      </c>
      <c r="G31" s="868">
        <v>3091</v>
      </c>
      <c r="H31" s="868">
        <v>15870</v>
      </c>
      <c r="I31" s="869">
        <v>-273</v>
      </c>
      <c r="J31" s="867">
        <v>1953</v>
      </c>
      <c r="K31" s="869">
        <v>90150</v>
      </c>
      <c r="L31" s="856">
        <v>87678</v>
      </c>
      <c r="M31" s="830">
        <v>140126</v>
      </c>
      <c r="N31" s="830">
        <v>72507</v>
      </c>
      <c r="O31" s="831">
        <v>20059</v>
      </c>
      <c r="P31" s="293">
        <v>381</v>
      </c>
      <c r="Q31" s="878"/>
      <c r="R31" s="807">
        <f t="shared" si="3"/>
        <v>177828</v>
      </c>
      <c r="S31" s="807">
        <f t="shared" si="4"/>
        <v>0</v>
      </c>
      <c r="T31" s="807"/>
      <c r="U31" s="49">
        <v>5607</v>
      </c>
      <c r="V31" s="49">
        <f t="shared" si="5"/>
        <v>80160</v>
      </c>
    </row>
    <row r="32" spans="1:22">
      <c r="A32" s="300">
        <v>382</v>
      </c>
      <c r="B32" s="90" t="s">
        <v>197</v>
      </c>
      <c r="C32" s="871">
        <v>159585</v>
      </c>
      <c r="D32" s="869">
        <v>70913</v>
      </c>
      <c r="E32" s="868">
        <v>12591</v>
      </c>
      <c r="F32" s="866">
        <v>42668</v>
      </c>
      <c r="G32" s="868">
        <v>6117</v>
      </c>
      <c r="H32" s="868">
        <v>36943</v>
      </c>
      <c r="I32" s="869">
        <v>-392</v>
      </c>
      <c r="J32" s="867">
        <v>3391</v>
      </c>
      <c r="K32" s="869">
        <v>129563</v>
      </c>
      <c r="L32" s="858">
        <v>30022</v>
      </c>
      <c r="M32" s="837">
        <v>127324</v>
      </c>
      <c r="N32" s="837">
        <v>104207</v>
      </c>
      <c r="O32" s="835">
        <v>6905</v>
      </c>
      <c r="P32" s="293">
        <v>382</v>
      </c>
      <c r="Q32" s="878"/>
      <c r="R32" s="807">
        <f t="shared" si="3"/>
        <v>159585</v>
      </c>
      <c r="S32" s="807">
        <f t="shared" si="4"/>
        <v>0</v>
      </c>
      <c r="T32" s="807"/>
      <c r="U32" s="49">
        <v>22186</v>
      </c>
      <c r="V32" s="49">
        <f t="shared" si="5"/>
        <v>115198</v>
      </c>
    </row>
    <row r="33" spans="1:22">
      <c r="A33" s="301">
        <v>4</v>
      </c>
      <c r="B33" s="306" t="s">
        <v>198</v>
      </c>
      <c r="C33" s="867">
        <v>1259561</v>
      </c>
      <c r="D33" s="865">
        <v>528406</v>
      </c>
      <c r="E33" s="864">
        <v>128588</v>
      </c>
      <c r="F33" s="855">
        <v>248304</v>
      </c>
      <c r="G33" s="864">
        <v>35557</v>
      </c>
      <c r="H33" s="864">
        <v>215618</v>
      </c>
      <c r="I33" s="865">
        <v>-2871</v>
      </c>
      <c r="J33" s="863">
        <v>43570</v>
      </c>
      <c r="K33" s="828">
        <v>948868</v>
      </c>
      <c r="L33" s="856">
        <v>310693</v>
      </c>
      <c r="M33" s="830">
        <v>1019986</v>
      </c>
      <c r="N33" s="830">
        <v>763170</v>
      </c>
      <c r="O33" s="831">
        <v>53877</v>
      </c>
      <c r="P33" s="293">
        <v>4</v>
      </c>
      <c r="Q33" s="878"/>
      <c r="R33" s="807">
        <f t="shared" si="3"/>
        <v>1259561</v>
      </c>
      <c r="S33" s="807">
        <f t="shared" si="4"/>
        <v>0</v>
      </c>
      <c r="T33" s="807"/>
      <c r="U33" s="49">
        <v>107572</v>
      </c>
      <c r="V33" s="49">
        <f t="shared" si="5"/>
        <v>843693</v>
      </c>
    </row>
    <row r="34" spans="1:22">
      <c r="A34" s="300">
        <v>213</v>
      </c>
      <c r="B34" s="92" t="s">
        <v>231</v>
      </c>
      <c r="C34" s="867">
        <v>143006</v>
      </c>
      <c r="D34" s="869">
        <v>79573</v>
      </c>
      <c r="E34" s="868">
        <v>16562</v>
      </c>
      <c r="F34" s="866">
        <v>23418</v>
      </c>
      <c r="G34" s="868">
        <v>3026</v>
      </c>
      <c r="H34" s="868">
        <v>20772</v>
      </c>
      <c r="I34" s="869">
        <v>-380</v>
      </c>
      <c r="J34" s="867">
        <v>5937</v>
      </c>
      <c r="K34" s="869">
        <v>125490</v>
      </c>
      <c r="L34" s="856">
        <v>17516</v>
      </c>
      <c r="M34" s="830">
        <v>116817</v>
      </c>
      <c r="N34" s="830">
        <v>100931</v>
      </c>
      <c r="O34" s="831">
        <v>1630</v>
      </c>
      <c r="P34" s="293">
        <v>213</v>
      </c>
      <c r="Q34" s="878"/>
      <c r="R34" s="807">
        <f t="shared" si="3"/>
        <v>143006</v>
      </c>
      <c r="S34" s="807">
        <f t="shared" si="4"/>
        <v>0</v>
      </c>
      <c r="T34" s="807"/>
      <c r="U34" s="49">
        <v>6487</v>
      </c>
      <c r="V34" s="49">
        <f t="shared" si="5"/>
        <v>111585</v>
      </c>
    </row>
    <row r="35" spans="1:22">
      <c r="A35" s="300">
        <v>215</v>
      </c>
      <c r="B35" s="92" t="s">
        <v>232</v>
      </c>
      <c r="C35" s="867">
        <v>296589</v>
      </c>
      <c r="D35" s="869">
        <v>158987</v>
      </c>
      <c r="E35" s="868">
        <v>37045</v>
      </c>
      <c r="F35" s="866">
        <v>51861</v>
      </c>
      <c r="G35" s="868">
        <v>12494</v>
      </c>
      <c r="H35" s="868">
        <v>40149</v>
      </c>
      <c r="I35" s="869">
        <v>-782</v>
      </c>
      <c r="J35" s="867">
        <v>10522</v>
      </c>
      <c r="K35" s="869">
        <v>258415</v>
      </c>
      <c r="L35" s="856">
        <v>38174</v>
      </c>
      <c r="M35" s="830">
        <v>243662</v>
      </c>
      <c r="N35" s="830">
        <v>207842</v>
      </c>
      <c r="O35" s="831">
        <v>2354</v>
      </c>
      <c r="P35" s="293">
        <v>215</v>
      </c>
      <c r="Q35" s="878"/>
      <c r="R35" s="807">
        <f t="shared" si="3"/>
        <v>296589</v>
      </c>
      <c r="S35" s="807">
        <f t="shared" si="4"/>
        <v>0</v>
      </c>
      <c r="T35" s="807"/>
      <c r="U35" s="49">
        <v>10734</v>
      </c>
      <c r="V35" s="49">
        <f t="shared" si="5"/>
        <v>229782</v>
      </c>
    </row>
    <row r="36" spans="1:22">
      <c r="A36" s="300">
        <v>218</v>
      </c>
      <c r="B36" s="90" t="s">
        <v>200</v>
      </c>
      <c r="C36" s="867">
        <v>253099</v>
      </c>
      <c r="D36" s="869">
        <v>90011</v>
      </c>
      <c r="E36" s="868">
        <v>21024</v>
      </c>
      <c r="F36" s="866">
        <v>72187</v>
      </c>
      <c r="G36" s="868">
        <v>5382</v>
      </c>
      <c r="H36" s="868">
        <v>67380</v>
      </c>
      <c r="I36" s="869">
        <v>-575</v>
      </c>
      <c r="J36" s="867">
        <v>6713</v>
      </c>
      <c r="K36" s="869">
        <v>189935</v>
      </c>
      <c r="L36" s="856">
        <v>63164</v>
      </c>
      <c r="M36" s="830">
        <v>202478</v>
      </c>
      <c r="N36" s="830">
        <v>152764</v>
      </c>
      <c r="O36" s="831">
        <v>13450</v>
      </c>
      <c r="P36" s="293">
        <v>218</v>
      </c>
      <c r="Q36" s="878"/>
      <c r="R36" s="807">
        <f t="shared" si="3"/>
        <v>253099</v>
      </c>
      <c r="S36" s="807">
        <f t="shared" si="4"/>
        <v>0</v>
      </c>
      <c r="T36" s="807"/>
      <c r="U36" s="49">
        <v>45739</v>
      </c>
      <c r="V36" s="49">
        <f t="shared" si="5"/>
        <v>168869</v>
      </c>
    </row>
    <row r="37" spans="1:22">
      <c r="A37" s="300">
        <v>220</v>
      </c>
      <c r="B37" s="90" t="s">
        <v>201</v>
      </c>
      <c r="C37" s="867">
        <v>229804</v>
      </c>
      <c r="D37" s="869">
        <v>82273</v>
      </c>
      <c r="E37" s="868">
        <v>19984</v>
      </c>
      <c r="F37" s="866">
        <v>49382</v>
      </c>
      <c r="G37" s="868">
        <v>6139</v>
      </c>
      <c r="H37" s="868">
        <v>43731</v>
      </c>
      <c r="I37" s="869">
        <v>-488</v>
      </c>
      <c r="J37" s="867">
        <v>9752</v>
      </c>
      <c r="K37" s="869">
        <v>161391</v>
      </c>
      <c r="L37" s="856">
        <v>68413</v>
      </c>
      <c r="M37" s="830">
        <v>184302</v>
      </c>
      <c r="N37" s="830">
        <v>129806</v>
      </c>
      <c r="O37" s="831">
        <v>13917</v>
      </c>
      <c r="P37" s="293">
        <v>220</v>
      </c>
      <c r="Q37" s="878"/>
      <c r="R37" s="807">
        <f t="shared" si="3"/>
        <v>229804</v>
      </c>
      <c r="S37" s="807">
        <f t="shared" si="4"/>
        <v>0</v>
      </c>
      <c r="T37" s="807"/>
      <c r="U37" s="49">
        <v>25350</v>
      </c>
      <c r="V37" s="49">
        <f t="shared" si="5"/>
        <v>143498</v>
      </c>
    </row>
    <row r="38" spans="1:22">
      <c r="A38" s="300">
        <v>228</v>
      </c>
      <c r="B38" s="90" t="s">
        <v>239</v>
      </c>
      <c r="C38" s="867">
        <v>269639</v>
      </c>
      <c r="D38" s="869">
        <v>82378</v>
      </c>
      <c r="E38" s="868">
        <v>19813</v>
      </c>
      <c r="F38" s="866">
        <v>40298</v>
      </c>
      <c r="G38" s="868">
        <v>7500</v>
      </c>
      <c r="H38" s="868">
        <v>33248</v>
      </c>
      <c r="I38" s="869">
        <v>-450</v>
      </c>
      <c r="J38" s="867">
        <v>6353</v>
      </c>
      <c r="K38" s="869">
        <v>148842</v>
      </c>
      <c r="L38" s="856">
        <v>120797</v>
      </c>
      <c r="M38" s="830">
        <v>214378</v>
      </c>
      <c r="N38" s="830">
        <v>119713</v>
      </c>
      <c r="O38" s="831">
        <v>26132</v>
      </c>
      <c r="P38" s="293">
        <v>228</v>
      </c>
      <c r="Q38" s="878"/>
      <c r="R38" s="807">
        <f t="shared" si="3"/>
        <v>269639</v>
      </c>
      <c r="S38" s="807">
        <f t="shared" si="4"/>
        <v>0</v>
      </c>
      <c r="T38" s="807"/>
      <c r="U38" s="49">
        <v>16300</v>
      </c>
      <c r="V38" s="49">
        <f t="shared" si="5"/>
        <v>132344</v>
      </c>
    </row>
    <row r="39" spans="1:22">
      <c r="A39" s="302">
        <v>365</v>
      </c>
      <c r="B39" s="201" t="s">
        <v>233</v>
      </c>
      <c r="C39" s="867">
        <v>67424</v>
      </c>
      <c r="D39" s="873">
        <v>35184</v>
      </c>
      <c r="E39" s="872">
        <v>14160</v>
      </c>
      <c r="F39" s="870">
        <v>11158</v>
      </c>
      <c r="G39" s="872">
        <v>1016</v>
      </c>
      <c r="H39" s="872">
        <v>10338</v>
      </c>
      <c r="I39" s="873">
        <v>-196</v>
      </c>
      <c r="J39" s="871">
        <v>4293</v>
      </c>
      <c r="K39" s="873">
        <v>64795</v>
      </c>
      <c r="L39" s="856">
        <v>2629</v>
      </c>
      <c r="M39" s="830">
        <v>58349</v>
      </c>
      <c r="N39" s="830">
        <v>52114</v>
      </c>
      <c r="O39" s="831">
        <v>-3606</v>
      </c>
      <c r="P39" s="293">
        <v>365</v>
      </c>
      <c r="Q39" s="878"/>
      <c r="R39" s="807">
        <f t="shared" si="3"/>
        <v>67424</v>
      </c>
      <c r="S39" s="807">
        <f t="shared" si="4"/>
        <v>0</v>
      </c>
      <c r="T39" s="807"/>
      <c r="U39" s="49">
        <v>2962</v>
      </c>
      <c r="V39" s="49">
        <f t="shared" si="5"/>
        <v>57615</v>
      </c>
    </row>
    <row r="40" spans="1:22">
      <c r="A40" s="300">
        <v>5</v>
      </c>
      <c r="B40" s="91" t="s">
        <v>202</v>
      </c>
      <c r="C40" s="863">
        <v>2670969</v>
      </c>
      <c r="D40" s="869">
        <v>1278820</v>
      </c>
      <c r="E40" s="868">
        <v>249127</v>
      </c>
      <c r="F40" s="856">
        <v>580745</v>
      </c>
      <c r="G40" s="868">
        <v>109179</v>
      </c>
      <c r="H40" s="868">
        <v>478244</v>
      </c>
      <c r="I40" s="869">
        <v>-6678</v>
      </c>
      <c r="J40" s="867">
        <v>97963</v>
      </c>
      <c r="K40" s="830">
        <v>2206655</v>
      </c>
      <c r="L40" s="855">
        <v>464314</v>
      </c>
      <c r="M40" s="827">
        <v>2150799</v>
      </c>
      <c r="N40" s="827">
        <v>1774802</v>
      </c>
      <c r="O40" s="828">
        <v>88317</v>
      </c>
      <c r="P40" s="293">
        <v>5</v>
      </c>
      <c r="Q40" s="878"/>
      <c r="R40" s="807">
        <f t="shared" si="3"/>
        <v>2670969</v>
      </c>
      <c r="S40" s="807">
        <f t="shared" si="4"/>
        <v>0</v>
      </c>
      <c r="T40" s="807"/>
      <c r="U40" s="49">
        <v>226985</v>
      </c>
      <c r="V40" s="49">
        <f t="shared" si="5"/>
        <v>1962074</v>
      </c>
    </row>
    <row r="41" spans="1:22">
      <c r="A41" s="300">
        <v>201</v>
      </c>
      <c r="B41" s="92" t="s">
        <v>240</v>
      </c>
      <c r="C41" s="867">
        <v>2419072</v>
      </c>
      <c r="D41" s="869">
        <v>1197902</v>
      </c>
      <c r="E41" s="868">
        <v>221641</v>
      </c>
      <c r="F41" s="866">
        <v>546959</v>
      </c>
      <c r="G41" s="868">
        <v>105915</v>
      </c>
      <c r="H41" s="868">
        <v>447269</v>
      </c>
      <c r="I41" s="869">
        <v>-6225</v>
      </c>
      <c r="J41" s="867">
        <v>90260</v>
      </c>
      <c r="K41" s="868">
        <v>2056762</v>
      </c>
      <c r="L41" s="856">
        <v>362310</v>
      </c>
      <c r="M41" s="830">
        <v>1945903</v>
      </c>
      <c r="N41" s="830">
        <v>1654244</v>
      </c>
      <c r="O41" s="831">
        <v>70651</v>
      </c>
      <c r="P41" s="293">
        <v>201</v>
      </c>
      <c r="Q41" s="878"/>
      <c r="R41" s="807">
        <f t="shared" si="3"/>
        <v>2419072</v>
      </c>
      <c r="S41" s="807">
        <f t="shared" si="4"/>
        <v>0</v>
      </c>
      <c r="T41" s="807"/>
      <c r="U41" s="49">
        <v>213076</v>
      </c>
      <c r="V41" s="49">
        <f t="shared" si="5"/>
        <v>1828794</v>
      </c>
    </row>
    <row r="42" spans="1:22">
      <c r="A42" s="300">
        <v>442</v>
      </c>
      <c r="B42" s="90" t="s">
        <v>203</v>
      </c>
      <c r="C42" s="867">
        <v>37716</v>
      </c>
      <c r="D42" s="869">
        <v>22904</v>
      </c>
      <c r="E42" s="868">
        <v>7639</v>
      </c>
      <c r="F42" s="866">
        <v>5916</v>
      </c>
      <c r="G42" s="868">
        <v>540</v>
      </c>
      <c r="H42" s="868">
        <v>5489</v>
      </c>
      <c r="I42" s="869">
        <v>-113</v>
      </c>
      <c r="J42" s="867">
        <v>1037</v>
      </c>
      <c r="K42" s="868">
        <v>37496</v>
      </c>
      <c r="L42" s="856">
        <v>220</v>
      </c>
      <c r="M42" s="830">
        <v>32494</v>
      </c>
      <c r="N42" s="830">
        <v>30158</v>
      </c>
      <c r="O42" s="831">
        <v>-2116</v>
      </c>
      <c r="P42" s="293">
        <v>442</v>
      </c>
      <c r="Q42" s="878"/>
      <c r="R42" s="807">
        <f t="shared" si="3"/>
        <v>37716</v>
      </c>
      <c r="S42" s="807">
        <f t="shared" si="4"/>
        <v>0</v>
      </c>
      <c r="T42" s="807"/>
      <c r="U42" s="49">
        <v>1222</v>
      </c>
      <c r="V42" s="49">
        <f t="shared" si="5"/>
        <v>33342</v>
      </c>
    </row>
    <row r="43" spans="1:22">
      <c r="A43" s="300">
        <v>443</v>
      </c>
      <c r="B43" s="90" t="s">
        <v>204</v>
      </c>
      <c r="C43" s="867">
        <v>182330</v>
      </c>
      <c r="D43" s="869">
        <v>37709</v>
      </c>
      <c r="E43" s="868">
        <v>9694</v>
      </c>
      <c r="F43" s="866">
        <v>22508</v>
      </c>
      <c r="G43" s="868">
        <v>2205</v>
      </c>
      <c r="H43" s="868">
        <v>20526</v>
      </c>
      <c r="I43" s="869">
        <v>-223</v>
      </c>
      <c r="J43" s="867">
        <v>3914</v>
      </c>
      <c r="K43" s="868">
        <v>73825</v>
      </c>
      <c r="L43" s="856">
        <v>108505</v>
      </c>
      <c r="M43" s="830">
        <v>143053</v>
      </c>
      <c r="N43" s="830">
        <v>59377</v>
      </c>
      <c r="O43" s="831">
        <v>24829</v>
      </c>
      <c r="P43" s="293">
        <v>443</v>
      </c>
      <c r="Q43" s="878"/>
      <c r="R43" s="807">
        <f t="shared" si="3"/>
        <v>182330</v>
      </c>
      <c r="S43" s="807">
        <f t="shared" si="4"/>
        <v>0</v>
      </c>
      <c r="T43" s="807"/>
      <c r="U43" s="49">
        <v>12117</v>
      </c>
      <c r="V43" s="49">
        <f t="shared" si="5"/>
        <v>65639</v>
      </c>
    </row>
    <row r="44" spans="1:22">
      <c r="A44" s="300">
        <v>446</v>
      </c>
      <c r="B44" s="90" t="s">
        <v>234</v>
      </c>
      <c r="C44" s="871">
        <v>31851</v>
      </c>
      <c r="D44" s="869">
        <v>20305</v>
      </c>
      <c r="E44" s="868">
        <v>10153</v>
      </c>
      <c r="F44" s="866">
        <v>5362</v>
      </c>
      <c r="G44" s="868">
        <v>519</v>
      </c>
      <c r="H44" s="868">
        <v>4960</v>
      </c>
      <c r="I44" s="869">
        <v>-117</v>
      </c>
      <c r="J44" s="867">
        <v>2752</v>
      </c>
      <c r="K44" s="868">
        <v>38572</v>
      </c>
      <c r="L44" s="858">
        <v>-6721</v>
      </c>
      <c r="M44" s="837">
        <v>29349</v>
      </c>
      <c r="N44" s="837">
        <v>31023</v>
      </c>
      <c r="O44" s="835">
        <v>-5047</v>
      </c>
      <c r="P44" s="293">
        <v>446</v>
      </c>
      <c r="Q44" s="878"/>
      <c r="R44" s="807">
        <f t="shared" si="3"/>
        <v>31851</v>
      </c>
      <c r="S44" s="807">
        <f t="shared" si="4"/>
        <v>0</v>
      </c>
      <c r="T44" s="807"/>
      <c r="U44" s="49">
        <v>570</v>
      </c>
      <c r="V44" s="49">
        <f t="shared" si="5"/>
        <v>34299</v>
      </c>
    </row>
    <row r="45" spans="1:22">
      <c r="A45" s="301">
        <v>6</v>
      </c>
      <c r="B45" s="306" t="s">
        <v>205</v>
      </c>
      <c r="C45" s="867">
        <v>1022521</v>
      </c>
      <c r="D45" s="865">
        <v>508203</v>
      </c>
      <c r="E45" s="864">
        <v>126892</v>
      </c>
      <c r="F45" s="855">
        <v>210630</v>
      </c>
      <c r="G45" s="864">
        <v>19388</v>
      </c>
      <c r="H45" s="864">
        <v>193957</v>
      </c>
      <c r="I45" s="865">
        <v>-2715</v>
      </c>
      <c r="J45" s="863">
        <v>51451</v>
      </c>
      <c r="K45" s="828">
        <v>897176</v>
      </c>
      <c r="L45" s="855">
        <v>125345</v>
      </c>
      <c r="M45" s="827">
        <v>839624</v>
      </c>
      <c r="N45" s="827">
        <v>721593</v>
      </c>
      <c r="O45" s="831">
        <v>7314</v>
      </c>
      <c r="P45" s="293">
        <v>6</v>
      </c>
      <c r="Q45" s="878"/>
      <c r="R45" s="807">
        <f t="shared" si="3"/>
        <v>1022521</v>
      </c>
      <c r="S45" s="807">
        <f t="shared" si="4"/>
        <v>0</v>
      </c>
      <c r="T45" s="807"/>
      <c r="U45" s="49">
        <v>91802</v>
      </c>
      <c r="V45" s="49">
        <f t="shared" si="5"/>
        <v>797736</v>
      </c>
    </row>
    <row r="46" spans="1:22">
      <c r="A46" s="300">
        <v>208</v>
      </c>
      <c r="B46" s="90" t="s">
        <v>206</v>
      </c>
      <c r="C46" s="867">
        <v>108271</v>
      </c>
      <c r="D46" s="869">
        <v>64223</v>
      </c>
      <c r="E46" s="868">
        <v>13565</v>
      </c>
      <c r="F46" s="866">
        <v>25613</v>
      </c>
      <c r="G46" s="868">
        <v>3286</v>
      </c>
      <c r="H46" s="868">
        <v>22667</v>
      </c>
      <c r="I46" s="869">
        <v>-340</v>
      </c>
      <c r="J46" s="867">
        <v>8842</v>
      </c>
      <c r="K46" s="869">
        <v>112243</v>
      </c>
      <c r="L46" s="856">
        <v>-3972</v>
      </c>
      <c r="M46" s="830">
        <v>88972</v>
      </c>
      <c r="N46" s="830">
        <v>90276</v>
      </c>
      <c r="O46" s="831">
        <v>-2668</v>
      </c>
      <c r="P46" s="293">
        <v>208</v>
      </c>
      <c r="Q46" s="878"/>
      <c r="R46" s="807">
        <f t="shared" si="3"/>
        <v>108271</v>
      </c>
      <c r="S46" s="807">
        <f t="shared" si="4"/>
        <v>0</v>
      </c>
      <c r="T46" s="807"/>
      <c r="U46" s="49">
        <v>9888</v>
      </c>
      <c r="V46" s="49">
        <f t="shared" si="5"/>
        <v>99804</v>
      </c>
    </row>
    <row r="47" spans="1:22">
      <c r="A47" s="300">
        <v>212</v>
      </c>
      <c r="B47" s="90" t="s">
        <v>207</v>
      </c>
      <c r="C47" s="867">
        <v>234555</v>
      </c>
      <c r="D47" s="869">
        <v>99523</v>
      </c>
      <c r="E47" s="868">
        <v>25274</v>
      </c>
      <c r="F47" s="866">
        <v>56620</v>
      </c>
      <c r="G47" s="868">
        <v>4301</v>
      </c>
      <c r="H47" s="868">
        <v>52910</v>
      </c>
      <c r="I47" s="869">
        <v>-591</v>
      </c>
      <c r="J47" s="867">
        <v>13872</v>
      </c>
      <c r="K47" s="869">
        <v>195289</v>
      </c>
      <c r="L47" s="856">
        <v>39266</v>
      </c>
      <c r="M47" s="830">
        <v>190625</v>
      </c>
      <c r="N47" s="830">
        <v>157070</v>
      </c>
      <c r="O47" s="831">
        <v>5711</v>
      </c>
      <c r="P47" s="293">
        <v>212</v>
      </c>
      <c r="Q47" s="878"/>
      <c r="R47" s="807">
        <f t="shared" si="3"/>
        <v>234555</v>
      </c>
      <c r="S47" s="807">
        <f t="shared" si="4"/>
        <v>0</v>
      </c>
      <c r="T47" s="807"/>
      <c r="U47" s="49">
        <v>30668</v>
      </c>
      <c r="V47" s="49">
        <f t="shared" si="5"/>
        <v>173638</v>
      </c>
    </row>
    <row r="48" spans="1:22">
      <c r="A48" s="300">
        <v>227</v>
      </c>
      <c r="B48" s="90" t="s">
        <v>219</v>
      </c>
      <c r="C48" s="867">
        <v>121061</v>
      </c>
      <c r="D48" s="869">
        <v>67261</v>
      </c>
      <c r="E48" s="868">
        <v>24114</v>
      </c>
      <c r="F48" s="866">
        <v>19149</v>
      </c>
      <c r="G48" s="868">
        <v>1686</v>
      </c>
      <c r="H48" s="868">
        <v>17822</v>
      </c>
      <c r="I48" s="869">
        <v>-359</v>
      </c>
      <c r="J48" s="867">
        <v>8169</v>
      </c>
      <c r="K48" s="869">
        <v>118693</v>
      </c>
      <c r="L48" s="856">
        <v>2368</v>
      </c>
      <c r="M48" s="830">
        <v>104090</v>
      </c>
      <c r="N48" s="830">
        <v>95464</v>
      </c>
      <c r="O48" s="831">
        <v>-6258</v>
      </c>
      <c r="P48" s="293">
        <v>227</v>
      </c>
      <c r="Q48" s="878"/>
      <c r="R48" s="807">
        <f t="shared" si="3"/>
        <v>121061</v>
      </c>
      <c r="S48" s="807">
        <f t="shared" si="4"/>
        <v>0</v>
      </c>
      <c r="T48" s="807"/>
      <c r="U48" s="49">
        <v>4311</v>
      </c>
      <c r="V48" s="49">
        <f t="shared" si="5"/>
        <v>105541</v>
      </c>
    </row>
    <row r="49" spans="1:22">
      <c r="A49" s="300">
        <v>229</v>
      </c>
      <c r="B49" s="90" t="s">
        <v>235</v>
      </c>
      <c r="C49" s="867">
        <v>359259</v>
      </c>
      <c r="D49" s="869">
        <v>150540</v>
      </c>
      <c r="E49" s="868">
        <v>30029</v>
      </c>
      <c r="F49" s="866">
        <v>73361</v>
      </c>
      <c r="G49" s="868">
        <v>5879</v>
      </c>
      <c r="H49" s="868">
        <v>68271</v>
      </c>
      <c r="I49" s="869">
        <v>-789</v>
      </c>
      <c r="J49" s="867">
        <v>6787</v>
      </c>
      <c r="K49" s="869">
        <v>260717</v>
      </c>
      <c r="L49" s="856">
        <v>98542</v>
      </c>
      <c r="M49" s="830">
        <v>287501</v>
      </c>
      <c r="N49" s="830">
        <v>209693</v>
      </c>
      <c r="O49" s="831">
        <v>20734</v>
      </c>
      <c r="P49" s="293">
        <v>229</v>
      </c>
      <c r="Q49" s="878"/>
      <c r="R49" s="807">
        <f t="shared" si="3"/>
        <v>359259</v>
      </c>
      <c r="S49" s="807">
        <f t="shared" si="4"/>
        <v>0</v>
      </c>
      <c r="T49" s="807"/>
      <c r="U49" s="49">
        <v>38579</v>
      </c>
      <c r="V49" s="49">
        <f t="shared" si="5"/>
        <v>231814</v>
      </c>
    </row>
    <row r="50" spans="1:22">
      <c r="A50" s="300">
        <v>464</v>
      </c>
      <c r="B50" s="90" t="s">
        <v>208</v>
      </c>
      <c r="C50" s="867">
        <v>84747</v>
      </c>
      <c r="D50" s="869">
        <v>64736</v>
      </c>
      <c r="E50" s="868">
        <v>10585</v>
      </c>
      <c r="F50" s="866">
        <v>18775</v>
      </c>
      <c r="G50" s="868">
        <v>2983</v>
      </c>
      <c r="H50" s="868">
        <v>16099</v>
      </c>
      <c r="I50" s="869">
        <v>-307</v>
      </c>
      <c r="J50" s="867">
        <v>7260</v>
      </c>
      <c r="K50" s="869">
        <v>101356</v>
      </c>
      <c r="L50" s="856">
        <v>-16609</v>
      </c>
      <c r="M50" s="830">
        <v>69623</v>
      </c>
      <c r="N50" s="830">
        <v>81520</v>
      </c>
      <c r="O50" s="831">
        <v>-4712</v>
      </c>
      <c r="P50" s="293">
        <v>464</v>
      </c>
      <c r="Q50" s="878"/>
      <c r="R50" s="807">
        <f t="shared" si="3"/>
        <v>84747</v>
      </c>
      <c r="S50" s="807">
        <f t="shared" si="4"/>
        <v>0</v>
      </c>
      <c r="T50" s="807"/>
      <c r="U50" s="49">
        <v>4561</v>
      </c>
      <c r="V50" s="49">
        <f t="shared" si="5"/>
        <v>90125</v>
      </c>
    </row>
    <row r="51" spans="1:22">
      <c r="A51" s="300">
        <v>481</v>
      </c>
      <c r="B51" s="90" t="s">
        <v>209</v>
      </c>
      <c r="C51" s="867">
        <v>53653</v>
      </c>
      <c r="D51" s="869">
        <v>29949</v>
      </c>
      <c r="E51" s="868">
        <v>8884</v>
      </c>
      <c r="F51" s="866">
        <v>8051</v>
      </c>
      <c r="G51" s="868">
        <v>540</v>
      </c>
      <c r="H51" s="868">
        <v>7657</v>
      </c>
      <c r="I51" s="869">
        <v>-146</v>
      </c>
      <c r="J51" s="867">
        <v>1478</v>
      </c>
      <c r="K51" s="869">
        <v>48362</v>
      </c>
      <c r="L51" s="856">
        <v>5291</v>
      </c>
      <c r="M51" s="830">
        <v>45203</v>
      </c>
      <c r="N51" s="830">
        <v>38897</v>
      </c>
      <c r="O51" s="831">
        <v>-1015</v>
      </c>
      <c r="P51" s="293">
        <v>481</v>
      </c>
      <c r="Q51" s="878"/>
      <c r="R51" s="807">
        <f t="shared" si="3"/>
        <v>53653</v>
      </c>
      <c r="S51" s="807">
        <f t="shared" si="4"/>
        <v>0</v>
      </c>
      <c r="T51" s="807"/>
      <c r="U51" s="49">
        <v>2152</v>
      </c>
      <c r="V51" s="49">
        <f t="shared" si="5"/>
        <v>43003</v>
      </c>
    </row>
    <row r="52" spans="1:22">
      <c r="A52" s="302">
        <v>501</v>
      </c>
      <c r="B52" s="201" t="s">
        <v>236</v>
      </c>
      <c r="C52" s="867">
        <v>60975</v>
      </c>
      <c r="D52" s="873">
        <v>31971</v>
      </c>
      <c r="E52" s="872">
        <v>14441</v>
      </c>
      <c r="F52" s="870">
        <v>9061</v>
      </c>
      <c r="G52" s="872">
        <v>713</v>
      </c>
      <c r="H52" s="872">
        <v>8531</v>
      </c>
      <c r="I52" s="873">
        <v>-183</v>
      </c>
      <c r="J52" s="871">
        <v>5043</v>
      </c>
      <c r="K52" s="873">
        <v>60516</v>
      </c>
      <c r="L52" s="858">
        <v>459</v>
      </c>
      <c r="M52" s="837">
        <v>53610</v>
      </c>
      <c r="N52" s="837">
        <v>48673</v>
      </c>
      <c r="O52" s="831">
        <v>-4478</v>
      </c>
      <c r="P52" s="293">
        <v>501</v>
      </c>
      <c r="Q52" s="878"/>
      <c r="R52" s="807">
        <f t="shared" si="3"/>
        <v>60975</v>
      </c>
      <c r="S52" s="807">
        <f t="shared" si="4"/>
        <v>0</v>
      </c>
      <c r="T52" s="807"/>
      <c r="U52" s="49">
        <v>1643</v>
      </c>
      <c r="V52" s="49">
        <f t="shared" si="5"/>
        <v>53811</v>
      </c>
    </row>
    <row r="53" spans="1:22">
      <c r="A53" s="300">
        <v>7</v>
      </c>
      <c r="B53" s="93" t="s">
        <v>210</v>
      </c>
      <c r="C53" s="863">
        <v>622690</v>
      </c>
      <c r="D53" s="869">
        <v>359148</v>
      </c>
      <c r="E53" s="868">
        <v>120849</v>
      </c>
      <c r="F53" s="856">
        <v>107244</v>
      </c>
      <c r="G53" s="868">
        <v>11261</v>
      </c>
      <c r="H53" s="868">
        <v>97900</v>
      </c>
      <c r="I53" s="869">
        <v>-1917</v>
      </c>
      <c r="J53" s="867">
        <v>45741</v>
      </c>
      <c r="K53" s="831">
        <v>632982</v>
      </c>
      <c r="L53" s="856">
        <v>-10292</v>
      </c>
      <c r="M53" s="830">
        <v>533759</v>
      </c>
      <c r="N53" s="830">
        <v>509104</v>
      </c>
      <c r="O53" s="828">
        <v>-34947</v>
      </c>
      <c r="P53" s="293">
        <v>7</v>
      </c>
      <c r="Q53" s="878"/>
      <c r="R53" s="807">
        <f t="shared" si="3"/>
        <v>622690</v>
      </c>
      <c r="S53" s="807">
        <f t="shared" si="4"/>
        <v>0</v>
      </c>
      <c r="T53" s="807"/>
      <c r="U53" s="49">
        <v>25848</v>
      </c>
      <c r="V53" s="49">
        <f t="shared" si="5"/>
        <v>562847</v>
      </c>
    </row>
    <row r="54" spans="1:22">
      <c r="A54" s="300">
        <v>209</v>
      </c>
      <c r="B54" s="90" t="s">
        <v>221</v>
      </c>
      <c r="C54" s="867">
        <v>310452</v>
      </c>
      <c r="D54" s="869">
        <v>178658</v>
      </c>
      <c r="E54" s="868">
        <v>52012</v>
      </c>
      <c r="F54" s="866">
        <v>50217</v>
      </c>
      <c r="G54" s="868">
        <v>6744</v>
      </c>
      <c r="H54" s="868">
        <v>44374</v>
      </c>
      <c r="I54" s="869">
        <v>-901</v>
      </c>
      <c r="J54" s="867">
        <v>16671</v>
      </c>
      <c r="K54" s="869">
        <v>297558</v>
      </c>
      <c r="L54" s="856">
        <v>12894</v>
      </c>
      <c r="M54" s="830">
        <v>261869</v>
      </c>
      <c r="N54" s="830">
        <v>239324</v>
      </c>
      <c r="O54" s="831">
        <v>-9651</v>
      </c>
      <c r="P54" s="293">
        <v>209</v>
      </c>
      <c r="Q54" s="878"/>
      <c r="R54" s="807">
        <f t="shared" si="3"/>
        <v>310452</v>
      </c>
      <c r="S54" s="807">
        <f t="shared" si="4"/>
        <v>0</v>
      </c>
      <c r="T54" s="807"/>
      <c r="U54" s="49">
        <v>10505</v>
      </c>
      <c r="V54" s="49">
        <f t="shared" si="5"/>
        <v>264590</v>
      </c>
    </row>
    <row r="55" spans="1:22">
      <c r="A55" s="300">
        <v>222</v>
      </c>
      <c r="B55" s="90" t="s">
        <v>218</v>
      </c>
      <c r="C55" s="867">
        <v>86105</v>
      </c>
      <c r="D55" s="869">
        <v>49507</v>
      </c>
      <c r="E55" s="868">
        <v>18593</v>
      </c>
      <c r="F55" s="866">
        <v>16996</v>
      </c>
      <c r="G55" s="868">
        <v>1556</v>
      </c>
      <c r="H55" s="868">
        <v>15715</v>
      </c>
      <c r="I55" s="869">
        <v>-275</v>
      </c>
      <c r="J55" s="867">
        <v>5710</v>
      </c>
      <c r="K55" s="869">
        <v>90806</v>
      </c>
      <c r="L55" s="856">
        <v>-4701</v>
      </c>
      <c r="M55" s="830">
        <v>74777</v>
      </c>
      <c r="N55" s="830">
        <v>73035</v>
      </c>
      <c r="O55" s="831">
        <v>-6443</v>
      </c>
      <c r="P55" s="293">
        <v>222</v>
      </c>
      <c r="Q55" s="878"/>
      <c r="R55" s="807">
        <f t="shared" si="3"/>
        <v>86105</v>
      </c>
      <c r="S55" s="807">
        <f t="shared" si="4"/>
        <v>0</v>
      </c>
      <c r="T55" s="807"/>
      <c r="U55" s="49">
        <v>5378</v>
      </c>
      <c r="V55" s="49">
        <f t="shared" si="5"/>
        <v>80744</v>
      </c>
    </row>
    <row r="56" spans="1:22">
      <c r="A56" s="300">
        <v>225</v>
      </c>
      <c r="B56" s="90" t="s">
        <v>222</v>
      </c>
      <c r="C56" s="867">
        <v>126543</v>
      </c>
      <c r="D56" s="869">
        <v>65982</v>
      </c>
      <c r="E56" s="868">
        <v>23202</v>
      </c>
      <c r="F56" s="866">
        <v>25529</v>
      </c>
      <c r="G56" s="868">
        <v>1902</v>
      </c>
      <c r="H56" s="868">
        <v>24020</v>
      </c>
      <c r="I56" s="869">
        <v>-393</v>
      </c>
      <c r="J56" s="867">
        <v>15023</v>
      </c>
      <c r="K56" s="869">
        <v>129736</v>
      </c>
      <c r="L56" s="856">
        <v>-3193</v>
      </c>
      <c r="M56" s="830">
        <v>107772</v>
      </c>
      <c r="N56" s="830">
        <v>104346</v>
      </c>
      <c r="O56" s="831">
        <v>-6619</v>
      </c>
      <c r="P56" s="293">
        <v>225</v>
      </c>
      <c r="Q56" s="878"/>
      <c r="R56" s="807">
        <f t="shared" si="3"/>
        <v>126543</v>
      </c>
      <c r="S56" s="807">
        <f t="shared" si="4"/>
        <v>0</v>
      </c>
      <c r="T56" s="807"/>
      <c r="U56" s="49">
        <v>9250</v>
      </c>
      <c r="V56" s="49">
        <f t="shared" si="5"/>
        <v>115359</v>
      </c>
    </row>
    <row r="57" spans="1:22">
      <c r="A57" s="300">
        <v>585</v>
      </c>
      <c r="B57" s="90" t="s">
        <v>220</v>
      </c>
      <c r="C57" s="867">
        <v>55847</v>
      </c>
      <c r="D57" s="869">
        <v>35250</v>
      </c>
      <c r="E57" s="868">
        <v>15015</v>
      </c>
      <c r="F57" s="866">
        <v>7812</v>
      </c>
      <c r="G57" s="868">
        <v>411</v>
      </c>
      <c r="H57" s="868">
        <v>7593</v>
      </c>
      <c r="I57" s="869">
        <v>-192</v>
      </c>
      <c r="J57" s="867">
        <v>5299</v>
      </c>
      <c r="K57" s="869">
        <v>63376</v>
      </c>
      <c r="L57" s="856">
        <v>-7529</v>
      </c>
      <c r="M57" s="830">
        <v>50023</v>
      </c>
      <c r="N57" s="830">
        <v>50973</v>
      </c>
      <c r="O57" s="831">
        <v>-6579</v>
      </c>
      <c r="P57" s="293">
        <v>585</v>
      </c>
      <c r="Q57" s="878"/>
      <c r="R57" s="807">
        <f t="shared" si="3"/>
        <v>55847</v>
      </c>
      <c r="S57" s="807">
        <f t="shared" si="4"/>
        <v>0</v>
      </c>
      <c r="T57" s="807"/>
      <c r="U57" s="49">
        <v>379</v>
      </c>
      <c r="V57" s="49">
        <f t="shared" si="5"/>
        <v>56354</v>
      </c>
    </row>
    <row r="58" spans="1:22">
      <c r="A58" s="300">
        <v>586</v>
      </c>
      <c r="B58" s="90" t="s">
        <v>237</v>
      </c>
      <c r="C58" s="871">
        <v>43743</v>
      </c>
      <c r="D58" s="869">
        <v>29751</v>
      </c>
      <c r="E58" s="868">
        <v>12027</v>
      </c>
      <c r="F58" s="866">
        <v>6690</v>
      </c>
      <c r="G58" s="868">
        <v>648</v>
      </c>
      <c r="H58" s="868">
        <v>6198</v>
      </c>
      <c r="I58" s="869">
        <v>-156</v>
      </c>
      <c r="J58" s="867">
        <v>3038</v>
      </c>
      <c r="K58" s="869">
        <v>51506</v>
      </c>
      <c r="L58" s="856">
        <v>-7763</v>
      </c>
      <c r="M58" s="830">
        <v>39318</v>
      </c>
      <c r="N58" s="830">
        <v>41426</v>
      </c>
      <c r="O58" s="835">
        <v>-5655</v>
      </c>
      <c r="P58" s="293">
        <v>586</v>
      </c>
      <c r="Q58" s="878"/>
      <c r="R58" s="807">
        <f t="shared" si="3"/>
        <v>43743</v>
      </c>
      <c r="S58" s="807">
        <f t="shared" si="4"/>
        <v>0</v>
      </c>
      <c r="T58" s="807"/>
      <c r="U58" s="49">
        <v>336</v>
      </c>
      <c r="V58" s="49">
        <f t="shared" si="5"/>
        <v>45800</v>
      </c>
    </row>
    <row r="59" spans="1:22">
      <c r="A59" s="301">
        <v>8</v>
      </c>
      <c r="B59" s="127" t="s">
        <v>211</v>
      </c>
      <c r="C59" s="867">
        <v>422586</v>
      </c>
      <c r="D59" s="865">
        <v>222923</v>
      </c>
      <c r="E59" s="864">
        <v>66014</v>
      </c>
      <c r="F59" s="855">
        <v>72400</v>
      </c>
      <c r="G59" s="864">
        <v>10072</v>
      </c>
      <c r="H59" s="864">
        <v>63488</v>
      </c>
      <c r="I59" s="865">
        <v>-1160</v>
      </c>
      <c r="J59" s="863">
        <v>22011</v>
      </c>
      <c r="K59" s="827">
        <v>383348</v>
      </c>
      <c r="L59" s="855">
        <v>39238</v>
      </c>
      <c r="M59" s="827">
        <v>353992</v>
      </c>
      <c r="N59" s="827">
        <v>308325</v>
      </c>
      <c r="O59" s="831">
        <v>-6429</v>
      </c>
      <c r="P59" s="293">
        <v>8</v>
      </c>
      <c r="Q59" s="878"/>
      <c r="R59" s="807">
        <f t="shared" si="3"/>
        <v>422586</v>
      </c>
      <c r="S59" s="807">
        <f t="shared" si="4"/>
        <v>0</v>
      </c>
      <c r="T59" s="807"/>
      <c r="U59" s="49">
        <v>19849</v>
      </c>
      <c r="V59" s="49">
        <f t="shared" si="5"/>
        <v>340869</v>
      </c>
    </row>
    <row r="60" spans="1:22">
      <c r="A60" s="300">
        <v>221</v>
      </c>
      <c r="B60" s="90" t="s">
        <v>1144</v>
      </c>
      <c r="C60" s="867">
        <v>161184</v>
      </c>
      <c r="D60" s="869">
        <v>89156</v>
      </c>
      <c r="E60" s="868">
        <v>26863</v>
      </c>
      <c r="F60" s="866">
        <v>26799</v>
      </c>
      <c r="G60" s="868">
        <v>3696</v>
      </c>
      <c r="H60" s="868">
        <v>23548</v>
      </c>
      <c r="I60" s="869">
        <v>-445</v>
      </c>
      <c r="J60" s="867">
        <v>4364</v>
      </c>
      <c r="K60" s="868">
        <v>147182</v>
      </c>
      <c r="L60" s="856">
        <v>14002</v>
      </c>
      <c r="M60" s="830">
        <v>135888</v>
      </c>
      <c r="N60" s="830">
        <v>118378</v>
      </c>
      <c r="O60" s="831">
        <v>-3508</v>
      </c>
      <c r="P60" s="293">
        <v>221</v>
      </c>
      <c r="Q60" s="878"/>
      <c r="R60" s="807">
        <f t="shared" si="3"/>
        <v>161184</v>
      </c>
      <c r="S60" s="807">
        <f t="shared" si="4"/>
        <v>0</v>
      </c>
      <c r="T60" s="807"/>
      <c r="U60" s="49">
        <v>6794</v>
      </c>
      <c r="V60" s="49">
        <f t="shared" si="5"/>
        <v>130873</v>
      </c>
    </row>
    <row r="61" spans="1:22">
      <c r="A61" s="302">
        <v>223</v>
      </c>
      <c r="B61" s="201" t="s">
        <v>223</v>
      </c>
      <c r="C61" s="867">
        <v>261402</v>
      </c>
      <c r="D61" s="873">
        <v>133767</v>
      </c>
      <c r="E61" s="872">
        <v>39151</v>
      </c>
      <c r="F61" s="870">
        <v>45601</v>
      </c>
      <c r="G61" s="872">
        <v>6376</v>
      </c>
      <c r="H61" s="872">
        <v>39940</v>
      </c>
      <c r="I61" s="873">
        <v>-715</v>
      </c>
      <c r="J61" s="871">
        <v>17647</v>
      </c>
      <c r="K61" s="872">
        <v>236166</v>
      </c>
      <c r="L61" s="858">
        <v>25236</v>
      </c>
      <c r="M61" s="837">
        <v>218104</v>
      </c>
      <c r="N61" s="837">
        <v>189947</v>
      </c>
      <c r="O61" s="831">
        <v>-2921</v>
      </c>
      <c r="P61" s="293">
        <v>223</v>
      </c>
      <c r="Q61" s="878"/>
      <c r="R61" s="807">
        <f t="shared" si="3"/>
        <v>261402</v>
      </c>
      <c r="S61" s="807">
        <f t="shared" si="4"/>
        <v>0</v>
      </c>
      <c r="T61" s="807"/>
      <c r="U61" s="49">
        <v>13055</v>
      </c>
      <c r="V61" s="49">
        <f t="shared" si="5"/>
        <v>209996</v>
      </c>
    </row>
    <row r="62" spans="1:22">
      <c r="A62" s="301">
        <v>9</v>
      </c>
      <c r="B62" s="346" t="s">
        <v>212</v>
      </c>
      <c r="C62" s="863">
        <v>470451</v>
      </c>
      <c r="D62" s="869">
        <v>258045</v>
      </c>
      <c r="E62" s="868">
        <v>84172</v>
      </c>
      <c r="F62" s="856">
        <v>88801</v>
      </c>
      <c r="G62" s="868">
        <v>10959</v>
      </c>
      <c r="H62" s="868">
        <v>79248</v>
      </c>
      <c r="I62" s="869">
        <v>-1406</v>
      </c>
      <c r="J62" s="867">
        <v>33597</v>
      </c>
      <c r="K62" s="828">
        <v>464615</v>
      </c>
      <c r="L62" s="856">
        <v>5836</v>
      </c>
      <c r="M62" s="830">
        <v>399589</v>
      </c>
      <c r="N62" s="830">
        <v>373687</v>
      </c>
      <c r="O62" s="828">
        <v>-20066</v>
      </c>
      <c r="P62" s="293">
        <v>9</v>
      </c>
      <c r="Q62" s="878"/>
      <c r="R62" s="807">
        <f t="shared" si="3"/>
        <v>470451</v>
      </c>
      <c r="S62" s="807">
        <f t="shared" si="4"/>
        <v>0</v>
      </c>
      <c r="T62" s="807"/>
      <c r="U62" s="49">
        <v>26356</v>
      </c>
      <c r="V62" s="49">
        <f t="shared" si="5"/>
        <v>413129</v>
      </c>
    </row>
    <row r="63" spans="1:22">
      <c r="A63" s="300">
        <v>205</v>
      </c>
      <c r="B63" s="92" t="s">
        <v>241</v>
      </c>
      <c r="C63" s="867">
        <v>159950</v>
      </c>
      <c r="D63" s="869">
        <v>88550</v>
      </c>
      <c r="E63" s="868">
        <v>25793</v>
      </c>
      <c r="F63" s="866">
        <v>40461</v>
      </c>
      <c r="G63" s="868">
        <v>3415</v>
      </c>
      <c r="H63" s="868">
        <v>37545</v>
      </c>
      <c r="I63" s="869">
        <v>-499</v>
      </c>
      <c r="J63" s="867">
        <v>10081</v>
      </c>
      <c r="K63" s="869">
        <v>164885</v>
      </c>
      <c r="L63" s="856">
        <v>-4935</v>
      </c>
      <c r="M63" s="830">
        <v>134402</v>
      </c>
      <c r="N63" s="830">
        <v>132616</v>
      </c>
      <c r="O63" s="831">
        <v>-6721</v>
      </c>
      <c r="P63" s="293">
        <v>205</v>
      </c>
      <c r="Q63" s="878"/>
      <c r="R63" s="807">
        <f t="shared" si="3"/>
        <v>159950</v>
      </c>
      <c r="S63" s="807">
        <f t="shared" si="4"/>
        <v>0</v>
      </c>
      <c r="T63" s="807"/>
      <c r="U63" s="49">
        <v>18770</v>
      </c>
      <c r="V63" s="49">
        <f t="shared" si="5"/>
        <v>146609</v>
      </c>
    </row>
    <row r="64" spans="1:22">
      <c r="A64" s="300">
        <v>224</v>
      </c>
      <c r="B64" s="90" t="s">
        <v>224</v>
      </c>
      <c r="C64" s="867">
        <v>162641</v>
      </c>
      <c r="D64" s="869">
        <v>83462</v>
      </c>
      <c r="E64" s="868">
        <v>28852</v>
      </c>
      <c r="F64" s="866">
        <v>25898</v>
      </c>
      <c r="G64" s="868">
        <v>3761</v>
      </c>
      <c r="H64" s="868">
        <v>22591</v>
      </c>
      <c r="I64" s="869">
        <v>-454</v>
      </c>
      <c r="J64" s="867">
        <v>11697</v>
      </c>
      <c r="K64" s="869">
        <v>149909</v>
      </c>
      <c r="L64" s="856">
        <v>12732</v>
      </c>
      <c r="M64" s="830">
        <v>138015</v>
      </c>
      <c r="N64" s="830">
        <v>120571</v>
      </c>
      <c r="O64" s="831">
        <v>-4712</v>
      </c>
      <c r="P64" s="293">
        <v>224</v>
      </c>
      <c r="Q64" s="878"/>
      <c r="R64" s="807">
        <f t="shared" si="3"/>
        <v>162641</v>
      </c>
      <c r="S64" s="807">
        <f t="shared" si="4"/>
        <v>0</v>
      </c>
      <c r="T64" s="807"/>
      <c r="U64" s="49">
        <v>5526</v>
      </c>
      <c r="V64" s="49">
        <f t="shared" si="5"/>
        <v>133298</v>
      </c>
    </row>
    <row r="65" spans="1:22">
      <c r="A65" s="302">
        <v>226</v>
      </c>
      <c r="B65" s="201" t="s">
        <v>225</v>
      </c>
      <c r="C65" s="871">
        <v>147860</v>
      </c>
      <c r="D65" s="873">
        <v>86033</v>
      </c>
      <c r="E65" s="872">
        <v>29527</v>
      </c>
      <c r="F65" s="870">
        <v>22442</v>
      </c>
      <c r="G65" s="872">
        <v>3783</v>
      </c>
      <c r="H65" s="872">
        <v>19112</v>
      </c>
      <c r="I65" s="873">
        <v>-453</v>
      </c>
      <c r="J65" s="871">
        <v>11819</v>
      </c>
      <c r="K65" s="873">
        <v>149821</v>
      </c>
      <c r="L65" s="858">
        <v>-1961</v>
      </c>
      <c r="M65" s="837">
        <v>127172</v>
      </c>
      <c r="N65" s="837">
        <v>120500</v>
      </c>
      <c r="O65" s="835">
        <v>-8633</v>
      </c>
      <c r="P65" s="293">
        <v>226</v>
      </c>
      <c r="Q65" s="878"/>
      <c r="R65" s="807">
        <f t="shared" si="3"/>
        <v>147860</v>
      </c>
      <c r="S65" s="807">
        <f t="shared" si="4"/>
        <v>0</v>
      </c>
      <c r="T65" s="807"/>
      <c r="U65" s="49">
        <v>2060</v>
      </c>
      <c r="V65" s="49">
        <f t="shared" si="5"/>
        <v>133222</v>
      </c>
    </row>
    <row r="66" spans="1:22">
      <c r="A66" s="75"/>
      <c r="B66" s="75"/>
      <c r="C66" s="239"/>
      <c r="D66" s="239"/>
      <c r="E66" s="239"/>
      <c r="F66" s="239"/>
      <c r="G66" s="239"/>
      <c r="H66" s="239"/>
      <c r="I66" s="239"/>
      <c r="J66" s="239"/>
      <c r="K66" s="239"/>
      <c r="L66" s="239"/>
      <c r="M66" s="239"/>
      <c r="N66" s="239"/>
      <c r="O66" s="352"/>
    </row>
    <row r="67" spans="1:22">
      <c r="A67" s="75"/>
      <c r="B67" s="75" t="s">
        <v>1309</v>
      </c>
      <c r="C67" s="239">
        <f>+SUM(C17:C65)/2+C16</f>
        <v>21965422</v>
      </c>
      <c r="D67" s="239">
        <f t="shared" ref="D67:O67" si="6">+SUM(D17:D65)/2+D16</f>
        <v>12971297</v>
      </c>
      <c r="E67" s="239">
        <f t="shared" si="6"/>
        <v>2535493</v>
      </c>
      <c r="F67" s="239">
        <f t="shared" si="6"/>
        <v>4386665</v>
      </c>
      <c r="G67" s="239">
        <f t="shared" si="6"/>
        <v>752059</v>
      </c>
      <c r="H67" s="239">
        <f t="shared" si="6"/>
        <v>3697164</v>
      </c>
      <c r="I67" s="239">
        <f t="shared" si="6"/>
        <v>-62558</v>
      </c>
      <c r="J67" s="239">
        <f t="shared" si="6"/>
        <v>776243</v>
      </c>
      <c r="K67" s="239">
        <f t="shared" si="6"/>
        <v>20669698</v>
      </c>
      <c r="L67" s="239">
        <f t="shared" si="6"/>
        <v>1295724</v>
      </c>
      <c r="M67" s="239">
        <f t="shared" si="6"/>
        <v>17938429</v>
      </c>
      <c r="N67" s="239">
        <f t="shared" si="6"/>
        <v>16624536</v>
      </c>
      <c r="O67" s="239">
        <f t="shared" si="6"/>
        <v>-18169</v>
      </c>
    </row>
    <row r="68" spans="1:22">
      <c r="A68" s="75"/>
      <c r="B68" s="75" t="s">
        <v>1307</v>
      </c>
      <c r="C68" s="239">
        <v>21926254.940672409</v>
      </c>
      <c r="D68" s="239">
        <v>13095478.350727566</v>
      </c>
      <c r="E68" s="239">
        <v>2484592.731193169</v>
      </c>
      <c r="F68" s="239">
        <v>4379377.4009155035</v>
      </c>
      <c r="G68" s="239">
        <v>752059</v>
      </c>
      <c r="H68" s="239">
        <v>3692294.0179802617</v>
      </c>
      <c r="I68" s="239">
        <v>-64975.617064758502</v>
      </c>
      <c r="J68" s="239">
        <v>776254.11618656875</v>
      </c>
      <c r="K68" s="239">
        <v>20735702.599022809</v>
      </c>
      <c r="L68" s="239">
        <v>1190552.3416496005</v>
      </c>
      <c r="M68" s="239">
        <v>17654148.954399906</v>
      </c>
      <c r="N68" s="239">
        <v>16715635</v>
      </c>
      <c r="O68" s="239">
        <v>252038.38724969327</v>
      </c>
    </row>
    <row r="69" spans="1:22">
      <c r="A69" s="75"/>
      <c r="B69" s="75"/>
      <c r="C69" s="838">
        <f>+C67-C68</f>
        <v>39167.059327591211</v>
      </c>
      <c r="D69" s="838">
        <f t="shared" ref="D69:O69" si="7">+D67-D68</f>
        <v>-124181.35072756559</v>
      </c>
      <c r="E69" s="838">
        <f t="shared" si="7"/>
        <v>50900.26880683098</v>
      </c>
      <c r="F69" s="838">
        <f t="shared" si="7"/>
        <v>7287.5990844964981</v>
      </c>
      <c r="G69" s="838">
        <f t="shared" si="7"/>
        <v>0</v>
      </c>
      <c r="H69" s="838">
        <f t="shared" si="7"/>
        <v>4869.9820197382942</v>
      </c>
      <c r="I69" s="838">
        <f t="shared" si="7"/>
        <v>2417.6170647585022</v>
      </c>
      <c r="J69" s="838">
        <f t="shared" si="7"/>
        <v>-11.116186568746343</v>
      </c>
      <c r="K69" s="838">
        <f t="shared" si="7"/>
        <v>-66004.599022809416</v>
      </c>
      <c r="L69" s="838">
        <f t="shared" si="7"/>
        <v>105171.65835039946</v>
      </c>
      <c r="M69" s="838">
        <f t="shared" si="7"/>
        <v>284280.0456000939</v>
      </c>
      <c r="N69" s="838">
        <f t="shared" si="7"/>
        <v>-91099</v>
      </c>
      <c r="O69" s="838">
        <f t="shared" si="7"/>
        <v>-270207.38724969327</v>
      </c>
    </row>
    <row r="70" spans="1:22">
      <c r="A70" s="75"/>
      <c r="B70" s="75"/>
      <c r="C70" s="239"/>
      <c r="D70" s="239"/>
      <c r="E70" s="239"/>
      <c r="F70" s="239"/>
      <c r="G70" s="239"/>
      <c r="H70" s="239"/>
      <c r="I70" s="239"/>
      <c r="J70" s="239"/>
      <c r="K70" s="239"/>
      <c r="L70" s="239"/>
      <c r="M70" s="239"/>
      <c r="N70" s="239"/>
      <c r="O70" s="239"/>
    </row>
  </sheetData>
  <mergeCells count="1">
    <mergeCell ref="L2:M2"/>
  </mergeCells>
  <phoneticPr fontId="13"/>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1">
    <tabColor theme="9" tint="0.59999389629810485"/>
  </sheetPr>
  <dimension ref="A1:V132"/>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20" width="6.2109375" style="49" customWidth="1"/>
    <col min="21" max="21" width="9.5703125" style="49" customWidth="1"/>
    <col min="22" max="22" width="8.92578125" style="49" customWidth="1"/>
    <col min="23" max="16384" width="8.7109375" style="49"/>
  </cols>
  <sheetData>
    <row r="1" spans="1:22">
      <c r="A1" s="86"/>
      <c r="B1" s="65" t="s">
        <v>1056</v>
      </c>
      <c r="C1" s="239"/>
      <c r="D1" s="239"/>
      <c r="E1" s="239"/>
      <c r="F1" s="1878" t="str">
        <f>'24R5'!F1</f>
        <v>市町民経済計算試算(2026.3)</v>
      </c>
      <c r="G1" s="682"/>
      <c r="H1" s="239"/>
      <c r="I1" s="239"/>
      <c r="J1" s="239"/>
      <c r="K1" s="239"/>
      <c r="L1" s="239"/>
      <c r="M1" s="239"/>
      <c r="N1" s="880" t="s">
        <v>818</v>
      </c>
      <c r="O1" s="830"/>
      <c r="R1" s="851" t="s">
        <v>1344</v>
      </c>
      <c r="S1" s="843"/>
    </row>
    <row r="2" spans="1:22" ht="26.25" customHeight="1">
      <c r="A2" s="294"/>
      <c r="B2" s="296" t="s">
        <v>930</v>
      </c>
      <c r="C2" s="297" t="s">
        <v>817</v>
      </c>
      <c r="D2" s="275" t="s">
        <v>68</v>
      </c>
      <c r="E2" s="291" t="s">
        <v>1289</v>
      </c>
      <c r="F2" s="297" t="s">
        <v>69</v>
      </c>
      <c r="G2" s="291"/>
      <c r="H2" s="291"/>
      <c r="I2" s="817"/>
      <c r="J2" s="817" t="s">
        <v>70</v>
      </c>
      <c r="K2" s="817" t="s">
        <v>671</v>
      </c>
      <c r="L2" s="2310" t="s">
        <v>71</v>
      </c>
      <c r="M2" s="2311"/>
      <c r="N2" s="291"/>
      <c r="O2" s="817"/>
      <c r="P2" s="92"/>
      <c r="Q2" s="313"/>
      <c r="R2" s="852" t="s">
        <v>1345</v>
      </c>
      <c r="S2" s="908">
        <f>+SUM(C69:O69)</f>
        <v>491947.16573740169</v>
      </c>
      <c r="T2" s="755"/>
      <c r="U2" s="839" t="s">
        <v>1343</v>
      </c>
      <c r="V2" s="841"/>
    </row>
    <row r="3" spans="1:22" ht="28.5">
      <c r="A3" s="357"/>
      <c r="B3" s="92" t="s">
        <v>931</v>
      </c>
      <c r="C3" s="351" t="s">
        <v>82</v>
      </c>
      <c r="D3" s="353"/>
      <c r="E3" s="352"/>
      <c r="F3" s="351" t="s">
        <v>83</v>
      </c>
      <c r="G3" s="297" t="s">
        <v>72</v>
      </c>
      <c r="H3" s="275" t="s">
        <v>73</v>
      </c>
      <c r="I3" s="817" t="s">
        <v>74</v>
      </c>
      <c r="J3" s="881"/>
      <c r="K3" s="861"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3">
        <v>22283273</v>
      </c>
      <c r="D4" s="865">
        <v>13163075</v>
      </c>
      <c r="E4" s="864">
        <v>2664104</v>
      </c>
      <c r="F4" s="862">
        <v>4557515</v>
      </c>
      <c r="G4" s="864">
        <v>706383</v>
      </c>
      <c r="H4" s="864">
        <v>3798503</v>
      </c>
      <c r="I4" s="865">
        <v>52629</v>
      </c>
      <c r="J4" s="865">
        <v>799770</v>
      </c>
      <c r="K4" s="865">
        <v>21184464</v>
      </c>
      <c r="L4" s="862">
        <v>1098809</v>
      </c>
      <c r="M4" s="864">
        <v>19265526</v>
      </c>
      <c r="N4" s="864">
        <v>17365699</v>
      </c>
      <c r="O4" s="865">
        <v>-801018</v>
      </c>
      <c r="P4" s="77"/>
      <c r="Q4" s="878"/>
      <c r="R4" s="807">
        <f t="shared" ref="R4:R14" si="0">D4+E4+F4+J4+L4</f>
        <v>22283273</v>
      </c>
      <c r="S4" s="807">
        <f t="shared" ref="S4:S14" si="1">R4-C4</f>
        <v>0</v>
      </c>
      <c r="T4" s="807"/>
      <c r="U4" s="49">
        <f>民間設備製造1!N6</f>
        <v>1359885.2801268832</v>
      </c>
      <c r="V4" s="49">
        <f t="shared" ref="V4:V14" si="2">D4+E4+G4+J4+U4</f>
        <v>18693217.280126885</v>
      </c>
    </row>
    <row r="5" spans="1:22">
      <c r="A5" s="298">
        <v>100</v>
      </c>
      <c r="B5" s="75" t="s">
        <v>172</v>
      </c>
      <c r="C5" s="867">
        <v>6983569</v>
      </c>
      <c r="D5" s="869">
        <v>4110103</v>
      </c>
      <c r="E5" s="868">
        <v>932698</v>
      </c>
      <c r="F5" s="866">
        <v>1185422</v>
      </c>
      <c r="G5" s="868">
        <v>212969</v>
      </c>
      <c r="H5" s="868">
        <v>956333</v>
      </c>
      <c r="I5" s="869">
        <v>16120</v>
      </c>
      <c r="J5" s="869">
        <v>260353</v>
      </c>
      <c r="K5" s="869">
        <v>6488576</v>
      </c>
      <c r="L5" s="866">
        <v>494993</v>
      </c>
      <c r="M5" s="868">
        <v>6082933</v>
      </c>
      <c r="N5" s="868">
        <v>5318928</v>
      </c>
      <c r="O5" s="869">
        <v>-269012</v>
      </c>
      <c r="P5" s="77">
        <v>100</v>
      </c>
      <c r="Q5" s="878"/>
      <c r="R5" s="807">
        <f t="shared" si="0"/>
        <v>6983569</v>
      </c>
      <c r="S5" s="807">
        <f t="shared" si="1"/>
        <v>0</v>
      </c>
      <c r="T5" s="807"/>
      <c r="U5" s="49">
        <f>民間設備製造1!N7</f>
        <v>205759.28012688318</v>
      </c>
      <c r="V5" s="49">
        <f t="shared" si="2"/>
        <v>5721882.2801268827</v>
      </c>
    </row>
    <row r="6" spans="1:22">
      <c r="A6" s="298">
        <v>1</v>
      </c>
      <c r="B6" s="75" t="s">
        <v>323</v>
      </c>
      <c r="C6" s="867">
        <v>3670272</v>
      </c>
      <c r="D6" s="869">
        <v>2637898</v>
      </c>
      <c r="E6" s="868">
        <v>437031</v>
      </c>
      <c r="F6" s="866">
        <v>688549</v>
      </c>
      <c r="G6" s="868">
        <v>145273</v>
      </c>
      <c r="H6" s="868">
        <v>533638</v>
      </c>
      <c r="I6" s="869">
        <v>9638</v>
      </c>
      <c r="J6" s="869">
        <v>116087</v>
      </c>
      <c r="K6" s="869">
        <v>3879565</v>
      </c>
      <c r="L6" s="866">
        <v>-209293</v>
      </c>
      <c r="M6" s="868">
        <v>3172402</v>
      </c>
      <c r="N6" s="868">
        <v>3180225</v>
      </c>
      <c r="O6" s="869">
        <v>-201470</v>
      </c>
      <c r="P6" s="77">
        <v>1</v>
      </c>
      <c r="Q6" s="878"/>
      <c r="R6" s="807">
        <f t="shared" si="0"/>
        <v>3670272</v>
      </c>
      <c r="S6" s="807">
        <f t="shared" si="1"/>
        <v>0</v>
      </c>
      <c r="T6" s="807"/>
      <c r="U6" s="49">
        <f>民間設備製造1!N8</f>
        <v>84190</v>
      </c>
      <c r="V6" s="49">
        <f t="shared" si="2"/>
        <v>3420479</v>
      </c>
    </row>
    <row r="7" spans="1:22">
      <c r="A7" s="298">
        <v>2</v>
      </c>
      <c r="B7" s="75" t="s">
        <v>324</v>
      </c>
      <c r="C7" s="867">
        <v>2115268</v>
      </c>
      <c r="D7" s="869">
        <v>1608613</v>
      </c>
      <c r="E7" s="868">
        <v>290415</v>
      </c>
      <c r="F7" s="866">
        <v>478149</v>
      </c>
      <c r="G7" s="868">
        <v>80705</v>
      </c>
      <c r="H7" s="868">
        <v>391362</v>
      </c>
      <c r="I7" s="869">
        <v>6082</v>
      </c>
      <c r="J7" s="869">
        <v>71182</v>
      </c>
      <c r="K7" s="869">
        <v>2448359</v>
      </c>
      <c r="L7" s="866">
        <v>-333091</v>
      </c>
      <c r="M7" s="868">
        <v>1846119</v>
      </c>
      <c r="N7" s="868">
        <v>2007011</v>
      </c>
      <c r="O7" s="869">
        <v>-172199</v>
      </c>
      <c r="P7" s="77">
        <v>2</v>
      </c>
      <c r="Q7" s="878"/>
      <c r="R7" s="807">
        <f t="shared" si="0"/>
        <v>2115268</v>
      </c>
      <c r="S7" s="807">
        <f t="shared" si="1"/>
        <v>0</v>
      </c>
      <c r="T7" s="807"/>
      <c r="U7" s="49">
        <f>民間設備製造1!N9</f>
        <v>108683</v>
      </c>
      <c r="V7" s="49">
        <f t="shared" si="2"/>
        <v>2159598</v>
      </c>
    </row>
    <row r="8" spans="1:22">
      <c r="A8" s="298">
        <v>3</v>
      </c>
      <c r="B8" s="75" t="s">
        <v>192</v>
      </c>
      <c r="C8" s="867">
        <v>2926149</v>
      </c>
      <c r="D8" s="869">
        <v>1606924</v>
      </c>
      <c r="E8" s="868">
        <v>265938</v>
      </c>
      <c r="F8" s="866">
        <v>844113</v>
      </c>
      <c r="G8" s="868">
        <v>95215</v>
      </c>
      <c r="H8" s="868">
        <v>741954</v>
      </c>
      <c r="I8" s="869">
        <v>6944</v>
      </c>
      <c r="J8" s="869">
        <v>78032</v>
      </c>
      <c r="K8" s="869">
        <v>2795007</v>
      </c>
      <c r="L8" s="866">
        <v>131142</v>
      </c>
      <c r="M8" s="868">
        <v>2491151</v>
      </c>
      <c r="N8" s="868">
        <v>2291172</v>
      </c>
      <c r="O8" s="869">
        <v>-68837</v>
      </c>
      <c r="P8" s="77">
        <v>3</v>
      </c>
      <c r="Q8" s="878"/>
      <c r="R8" s="807">
        <f t="shared" si="0"/>
        <v>2926149</v>
      </c>
      <c r="S8" s="807">
        <f t="shared" si="1"/>
        <v>0</v>
      </c>
      <c r="T8" s="807"/>
      <c r="U8" s="49">
        <f>民間設備製造1!N10</f>
        <v>424458</v>
      </c>
      <c r="V8" s="49">
        <f t="shared" si="2"/>
        <v>2470567</v>
      </c>
    </row>
    <row r="9" spans="1:22">
      <c r="A9" s="298">
        <v>4</v>
      </c>
      <c r="B9" s="75" t="s">
        <v>325</v>
      </c>
      <c r="C9" s="867">
        <v>1311666</v>
      </c>
      <c r="D9" s="869">
        <v>538912</v>
      </c>
      <c r="E9" s="868">
        <v>121941</v>
      </c>
      <c r="F9" s="866">
        <v>240924</v>
      </c>
      <c r="G9" s="868">
        <v>34576</v>
      </c>
      <c r="H9" s="868">
        <v>204010</v>
      </c>
      <c r="I9" s="869">
        <v>2338</v>
      </c>
      <c r="J9" s="869">
        <v>39455</v>
      </c>
      <c r="K9" s="869">
        <v>941232</v>
      </c>
      <c r="L9" s="866">
        <v>370434</v>
      </c>
      <c r="M9" s="868">
        <v>1117935</v>
      </c>
      <c r="N9" s="868">
        <v>771564</v>
      </c>
      <c r="O9" s="869">
        <v>24063</v>
      </c>
      <c r="P9" s="77">
        <v>4</v>
      </c>
      <c r="Q9" s="878"/>
      <c r="R9" s="807">
        <f t="shared" si="0"/>
        <v>1311666</v>
      </c>
      <c r="S9" s="807">
        <f t="shared" si="1"/>
        <v>0</v>
      </c>
      <c r="T9" s="807"/>
      <c r="U9" s="49">
        <f>民間設備製造1!N11</f>
        <v>96281</v>
      </c>
      <c r="V9" s="49">
        <f t="shared" si="2"/>
        <v>831165</v>
      </c>
    </row>
    <row r="10" spans="1:22">
      <c r="A10" s="298">
        <v>5</v>
      </c>
      <c r="B10" s="75" t="s">
        <v>326</v>
      </c>
      <c r="C10" s="867">
        <v>2678931</v>
      </c>
      <c r="D10" s="869">
        <v>1301212</v>
      </c>
      <c r="E10" s="868">
        <v>239676</v>
      </c>
      <c r="F10" s="866">
        <v>584025</v>
      </c>
      <c r="G10" s="868">
        <v>90864</v>
      </c>
      <c r="H10" s="868">
        <v>487602</v>
      </c>
      <c r="I10" s="869">
        <v>5559</v>
      </c>
      <c r="J10" s="869">
        <v>112877</v>
      </c>
      <c r="K10" s="869">
        <v>2237790</v>
      </c>
      <c r="L10" s="866">
        <v>441141</v>
      </c>
      <c r="M10" s="868">
        <v>2278932</v>
      </c>
      <c r="N10" s="868">
        <v>1834400</v>
      </c>
      <c r="O10" s="869">
        <v>-3391</v>
      </c>
      <c r="P10" s="77">
        <v>5</v>
      </c>
      <c r="Q10" s="878"/>
      <c r="R10" s="807">
        <f t="shared" si="0"/>
        <v>2678931</v>
      </c>
      <c r="S10" s="807">
        <f t="shared" si="1"/>
        <v>0</v>
      </c>
      <c r="T10" s="807"/>
      <c r="U10" s="49">
        <f>民間設備製造1!N12</f>
        <v>231526</v>
      </c>
      <c r="V10" s="49">
        <f t="shared" si="2"/>
        <v>1976155</v>
      </c>
    </row>
    <row r="11" spans="1:22">
      <c r="A11" s="298">
        <v>6</v>
      </c>
      <c r="B11" s="75" t="s">
        <v>327</v>
      </c>
      <c r="C11" s="867">
        <v>1065770</v>
      </c>
      <c r="D11" s="869">
        <v>514444</v>
      </c>
      <c r="E11" s="868">
        <v>119194</v>
      </c>
      <c r="F11" s="866">
        <v>195707</v>
      </c>
      <c r="G11" s="868">
        <v>16664</v>
      </c>
      <c r="H11" s="868">
        <v>176887</v>
      </c>
      <c r="I11" s="869">
        <v>2156</v>
      </c>
      <c r="J11" s="869">
        <v>37827</v>
      </c>
      <c r="K11" s="869">
        <v>867172</v>
      </c>
      <c r="L11" s="866">
        <v>198598</v>
      </c>
      <c r="M11" s="868">
        <v>917640</v>
      </c>
      <c r="N11" s="868">
        <v>710855</v>
      </c>
      <c r="O11" s="869">
        <v>-8187</v>
      </c>
      <c r="P11" s="77">
        <v>6</v>
      </c>
      <c r="Q11" s="878"/>
      <c r="R11" s="807">
        <f t="shared" si="0"/>
        <v>1065770</v>
      </c>
      <c r="S11" s="807">
        <f t="shared" si="1"/>
        <v>0</v>
      </c>
      <c r="T11" s="807"/>
      <c r="U11" s="49">
        <f>民間設備製造1!N13</f>
        <v>77440</v>
      </c>
      <c r="V11" s="49">
        <f t="shared" si="2"/>
        <v>765569</v>
      </c>
    </row>
    <row r="12" spans="1:22">
      <c r="A12" s="298">
        <v>7</v>
      </c>
      <c r="B12" s="75" t="s">
        <v>210</v>
      </c>
      <c r="C12" s="867">
        <v>637010</v>
      </c>
      <c r="D12" s="869">
        <v>358322</v>
      </c>
      <c r="E12" s="868">
        <v>113762</v>
      </c>
      <c r="F12" s="866">
        <v>176705</v>
      </c>
      <c r="G12" s="868">
        <v>10412</v>
      </c>
      <c r="H12" s="868">
        <v>164582</v>
      </c>
      <c r="I12" s="869">
        <v>1711</v>
      </c>
      <c r="J12" s="869">
        <v>39822</v>
      </c>
      <c r="K12" s="869">
        <v>688611</v>
      </c>
      <c r="L12" s="866">
        <v>-51601</v>
      </c>
      <c r="M12" s="868">
        <v>568095</v>
      </c>
      <c r="N12" s="868">
        <v>564480</v>
      </c>
      <c r="O12" s="869">
        <v>-55216</v>
      </c>
      <c r="P12" s="77">
        <v>7</v>
      </c>
      <c r="Q12" s="878"/>
      <c r="R12" s="807">
        <f t="shared" si="0"/>
        <v>637010</v>
      </c>
      <c r="S12" s="807">
        <f t="shared" si="1"/>
        <v>0</v>
      </c>
      <c r="T12" s="807"/>
      <c r="U12" s="49">
        <f>民間設備製造1!N14</f>
        <v>86040</v>
      </c>
      <c r="V12" s="49">
        <f t="shared" si="2"/>
        <v>608358</v>
      </c>
    </row>
    <row r="13" spans="1:22">
      <c r="A13" s="298">
        <v>8</v>
      </c>
      <c r="B13" s="75" t="s">
        <v>211</v>
      </c>
      <c r="C13" s="867">
        <v>426693</v>
      </c>
      <c r="D13" s="869">
        <v>222202</v>
      </c>
      <c r="E13" s="868">
        <v>62781</v>
      </c>
      <c r="F13" s="866">
        <v>73301</v>
      </c>
      <c r="G13" s="868">
        <v>9441</v>
      </c>
      <c r="H13" s="868">
        <v>62930</v>
      </c>
      <c r="I13" s="869">
        <v>930</v>
      </c>
      <c r="J13" s="869">
        <v>16351</v>
      </c>
      <c r="K13" s="869">
        <v>374635</v>
      </c>
      <c r="L13" s="866">
        <v>52058</v>
      </c>
      <c r="M13" s="868">
        <v>374338</v>
      </c>
      <c r="N13" s="868">
        <v>307102</v>
      </c>
      <c r="O13" s="869">
        <v>-15178</v>
      </c>
      <c r="P13" s="77">
        <v>8</v>
      </c>
      <c r="Q13" s="878"/>
      <c r="R13" s="807">
        <f t="shared" si="0"/>
        <v>426693</v>
      </c>
      <c r="S13" s="807">
        <f t="shared" si="1"/>
        <v>0</v>
      </c>
      <c r="T13" s="807"/>
      <c r="U13" s="49">
        <f>民間設備製造1!N15</f>
        <v>19730</v>
      </c>
      <c r="V13" s="49">
        <f t="shared" si="2"/>
        <v>330505</v>
      </c>
    </row>
    <row r="14" spans="1:22">
      <c r="A14" s="298">
        <v>9</v>
      </c>
      <c r="B14" s="75" t="s">
        <v>212</v>
      </c>
      <c r="C14" s="867">
        <v>467945</v>
      </c>
      <c r="D14" s="869">
        <v>264445</v>
      </c>
      <c r="E14" s="868">
        <v>80668</v>
      </c>
      <c r="F14" s="866">
        <v>90620</v>
      </c>
      <c r="G14" s="868">
        <v>10264</v>
      </c>
      <c r="H14" s="868">
        <v>79205</v>
      </c>
      <c r="I14" s="869">
        <v>1151</v>
      </c>
      <c r="J14" s="869">
        <v>27784</v>
      </c>
      <c r="K14" s="869">
        <v>463517</v>
      </c>
      <c r="L14" s="866">
        <v>4428</v>
      </c>
      <c r="M14" s="868">
        <v>415981</v>
      </c>
      <c r="N14" s="868">
        <v>379962</v>
      </c>
      <c r="O14" s="869">
        <v>-31591</v>
      </c>
      <c r="P14" s="77">
        <v>9</v>
      </c>
      <c r="Q14" s="878"/>
      <c r="R14" s="807">
        <f t="shared" si="0"/>
        <v>467945</v>
      </c>
      <c r="S14" s="807">
        <f t="shared" si="1"/>
        <v>0</v>
      </c>
      <c r="T14" s="807"/>
      <c r="U14" s="49">
        <f>民間設備製造1!N16</f>
        <v>25778</v>
      </c>
      <c r="V14" s="49">
        <f t="shared" si="2"/>
        <v>408939</v>
      </c>
    </row>
    <row r="15" spans="1:22">
      <c r="A15" s="298"/>
      <c r="B15" s="87"/>
      <c r="C15" s="867" t="s">
        <v>839</v>
      </c>
      <c r="D15" s="869" t="s">
        <v>839</v>
      </c>
      <c r="E15" s="868" t="s">
        <v>839</v>
      </c>
      <c r="F15" s="866" t="s">
        <v>839</v>
      </c>
      <c r="G15" s="868" t="s">
        <v>839</v>
      </c>
      <c r="H15" s="868" t="s">
        <v>839</v>
      </c>
      <c r="I15" s="869" t="s">
        <v>839</v>
      </c>
      <c r="J15" s="869" t="s">
        <v>839</v>
      </c>
      <c r="K15" s="869" t="s">
        <v>839</v>
      </c>
      <c r="L15" s="856" t="s">
        <v>839</v>
      </c>
      <c r="M15" s="830" t="s">
        <v>839</v>
      </c>
      <c r="N15" s="830" t="s">
        <v>839</v>
      </c>
      <c r="O15" s="831" t="s">
        <v>839</v>
      </c>
      <c r="P15" s="77" t="s">
        <v>11</v>
      </c>
      <c r="Q15" s="878"/>
      <c r="R15" s="807" t="s">
        <v>11</v>
      </c>
      <c r="S15" s="807" t="s">
        <v>11</v>
      </c>
      <c r="T15" s="807"/>
      <c r="U15" s="49" t="s">
        <v>1068</v>
      </c>
      <c r="V15" s="49" t="s">
        <v>11</v>
      </c>
    </row>
    <row r="16" spans="1:22">
      <c r="A16" s="299">
        <v>100</v>
      </c>
      <c r="B16" s="305" t="s">
        <v>172</v>
      </c>
      <c r="C16" s="879">
        <v>6983569</v>
      </c>
      <c r="D16" s="882">
        <v>4110103</v>
      </c>
      <c r="E16" s="883">
        <v>932698</v>
      </c>
      <c r="F16" s="884">
        <v>1185422</v>
      </c>
      <c r="G16" s="883">
        <v>212969</v>
      </c>
      <c r="H16" s="883">
        <v>956333</v>
      </c>
      <c r="I16" s="883">
        <v>16120</v>
      </c>
      <c r="J16" s="863">
        <v>260353</v>
      </c>
      <c r="K16" s="882">
        <v>6488576</v>
      </c>
      <c r="L16" s="855">
        <v>494993</v>
      </c>
      <c r="M16" s="827">
        <v>6082933</v>
      </c>
      <c r="N16" s="827">
        <v>5318928</v>
      </c>
      <c r="O16" s="828">
        <v>-269012</v>
      </c>
      <c r="P16" s="293">
        <v>100</v>
      </c>
      <c r="Q16" s="878"/>
      <c r="R16" s="807">
        <f t="shared" ref="R16:R47" si="3">D16+E16+F16+J16+L16</f>
        <v>6983569</v>
      </c>
      <c r="S16" s="807">
        <f t="shared" ref="S16:S47" si="4">R16-C16</f>
        <v>0</v>
      </c>
      <c r="T16" s="807"/>
      <c r="U16" s="49">
        <f>民間設備製造1!N18</f>
        <v>205759.28012688318</v>
      </c>
      <c r="V16" s="49">
        <f t="shared" ref="V16:V47" si="5">D16+E16+G16+J16+U16</f>
        <v>5721882.2801268827</v>
      </c>
    </row>
    <row r="17" spans="1:22">
      <c r="A17" s="300">
        <v>1</v>
      </c>
      <c r="B17" s="65" t="s">
        <v>182</v>
      </c>
      <c r="C17" s="867">
        <v>3670272</v>
      </c>
      <c r="D17" s="869">
        <v>2637898</v>
      </c>
      <c r="E17" s="868">
        <v>437031</v>
      </c>
      <c r="F17" s="866">
        <v>688549</v>
      </c>
      <c r="G17" s="868">
        <v>145273</v>
      </c>
      <c r="H17" s="868">
        <v>533638</v>
      </c>
      <c r="I17" s="868">
        <v>9638</v>
      </c>
      <c r="J17" s="863">
        <v>116087</v>
      </c>
      <c r="K17" s="868">
        <v>3879565</v>
      </c>
      <c r="L17" s="862">
        <v>-209293</v>
      </c>
      <c r="M17" s="827">
        <v>3172402</v>
      </c>
      <c r="N17" s="827">
        <v>3180225</v>
      </c>
      <c r="O17" s="828">
        <v>-201470</v>
      </c>
      <c r="P17" s="293">
        <v>1</v>
      </c>
      <c r="Q17" s="878"/>
      <c r="R17" s="807">
        <f t="shared" si="3"/>
        <v>3670272</v>
      </c>
      <c r="S17" s="807">
        <f t="shared" si="4"/>
        <v>0</v>
      </c>
      <c r="T17" s="807"/>
      <c r="U17" s="49">
        <f>民間設備製造1!N19</f>
        <v>84190</v>
      </c>
      <c r="V17" s="49">
        <f t="shared" si="5"/>
        <v>3420479</v>
      </c>
    </row>
    <row r="18" spans="1:22">
      <c r="A18" s="300">
        <v>202</v>
      </c>
      <c r="B18" s="90" t="s">
        <v>183</v>
      </c>
      <c r="C18" s="867">
        <v>1995954</v>
      </c>
      <c r="D18" s="869">
        <v>1208649</v>
      </c>
      <c r="E18" s="868">
        <v>165823</v>
      </c>
      <c r="F18" s="866">
        <v>354793</v>
      </c>
      <c r="G18" s="868">
        <v>72172</v>
      </c>
      <c r="H18" s="868">
        <v>278195</v>
      </c>
      <c r="I18" s="868">
        <v>4426</v>
      </c>
      <c r="J18" s="867">
        <v>52480</v>
      </c>
      <c r="K18" s="868">
        <v>1781745</v>
      </c>
      <c r="L18" s="856">
        <v>214209</v>
      </c>
      <c r="M18" s="830">
        <v>1692050</v>
      </c>
      <c r="N18" s="830">
        <v>1460563</v>
      </c>
      <c r="O18" s="831">
        <v>-17278</v>
      </c>
      <c r="P18" s="293">
        <v>202</v>
      </c>
      <c r="Q18" s="878"/>
      <c r="R18" s="807">
        <f t="shared" si="3"/>
        <v>1995954</v>
      </c>
      <c r="S18" s="807">
        <f t="shared" si="4"/>
        <v>0</v>
      </c>
      <c r="T18" s="807"/>
      <c r="U18" s="49">
        <f>民間設備製造1!N20</f>
        <v>72364</v>
      </c>
      <c r="V18" s="49">
        <f t="shared" si="5"/>
        <v>1571488</v>
      </c>
    </row>
    <row r="19" spans="1:22">
      <c r="A19" s="300">
        <v>204</v>
      </c>
      <c r="B19" s="90" t="s">
        <v>184</v>
      </c>
      <c r="C19" s="867">
        <v>1442289</v>
      </c>
      <c r="D19" s="869">
        <v>1202496</v>
      </c>
      <c r="E19" s="868">
        <v>218894</v>
      </c>
      <c r="F19" s="866">
        <v>282139</v>
      </c>
      <c r="G19" s="868">
        <v>63765</v>
      </c>
      <c r="H19" s="868">
        <v>214047</v>
      </c>
      <c r="I19" s="868">
        <v>4327</v>
      </c>
      <c r="J19" s="867">
        <v>38183</v>
      </c>
      <c r="K19" s="868">
        <v>1741712</v>
      </c>
      <c r="L19" s="856">
        <v>-299423</v>
      </c>
      <c r="M19" s="830">
        <v>1268405</v>
      </c>
      <c r="N19" s="830">
        <v>1427747</v>
      </c>
      <c r="O19" s="831">
        <v>-140081</v>
      </c>
      <c r="P19" s="293">
        <v>204</v>
      </c>
      <c r="Q19" s="878"/>
      <c r="R19" s="807">
        <f t="shared" si="3"/>
        <v>1442289</v>
      </c>
      <c r="S19" s="807">
        <f t="shared" si="4"/>
        <v>0</v>
      </c>
      <c r="T19" s="807"/>
      <c r="U19" s="49">
        <f>民間設備製造1!N21</f>
        <v>11819</v>
      </c>
      <c r="V19" s="49">
        <f t="shared" si="5"/>
        <v>1535157</v>
      </c>
    </row>
    <row r="20" spans="1:22">
      <c r="A20" s="300">
        <v>206</v>
      </c>
      <c r="B20" s="90" t="s">
        <v>185</v>
      </c>
      <c r="C20" s="867">
        <v>232029</v>
      </c>
      <c r="D20" s="869">
        <v>226753</v>
      </c>
      <c r="E20" s="868">
        <v>52314</v>
      </c>
      <c r="F20" s="866">
        <v>51617</v>
      </c>
      <c r="G20" s="868">
        <v>9336</v>
      </c>
      <c r="H20" s="868">
        <v>41396</v>
      </c>
      <c r="I20" s="868">
        <v>885</v>
      </c>
      <c r="J20" s="871">
        <v>25424</v>
      </c>
      <c r="K20" s="868">
        <v>356108</v>
      </c>
      <c r="L20" s="858">
        <v>-124079</v>
      </c>
      <c r="M20" s="837">
        <v>211947</v>
      </c>
      <c r="N20" s="837">
        <v>291915</v>
      </c>
      <c r="O20" s="835">
        <v>-44111</v>
      </c>
      <c r="P20" s="293">
        <v>206</v>
      </c>
      <c r="Q20" s="878"/>
      <c r="R20" s="807">
        <f t="shared" si="3"/>
        <v>232029</v>
      </c>
      <c r="S20" s="807">
        <f t="shared" si="4"/>
        <v>0</v>
      </c>
      <c r="T20" s="807"/>
      <c r="U20" s="49">
        <f>民間設備製造1!N22</f>
        <v>7</v>
      </c>
      <c r="V20" s="49">
        <f t="shared" si="5"/>
        <v>313834</v>
      </c>
    </row>
    <row r="21" spans="1:22">
      <c r="A21" s="301">
        <v>2</v>
      </c>
      <c r="B21" s="128" t="s">
        <v>186</v>
      </c>
      <c r="C21" s="863">
        <v>2115268</v>
      </c>
      <c r="D21" s="865">
        <v>1608613</v>
      </c>
      <c r="E21" s="864">
        <v>290415</v>
      </c>
      <c r="F21" s="855">
        <v>478149</v>
      </c>
      <c r="G21" s="864">
        <v>80705</v>
      </c>
      <c r="H21" s="864">
        <v>391362</v>
      </c>
      <c r="I21" s="864">
        <v>6082</v>
      </c>
      <c r="J21" s="867">
        <v>71182</v>
      </c>
      <c r="K21" s="827">
        <v>2448359</v>
      </c>
      <c r="L21" s="856">
        <v>-333091</v>
      </c>
      <c r="M21" s="830">
        <v>1846119</v>
      </c>
      <c r="N21" s="830">
        <v>2007011</v>
      </c>
      <c r="O21" s="831">
        <v>-172199</v>
      </c>
      <c r="P21" s="293">
        <v>2</v>
      </c>
      <c r="Q21" s="878"/>
      <c r="R21" s="807">
        <f t="shared" si="3"/>
        <v>2115268</v>
      </c>
      <c r="S21" s="807">
        <f t="shared" si="4"/>
        <v>0</v>
      </c>
      <c r="T21" s="807"/>
      <c r="U21" s="49">
        <f>民間設備製造1!N23</f>
        <v>108683</v>
      </c>
      <c r="V21" s="49">
        <f t="shared" si="5"/>
        <v>2159598</v>
      </c>
    </row>
    <row r="22" spans="1:22">
      <c r="A22" s="300">
        <v>207</v>
      </c>
      <c r="B22" s="90" t="s">
        <v>187</v>
      </c>
      <c r="C22" s="867">
        <v>710880</v>
      </c>
      <c r="D22" s="869">
        <v>445866</v>
      </c>
      <c r="E22" s="868">
        <v>76445</v>
      </c>
      <c r="F22" s="866">
        <v>170423</v>
      </c>
      <c r="G22" s="868">
        <v>26550</v>
      </c>
      <c r="H22" s="868">
        <v>142120</v>
      </c>
      <c r="I22" s="868">
        <v>1753</v>
      </c>
      <c r="J22" s="867">
        <v>12750</v>
      </c>
      <c r="K22" s="868">
        <v>705484</v>
      </c>
      <c r="L22" s="856">
        <v>5396</v>
      </c>
      <c r="M22" s="830">
        <v>610665</v>
      </c>
      <c r="N22" s="830">
        <v>578312</v>
      </c>
      <c r="O22" s="831">
        <v>-26957</v>
      </c>
      <c r="P22" s="293">
        <v>207</v>
      </c>
      <c r="Q22" s="878"/>
      <c r="R22" s="807">
        <f t="shared" si="3"/>
        <v>710880</v>
      </c>
      <c r="S22" s="807">
        <f t="shared" si="4"/>
        <v>0</v>
      </c>
      <c r="T22" s="807"/>
      <c r="U22" s="49">
        <f>民間設備製造1!N24</f>
        <v>61185</v>
      </c>
      <c r="V22" s="49">
        <f t="shared" si="5"/>
        <v>622796</v>
      </c>
    </row>
    <row r="23" spans="1:22">
      <c r="A23" s="300">
        <v>214</v>
      </c>
      <c r="B23" s="90" t="s">
        <v>188</v>
      </c>
      <c r="C23" s="867">
        <v>494082</v>
      </c>
      <c r="D23" s="869">
        <v>527679</v>
      </c>
      <c r="E23" s="868">
        <v>91683</v>
      </c>
      <c r="F23" s="866">
        <v>121750</v>
      </c>
      <c r="G23" s="868">
        <v>25557</v>
      </c>
      <c r="H23" s="868">
        <v>94303</v>
      </c>
      <c r="I23" s="868">
        <v>1890</v>
      </c>
      <c r="J23" s="867">
        <v>19840</v>
      </c>
      <c r="K23" s="868">
        <v>760952</v>
      </c>
      <c r="L23" s="856">
        <v>-266870</v>
      </c>
      <c r="M23" s="830">
        <v>442220</v>
      </c>
      <c r="N23" s="830">
        <v>623781</v>
      </c>
      <c r="O23" s="831">
        <v>-85309</v>
      </c>
      <c r="P23" s="293">
        <v>214</v>
      </c>
      <c r="Q23" s="878"/>
      <c r="R23" s="807">
        <f t="shared" si="3"/>
        <v>494082</v>
      </c>
      <c r="S23" s="807">
        <f t="shared" si="4"/>
        <v>0</v>
      </c>
      <c r="T23" s="807"/>
      <c r="U23" s="49">
        <f>民間設備製造1!N25</f>
        <v>5963</v>
      </c>
      <c r="V23" s="49">
        <f t="shared" si="5"/>
        <v>670722</v>
      </c>
    </row>
    <row r="24" spans="1:22">
      <c r="A24" s="300">
        <v>217</v>
      </c>
      <c r="B24" s="90" t="s">
        <v>189</v>
      </c>
      <c r="C24" s="867">
        <v>349402</v>
      </c>
      <c r="D24" s="869">
        <v>350390</v>
      </c>
      <c r="E24" s="868">
        <v>58790</v>
      </c>
      <c r="F24" s="866">
        <v>83123</v>
      </c>
      <c r="G24" s="868">
        <v>16242</v>
      </c>
      <c r="H24" s="868">
        <v>65589</v>
      </c>
      <c r="I24" s="868">
        <v>1292</v>
      </c>
      <c r="J24" s="867">
        <v>27959</v>
      </c>
      <c r="K24" s="868">
        <v>520262</v>
      </c>
      <c r="L24" s="856">
        <v>-170860</v>
      </c>
      <c r="M24" s="830">
        <v>309936</v>
      </c>
      <c r="N24" s="830">
        <v>426478</v>
      </c>
      <c r="O24" s="831">
        <v>-54318</v>
      </c>
      <c r="P24" s="293">
        <v>217</v>
      </c>
      <c r="Q24" s="878"/>
      <c r="R24" s="807">
        <f t="shared" si="3"/>
        <v>349402</v>
      </c>
      <c r="S24" s="807">
        <f t="shared" si="4"/>
        <v>0</v>
      </c>
      <c r="T24" s="807"/>
      <c r="U24" s="49">
        <f>民間設備製造1!N26</f>
        <v>5212</v>
      </c>
      <c r="V24" s="49">
        <f t="shared" si="5"/>
        <v>458593</v>
      </c>
    </row>
    <row r="25" spans="1:22">
      <c r="A25" s="300">
        <v>219</v>
      </c>
      <c r="B25" s="90" t="s">
        <v>190</v>
      </c>
      <c r="C25" s="867">
        <v>494336</v>
      </c>
      <c r="D25" s="869">
        <v>224971</v>
      </c>
      <c r="E25" s="868">
        <v>48092</v>
      </c>
      <c r="F25" s="866">
        <v>87616</v>
      </c>
      <c r="G25" s="868">
        <v>10202</v>
      </c>
      <c r="H25" s="868">
        <v>76498</v>
      </c>
      <c r="I25" s="868">
        <v>916</v>
      </c>
      <c r="J25" s="867">
        <v>8181</v>
      </c>
      <c r="K25" s="868">
        <v>368860</v>
      </c>
      <c r="L25" s="856">
        <v>125476</v>
      </c>
      <c r="M25" s="830">
        <v>422309</v>
      </c>
      <c r="N25" s="830">
        <v>302368</v>
      </c>
      <c r="O25" s="831">
        <v>5535</v>
      </c>
      <c r="P25" s="293">
        <v>219</v>
      </c>
      <c r="Q25" s="878"/>
      <c r="R25" s="807">
        <f t="shared" si="3"/>
        <v>494336</v>
      </c>
      <c r="S25" s="807">
        <f t="shared" si="4"/>
        <v>0</v>
      </c>
      <c r="T25" s="807"/>
      <c r="U25" s="49">
        <f>民間設備製造1!N27</f>
        <v>34221</v>
      </c>
      <c r="V25" s="49">
        <f t="shared" si="5"/>
        <v>325667</v>
      </c>
    </row>
    <row r="26" spans="1:22">
      <c r="A26" s="302">
        <v>301</v>
      </c>
      <c r="B26" s="201" t="s">
        <v>191</v>
      </c>
      <c r="C26" s="871">
        <v>66568</v>
      </c>
      <c r="D26" s="873">
        <v>59707</v>
      </c>
      <c r="E26" s="872">
        <v>15405</v>
      </c>
      <c r="F26" s="870">
        <v>15237</v>
      </c>
      <c r="G26" s="872">
        <v>2154</v>
      </c>
      <c r="H26" s="872">
        <v>12852</v>
      </c>
      <c r="I26" s="872">
        <v>231</v>
      </c>
      <c r="J26" s="867">
        <v>2452</v>
      </c>
      <c r="K26" s="872">
        <v>92801</v>
      </c>
      <c r="L26" s="856">
        <v>-26233</v>
      </c>
      <c r="M26" s="830">
        <v>60989</v>
      </c>
      <c r="N26" s="830">
        <v>76072</v>
      </c>
      <c r="O26" s="831">
        <v>-11150</v>
      </c>
      <c r="P26" s="293">
        <v>301</v>
      </c>
      <c r="Q26" s="878"/>
      <c r="R26" s="807">
        <f t="shared" si="3"/>
        <v>66568</v>
      </c>
      <c r="S26" s="807">
        <f t="shared" si="4"/>
        <v>0</v>
      </c>
      <c r="T26" s="807"/>
      <c r="U26" s="49">
        <f>民間設備製造1!N28</f>
        <v>2102</v>
      </c>
      <c r="V26" s="49">
        <f t="shared" si="5"/>
        <v>81820</v>
      </c>
    </row>
    <row r="27" spans="1:22">
      <c r="A27" s="300">
        <v>3</v>
      </c>
      <c r="B27" s="65" t="s">
        <v>192</v>
      </c>
      <c r="C27" s="867">
        <v>2926149</v>
      </c>
      <c r="D27" s="869">
        <v>1606924</v>
      </c>
      <c r="E27" s="868">
        <v>265938</v>
      </c>
      <c r="F27" s="856">
        <v>844113</v>
      </c>
      <c r="G27" s="868">
        <v>95215</v>
      </c>
      <c r="H27" s="868">
        <v>741954</v>
      </c>
      <c r="I27" s="868">
        <v>6944</v>
      </c>
      <c r="J27" s="863">
        <v>78032</v>
      </c>
      <c r="K27" s="830">
        <v>2795007</v>
      </c>
      <c r="L27" s="855">
        <v>131142</v>
      </c>
      <c r="M27" s="827">
        <v>2491151</v>
      </c>
      <c r="N27" s="827">
        <v>2291172</v>
      </c>
      <c r="O27" s="828">
        <v>-68837</v>
      </c>
      <c r="P27" s="293">
        <v>3</v>
      </c>
      <c r="Q27" s="878"/>
      <c r="R27" s="807">
        <f t="shared" si="3"/>
        <v>2926149</v>
      </c>
      <c r="S27" s="807">
        <f t="shared" si="4"/>
        <v>0</v>
      </c>
      <c r="T27" s="807"/>
      <c r="U27" s="49">
        <f>民間設備製造1!N29</f>
        <v>424458</v>
      </c>
      <c r="V27" s="49">
        <f t="shared" si="5"/>
        <v>2470567</v>
      </c>
    </row>
    <row r="28" spans="1:22">
      <c r="A28" s="300">
        <v>203</v>
      </c>
      <c r="B28" s="90" t="s">
        <v>193</v>
      </c>
      <c r="C28" s="867">
        <v>1158475</v>
      </c>
      <c r="D28" s="869">
        <v>700002</v>
      </c>
      <c r="E28" s="868">
        <v>114213</v>
      </c>
      <c r="F28" s="866">
        <v>287183</v>
      </c>
      <c r="G28" s="868">
        <v>46847</v>
      </c>
      <c r="H28" s="868">
        <v>237527</v>
      </c>
      <c r="I28" s="868">
        <v>2809</v>
      </c>
      <c r="J28" s="867">
        <v>29332</v>
      </c>
      <c r="K28" s="868">
        <v>1130730</v>
      </c>
      <c r="L28" s="856">
        <v>27745</v>
      </c>
      <c r="M28" s="830">
        <v>990377</v>
      </c>
      <c r="N28" s="830">
        <v>926902</v>
      </c>
      <c r="O28" s="831">
        <v>-35730</v>
      </c>
      <c r="P28" s="293">
        <v>203</v>
      </c>
      <c r="Q28" s="878"/>
      <c r="R28" s="807">
        <f t="shared" si="3"/>
        <v>1158475</v>
      </c>
      <c r="S28" s="807">
        <f t="shared" si="4"/>
        <v>0</v>
      </c>
      <c r="T28" s="807"/>
      <c r="U28" s="49">
        <f>民間設備製造1!N30</f>
        <v>107978</v>
      </c>
      <c r="V28" s="49">
        <f t="shared" si="5"/>
        <v>998372</v>
      </c>
    </row>
    <row r="29" spans="1:22">
      <c r="A29" s="300">
        <v>210</v>
      </c>
      <c r="B29" s="90" t="s">
        <v>194</v>
      </c>
      <c r="C29" s="867">
        <v>876650</v>
      </c>
      <c r="D29" s="869">
        <v>578293</v>
      </c>
      <c r="E29" s="868">
        <v>94073</v>
      </c>
      <c r="F29" s="866">
        <v>317081</v>
      </c>
      <c r="G29" s="868">
        <v>31260</v>
      </c>
      <c r="H29" s="868">
        <v>283298</v>
      </c>
      <c r="I29" s="868">
        <v>2523</v>
      </c>
      <c r="J29" s="867">
        <v>26214</v>
      </c>
      <c r="K29" s="868">
        <v>1015661</v>
      </c>
      <c r="L29" s="856">
        <v>-139011</v>
      </c>
      <c r="M29" s="830">
        <v>752974</v>
      </c>
      <c r="N29" s="830">
        <v>832575</v>
      </c>
      <c r="O29" s="831">
        <v>-59410</v>
      </c>
      <c r="P29" s="293">
        <v>210</v>
      </c>
      <c r="Q29" s="878"/>
      <c r="R29" s="807">
        <f t="shared" si="3"/>
        <v>876650</v>
      </c>
      <c r="S29" s="807">
        <f t="shared" si="4"/>
        <v>0</v>
      </c>
      <c r="T29" s="807"/>
      <c r="U29" s="49">
        <f>民間設備製造1!N31</f>
        <v>168167</v>
      </c>
      <c r="V29" s="49">
        <f t="shared" si="5"/>
        <v>898007</v>
      </c>
    </row>
    <row r="30" spans="1:22">
      <c r="A30" s="300">
        <v>216</v>
      </c>
      <c r="B30" s="90" t="s">
        <v>195</v>
      </c>
      <c r="C30" s="867">
        <v>539158</v>
      </c>
      <c r="D30" s="869">
        <v>195158</v>
      </c>
      <c r="E30" s="868">
        <v>35552</v>
      </c>
      <c r="F30" s="866">
        <v>155628</v>
      </c>
      <c r="G30" s="868">
        <v>9695</v>
      </c>
      <c r="H30" s="868">
        <v>144942</v>
      </c>
      <c r="I30" s="868">
        <v>991</v>
      </c>
      <c r="J30" s="867">
        <v>12501</v>
      </c>
      <c r="K30" s="868">
        <v>398839</v>
      </c>
      <c r="L30" s="856">
        <v>140319</v>
      </c>
      <c r="M30" s="830">
        <v>452801</v>
      </c>
      <c r="N30" s="830">
        <v>326943</v>
      </c>
      <c r="O30" s="831">
        <v>14461</v>
      </c>
      <c r="P30" s="293">
        <v>216</v>
      </c>
      <c r="Q30" s="878"/>
      <c r="R30" s="807">
        <f t="shared" si="3"/>
        <v>539158</v>
      </c>
      <c r="S30" s="807">
        <f t="shared" si="4"/>
        <v>0</v>
      </c>
      <c r="T30" s="807"/>
      <c r="U30" s="49">
        <f>民間設備製造1!N32</f>
        <v>100325</v>
      </c>
      <c r="V30" s="49">
        <f t="shared" si="5"/>
        <v>353231</v>
      </c>
    </row>
    <row r="31" spans="1:22">
      <c r="A31" s="300">
        <v>381</v>
      </c>
      <c r="B31" s="90" t="s">
        <v>196</v>
      </c>
      <c r="C31" s="867">
        <v>183799</v>
      </c>
      <c r="D31" s="869">
        <v>60441</v>
      </c>
      <c r="E31" s="868">
        <v>10212</v>
      </c>
      <c r="F31" s="866">
        <v>22336</v>
      </c>
      <c r="G31" s="868">
        <v>3020</v>
      </c>
      <c r="H31" s="868">
        <v>19074</v>
      </c>
      <c r="I31" s="868">
        <v>242</v>
      </c>
      <c r="J31" s="867">
        <v>4405</v>
      </c>
      <c r="K31" s="868">
        <v>97394</v>
      </c>
      <c r="L31" s="856">
        <v>86405</v>
      </c>
      <c r="M31" s="830">
        <v>153480</v>
      </c>
      <c r="N31" s="830">
        <v>79838</v>
      </c>
      <c r="O31" s="831">
        <v>12763</v>
      </c>
      <c r="P31" s="293">
        <v>381</v>
      </c>
      <c r="Q31" s="878"/>
      <c r="R31" s="807">
        <f t="shared" si="3"/>
        <v>183799</v>
      </c>
      <c r="S31" s="807">
        <f t="shared" si="4"/>
        <v>0</v>
      </c>
      <c r="T31" s="807"/>
      <c r="U31" s="49">
        <f>民間設備製造1!N33</f>
        <v>7891</v>
      </c>
      <c r="V31" s="49">
        <f t="shared" si="5"/>
        <v>85969</v>
      </c>
    </row>
    <row r="32" spans="1:22">
      <c r="A32" s="300">
        <v>382</v>
      </c>
      <c r="B32" s="90" t="s">
        <v>197</v>
      </c>
      <c r="C32" s="867">
        <v>168067</v>
      </c>
      <c r="D32" s="869">
        <v>73030</v>
      </c>
      <c r="E32" s="868">
        <v>11888</v>
      </c>
      <c r="F32" s="866">
        <v>61885</v>
      </c>
      <c r="G32" s="868">
        <v>4393</v>
      </c>
      <c r="H32" s="868">
        <v>57113</v>
      </c>
      <c r="I32" s="868">
        <v>379</v>
      </c>
      <c r="J32" s="871">
        <v>5580</v>
      </c>
      <c r="K32" s="868">
        <v>152383</v>
      </c>
      <c r="L32" s="858">
        <v>15684</v>
      </c>
      <c r="M32" s="837">
        <v>141519</v>
      </c>
      <c r="N32" s="837">
        <v>124914</v>
      </c>
      <c r="O32" s="835">
        <v>-921</v>
      </c>
      <c r="P32" s="293">
        <v>382</v>
      </c>
      <c r="Q32" s="878"/>
      <c r="R32" s="807">
        <f t="shared" si="3"/>
        <v>168067</v>
      </c>
      <c r="S32" s="807">
        <f t="shared" si="4"/>
        <v>0</v>
      </c>
      <c r="T32" s="807"/>
      <c r="U32" s="49">
        <f>民間設備製造1!N34</f>
        <v>40097</v>
      </c>
      <c r="V32" s="49">
        <f t="shared" si="5"/>
        <v>134988</v>
      </c>
    </row>
    <row r="33" spans="1:22">
      <c r="A33" s="301">
        <v>4</v>
      </c>
      <c r="B33" s="306" t="s">
        <v>198</v>
      </c>
      <c r="C33" s="863">
        <v>1311666</v>
      </c>
      <c r="D33" s="865">
        <v>538912</v>
      </c>
      <c r="E33" s="864">
        <v>121941</v>
      </c>
      <c r="F33" s="855">
        <v>240924</v>
      </c>
      <c r="G33" s="864">
        <v>34576</v>
      </c>
      <c r="H33" s="864">
        <v>204010</v>
      </c>
      <c r="I33" s="864">
        <v>2338</v>
      </c>
      <c r="J33" s="867">
        <v>39455</v>
      </c>
      <c r="K33" s="827">
        <v>941232</v>
      </c>
      <c r="L33" s="855">
        <v>370434</v>
      </c>
      <c r="M33" s="827">
        <v>1117935</v>
      </c>
      <c r="N33" s="827">
        <v>771564</v>
      </c>
      <c r="O33" s="828">
        <v>24063</v>
      </c>
      <c r="P33" s="293">
        <v>4</v>
      </c>
      <c r="Q33" s="878"/>
      <c r="R33" s="807">
        <f t="shared" si="3"/>
        <v>1311666</v>
      </c>
      <c r="S33" s="807">
        <f t="shared" si="4"/>
        <v>0</v>
      </c>
      <c r="T33" s="807"/>
      <c r="U33" s="49">
        <f>民間設備製造1!N35</f>
        <v>96281</v>
      </c>
      <c r="V33" s="49">
        <f t="shared" si="5"/>
        <v>831165</v>
      </c>
    </row>
    <row r="34" spans="1:22">
      <c r="A34" s="300">
        <v>213</v>
      </c>
      <c r="B34" s="92" t="s">
        <v>231</v>
      </c>
      <c r="C34" s="867">
        <v>142540</v>
      </c>
      <c r="D34" s="869">
        <v>81481</v>
      </c>
      <c r="E34" s="868">
        <v>15623</v>
      </c>
      <c r="F34" s="866">
        <v>22261</v>
      </c>
      <c r="G34" s="868">
        <v>3401</v>
      </c>
      <c r="H34" s="868">
        <v>18555</v>
      </c>
      <c r="I34" s="868">
        <v>305</v>
      </c>
      <c r="J34" s="867">
        <v>3341</v>
      </c>
      <c r="K34" s="868">
        <v>122706</v>
      </c>
      <c r="L34" s="856">
        <v>19834</v>
      </c>
      <c r="M34" s="830">
        <v>122581</v>
      </c>
      <c r="N34" s="830">
        <v>100587</v>
      </c>
      <c r="O34" s="831">
        <v>-2160</v>
      </c>
      <c r="P34" s="293">
        <v>213</v>
      </c>
      <c r="Q34" s="878"/>
      <c r="R34" s="807">
        <f t="shared" si="3"/>
        <v>142540</v>
      </c>
      <c r="S34" s="807">
        <f t="shared" si="4"/>
        <v>0</v>
      </c>
      <c r="T34" s="807"/>
      <c r="U34" s="49">
        <f>民間設備製造1!N36</f>
        <v>4368</v>
      </c>
      <c r="V34" s="49">
        <f t="shared" si="5"/>
        <v>108214</v>
      </c>
    </row>
    <row r="35" spans="1:22">
      <c r="A35" s="300">
        <v>215</v>
      </c>
      <c r="B35" s="92" t="s">
        <v>232</v>
      </c>
      <c r="C35" s="867">
        <v>304827</v>
      </c>
      <c r="D35" s="869">
        <v>156714</v>
      </c>
      <c r="E35" s="868">
        <v>35253</v>
      </c>
      <c r="F35" s="866">
        <v>52766</v>
      </c>
      <c r="G35" s="868">
        <v>10265</v>
      </c>
      <c r="H35" s="868">
        <v>41864</v>
      </c>
      <c r="I35" s="868">
        <v>637</v>
      </c>
      <c r="J35" s="867">
        <v>11798</v>
      </c>
      <c r="K35" s="868">
        <v>256531</v>
      </c>
      <c r="L35" s="856">
        <v>48296</v>
      </c>
      <c r="M35" s="830">
        <v>262996</v>
      </c>
      <c r="N35" s="830">
        <v>210288</v>
      </c>
      <c r="O35" s="831">
        <v>-4412</v>
      </c>
      <c r="P35" s="293">
        <v>215</v>
      </c>
      <c r="Q35" s="878"/>
      <c r="R35" s="807">
        <f t="shared" si="3"/>
        <v>304827</v>
      </c>
      <c r="S35" s="807">
        <f t="shared" si="4"/>
        <v>0</v>
      </c>
      <c r="T35" s="807"/>
      <c r="U35" s="49">
        <f>民間設備製造1!N37</f>
        <v>12261</v>
      </c>
      <c r="V35" s="49">
        <f t="shared" si="5"/>
        <v>226291</v>
      </c>
    </row>
    <row r="36" spans="1:22">
      <c r="A36" s="300">
        <v>218</v>
      </c>
      <c r="B36" s="90" t="s">
        <v>200</v>
      </c>
      <c r="C36" s="867">
        <v>261597</v>
      </c>
      <c r="D36" s="869">
        <v>93663</v>
      </c>
      <c r="E36" s="868">
        <v>20555</v>
      </c>
      <c r="F36" s="866">
        <v>46049</v>
      </c>
      <c r="G36" s="868">
        <v>6695</v>
      </c>
      <c r="H36" s="868">
        <v>38936</v>
      </c>
      <c r="I36" s="868">
        <v>418</v>
      </c>
      <c r="J36" s="867">
        <v>7957</v>
      </c>
      <c r="K36" s="868">
        <v>168224</v>
      </c>
      <c r="L36" s="856">
        <v>93373</v>
      </c>
      <c r="M36" s="830">
        <v>221222</v>
      </c>
      <c r="N36" s="830">
        <v>137900</v>
      </c>
      <c r="O36" s="831">
        <v>10051</v>
      </c>
      <c r="P36" s="293">
        <v>218</v>
      </c>
      <c r="Q36" s="878"/>
      <c r="R36" s="807">
        <f t="shared" si="3"/>
        <v>261597</v>
      </c>
      <c r="S36" s="807">
        <f t="shared" si="4"/>
        <v>0</v>
      </c>
      <c r="T36" s="807"/>
      <c r="U36" s="49">
        <f>民間設備製造1!N38</f>
        <v>19726</v>
      </c>
      <c r="V36" s="49">
        <f t="shared" si="5"/>
        <v>148596</v>
      </c>
    </row>
    <row r="37" spans="1:22">
      <c r="A37" s="300">
        <v>220</v>
      </c>
      <c r="B37" s="90" t="s">
        <v>201</v>
      </c>
      <c r="C37" s="867">
        <v>252140</v>
      </c>
      <c r="D37" s="869">
        <v>85066</v>
      </c>
      <c r="E37" s="868">
        <v>18983</v>
      </c>
      <c r="F37" s="866">
        <v>53422</v>
      </c>
      <c r="G37" s="868">
        <v>5935</v>
      </c>
      <c r="H37" s="868">
        <v>47083</v>
      </c>
      <c r="I37" s="868">
        <v>404</v>
      </c>
      <c r="J37" s="867">
        <v>5237</v>
      </c>
      <c r="K37" s="868">
        <v>162708</v>
      </c>
      <c r="L37" s="856">
        <v>89432</v>
      </c>
      <c r="M37" s="830">
        <v>212842</v>
      </c>
      <c r="N37" s="830">
        <v>133378</v>
      </c>
      <c r="O37" s="831">
        <v>9968</v>
      </c>
      <c r="P37" s="293">
        <v>220</v>
      </c>
      <c r="Q37" s="878"/>
      <c r="R37" s="807">
        <f t="shared" si="3"/>
        <v>252140</v>
      </c>
      <c r="S37" s="807">
        <f t="shared" si="4"/>
        <v>0</v>
      </c>
      <c r="T37" s="807"/>
      <c r="U37" s="49">
        <f>民間設備製造1!N39</f>
        <v>28669</v>
      </c>
      <c r="V37" s="49">
        <f t="shared" si="5"/>
        <v>143890</v>
      </c>
    </row>
    <row r="38" spans="1:22">
      <c r="A38" s="300">
        <v>228</v>
      </c>
      <c r="B38" s="90" t="s">
        <v>239</v>
      </c>
      <c r="C38" s="867">
        <v>282184</v>
      </c>
      <c r="D38" s="869">
        <v>86162</v>
      </c>
      <c r="E38" s="868">
        <v>18339</v>
      </c>
      <c r="F38" s="866">
        <v>55153</v>
      </c>
      <c r="G38" s="868">
        <v>7414</v>
      </c>
      <c r="H38" s="868">
        <v>47325</v>
      </c>
      <c r="I38" s="868">
        <v>414</v>
      </c>
      <c r="J38" s="867">
        <v>7004</v>
      </c>
      <c r="K38" s="868">
        <v>166658</v>
      </c>
      <c r="L38" s="856">
        <v>115526</v>
      </c>
      <c r="M38" s="830">
        <v>236863</v>
      </c>
      <c r="N38" s="830">
        <v>136616</v>
      </c>
      <c r="O38" s="831">
        <v>15279</v>
      </c>
      <c r="P38" s="293">
        <v>228</v>
      </c>
      <c r="Q38" s="878"/>
      <c r="R38" s="807">
        <f t="shared" si="3"/>
        <v>282184</v>
      </c>
      <c r="S38" s="807">
        <f t="shared" si="4"/>
        <v>0</v>
      </c>
      <c r="T38" s="807"/>
      <c r="U38" s="49">
        <f>民間設備製造1!N40</f>
        <v>28448</v>
      </c>
      <c r="V38" s="49">
        <f t="shared" si="5"/>
        <v>147367</v>
      </c>
    </row>
    <row r="39" spans="1:22">
      <c r="A39" s="302">
        <v>365</v>
      </c>
      <c r="B39" s="201" t="s">
        <v>233</v>
      </c>
      <c r="C39" s="871">
        <v>68378</v>
      </c>
      <c r="D39" s="873">
        <v>35826</v>
      </c>
      <c r="E39" s="872">
        <v>13188</v>
      </c>
      <c r="F39" s="870">
        <v>11273</v>
      </c>
      <c r="G39" s="872">
        <v>866</v>
      </c>
      <c r="H39" s="872">
        <v>10247</v>
      </c>
      <c r="I39" s="872">
        <v>160</v>
      </c>
      <c r="J39" s="867">
        <v>4118</v>
      </c>
      <c r="K39" s="872">
        <v>64405</v>
      </c>
      <c r="L39" s="858">
        <v>3973</v>
      </c>
      <c r="M39" s="837">
        <v>61431</v>
      </c>
      <c r="N39" s="837">
        <v>52795</v>
      </c>
      <c r="O39" s="835">
        <v>-4663</v>
      </c>
      <c r="P39" s="293">
        <v>365</v>
      </c>
      <c r="Q39" s="878"/>
      <c r="R39" s="807">
        <f t="shared" si="3"/>
        <v>68378</v>
      </c>
      <c r="S39" s="807">
        <f t="shared" si="4"/>
        <v>0</v>
      </c>
      <c r="T39" s="807"/>
      <c r="U39" s="49">
        <f>民間設備製造1!N41</f>
        <v>2809</v>
      </c>
      <c r="V39" s="49">
        <f t="shared" si="5"/>
        <v>56807</v>
      </c>
    </row>
    <row r="40" spans="1:22">
      <c r="A40" s="301">
        <v>5</v>
      </c>
      <c r="B40" s="306" t="s">
        <v>202</v>
      </c>
      <c r="C40" s="867">
        <v>2678931</v>
      </c>
      <c r="D40" s="865">
        <v>1301212</v>
      </c>
      <c r="E40" s="864">
        <v>239676</v>
      </c>
      <c r="F40" s="855">
        <v>584025</v>
      </c>
      <c r="G40" s="864">
        <v>90864</v>
      </c>
      <c r="H40" s="864">
        <v>487602</v>
      </c>
      <c r="I40" s="864">
        <v>5559</v>
      </c>
      <c r="J40" s="863">
        <v>112877</v>
      </c>
      <c r="K40" s="827">
        <v>2237790</v>
      </c>
      <c r="L40" s="856">
        <v>441141</v>
      </c>
      <c r="M40" s="830">
        <v>2278932</v>
      </c>
      <c r="N40" s="830">
        <v>1834400</v>
      </c>
      <c r="O40" s="831">
        <v>-3391</v>
      </c>
      <c r="P40" s="293">
        <v>5</v>
      </c>
      <c r="Q40" s="878"/>
      <c r="R40" s="807">
        <f t="shared" si="3"/>
        <v>2678931</v>
      </c>
      <c r="S40" s="807">
        <f t="shared" si="4"/>
        <v>0</v>
      </c>
      <c r="T40" s="807"/>
      <c r="U40" s="49">
        <f>民間設備製造1!N42</f>
        <v>231526</v>
      </c>
      <c r="V40" s="49">
        <f t="shared" si="5"/>
        <v>1976155</v>
      </c>
    </row>
    <row r="41" spans="1:22">
      <c r="A41" s="300">
        <v>201</v>
      </c>
      <c r="B41" s="92" t="s">
        <v>240</v>
      </c>
      <c r="C41" s="867">
        <v>2418958</v>
      </c>
      <c r="D41" s="869">
        <v>1217089</v>
      </c>
      <c r="E41" s="868">
        <v>212994</v>
      </c>
      <c r="F41" s="866">
        <v>545953</v>
      </c>
      <c r="G41" s="868">
        <v>87907</v>
      </c>
      <c r="H41" s="868">
        <v>452889</v>
      </c>
      <c r="I41" s="868">
        <v>5157</v>
      </c>
      <c r="J41" s="867">
        <v>99981</v>
      </c>
      <c r="K41" s="868">
        <v>2076017</v>
      </c>
      <c r="L41" s="856">
        <v>342941</v>
      </c>
      <c r="M41" s="830">
        <v>2056197</v>
      </c>
      <c r="N41" s="830">
        <v>1701789</v>
      </c>
      <c r="O41" s="831">
        <v>-11467</v>
      </c>
      <c r="P41" s="293">
        <v>201</v>
      </c>
      <c r="Q41" s="878"/>
      <c r="R41" s="807">
        <f t="shared" si="3"/>
        <v>2418958</v>
      </c>
      <c r="S41" s="807">
        <f t="shared" si="4"/>
        <v>0</v>
      </c>
      <c r="T41" s="807"/>
      <c r="U41" s="49">
        <f>民間設備製造1!N43</f>
        <v>215335</v>
      </c>
      <c r="V41" s="49">
        <f t="shared" si="5"/>
        <v>1833306</v>
      </c>
    </row>
    <row r="42" spans="1:22">
      <c r="A42" s="300">
        <v>442</v>
      </c>
      <c r="B42" s="90" t="s">
        <v>203</v>
      </c>
      <c r="C42" s="867">
        <v>37794</v>
      </c>
      <c r="D42" s="869">
        <v>23660</v>
      </c>
      <c r="E42" s="868">
        <v>7448</v>
      </c>
      <c r="F42" s="866">
        <v>7619</v>
      </c>
      <c r="G42" s="868">
        <v>486</v>
      </c>
      <c r="H42" s="868">
        <v>7030</v>
      </c>
      <c r="I42" s="868">
        <v>103</v>
      </c>
      <c r="J42" s="867">
        <v>2661</v>
      </c>
      <c r="K42" s="868">
        <v>41388</v>
      </c>
      <c r="L42" s="856">
        <v>-3594</v>
      </c>
      <c r="M42" s="830">
        <v>34028</v>
      </c>
      <c r="N42" s="830">
        <v>33927</v>
      </c>
      <c r="O42" s="831">
        <v>-3695</v>
      </c>
      <c r="P42" s="293">
        <v>442</v>
      </c>
      <c r="Q42" s="878"/>
      <c r="R42" s="807">
        <f t="shared" si="3"/>
        <v>37794</v>
      </c>
      <c r="S42" s="807">
        <f t="shared" si="4"/>
        <v>0</v>
      </c>
      <c r="T42" s="807"/>
      <c r="U42" s="49">
        <f>民間設備製造1!N44</f>
        <v>2259</v>
      </c>
      <c r="V42" s="49">
        <f t="shared" si="5"/>
        <v>36514</v>
      </c>
    </row>
    <row r="43" spans="1:22">
      <c r="A43" s="300">
        <v>443</v>
      </c>
      <c r="B43" s="90" t="s">
        <v>204</v>
      </c>
      <c r="C43" s="867">
        <v>189242</v>
      </c>
      <c r="D43" s="869">
        <v>39759</v>
      </c>
      <c r="E43" s="868">
        <v>9221</v>
      </c>
      <c r="F43" s="866">
        <v>23488</v>
      </c>
      <c r="G43" s="868">
        <v>1901</v>
      </c>
      <c r="H43" s="868">
        <v>21398</v>
      </c>
      <c r="I43" s="868">
        <v>189</v>
      </c>
      <c r="J43" s="867">
        <v>3727</v>
      </c>
      <c r="K43" s="868">
        <v>76195</v>
      </c>
      <c r="L43" s="856">
        <v>113047</v>
      </c>
      <c r="M43" s="830">
        <v>157427</v>
      </c>
      <c r="N43" s="830">
        <v>62460</v>
      </c>
      <c r="O43" s="831">
        <v>18080</v>
      </c>
      <c r="P43" s="293">
        <v>443</v>
      </c>
      <c r="Q43" s="878"/>
      <c r="R43" s="807">
        <f t="shared" si="3"/>
        <v>189242</v>
      </c>
      <c r="S43" s="807">
        <f t="shared" si="4"/>
        <v>0</v>
      </c>
      <c r="T43" s="807"/>
      <c r="U43" s="49">
        <f>民間設備製造1!N45</f>
        <v>12763</v>
      </c>
      <c r="V43" s="49">
        <f t="shared" si="5"/>
        <v>67371</v>
      </c>
    </row>
    <row r="44" spans="1:22">
      <c r="A44" s="302">
        <v>446</v>
      </c>
      <c r="B44" s="201" t="s">
        <v>234</v>
      </c>
      <c r="C44" s="867">
        <v>32937</v>
      </c>
      <c r="D44" s="873">
        <v>20704</v>
      </c>
      <c r="E44" s="872">
        <v>10013</v>
      </c>
      <c r="F44" s="870">
        <v>6965</v>
      </c>
      <c r="G44" s="872">
        <v>570</v>
      </c>
      <c r="H44" s="872">
        <v>6285</v>
      </c>
      <c r="I44" s="872">
        <v>110</v>
      </c>
      <c r="J44" s="871">
        <v>6508</v>
      </c>
      <c r="K44" s="872">
        <v>44190</v>
      </c>
      <c r="L44" s="856">
        <v>-11253</v>
      </c>
      <c r="M44" s="830">
        <v>31280</v>
      </c>
      <c r="N44" s="830">
        <v>36224</v>
      </c>
      <c r="O44" s="831">
        <v>-6309</v>
      </c>
      <c r="P44" s="293">
        <v>446</v>
      </c>
      <c r="Q44" s="878"/>
      <c r="R44" s="807">
        <f t="shared" si="3"/>
        <v>32937</v>
      </c>
      <c r="S44" s="807">
        <f t="shared" si="4"/>
        <v>0</v>
      </c>
      <c r="T44" s="807"/>
      <c r="U44" s="49">
        <f>民間設備製造1!N46</f>
        <v>1169</v>
      </c>
      <c r="V44" s="49">
        <f t="shared" si="5"/>
        <v>38964</v>
      </c>
    </row>
    <row r="45" spans="1:22">
      <c r="A45" s="300">
        <v>6</v>
      </c>
      <c r="B45" s="91" t="s">
        <v>205</v>
      </c>
      <c r="C45" s="863">
        <v>1065770</v>
      </c>
      <c r="D45" s="869">
        <v>514444</v>
      </c>
      <c r="E45" s="868">
        <v>119194</v>
      </c>
      <c r="F45" s="856">
        <v>195707</v>
      </c>
      <c r="G45" s="868">
        <v>16664</v>
      </c>
      <c r="H45" s="868">
        <v>176887</v>
      </c>
      <c r="I45" s="868">
        <v>2156</v>
      </c>
      <c r="J45" s="867">
        <v>37827</v>
      </c>
      <c r="K45" s="830">
        <v>867172</v>
      </c>
      <c r="L45" s="855">
        <v>198598</v>
      </c>
      <c r="M45" s="827">
        <v>917640</v>
      </c>
      <c r="N45" s="827">
        <v>710855</v>
      </c>
      <c r="O45" s="828">
        <v>-8187</v>
      </c>
      <c r="P45" s="293">
        <v>6</v>
      </c>
      <c r="Q45" s="878"/>
      <c r="R45" s="807">
        <f t="shared" si="3"/>
        <v>1065770</v>
      </c>
      <c r="S45" s="807">
        <f t="shared" si="4"/>
        <v>0</v>
      </c>
      <c r="T45" s="807"/>
      <c r="U45" s="49">
        <f>民間設備製造1!N47</f>
        <v>77440</v>
      </c>
      <c r="V45" s="49">
        <f t="shared" si="5"/>
        <v>765569</v>
      </c>
    </row>
    <row r="46" spans="1:22">
      <c r="A46" s="300">
        <v>208</v>
      </c>
      <c r="B46" s="90" t="s">
        <v>206</v>
      </c>
      <c r="C46" s="867">
        <v>118385</v>
      </c>
      <c r="D46" s="869">
        <v>65707</v>
      </c>
      <c r="E46" s="868">
        <v>12665</v>
      </c>
      <c r="F46" s="866">
        <v>19164</v>
      </c>
      <c r="G46" s="868">
        <v>380</v>
      </c>
      <c r="H46" s="868">
        <v>18532</v>
      </c>
      <c r="I46" s="868">
        <v>252</v>
      </c>
      <c r="J46" s="867">
        <v>3708</v>
      </c>
      <c r="K46" s="868">
        <v>101244</v>
      </c>
      <c r="L46" s="856">
        <v>17141</v>
      </c>
      <c r="M46" s="830">
        <v>101666</v>
      </c>
      <c r="N46" s="830">
        <v>82994</v>
      </c>
      <c r="O46" s="831">
        <v>-1531</v>
      </c>
      <c r="P46" s="293">
        <v>208</v>
      </c>
      <c r="Q46" s="878"/>
      <c r="R46" s="807">
        <f t="shared" si="3"/>
        <v>118385</v>
      </c>
      <c r="S46" s="807">
        <f t="shared" si="4"/>
        <v>0</v>
      </c>
      <c r="T46" s="807"/>
      <c r="U46" s="49">
        <f>民間設備製造1!N48</f>
        <v>6884</v>
      </c>
      <c r="V46" s="49">
        <f t="shared" si="5"/>
        <v>89344</v>
      </c>
    </row>
    <row r="47" spans="1:22">
      <c r="A47" s="300">
        <v>212</v>
      </c>
      <c r="B47" s="90" t="s">
        <v>207</v>
      </c>
      <c r="C47" s="867">
        <v>241914</v>
      </c>
      <c r="D47" s="869">
        <v>101897</v>
      </c>
      <c r="E47" s="868">
        <v>23616</v>
      </c>
      <c r="F47" s="866">
        <v>54837</v>
      </c>
      <c r="G47" s="868">
        <v>3781</v>
      </c>
      <c r="H47" s="868">
        <v>50586</v>
      </c>
      <c r="I47" s="868">
        <v>470</v>
      </c>
      <c r="J47" s="867">
        <v>8683</v>
      </c>
      <c r="K47" s="868">
        <v>189033</v>
      </c>
      <c r="L47" s="856">
        <v>52881</v>
      </c>
      <c r="M47" s="830">
        <v>206704</v>
      </c>
      <c r="N47" s="830">
        <v>154957</v>
      </c>
      <c r="O47" s="831">
        <v>1134</v>
      </c>
      <c r="P47" s="293">
        <v>212</v>
      </c>
      <c r="Q47" s="878"/>
      <c r="R47" s="807">
        <f t="shared" si="3"/>
        <v>241914</v>
      </c>
      <c r="S47" s="807">
        <f t="shared" si="4"/>
        <v>0</v>
      </c>
      <c r="T47" s="807"/>
      <c r="U47" s="49">
        <f>民間設備製造1!N49</f>
        <v>29120</v>
      </c>
      <c r="V47" s="49">
        <f t="shared" si="5"/>
        <v>167097</v>
      </c>
    </row>
    <row r="48" spans="1:22">
      <c r="A48" s="300">
        <v>227</v>
      </c>
      <c r="B48" s="90" t="s">
        <v>219</v>
      </c>
      <c r="C48" s="867">
        <v>120117</v>
      </c>
      <c r="D48" s="869">
        <v>69379</v>
      </c>
      <c r="E48" s="868">
        <v>22710</v>
      </c>
      <c r="F48" s="866">
        <v>18006</v>
      </c>
      <c r="G48" s="868">
        <v>1795</v>
      </c>
      <c r="H48" s="868">
        <v>15916</v>
      </c>
      <c r="I48" s="868">
        <v>295</v>
      </c>
      <c r="J48" s="867">
        <v>8510</v>
      </c>
      <c r="K48" s="868">
        <v>118605</v>
      </c>
      <c r="L48" s="856">
        <v>1512</v>
      </c>
      <c r="M48" s="830">
        <v>107703</v>
      </c>
      <c r="N48" s="830">
        <v>97225</v>
      </c>
      <c r="O48" s="831">
        <v>-8966</v>
      </c>
      <c r="P48" s="293">
        <v>227</v>
      </c>
      <c r="Q48" s="878"/>
      <c r="R48" s="807">
        <f t="shared" ref="R48:R65" si="6">D48+E48+F48+J48+L48</f>
        <v>120117</v>
      </c>
      <c r="S48" s="807">
        <f t="shared" ref="S48:S65" si="7">R48-C48</f>
        <v>0</v>
      </c>
      <c r="T48" s="807"/>
      <c r="U48" s="49">
        <f>民間設備製造1!N50</f>
        <v>2168</v>
      </c>
      <c r="V48" s="49">
        <f t="shared" ref="V48:V65" si="8">D48+E48+G48+J48+U48</f>
        <v>104562</v>
      </c>
    </row>
    <row r="49" spans="1:22">
      <c r="A49" s="300">
        <v>229</v>
      </c>
      <c r="B49" s="90" t="s">
        <v>235</v>
      </c>
      <c r="C49" s="867">
        <v>367078</v>
      </c>
      <c r="D49" s="869">
        <v>147310</v>
      </c>
      <c r="E49" s="868">
        <v>28482</v>
      </c>
      <c r="F49" s="866">
        <v>59090</v>
      </c>
      <c r="G49" s="868">
        <v>6738</v>
      </c>
      <c r="H49" s="868">
        <v>51746</v>
      </c>
      <c r="I49" s="868">
        <v>606</v>
      </c>
      <c r="J49" s="867">
        <v>8893</v>
      </c>
      <c r="K49" s="868">
        <v>243775</v>
      </c>
      <c r="L49" s="856">
        <v>123303</v>
      </c>
      <c r="M49" s="830">
        <v>310257</v>
      </c>
      <c r="N49" s="830">
        <v>199832</v>
      </c>
      <c r="O49" s="831">
        <v>12878</v>
      </c>
      <c r="P49" s="293">
        <v>229</v>
      </c>
      <c r="Q49" s="878"/>
      <c r="R49" s="807">
        <f t="shared" si="6"/>
        <v>367078</v>
      </c>
      <c r="S49" s="807">
        <f t="shared" si="7"/>
        <v>0</v>
      </c>
      <c r="T49" s="807"/>
      <c r="U49" s="49">
        <f>民間設備製造1!N51</f>
        <v>23826</v>
      </c>
      <c r="V49" s="49">
        <f t="shared" si="8"/>
        <v>215249</v>
      </c>
    </row>
    <row r="50" spans="1:22">
      <c r="A50" s="300">
        <v>464</v>
      </c>
      <c r="B50" s="90" t="s">
        <v>208</v>
      </c>
      <c r="C50" s="867">
        <v>103116</v>
      </c>
      <c r="D50" s="869">
        <v>67313</v>
      </c>
      <c r="E50" s="868">
        <v>10092</v>
      </c>
      <c r="F50" s="866">
        <v>24731</v>
      </c>
      <c r="G50" s="868">
        <v>3041</v>
      </c>
      <c r="H50" s="868">
        <v>21431</v>
      </c>
      <c r="I50" s="868">
        <v>259</v>
      </c>
      <c r="J50" s="867">
        <v>2180</v>
      </c>
      <c r="K50" s="868">
        <v>104316</v>
      </c>
      <c r="L50" s="856">
        <v>-1200</v>
      </c>
      <c r="M50" s="830">
        <v>88119</v>
      </c>
      <c r="N50" s="830">
        <v>85512</v>
      </c>
      <c r="O50" s="831">
        <v>-3807</v>
      </c>
      <c r="P50" s="293">
        <v>464</v>
      </c>
      <c r="Q50" s="878"/>
      <c r="R50" s="807">
        <f t="shared" si="6"/>
        <v>103116</v>
      </c>
      <c r="S50" s="807">
        <f t="shared" si="7"/>
        <v>0</v>
      </c>
      <c r="T50" s="807"/>
      <c r="U50" s="49">
        <f>民間設備製造1!N52</f>
        <v>9471</v>
      </c>
      <c r="V50" s="49">
        <f t="shared" si="8"/>
        <v>92097</v>
      </c>
    </row>
    <row r="51" spans="1:22">
      <c r="A51" s="300">
        <v>481</v>
      </c>
      <c r="B51" s="90" t="s">
        <v>209</v>
      </c>
      <c r="C51" s="867">
        <v>52384</v>
      </c>
      <c r="D51" s="869">
        <v>30353</v>
      </c>
      <c r="E51" s="868">
        <v>8065</v>
      </c>
      <c r="F51" s="866">
        <v>11105</v>
      </c>
      <c r="G51" s="868">
        <v>422</v>
      </c>
      <c r="H51" s="868">
        <v>10554</v>
      </c>
      <c r="I51" s="868">
        <v>129</v>
      </c>
      <c r="J51" s="867">
        <v>2220</v>
      </c>
      <c r="K51" s="868">
        <v>51743</v>
      </c>
      <c r="L51" s="856">
        <v>641</v>
      </c>
      <c r="M51" s="830">
        <v>46121</v>
      </c>
      <c r="N51" s="830">
        <v>42416</v>
      </c>
      <c r="O51" s="831">
        <v>-3064</v>
      </c>
      <c r="P51" s="293">
        <v>481</v>
      </c>
      <c r="Q51" s="878"/>
      <c r="R51" s="807">
        <f t="shared" si="6"/>
        <v>52384</v>
      </c>
      <c r="S51" s="807">
        <f t="shared" si="7"/>
        <v>0</v>
      </c>
      <c r="T51" s="807"/>
      <c r="U51" s="49">
        <f>民間設備製造1!N53</f>
        <v>4620</v>
      </c>
      <c r="V51" s="49">
        <f t="shared" si="8"/>
        <v>45680</v>
      </c>
    </row>
    <row r="52" spans="1:22">
      <c r="A52" s="300">
        <v>501</v>
      </c>
      <c r="B52" s="90" t="s">
        <v>236</v>
      </c>
      <c r="C52" s="871">
        <v>62776</v>
      </c>
      <c r="D52" s="869">
        <v>32485</v>
      </c>
      <c r="E52" s="868">
        <v>13564</v>
      </c>
      <c r="F52" s="866">
        <v>8774</v>
      </c>
      <c r="G52" s="868">
        <v>507</v>
      </c>
      <c r="H52" s="868">
        <v>8122</v>
      </c>
      <c r="I52" s="868">
        <v>145</v>
      </c>
      <c r="J52" s="867">
        <v>3633</v>
      </c>
      <c r="K52" s="868">
        <v>58456</v>
      </c>
      <c r="L52" s="858">
        <v>4320</v>
      </c>
      <c r="M52" s="837">
        <v>57070</v>
      </c>
      <c r="N52" s="837">
        <v>47919</v>
      </c>
      <c r="O52" s="835">
        <v>-4831</v>
      </c>
      <c r="P52" s="293">
        <v>501</v>
      </c>
      <c r="Q52" s="878"/>
      <c r="R52" s="807">
        <f t="shared" si="6"/>
        <v>62776</v>
      </c>
      <c r="S52" s="807">
        <f t="shared" si="7"/>
        <v>0</v>
      </c>
      <c r="T52" s="807"/>
      <c r="U52" s="49">
        <f>民間設備製造1!N54</f>
        <v>1351</v>
      </c>
      <c r="V52" s="49">
        <f t="shared" si="8"/>
        <v>51540</v>
      </c>
    </row>
    <row r="53" spans="1:22">
      <c r="A53" s="301">
        <v>7</v>
      </c>
      <c r="B53" s="347" t="s">
        <v>210</v>
      </c>
      <c r="C53" s="867">
        <v>637010</v>
      </c>
      <c r="D53" s="865">
        <v>358322</v>
      </c>
      <c r="E53" s="864">
        <v>113762</v>
      </c>
      <c r="F53" s="855">
        <v>176705</v>
      </c>
      <c r="G53" s="864">
        <v>10412</v>
      </c>
      <c r="H53" s="864">
        <v>164582</v>
      </c>
      <c r="I53" s="864">
        <v>1711</v>
      </c>
      <c r="J53" s="863">
        <v>39822</v>
      </c>
      <c r="K53" s="827">
        <v>688611</v>
      </c>
      <c r="L53" s="856">
        <v>-51601</v>
      </c>
      <c r="M53" s="830">
        <v>568095</v>
      </c>
      <c r="N53" s="830">
        <v>564480</v>
      </c>
      <c r="O53" s="831">
        <v>-55216</v>
      </c>
      <c r="P53" s="293">
        <v>7</v>
      </c>
      <c r="Q53" s="878"/>
      <c r="R53" s="807">
        <f t="shared" si="6"/>
        <v>637010</v>
      </c>
      <c r="S53" s="807">
        <f t="shared" si="7"/>
        <v>0</v>
      </c>
      <c r="T53" s="807"/>
      <c r="U53" s="49">
        <f>民間設備製造1!N55</f>
        <v>86040</v>
      </c>
      <c r="V53" s="49">
        <f t="shared" si="8"/>
        <v>608358</v>
      </c>
    </row>
    <row r="54" spans="1:22">
      <c r="A54" s="300">
        <v>209</v>
      </c>
      <c r="B54" s="90" t="s">
        <v>221</v>
      </c>
      <c r="C54" s="867">
        <v>312007</v>
      </c>
      <c r="D54" s="869">
        <v>174661</v>
      </c>
      <c r="E54" s="868">
        <v>48621</v>
      </c>
      <c r="F54" s="866">
        <v>48673</v>
      </c>
      <c r="G54" s="868">
        <v>5914</v>
      </c>
      <c r="H54" s="868">
        <v>42043</v>
      </c>
      <c r="I54" s="868">
        <v>716</v>
      </c>
      <c r="J54" s="867">
        <v>16330</v>
      </c>
      <c r="K54" s="868">
        <v>288285</v>
      </c>
      <c r="L54" s="856">
        <v>23722</v>
      </c>
      <c r="M54" s="830">
        <v>274976</v>
      </c>
      <c r="N54" s="830">
        <v>236318</v>
      </c>
      <c r="O54" s="831">
        <v>-14936</v>
      </c>
      <c r="P54" s="293">
        <v>209</v>
      </c>
      <c r="Q54" s="878"/>
      <c r="R54" s="807">
        <f t="shared" si="6"/>
        <v>312007</v>
      </c>
      <c r="S54" s="807">
        <f t="shared" si="7"/>
        <v>0</v>
      </c>
      <c r="T54" s="807"/>
      <c r="U54" s="49">
        <f>民間設備製造1!N56</f>
        <v>8688</v>
      </c>
      <c r="V54" s="49">
        <f t="shared" si="8"/>
        <v>254214</v>
      </c>
    </row>
    <row r="55" spans="1:22">
      <c r="A55" s="300">
        <v>222</v>
      </c>
      <c r="B55" s="90" t="s">
        <v>218</v>
      </c>
      <c r="C55" s="867">
        <v>87835</v>
      </c>
      <c r="D55" s="869">
        <v>50345</v>
      </c>
      <c r="E55" s="868">
        <v>17421</v>
      </c>
      <c r="F55" s="866">
        <v>16703</v>
      </c>
      <c r="G55" s="868">
        <v>1288</v>
      </c>
      <c r="H55" s="868">
        <v>15196</v>
      </c>
      <c r="I55" s="868">
        <v>219</v>
      </c>
      <c r="J55" s="867">
        <v>3556</v>
      </c>
      <c r="K55" s="868">
        <v>88025</v>
      </c>
      <c r="L55" s="856">
        <v>-190</v>
      </c>
      <c r="M55" s="830">
        <v>79134</v>
      </c>
      <c r="N55" s="830">
        <v>72157</v>
      </c>
      <c r="O55" s="831">
        <v>-7167</v>
      </c>
      <c r="P55" s="293">
        <v>222</v>
      </c>
      <c r="Q55" s="878"/>
      <c r="R55" s="807">
        <f t="shared" si="6"/>
        <v>87835</v>
      </c>
      <c r="S55" s="807">
        <f t="shared" si="7"/>
        <v>0</v>
      </c>
      <c r="T55" s="807"/>
      <c r="U55" s="49">
        <f>民間設備製造1!N57</f>
        <v>5053</v>
      </c>
      <c r="V55" s="49">
        <f t="shared" si="8"/>
        <v>77663</v>
      </c>
    </row>
    <row r="56" spans="1:22">
      <c r="A56" s="300">
        <v>225</v>
      </c>
      <c r="B56" s="90" t="s">
        <v>222</v>
      </c>
      <c r="C56" s="867">
        <v>131273</v>
      </c>
      <c r="D56" s="869">
        <v>67368</v>
      </c>
      <c r="E56" s="868">
        <v>21532</v>
      </c>
      <c r="F56" s="866">
        <v>94541</v>
      </c>
      <c r="G56" s="868">
        <v>1943</v>
      </c>
      <c r="H56" s="868">
        <v>92121</v>
      </c>
      <c r="I56" s="868">
        <v>477</v>
      </c>
      <c r="J56" s="867">
        <v>8570</v>
      </c>
      <c r="K56" s="868">
        <v>192011</v>
      </c>
      <c r="L56" s="856">
        <v>-60738</v>
      </c>
      <c r="M56" s="830">
        <v>116189</v>
      </c>
      <c r="N56" s="830">
        <v>157399</v>
      </c>
      <c r="O56" s="831">
        <v>-19528</v>
      </c>
      <c r="P56" s="293">
        <v>225</v>
      </c>
      <c r="Q56" s="878"/>
      <c r="R56" s="807">
        <f t="shared" si="6"/>
        <v>131273</v>
      </c>
      <c r="S56" s="807">
        <f t="shared" si="7"/>
        <v>0</v>
      </c>
      <c r="T56" s="807"/>
      <c r="U56" s="49">
        <f>民間設備製造1!N58</f>
        <v>71036</v>
      </c>
      <c r="V56" s="49">
        <f t="shared" si="8"/>
        <v>170449</v>
      </c>
    </row>
    <row r="57" spans="1:22">
      <c r="A57" s="300">
        <v>585</v>
      </c>
      <c r="B57" s="90" t="s">
        <v>220</v>
      </c>
      <c r="C57" s="867">
        <v>58677</v>
      </c>
      <c r="D57" s="869">
        <v>35818</v>
      </c>
      <c r="E57" s="868">
        <v>14655</v>
      </c>
      <c r="F57" s="866">
        <v>9316</v>
      </c>
      <c r="G57" s="868">
        <v>845</v>
      </c>
      <c r="H57" s="868">
        <v>8305</v>
      </c>
      <c r="I57" s="868">
        <v>166</v>
      </c>
      <c r="J57" s="867">
        <v>7034</v>
      </c>
      <c r="K57" s="868">
        <v>66823</v>
      </c>
      <c r="L57" s="856">
        <v>-8146</v>
      </c>
      <c r="M57" s="830">
        <v>54256</v>
      </c>
      <c r="N57" s="830">
        <v>54777</v>
      </c>
      <c r="O57" s="831">
        <v>-7625</v>
      </c>
      <c r="P57" s="293">
        <v>585</v>
      </c>
      <c r="Q57" s="878"/>
      <c r="R57" s="807">
        <f t="shared" si="6"/>
        <v>58677</v>
      </c>
      <c r="S57" s="807">
        <f t="shared" si="7"/>
        <v>0</v>
      </c>
      <c r="T57" s="807"/>
      <c r="U57" s="49">
        <f>民間設備製造1!N59</f>
        <v>547</v>
      </c>
      <c r="V57" s="49">
        <f t="shared" si="8"/>
        <v>58899</v>
      </c>
    </row>
    <row r="58" spans="1:22">
      <c r="A58" s="302">
        <v>586</v>
      </c>
      <c r="B58" s="201" t="s">
        <v>237</v>
      </c>
      <c r="C58" s="867">
        <v>47218</v>
      </c>
      <c r="D58" s="873">
        <v>30130</v>
      </c>
      <c r="E58" s="872">
        <v>11533</v>
      </c>
      <c r="F58" s="870">
        <v>7472</v>
      </c>
      <c r="G58" s="872">
        <v>422</v>
      </c>
      <c r="H58" s="872">
        <v>6917</v>
      </c>
      <c r="I58" s="872">
        <v>133</v>
      </c>
      <c r="J58" s="871">
        <v>4332</v>
      </c>
      <c r="K58" s="872">
        <v>53467</v>
      </c>
      <c r="L58" s="856">
        <v>-6249</v>
      </c>
      <c r="M58" s="830">
        <v>43540</v>
      </c>
      <c r="N58" s="830">
        <v>43829</v>
      </c>
      <c r="O58" s="831">
        <v>-5960</v>
      </c>
      <c r="P58" s="293">
        <v>586</v>
      </c>
      <c r="Q58" s="878"/>
      <c r="R58" s="807">
        <f t="shared" si="6"/>
        <v>47218</v>
      </c>
      <c r="S58" s="807">
        <f t="shared" si="7"/>
        <v>0</v>
      </c>
      <c r="T58" s="807"/>
      <c r="U58" s="49">
        <f>民間設備製造1!N60</f>
        <v>716</v>
      </c>
      <c r="V58" s="49">
        <f t="shared" si="8"/>
        <v>47133</v>
      </c>
    </row>
    <row r="59" spans="1:22">
      <c r="A59" s="300">
        <v>8</v>
      </c>
      <c r="B59" s="86" t="s">
        <v>211</v>
      </c>
      <c r="C59" s="863">
        <v>426693</v>
      </c>
      <c r="D59" s="869">
        <v>222202</v>
      </c>
      <c r="E59" s="868">
        <v>62781</v>
      </c>
      <c r="F59" s="856">
        <v>73301</v>
      </c>
      <c r="G59" s="868">
        <v>9441</v>
      </c>
      <c r="H59" s="868">
        <v>62930</v>
      </c>
      <c r="I59" s="868">
        <v>930</v>
      </c>
      <c r="J59" s="867">
        <v>16351</v>
      </c>
      <c r="K59" s="830">
        <v>374635</v>
      </c>
      <c r="L59" s="855">
        <v>52058</v>
      </c>
      <c r="M59" s="827">
        <v>374338</v>
      </c>
      <c r="N59" s="827">
        <v>307102</v>
      </c>
      <c r="O59" s="828">
        <v>-15178</v>
      </c>
      <c r="P59" s="293">
        <v>8</v>
      </c>
      <c r="Q59" s="878"/>
      <c r="R59" s="807">
        <f t="shared" si="6"/>
        <v>426693</v>
      </c>
      <c r="S59" s="807">
        <f t="shared" si="7"/>
        <v>0</v>
      </c>
      <c r="T59" s="807"/>
      <c r="U59" s="49">
        <f>民間設備製造1!N61</f>
        <v>19730</v>
      </c>
      <c r="V59" s="49">
        <f t="shared" si="8"/>
        <v>330505</v>
      </c>
    </row>
    <row r="60" spans="1:22">
      <c r="A60" s="300">
        <v>221</v>
      </c>
      <c r="B60" s="90" t="s">
        <v>1144</v>
      </c>
      <c r="C60" s="867">
        <v>167066</v>
      </c>
      <c r="D60" s="869">
        <v>91062</v>
      </c>
      <c r="E60" s="868">
        <v>25834</v>
      </c>
      <c r="F60" s="866">
        <v>28181</v>
      </c>
      <c r="G60" s="868">
        <v>3675</v>
      </c>
      <c r="H60" s="868">
        <v>24135</v>
      </c>
      <c r="I60" s="868">
        <v>371</v>
      </c>
      <c r="J60" s="867">
        <v>4458</v>
      </c>
      <c r="K60" s="868">
        <v>149535</v>
      </c>
      <c r="L60" s="856">
        <v>17531</v>
      </c>
      <c r="M60" s="830">
        <v>147145</v>
      </c>
      <c r="N60" s="830">
        <v>122579</v>
      </c>
      <c r="O60" s="831">
        <v>-7035</v>
      </c>
      <c r="P60" s="293">
        <v>221</v>
      </c>
      <c r="Q60" s="878"/>
      <c r="R60" s="807">
        <f t="shared" si="6"/>
        <v>167066</v>
      </c>
      <c r="S60" s="807">
        <f t="shared" si="7"/>
        <v>0</v>
      </c>
      <c r="T60" s="807"/>
      <c r="U60" s="49">
        <f>民間設備製造1!N62</f>
        <v>6875</v>
      </c>
      <c r="V60" s="49">
        <f t="shared" si="8"/>
        <v>131904</v>
      </c>
    </row>
    <row r="61" spans="1:22">
      <c r="A61" s="300">
        <v>223</v>
      </c>
      <c r="B61" s="90" t="s">
        <v>223</v>
      </c>
      <c r="C61" s="871">
        <v>259627</v>
      </c>
      <c r="D61" s="869">
        <v>131140</v>
      </c>
      <c r="E61" s="868">
        <v>36947</v>
      </c>
      <c r="F61" s="866">
        <v>45120</v>
      </c>
      <c r="G61" s="868">
        <v>5766</v>
      </c>
      <c r="H61" s="868">
        <v>38795</v>
      </c>
      <c r="I61" s="868">
        <v>559</v>
      </c>
      <c r="J61" s="867">
        <v>11893</v>
      </c>
      <c r="K61" s="868">
        <v>225100</v>
      </c>
      <c r="L61" s="858">
        <v>34527</v>
      </c>
      <c r="M61" s="837">
        <v>227193</v>
      </c>
      <c r="N61" s="837">
        <v>184523</v>
      </c>
      <c r="O61" s="835">
        <v>-8143</v>
      </c>
      <c r="P61" s="293">
        <v>223</v>
      </c>
      <c r="Q61" s="878"/>
      <c r="R61" s="807">
        <f t="shared" si="6"/>
        <v>259627</v>
      </c>
      <c r="S61" s="807">
        <f t="shared" si="7"/>
        <v>0</v>
      </c>
      <c r="T61" s="807"/>
      <c r="U61" s="49">
        <f>民間設備製造1!N63</f>
        <v>12855</v>
      </c>
      <c r="V61" s="49">
        <f t="shared" si="8"/>
        <v>198601</v>
      </c>
    </row>
    <row r="62" spans="1:22">
      <c r="A62" s="301">
        <v>9</v>
      </c>
      <c r="B62" s="346" t="s">
        <v>212</v>
      </c>
      <c r="C62" s="867">
        <v>467945</v>
      </c>
      <c r="D62" s="865">
        <v>264445</v>
      </c>
      <c r="E62" s="864">
        <v>80668</v>
      </c>
      <c r="F62" s="855">
        <v>90620</v>
      </c>
      <c r="G62" s="864">
        <v>10264</v>
      </c>
      <c r="H62" s="864">
        <v>79205</v>
      </c>
      <c r="I62" s="864">
        <v>1151</v>
      </c>
      <c r="J62" s="863">
        <v>27784</v>
      </c>
      <c r="K62" s="827">
        <v>463517</v>
      </c>
      <c r="L62" s="856">
        <v>4428</v>
      </c>
      <c r="M62" s="830">
        <v>415981</v>
      </c>
      <c r="N62" s="830">
        <v>379962</v>
      </c>
      <c r="O62" s="831">
        <v>-31591</v>
      </c>
      <c r="P62" s="293">
        <v>9</v>
      </c>
      <c r="Q62" s="878"/>
      <c r="R62" s="807">
        <f t="shared" si="6"/>
        <v>467945</v>
      </c>
      <c r="S62" s="807">
        <f t="shared" si="7"/>
        <v>0</v>
      </c>
      <c r="T62" s="807"/>
      <c r="U62" s="49">
        <f>民間設備製造1!N64</f>
        <v>25778</v>
      </c>
      <c r="V62" s="49">
        <f t="shared" si="8"/>
        <v>408939</v>
      </c>
    </row>
    <row r="63" spans="1:22">
      <c r="A63" s="300">
        <v>205</v>
      </c>
      <c r="B63" s="92" t="s">
        <v>241</v>
      </c>
      <c r="C63" s="867">
        <v>159140</v>
      </c>
      <c r="D63" s="869">
        <v>90463</v>
      </c>
      <c r="E63" s="868">
        <v>25696</v>
      </c>
      <c r="F63" s="866">
        <v>43291</v>
      </c>
      <c r="G63" s="868">
        <v>4435</v>
      </c>
      <c r="H63" s="868">
        <v>38445</v>
      </c>
      <c r="I63" s="868">
        <v>411</v>
      </c>
      <c r="J63" s="867">
        <v>6118</v>
      </c>
      <c r="K63" s="868">
        <v>165568</v>
      </c>
      <c r="L63" s="856">
        <v>-6428</v>
      </c>
      <c r="M63" s="830">
        <v>140666</v>
      </c>
      <c r="N63" s="830">
        <v>135722</v>
      </c>
      <c r="O63" s="831">
        <v>-11372</v>
      </c>
      <c r="P63" s="293">
        <v>205</v>
      </c>
      <c r="Q63" s="878"/>
      <c r="R63" s="807">
        <f t="shared" si="6"/>
        <v>159140</v>
      </c>
      <c r="S63" s="807">
        <f t="shared" si="7"/>
        <v>0</v>
      </c>
      <c r="T63" s="807"/>
      <c r="U63" s="49">
        <f>民間設備製造1!N65</f>
        <v>19540</v>
      </c>
      <c r="V63" s="49">
        <f t="shared" si="8"/>
        <v>146252</v>
      </c>
    </row>
    <row r="64" spans="1:22">
      <c r="A64" s="300">
        <v>224</v>
      </c>
      <c r="B64" s="90" t="s">
        <v>224</v>
      </c>
      <c r="C64" s="867">
        <v>163394</v>
      </c>
      <c r="D64" s="869">
        <v>85419</v>
      </c>
      <c r="E64" s="868">
        <v>27087</v>
      </c>
      <c r="F64" s="866">
        <v>24595</v>
      </c>
      <c r="G64" s="868">
        <v>3358</v>
      </c>
      <c r="H64" s="868">
        <v>20870</v>
      </c>
      <c r="I64" s="868">
        <v>367</v>
      </c>
      <c r="J64" s="867">
        <v>10738</v>
      </c>
      <c r="K64" s="868">
        <v>147839</v>
      </c>
      <c r="L64" s="856">
        <v>15555</v>
      </c>
      <c r="M64" s="830">
        <v>144751</v>
      </c>
      <c r="N64" s="830">
        <v>121189</v>
      </c>
      <c r="O64" s="831">
        <v>-8007</v>
      </c>
      <c r="P64" s="293">
        <v>224</v>
      </c>
      <c r="Q64" s="878"/>
      <c r="R64" s="807">
        <f t="shared" si="6"/>
        <v>163394</v>
      </c>
      <c r="S64" s="807">
        <f t="shared" si="7"/>
        <v>0</v>
      </c>
      <c r="T64" s="807"/>
      <c r="U64" s="49">
        <f>民間設備製造1!N66</f>
        <v>3752</v>
      </c>
      <c r="V64" s="49">
        <f t="shared" si="8"/>
        <v>130354</v>
      </c>
    </row>
    <row r="65" spans="1:22">
      <c r="A65" s="302">
        <v>226</v>
      </c>
      <c r="B65" s="201" t="s">
        <v>225</v>
      </c>
      <c r="C65" s="871">
        <v>145411</v>
      </c>
      <c r="D65" s="873">
        <v>88563</v>
      </c>
      <c r="E65" s="872">
        <v>27885</v>
      </c>
      <c r="F65" s="870">
        <v>22734</v>
      </c>
      <c r="G65" s="872">
        <v>2471</v>
      </c>
      <c r="H65" s="872">
        <v>19890</v>
      </c>
      <c r="I65" s="872">
        <v>373</v>
      </c>
      <c r="J65" s="871">
        <v>10928</v>
      </c>
      <c r="K65" s="872">
        <v>150110</v>
      </c>
      <c r="L65" s="858">
        <v>-4699</v>
      </c>
      <c r="M65" s="837">
        <v>130564</v>
      </c>
      <c r="N65" s="837">
        <v>123051</v>
      </c>
      <c r="O65" s="835">
        <v>-12212</v>
      </c>
      <c r="P65" s="293">
        <v>226</v>
      </c>
      <c r="Q65" s="878"/>
      <c r="R65" s="807">
        <f t="shared" si="6"/>
        <v>145411</v>
      </c>
      <c r="S65" s="807">
        <f t="shared" si="7"/>
        <v>0</v>
      </c>
      <c r="T65" s="807"/>
      <c r="U65" s="49">
        <f>民間設備製造1!N67</f>
        <v>2486</v>
      </c>
      <c r="V65" s="49">
        <f t="shared" si="8"/>
        <v>132333</v>
      </c>
    </row>
    <row r="66" spans="1:22">
      <c r="A66" s="75"/>
      <c r="B66" s="75"/>
      <c r="C66" s="239"/>
      <c r="D66" s="239"/>
      <c r="E66" s="239"/>
      <c r="F66" s="239"/>
      <c r="G66" s="239"/>
      <c r="H66" s="239"/>
      <c r="I66" s="239"/>
      <c r="J66" s="239"/>
      <c r="K66" s="239"/>
      <c r="L66" s="239"/>
      <c r="M66" s="239"/>
      <c r="N66" s="239"/>
      <c r="O66" s="352" t="s">
        <v>1143</v>
      </c>
    </row>
    <row r="67" spans="1:22">
      <c r="A67" s="75"/>
      <c r="B67" s="75" t="s">
        <v>1309</v>
      </c>
      <c r="C67" s="239">
        <f>+SUM(C17:C65)/2+C16</f>
        <v>22283273</v>
      </c>
      <c r="D67" s="239">
        <f t="shared" ref="D67:O67" si="9">+SUM(D17:D65)/2+D16</f>
        <v>13163075</v>
      </c>
      <c r="E67" s="239">
        <f t="shared" si="9"/>
        <v>2664104</v>
      </c>
      <c r="F67" s="239">
        <f t="shared" si="9"/>
        <v>4557515</v>
      </c>
      <c r="G67" s="239">
        <f t="shared" si="9"/>
        <v>706383</v>
      </c>
      <c r="H67" s="239">
        <f t="shared" si="9"/>
        <v>3798503</v>
      </c>
      <c r="I67" s="239">
        <f t="shared" si="9"/>
        <v>52629</v>
      </c>
      <c r="J67" s="239">
        <f t="shared" si="9"/>
        <v>799770</v>
      </c>
      <c r="K67" s="239">
        <f t="shared" si="9"/>
        <v>21184464</v>
      </c>
      <c r="L67" s="239">
        <f t="shared" si="9"/>
        <v>1098809</v>
      </c>
      <c r="M67" s="239">
        <f t="shared" si="9"/>
        <v>19265526</v>
      </c>
      <c r="N67" s="239">
        <f t="shared" si="9"/>
        <v>17365699</v>
      </c>
      <c r="O67" s="239">
        <f t="shared" si="9"/>
        <v>-801018</v>
      </c>
    </row>
    <row r="68" spans="1:22">
      <c r="A68" s="75"/>
      <c r="B68" s="75" t="s">
        <v>1307</v>
      </c>
      <c r="C68" s="239">
        <f>名目県内総支出!S44</f>
        <v>22283273</v>
      </c>
      <c r="D68" s="239">
        <f>名目県内総支出!S6</f>
        <v>13163075</v>
      </c>
      <c r="E68" s="239">
        <f>名目県内総支出!S61</f>
        <v>2664104</v>
      </c>
      <c r="F68" s="239">
        <f>名目県内総支出!S28+名目県内総支出!S36</f>
        <v>4557515</v>
      </c>
      <c r="G68" s="239">
        <f>名目県内総支出!S29</f>
        <v>706383</v>
      </c>
      <c r="H68" s="239">
        <f>名目県内総支出!S30</f>
        <v>3798503</v>
      </c>
      <c r="I68" s="239">
        <f>名目県内総支出!S36</f>
        <v>52629</v>
      </c>
      <c r="J68" s="239">
        <f>名目県内総支出!S31+名目県内総支出!S37</f>
        <v>799770</v>
      </c>
      <c r="K68" s="239">
        <f>名目県内総支出!S62</f>
        <v>21184465</v>
      </c>
      <c r="L68" s="239">
        <f>名目県内総支出!S63</f>
        <v>1098808</v>
      </c>
      <c r="M68" s="239">
        <f>名目県内総支出!S39+名目県内総支出!S41+名目県内総支出!S64</f>
        <v>18556147.834262598</v>
      </c>
      <c r="N68" s="239">
        <f>名目県内総支出!S40</f>
        <v>17583131</v>
      </c>
      <c r="O68" s="239">
        <f>名目県内総支出!S43</f>
        <v>-801019</v>
      </c>
    </row>
    <row r="69" spans="1:22">
      <c r="A69" s="75"/>
      <c r="B69" s="75"/>
      <c r="C69" s="838">
        <f>+C67-C68</f>
        <v>0</v>
      </c>
      <c r="D69" s="838">
        <f t="shared" ref="D69:O69" si="10">+D67-D68</f>
        <v>0</v>
      </c>
      <c r="E69" s="838">
        <f t="shared" si="10"/>
        <v>0</v>
      </c>
      <c r="F69" s="838">
        <f t="shared" si="10"/>
        <v>0</v>
      </c>
      <c r="G69" s="838">
        <f t="shared" si="10"/>
        <v>0</v>
      </c>
      <c r="H69" s="838">
        <f t="shared" si="10"/>
        <v>0</v>
      </c>
      <c r="I69" s="838">
        <f t="shared" si="10"/>
        <v>0</v>
      </c>
      <c r="J69" s="838">
        <f t="shared" si="10"/>
        <v>0</v>
      </c>
      <c r="K69" s="838">
        <f t="shared" si="10"/>
        <v>-1</v>
      </c>
      <c r="L69" s="838">
        <f t="shared" si="10"/>
        <v>1</v>
      </c>
      <c r="M69" s="838">
        <f t="shared" si="10"/>
        <v>709378.16573740169</v>
      </c>
      <c r="N69" s="838">
        <f t="shared" si="10"/>
        <v>-217432</v>
      </c>
      <c r="O69" s="838">
        <f t="shared" si="10"/>
        <v>1</v>
      </c>
    </row>
    <row r="70" spans="1:22">
      <c r="A70" s="75"/>
      <c r="B70" s="75"/>
      <c r="C70" s="239"/>
      <c r="D70" s="239"/>
      <c r="E70" s="239"/>
      <c r="F70" s="239"/>
      <c r="G70" s="239"/>
      <c r="H70" s="239"/>
      <c r="I70" s="239"/>
      <c r="J70" s="239"/>
      <c r="K70" s="239"/>
      <c r="L70" s="239"/>
      <c r="M70" s="239"/>
      <c r="N70" s="239"/>
      <c r="O70" s="239"/>
    </row>
    <row r="71" spans="1:22">
      <c r="A71" s="395"/>
      <c r="B71" s="203" t="s">
        <v>166</v>
      </c>
      <c r="C71" s="397">
        <f>ROUND((C4-'17H28'!C4)/ABS('17H28'!C4)*100,1)</f>
        <v>1.4</v>
      </c>
      <c r="D71" s="397">
        <f>ROUND((D4-'17H28'!D4)/ABS('17H28'!D4)*100,1)</f>
        <v>1.5</v>
      </c>
      <c r="E71" s="397">
        <f>ROUND((E4-'17H28'!E4)/ABS('17H28'!E4)*100,1)</f>
        <v>5.0999999999999996</v>
      </c>
      <c r="F71" s="397">
        <f>ROUND((F4-'17H28'!F4)/ABS('17H28'!F4)*100,1)</f>
        <v>3.9</v>
      </c>
      <c r="G71" s="397">
        <f>ROUND((G4-'17H28'!G4)/ABS('17H28'!G4)*100,1)</f>
        <v>-6.1</v>
      </c>
      <c r="H71" s="397">
        <f>ROUND((H4-'17H28'!H4)/ABS('17H28'!H4)*100,1)</f>
        <v>2.7</v>
      </c>
      <c r="I71" s="397">
        <f>ROUND((I4-'17H28'!I4)/ABS('17H28'!I4)*100,1)</f>
        <v>184.1</v>
      </c>
      <c r="J71" s="397">
        <f>ROUND((J4-'17H28'!J4)/ABS('17H28'!J4)*100,1)</f>
        <v>3</v>
      </c>
      <c r="K71" s="397">
        <f>ROUND((K4-'17H28'!K4)/ABS('17H28'!K4)*100,1)</f>
        <v>2.5</v>
      </c>
      <c r="L71" s="397">
        <f>ROUND((L4-'17H28'!L4)/ABS('17H28'!L4)*100,1)</f>
        <v>-15.2</v>
      </c>
      <c r="M71" s="397">
        <f>ROUND((M4-'17H28'!M4)/ABS('17H28'!M4)*100,1)</f>
        <v>7.4</v>
      </c>
      <c r="N71" s="397">
        <f>ROUND((N4-'17H28'!N4)/ABS('17H28'!N4)*100,1)</f>
        <v>4.5</v>
      </c>
      <c r="O71" s="397" t="e">
        <f>ROUND((O4-'17H28'!#REF!)/ABS('17H28'!#REF!)*100,1)</f>
        <v>#REF!</v>
      </c>
    </row>
    <row r="72" spans="1:22">
      <c r="A72" s="77">
        <v>100</v>
      </c>
      <c r="B72" s="75" t="s">
        <v>172</v>
      </c>
      <c r="C72" s="384">
        <f>ROUND((C5-'17H28'!C5)/ABS('17H28'!C5)*100,1)</f>
        <v>1.4</v>
      </c>
      <c r="D72" s="384">
        <f>ROUND((D5-'17H28'!D5)/ABS('17H28'!D5)*100,1)</f>
        <v>1.4</v>
      </c>
      <c r="E72" s="384">
        <f>ROUND((E5-'17H28'!E5)/ABS('17H28'!E5)*100,1)</f>
        <v>29.8</v>
      </c>
      <c r="F72" s="384">
        <f>ROUND((F5-'17H28'!F5)/ABS('17H28'!F5)*100,1)</f>
        <v>6.7</v>
      </c>
      <c r="G72" s="384">
        <f>ROUND((G5-'17H28'!G5)/ABS('17H28'!G5)*100,1)</f>
        <v>11</v>
      </c>
      <c r="H72" s="384">
        <f>ROUND((H5-'17H28'!H5)/ABS('17H28'!H5)*100,1)</f>
        <v>2</v>
      </c>
      <c r="I72" s="384">
        <f>ROUND((I5-'17H28'!I5)/ABS('17H28'!I5)*100,1)</f>
        <v>187.2</v>
      </c>
      <c r="J72" s="384">
        <f>ROUND((J5-'17H28'!J5)/ABS('17H28'!J5)*100,1)</f>
        <v>16.100000000000001</v>
      </c>
      <c r="K72" s="384">
        <f>ROUND((K5-'17H28'!K5)/ABS('17H28'!K5)*100,1)</f>
        <v>6.3</v>
      </c>
      <c r="L72" s="384">
        <f>ROUND((L5-'17H28'!L5)/ABS('17H28'!L5)*100,1)</f>
        <v>-36.5</v>
      </c>
      <c r="M72" s="384">
        <f>ROUND((M5-'17H28'!M5)/ABS('17H28'!M5)*100,1)</f>
        <v>8.9</v>
      </c>
      <c r="N72" s="384">
        <f>ROUND((N5-'17H28'!N5)/ABS('17H28'!N5)*100,1)</f>
        <v>8.3000000000000007</v>
      </c>
      <c r="O72" s="384" t="e">
        <f>ROUND((O5-'17H28'!#REF!)/ABS('17H28'!#REF!)*100,1)</f>
        <v>#REF!</v>
      </c>
    </row>
    <row r="73" spans="1:22">
      <c r="A73" s="77">
        <v>1</v>
      </c>
      <c r="B73" s="75" t="s">
        <v>323</v>
      </c>
      <c r="C73" s="384">
        <f>ROUND((C6-'17H28'!C6)/ABS('17H28'!C6)*100,1)</f>
        <v>3.1</v>
      </c>
      <c r="D73" s="384">
        <f>ROUND((D6-'17H28'!D6)/ABS('17H28'!D6)*100,1)</f>
        <v>1</v>
      </c>
      <c r="E73" s="384">
        <f>ROUND((E6-'17H28'!E6)/ABS('17H28'!E6)*100,1)</f>
        <v>-4.4000000000000004</v>
      </c>
      <c r="F73" s="384">
        <f>ROUND((F6-'17H28'!F6)/ABS('17H28'!F6)*100,1)</f>
        <v>-4.0999999999999996</v>
      </c>
      <c r="G73" s="384">
        <f>ROUND((G6-'17H28'!G6)/ABS('17H28'!G6)*100,1)</f>
        <v>-2.4</v>
      </c>
      <c r="H73" s="384">
        <f>ROUND((H6-'17H28'!H6)/ABS('17H28'!H6)*100,1)</f>
        <v>-8.1999999999999993</v>
      </c>
      <c r="I73" s="384">
        <f>ROUND((I6-'17H28'!I6)/ABS('17H28'!I6)*100,1)</f>
        <v>181.2</v>
      </c>
      <c r="J73" s="384">
        <f>ROUND((J6-'17H28'!J6)/ABS('17H28'!J6)*100,1)</f>
        <v>-14.7</v>
      </c>
      <c r="K73" s="384">
        <f>ROUND((K6-'17H28'!K6)/ABS('17H28'!K6)*100,1)</f>
        <v>-1.1000000000000001</v>
      </c>
      <c r="L73" s="384">
        <f>ROUND((L6-'17H28'!L6)/ABS('17H28'!L6)*100,1)</f>
        <v>42.7</v>
      </c>
      <c r="M73" s="384">
        <f>ROUND((M6-'17H28'!M6)/ABS('17H28'!M6)*100,1)</f>
        <v>8.3000000000000007</v>
      </c>
      <c r="N73" s="384">
        <f>ROUND((N6-'17H28'!N6)/ABS('17H28'!N6)*100,1)</f>
        <v>0.8</v>
      </c>
      <c r="O73" s="384" t="e">
        <f>ROUND((O6-'17H28'!#REF!)/ABS('17H28'!#REF!)*100,1)</f>
        <v>#REF!</v>
      </c>
    </row>
    <row r="74" spans="1:22">
      <c r="A74" s="77">
        <v>2</v>
      </c>
      <c r="B74" s="75" t="s">
        <v>324</v>
      </c>
      <c r="C74" s="384">
        <f>ROUND((C7-'17H28'!C7)/ABS('17H28'!C7)*100,1)</f>
        <v>-1.3</v>
      </c>
      <c r="D74" s="384">
        <f>ROUND((D7-'17H28'!D7)/ABS('17H28'!D7)*100,1)</f>
        <v>1.6</v>
      </c>
      <c r="E74" s="384">
        <f>ROUND((E7-'17H28'!E7)/ABS('17H28'!E7)*100,1)</f>
        <v>-4.9000000000000004</v>
      </c>
      <c r="F74" s="384">
        <f>ROUND((F7-'17H28'!F7)/ABS('17H28'!F7)*100,1)</f>
        <v>0.3</v>
      </c>
      <c r="G74" s="384">
        <f>ROUND((G7-'17H28'!G7)/ABS('17H28'!G7)*100,1)</f>
        <v>-16.2</v>
      </c>
      <c r="H74" s="384">
        <f>ROUND((H7-'17H28'!H7)/ABS('17H28'!H7)*100,1)</f>
        <v>0.9</v>
      </c>
      <c r="I74" s="384">
        <f>ROUND((I7-'17H28'!I7)/ABS('17H28'!I7)*100,1)</f>
        <v>182.9</v>
      </c>
      <c r="J74" s="384">
        <f>ROUND((J7-'17H28'!J7)/ABS('17H28'!J7)*100,1)</f>
        <v>21.7</v>
      </c>
      <c r="K74" s="384">
        <f>ROUND((K7-'17H28'!K7)/ABS('17H28'!K7)*100,1)</f>
        <v>1</v>
      </c>
      <c r="L74" s="384">
        <f>ROUND((L7-'17H28'!L7)/ABS('17H28'!L7)*100,1)</f>
        <v>-18.899999999999999</v>
      </c>
      <c r="M74" s="384">
        <f>ROUND((M7-'17H28'!M7)/ABS('17H28'!M7)*100,1)</f>
        <v>3.7</v>
      </c>
      <c r="N74" s="384">
        <f>ROUND((N7-'17H28'!N7)/ABS('17H28'!N7)*100,1)</f>
        <v>3</v>
      </c>
      <c r="O74" s="384" t="e">
        <f>ROUND((O7-'17H28'!#REF!)/ABS('17H28'!#REF!)*100,1)</f>
        <v>#REF!</v>
      </c>
    </row>
    <row r="75" spans="1:22">
      <c r="A75" s="77">
        <v>3</v>
      </c>
      <c r="B75" s="75" t="s">
        <v>192</v>
      </c>
      <c r="C75" s="384">
        <f>ROUND((C8-'17H28'!C8)/ABS('17H28'!C8)*100,1)</f>
        <v>0.6</v>
      </c>
      <c r="D75" s="384">
        <f>ROUND((D8-'17H28'!D8)/ABS('17H28'!D8)*100,1)</f>
        <v>2.4</v>
      </c>
      <c r="E75" s="384">
        <f>ROUND((E8-'17H28'!E8)/ABS('17H28'!E8)*100,1)</f>
        <v>-4.7</v>
      </c>
      <c r="F75" s="384">
        <f>ROUND((F8-'17H28'!F8)/ABS('17H28'!F8)*100,1)</f>
        <v>9.3000000000000007</v>
      </c>
      <c r="G75" s="384">
        <f>ROUND((G8-'17H28'!G8)/ABS('17H28'!G8)*100,1)</f>
        <v>-19.8</v>
      </c>
      <c r="H75" s="384">
        <f>ROUND((H8-'17H28'!H8)/ABS('17H28'!H8)*100,1)</f>
        <v>12.1</v>
      </c>
      <c r="I75" s="384">
        <f>ROUND((I8-'17H28'!I8)/ABS('17H28'!I8)*100,1)</f>
        <v>185.5</v>
      </c>
      <c r="J75" s="384">
        <f>ROUND((J8-'17H28'!J8)/ABS('17H28'!J8)*100,1)</f>
        <v>23.9</v>
      </c>
      <c r="K75" s="384">
        <f>ROUND((K8-'17H28'!K8)/ABS('17H28'!K8)*100,1)</f>
        <v>4.2</v>
      </c>
      <c r="L75" s="384">
        <f>ROUND((L8-'17H28'!L8)/ABS('17H28'!L8)*100,1)</f>
        <v>-42</v>
      </c>
      <c r="M75" s="384">
        <f>ROUND((M8-'17H28'!M8)/ABS('17H28'!M8)*100,1)</f>
        <v>6.2</v>
      </c>
      <c r="N75" s="384">
        <f>ROUND((N8-'17H28'!N8)/ABS('17H28'!N8)*100,1)</f>
        <v>6.2</v>
      </c>
      <c r="O75" s="384" t="e">
        <f>ROUND((O8-'17H28'!#REF!)/ABS('17H28'!#REF!)*100,1)</f>
        <v>#REF!</v>
      </c>
    </row>
    <row r="76" spans="1:22">
      <c r="A76" s="77">
        <v>4</v>
      </c>
      <c r="B76" s="75" t="s">
        <v>325</v>
      </c>
      <c r="C76" s="384">
        <f>ROUND((C9-'17H28'!C9)/ABS('17H28'!C9)*100,1)</f>
        <v>4.0999999999999996</v>
      </c>
      <c r="D76" s="384">
        <f>ROUND((D9-'17H28'!D9)/ABS('17H28'!D9)*100,1)</f>
        <v>2</v>
      </c>
      <c r="E76" s="384">
        <f>ROUND((E9-'17H28'!E9)/ABS('17H28'!E9)*100,1)</f>
        <v>-5.2</v>
      </c>
      <c r="F76" s="384">
        <f>ROUND((F9-'17H28'!F9)/ABS('17H28'!F9)*100,1)</f>
        <v>-3</v>
      </c>
      <c r="G76" s="384">
        <f>ROUND((G9-'17H28'!G9)/ABS('17H28'!G9)*100,1)</f>
        <v>-2.8</v>
      </c>
      <c r="H76" s="384">
        <f>ROUND((H9-'17H28'!H9)/ABS('17H28'!H9)*100,1)</f>
        <v>-5.4</v>
      </c>
      <c r="I76" s="384">
        <f>ROUND((I9-'17H28'!I9)/ABS('17H28'!I9)*100,1)</f>
        <v>181.4</v>
      </c>
      <c r="J76" s="384">
        <f>ROUND((J9-'17H28'!J9)/ABS('17H28'!J9)*100,1)</f>
        <v>-9.4</v>
      </c>
      <c r="K76" s="384">
        <f>ROUND((K9-'17H28'!K9)/ABS('17H28'!K9)*100,1)</f>
        <v>-0.8</v>
      </c>
      <c r="L76" s="384">
        <f>ROUND((L9-'17H28'!L9)/ABS('17H28'!L9)*100,1)</f>
        <v>19.2</v>
      </c>
      <c r="M76" s="384">
        <f>ROUND((M9-'17H28'!M9)/ABS('17H28'!M9)*100,1)</f>
        <v>9.6</v>
      </c>
      <c r="N76" s="384">
        <f>ROUND((N9-'17H28'!N9)/ABS('17H28'!N9)*100,1)</f>
        <v>1.1000000000000001</v>
      </c>
      <c r="O76" s="384" t="e">
        <f>ROUND((O9-'17H28'!#REF!)/ABS('17H28'!#REF!)*100,1)</f>
        <v>#REF!</v>
      </c>
      <c r="R76" s="383"/>
      <c r="S76" s="383"/>
      <c r="T76" s="383"/>
    </row>
    <row r="77" spans="1:22">
      <c r="A77" s="77">
        <v>5</v>
      </c>
      <c r="B77" s="75" t="s">
        <v>326</v>
      </c>
      <c r="C77" s="384">
        <f>ROUND((C10-'17H28'!C10)/ABS('17H28'!C10)*100,1)</f>
        <v>0.3</v>
      </c>
      <c r="D77" s="384">
        <f>ROUND((D10-'17H28'!D10)/ABS('17H28'!D10)*100,1)</f>
        <v>1.8</v>
      </c>
      <c r="E77" s="384">
        <f>ROUND((E10-'17H28'!E10)/ABS('17H28'!E10)*100,1)</f>
        <v>-3.8</v>
      </c>
      <c r="F77" s="384">
        <f>ROUND((F10-'17H28'!F10)/ABS('17H28'!F10)*100,1)</f>
        <v>0.6</v>
      </c>
      <c r="G77" s="384">
        <f>ROUND((G10-'17H28'!G10)/ABS('17H28'!G10)*100,1)</f>
        <v>-16.8</v>
      </c>
      <c r="H77" s="384">
        <f>ROUND((H10-'17H28'!H10)/ABS('17H28'!H10)*100,1)</f>
        <v>2</v>
      </c>
      <c r="I77" s="384">
        <f>ROUND((I10-'17H28'!I10)/ABS('17H28'!I10)*100,1)</f>
        <v>183.2</v>
      </c>
      <c r="J77" s="384">
        <f>ROUND((J10-'17H28'!J10)/ABS('17H28'!J10)*100,1)</f>
        <v>15.2</v>
      </c>
      <c r="K77" s="384">
        <f>ROUND((K10-'17H28'!K10)/ABS('17H28'!K10)*100,1)</f>
        <v>1.4</v>
      </c>
      <c r="L77" s="384">
        <f>ROUND((L10-'17H28'!L10)/ABS('17H28'!L10)*100,1)</f>
        <v>-5</v>
      </c>
      <c r="M77" s="384">
        <f>ROUND((M10-'17H28'!M10)/ABS('17H28'!M10)*100,1)</f>
        <v>6</v>
      </c>
      <c r="N77" s="384">
        <f>ROUND((N10-'17H28'!N10)/ABS('17H28'!N10)*100,1)</f>
        <v>3.4</v>
      </c>
      <c r="O77" s="384" t="e">
        <f>ROUND((O10-'17H28'!#REF!)/ABS('17H28'!#REF!)*100,1)</f>
        <v>#REF!</v>
      </c>
      <c r="R77" s="383"/>
      <c r="S77" s="383"/>
      <c r="T77" s="383"/>
    </row>
    <row r="78" spans="1:22">
      <c r="A78" s="77">
        <v>6</v>
      </c>
      <c r="B78" s="75" t="s">
        <v>327</v>
      </c>
      <c r="C78" s="384">
        <f>ROUND((C11-'17H28'!C11)/ABS('17H28'!C11)*100,1)</f>
        <v>4.2</v>
      </c>
      <c r="D78" s="384">
        <f>ROUND((D11-'17H28'!D11)/ABS('17H28'!D11)*100,1)</f>
        <v>1.2</v>
      </c>
      <c r="E78" s="384">
        <f>ROUND((E11-'17H28'!E11)/ABS('17H28'!E11)*100,1)</f>
        <v>-6.1</v>
      </c>
      <c r="F78" s="384">
        <f>ROUND((F11-'17H28'!F11)/ABS('17H28'!F11)*100,1)</f>
        <v>-7.1</v>
      </c>
      <c r="G78" s="384">
        <f>ROUND((G11-'17H28'!G11)/ABS('17H28'!G11)*100,1)</f>
        <v>-14</v>
      </c>
      <c r="H78" s="384">
        <f>ROUND((H11-'17H28'!H11)/ABS('17H28'!H11)*100,1)</f>
        <v>-8.8000000000000007</v>
      </c>
      <c r="I78" s="384">
        <f>ROUND((I11-'17H28'!I11)/ABS('17H28'!I11)*100,1)</f>
        <v>179.4</v>
      </c>
      <c r="J78" s="384">
        <f>ROUND((J11-'17H28'!J11)/ABS('17H28'!J11)*100,1)</f>
        <v>-26.5</v>
      </c>
      <c r="K78" s="384">
        <f>ROUND((K11-'17H28'!K11)/ABS('17H28'!K11)*100,1)</f>
        <v>-3.3</v>
      </c>
      <c r="L78" s="384">
        <f>ROUND((L11-'17H28'!L11)/ABS('17H28'!L11)*100,1)</f>
        <v>58.4</v>
      </c>
      <c r="M78" s="384">
        <f>ROUND((M11-'17H28'!M11)/ABS('17H28'!M11)*100,1)</f>
        <v>9.3000000000000007</v>
      </c>
      <c r="N78" s="384">
        <f>ROUND((N11-'17H28'!N11)/ABS('17H28'!N11)*100,1)</f>
        <v>-1.5</v>
      </c>
      <c r="O78" s="384" t="e">
        <f>ROUND((O11-'17H28'!#REF!)/ABS('17H28'!#REF!)*100,1)</f>
        <v>#REF!</v>
      </c>
      <c r="R78" s="383"/>
      <c r="S78" s="383"/>
      <c r="T78" s="383"/>
    </row>
    <row r="79" spans="1:22">
      <c r="A79" s="77">
        <v>7</v>
      </c>
      <c r="B79" s="75" t="s">
        <v>210</v>
      </c>
      <c r="C79" s="384">
        <f>ROUND((C12-'17H28'!C12)/ABS('17H28'!C12)*100,1)</f>
        <v>2.2999999999999998</v>
      </c>
      <c r="D79" s="384">
        <f>ROUND((D12-'17H28'!D12)/ABS('17H28'!D12)*100,1)</f>
        <v>-0.2</v>
      </c>
      <c r="E79" s="384">
        <f>ROUND((E12-'17H28'!E12)/ABS('17H28'!E12)*100,1)</f>
        <v>-5.9</v>
      </c>
      <c r="F79" s="384">
        <f>ROUND((F12-'17H28'!F12)/ABS('17H28'!F12)*100,1)</f>
        <v>64.8</v>
      </c>
      <c r="G79" s="384">
        <f>ROUND((G12-'17H28'!G12)/ABS('17H28'!G12)*100,1)</f>
        <v>-7.5</v>
      </c>
      <c r="H79" s="384">
        <f>ROUND((H12-'17H28'!H12)/ABS('17H28'!H12)*100,1)</f>
        <v>68.099999999999994</v>
      </c>
      <c r="I79" s="384">
        <f>ROUND((I12-'17H28'!I12)/ABS('17H28'!I12)*100,1)</f>
        <v>189.3</v>
      </c>
      <c r="J79" s="384">
        <f>ROUND((J12-'17H28'!J12)/ABS('17H28'!J12)*100,1)</f>
        <v>-12.9</v>
      </c>
      <c r="K79" s="384">
        <f>ROUND((K12-'17H28'!K12)/ABS('17H28'!K12)*100,1)</f>
        <v>8.8000000000000007</v>
      </c>
      <c r="L79" s="384">
        <f>ROUND((L12-'17H28'!L12)/ABS('17H28'!L12)*100,1)</f>
        <v>-401.4</v>
      </c>
      <c r="M79" s="384">
        <f>ROUND((M12-'17H28'!M12)/ABS('17H28'!M12)*100,1)</f>
        <v>6.4</v>
      </c>
      <c r="N79" s="384">
        <f>ROUND((N12-'17H28'!N12)/ABS('17H28'!N12)*100,1)</f>
        <v>10.9</v>
      </c>
      <c r="O79" s="384" t="e">
        <f>ROUND((O12-'17H28'!#REF!)/ABS('17H28'!#REF!)*100,1)</f>
        <v>#REF!</v>
      </c>
      <c r="R79" s="383"/>
      <c r="S79" s="383"/>
      <c r="T79" s="383"/>
    </row>
    <row r="80" spans="1:22">
      <c r="A80" s="77">
        <v>8</v>
      </c>
      <c r="B80" s="75" t="s">
        <v>211</v>
      </c>
      <c r="C80" s="384">
        <f>ROUND((C13-'17H28'!C13)/ABS('17H28'!C13)*100,1)</f>
        <v>1</v>
      </c>
      <c r="D80" s="384">
        <f>ROUND((D13-'17H28'!D13)/ABS('17H28'!D13)*100,1)</f>
        <v>-0.3</v>
      </c>
      <c r="E80" s="384">
        <f>ROUND((E13-'17H28'!E13)/ABS('17H28'!E13)*100,1)</f>
        <v>-4.9000000000000004</v>
      </c>
      <c r="F80" s="384">
        <f>ROUND((F13-'17H28'!F13)/ABS('17H28'!F13)*100,1)</f>
        <v>1.2</v>
      </c>
      <c r="G80" s="384">
        <f>ROUND((G13-'17H28'!G13)/ABS('17H28'!G13)*100,1)</f>
        <v>-6.3</v>
      </c>
      <c r="H80" s="384">
        <f>ROUND((H13-'17H28'!H13)/ABS('17H28'!H13)*100,1)</f>
        <v>-0.9</v>
      </c>
      <c r="I80" s="384">
        <f>ROUND((I13-'17H28'!I13)/ABS('17H28'!I13)*100,1)</f>
        <v>180.2</v>
      </c>
      <c r="J80" s="384">
        <f>ROUND((J13-'17H28'!J13)/ABS('17H28'!J13)*100,1)</f>
        <v>-25.7</v>
      </c>
      <c r="K80" s="384">
        <f>ROUND((K13-'17H28'!K13)/ABS('17H28'!K13)*100,1)</f>
        <v>-2.2999999999999998</v>
      </c>
      <c r="L80" s="384">
        <f>ROUND((L13-'17H28'!L13)/ABS('17H28'!L13)*100,1)</f>
        <v>32.700000000000003</v>
      </c>
      <c r="M80" s="384">
        <f>ROUND((M13-'17H28'!M13)/ABS('17H28'!M13)*100,1)</f>
        <v>5.7</v>
      </c>
      <c r="N80" s="384">
        <f>ROUND((N13-'17H28'!N13)/ABS('17H28'!N13)*100,1)</f>
        <v>-0.4</v>
      </c>
      <c r="O80" s="384" t="e">
        <f>ROUND((O13-'17H28'!#REF!)/ABS('17H28'!#REF!)*100,1)</f>
        <v>#REF!</v>
      </c>
      <c r="R80" s="383"/>
      <c r="S80" s="383"/>
      <c r="T80" s="383"/>
    </row>
    <row r="81" spans="1:20">
      <c r="A81" s="77">
        <v>9</v>
      </c>
      <c r="B81" s="75" t="s">
        <v>212</v>
      </c>
      <c r="C81" s="384">
        <f>ROUND((C14-'17H28'!C14)/ABS('17H28'!C14)*100,1)</f>
        <v>-0.5</v>
      </c>
      <c r="D81" s="384">
        <f>ROUND((D14-'17H28'!D14)/ABS('17H28'!D14)*100,1)</f>
        <v>2.5</v>
      </c>
      <c r="E81" s="384">
        <f>ROUND((E14-'17H28'!E14)/ABS('17H28'!E14)*100,1)</f>
        <v>-4.2</v>
      </c>
      <c r="F81" s="384">
        <f>ROUND((F14-'17H28'!F14)/ABS('17H28'!F14)*100,1)</f>
        <v>2</v>
      </c>
      <c r="G81" s="384">
        <f>ROUND((G14-'17H28'!G14)/ABS('17H28'!G14)*100,1)</f>
        <v>-6.3</v>
      </c>
      <c r="H81" s="384">
        <f>ROUND((H14-'17H28'!H14)/ABS('17H28'!H14)*100,1)</f>
        <v>-0.1</v>
      </c>
      <c r="I81" s="384">
        <f>ROUND((I14-'17H28'!I14)/ABS('17H28'!I14)*100,1)</f>
        <v>181.9</v>
      </c>
      <c r="J81" s="384">
        <f>ROUND((J14-'17H28'!J14)/ABS('17H28'!J14)*100,1)</f>
        <v>-17.3</v>
      </c>
      <c r="K81" s="384">
        <f>ROUND((K14-'17H28'!K14)/ABS('17H28'!K14)*100,1)</f>
        <v>-0.2</v>
      </c>
      <c r="L81" s="384">
        <f>ROUND((L14-'17H28'!L14)/ABS('17H28'!L14)*100,1)</f>
        <v>-24.1</v>
      </c>
      <c r="M81" s="384">
        <f>ROUND((M14-'17H28'!M14)/ABS('17H28'!M14)*100,1)</f>
        <v>4.0999999999999996</v>
      </c>
      <c r="N81" s="384">
        <f>ROUND((N14-'17H28'!N14)/ABS('17H28'!N14)*100,1)</f>
        <v>1.7</v>
      </c>
      <c r="O81" s="384" t="e">
        <f>ROUND((O14-'17H28'!#REF!)/ABS('17H28'!#REF!)*100,1)</f>
        <v>#REF!</v>
      </c>
      <c r="R81" s="383"/>
      <c r="S81" s="383"/>
      <c r="T81" s="383"/>
    </row>
    <row r="82" spans="1:20">
      <c r="A82" s="77"/>
      <c r="B82" s="87" t="s">
        <v>11</v>
      </c>
      <c r="C82" s="384" t="s">
        <v>11</v>
      </c>
      <c r="D82" s="384" t="s">
        <v>11</v>
      </c>
      <c r="E82" s="384" t="s">
        <v>11</v>
      </c>
      <c r="F82" s="384" t="s">
        <v>11</v>
      </c>
      <c r="G82" s="384" t="s">
        <v>11</v>
      </c>
      <c r="H82" s="384" t="s">
        <v>11</v>
      </c>
      <c r="I82" s="384" t="s">
        <v>11</v>
      </c>
      <c r="J82" s="384" t="s">
        <v>11</v>
      </c>
      <c r="K82" s="384" t="s">
        <v>11</v>
      </c>
      <c r="L82" s="384" t="s">
        <v>11</v>
      </c>
      <c r="M82" s="384" t="s">
        <v>11</v>
      </c>
      <c r="N82" s="384" t="s">
        <v>11</v>
      </c>
      <c r="O82" s="384" t="s">
        <v>11</v>
      </c>
      <c r="P82" s="49" t="s">
        <v>11</v>
      </c>
      <c r="R82" s="383"/>
      <c r="S82" s="383"/>
      <c r="T82" s="383"/>
    </row>
    <row r="83" spans="1:20">
      <c r="A83" s="293">
        <v>100</v>
      </c>
      <c r="B83" s="87" t="s">
        <v>172</v>
      </c>
      <c r="C83" s="384">
        <f>ROUND((C16-'17H28'!C16)/ABS('17H28'!C16)*100,1)</f>
        <v>1.4</v>
      </c>
      <c r="D83" s="384">
        <f>ROUND((D16-'17H28'!D16)/ABS('17H28'!D16)*100,1)</f>
        <v>1.4</v>
      </c>
      <c r="E83" s="384">
        <f>ROUND((E16-'17H28'!E16)/ABS('17H28'!E16)*100,1)</f>
        <v>29.8</v>
      </c>
      <c r="F83" s="384">
        <f>ROUND((F16-'17H28'!F16)/ABS('17H28'!F16)*100,1)</f>
        <v>6.7</v>
      </c>
      <c r="G83" s="384">
        <f>ROUND((G16-'17H28'!G16)/ABS('17H28'!G16)*100,1)</f>
        <v>11</v>
      </c>
      <c r="H83" s="384">
        <f>ROUND((H16-'17H28'!H16)/ABS('17H28'!H16)*100,1)</f>
        <v>2</v>
      </c>
      <c r="I83" s="384">
        <f>ROUND((I16-'17H28'!I16)/ABS('17H28'!I16)*100,1)</f>
        <v>187.2</v>
      </c>
      <c r="J83" s="384">
        <f>ROUND((J16-'17H28'!J16)/ABS('17H28'!J16)*100,1)</f>
        <v>16.100000000000001</v>
      </c>
      <c r="K83" s="384">
        <f>ROUND((K16-'17H28'!K16)/ABS('17H28'!K16)*100,1)</f>
        <v>6.3</v>
      </c>
      <c r="L83" s="384">
        <f>ROUND((L16-'17H28'!L16)/ABS('17H28'!L16)*100,1)</f>
        <v>-36.5</v>
      </c>
      <c r="M83" s="384">
        <f>ROUND((M16-'17H28'!M16)/ABS('17H28'!M16)*100,1)</f>
        <v>8.9</v>
      </c>
      <c r="N83" s="384">
        <f>ROUND((N16-'17H28'!N16)/ABS('17H28'!N16)*100,1)</f>
        <v>8.3000000000000007</v>
      </c>
      <c r="O83" s="384" t="e">
        <f>ROUND((O16-'17H28'!#REF!)/ABS('17H28'!#REF!)*100,1)</f>
        <v>#REF!</v>
      </c>
      <c r="R83" s="383"/>
      <c r="S83" s="383"/>
      <c r="T83" s="383"/>
    </row>
    <row r="84" spans="1:20">
      <c r="A84" s="293">
        <v>1</v>
      </c>
      <c r="B84" s="65" t="s">
        <v>182</v>
      </c>
      <c r="C84" s="384">
        <f>ROUND((C17-'17H28'!C17)/ABS('17H28'!C17)*100,1)</f>
        <v>3.1</v>
      </c>
      <c r="D84" s="384">
        <f>ROUND((D17-'17H28'!D17)/ABS('17H28'!D17)*100,1)</f>
        <v>1</v>
      </c>
      <c r="E84" s="384">
        <f>ROUND((E17-'17H28'!E17)/ABS('17H28'!E17)*100,1)</f>
        <v>-4.4000000000000004</v>
      </c>
      <c r="F84" s="384">
        <f>ROUND((F17-'17H28'!F17)/ABS('17H28'!F17)*100,1)</f>
        <v>-4.0999999999999996</v>
      </c>
      <c r="G84" s="384">
        <f>ROUND((G17-'17H28'!G17)/ABS('17H28'!G17)*100,1)</f>
        <v>-2.4</v>
      </c>
      <c r="H84" s="384">
        <f>ROUND((H17-'17H28'!H17)/ABS('17H28'!H17)*100,1)</f>
        <v>-8.1999999999999993</v>
      </c>
      <c r="I84" s="384">
        <f>ROUND((I17-'17H28'!I17)/ABS('17H28'!I17)*100,1)</f>
        <v>181.2</v>
      </c>
      <c r="J84" s="384">
        <f>ROUND((J17-'17H28'!J17)/ABS('17H28'!J17)*100,1)</f>
        <v>-14.7</v>
      </c>
      <c r="K84" s="384">
        <f>ROUND((K17-'17H28'!K17)/ABS('17H28'!K17)*100,1)</f>
        <v>-1.1000000000000001</v>
      </c>
      <c r="L84" s="384">
        <f>ROUND((L17-'17H28'!L17)/ABS('17H28'!L17)*100,1)</f>
        <v>42.7</v>
      </c>
      <c r="M84" s="384">
        <f>ROUND((M17-'17H28'!M17)/ABS('17H28'!M17)*100,1)</f>
        <v>8.3000000000000007</v>
      </c>
      <c r="N84" s="384">
        <f>ROUND((N17-'17H28'!N17)/ABS('17H28'!N17)*100,1)</f>
        <v>0.8</v>
      </c>
      <c r="O84" s="384" t="e">
        <f>ROUND((O17-'17H28'!#REF!)/ABS('17H28'!#REF!)*100,1)</f>
        <v>#REF!</v>
      </c>
      <c r="R84" s="383"/>
      <c r="S84" s="383"/>
      <c r="T84" s="383"/>
    </row>
    <row r="85" spans="1:20">
      <c r="A85" s="293">
        <v>202</v>
      </c>
      <c r="B85" s="90" t="s">
        <v>183</v>
      </c>
      <c r="C85" s="384">
        <f>ROUND((C18-'17H28'!C18)/ABS('17H28'!C18)*100,1)</f>
        <v>3.3</v>
      </c>
      <c r="D85" s="384">
        <f>ROUND((D18-'17H28'!D18)/ABS('17H28'!D18)*100,1)</f>
        <v>1.5</v>
      </c>
      <c r="E85" s="384">
        <f>ROUND((E18-'17H28'!E18)/ABS('17H28'!E18)*100,1)</f>
        <v>-6.8</v>
      </c>
      <c r="F85" s="384">
        <f>ROUND((F18-'17H28'!F18)/ABS('17H28'!F18)*100,1)</f>
        <v>-10</v>
      </c>
      <c r="G85" s="384">
        <f>ROUND((G18-'17H28'!G18)/ABS('17H28'!G18)*100,1)</f>
        <v>-2.8</v>
      </c>
      <c r="H85" s="384">
        <f>ROUND((H18-'17H28'!H18)/ABS('17H28'!H18)*100,1)</f>
        <v>-14.5</v>
      </c>
      <c r="I85" s="384">
        <f>ROUND((I18-'17H28'!I18)/ABS('17H28'!I18)*100,1)</f>
        <v>180</v>
      </c>
      <c r="J85" s="384">
        <f>ROUND((J18-'17H28'!J18)/ABS('17H28'!J18)*100,1)</f>
        <v>-18.2</v>
      </c>
      <c r="K85" s="384">
        <f>ROUND((K18-'17H28'!K18)/ABS('17H28'!K18)*100,1)</f>
        <v>-2.5</v>
      </c>
      <c r="L85" s="384">
        <f>ROUND((L18-'17H28'!L18)/ABS('17H28'!L18)*100,1)</f>
        <v>103.9</v>
      </c>
      <c r="M85" s="384">
        <f>ROUND((M18-'17H28'!M18)/ABS('17H28'!M18)*100,1)</f>
        <v>8.8000000000000007</v>
      </c>
      <c r="N85" s="384">
        <f>ROUND((N18-'17H28'!N18)/ABS('17H28'!N18)*100,1)</f>
        <v>-0.6</v>
      </c>
      <c r="O85" s="384" t="e">
        <f>ROUND((O18-'17H28'!#REF!)/ABS('17H28'!#REF!)*100,1)</f>
        <v>#REF!</v>
      </c>
      <c r="R85" s="383"/>
      <c r="S85" s="383"/>
      <c r="T85" s="383"/>
    </row>
    <row r="86" spans="1:20">
      <c r="A86" s="293">
        <v>204</v>
      </c>
      <c r="B86" s="90" t="s">
        <v>184</v>
      </c>
      <c r="C86" s="384">
        <f>ROUND((C19-'17H28'!C19)/ABS('17H28'!C19)*100,1)</f>
        <v>2.7</v>
      </c>
      <c r="D86" s="384">
        <f>ROUND((D19-'17H28'!D19)/ABS('17H28'!D19)*100,1)</f>
        <v>1</v>
      </c>
      <c r="E86" s="384">
        <f>ROUND((E19-'17H28'!E19)/ABS('17H28'!E19)*100,1)</f>
        <v>-2.6</v>
      </c>
      <c r="F86" s="384">
        <f>ROUND((F19-'17H28'!F19)/ABS('17H28'!F19)*100,1)</f>
        <v>6</v>
      </c>
      <c r="G86" s="384">
        <f>ROUND((G19-'17H28'!G19)/ABS('17H28'!G19)*100,1)</f>
        <v>10.4</v>
      </c>
      <c r="H86" s="384">
        <f>ROUND((H19-'17H28'!H19)/ABS('17H28'!H19)*100,1)</f>
        <v>0.2</v>
      </c>
      <c r="I86" s="384">
        <f>ROUND((I19-'17H28'!I19)/ABS('17H28'!I19)*100,1)</f>
        <v>182.9</v>
      </c>
      <c r="J86" s="384">
        <f>ROUND((J19-'17H28'!J19)/ABS('17H28'!J19)*100,1)</f>
        <v>-12.2</v>
      </c>
      <c r="K86" s="384">
        <f>ROUND((K19-'17H28'!K19)/ABS('17H28'!K19)*100,1)</f>
        <v>1</v>
      </c>
      <c r="L86" s="384">
        <f>ROUND((L19-'17H28'!L19)/ABS('17H28'!L19)*100,1)</f>
        <v>6.6</v>
      </c>
      <c r="M86" s="384">
        <f>ROUND((M19-'17H28'!M19)/ABS('17H28'!M19)*100,1)</f>
        <v>7.6</v>
      </c>
      <c r="N86" s="384">
        <f>ROUND((N19-'17H28'!N19)/ABS('17H28'!N19)*100,1)</f>
        <v>2.9</v>
      </c>
      <c r="O86" s="384" t="e">
        <f>ROUND((O19-'17H28'!#REF!)/ABS('17H28'!#REF!)*100,1)</f>
        <v>#REF!</v>
      </c>
      <c r="R86" s="383"/>
      <c r="S86" s="383"/>
      <c r="T86" s="383"/>
    </row>
    <row r="87" spans="1:20">
      <c r="A87" s="293">
        <v>206</v>
      </c>
      <c r="B87" s="90" t="s">
        <v>185</v>
      </c>
      <c r="C87" s="384">
        <f>ROUND((C20-'17H28'!C20)/ABS('17H28'!C20)*100,1)</f>
        <v>4.4000000000000004</v>
      </c>
      <c r="D87" s="384">
        <f>ROUND((D20-'17H28'!D20)/ABS('17H28'!D20)*100,1)</f>
        <v>-1.9</v>
      </c>
      <c r="E87" s="384">
        <f>ROUND((E20-'17H28'!E20)/ABS('17H28'!E20)*100,1)</f>
        <v>-3.7</v>
      </c>
      <c r="F87" s="384">
        <f>ROUND((F20-'17H28'!F20)/ABS('17H28'!F20)*100,1)</f>
        <v>-11.1</v>
      </c>
      <c r="G87" s="384">
        <f>ROUND((G20-'17H28'!G20)/ABS('17H28'!G20)*100,1)</f>
        <v>-44.4</v>
      </c>
      <c r="H87" s="384">
        <f>ROUND((H20-'17H28'!H20)/ABS('17H28'!H20)*100,1)</f>
        <v>-2.4</v>
      </c>
      <c r="I87" s="384">
        <f>ROUND((I20-'17H28'!I20)/ABS('17H28'!I20)*100,1)</f>
        <v>178.6</v>
      </c>
      <c r="J87" s="384">
        <f>ROUND((J20-'17H28'!J20)/ABS('17H28'!J20)*100,1)</f>
        <v>-10.7</v>
      </c>
      <c r="K87" s="384">
        <f>ROUND((K20-'17H28'!K20)/ABS('17H28'!K20)*100,1)</f>
        <v>-4.3</v>
      </c>
      <c r="L87" s="384">
        <f>ROUND((L20-'17H28'!L20)/ABS('17H28'!L20)*100,1)</f>
        <v>17.2</v>
      </c>
      <c r="M87" s="384">
        <f>ROUND((M20-'17H28'!M20)/ABS('17H28'!M20)*100,1)</f>
        <v>8</v>
      </c>
      <c r="N87" s="384">
        <f>ROUND((N20-'17H28'!N20)/ABS('17H28'!N20)*100,1)</f>
        <v>-2.5</v>
      </c>
      <c r="O87" s="384" t="e">
        <f>ROUND((O20-'17H28'!#REF!)/ABS('17H28'!#REF!)*100,1)</f>
        <v>#REF!</v>
      </c>
      <c r="R87" s="383"/>
      <c r="S87" s="383"/>
      <c r="T87" s="383"/>
    </row>
    <row r="88" spans="1:20">
      <c r="A88" s="293">
        <v>2</v>
      </c>
      <c r="B88" s="65" t="s">
        <v>186</v>
      </c>
      <c r="C88" s="384">
        <f>ROUND((C21-'17H28'!C21)/ABS('17H28'!C21)*100,1)</f>
        <v>-1.3</v>
      </c>
      <c r="D88" s="384">
        <f>ROUND((D21-'17H28'!D21)/ABS('17H28'!D21)*100,1)</f>
        <v>1.6</v>
      </c>
      <c r="E88" s="384">
        <f>ROUND((E21-'17H28'!E21)/ABS('17H28'!E21)*100,1)</f>
        <v>-4.9000000000000004</v>
      </c>
      <c r="F88" s="384">
        <f>ROUND((F21-'17H28'!F21)/ABS('17H28'!F21)*100,1)</f>
        <v>0.3</v>
      </c>
      <c r="G88" s="384">
        <f>ROUND((G21-'17H28'!G21)/ABS('17H28'!G21)*100,1)</f>
        <v>-16.2</v>
      </c>
      <c r="H88" s="384">
        <f>ROUND((H21-'17H28'!H21)/ABS('17H28'!H21)*100,1)</f>
        <v>0.9</v>
      </c>
      <c r="I88" s="384">
        <f>ROUND((I21-'17H28'!I21)/ABS('17H28'!I21)*100,1)</f>
        <v>182.9</v>
      </c>
      <c r="J88" s="384">
        <f>ROUND((J21-'17H28'!J21)/ABS('17H28'!J21)*100,1)</f>
        <v>21.7</v>
      </c>
      <c r="K88" s="384">
        <f>ROUND((K21-'17H28'!K21)/ABS('17H28'!K21)*100,1)</f>
        <v>1</v>
      </c>
      <c r="L88" s="384">
        <f>ROUND((L21-'17H28'!L21)/ABS('17H28'!L21)*100,1)</f>
        <v>-18.899999999999999</v>
      </c>
      <c r="M88" s="384">
        <f>ROUND((M21-'17H28'!M21)/ABS('17H28'!M21)*100,1)</f>
        <v>3.7</v>
      </c>
      <c r="N88" s="384">
        <f>ROUND((N21-'17H28'!N21)/ABS('17H28'!N21)*100,1)</f>
        <v>3</v>
      </c>
      <c r="O88" s="384" t="e">
        <f>ROUND((O21-'17H28'!#REF!)/ABS('17H28'!#REF!)*100,1)</f>
        <v>#REF!</v>
      </c>
      <c r="R88" s="383"/>
      <c r="S88" s="383"/>
      <c r="T88" s="383"/>
    </row>
    <row r="89" spans="1:20">
      <c r="A89" s="293">
        <v>207</v>
      </c>
      <c r="B89" s="90" t="s">
        <v>187</v>
      </c>
      <c r="C89" s="384">
        <f>ROUND((C22-'17H28'!C22)/ABS('17H28'!C22)*100,1)</f>
        <v>-2.7</v>
      </c>
      <c r="D89" s="384">
        <f>ROUND((D22-'17H28'!D22)/ABS('17H28'!D22)*100,1)</f>
        <v>2.4</v>
      </c>
      <c r="E89" s="384">
        <f>ROUND((E22-'17H28'!E22)/ABS('17H28'!E22)*100,1)</f>
        <v>-2.2999999999999998</v>
      </c>
      <c r="F89" s="384">
        <f>ROUND((F22-'17H28'!F22)/ABS('17H28'!F22)*100,1)</f>
        <v>-5.5</v>
      </c>
      <c r="G89" s="384">
        <f>ROUND((G22-'17H28'!G22)/ABS('17H28'!G22)*100,1)</f>
        <v>-26.3</v>
      </c>
      <c r="H89" s="384">
        <f>ROUND((H22-'17H28'!H22)/ABS('17H28'!H22)*100,1)</f>
        <v>-2.9</v>
      </c>
      <c r="I89" s="384">
        <f>ROUND((I22-'17H28'!I22)/ABS('17H28'!I22)*100,1)</f>
        <v>181.9</v>
      </c>
      <c r="J89" s="384">
        <f>ROUND((J22-'17H28'!J22)/ABS('17H28'!J22)*100,1)</f>
        <v>-3.5</v>
      </c>
      <c r="K89" s="384">
        <f>ROUND((K22-'17H28'!K22)/ABS('17H28'!K22)*100,1)</f>
        <v>-0.2</v>
      </c>
      <c r="L89" s="384">
        <f>ROUND((L22-'17H28'!L22)/ABS('17H28'!L22)*100,1)</f>
        <v>-76.900000000000006</v>
      </c>
      <c r="M89" s="384">
        <f>ROUND((M22-'17H28'!M22)/ABS('17H28'!M22)*100,1)</f>
        <v>2.9</v>
      </c>
      <c r="N89" s="384">
        <f>ROUND((N22-'17H28'!N22)/ABS('17H28'!N22)*100,1)</f>
        <v>1.7</v>
      </c>
      <c r="O89" s="384" t="e">
        <f>ROUND((O22-'17H28'!#REF!)/ABS('17H28'!#REF!)*100,1)</f>
        <v>#REF!</v>
      </c>
      <c r="R89" s="383"/>
      <c r="S89" s="383"/>
      <c r="T89" s="383"/>
    </row>
    <row r="90" spans="1:20">
      <c r="A90" s="293">
        <v>214</v>
      </c>
      <c r="B90" s="90" t="s">
        <v>188</v>
      </c>
      <c r="C90" s="384">
        <f>ROUND((C23-'17H28'!C23)/ABS('17H28'!C23)*100,1)</f>
        <v>0.7</v>
      </c>
      <c r="D90" s="384">
        <f>ROUND((D23-'17H28'!D23)/ABS('17H28'!D23)*100,1)</f>
        <v>2.1</v>
      </c>
      <c r="E90" s="384">
        <f>ROUND((E23-'17H28'!E23)/ABS('17H28'!E23)*100,1)</f>
        <v>-4.7</v>
      </c>
      <c r="F90" s="384">
        <f>ROUND((F23-'17H28'!F23)/ABS('17H28'!F23)*100,1)</f>
        <v>10.199999999999999</v>
      </c>
      <c r="G90" s="384">
        <f>ROUND((G23-'17H28'!G23)/ABS('17H28'!G23)*100,1)</f>
        <v>-3.8</v>
      </c>
      <c r="H90" s="384">
        <f>ROUND((H23-'17H28'!H23)/ABS('17H28'!H23)*100,1)</f>
        <v>9.5</v>
      </c>
      <c r="I90" s="384">
        <f>ROUND((I23-'17H28'!I23)/ABS('17H28'!I23)*100,1)</f>
        <v>184.4</v>
      </c>
      <c r="J90" s="384">
        <f>ROUND((J23-'17H28'!J23)/ABS('17H28'!J23)*100,1)</f>
        <v>24.3</v>
      </c>
      <c r="K90" s="384">
        <f>ROUND((K23-'17H28'!K23)/ABS('17H28'!K23)*100,1)</f>
        <v>2.9</v>
      </c>
      <c r="L90" s="384">
        <f>ROUND((L23-'17H28'!L23)/ABS('17H28'!L23)*100,1)</f>
        <v>-7.1</v>
      </c>
      <c r="M90" s="384">
        <f>ROUND((M23-'17H28'!M23)/ABS('17H28'!M23)*100,1)</f>
        <v>5</v>
      </c>
      <c r="N90" s="384">
        <f>ROUND((N23-'17H28'!N23)/ABS('17H28'!N23)*100,1)</f>
        <v>4.9000000000000004</v>
      </c>
      <c r="O90" s="384" t="e">
        <f>ROUND((O23-'17H28'!#REF!)/ABS('17H28'!#REF!)*100,1)</f>
        <v>#REF!</v>
      </c>
      <c r="R90" s="383"/>
      <c r="S90" s="383"/>
      <c r="T90" s="383"/>
    </row>
    <row r="91" spans="1:20">
      <c r="A91" s="293">
        <v>217</v>
      </c>
      <c r="B91" s="90" t="s">
        <v>189</v>
      </c>
      <c r="C91" s="384">
        <f>ROUND((C24-'17H28'!C24)/ABS('17H28'!C24)*100,1)</f>
        <v>2.2000000000000002</v>
      </c>
      <c r="D91" s="384">
        <f>ROUND((D24-'17H28'!D24)/ABS('17H28'!D24)*100,1)</f>
        <v>1.9</v>
      </c>
      <c r="E91" s="384">
        <f>ROUND((E24-'17H28'!E24)/ABS('17H28'!E24)*100,1)</f>
        <v>-4.9000000000000004</v>
      </c>
      <c r="F91" s="384">
        <f>ROUND((F24-'17H28'!F24)/ABS('17H28'!F24)*100,1)</f>
        <v>13.1</v>
      </c>
      <c r="G91" s="384">
        <f>ROUND((G24-'17H28'!G24)/ABS('17H28'!G24)*100,1)</f>
        <v>2</v>
      </c>
      <c r="H91" s="384">
        <f>ROUND((H24-'17H28'!H24)/ABS('17H28'!H24)*100,1)</f>
        <v>11.1</v>
      </c>
      <c r="I91" s="384">
        <f>ROUND((I24-'17H28'!I24)/ABS('17H28'!I24)*100,1)</f>
        <v>186.4</v>
      </c>
      <c r="J91" s="384">
        <f>ROUND((J24-'17H28'!J24)/ABS('17H28'!J24)*100,1)</f>
        <v>83.7</v>
      </c>
      <c r="K91" s="384">
        <f>ROUND((K24-'17H28'!K24)/ABS('17H28'!K24)*100,1)</f>
        <v>5.3</v>
      </c>
      <c r="L91" s="384">
        <f>ROUND((L24-'17H28'!L24)/ABS('17H28'!L24)*100,1)</f>
        <v>-12.2</v>
      </c>
      <c r="M91" s="384">
        <f>ROUND((M24-'17H28'!M24)/ABS('17H28'!M24)*100,1)</f>
        <v>6.6</v>
      </c>
      <c r="N91" s="384">
        <f>ROUND((N24-'17H28'!N24)/ABS('17H28'!N24)*100,1)</f>
        <v>7.3</v>
      </c>
      <c r="O91" s="384" t="e">
        <f>ROUND((O24-'17H28'!#REF!)/ABS('17H28'!#REF!)*100,1)</f>
        <v>#REF!</v>
      </c>
      <c r="R91" s="383"/>
      <c r="S91" s="383"/>
      <c r="T91" s="383"/>
    </row>
    <row r="92" spans="1:20">
      <c r="A92" s="293">
        <v>219</v>
      </c>
      <c r="B92" s="90" t="s">
        <v>190</v>
      </c>
      <c r="C92" s="384">
        <f>ROUND((C25-'17H28'!C25)/ABS('17H28'!C25)*100,1)</f>
        <v>-4.3</v>
      </c>
      <c r="D92" s="384">
        <f>ROUND((D25-'17H28'!D25)/ABS('17H28'!D25)*100,1)</f>
        <v>-1.6</v>
      </c>
      <c r="E92" s="384">
        <f>ROUND((E25-'17H28'!E25)/ABS('17H28'!E25)*100,1)</f>
        <v>-8.6</v>
      </c>
      <c r="F92" s="384">
        <f>ROUND((F25-'17H28'!F25)/ABS('17H28'!F25)*100,1)</f>
        <v>-11.6</v>
      </c>
      <c r="G92" s="384">
        <f>ROUND((G25-'17H28'!G25)/ABS('17H28'!G25)*100,1)</f>
        <v>-30.7</v>
      </c>
      <c r="H92" s="384">
        <f>ROUND((H25-'17H28'!H25)/ABS('17H28'!H25)*100,1)</f>
        <v>-10.6</v>
      </c>
      <c r="I92" s="384">
        <f>ROUND((I25-'17H28'!I25)/ABS('17H28'!I25)*100,1)</f>
        <v>177.2</v>
      </c>
      <c r="J92" s="384">
        <f>ROUND((J25-'17H28'!J25)/ABS('17H28'!J25)*100,1)</f>
        <v>-29</v>
      </c>
      <c r="K92" s="384">
        <f>ROUND((K25-'17H28'!K25)/ABS('17H28'!K25)*100,1)</f>
        <v>-5.9</v>
      </c>
      <c r="L92" s="384">
        <f>ROUND((L25-'17H28'!L25)/ABS('17H28'!L25)*100,1)</f>
        <v>0.9</v>
      </c>
      <c r="M92" s="384">
        <f>ROUND((M25-'17H28'!M25)/ABS('17H28'!M25)*100,1)</f>
        <v>1</v>
      </c>
      <c r="N92" s="384">
        <f>ROUND((N25-'17H28'!N25)/ABS('17H28'!N25)*100,1)</f>
        <v>-4.0999999999999996</v>
      </c>
      <c r="O92" s="384" t="e">
        <f>ROUND((O25-'17H28'!#REF!)/ABS('17H28'!#REF!)*100,1)</f>
        <v>#REF!</v>
      </c>
      <c r="R92" s="383"/>
      <c r="S92" s="383"/>
      <c r="T92" s="383"/>
    </row>
    <row r="93" spans="1:20">
      <c r="A93" s="293">
        <v>301</v>
      </c>
      <c r="B93" s="90" t="s">
        <v>191</v>
      </c>
      <c r="C93" s="384">
        <f>ROUND((C26-'17H28'!C26)/ABS('17H28'!C26)*100,1)</f>
        <v>3.7</v>
      </c>
      <c r="D93" s="384">
        <f>ROUND((D26-'17H28'!D26)/ABS('17H28'!D26)*100,1)</f>
        <v>3.1</v>
      </c>
      <c r="E93" s="384">
        <f>ROUND((E26-'17H28'!E26)/ABS('17H28'!E26)*100,1)</f>
        <v>-7.4</v>
      </c>
      <c r="F93" s="384">
        <f>ROUND((F26-'17H28'!F26)/ABS('17H28'!F26)*100,1)</f>
        <v>14.3</v>
      </c>
      <c r="G93" s="384">
        <f>ROUND((G26-'17H28'!G26)/ABS('17H28'!G26)*100,1)</f>
        <v>-30.8</v>
      </c>
      <c r="H93" s="384">
        <f>ROUND((H26-'17H28'!H26)/ABS('17H28'!H26)*100,1)</f>
        <v>22.5</v>
      </c>
      <c r="I93" s="384">
        <f>ROUND((I26-'17H28'!I26)/ABS('17H28'!I26)*100,1)</f>
        <v>184.3</v>
      </c>
      <c r="J93" s="384">
        <f>ROUND((J26-'17H28'!J26)/ABS('17H28'!J26)*100,1)</f>
        <v>-3.5</v>
      </c>
      <c r="K93" s="384">
        <f>ROUND((K26-'17H28'!K26)/ABS('17H28'!K26)*100,1)</f>
        <v>2.6</v>
      </c>
      <c r="L93" s="384">
        <f>ROUND((L26-'17H28'!L26)/ABS('17H28'!L26)*100,1)</f>
        <v>0.1</v>
      </c>
      <c r="M93" s="384">
        <f>ROUND((M26-'17H28'!M26)/ABS('17H28'!M26)*100,1)</f>
        <v>6.7</v>
      </c>
      <c r="N93" s="384">
        <f>ROUND((N26-'17H28'!N26)/ABS('17H28'!N26)*100,1)</f>
        <v>4.5999999999999996</v>
      </c>
      <c r="O93" s="384" t="e">
        <f>ROUND((O26-'17H28'!#REF!)/ABS('17H28'!#REF!)*100,1)</f>
        <v>#REF!</v>
      </c>
      <c r="R93" s="383"/>
      <c r="S93" s="383"/>
      <c r="T93" s="383"/>
    </row>
    <row r="94" spans="1:20">
      <c r="A94" s="293">
        <v>3</v>
      </c>
      <c r="B94" s="65" t="s">
        <v>192</v>
      </c>
      <c r="C94" s="384">
        <f>ROUND((C27-'17H28'!C27)/ABS('17H28'!C27)*100,1)</f>
        <v>0.6</v>
      </c>
      <c r="D94" s="384">
        <f>ROUND((D27-'17H28'!D27)/ABS('17H28'!D27)*100,1)</f>
        <v>2.4</v>
      </c>
      <c r="E94" s="384">
        <f>ROUND((E27-'17H28'!E27)/ABS('17H28'!E27)*100,1)</f>
        <v>-4.7</v>
      </c>
      <c r="F94" s="384">
        <f>ROUND((F27-'17H28'!F27)/ABS('17H28'!F27)*100,1)</f>
        <v>9.3000000000000007</v>
      </c>
      <c r="G94" s="384">
        <f>ROUND((G27-'17H28'!G27)/ABS('17H28'!G27)*100,1)</f>
        <v>-19.8</v>
      </c>
      <c r="H94" s="384">
        <f>ROUND((H27-'17H28'!H27)/ABS('17H28'!H27)*100,1)</f>
        <v>12.1</v>
      </c>
      <c r="I94" s="384">
        <f>ROUND((I27-'17H28'!I27)/ABS('17H28'!I27)*100,1)</f>
        <v>185.5</v>
      </c>
      <c r="J94" s="384">
        <f>ROUND((J27-'17H28'!J27)/ABS('17H28'!J27)*100,1)</f>
        <v>23.9</v>
      </c>
      <c r="K94" s="384">
        <f>ROUND((K27-'17H28'!K27)/ABS('17H28'!K27)*100,1)</f>
        <v>4.2</v>
      </c>
      <c r="L94" s="384">
        <f>ROUND((L27-'17H28'!L27)/ABS('17H28'!L27)*100,1)</f>
        <v>-42</v>
      </c>
      <c r="M94" s="384">
        <f>ROUND((M27-'17H28'!M27)/ABS('17H28'!M27)*100,1)</f>
        <v>6.2</v>
      </c>
      <c r="N94" s="384">
        <f>ROUND((N27-'17H28'!N27)/ABS('17H28'!N27)*100,1)</f>
        <v>6.2</v>
      </c>
      <c r="O94" s="384" t="e">
        <f>ROUND((O27-'17H28'!#REF!)/ABS('17H28'!#REF!)*100,1)</f>
        <v>#REF!</v>
      </c>
      <c r="R94" s="383"/>
      <c r="S94" s="383"/>
      <c r="T94" s="383"/>
    </row>
    <row r="95" spans="1:20">
      <c r="A95" s="293">
        <v>203</v>
      </c>
      <c r="B95" s="90" t="s">
        <v>193</v>
      </c>
      <c r="C95" s="384">
        <f>ROUND((C28-'17H28'!C28)/ABS('17H28'!C28)*100,1)</f>
        <v>-0.7</v>
      </c>
      <c r="D95" s="384">
        <f>ROUND((D28-'17H28'!D28)/ABS('17H28'!D28)*100,1)</f>
        <v>4.0999999999999996</v>
      </c>
      <c r="E95" s="384">
        <f>ROUND((E28-'17H28'!E28)/ABS('17H28'!E28)*100,1)</f>
        <v>-3.9</v>
      </c>
      <c r="F95" s="384">
        <f>ROUND((F28-'17H28'!F28)/ABS('17H28'!F28)*100,1)</f>
        <v>8.1</v>
      </c>
      <c r="G95" s="384">
        <f>ROUND((G28-'17H28'!G28)/ABS('17H28'!G28)*100,1)</f>
        <v>-15.1</v>
      </c>
      <c r="H95" s="384">
        <f>ROUND((H28-'17H28'!H28)/ABS('17H28'!H28)*100,1)</f>
        <v>11.1</v>
      </c>
      <c r="I95" s="384">
        <f>ROUND((I28-'17H28'!I28)/ABS('17H28'!I28)*100,1)</f>
        <v>185.2</v>
      </c>
      <c r="J95" s="384">
        <f>ROUND((J28-'17H28'!J28)/ABS('17H28'!J28)*100,1)</f>
        <v>-9.3000000000000007</v>
      </c>
      <c r="K95" s="384">
        <f>ROUND((K28-'17H28'!K28)/ABS('17H28'!K28)*100,1)</f>
        <v>3.8</v>
      </c>
      <c r="L95" s="384">
        <f>ROUND((L28-'17H28'!L28)/ABS('17H28'!L28)*100,1)</f>
        <v>-64.3</v>
      </c>
      <c r="M95" s="384">
        <f>ROUND((M28-'17H28'!M28)/ABS('17H28'!M28)*100,1)</f>
        <v>4.8</v>
      </c>
      <c r="N95" s="384">
        <f>ROUND((N28-'17H28'!N28)/ABS('17H28'!N28)*100,1)</f>
        <v>5.8</v>
      </c>
      <c r="O95" s="384" t="e">
        <f>ROUND((O28-'17H28'!#REF!)/ABS('17H28'!#REF!)*100,1)</f>
        <v>#REF!</v>
      </c>
      <c r="R95" s="383"/>
      <c r="S95" s="383"/>
      <c r="T95" s="383"/>
    </row>
    <row r="96" spans="1:20">
      <c r="A96" s="293">
        <v>210</v>
      </c>
      <c r="B96" s="90" t="s">
        <v>194</v>
      </c>
      <c r="C96" s="384">
        <f>ROUND((C29-'17H28'!C29)/ABS('17H28'!C29)*100,1)</f>
        <v>2.2000000000000002</v>
      </c>
      <c r="D96" s="384">
        <f>ROUND((D29-'17H28'!D29)/ABS('17H28'!D29)*100,1)</f>
        <v>2.2000000000000002</v>
      </c>
      <c r="E96" s="384">
        <f>ROUND((E29-'17H28'!E29)/ABS('17H28'!E29)*100,1)</f>
        <v>-3.5</v>
      </c>
      <c r="F96" s="384">
        <f>ROUND((F29-'17H28'!F29)/ABS('17H28'!F29)*100,1)</f>
        <v>5</v>
      </c>
      <c r="G96" s="384">
        <f>ROUND((G29-'17H28'!G29)/ABS('17H28'!G29)*100,1)</f>
        <v>-22.5</v>
      </c>
      <c r="H96" s="384">
        <f>ROUND((H29-'17H28'!H29)/ABS('17H28'!H29)*100,1)</f>
        <v>7.1</v>
      </c>
      <c r="I96" s="384">
        <f>ROUND((I29-'17H28'!I29)/ABS('17H28'!I29)*100,1)</f>
        <v>184.8</v>
      </c>
      <c r="J96" s="384">
        <f>ROUND((J29-'17H28'!J29)/ABS('17H28'!J29)*100,1)</f>
        <v>49.9</v>
      </c>
      <c r="K96" s="384">
        <f>ROUND((K29-'17H28'!K29)/ABS('17H28'!K29)*100,1)</f>
        <v>3.3</v>
      </c>
      <c r="L96" s="384">
        <f>ROUND((L29-'17H28'!L29)/ABS('17H28'!L29)*100,1)</f>
        <v>-11.1</v>
      </c>
      <c r="M96" s="384">
        <f>ROUND((M29-'17H28'!M29)/ABS('17H28'!M29)*100,1)</f>
        <v>7.6</v>
      </c>
      <c r="N96" s="384">
        <f>ROUND((N29-'17H28'!N29)/ABS('17H28'!N29)*100,1)</f>
        <v>5.3</v>
      </c>
      <c r="O96" s="384" t="e">
        <f>ROUND((O29-'17H28'!#REF!)/ABS('17H28'!#REF!)*100,1)</f>
        <v>#REF!</v>
      </c>
      <c r="R96" s="383"/>
      <c r="S96" s="383"/>
      <c r="T96" s="383"/>
    </row>
    <row r="97" spans="1:20">
      <c r="A97" s="293">
        <v>216</v>
      </c>
      <c r="B97" s="90" t="s">
        <v>195</v>
      </c>
      <c r="C97" s="384">
        <f>ROUND((C30-'17H28'!C30)/ABS('17H28'!C30)*100,1)</f>
        <v>-1.5</v>
      </c>
      <c r="D97" s="384">
        <f>ROUND((D30-'17H28'!D30)/ABS('17H28'!D30)*100,1)</f>
        <v>-2.8</v>
      </c>
      <c r="E97" s="384">
        <f>ROUND((E30-'17H28'!E30)/ABS('17H28'!E30)*100,1)</f>
        <v>-9.9</v>
      </c>
      <c r="F97" s="384">
        <f>ROUND((F30-'17H28'!F30)/ABS('17H28'!F30)*100,1)</f>
        <v>8.6</v>
      </c>
      <c r="G97" s="384">
        <f>ROUND((G30-'17H28'!G30)/ABS('17H28'!G30)*100,1)</f>
        <v>-30.4</v>
      </c>
      <c r="H97" s="384">
        <f>ROUND((H30-'17H28'!H30)/ABS('17H28'!H30)*100,1)</f>
        <v>11</v>
      </c>
      <c r="I97" s="384">
        <f>ROUND((I30-'17H28'!I30)/ABS('17H28'!I30)*100,1)</f>
        <v>183.7</v>
      </c>
      <c r="J97" s="384">
        <f>ROUND((J30-'17H28'!J30)/ABS('17H28'!J30)*100,1)</f>
        <v>60.2</v>
      </c>
      <c r="K97" s="384">
        <f>ROUND((K30-'17H28'!K30)/ABS('17H28'!K30)*100,1)</f>
        <v>1.9</v>
      </c>
      <c r="L97" s="384">
        <f>ROUND((L30-'17H28'!L30)/ABS('17H28'!L30)*100,1)</f>
        <v>-10</v>
      </c>
      <c r="M97" s="384">
        <f>ROUND((M30-'17H28'!M30)/ABS('17H28'!M30)*100,1)</f>
        <v>4.2</v>
      </c>
      <c r="N97" s="384">
        <f>ROUND((N30-'17H28'!N30)/ABS('17H28'!N30)*100,1)</f>
        <v>3.9</v>
      </c>
      <c r="O97" s="384" t="e">
        <f>ROUND((O30-'17H28'!#REF!)/ABS('17H28'!#REF!)*100,1)</f>
        <v>#REF!</v>
      </c>
      <c r="R97" s="383"/>
      <c r="S97" s="383"/>
      <c r="T97" s="383"/>
    </row>
    <row r="98" spans="1:20">
      <c r="A98" s="293">
        <v>381</v>
      </c>
      <c r="B98" s="90" t="s">
        <v>196</v>
      </c>
      <c r="C98" s="384">
        <f>ROUND((C31-'17H28'!C31)/ABS('17H28'!C31)*100,1)</f>
        <v>3.4</v>
      </c>
      <c r="D98" s="384">
        <f>ROUND((D31-'17H28'!D31)/ABS('17H28'!D31)*100,1)</f>
        <v>2.6</v>
      </c>
      <c r="E98" s="384">
        <f>ROUND((E31-'17H28'!E31)/ABS('17H28'!E31)*100,1)</f>
        <v>-3.9</v>
      </c>
      <c r="F98" s="384">
        <f>ROUND((F31-'17H28'!F31)/ABS('17H28'!F31)*100,1)</f>
        <v>19.5</v>
      </c>
      <c r="G98" s="384">
        <f>ROUND((G31-'17H28'!G31)/ABS('17H28'!G31)*100,1)</f>
        <v>-2.2999999999999998</v>
      </c>
      <c r="H98" s="384">
        <f>ROUND((H31-'17H28'!H31)/ABS('17H28'!H31)*100,1)</f>
        <v>20.2</v>
      </c>
      <c r="I98" s="384">
        <f>ROUND((I31-'17H28'!I31)/ABS('17H28'!I31)*100,1)</f>
        <v>188.6</v>
      </c>
      <c r="J98" s="384">
        <f>ROUND((J31-'17H28'!J31)/ABS('17H28'!J31)*100,1)</f>
        <v>125.6</v>
      </c>
      <c r="K98" s="384">
        <f>ROUND((K31-'17H28'!K31)/ABS('17H28'!K31)*100,1)</f>
        <v>8</v>
      </c>
      <c r="L98" s="384">
        <f>ROUND((L31-'17H28'!L31)/ABS('17H28'!L31)*100,1)</f>
        <v>-1.5</v>
      </c>
      <c r="M98" s="384">
        <f>ROUND((M31-'17H28'!M31)/ABS('17H28'!M31)*100,1)</f>
        <v>9.5</v>
      </c>
      <c r="N98" s="384">
        <f>ROUND((N31-'17H28'!N31)/ABS('17H28'!N31)*100,1)</f>
        <v>10.1</v>
      </c>
      <c r="O98" s="384" t="e">
        <f>ROUND((O31-'17H28'!#REF!)/ABS('17H28'!#REF!)*100,1)</f>
        <v>#REF!</v>
      </c>
      <c r="R98" s="383"/>
      <c r="S98" s="383"/>
      <c r="T98" s="383"/>
    </row>
    <row r="99" spans="1:20">
      <c r="A99" s="293">
        <v>382</v>
      </c>
      <c r="B99" s="90" t="s">
        <v>197</v>
      </c>
      <c r="C99" s="384">
        <f>ROUND((C32-'17H28'!C32)/ABS('17H28'!C32)*100,1)</f>
        <v>5.3</v>
      </c>
      <c r="D99" s="384">
        <f>ROUND((D32-'17H28'!D32)/ABS('17H28'!D32)*100,1)</f>
        <v>3</v>
      </c>
      <c r="E99" s="384">
        <f>ROUND((E32-'17H28'!E32)/ABS('17H28'!E32)*100,1)</f>
        <v>-5.6</v>
      </c>
      <c r="F99" s="384">
        <f>ROUND((F32-'17H28'!F32)/ABS('17H28'!F32)*100,1)</f>
        <v>45</v>
      </c>
      <c r="G99" s="384">
        <f>ROUND((G32-'17H28'!G32)/ABS('17H28'!G32)*100,1)</f>
        <v>-28.2</v>
      </c>
      <c r="H99" s="384">
        <f>ROUND((H32-'17H28'!H32)/ABS('17H28'!H32)*100,1)</f>
        <v>54.6</v>
      </c>
      <c r="I99" s="384">
        <f>ROUND((I32-'17H28'!I32)/ABS('17H28'!I32)*100,1)</f>
        <v>196.7</v>
      </c>
      <c r="J99" s="384">
        <f>ROUND((J32-'17H28'!J32)/ABS('17H28'!J32)*100,1)</f>
        <v>64.599999999999994</v>
      </c>
      <c r="K99" s="384">
        <f>ROUND((K32-'17H28'!K32)/ABS('17H28'!K32)*100,1)</f>
        <v>17.600000000000001</v>
      </c>
      <c r="L99" s="384">
        <f>ROUND((L32-'17H28'!L32)/ABS('17H28'!L32)*100,1)</f>
        <v>-47.8</v>
      </c>
      <c r="M99" s="384">
        <f>ROUND((M32-'17H28'!M32)/ABS('17H28'!M32)*100,1)</f>
        <v>11.1</v>
      </c>
      <c r="N99" s="384">
        <f>ROUND((N32-'17H28'!N32)/ABS('17H28'!N32)*100,1)</f>
        <v>19.899999999999999</v>
      </c>
      <c r="O99" s="384" t="e">
        <f>ROUND((O32-'17H28'!#REF!)/ABS('17H28'!#REF!)*100,1)</f>
        <v>#REF!</v>
      </c>
      <c r="R99" s="383"/>
      <c r="S99" s="383"/>
      <c r="T99" s="383"/>
    </row>
    <row r="100" spans="1:20">
      <c r="A100" s="293">
        <v>4</v>
      </c>
      <c r="B100" s="91" t="s">
        <v>198</v>
      </c>
      <c r="C100" s="384">
        <f>ROUND((C33-'17H28'!C33)/ABS('17H28'!C33)*100,1)</f>
        <v>4.0999999999999996</v>
      </c>
      <c r="D100" s="384">
        <f>ROUND((D33-'17H28'!D33)/ABS('17H28'!D33)*100,1)</f>
        <v>2</v>
      </c>
      <c r="E100" s="384">
        <f>ROUND((E33-'17H28'!E33)/ABS('17H28'!E33)*100,1)</f>
        <v>-5.2</v>
      </c>
      <c r="F100" s="384">
        <f>ROUND((F33-'17H28'!F33)/ABS('17H28'!F33)*100,1)</f>
        <v>-3</v>
      </c>
      <c r="G100" s="384">
        <f>ROUND((G33-'17H28'!G33)/ABS('17H28'!G33)*100,1)</f>
        <v>-2.8</v>
      </c>
      <c r="H100" s="384">
        <f>ROUND((H33-'17H28'!H33)/ABS('17H28'!H33)*100,1)</f>
        <v>-5.4</v>
      </c>
      <c r="I100" s="384">
        <f>ROUND((I33-'17H28'!I33)/ABS('17H28'!I33)*100,1)</f>
        <v>181.4</v>
      </c>
      <c r="J100" s="384">
        <f>ROUND((J33-'17H28'!J33)/ABS('17H28'!J33)*100,1)</f>
        <v>-9.4</v>
      </c>
      <c r="K100" s="384">
        <f>ROUND((K33-'17H28'!K33)/ABS('17H28'!K33)*100,1)</f>
        <v>-0.8</v>
      </c>
      <c r="L100" s="384">
        <f>ROUND((L33-'17H28'!L33)/ABS('17H28'!L33)*100,1)</f>
        <v>19.2</v>
      </c>
      <c r="M100" s="384">
        <f>ROUND((M33-'17H28'!M33)/ABS('17H28'!M33)*100,1)</f>
        <v>9.6</v>
      </c>
      <c r="N100" s="384">
        <f>ROUND((N33-'17H28'!N33)/ABS('17H28'!N33)*100,1)</f>
        <v>1.1000000000000001</v>
      </c>
      <c r="O100" s="384" t="e">
        <f>ROUND((O33-'17H28'!#REF!)/ABS('17H28'!#REF!)*100,1)</f>
        <v>#REF!</v>
      </c>
      <c r="R100" s="383"/>
      <c r="S100" s="383"/>
      <c r="T100" s="383"/>
    </row>
    <row r="101" spans="1:20">
      <c r="A101" s="293">
        <v>213</v>
      </c>
      <c r="B101" s="92" t="s">
        <v>231</v>
      </c>
      <c r="C101" s="384">
        <f>ROUND((C34-'17H28'!C34)/ABS('17H28'!C34)*100,1)</f>
        <v>-0.3</v>
      </c>
      <c r="D101" s="384">
        <f>ROUND((D34-'17H28'!D34)/ABS('17H28'!D34)*100,1)</f>
        <v>2.4</v>
      </c>
      <c r="E101" s="384">
        <f>ROUND((E34-'17H28'!E34)/ABS('17H28'!E34)*100,1)</f>
        <v>-5.7</v>
      </c>
      <c r="F101" s="384">
        <f>ROUND((F34-'17H28'!F34)/ABS('17H28'!F34)*100,1)</f>
        <v>-4.9000000000000004</v>
      </c>
      <c r="G101" s="384">
        <f>ROUND((G34-'17H28'!G34)/ABS('17H28'!G34)*100,1)</f>
        <v>12.4</v>
      </c>
      <c r="H101" s="384">
        <f>ROUND((H34-'17H28'!H34)/ABS('17H28'!H34)*100,1)</f>
        <v>-10.7</v>
      </c>
      <c r="I101" s="384">
        <f>ROUND((I34-'17H28'!I34)/ABS('17H28'!I34)*100,1)</f>
        <v>180.3</v>
      </c>
      <c r="J101" s="384">
        <f>ROUND((J34-'17H28'!J34)/ABS('17H28'!J34)*100,1)</f>
        <v>-43.7</v>
      </c>
      <c r="K101" s="384">
        <f>ROUND((K34-'17H28'!K34)/ABS('17H28'!K34)*100,1)</f>
        <v>-2.2000000000000002</v>
      </c>
      <c r="L101" s="384">
        <f>ROUND((L34-'17H28'!L34)/ABS('17H28'!L34)*100,1)</f>
        <v>13.2</v>
      </c>
      <c r="M101" s="384">
        <f>ROUND((M34-'17H28'!M34)/ABS('17H28'!M34)*100,1)</f>
        <v>4.9000000000000004</v>
      </c>
      <c r="N101" s="384">
        <f>ROUND((N34-'17H28'!N34)/ABS('17H28'!N34)*100,1)</f>
        <v>-0.3</v>
      </c>
      <c r="O101" s="384" t="e">
        <f>ROUND((O34-'17H28'!#REF!)/ABS('17H28'!#REF!)*100,1)</f>
        <v>#REF!</v>
      </c>
      <c r="R101" s="383"/>
      <c r="S101" s="383"/>
      <c r="T101" s="383"/>
    </row>
    <row r="102" spans="1:20">
      <c r="A102" s="293">
        <v>215</v>
      </c>
      <c r="B102" s="92" t="s">
        <v>232</v>
      </c>
      <c r="C102" s="384">
        <f>ROUND((C35-'17H28'!C35)/ABS('17H28'!C35)*100,1)</f>
        <v>2.8</v>
      </c>
      <c r="D102" s="384">
        <f>ROUND((D35-'17H28'!D35)/ABS('17H28'!D35)*100,1)</f>
        <v>-1.4</v>
      </c>
      <c r="E102" s="384">
        <f>ROUND((E35-'17H28'!E35)/ABS('17H28'!E35)*100,1)</f>
        <v>-4.8</v>
      </c>
      <c r="F102" s="384">
        <f>ROUND((F35-'17H28'!F35)/ABS('17H28'!F35)*100,1)</f>
        <v>1.7</v>
      </c>
      <c r="G102" s="384">
        <f>ROUND((G35-'17H28'!G35)/ABS('17H28'!G35)*100,1)</f>
        <v>-17.8</v>
      </c>
      <c r="H102" s="384">
        <f>ROUND((H35-'17H28'!H35)/ABS('17H28'!H35)*100,1)</f>
        <v>4.3</v>
      </c>
      <c r="I102" s="384">
        <f>ROUND((I35-'17H28'!I35)/ABS('17H28'!I35)*100,1)</f>
        <v>181.5</v>
      </c>
      <c r="J102" s="384">
        <f>ROUND((J35-'17H28'!J35)/ABS('17H28'!J35)*100,1)</f>
        <v>12.1</v>
      </c>
      <c r="K102" s="384">
        <f>ROUND((K35-'17H28'!K35)/ABS('17H28'!K35)*100,1)</f>
        <v>-0.7</v>
      </c>
      <c r="L102" s="384">
        <f>ROUND((L35-'17H28'!L35)/ABS('17H28'!L35)*100,1)</f>
        <v>26.5</v>
      </c>
      <c r="M102" s="384">
        <f>ROUND((M35-'17H28'!M35)/ABS('17H28'!M35)*100,1)</f>
        <v>7.9</v>
      </c>
      <c r="N102" s="384">
        <f>ROUND((N35-'17H28'!N35)/ABS('17H28'!N35)*100,1)</f>
        <v>1.2</v>
      </c>
      <c r="O102" s="384" t="e">
        <f>ROUND((O35-'17H28'!#REF!)/ABS('17H28'!#REF!)*100,1)</f>
        <v>#REF!</v>
      </c>
      <c r="R102" s="383"/>
      <c r="S102" s="383"/>
      <c r="T102" s="383"/>
    </row>
    <row r="103" spans="1:20">
      <c r="A103" s="293">
        <v>218</v>
      </c>
      <c r="B103" s="90" t="s">
        <v>200</v>
      </c>
      <c r="C103" s="384">
        <f>ROUND((C36-'17H28'!C36)/ABS('17H28'!C36)*100,1)</f>
        <v>3.4</v>
      </c>
      <c r="D103" s="384">
        <f>ROUND((D36-'17H28'!D36)/ABS('17H28'!D36)*100,1)</f>
        <v>4.0999999999999996</v>
      </c>
      <c r="E103" s="384">
        <f>ROUND((E36-'17H28'!E36)/ABS('17H28'!E36)*100,1)</f>
        <v>-2.2000000000000002</v>
      </c>
      <c r="F103" s="384">
        <f>ROUND((F36-'17H28'!F36)/ABS('17H28'!F36)*100,1)</f>
        <v>-36.200000000000003</v>
      </c>
      <c r="G103" s="384">
        <f>ROUND((G36-'17H28'!G36)/ABS('17H28'!G36)*100,1)</f>
        <v>24.4</v>
      </c>
      <c r="H103" s="384">
        <f>ROUND((H36-'17H28'!H36)/ABS('17H28'!H36)*100,1)</f>
        <v>-42.2</v>
      </c>
      <c r="I103" s="384">
        <f>ROUND((I36-'17H28'!I36)/ABS('17H28'!I36)*100,1)</f>
        <v>172.7</v>
      </c>
      <c r="J103" s="384">
        <f>ROUND((J36-'17H28'!J36)/ABS('17H28'!J36)*100,1)</f>
        <v>18.5</v>
      </c>
      <c r="K103" s="384">
        <f>ROUND((K36-'17H28'!K36)/ABS('17H28'!K36)*100,1)</f>
        <v>-11.4</v>
      </c>
      <c r="L103" s="384">
        <f>ROUND((L36-'17H28'!L36)/ABS('17H28'!L36)*100,1)</f>
        <v>47.8</v>
      </c>
      <c r="M103" s="384">
        <f>ROUND((M36-'17H28'!M36)/ABS('17H28'!M36)*100,1)</f>
        <v>9.3000000000000007</v>
      </c>
      <c r="N103" s="384">
        <f>ROUND((N36-'17H28'!N36)/ABS('17H28'!N36)*100,1)</f>
        <v>-9.6999999999999993</v>
      </c>
      <c r="O103" s="384" t="e">
        <f>ROUND((O36-'17H28'!#REF!)/ABS('17H28'!#REF!)*100,1)</f>
        <v>#REF!</v>
      </c>
      <c r="R103" s="383"/>
      <c r="S103" s="383"/>
      <c r="T103" s="383"/>
    </row>
    <row r="104" spans="1:20">
      <c r="A104" s="293">
        <v>220</v>
      </c>
      <c r="B104" s="90" t="s">
        <v>201</v>
      </c>
      <c r="C104" s="384">
        <f>ROUND((C37-'17H28'!C37)/ABS('17H28'!C37)*100,1)</f>
        <v>9.6999999999999993</v>
      </c>
      <c r="D104" s="384">
        <f>ROUND((D37-'17H28'!D37)/ABS('17H28'!D37)*100,1)</f>
        <v>3.4</v>
      </c>
      <c r="E104" s="384">
        <f>ROUND((E37-'17H28'!E37)/ABS('17H28'!E37)*100,1)</f>
        <v>-5</v>
      </c>
      <c r="F104" s="384">
        <f>ROUND((F37-'17H28'!F37)/ABS('17H28'!F37)*100,1)</f>
        <v>8.1999999999999993</v>
      </c>
      <c r="G104" s="384">
        <f>ROUND((G37-'17H28'!G37)/ABS('17H28'!G37)*100,1)</f>
        <v>-3.3</v>
      </c>
      <c r="H104" s="384">
        <f>ROUND((H37-'17H28'!H37)/ABS('17H28'!H37)*100,1)</f>
        <v>7.7</v>
      </c>
      <c r="I104" s="384">
        <f>ROUND((I37-'17H28'!I37)/ABS('17H28'!I37)*100,1)</f>
        <v>182.8</v>
      </c>
      <c r="J104" s="384">
        <f>ROUND((J37-'17H28'!J37)/ABS('17H28'!J37)*100,1)</f>
        <v>-46.3</v>
      </c>
      <c r="K104" s="384">
        <f>ROUND((K37-'17H28'!K37)/ABS('17H28'!K37)*100,1)</f>
        <v>0.8</v>
      </c>
      <c r="L104" s="384">
        <f>ROUND((L37-'17H28'!L37)/ABS('17H28'!L37)*100,1)</f>
        <v>30.7</v>
      </c>
      <c r="M104" s="384">
        <f>ROUND((M37-'17H28'!M37)/ABS('17H28'!M37)*100,1)</f>
        <v>15.5</v>
      </c>
      <c r="N104" s="384">
        <f>ROUND((N37-'17H28'!N37)/ABS('17H28'!N37)*100,1)</f>
        <v>2.8</v>
      </c>
      <c r="O104" s="384" t="e">
        <f>ROUND((O37-'17H28'!#REF!)/ABS('17H28'!#REF!)*100,1)</f>
        <v>#REF!</v>
      </c>
      <c r="R104" s="383"/>
      <c r="S104" s="383"/>
      <c r="T104" s="383"/>
    </row>
    <row r="105" spans="1:20">
      <c r="A105" s="293">
        <v>228</v>
      </c>
      <c r="B105" s="90" t="s">
        <v>239</v>
      </c>
      <c r="C105" s="384">
        <f>ROUND((C38-'17H28'!C38)/ABS('17H28'!C38)*100,1)</f>
        <v>4.7</v>
      </c>
      <c r="D105" s="384">
        <f>ROUND((D38-'17H28'!D38)/ABS('17H28'!D38)*100,1)</f>
        <v>4.5999999999999996</v>
      </c>
      <c r="E105" s="384">
        <f>ROUND((E38-'17H28'!E38)/ABS('17H28'!E38)*100,1)</f>
        <v>-7.4</v>
      </c>
      <c r="F105" s="384">
        <f>ROUND((F38-'17H28'!F38)/ABS('17H28'!F38)*100,1)</f>
        <v>36.9</v>
      </c>
      <c r="G105" s="384">
        <f>ROUND((G38-'17H28'!G38)/ABS('17H28'!G38)*100,1)</f>
        <v>-1.1000000000000001</v>
      </c>
      <c r="H105" s="384">
        <f>ROUND((H38-'17H28'!H38)/ABS('17H28'!H38)*100,1)</f>
        <v>42.3</v>
      </c>
      <c r="I105" s="384">
        <f>ROUND((I38-'17H28'!I38)/ABS('17H28'!I38)*100,1)</f>
        <v>192</v>
      </c>
      <c r="J105" s="384">
        <f>ROUND((J38-'17H28'!J38)/ABS('17H28'!J38)*100,1)</f>
        <v>10.199999999999999</v>
      </c>
      <c r="K105" s="384">
        <f>ROUND((K38-'17H28'!K38)/ABS('17H28'!K38)*100,1)</f>
        <v>12</v>
      </c>
      <c r="L105" s="384">
        <f>ROUND((L38-'17H28'!L38)/ABS('17H28'!L38)*100,1)</f>
        <v>-4.4000000000000004</v>
      </c>
      <c r="M105" s="384">
        <f>ROUND((M38-'17H28'!M38)/ABS('17H28'!M38)*100,1)</f>
        <v>10.5</v>
      </c>
      <c r="N105" s="384">
        <f>ROUND((N38-'17H28'!N38)/ABS('17H28'!N38)*100,1)</f>
        <v>14.1</v>
      </c>
      <c r="O105" s="384" t="e">
        <f>ROUND((O38-'17H28'!#REF!)/ABS('17H28'!#REF!)*100,1)</f>
        <v>#REF!</v>
      </c>
      <c r="R105" s="383"/>
      <c r="S105" s="383"/>
      <c r="T105" s="383"/>
    </row>
    <row r="106" spans="1:20">
      <c r="A106" s="293">
        <v>365</v>
      </c>
      <c r="B106" s="90" t="s">
        <v>233</v>
      </c>
      <c r="C106" s="384">
        <f>ROUND((C39-'17H28'!C39)/ABS('17H28'!C39)*100,1)</f>
        <v>1.4</v>
      </c>
      <c r="D106" s="384">
        <f>ROUND((D39-'17H28'!D39)/ABS('17H28'!D39)*100,1)</f>
        <v>1.8</v>
      </c>
      <c r="E106" s="384">
        <f>ROUND((E39-'17H28'!E39)/ABS('17H28'!E39)*100,1)</f>
        <v>-6.9</v>
      </c>
      <c r="F106" s="384">
        <f>ROUND((F39-'17H28'!F39)/ABS('17H28'!F39)*100,1)</f>
        <v>1</v>
      </c>
      <c r="G106" s="384">
        <f>ROUND((G39-'17H28'!G39)/ABS('17H28'!G39)*100,1)</f>
        <v>-14.8</v>
      </c>
      <c r="H106" s="384">
        <f>ROUND((H39-'17H28'!H39)/ABS('17H28'!H39)*100,1)</f>
        <v>-0.9</v>
      </c>
      <c r="I106" s="384">
        <f>ROUND((I39-'17H28'!I39)/ABS('17H28'!I39)*100,1)</f>
        <v>181.6</v>
      </c>
      <c r="J106" s="384">
        <f>ROUND((J39-'17H28'!J39)/ABS('17H28'!J39)*100,1)</f>
        <v>-4.0999999999999996</v>
      </c>
      <c r="K106" s="384">
        <f>ROUND((K39-'17H28'!K39)/ABS('17H28'!K39)*100,1)</f>
        <v>-0.6</v>
      </c>
      <c r="L106" s="384">
        <f>ROUND((L39-'17H28'!L39)/ABS('17H28'!L39)*100,1)</f>
        <v>51.1</v>
      </c>
      <c r="M106" s="384">
        <f>ROUND((M39-'17H28'!M39)/ABS('17H28'!M39)*100,1)</f>
        <v>5.3</v>
      </c>
      <c r="N106" s="384">
        <f>ROUND((N39-'17H28'!N39)/ABS('17H28'!N39)*100,1)</f>
        <v>1.3</v>
      </c>
      <c r="O106" s="384" t="e">
        <f>ROUND((O39-'17H28'!#REF!)/ABS('17H28'!#REF!)*100,1)</f>
        <v>#REF!</v>
      </c>
      <c r="R106" s="383"/>
      <c r="S106" s="383"/>
      <c r="T106" s="383"/>
    </row>
    <row r="107" spans="1:20">
      <c r="A107" s="293">
        <v>5</v>
      </c>
      <c r="B107" s="91" t="s">
        <v>202</v>
      </c>
      <c r="C107" s="384">
        <f>ROUND((C40-'17H28'!C40)/ABS('17H28'!C40)*100,1)</f>
        <v>0.3</v>
      </c>
      <c r="D107" s="384">
        <f>ROUND((D40-'17H28'!D40)/ABS('17H28'!D40)*100,1)</f>
        <v>1.8</v>
      </c>
      <c r="E107" s="384">
        <f>ROUND((E40-'17H28'!E40)/ABS('17H28'!E40)*100,1)</f>
        <v>-3.8</v>
      </c>
      <c r="F107" s="384">
        <f>ROUND((F40-'17H28'!F40)/ABS('17H28'!F40)*100,1)</f>
        <v>0.6</v>
      </c>
      <c r="G107" s="384">
        <f>ROUND((G40-'17H28'!G40)/ABS('17H28'!G40)*100,1)</f>
        <v>-16.8</v>
      </c>
      <c r="H107" s="384">
        <f>ROUND((H40-'17H28'!H40)/ABS('17H28'!H40)*100,1)</f>
        <v>2</v>
      </c>
      <c r="I107" s="384">
        <f>ROUND((I40-'17H28'!I40)/ABS('17H28'!I40)*100,1)</f>
        <v>183.2</v>
      </c>
      <c r="J107" s="384">
        <f>ROUND((J40-'17H28'!J40)/ABS('17H28'!J40)*100,1)</f>
        <v>15.2</v>
      </c>
      <c r="K107" s="384">
        <f>ROUND((K40-'17H28'!K40)/ABS('17H28'!K40)*100,1)</f>
        <v>1.4</v>
      </c>
      <c r="L107" s="384">
        <f>ROUND((L40-'17H28'!L40)/ABS('17H28'!L40)*100,1)</f>
        <v>-5</v>
      </c>
      <c r="M107" s="384">
        <f>ROUND((M40-'17H28'!M40)/ABS('17H28'!M40)*100,1)</f>
        <v>6</v>
      </c>
      <c r="N107" s="384">
        <f>ROUND((N40-'17H28'!N40)/ABS('17H28'!N40)*100,1)</f>
        <v>3.4</v>
      </c>
      <c r="O107" s="384" t="e">
        <f>ROUND((O40-'17H28'!#REF!)/ABS('17H28'!#REF!)*100,1)</f>
        <v>#REF!</v>
      </c>
      <c r="R107" s="383"/>
      <c r="S107" s="383"/>
      <c r="T107" s="383"/>
    </row>
    <row r="108" spans="1:20">
      <c r="A108" s="293">
        <v>201</v>
      </c>
      <c r="B108" s="92" t="s">
        <v>240</v>
      </c>
      <c r="C108" s="384">
        <f>ROUND((C41-'17H28'!C41)/ABS('17H28'!C41)*100,1)</f>
        <v>0</v>
      </c>
      <c r="D108" s="384">
        <f>ROUND((D41-'17H28'!D41)/ABS('17H28'!D41)*100,1)</f>
        <v>1.6</v>
      </c>
      <c r="E108" s="384">
        <f>ROUND((E41-'17H28'!E41)/ABS('17H28'!E41)*100,1)</f>
        <v>-3.9</v>
      </c>
      <c r="F108" s="384">
        <f>ROUND((F41-'17H28'!F41)/ABS('17H28'!F41)*100,1)</f>
        <v>-0.2</v>
      </c>
      <c r="G108" s="384">
        <f>ROUND((G41-'17H28'!G41)/ABS('17H28'!G41)*100,1)</f>
        <v>-17</v>
      </c>
      <c r="H108" s="384">
        <f>ROUND((H41-'17H28'!H41)/ABS('17H28'!H41)*100,1)</f>
        <v>1.3</v>
      </c>
      <c r="I108" s="384">
        <f>ROUND((I41-'17H28'!I41)/ABS('17H28'!I41)*100,1)</f>
        <v>182.8</v>
      </c>
      <c r="J108" s="384">
        <f>ROUND((J41-'17H28'!J41)/ABS('17H28'!J41)*100,1)</f>
        <v>10.8</v>
      </c>
      <c r="K108" s="384">
        <f>ROUND((K41-'17H28'!K41)/ABS('17H28'!K41)*100,1)</f>
        <v>0.9</v>
      </c>
      <c r="L108" s="384">
        <f>ROUND((L41-'17H28'!L41)/ABS('17H28'!L41)*100,1)</f>
        <v>-5.3</v>
      </c>
      <c r="M108" s="384">
        <f>ROUND((M41-'17H28'!M41)/ABS('17H28'!M41)*100,1)</f>
        <v>5.7</v>
      </c>
      <c r="N108" s="384">
        <f>ROUND((N41-'17H28'!N41)/ABS('17H28'!N41)*100,1)</f>
        <v>2.9</v>
      </c>
      <c r="O108" s="384" t="e">
        <f>ROUND((O41-'17H28'!#REF!)/ABS('17H28'!#REF!)*100,1)</f>
        <v>#REF!</v>
      </c>
      <c r="R108" s="383"/>
      <c r="S108" s="383"/>
      <c r="T108" s="383"/>
    </row>
    <row r="109" spans="1:20">
      <c r="A109" s="293">
        <v>442</v>
      </c>
      <c r="B109" s="90" t="s">
        <v>203</v>
      </c>
      <c r="C109" s="384">
        <f>ROUND((C42-'17H28'!C42)/ABS('17H28'!C42)*100,1)</f>
        <v>0.2</v>
      </c>
      <c r="D109" s="384">
        <f>ROUND((D42-'17H28'!D42)/ABS('17H28'!D42)*100,1)</f>
        <v>3.3</v>
      </c>
      <c r="E109" s="384">
        <f>ROUND((E42-'17H28'!E42)/ABS('17H28'!E42)*100,1)</f>
        <v>-2.5</v>
      </c>
      <c r="F109" s="384">
        <f>ROUND((F42-'17H28'!F42)/ABS('17H28'!F42)*100,1)</f>
        <v>28.8</v>
      </c>
      <c r="G109" s="384">
        <f>ROUND((G42-'17H28'!G42)/ABS('17H28'!G42)*100,1)</f>
        <v>-10</v>
      </c>
      <c r="H109" s="384">
        <f>ROUND((H42-'17H28'!H42)/ABS('17H28'!H42)*100,1)</f>
        <v>28.1</v>
      </c>
      <c r="I109" s="384">
        <f>ROUND((I42-'17H28'!I42)/ABS('17H28'!I42)*100,1)</f>
        <v>191.2</v>
      </c>
      <c r="J109" s="384">
        <f>ROUND((J42-'17H28'!J42)/ABS('17H28'!J42)*100,1)</f>
        <v>156.6</v>
      </c>
      <c r="K109" s="384">
        <f>ROUND((K42-'17H28'!K42)/ABS('17H28'!K42)*100,1)</f>
        <v>10.4</v>
      </c>
      <c r="L109" s="384">
        <f>ROUND((L42-'17H28'!L42)/ABS('17H28'!L42)*100,1)</f>
        <v>-1733.6</v>
      </c>
      <c r="M109" s="384">
        <f>ROUND((M42-'17H28'!M42)/ABS('17H28'!M42)*100,1)</f>
        <v>4.7</v>
      </c>
      <c r="N109" s="384">
        <f>ROUND((N42-'17H28'!N42)/ABS('17H28'!N42)*100,1)</f>
        <v>12.5</v>
      </c>
      <c r="O109" s="384" t="e">
        <f>ROUND((O42-'17H28'!#REF!)/ABS('17H28'!#REF!)*100,1)</f>
        <v>#REF!</v>
      </c>
      <c r="R109" s="383"/>
      <c r="S109" s="383"/>
      <c r="T109" s="383"/>
    </row>
    <row r="110" spans="1:20">
      <c r="A110" s="293">
        <v>443</v>
      </c>
      <c r="B110" s="90" t="s">
        <v>204</v>
      </c>
      <c r="C110" s="384">
        <f>ROUND((C43-'17H28'!C43)/ABS('17H28'!C43)*100,1)</f>
        <v>3.8</v>
      </c>
      <c r="D110" s="384">
        <f>ROUND((D43-'17H28'!D43)/ABS('17H28'!D43)*100,1)</f>
        <v>5.4</v>
      </c>
      <c r="E110" s="384">
        <f>ROUND((E43-'17H28'!E43)/ABS('17H28'!E43)*100,1)</f>
        <v>-4.9000000000000004</v>
      </c>
      <c r="F110" s="384">
        <f>ROUND((F43-'17H28'!F43)/ABS('17H28'!F43)*100,1)</f>
        <v>4.4000000000000004</v>
      </c>
      <c r="G110" s="384">
        <f>ROUND((G43-'17H28'!G43)/ABS('17H28'!G43)*100,1)</f>
        <v>-13.8</v>
      </c>
      <c r="H110" s="384">
        <f>ROUND((H43-'17H28'!H43)/ABS('17H28'!H43)*100,1)</f>
        <v>4.2</v>
      </c>
      <c r="I110" s="384">
        <f>ROUND((I43-'17H28'!I43)/ABS('17H28'!I43)*100,1)</f>
        <v>184.8</v>
      </c>
      <c r="J110" s="384">
        <f>ROUND((J43-'17H28'!J43)/ABS('17H28'!J43)*100,1)</f>
        <v>-4.8</v>
      </c>
      <c r="K110" s="384">
        <f>ROUND((K43-'17H28'!K43)/ABS('17H28'!K43)*100,1)</f>
        <v>3.2</v>
      </c>
      <c r="L110" s="384">
        <f>ROUND((L43-'17H28'!L43)/ABS('17H28'!L43)*100,1)</f>
        <v>4.2</v>
      </c>
      <c r="M110" s="384">
        <f>ROUND((M43-'17H28'!M43)/ABS('17H28'!M43)*100,1)</f>
        <v>10</v>
      </c>
      <c r="N110" s="384">
        <f>ROUND((N43-'17H28'!N43)/ABS('17H28'!N43)*100,1)</f>
        <v>5.2</v>
      </c>
      <c r="O110" s="384" t="e">
        <f>ROUND((O43-'17H28'!#REF!)/ABS('17H28'!#REF!)*100,1)</f>
        <v>#REF!</v>
      </c>
      <c r="R110" s="383"/>
      <c r="S110" s="383"/>
      <c r="T110" s="383"/>
    </row>
    <row r="111" spans="1:20">
      <c r="A111" s="293">
        <v>446</v>
      </c>
      <c r="B111" s="90" t="s">
        <v>234</v>
      </c>
      <c r="C111" s="384">
        <f>ROUND((C44-'17H28'!C44)/ABS('17H28'!C44)*100,1)</f>
        <v>3.4</v>
      </c>
      <c r="D111" s="384">
        <f>ROUND((D44-'17H28'!D44)/ABS('17H28'!D44)*100,1)</f>
        <v>2</v>
      </c>
      <c r="E111" s="384">
        <f>ROUND((E44-'17H28'!E44)/ABS('17H28'!E44)*100,1)</f>
        <v>-1.4</v>
      </c>
      <c r="F111" s="384">
        <f>ROUND((F44-'17H28'!F44)/ABS('17H28'!F44)*100,1)</f>
        <v>29.9</v>
      </c>
      <c r="G111" s="384">
        <f>ROUND((G44-'17H28'!G44)/ABS('17H28'!G44)*100,1)</f>
        <v>9.8000000000000007</v>
      </c>
      <c r="H111" s="384">
        <f>ROUND((H44-'17H28'!H44)/ABS('17H28'!H44)*100,1)</f>
        <v>26.7</v>
      </c>
      <c r="I111" s="384">
        <f>ROUND((I44-'17H28'!I44)/ABS('17H28'!I44)*100,1)</f>
        <v>194</v>
      </c>
      <c r="J111" s="384">
        <f>ROUND((J44-'17H28'!J44)/ABS('17H28'!J44)*100,1)</f>
        <v>136.5</v>
      </c>
      <c r="K111" s="384">
        <f>ROUND((K44-'17H28'!K44)/ABS('17H28'!K44)*100,1)</f>
        <v>14.6</v>
      </c>
      <c r="L111" s="384">
        <f>ROUND((L44-'17H28'!L44)/ABS('17H28'!L44)*100,1)</f>
        <v>-67.400000000000006</v>
      </c>
      <c r="M111" s="384">
        <f>ROUND((M44-'17H28'!M44)/ABS('17H28'!M44)*100,1)</f>
        <v>6.6</v>
      </c>
      <c r="N111" s="384">
        <f>ROUND((N44-'17H28'!N44)/ABS('17H28'!N44)*100,1)</f>
        <v>16.8</v>
      </c>
      <c r="O111" s="384" t="e">
        <f>ROUND((O44-'17H28'!#REF!)/ABS('17H28'!#REF!)*100,1)</f>
        <v>#REF!</v>
      </c>
      <c r="R111" s="383"/>
      <c r="S111" s="383"/>
      <c r="T111" s="383"/>
    </row>
    <row r="112" spans="1:20">
      <c r="A112" s="293">
        <v>6</v>
      </c>
      <c r="B112" s="91" t="s">
        <v>205</v>
      </c>
      <c r="C112" s="384">
        <f>ROUND((C45-'17H28'!C45)/ABS('17H28'!C45)*100,1)</f>
        <v>4.2</v>
      </c>
      <c r="D112" s="384">
        <f>ROUND((D45-'17H28'!D45)/ABS('17H28'!D45)*100,1)</f>
        <v>1.2</v>
      </c>
      <c r="E112" s="384">
        <f>ROUND((E45-'17H28'!E45)/ABS('17H28'!E45)*100,1)</f>
        <v>-6.1</v>
      </c>
      <c r="F112" s="384">
        <f>ROUND((F45-'17H28'!F45)/ABS('17H28'!F45)*100,1)</f>
        <v>-7.1</v>
      </c>
      <c r="G112" s="384">
        <f>ROUND((G45-'17H28'!G45)/ABS('17H28'!G45)*100,1)</f>
        <v>-14</v>
      </c>
      <c r="H112" s="384">
        <f>ROUND((H45-'17H28'!H45)/ABS('17H28'!H45)*100,1)</f>
        <v>-8.8000000000000007</v>
      </c>
      <c r="I112" s="384">
        <f>ROUND((I45-'17H28'!I45)/ABS('17H28'!I45)*100,1)</f>
        <v>179.4</v>
      </c>
      <c r="J112" s="384">
        <f>ROUND((J45-'17H28'!J45)/ABS('17H28'!J45)*100,1)</f>
        <v>-26.5</v>
      </c>
      <c r="K112" s="384">
        <f>ROUND((K45-'17H28'!K45)/ABS('17H28'!K45)*100,1)</f>
        <v>-3.3</v>
      </c>
      <c r="L112" s="384">
        <f>ROUND((L45-'17H28'!L45)/ABS('17H28'!L45)*100,1)</f>
        <v>58.4</v>
      </c>
      <c r="M112" s="384">
        <f>ROUND((M45-'17H28'!M45)/ABS('17H28'!M45)*100,1)</f>
        <v>9.3000000000000007</v>
      </c>
      <c r="N112" s="384">
        <f>ROUND((N45-'17H28'!N45)/ABS('17H28'!N45)*100,1)</f>
        <v>-1.5</v>
      </c>
      <c r="O112" s="384" t="e">
        <f>ROUND((O45-'17H28'!#REF!)/ABS('17H28'!#REF!)*100,1)</f>
        <v>#REF!</v>
      </c>
      <c r="R112" s="383"/>
      <c r="S112" s="383"/>
      <c r="T112" s="383"/>
    </row>
    <row r="113" spans="1:20">
      <c r="A113" s="293">
        <v>208</v>
      </c>
      <c r="B113" s="90" t="s">
        <v>206</v>
      </c>
      <c r="C113" s="384">
        <f>ROUND((C46-'17H28'!C46)/ABS('17H28'!C46)*100,1)</f>
        <v>9.3000000000000007</v>
      </c>
      <c r="D113" s="384">
        <f>ROUND((D46-'17H28'!D46)/ABS('17H28'!D46)*100,1)</f>
        <v>2.2999999999999998</v>
      </c>
      <c r="E113" s="384">
        <f>ROUND((E46-'17H28'!E46)/ABS('17H28'!E46)*100,1)</f>
        <v>-6.6</v>
      </c>
      <c r="F113" s="384">
        <f>ROUND((F46-'17H28'!F46)/ABS('17H28'!F46)*100,1)</f>
        <v>-25.2</v>
      </c>
      <c r="G113" s="384">
        <f>ROUND((G46-'17H28'!G46)/ABS('17H28'!G46)*100,1)</f>
        <v>-88.4</v>
      </c>
      <c r="H113" s="384">
        <f>ROUND((H46-'17H28'!H46)/ABS('17H28'!H46)*100,1)</f>
        <v>-18.2</v>
      </c>
      <c r="I113" s="384">
        <f>ROUND((I46-'17H28'!I46)/ABS('17H28'!I46)*100,1)</f>
        <v>174.1</v>
      </c>
      <c r="J113" s="384">
        <f>ROUND((J46-'17H28'!J46)/ABS('17H28'!J46)*100,1)</f>
        <v>-58.1</v>
      </c>
      <c r="K113" s="384">
        <f>ROUND((K46-'17H28'!K46)/ABS('17H28'!K46)*100,1)</f>
        <v>-9.8000000000000007</v>
      </c>
      <c r="L113" s="384">
        <f>ROUND((L46-'17H28'!L46)/ABS('17H28'!L46)*100,1)</f>
        <v>531.5</v>
      </c>
      <c r="M113" s="384">
        <f>ROUND((M46-'17H28'!M46)/ABS('17H28'!M46)*100,1)</f>
        <v>14.3</v>
      </c>
      <c r="N113" s="384">
        <f>ROUND((N46-'17H28'!N46)/ABS('17H28'!N46)*100,1)</f>
        <v>-8.1</v>
      </c>
      <c r="O113" s="384" t="e">
        <f>ROUND((O46-'17H28'!#REF!)/ABS('17H28'!#REF!)*100,1)</f>
        <v>#REF!</v>
      </c>
      <c r="R113" s="383"/>
      <c r="S113" s="383"/>
      <c r="T113" s="383"/>
    </row>
    <row r="114" spans="1:20">
      <c r="A114" s="293">
        <v>212</v>
      </c>
      <c r="B114" s="90" t="s">
        <v>207</v>
      </c>
      <c r="C114" s="384">
        <f>ROUND((C47-'17H28'!C47)/ABS('17H28'!C47)*100,1)</f>
        <v>3.1</v>
      </c>
      <c r="D114" s="384">
        <f>ROUND((D47-'17H28'!D47)/ABS('17H28'!D47)*100,1)</f>
        <v>2.4</v>
      </c>
      <c r="E114" s="384">
        <f>ROUND((E47-'17H28'!E47)/ABS('17H28'!E47)*100,1)</f>
        <v>-6.6</v>
      </c>
      <c r="F114" s="384">
        <f>ROUND((F47-'17H28'!F47)/ABS('17H28'!F47)*100,1)</f>
        <v>-3.1</v>
      </c>
      <c r="G114" s="384">
        <f>ROUND((G47-'17H28'!G47)/ABS('17H28'!G47)*100,1)</f>
        <v>-12.1</v>
      </c>
      <c r="H114" s="384">
        <f>ROUND((H47-'17H28'!H47)/ABS('17H28'!H47)*100,1)</f>
        <v>-4.4000000000000004</v>
      </c>
      <c r="I114" s="384">
        <f>ROUND((I47-'17H28'!I47)/ABS('17H28'!I47)*100,1)</f>
        <v>179.5</v>
      </c>
      <c r="J114" s="384">
        <f>ROUND((J47-'17H28'!J47)/ABS('17H28'!J47)*100,1)</f>
        <v>-37.4</v>
      </c>
      <c r="K114" s="384">
        <f>ROUND((K47-'17H28'!K47)/ABS('17H28'!K47)*100,1)</f>
        <v>-3.2</v>
      </c>
      <c r="L114" s="384">
        <f>ROUND((L47-'17H28'!L47)/ABS('17H28'!L47)*100,1)</f>
        <v>34.700000000000003</v>
      </c>
      <c r="M114" s="384">
        <f>ROUND((M47-'17H28'!M47)/ABS('17H28'!M47)*100,1)</f>
        <v>8.4</v>
      </c>
      <c r="N114" s="384">
        <f>ROUND((N47-'17H28'!N47)/ABS('17H28'!N47)*100,1)</f>
        <v>-1.3</v>
      </c>
      <c r="O114" s="384" t="e">
        <f>ROUND((O47-'17H28'!#REF!)/ABS('17H28'!#REF!)*100,1)</f>
        <v>#REF!</v>
      </c>
      <c r="R114" s="383"/>
      <c r="S114" s="383"/>
      <c r="T114" s="383"/>
    </row>
    <row r="115" spans="1:20">
      <c r="A115" s="293">
        <v>227</v>
      </c>
      <c r="B115" s="90" t="s">
        <v>219</v>
      </c>
      <c r="C115" s="384">
        <f>ROUND((C48-'17H28'!C48)/ABS('17H28'!C48)*100,1)</f>
        <v>-0.8</v>
      </c>
      <c r="D115" s="384">
        <f>ROUND((D48-'17H28'!D48)/ABS('17H28'!D48)*100,1)</f>
        <v>3.1</v>
      </c>
      <c r="E115" s="384">
        <f>ROUND((E48-'17H28'!E48)/ABS('17H28'!E48)*100,1)</f>
        <v>-5.8</v>
      </c>
      <c r="F115" s="384">
        <f>ROUND((F48-'17H28'!F48)/ABS('17H28'!F48)*100,1)</f>
        <v>-6</v>
      </c>
      <c r="G115" s="384">
        <f>ROUND((G48-'17H28'!G48)/ABS('17H28'!G48)*100,1)</f>
        <v>6.5</v>
      </c>
      <c r="H115" s="384">
        <f>ROUND((H48-'17H28'!H48)/ABS('17H28'!H48)*100,1)</f>
        <v>-10.7</v>
      </c>
      <c r="I115" s="384">
        <f>ROUND((I48-'17H28'!I48)/ABS('17H28'!I48)*100,1)</f>
        <v>182.2</v>
      </c>
      <c r="J115" s="384">
        <f>ROUND((J48-'17H28'!J48)/ABS('17H28'!J48)*100,1)</f>
        <v>4.2</v>
      </c>
      <c r="K115" s="384">
        <f>ROUND((K48-'17H28'!K48)/ABS('17H28'!K48)*100,1)</f>
        <v>-0.1</v>
      </c>
      <c r="L115" s="384">
        <f>ROUND((L48-'17H28'!L48)/ABS('17H28'!L48)*100,1)</f>
        <v>-36.1</v>
      </c>
      <c r="M115" s="384">
        <f>ROUND((M48-'17H28'!M48)/ABS('17H28'!M48)*100,1)</f>
        <v>3.5</v>
      </c>
      <c r="N115" s="384">
        <f>ROUND((N48-'17H28'!N48)/ABS('17H28'!N48)*100,1)</f>
        <v>1.8</v>
      </c>
      <c r="O115" s="384" t="e">
        <f>ROUND((O48-'17H28'!#REF!)/ABS('17H28'!#REF!)*100,1)</f>
        <v>#REF!</v>
      </c>
      <c r="R115" s="383"/>
      <c r="S115" s="383"/>
      <c r="T115" s="383"/>
    </row>
    <row r="116" spans="1:20">
      <c r="A116" s="293">
        <v>229</v>
      </c>
      <c r="B116" s="90" t="s">
        <v>235</v>
      </c>
      <c r="C116" s="384">
        <f>ROUND((C49-'17H28'!C49)/ABS('17H28'!C49)*100,1)</f>
        <v>2.2000000000000002</v>
      </c>
      <c r="D116" s="384">
        <f>ROUND((D49-'17H28'!D49)/ABS('17H28'!D49)*100,1)</f>
        <v>-2.1</v>
      </c>
      <c r="E116" s="384">
        <f>ROUND((E49-'17H28'!E49)/ABS('17H28'!E49)*100,1)</f>
        <v>-5.2</v>
      </c>
      <c r="F116" s="384">
        <f>ROUND((F49-'17H28'!F49)/ABS('17H28'!F49)*100,1)</f>
        <v>-19.5</v>
      </c>
      <c r="G116" s="384">
        <f>ROUND((G49-'17H28'!G49)/ABS('17H28'!G49)*100,1)</f>
        <v>14.6</v>
      </c>
      <c r="H116" s="384">
        <f>ROUND((H49-'17H28'!H49)/ABS('17H28'!H49)*100,1)</f>
        <v>-24.2</v>
      </c>
      <c r="I116" s="384">
        <f>ROUND((I49-'17H28'!I49)/ABS('17H28'!I49)*100,1)</f>
        <v>176.8</v>
      </c>
      <c r="J116" s="384">
        <f>ROUND((J49-'17H28'!J49)/ABS('17H28'!J49)*100,1)</f>
        <v>31</v>
      </c>
      <c r="K116" s="384">
        <f>ROUND((K49-'17H28'!K49)/ABS('17H28'!K49)*100,1)</f>
        <v>-6.5</v>
      </c>
      <c r="L116" s="384">
        <f>ROUND((L49-'17H28'!L49)/ABS('17H28'!L49)*100,1)</f>
        <v>25.1</v>
      </c>
      <c r="M116" s="384">
        <f>ROUND((M49-'17H28'!M49)/ABS('17H28'!M49)*100,1)</f>
        <v>7.9</v>
      </c>
      <c r="N116" s="384">
        <f>ROUND((N49-'17H28'!N49)/ABS('17H28'!N49)*100,1)</f>
        <v>-4.7</v>
      </c>
      <c r="O116" s="384" t="e">
        <f>ROUND((O49-'17H28'!#REF!)/ABS('17H28'!#REF!)*100,1)</f>
        <v>#REF!</v>
      </c>
      <c r="R116" s="383"/>
      <c r="S116" s="383"/>
      <c r="T116" s="383"/>
    </row>
    <row r="117" spans="1:20">
      <c r="A117" s="293">
        <v>464</v>
      </c>
      <c r="B117" s="90" t="s">
        <v>208</v>
      </c>
      <c r="C117" s="384">
        <f>ROUND((C50-'17H28'!C50)/ABS('17H28'!C50)*100,1)</f>
        <v>21.7</v>
      </c>
      <c r="D117" s="384">
        <f>ROUND((D50-'17H28'!D50)/ABS('17H28'!D50)*100,1)</f>
        <v>4</v>
      </c>
      <c r="E117" s="384">
        <f>ROUND((E50-'17H28'!E50)/ABS('17H28'!E50)*100,1)</f>
        <v>-4.7</v>
      </c>
      <c r="F117" s="384">
        <f>ROUND((F50-'17H28'!F50)/ABS('17H28'!F50)*100,1)</f>
        <v>31.7</v>
      </c>
      <c r="G117" s="384">
        <f>ROUND((G50-'17H28'!G50)/ABS('17H28'!G50)*100,1)</f>
        <v>1.9</v>
      </c>
      <c r="H117" s="384">
        <f>ROUND((H50-'17H28'!H50)/ABS('17H28'!H50)*100,1)</f>
        <v>33.1</v>
      </c>
      <c r="I117" s="384">
        <f>ROUND((I50-'17H28'!I50)/ABS('17H28'!I50)*100,1)</f>
        <v>184.4</v>
      </c>
      <c r="J117" s="384">
        <f>ROUND((J50-'17H28'!J50)/ABS('17H28'!J50)*100,1)</f>
        <v>-70</v>
      </c>
      <c r="K117" s="384">
        <f>ROUND((K50-'17H28'!K50)/ABS('17H28'!K50)*100,1)</f>
        <v>2.9</v>
      </c>
      <c r="L117" s="384">
        <f>ROUND((L50-'17H28'!L50)/ABS('17H28'!L50)*100,1)</f>
        <v>92.8</v>
      </c>
      <c r="M117" s="384">
        <f>ROUND((M50-'17H28'!M50)/ABS('17H28'!M50)*100,1)</f>
        <v>26.6</v>
      </c>
      <c r="N117" s="384">
        <f>ROUND((N50-'17H28'!N50)/ABS('17H28'!N50)*100,1)</f>
        <v>4.9000000000000004</v>
      </c>
      <c r="O117" s="384" t="e">
        <f>ROUND((O50-'17H28'!#REF!)/ABS('17H28'!#REF!)*100,1)</f>
        <v>#REF!</v>
      </c>
      <c r="R117" s="383"/>
      <c r="S117" s="383"/>
      <c r="T117" s="383"/>
    </row>
    <row r="118" spans="1:20">
      <c r="A118" s="293">
        <v>481</v>
      </c>
      <c r="B118" s="90" t="s">
        <v>209</v>
      </c>
      <c r="C118" s="384">
        <f>ROUND((C51-'17H28'!C51)/ABS('17H28'!C51)*100,1)</f>
        <v>-2.4</v>
      </c>
      <c r="D118" s="384">
        <f>ROUND((D51-'17H28'!D51)/ABS('17H28'!D51)*100,1)</f>
        <v>1.3</v>
      </c>
      <c r="E118" s="384">
        <f>ROUND((E51-'17H28'!E51)/ABS('17H28'!E51)*100,1)</f>
        <v>-9.1999999999999993</v>
      </c>
      <c r="F118" s="384">
        <f>ROUND((F51-'17H28'!F51)/ABS('17H28'!F51)*100,1)</f>
        <v>37.9</v>
      </c>
      <c r="G118" s="384">
        <f>ROUND((G51-'17H28'!G51)/ABS('17H28'!G51)*100,1)</f>
        <v>-21.9</v>
      </c>
      <c r="H118" s="384">
        <f>ROUND((H51-'17H28'!H51)/ABS('17H28'!H51)*100,1)</f>
        <v>37.799999999999997</v>
      </c>
      <c r="I118" s="384">
        <f>ROUND((I51-'17H28'!I51)/ABS('17H28'!I51)*100,1)</f>
        <v>188.4</v>
      </c>
      <c r="J118" s="384">
        <f>ROUND((J51-'17H28'!J51)/ABS('17H28'!J51)*100,1)</f>
        <v>50.2</v>
      </c>
      <c r="K118" s="384">
        <f>ROUND((K51-'17H28'!K51)/ABS('17H28'!K51)*100,1)</f>
        <v>7</v>
      </c>
      <c r="L118" s="384">
        <f>ROUND((L51-'17H28'!L51)/ABS('17H28'!L51)*100,1)</f>
        <v>-87.9</v>
      </c>
      <c r="M118" s="384">
        <f>ROUND((M51-'17H28'!M51)/ABS('17H28'!M51)*100,1)</f>
        <v>2</v>
      </c>
      <c r="N118" s="384">
        <f>ROUND((N51-'17H28'!N51)/ABS('17H28'!N51)*100,1)</f>
        <v>9</v>
      </c>
      <c r="O118" s="384" t="e">
        <f>ROUND((O51-'17H28'!#REF!)/ABS('17H28'!#REF!)*100,1)</f>
        <v>#REF!</v>
      </c>
      <c r="R118" s="383"/>
      <c r="S118" s="383"/>
      <c r="T118" s="383"/>
    </row>
    <row r="119" spans="1:20">
      <c r="A119" s="293">
        <v>501</v>
      </c>
      <c r="B119" s="90" t="s">
        <v>236</v>
      </c>
      <c r="C119" s="384">
        <f>ROUND((C52-'17H28'!C52)/ABS('17H28'!C52)*100,1)</f>
        <v>3</v>
      </c>
      <c r="D119" s="384">
        <f>ROUND((D52-'17H28'!D52)/ABS('17H28'!D52)*100,1)</f>
        <v>1.6</v>
      </c>
      <c r="E119" s="384">
        <f>ROUND((E52-'17H28'!E52)/ABS('17H28'!E52)*100,1)</f>
        <v>-6.1</v>
      </c>
      <c r="F119" s="384">
        <f>ROUND((F52-'17H28'!F52)/ABS('17H28'!F52)*100,1)</f>
        <v>-3.2</v>
      </c>
      <c r="G119" s="384">
        <f>ROUND((G52-'17H28'!G52)/ABS('17H28'!G52)*100,1)</f>
        <v>-28.9</v>
      </c>
      <c r="H119" s="384">
        <f>ROUND((H52-'17H28'!H52)/ABS('17H28'!H52)*100,1)</f>
        <v>-4.8</v>
      </c>
      <c r="I119" s="384">
        <f>ROUND((I52-'17H28'!I52)/ABS('17H28'!I52)*100,1)</f>
        <v>179.2</v>
      </c>
      <c r="J119" s="384">
        <f>ROUND((J52-'17H28'!J52)/ABS('17H28'!J52)*100,1)</f>
        <v>-28</v>
      </c>
      <c r="K119" s="384">
        <f>ROUND((K52-'17H28'!K52)/ABS('17H28'!K52)*100,1)</f>
        <v>-3.4</v>
      </c>
      <c r="L119" s="384">
        <f>ROUND((L52-'17H28'!L52)/ABS('17H28'!L52)*100,1)</f>
        <v>841.2</v>
      </c>
      <c r="M119" s="384">
        <f>ROUND((M52-'17H28'!M52)/ABS('17H28'!M52)*100,1)</f>
        <v>6.5</v>
      </c>
      <c r="N119" s="384">
        <f>ROUND((N52-'17H28'!N52)/ABS('17H28'!N52)*100,1)</f>
        <v>-1.5</v>
      </c>
      <c r="O119" s="384" t="e">
        <f>ROUND((O52-'17H28'!#REF!)/ABS('17H28'!#REF!)*100,1)</f>
        <v>#REF!</v>
      </c>
      <c r="R119" s="383"/>
      <c r="S119" s="383"/>
      <c r="T119" s="383"/>
    </row>
    <row r="120" spans="1:20">
      <c r="A120" s="293">
        <v>7</v>
      </c>
      <c r="B120" s="93" t="s">
        <v>210</v>
      </c>
      <c r="C120" s="384">
        <f>ROUND((C53-'17H28'!C53)/ABS('17H28'!C53)*100,1)</f>
        <v>2.2999999999999998</v>
      </c>
      <c r="D120" s="384">
        <f>ROUND((D53-'17H28'!D53)/ABS('17H28'!D53)*100,1)</f>
        <v>-0.2</v>
      </c>
      <c r="E120" s="384">
        <f>ROUND((E53-'17H28'!E53)/ABS('17H28'!E53)*100,1)</f>
        <v>-5.9</v>
      </c>
      <c r="F120" s="384">
        <f>ROUND((F53-'17H28'!F53)/ABS('17H28'!F53)*100,1)</f>
        <v>64.8</v>
      </c>
      <c r="G120" s="384">
        <f>ROUND((G53-'17H28'!G53)/ABS('17H28'!G53)*100,1)</f>
        <v>-7.5</v>
      </c>
      <c r="H120" s="384">
        <f>ROUND((H53-'17H28'!H53)/ABS('17H28'!H53)*100,1)</f>
        <v>68.099999999999994</v>
      </c>
      <c r="I120" s="384">
        <f>ROUND((I53-'17H28'!I53)/ABS('17H28'!I53)*100,1)</f>
        <v>189.3</v>
      </c>
      <c r="J120" s="384">
        <f>ROUND((J53-'17H28'!J53)/ABS('17H28'!J53)*100,1)</f>
        <v>-12.9</v>
      </c>
      <c r="K120" s="384">
        <f>ROUND((K53-'17H28'!K53)/ABS('17H28'!K53)*100,1)</f>
        <v>8.8000000000000007</v>
      </c>
      <c r="L120" s="384">
        <f>ROUND((L53-'17H28'!L53)/ABS('17H28'!L53)*100,1)</f>
        <v>-401.4</v>
      </c>
      <c r="M120" s="384">
        <f>ROUND((M53-'17H28'!M53)/ABS('17H28'!M53)*100,1)</f>
        <v>6.4</v>
      </c>
      <c r="N120" s="384">
        <f>ROUND((N53-'17H28'!N53)/ABS('17H28'!N53)*100,1)</f>
        <v>10.9</v>
      </c>
      <c r="O120" s="384" t="e">
        <f>ROUND((O53-'17H28'!#REF!)/ABS('17H28'!#REF!)*100,1)</f>
        <v>#REF!</v>
      </c>
      <c r="R120" s="383"/>
      <c r="S120" s="383"/>
      <c r="T120" s="383"/>
    </row>
    <row r="121" spans="1:20">
      <c r="A121" s="293">
        <v>209</v>
      </c>
      <c r="B121" s="90" t="s">
        <v>221</v>
      </c>
      <c r="C121" s="384">
        <f>ROUND((C54-'17H28'!C54)/ABS('17H28'!C54)*100,1)</f>
        <v>0.5</v>
      </c>
      <c r="D121" s="384">
        <f>ROUND((D54-'17H28'!D54)/ABS('17H28'!D54)*100,1)</f>
        <v>-2.2000000000000002</v>
      </c>
      <c r="E121" s="384">
        <f>ROUND((E54-'17H28'!E54)/ABS('17H28'!E54)*100,1)</f>
        <v>-6.5</v>
      </c>
      <c r="F121" s="384">
        <f>ROUND((F54-'17H28'!F54)/ABS('17H28'!F54)*100,1)</f>
        <v>-3.1</v>
      </c>
      <c r="G121" s="384">
        <f>ROUND((G54-'17H28'!G54)/ABS('17H28'!G54)*100,1)</f>
        <v>-12.3</v>
      </c>
      <c r="H121" s="384">
        <f>ROUND((H54-'17H28'!H54)/ABS('17H28'!H54)*100,1)</f>
        <v>-5.3</v>
      </c>
      <c r="I121" s="384">
        <f>ROUND((I54-'17H28'!I54)/ABS('17H28'!I54)*100,1)</f>
        <v>179.5</v>
      </c>
      <c r="J121" s="384">
        <f>ROUND((J54-'17H28'!J54)/ABS('17H28'!J54)*100,1)</f>
        <v>-2</v>
      </c>
      <c r="K121" s="384">
        <f>ROUND((K54-'17H28'!K54)/ABS('17H28'!K54)*100,1)</f>
        <v>-3.1</v>
      </c>
      <c r="L121" s="384">
        <f>ROUND((L54-'17H28'!L54)/ABS('17H28'!L54)*100,1)</f>
        <v>84</v>
      </c>
      <c r="M121" s="384">
        <f>ROUND((M54-'17H28'!M54)/ABS('17H28'!M54)*100,1)</f>
        <v>5</v>
      </c>
      <c r="N121" s="384">
        <f>ROUND((N54-'17H28'!N54)/ABS('17H28'!N54)*100,1)</f>
        <v>-1.3</v>
      </c>
      <c r="O121" s="384" t="e">
        <f>ROUND((O54-'17H28'!#REF!)/ABS('17H28'!#REF!)*100,1)</f>
        <v>#REF!</v>
      </c>
      <c r="R121" s="383"/>
      <c r="S121" s="383"/>
      <c r="T121" s="383"/>
    </row>
    <row r="122" spans="1:20">
      <c r="A122" s="293">
        <v>222</v>
      </c>
      <c r="B122" s="90" t="s">
        <v>218</v>
      </c>
      <c r="C122" s="384">
        <f>ROUND((C55-'17H28'!C55)/ABS('17H28'!C55)*100,1)</f>
        <v>2</v>
      </c>
      <c r="D122" s="384">
        <f>ROUND((D55-'17H28'!D55)/ABS('17H28'!D55)*100,1)</f>
        <v>1.7</v>
      </c>
      <c r="E122" s="384">
        <f>ROUND((E55-'17H28'!E55)/ABS('17H28'!E55)*100,1)</f>
        <v>-6.3</v>
      </c>
      <c r="F122" s="384">
        <f>ROUND((F55-'17H28'!F55)/ABS('17H28'!F55)*100,1)</f>
        <v>-1.7</v>
      </c>
      <c r="G122" s="384">
        <f>ROUND((G55-'17H28'!G55)/ABS('17H28'!G55)*100,1)</f>
        <v>-17.2</v>
      </c>
      <c r="H122" s="384">
        <f>ROUND((H55-'17H28'!H55)/ABS('17H28'!H55)*100,1)</f>
        <v>-3.3</v>
      </c>
      <c r="I122" s="384">
        <f>ROUND((I55-'17H28'!I55)/ABS('17H28'!I55)*100,1)</f>
        <v>179.6</v>
      </c>
      <c r="J122" s="384">
        <f>ROUND((J55-'17H28'!J55)/ABS('17H28'!J55)*100,1)</f>
        <v>-37.700000000000003</v>
      </c>
      <c r="K122" s="384">
        <f>ROUND((K55-'17H28'!K55)/ABS('17H28'!K55)*100,1)</f>
        <v>-3.1</v>
      </c>
      <c r="L122" s="384">
        <f>ROUND((L55-'17H28'!L55)/ABS('17H28'!L55)*100,1)</f>
        <v>96</v>
      </c>
      <c r="M122" s="384">
        <f>ROUND((M55-'17H28'!M55)/ABS('17H28'!M55)*100,1)</f>
        <v>5.8</v>
      </c>
      <c r="N122" s="384">
        <f>ROUND((N55-'17H28'!N55)/ABS('17H28'!N55)*100,1)</f>
        <v>-1.2</v>
      </c>
      <c r="O122" s="384" t="e">
        <f>ROUND((O55-'17H28'!#REF!)/ABS('17H28'!#REF!)*100,1)</f>
        <v>#REF!</v>
      </c>
      <c r="R122" s="383"/>
      <c r="S122" s="383"/>
      <c r="T122" s="383"/>
    </row>
    <row r="123" spans="1:20">
      <c r="A123" s="293">
        <v>225</v>
      </c>
      <c r="B123" s="90" t="s">
        <v>222</v>
      </c>
      <c r="C123" s="384">
        <f>ROUND((C56-'17H28'!C56)/ABS('17H28'!C56)*100,1)</f>
        <v>3.7</v>
      </c>
      <c r="D123" s="384">
        <f>ROUND((D56-'17H28'!D56)/ABS('17H28'!D56)*100,1)</f>
        <v>2.1</v>
      </c>
      <c r="E123" s="384">
        <f>ROUND((E56-'17H28'!E56)/ABS('17H28'!E56)*100,1)</f>
        <v>-7.2</v>
      </c>
      <c r="F123" s="384">
        <f>ROUND((F56-'17H28'!F56)/ABS('17H28'!F56)*100,1)</f>
        <v>270.3</v>
      </c>
      <c r="G123" s="384">
        <f>ROUND((G56-'17H28'!G56)/ABS('17H28'!G56)*100,1)</f>
        <v>2.2000000000000002</v>
      </c>
      <c r="H123" s="384">
        <f>ROUND((H56-'17H28'!H56)/ABS('17H28'!H56)*100,1)</f>
        <v>283.5</v>
      </c>
      <c r="I123" s="384">
        <f>ROUND((I56-'17H28'!I56)/ABS('17H28'!I56)*100,1)</f>
        <v>221.4</v>
      </c>
      <c r="J123" s="384">
        <f>ROUND((J56-'17H28'!J56)/ABS('17H28'!J56)*100,1)</f>
        <v>-43</v>
      </c>
      <c r="K123" s="384">
        <f>ROUND((K56-'17H28'!K56)/ABS('17H28'!K56)*100,1)</f>
        <v>48</v>
      </c>
      <c r="L123" s="384">
        <f>ROUND((L56-'17H28'!L56)/ABS('17H28'!L56)*100,1)</f>
        <v>-1802.2</v>
      </c>
      <c r="M123" s="384">
        <f>ROUND((M56-'17H28'!M56)/ABS('17H28'!M56)*100,1)</f>
        <v>7.8</v>
      </c>
      <c r="N123" s="384">
        <f>ROUND((N56-'17H28'!N56)/ABS('17H28'!N56)*100,1)</f>
        <v>50.8</v>
      </c>
      <c r="O123" s="384" t="e">
        <f>ROUND((O56-'17H28'!#REF!)/ABS('17H28'!#REF!)*100,1)</f>
        <v>#REF!</v>
      </c>
      <c r="R123" s="383"/>
      <c r="S123" s="383"/>
      <c r="T123" s="383"/>
    </row>
    <row r="124" spans="1:20">
      <c r="A124" s="293">
        <v>585</v>
      </c>
      <c r="B124" s="90" t="s">
        <v>220</v>
      </c>
      <c r="C124" s="384">
        <f>ROUND((C57-'17H28'!C57)/ABS('17H28'!C57)*100,1)</f>
        <v>5.0999999999999996</v>
      </c>
      <c r="D124" s="384">
        <f>ROUND((D57-'17H28'!D57)/ABS('17H28'!D57)*100,1)</f>
        <v>1.6</v>
      </c>
      <c r="E124" s="384">
        <f>ROUND((E57-'17H28'!E57)/ABS('17H28'!E57)*100,1)</f>
        <v>-2.4</v>
      </c>
      <c r="F124" s="384">
        <f>ROUND((F57-'17H28'!F57)/ABS('17H28'!F57)*100,1)</f>
        <v>19.3</v>
      </c>
      <c r="G124" s="384">
        <f>ROUND((G57-'17H28'!G57)/ABS('17H28'!G57)*100,1)</f>
        <v>105.6</v>
      </c>
      <c r="H124" s="384">
        <f>ROUND((H57-'17H28'!H57)/ABS('17H28'!H57)*100,1)</f>
        <v>9.4</v>
      </c>
      <c r="I124" s="384">
        <f>ROUND((I57-'17H28'!I57)/ABS('17H28'!I57)*100,1)</f>
        <v>186.5</v>
      </c>
      <c r="J124" s="384">
        <f>ROUND((J57-'17H28'!J57)/ABS('17H28'!J57)*100,1)</f>
        <v>32.700000000000003</v>
      </c>
      <c r="K124" s="384">
        <f>ROUND((K57-'17H28'!K57)/ABS('17H28'!K57)*100,1)</f>
        <v>5.4</v>
      </c>
      <c r="L124" s="384">
        <f>ROUND((L57-'17H28'!L57)/ABS('17H28'!L57)*100,1)</f>
        <v>-8.1999999999999993</v>
      </c>
      <c r="M124" s="384">
        <f>ROUND((M57-'17H28'!M57)/ABS('17H28'!M57)*100,1)</f>
        <v>8.5</v>
      </c>
      <c r="N124" s="384">
        <f>ROUND((N57-'17H28'!N57)/ABS('17H28'!N57)*100,1)</f>
        <v>7.5</v>
      </c>
      <c r="O124" s="384" t="e">
        <f>ROUND((O57-'17H28'!#REF!)/ABS('17H28'!#REF!)*100,1)</f>
        <v>#REF!</v>
      </c>
      <c r="R124" s="383"/>
      <c r="S124" s="383"/>
      <c r="T124" s="383"/>
    </row>
    <row r="125" spans="1:20">
      <c r="A125" s="293">
        <v>586</v>
      </c>
      <c r="B125" s="90" t="s">
        <v>237</v>
      </c>
      <c r="C125" s="384">
        <f>ROUND((C58-'17H28'!C58)/ABS('17H28'!C58)*100,1)</f>
        <v>7.9</v>
      </c>
      <c r="D125" s="384">
        <f>ROUND((D58-'17H28'!D58)/ABS('17H28'!D58)*100,1)</f>
        <v>1.3</v>
      </c>
      <c r="E125" s="384">
        <f>ROUND((E58-'17H28'!E58)/ABS('17H28'!E58)*100,1)</f>
        <v>-4.0999999999999996</v>
      </c>
      <c r="F125" s="384">
        <f>ROUND((F58-'17H28'!F58)/ABS('17H28'!F58)*100,1)</f>
        <v>11.7</v>
      </c>
      <c r="G125" s="384">
        <f>ROUND((G58-'17H28'!G58)/ABS('17H28'!G58)*100,1)</f>
        <v>-34.9</v>
      </c>
      <c r="H125" s="384">
        <f>ROUND((H58-'17H28'!H58)/ABS('17H28'!H58)*100,1)</f>
        <v>11.6</v>
      </c>
      <c r="I125" s="384">
        <f>ROUND((I58-'17H28'!I58)/ABS('17H28'!I58)*100,1)</f>
        <v>185.3</v>
      </c>
      <c r="J125" s="384">
        <f>ROUND((J58-'17H28'!J58)/ABS('17H28'!J58)*100,1)</f>
        <v>42.6</v>
      </c>
      <c r="K125" s="384">
        <f>ROUND((K58-'17H28'!K58)/ABS('17H28'!K58)*100,1)</f>
        <v>3.8</v>
      </c>
      <c r="L125" s="384">
        <f>ROUND((L58-'17H28'!L58)/ABS('17H28'!L58)*100,1)</f>
        <v>19.5</v>
      </c>
      <c r="M125" s="384">
        <f>ROUND((M58-'17H28'!M58)/ABS('17H28'!M58)*100,1)</f>
        <v>10.7</v>
      </c>
      <c r="N125" s="384">
        <f>ROUND((N58-'17H28'!N58)/ABS('17H28'!N58)*100,1)</f>
        <v>5.8</v>
      </c>
      <c r="O125" s="384" t="e">
        <f>ROUND((O58-'17H28'!#REF!)/ABS('17H28'!#REF!)*100,1)</f>
        <v>#REF!</v>
      </c>
      <c r="R125" s="383"/>
      <c r="S125" s="383"/>
      <c r="T125" s="383"/>
    </row>
    <row r="126" spans="1:20">
      <c r="A126" s="293">
        <v>8</v>
      </c>
      <c r="B126" s="86" t="s">
        <v>211</v>
      </c>
      <c r="C126" s="384">
        <f>ROUND((C59-'17H28'!C59)/ABS('17H28'!C59)*100,1)</f>
        <v>1</v>
      </c>
      <c r="D126" s="384">
        <f>ROUND((D59-'17H28'!D59)/ABS('17H28'!D59)*100,1)</f>
        <v>-0.3</v>
      </c>
      <c r="E126" s="384">
        <f>ROUND((E59-'17H28'!E59)/ABS('17H28'!E59)*100,1)</f>
        <v>-4.9000000000000004</v>
      </c>
      <c r="F126" s="384">
        <f>ROUND((F59-'17H28'!F59)/ABS('17H28'!F59)*100,1)</f>
        <v>1.2</v>
      </c>
      <c r="G126" s="384">
        <f>ROUND((G59-'17H28'!G59)/ABS('17H28'!G59)*100,1)</f>
        <v>-6.3</v>
      </c>
      <c r="H126" s="384">
        <f>ROUND((H59-'17H28'!H59)/ABS('17H28'!H59)*100,1)</f>
        <v>-0.9</v>
      </c>
      <c r="I126" s="384">
        <f>ROUND((I59-'17H28'!I59)/ABS('17H28'!I59)*100,1)</f>
        <v>180.2</v>
      </c>
      <c r="J126" s="384">
        <f>ROUND((J59-'17H28'!J59)/ABS('17H28'!J59)*100,1)</f>
        <v>-25.7</v>
      </c>
      <c r="K126" s="384">
        <f>ROUND((K59-'17H28'!K59)/ABS('17H28'!K59)*100,1)</f>
        <v>-2.2999999999999998</v>
      </c>
      <c r="L126" s="384">
        <f>ROUND((L59-'17H28'!L59)/ABS('17H28'!L59)*100,1)</f>
        <v>32.700000000000003</v>
      </c>
      <c r="M126" s="384">
        <f>ROUND((M59-'17H28'!M59)/ABS('17H28'!M59)*100,1)</f>
        <v>5.7</v>
      </c>
      <c r="N126" s="384">
        <f>ROUND((N59-'17H28'!N59)/ABS('17H28'!N59)*100,1)</f>
        <v>-0.4</v>
      </c>
      <c r="O126" s="384" t="e">
        <f>ROUND((O59-'17H28'!#REF!)/ABS('17H28'!#REF!)*100,1)</f>
        <v>#REF!</v>
      </c>
      <c r="R126" s="383"/>
      <c r="S126" s="383"/>
      <c r="T126" s="383"/>
    </row>
    <row r="127" spans="1:20">
      <c r="A127" s="293">
        <v>221</v>
      </c>
      <c r="B127" s="90" t="s">
        <v>1144</v>
      </c>
      <c r="C127" s="384">
        <f>ROUND((C60-'17H28'!C60)/ABS('17H28'!C60)*100,1)</f>
        <v>3.6</v>
      </c>
      <c r="D127" s="384">
        <f>ROUND((D60-'17H28'!D60)/ABS('17H28'!D60)*100,1)</f>
        <v>2.1</v>
      </c>
      <c r="E127" s="384">
        <f>ROUND((E60-'17H28'!E60)/ABS('17H28'!E60)*100,1)</f>
        <v>-3.8</v>
      </c>
      <c r="F127" s="384">
        <f>ROUND((F60-'17H28'!F60)/ABS('17H28'!F60)*100,1)</f>
        <v>5.2</v>
      </c>
      <c r="G127" s="384">
        <f>ROUND((G60-'17H28'!G60)/ABS('17H28'!G60)*100,1)</f>
        <v>-0.6</v>
      </c>
      <c r="H127" s="384">
        <f>ROUND((H60-'17H28'!H60)/ABS('17H28'!H60)*100,1)</f>
        <v>2.5</v>
      </c>
      <c r="I127" s="384">
        <f>ROUND((I60-'17H28'!I60)/ABS('17H28'!I60)*100,1)</f>
        <v>183.4</v>
      </c>
      <c r="J127" s="384">
        <f>ROUND((J60-'17H28'!J60)/ABS('17H28'!J60)*100,1)</f>
        <v>2.2000000000000002</v>
      </c>
      <c r="K127" s="384">
        <f>ROUND((K60-'17H28'!K60)/ABS('17H28'!K60)*100,1)</f>
        <v>1.6</v>
      </c>
      <c r="L127" s="384">
        <f>ROUND((L60-'17H28'!L60)/ABS('17H28'!L60)*100,1)</f>
        <v>25.2</v>
      </c>
      <c r="M127" s="384">
        <f>ROUND((M60-'17H28'!M60)/ABS('17H28'!M60)*100,1)</f>
        <v>8.3000000000000007</v>
      </c>
      <c r="N127" s="384">
        <f>ROUND((N60-'17H28'!N60)/ABS('17H28'!N60)*100,1)</f>
        <v>3.5</v>
      </c>
      <c r="O127" s="384" t="e">
        <f>ROUND((O60-'17H28'!#REF!)/ABS('17H28'!#REF!)*100,1)</f>
        <v>#REF!</v>
      </c>
      <c r="R127" s="383"/>
      <c r="S127" s="383"/>
      <c r="T127" s="383"/>
    </row>
    <row r="128" spans="1:20">
      <c r="A128" s="293">
        <v>223</v>
      </c>
      <c r="B128" s="90" t="s">
        <v>223</v>
      </c>
      <c r="C128" s="384">
        <f>ROUND((C61-'17H28'!C61)/ABS('17H28'!C61)*100,1)</f>
        <v>-0.7</v>
      </c>
      <c r="D128" s="384">
        <f>ROUND((D61-'17H28'!D61)/ABS('17H28'!D61)*100,1)</f>
        <v>-2</v>
      </c>
      <c r="E128" s="384">
        <f>ROUND((E61-'17H28'!E61)/ABS('17H28'!E61)*100,1)</f>
        <v>-5.6</v>
      </c>
      <c r="F128" s="384">
        <f>ROUND((F61-'17H28'!F61)/ABS('17H28'!F61)*100,1)</f>
        <v>-1.1000000000000001</v>
      </c>
      <c r="G128" s="384">
        <f>ROUND((G61-'17H28'!G61)/ABS('17H28'!G61)*100,1)</f>
        <v>-9.6</v>
      </c>
      <c r="H128" s="384">
        <f>ROUND((H61-'17H28'!H61)/ABS('17H28'!H61)*100,1)</f>
        <v>-2.9</v>
      </c>
      <c r="I128" s="384">
        <f>ROUND((I61-'17H28'!I61)/ABS('17H28'!I61)*100,1)</f>
        <v>178.2</v>
      </c>
      <c r="J128" s="384">
        <f>ROUND((J61-'17H28'!J61)/ABS('17H28'!J61)*100,1)</f>
        <v>-32.6</v>
      </c>
      <c r="K128" s="384">
        <f>ROUND((K61-'17H28'!K61)/ABS('17H28'!K61)*100,1)</f>
        <v>-4.7</v>
      </c>
      <c r="L128" s="384">
        <f>ROUND((L61-'17H28'!L61)/ABS('17H28'!L61)*100,1)</f>
        <v>36.799999999999997</v>
      </c>
      <c r="M128" s="384">
        <f>ROUND((M61-'17H28'!M61)/ABS('17H28'!M61)*100,1)</f>
        <v>4.2</v>
      </c>
      <c r="N128" s="384">
        <f>ROUND((N61-'17H28'!N61)/ABS('17H28'!N61)*100,1)</f>
        <v>-2.9</v>
      </c>
      <c r="O128" s="384" t="e">
        <f>ROUND((O61-'17H28'!#REF!)/ABS('17H28'!#REF!)*100,1)</f>
        <v>#REF!</v>
      </c>
      <c r="R128" s="383"/>
      <c r="S128" s="383"/>
      <c r="T128" s="383"/>
    </row>
    <row r="129" spans="1:20">
      <c r="A129" s="293">
        <v>9</v>
      </c>
      <c r="B129" s="94" t="s">
        <v>212</v>
      </c>
      <c r="C129" s="384">
        <f>ROUND((C62-'17H28'!C62)/ABS('17H28'!C62)*100,1)</f>
        <v>-0.5</v>
      </c>
      <c r="D129" s="384">
        <f>ROUND((D62-'17H28'!D62)/ABS('17H28'!D62)*100,1)</f>
        <v>2.5</v>
      </c>
      <c r="E129" s="384">
        <f>ROUND((E62-'17H28'!E62)/ABS('17H28'!E62)*100,1)</f>
        <v>-4.2</v>
      </c>
      <c r="F129" s="384">
        <f>ROUND((F62-'17H28'!F62)/ABS('17H28'!F62)*100,1)</f>
        <v>2</v>
      </c>
      <c r="G129" s="384">
        <f>ROUND((G62-'17H28'!G62)/ABS('17H28'!G62)*100,1)</f>
        <v>-6.3</v>
      </c>
      <c r="H129" s="384">
        <f>ROUND((H62-'17H28'!H62)/ABS('17H28'!H62)*100,1)</f>
        <v>-0.1</v>
      </c>
      <c r="I129" s="384">
        <f>ROUND((I62-'17H28'!I62)/ABS('17H28'!I62)*100,1)</f>
        <v>181.9</v>
      </c>
      <c r="J129" s="384">
        <f>ROUND((J62-'17H28'!J62)/ABS('17H28'!J62)*100,1)</f>
        <v>-17.3</v>
      </c>
      <c r="K129" s="384">
        <f>ROUND((K62-'17H28'!K62)/ABS('17H28'!K62)*100,1)</f>
        <v>-0.2</v>
      </c>
      <c r="L129" s="384">
        <f>ROUND((L62-'17H28'!L62)/ABS('17H28'!L62)*100,1)</f>
        <v>-24.1</v>
      </c>
      <c r="M129" s="384">
        <f>ROUND((M62-'17H28'!M62)/ABS('17H28'!M62)*100,1)</f>
        <v>4.0999999999999996</v>
      </c>
      <c r="N129" s="384">
        <f>ROUND((N62-'17H28'!N62)/ABS('17H28'!N62)*100,1)</f>
        <v>1.7</v>
      </c>
      <c r="O129" s="384" t="e">
        <f>ROUND((O62-'17H28'!#REF!)/ABS('17H28'!#REF!)*100,1)</f>
        <v>#REF!</v>
      </c>
      <c r="R129" s="383"/>
      <c r="S129" s="383"/>
      <c r="T129" s="383"/>
    </row>
    <row r="130" spans="1:20">
      <c r="A130" s="293">
        <v>205</v>
      </c>
      <c r="B130" s="92" t="s">
        <v>241</v>
      </c>
      <c r="C130" s="384">
        <f>ROUND((C63-'17H28'!C63)/ABS('17H28'!C63)*100,1)</f>
        <v>-0.5</v>
      </c>
      <c r="D130" s="384">
        <f>ROUND((D63-'17H28'!D63)/ABS('17H28'!D63)*100,1)</f>
        <v>2.2000000000000002</v>
      </c>
      <c r="E130" s="384">
        <f>ROUND((E63-'17H28'!E63)/ABS('17H28'!E63)*100,1)</f>
        <v>-0.4</v>
      </c>
      <c r="F130" s="384">
        <f>ROUND((F63-'17H28'!F63)/ABS('17H28'!F63)*100,1)</f>
        <v>7</v>
      </c>
      <c r="G130" s="384">
        <f>ROUND((G63-'17H28'!G63)/ABS('17H28'!G63)*100,1)</f>
        <v>29.9</v>
      </c>
      <c r="H130" s="384">
        <f>ROUND((H63-'17H28'!H63)/ABS('17H28'!H63)*100,1)</f>
        <v>2.4</v>
      </c>
      <c r="I130" s="384">
        <f>ROUND((I63-'17H28'!I63)/ABS('17H28'!I63)*100,1)</f>
        <v>182.4</v>
      </c>
      <c r="J130" s="384">
        <f>ROUND((J63-'17H28'!J63)/ABS('17H28'!J63)*100,1)</f>
        <v>-39.299999999999997</v>
      </c>
      <c r="K130" s="384">
        <f>ROUND((K63-'17H28'!K63)/ABS('17H28'!K63)*100,1)</f>
        <v>0.4</v>
      </c>
      <c r="L130" s="384">
        <f>ROUND((L63-'17H28'!L63)/ABS('17H28'!L63)*100,1)</f>
        <v>-30.3</v>
      </c>
      <c r="M130" s="384">
        <f>ROUND((M63-'17H28'!M63)/ABS('17H28'!M63)*100,1)</f>
        <v>4.7</v>
      </c>
      <c r="N130" s="384">
        <f>ROUND((N63-'17H28'!N63)/ABS('17H28'!N63)*100,1)</f>
        <v>2.2999999999999998</v>
      </c>
      <c r="O130" s="384" t="e">
        <f>ROUND((O63-'17H28'!#REF!)/ABS('17H28'!#REF!)*100,1)</f>
        <v>#REF!</v>
      </c>
      <c r="R130" s="383"/>
      <c r="S130" s="383"/>
      <c r="T130" s="383"/>
    </row>
    <row r="131" spans="1:20">
      <c r="A131" s="293">
        <v>224</v>
      </c>
      <c r="B131" s="90" t="s">
        <v>224</v>
      </c>
      <c r="C131" s="384">
        <f>ROUND((C64-'17H28'!C64)/ABS('17H28'!C64)*100,1)</f>
        <v>0.5</v>
      </c>
      <c r="D131" s="384">
        <f>ROUND((D64-'17H28'!D64)/ABS('17H28'!D64)*100,1)</f>
        <v>2.2999999999999998</v>
      </c>
      <c r="E131" s="384">
        <f>ROUND((E64-'17H28'!E64)/ABS('17H28'!E64)*100,1)</f>
        <v>-6.1</v>
      </c>
      <c r="F131" s="384">
        <f>ROUND((F64-'17H28'!F64)/ABS('17H28'!F64)*100,1)</f>
        <v>-5</v>
      </c>
      <c r="G131" s="384">
        <f>ROUND((G64-'17H28'!G64)/ABS('17H28'!G64)*100,1)</f>
        <v>-10.7</v>
      </c>
      <c r="H131" s="384">
        <f>ROUND((H64-'17H28'!H64)/ABS('17H28'!H64)*100,1)</f>
        <v>-7.6</v>
      </c>
      <c r="I131" s="384">
        <f>ROUND((I64-'17H28'!I64)/ABS('17H28'!I64)*100,1)</f>
        <v>180.8</v>
      </c>
      <c r="J131" s="384">
        <f>ROUND((J64-'17H28'!J64)/ABS('17H28'!J64)*100,1)</f>
        <v>-8.1999999999999993</v>
      </c>
      <c r="K131" s="384">
        <f>ROUND((K64-'17H28'!K64)/ABS('17H28'!K64)*100,1)</f>
        <v>-1.4</v>
      </c>
      <c r="L131" s="384">
        <f>ROUND((L64-'17H28'!L64)/ABS('17H28'!L64)*100,1)</f>
        <v>22.2</v>
      </c>
      <c r="M131" s="384">
        <f>ROUND((M64-'17H28'!M64)/ABS('17H28'!M64)*100,1)</f>
        <v>4.9000000000000004</v>
      </c>
      <c r="N131" s="384">
        <f>ROUND((N64-'17H28'!N64)/ABS('17H28'!N64)*100,1)</f>
        <v>0.5</v>
      </c>
      <c r="O131" s="384" t="e">
        <f>ROUND((O64-'17H28'!#REF!)/ABS('17H28'!#REF!)*100,1)</f>
        <v>#REF!</v>
      </c>
      <c r="R131" s="383"/>
      <c r="S131" s="383"/>
      <c r="T131" s="383"/>
    </row>
    <row r="132" spans="1:20">
      <c r="A132" s="396">
        <v>226</v>
      </c>
      <c r="B132" s="201" t="s">
        <v>225</v>
      </c>
      <c r="C132" s="398">
        <f>ROUND((C65-'17H28'!C65)/ABS('17H28'!C65)*100,1)</f>
        <v>-1.7</v>
      </c>
      <c r="D132" s="398">
        <f>ROUND((D65-'17H28'!D65)/ABS('17H28'!D65)*100,1)</f>
        <v>2.9</v>
      </c>
      <c r="E132" s="398">
        <f>ROUND((E65-'17H28'!E65)/ABS('17H28'!E65)*100,1)</f>
        <v>-5.6</v>
      </c>
      <c r="F132" s="398">
        <f>ROUND((F65-'17H28'!F65)/ABS('17H28'!F65)*100,1)</f>
        <v>1.3</v>
      </c>
      <c r="G132" s="398">
        <f>ROUND((G65-'17H28'!G65)/ABS('17H28'!G65)*100,1)</f>
        <v>-34.700000000000003</v>
      </c>
      <c r="H132" s="398">
        <f>ROUND((H65-'17H28'!H65)/ABS('17H28'!H65)*100,1)</f>
        <v>4.0999999999999996</v>
      </c>
      <c r="I132" s="398">
        <f>ROUND((I65-'17H28'!I65)/ABS('17H28'!I65)*100,1)</f>
        <v>182.3</v>
      </c>
      <c r="J132" s="398">
        <f>ROUND((J65-'17H28'!J65)/ABS('17H28'!J65)*100,1)</f>
        <v>-7.5</v>
      </c>
      <c r="K132" s="398">
        <f>ROUND((K65-'17H28'!K65)/ABS('17H28'!K65)*100,1)</f>
        <v>0.2</v>
      </c>
      <c r="L132" s="398">
        <f>ROUND((L65-'17H28'!L65)/ABS('17H28'!L65)*100,1)</f>
        <v>-139.6</v>
      </c>
      <c r="M132" s="398">
        <f>ROUND((M65-'17H28'!M65)/ABS('17H28'!M65)*100,1)</f>
        <v>2.7</v>
      </c>
      <c r="N132" s="398">
        <f>ROUND((N65-'17H28'!N65)/ABS('17H28'!N65)*100,1)</f>
        <v>2.1</v>
      </c>
      <c r="O132" s="398" t="e">
        <f>ROUND((O65-'17H28'!#REF!)/ABS('17H28'!#REF!)*100,1)</f>
        <v>#REF!</v>
      </c>
      <c r="R132" s="383"/>
      <c r="S132" s="383"/>
      <c r="T132" s="383"/>
    </row>
  </sheetData>
  <mergeCells count="1">
    <mergeCell ref="L2:M2"/>
  </mergeCells>
  <phoneticPr fontId="13"/>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9" tint="0.59999389629810485"/>
  </sheetPr>
  <dimension ref="A1:V132"/>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20" width="6.2109375" style="49" customWidth="1"/>
    <col min="21" max="21" width="9.5703125" style="49" customWidth="1"/>
    <col min="22" max="22" width="8.92578125" style="49" customWidth="1"/>
    <col min="23" max="16384" width="8.7109375" style="49"/>
  </cols>
  <sheetData>
    <row r="1" spans="1:22">
      <c r="A1" s="86"/>
      <c r="B1" s="65" t="s">
        <v>1082</v>
      </c>
      <c r="C1" s="239"/>
      <c r="D1" s="239"/>
      <c r="E1" s="239"/>
      <c r="F1" s="1878" t="str">
        <f>'24R5'!F1</f>
        <v>市町民経済計算試算(2026.3)</v>
      </c>
      <c r="G1" s="682"/>
      <c r="H1" s="239"/>
      <c r="I1" s="239"/>
      <c r="J1" s="239"/>
      <c r="K1" s="239"/>
      <c r="L1" s="239"/>
      <c r="M1" s="239"/>
      <c r="N1" s="239" t="s">
        <v>818</v>
      </c>
      <c r="O1" s="830"/>
      <c r="R1" s="851" t="s">
        <v>1344</v>
      </c>
      <c r="S1" s="843"/>
    </row>
    <row r="2" spans="1:22" ht="26.25" customHeight="1">
      <c r="A2" s="294"/>
      <c r="B2" s="296" t="s">
        <v>930</v>
      </c>
      <c r="C2" s="297" t="s">
        <v>817</v>
      </c>
      <c r="D2" s="275" t="s">
        <v>68</v>
      </c>
      <c r="E2" s="291" t="s">
        <v>1289</v>
      </c>
      <c r="F2" s="297" t="s">
        <v>69</v>
      </c>
      <c r="G2" s="291"/>
      <c r="H2" s="291"/>
      <c r="I2" s="291"/>
      <c r="J2" s="275" t="s">
        <v>70</v>
      </c>
      <c r="K2" s="817" t="s">
        <v>671</v>
      </c>
      <c r="L2" s="2310" t="s">
        <v>71</v>
      </c>
      <c r="M2" s="2311"/>
      <c r="N2" s="291"/>
      <c r="O2" s="817"/>
      <c r="P2" s="92"/>
      <c r="Q2" s="313"/>
      <c r="R2" s="852" t="s">
        <v>1345</v>
      </c>
      <c r="S2" s="908">
        <f>+SUM(C69:O69)</f>
        <v>780288.70812458917</v>
      </c>
      <c r="T2" s="755"/>
      <c r="U2" s="839" t="s">
        <v>1343</v>
      </c>
      <c r="V2" s="841"/>
    </row>
    <row r="3" spans="1:22" ht="28.5">
      <c r="A3" s="357"/>
      <c r="B3" s="92" t="s">
        <v>931</v>
      </c>
      <c r="C3" s="351" t="s">
        <v>82</v>
      </c>
      <c r="D3" s="353"/>
      <c r="E3" s="352"/>
      <c r="F3" s="351" t="s">
        <v>83</v>
      </c>
      <c r="G3" s="297" t="s">
        <v>72</v>
      </c>
      <c r="H3" s="275" t="s">
        <v>73</v>
      </c>
      <c r="I3" s="291" t="s">
        <v>74</v>
      </c>
      <c r="J3" s="353"/>
      <c r="K3" s="861" t="s">
        <v>75</v>
      </c>
      <c r="L3" s="351" t="s">
        <v>76</v>
      </c>
      <c r="M3" s="297" t="s">
        <v>77</v>
      </c>
      <c r="N3" s="275" t="s">
        <v>78</v>
      </c>
      <c r="O3" s="817" t="s">
        <v>81</v>
      </c>
      <c r="P3" s="92"/>
      <c r="Q3" s="355"/>
      <c r="R3" s="854" t="s">
        <v>1346</v>
      </c>
      <c r="S3" s="847">
        <f>SUM(S4:S65)</f>
        <v>0</v>
      </c>
      <c r="T3" s="755"/>
      <c r="U3" s="886" t="s">
        <v>956</v>
      </c>
      <c r="V3" s="887" t="s">
        <v>1347</v>
      </c>
    </row>
    <row r="4" spans="1:22">
      <c r="A4" s="303"/>
      <c r="B4" s="203" t="s">
        <v>166</v>
      </c>
      <c r="C4" s="863">
        <v>22237660</v>
      </c>
      <c r="D4" s="865">
        <v>13228280</v>
      </c>
      <c r="E4" s="864">
        <v>2674566</v>
      </c>
      <c r="F4" s="863">
        <v>4565462</v>
      </c>
      <c r="G4" s="864">
        <v>672430</v>
      </c>
      <c r="H4" s="863">
        <v>3807596</v>
      </c>
      <c r="I4" s="864">
        <v>85436</v>
      </c>
      <c r="J4" s="863">
        <v>731309</v>
      </c>
      <c r="K4" s="865">
        <v>21199617</v>
      </c>
      <c r="L4" s="862">
        <v>1038043</v>
      </c>
      <c r="M4" s="864">
        <v>19932287</v>
      </c>
      <c r="N4" s="864">
        <v>17671776</v>
      </c>
      <c r="O4" s="865">
        <v>-1222468</v>
      </c>
      <c r="P4" s="77"/>
      <c r="Q4" s="878"/>
      <c r="R4" s="807">
        <f>D4+E4+F4+J4+L4</f>
        <v>22237660</v>
      </c>
      <c r="S4" s="807">
        <f>R4-C4</f>
        <v>0</v>
      </c>
      <c r="T4" s="807"/>
      <c r="U4" s="49">
        <f>民間設備製造1!O6</f>
        <v>1321097.1642414392</v>
      </c>
      <c r="V4" s="49">
        <f t="shared" ref="V4:V14" si="0">D4+E4+G4+J4+U4</f>
        <v>18627682.164241441</v>
      </c>
    </row>
    <row r="5" spans="1:22">
      <c r="A5" s="298">
        <v>100</v>
      </c>
      <c r="B5" s="75" t="s">
        <v>172</v>
      </c>
      <c r="C5" s="867">
        <v>6950990</v>
      </c>
      <c r="D5" s="869">
        <v>4097385</v>
      </c>
      <c r="E5" s="868">
        <v>942361</v>
      </c>
      <c r="F5" s="867">
        <v>1111770</v>
      </c>
      <c r="G5" s="868">
        <v>158000</v>
      </c>
      <c r="H5" s="867">
        <v>928020</v>
      </c>
      <c r="I5" s="868">
        <v>25750</v>
      </c>
      <c r="J5" s="867">
        <v>237813</v>
      </c>
      <c r="K5" s="869">
        <v>6389329</v>
      </c>
      <c r="L5" s="866">
        <v>561661</v>
      </c>
      <c r="M5" s="868">
        <v>6280522</v>
      </c>
      <c r="N5" s="868">
        <v>5326075</v>
      </c>
      <c r="O5" s="869">
        <v>-392786</v>
      </c>
      <c r="P5" s="77">
        <v>100</v>
      </c>
      <c r="Q5" s="878"/>
      <c r="R5" s="807">
        <f>D5+E5+F5+J5+L5</f>
        <v>6950990</v>
      </c>
      <c r="S5" s="807">
        <f t="shared" ref="S5:S65" si="1">R5-C5</f>
        <v>0</v>
      </c>
      <c r="T5" s="807"/>
      <c r="U5" s="49">
        <f>民間設備製造1!O7</f>
        <v>178652.1642414392</v>
      </c>
      <c r="V5" s="49">
        <f t="shared" si="0"/>
        <v>5614211.1642414387</v>
      </c>
    </row>
    <row r="6" spans="1:22">
      <c r="A6" s="298">
        <v>1</v>
      </c>
      <c r="B6" s="75" t="s">
        <v>323</v>
      </c>
      <c r="C6" s="867">
        <v>3642087</v>
      </c>
      <c r="D6" s="869">
        <v>2636946</v>
      </c>
      <c r="E6" s="868">
        <v>438078</v>
      </c>
      <c r="F6" s="867">
        <v>728792</v>
      </c>
      <c r="G6" s="868">
        <v>146744</v>
      </c>
      <c r="H6" s="867">
        <v>566251</v>
      </c>
      <c r="I6" s="868">
        <v>15797</v>
      </c>
      <c r="J6" s="867">
        <v>115909</v>
      </c>
      <c r="K6" s="869">
        <v>3919725</v>
      </c>
      <c r="L6" s="866">
        <v>-277638</v>
      </c>
      <c r="M6" s="868">
        <v>3264530</v>
      </c>
      <c r="N6" s="868">
        <v>3267442</v>
      </c>
      <c r="O6" s="869">
        <v>-274726</v>
      </c>
      <c r="P6" s="77">
        <v>1</v>
      </c>
      <c r="Q6" s="878"/>
      <c r="R6" s="807">
        <f t="shared" ref="R6:R65" si="2">D6+E6+F6+J6+L6</f>
        <v>3642087</v>
      </c>
      <c r="S6" s="807">
        <f t="shared" si="1"/>
        <v>0</v>
      </c>
      <c r="T6" s="807"/>
      <c r="U6" s="49">
        <f>民間設備製造1!O8</f>
        <v>106530</v>
      </c>
      <c r="V6" s="49">
        <f t="shared" si="0"/>
        <v>3444207</v>
      </c>
    </row>
    <row r="7" spans="1:22">
      <c r="A7" s="298">
        <v>2</v>
      </c>
      <c r="B7" s="75" t="s">
        <v>324</v>
      </c>
      <c r="C7" s="867">
        <v>2107783</v>
      </c>
      <c r="D7" s="869">
        <v>1621163</v>
      </c>
      <c r="E7" s="868">
        <v>287876</v>
      </c>
      <c r="F7" s="867">
        <v>483941</v>
      </c>
      <c r="G7" s="868">
        <v>71320</v>
      </c>
      <c r="H7" s="867">
        <v>402760</v>
      </c>
      <c r="I7" s="868">
        <v>9861</v>
      </c>
      <c r="J7" s="867">
        <v>53881</v>
      </c>
      <c r="K7" s="869">
        <v>2446861</v>
      </c>
      <c r="L7" s="866">
        <v>-339078</v>
      </c>
      <c r="M7" s="868">
        <v>1905471</v>
      </c>
      <c r="N7" s="868">
        <v>2039678</v>
      </c>
      <c r="O7" s="869">
        <v>-204871</v>
      </c>
      <c r="P7" s="77">
        <v>2</v>
      </c>
      <c r="Q7" s="878"/>
      <c r="R7" s="807">
        <f t="shared" si="2"/>
        <v>2107783</v>
      </c>
      <c r="S7" s="807">
        <f>R7-C7</f>
        <v>0</v>
      </c>
      <c r="T7" s="807"/>
      <c r="U7" s="49">
        <f>民間設備製造1!O9</f>
        <v>115776</v>
      </c>
      <c r="V7" s="49">
        <f t="shared" si="0"/>
        <v>2150016</v>
      </c>
    </row>
    <row r="8" spans="1:22">
      <c r="A8" s="298">
        <v>3</v>
      </c>
      <c r="B8" s="75" t="s">
        <v>192</v>
      </c>
      <c r="C8" s="867">
        <v>2965443</v>
      </c>
      <c r="D8" s="869">
        <v>1631351</v>
      </c>
      <c r="E8" s="868">
        <v>270067</v>
      </c>
      <c r="F8" s="867">
        <v>793968</v>
      </c>
      <c r="G8" s="868">
        <v>112334</v>
      </c>
      <c r="H8" s="867">
        <v>670477</v>
      </c>
      <c r="I8" s="868">
        <v>11157</v>
      </c>
      <c r="J8" s="867">
        <v>73102</v>
      </c>
      <c r="K8" s="869">
        <v>2768488</v>
      </c>
      <c r="L8" s="866">
        <v>196955</v>
      </c>
      <c r="M8" s="868">
        <v>2617193</v>
      </c>
      <c r="N8" s="868">
        <v>2307782</v>
      </c>
      <c r="O8" s="869">
        <v>-112456</v>
      </c>
      <c r="P8" s="77">
        <v>3</v>
      </c>
      <c r="Q8" s="878"/>
      <c r="R8" s="807">
        <f t="shared" si="2"/>
        <v>2965443</v>
      </c>
      <c r="S8" s="807">
        <f t="shared" si="1"/>
        <v>0</v>
      </c>
      <c r="T8" s="807"/>
      <c r="U8" s="49">
        <f>民間設備製造1!O10</f>
        <v>345733</v>
      </c>
      <c r="V8" s="49">
        <f t="shared" si="0"/>
        <v>2432587</v>
      </c>
    </row>
    <row r="9" spans="1:22">
      <c r="A9" s="298">
        <v>4</v>
      </c>
      <c r="B9" s="75" t="s">
        <v>325</v>
      </c>
      <c r="C9" s="867">
        <v>1296507</v>
      </c>
      <c r="D9" s="869">
        <v>556062</v>
      </c>
      <c r="E9" s="868">
        <v>121985</v>
      </c>
      <c r="F9" s="867">
        <v>237782</v>
      </c>
      <c r="G9" s="868">
        <v>30116</v>
      </c>
      <c r="H9" s="867">
        <v>203833</v>
      </c>
      <c r="I9" s="868">
        <v>3833</v>
      </c>
      <c r="J9" s="867">
        <v>35180</v>
      </c>
      <c r="K9" s="869">
        <v>951009</v>
      </c>
      <c r="L9" s="866">
        <v>345498</v>
      </c>
      <c r="M9" s="868">
        <v>1146095</v>
      </c>
      <c r="N9" s="868">
        <v>792752</v>
      </c>
      <c r="O9" s="869">
        <v>-7845</v>
      </c>
      <c r="P9" s="77">
        <v>4</v>
      </c>
      <c r="Q9" s="878"/>
      <c r="R9" s="807">
        <f t="shared" si="2"/>
        <v>1296507</v>
      </c>
      <c r="S9" s="807">
        <f t="shared" si="1"/>
        <v>0</v>
      </c>
      <c r="T9" s="807"/>
      <c r="U9" s="49">
        <f>民間設備製造1!O11</f>
        <v>92285</v>
      </c>
      <c r="V9" s="49">
        <f t="shared" si="0"/>
        <v>835628</v>
      </c>
    </row>
    <row r="10" spans="1:22">
      <c r="A10" s="298">
        <v>5</v>
      </c>
      <c r="B10" s="75" t="s">
        <v>326</v>
      </c>
      <c r="C10" s="867">
        <v>2674825</v>
      </c>
      <c r="D10" s="869">
        <v>1301095</v>
      </c>
      <c r="E10" s="868">
        <v>239164</v>
      </c>
      <c r="F10" s="867">
        <v>721503</v>
      </c>
      <c r="G10" s="868">
        <v>98322</v>
      </c>
      <c r="H10" s="867">
        <v>613688</v>
      </c>
      <c r="I10" s="868">
        <v>9493</v>
      </c>
      <c r="J10" s="867">
        <v>93905</v>
      </c>
      <c r="K10" s="869">
        <v>2355667</v>
      </c>
      <c r="L10" s="866">
        <v>319158</v>
      </c>
      <c r="M10" s="868">
        <v>2358615</v>
      </c>
      <c r="N10" s="868">
        <v>1963659</v>
      </c>
      <c r="O10" s="869">
        <v>-75798</v>
      </c>
      <c r="P10" s="77">
        <v>5</v>
      </c>
      <c r="Q10" s="878"/>
      <c r="R10" s="807">
        <f t="shared" si="2"/>
        <v>2674825</v>
      </c>
      <c r="S10" s="807">
        <f t="shared" si="1"/>
        <v>0</v>
      </c>
      <c r="T10" s="807"/>
      <c r="U10" s="49">
        <f>民間設備製造1!O12</f>
        <v>337360</v>
      </c>
      <c r="V10" s="49">
        <f t="shared" si="0"/>
        <v>2069846</v>
      </c>
    </row>
    <row r="11" spans="1:22">
      <c r="A11" s="298">
        <v>6</v>
      </c>
      <c r="B11" s="75" t="s">
        <v>327</v>
      </c>
      <c r="C11" s="867">
        <v>1071203</v>
      </c>
      <c r="D11" s="869">
        <v>524185</v>
      </c>
      <c r="E11" s="868">
        <v>119714</v>
      </c>
      <c r="F11" s="867">
        <v>213303</v>
      </c>
      <c r="G11" s="868">
        <v>21331</v>
      </c>
      <c r="H11" s="867">
        <v>188373</v>
      </c>
      <c r="I11" s="868">
        <v>3599</v>
      </c>
      <c r="J11" s="867">
        <v>35691</v>
      </c>
      <c r="K11" s="869">
        <v>892893</v>
      </c>
      <c r="L11" s="866">
        <v>178310</v>
      </c>
      <c r="M11" s="868">
        <v>955851</v>
      </c>
      <c r="N11" s="868">
        <v>744306</v>
      </c>
      <c r="O11" s="869">
        <v>-33235</v>
      </c>
      <c r="P11" s="77">
        <v>6</v>
      </c>
      <c r="Q11" s="878"/>
      <c r="R11" s="807">
        <f t="shared" si="2"/>
        <v>1071203</v>
      </c>
      <c r="S11" s="807">
        <f t="shared" si="1"/>
        <v>0</v>
      </c>
      <c r="T11" s="807"/>
      <c r="U11" s="49">
        <f>民間設備製造1!O13</f>
        <v>83640</v>
      </c>
      <c r="V11" s="49">
        <f t="shared" si="0"/>
        <v>784561</v>
      </c>
    </row>
    <row r="12" spans="1:22">
      <c r="A12" s="298">
        <v>7</v>
      </c>
      <c r="B12" s="75" t="s">
        <v>210</v>
      </c>
      <c r="C12" s="867">
        <v>625315</v>
      </c>
      <c r="D12" s="869">
        <v>364298</v>
      </c>
      <c r="E12" s="868">
        <v>110352</v>
      </c>
      <c r="F12" s="867">
        <v>116057</v>
      </c>
      <c r="G12" s="868">
        <v>12084</v>
      </c>
      <c r="H12" s="867">
        <v>101452</v>
      </c>
      <c r="I12" s="868">
        <v>2521</v>
      </c>
      <c r="J12" s="867">
        <v>34916</v>
      </c>
      <c r="K12" s="869">
        <v>625623</v>
      </c>
      <c r="L12" s="866">
        <v>-308</v>
      </c>
      <c r="M12" s="868">
        <v>577057</v>
      </c>
      <c r="N12" s="868">
        <v>521513</v>
      </c>
      <c r="O12" s="869">
        <v>-55852</v>
      </c>
      <c r="P12" s="77">
        <v>7</v>
      </c>
      <c r="Q12" s="878"/>
      <c r="R12" s="807">
        <f t="shared" si="2"/>
        <v>625315</v>
      </c>
      <c r="S12" s="807">
        <f t="shared" si="1"/>
        <v>0</v>
      </c>
      <c r="T12" s="807"/>
      <c r="U12" s="49">
        <f>民間設備製造1!O14</f>
        <v>28076</v>
      </c>
      <c r="V12" s="49">
        <f t="shared" si="0"/>
        <v>549726</v>
      </c>
    </row>
    <row r="13" spans="1:22">
      <c r="A13" s="298">
        <v>8</v>
      </c>
      <c r="B13" s="75" t="s">
        <v>211</v>
      </c>
      <c r="C13" s="867">
        <v>438473</v>
      </c>
      <c r="D13" s="869">
        <v>228475</v>
      </c>
      <c r="E13" s="868">
        <v>62754</v>
      </c>
      <c r="F13" s="867">
        <v>82160</v>
      </c>
      <c r="G13" s="868">
        <v>12465</v>
      </c>
      <c r="H13" s="867">
        <v>68069</v>
      </c>
      <c r="I13" s="868">
        <v>1626</v>
      </c>
      <c r="J13" s="867">
        <v>30170</v>
      </c>
      <c r="K13" s="869">
        <v>403559</v>
      </c>
      <c r="L13" s="866">
        <v>34914</v>
      </c>
      <c r="M13" s="868">
        <v>397740</v>
      </c>
      <c r="N13" s="868">
        <v>336402</v>
      </c>
      <c r="O13" s="869">
        <v>-26424</v>
      </c>
      <c r="P13" s="77">
        <v>8</v>
      </c>
      <c r="Q13" s="878"/>
      <c r="R13" s="807">
        <f t="shared" si="2"/>
        <v>438473</v>
      </c>
      <c r="S13" s="807">
        <f t="shared" si="1"/>
        <v>0</v>
      </c>
      <c r="T13" s="807"/>
      <c r="U13" s="49">
        <f>民間設備製造1!O15</f>
        <v>20736</v>
      </c>
      <c r="V13" s="49">
        <f t="shared" si="0"/>
        <v>354600</v>
      </c>
    </row>
    <row r="14" spans="1:22">
      <c r="A14" s="298">
        <v>9</v>
      </c>
      <c r="B14" s="75" t="s">
        <v>212</v>
      </c>
      <c r="C14" s="867">
        <v>465034</v>
      </c>
      <c r="D14" s="869">
        <v>267320</v>
      </c>
      <c r="E14" s="868">
        <v>82215</v>
      </c>
      <c r="F14" s="867">
        <v>76186</v>
      </c>
      <c r="G14" s="868">
        <v>9714</v>
      </c>
      <c r="H14" s="867">
        <v>64673</v>
      </c>
      <c r="I14" s="868">
        <v>1799</v>
      </c>
      <c r="J14" s="867">
        <v>20742</v>
      </c>
      <c r="K14" s="869">
        <v>446463</v>
      </c>
      <c r="L14" s="866">
        <v>18571</v>
      </c>
      <c r="M14" s="868">
        <v>429213</v>
      </c>
      <c r="N14" s="868">
        <v>372167</v>
      </c>
      <c r="O14" s="869">
        <v>-38475</v>
      </c>
      <c r="P14" s="77">
        <v>9</v>
      </c>
      <c r="Q14" s="878"/>
      <c r="R14" s="807">
        <f t="shared" si="2"/>
        <v>465034</v>
      </c>
      <c r="S14" s="807">
        <f t="shared" si="1"/>
        <v>0</v>
      </c>
      <c r="T14" s="807"/>
      <c r="U14" s="49">
        <f>民間設備製造1!O16</f>
        <v>12309</v>
      </c>
      <c r="V14" s="49">
        <f t="shared" si="0"/>
        <v>392300</v>
      </c>
    </row>
    <row r="15" spans="1:22">
      <c r="A15" s="541"/>
      <c r="B15" s="540"/>
      <c r="C15" s="867" t="s">
        <v>839</v>
      </c>
      <c r="D15" s="873" t="s">
        <v>839</v>
      </c>
      <c r="E15" s="872" t="s">
        <v>839</v>
      </c>
      <c r="F15" s="871" t="s">
        <v>839</v>
      </c>
      <c r="G15" s="872" t="s">
        <v>839</v>
      </c>
      <c r="H15" s="871" t="s">
        <v>839</v>
      </c>
      <c r="I15" s="872" t="s">
        <v>839</v>
      </c>
      <c r="J15" s="871" t="s">
        <v>839</v>
      </c>
      <c r="K15" s="873" t="s">
        <v>839</v>
      </c>
      <c r="L15" s="858" t="s">
        <v>839</v>
      </c>
      <c r="M15" s="837" t="s">
        <v>839</v>
      </c>
      <c r="N15" s="837" t="s">
        <v>839</v>
      </c>
      <c r="O15" s="835" t="s">
        <v>839</v>
      </c>
      <c r="P15" s="77" t="s">
        <v>11</v>
      </c>
      <c r="Q15" s="878"/>
      <c r="R15" s="807" t="s">
        <v>11</v>
      </c>
      <c r="S15" s="807" t="s">
        <v>11</v>
      </c>
      <c r="T15" s="807"/>
      <c r="U15" s="49" t="s">
        <v>1112</v>
      </c>
      <c r="V15" s="49" t="s">
        <v>11</v>
      </c>
    </row>
    <row r="16" spans="1:22">
      <c r="A16" s="300">
        <v>100</v>
      </c>
      <c r="B16" s="87" t="s">
        <v>172</v>
      </c>
      <c r="C16" s="879">
        <v>6950990</v>
      </c>
      <c r="D16" s="869">
        <v>4097385</v>
      </c>
      <c r="E16" s="868">
        <v>942361</v>
      </c>
      <c r="F16" s="867">
        <v>1111770</v>
      </c>
      <c r="G16" s="868">
        <v>158000</v>
      </c>
      <c r="H16" s="867">
        <v>928020</v>
      </c>
      <c r="I16" s="868">
        <v>25750</v>
      </c>
      <c r="J16" s="867">
        <v>237813</v>
      </c>
      <c r="K16" s="869">
        <v>6389329</v>
      </c>
      <c r="L16" s="857">
        <v>561661</v>
      </c>
      <c r="M16" s="833">
        <v>6280522</v>
      </c>
      <c r="N16" s="833">
        <v>5326075</v>
      </c>
      <c r="O16" s="834">
        <v>-392786</v>
      </c>
      <c r="P16" s="293">
        <v>100</v>
      </c>
      <c r="Q16" s="878"/>
      <c r="R16" s="807">
        <f t="shared" si="2"/>
        <v>6950990</v>
      </c>
      <c r="S16" s="807">
        <f t="shared" si="1"/>
        <v>0</v>
      </c>
      <c r="T16" s="807"/>
      <c r="U16" s="49">
        <f>民間設備製造1!O18</f>
        <v>178652.1642414392</v>
      </c>
      <c r="V16" s="49">
        <f t="shared" ref="V16:V65" si="3">D16+E16+G16+J16+U16</f>
        <v>5614211.1642414387</v>
      </c>
    </row>
    <row r="17" spans="1:22">
      <c r="A17" s="301">
        <v>1</v>
      </c>
      <c r="B17" s="128" t="s">
        <v>182</v>
      </c>
      <c r="C17" s="867">
        <v>3642087</v>
      </c>
      <c r="D17" s="865">
        <v>2636946</v>
      </c>
      <c r="E17" s="864">
        <v>438078</v>
      </c>
      <c r="F17" s="863">
        <v>728792</v>
      </c>
      <c r="G17" s="864">
        <v>146744</v>
      </c>
      <c r="H17" s="863">
        <v>566251</v>
      </c>
      <c r="I17" s="864">
        <v>15797</v>
      </c>
      <c r="J17" s="863">
        <v>115909</v>
      </c>
      <c r="K17" s="865">
        <v>3919725</v>
      </c>
      <c r="L17" s="866">
        <v>-277638</v>
      </c>
      <c r="M17" s="830">
        <v>3264530</v>
      </c>
      <c r="N17" s="830">
        <v>3267442</v>
      </c>
      <c r="O17" s="831">
        <v>-274726</v>
      </c>
      <c r="P17" s="293">
        <v>1</v>
      </c>
      <c r="Q17" s="878"/>
      <c r="R17" s="807">
        <f t="shared" si="2"/>
        <v>3642087</v>
      </c>
      <c r="S17" s="807">
        <f t="shared" si="1"/>
        <v>0</v>
      </c>
      <c r="T17" s="807"/>
      <c r="U17" s="49">
        <f>民間設備製造1!O19</f>
        <v>106530</v>
      </c>
      <c r="V17" s="49">
        <f t="shared" si="3"/>
        <v>3444207</v>
      </c>
    </row>
    <row r="18" spans="1:22">
      <c r="A18" s="300">
        <v>202</v>
      </c>
      <c r="B18" s="90" t="s">
        <v>183</v>
      </c>
      <c r="C18" s="867">
        <v>1971785</v>
      </c>
      <c r="D18" s="869">
        <v>1208890</v>
      </c>
      <c r="E18" s="868">
        <v>168869</v>
      </c>
      <c r="F18" s="867">
        <v>380718</v>
      </c>
      <c r="G18" s="868">
        <v>72314</v>
      </c>
      <c r="H18" s="867">
        <v>301122</v>
      </c>
      <c r="I18" s="868">
        <v>7282</v>
      </c>
      <c r="J18" s="867">
        <v>48352</v>
      </c>
      <c r="K18" s="869">
        <v>1806829</v>
      </c>
      <c r="L18" s="856">
        <v>164956</v>
      </c>
      <c r="M18" s="830">
        <v>1735181</v>
      </c>
      <c r="N18" s="830">
        <v>1506154</v>
      </c>
      <c r="O18" s="831">
        <v>-64071</v>
      </c>
      <c r="P18" s="293">
        <v>202</v>
      </c>
      <c r="Q18" s="878"/>
      <c r="R18" s="807">
        <f t="shared" si="2"/>
        <v>1971785</v>
      </c>
      <c r="S18" s="807">
        <f t="shared" si="1"/>
        <v>0</v>
      </c>
      <c r="T18" s="807"/>
      <c r="U18" s="49">
        <f>民間設備製造1!O20</f>
        <v>89203</v>
      </c>
      <c r="V18" s="49">
        <f t="shared" si="3"/>
        <v>1587628</v>
      </c>
    </row>
    <row r="19" spans="1:22">
      <c r="A19" s="300">
        <v>204</v>
      </c>
      <c r="B19" s="90" t="s">
        <v>184</v>
      </c>
      <c r="C19" s="867">
        <v>1446183</v>
      </c>
      <c r="D19" s="869">
        <v>1193934</v>
      </c>
      <c r="E19" s="868">
        <v>217024</v>
      </c>
      <c r="F19" s="867">
        <v>293363</v>
      </c>
      <c r="G19" s="868">
        <v>63912</v>
      </c>
      <c r="H19" s="867">
        <v>222402</v>
      </c>
      <c r="I19" s="868">
        <v>7049</v>
      </c>
      <c r="J19" s="867">
        <v>44822</v>
      </c>
      <c r="K19" s="869">
        <v>1749143</v>
      </c>
      <c r="L19" s="856">
        <v>-302960</v>
      </c>
      <c r="M19" s="830">
        <v>1316570</v>
      </c>
      <c r="N19" s="830">
        <v>1458067</v>
      </c>
      <c r="O19" s="831">
        <v>-161463</v>
      </c>
      <c r="P19" s="293">
        <v>204</v>
      </c>
      <c r="Q19" s="878"/>
      <c r="R19" s="807">
        <f t="shared" si="2"/>
        <v>1446183</v>
      </c>
      <c r="S19" s="807">
        <f t="shared" si="1"/>
        <v>0</v>
      </c>
      <c r="T19" s="807"/>
      <c r="U19" s="49">
        <f>民間設備製造1!O21</f>
        <v>17261</v>
      </c>
      <c r="V19" s="49">
        <f t="shared" si="3"/>
        <v>1536953</v>
      </c>
    </row>
    <row r="20" spans="1:22">
      <c r="A20" s="302">
        <v>206</v>
      </c>
      <c r="B20" s="201" t="s">
        <v>185</v>
      </c>
      <c r="C20" s="867">
        <v>224119</v>
      </c>
      <c r="D20" s="873">
        <v>234122</v>
      </c>
      <c r="E20" s="872">
        <v>52185</v>
      </c>
      <c r="F20" s="871">
        <v>54711</v>
      </c>
      <c r="G20" s="872">
        <v>10518</v>
      </c>
      <c r="H20" s="871">
        <v>42727</v>
      </c>
      <c r="I20" s="872">
        <v>1466</v>
      </c>
      <c r="J20" s="871">
        <v>22735</v>
      </c>
      <c r="K20" s="873">
        <v>363753</v>
      </c>
      <c r="L20" s="856">
        <v>-139634</v>
      </c>
      <c r="M20" s="830">
        <v>212779</v>
      </c>
      <c r="N20" s="830">
        <v>303221</v>
      </c>
      <c r="O20" s="831">
        <v>-49192</v>
      </c>
      <c r="P20" s="293">
        <v>206</v>
      </c>
      <c r="Q20" s="878"/>
      <c r="R20" s="807">
        <f t="shared" si="2"/>
        <v>224119</v>
      </c>
      <c r="S20" s="807">
        <f t="shared" si="1"/>
        <v>0</v>
      </c>
      <c r="T20" s="807"/>
      <c r="U20" s="49">
        <f>民間設備製造1!O22</f>
        <v>66</v>
      </c>
      <c r="V20" s="49">
        <f t="shared" si="3"/>
        <v>319626</v>
      </c>
    </row>
    <row r="21" spans="1:22">
      <c r="A21" s="300">
        <v>2</v>
      </c>
      <c r="B21" s="65" t="s">
        <v>186</v>
      </c>
      <c r="C21" s="863">
        <v>2107783</v>
      </c>
      <c r="D21" s="869">
        <v>1621163</v>
      </c>
      <c r="E21" s="868">
        <v>287876</v>
      </c>
      <c r="F21" s="829">
        <v>483941</v>
      </c>
      <c r="G21" s="868">
        <v>71320</v>
      </c>
      <c r="H21" s="867">
        <v>402760</v>
      </c>
      <c r="I21" s="868">
        <v>9861</v>
      </c>
      <c r="J21" s="867">
        <v>53881</v>
      </c>
      <c r="K21" s="831">
        <v>2446861</v>
      </c>
      <c r="L21" s="855">
        <v>-339078</v>
      </c>
      <c r="M21" s="827">
        <v>1905471</v>
      </c>
      <c r="N21" s="827">
        <v>2039678</v>
      </c>
      <c r="O21" s="828">
        <v>-204871</v>
      </c>
      <c r="P21" s="293">
        <v>2</v>
      </c>
      <c r="Q21" s="878"/>
      <c r="R21" s="807">
        <f t="shared" si="2"/>
        <v>2107783</v>
      </c>
      <c r="S21" s="807">
        <f t="shared" si="1"/>
        <v>0</v>
      </c>
      <c r="T21" s="807"/>
      <c r="U21" s="49">
        <f>民間設備製造1!O23</f>
        <v>115776</v>
      </c>
      <c r="V21" s="49">
        <f t="shared" si="3"/>
        <v>2150016</v>
      </c>
    </row>
    <row r="22" spans="1:22">
      <c r="A22" s="300">
        <v>207</v>
      </c>
      <c r="B22" s="90" t="s">
        <v>187</v>
      </c>
      <c r="C22" s="867">
        <v>706440</v>
      </c>
      <c r="D22" s="869">
        <v>449492</v>
      </c>
      <c r="E22" s="868">
        <v>75898</v>
      </c>
      <c r="F22" s="867">
        <v>170613</v>
      </c>
      <c r="G22" s="868">
        <v>24485</v>
      </c>
      <c r="H22" s="867">
        <v>143282</v>
      </c>
      <c r="I22" s="868">
        <v>2846</v>
      </c>
      <c r="J22" s="867">
        <v>10119</v>
      </c>
      <c r="K22" s="869">
        <v>706122</v>
      </c>
      <c r="L22" s="856">
        <v>318</v>
      </c>
      <c r="M22" s="830">
        <v>628928</v>
      </c>
      <c r="N22" s="830">
        <v>588616</v>
      </c>
      <c r="O22" s="831">
        <v>-39994</v>
      </c>
      <c r="P22" s="293">
        <v>207</v>
      </c>
      <c r="Q22" s="878"/>
      <c r="R22" s="807">
        <f t="shared" si="2"/>
        <v>706440</v>
      </c>
      <c r="S22" s="807">
        <f t="shared" si="1"/>
        <v>0</v>
      </c>
      <c r="T22" s="807"/>
      <c r="U22" s="49">
        <f>民間設備製造1!O24</f>
        <v>60459</v>
      </c>
      <c r="V22" s="49">
        <f t="shared" si="3"/>
        <v>620453</v>
      </c>
    </row>
    <row r="23" spans="1:22">
      <c r="A23" s="300">
        <v>214</v>
      </c>
      <c r="B23" s="90" t="s">
        <v>188</v>
      </c>
      <c r="C23" s="867">
        <v>500797</v>
      </c>
      <c r="D23" s="869">
        <v>527542</v>
      </c>
      <c r="E23" s="868">
        <v>92598</v>
      </c>
      <c r="F23" s="867">
        <v>116936</v>
      </c>
      <c r="G23" s="868">
        <v>22031</v>
      </c>
      <c r="H23" s="867">
        <v>91862</v>
      </c>
      <c r="I23" s="868">
        <v>3043</v>
      </c>
      <c r="J23" s="867">
        <v>17978</v>
      </c>
      <c r="K23" s="869">
        <v>755054</v>
      </c>
      <c r="L23" s="856">
        <v>-254257</v>
      </c>
      <c r="M23" s="830">
        <v>464138</v>
      </c>
      <c r="N23" s="830">
        <v>629405</v>
      </c>
      <c r="O23" s="831">
        <v>-88990</v>
      </c>
      <c r="P23" s="293">
        <v>214</v>
      </c>
      <c r="Q23" s="878"/>
      <c r="R23" s="807">
        <f t="shared" si="2"/>
        <v>500797</v>
      </c>
      <c r="S23" s="807">
        <f t="shared" si="1"/>
        <v>0</v>
      </c>
      <c r="T23" s="807"/>
      <c r="U23" s="49">
        <f>民間設備製造1!O25</f>
        <v>3309</v>
      </c>
      <c r="V23" s="49">
        <f t="shared" si="3"/>
        <v>663458</v>
      </c>
    </row>
    <row r="24" spans="1:22">
      <c r="A24" s="300">
        <v>217</v>
      </c>
      <c r="B24" s="90" t="s">
        <v>189</v>
      </c>
      <c r="C24" s="867">
        <v>359555</v>
      </c>
      <c r="D24" s="869">
        <v>350140</v>
      </c>
      <c r="E24" s="868">
        <v>57377</v>
      </c>
      <c r="F24" s="867">
        <v>81220</v>
      </c>
      <c r="G24" s="868">
        <v>14772</v>
      </c>
      <c r="H24" s="867">
        <v>64411</v>
      </c>
      <c r="I24" s="868">
        <v>2037</v>
      </c>
      <c r="J24" s="867">
        <v>16830</v>
      </c>
      <c r="K24" s="869">
        <v>505567</v>
      </c>
      <c r="L24" s="856">
        <v>-146012</v>
      </c>
      <c r="M24" s="830">
        <v>328943</v>
      </c>
      <c r="N24" s="830">
        <v>421435</v>
      </c>
      <c r="O24" s="831">
        <v>-53520</v>
      </c>
      <c r="P24" s="293">
        <v>217</v>
      </c>
      <c r="Q24" s="878"/>
      <c r="R24" s="807">
        <f t="shared" si="2"/>
        <v>359555</v>
      </c>
      <c r="S24" s="807">
        <f t="shared" si="1"/>
        <v>0</v>
      </c>
      <c r="T24" s="807"/>
      <c r="U24" s="49">
        <f>民間設備製造1!O26</f>
        <v>5119</v>
      </c>
      <c r="V24" s="49">
        <f t="shared" si="3"/>
        <v>444238</v>
      </c>
    </row>
    <row r="25" spans="1:22">
      <c r="A25" s="300">
        <v>219</v>
      </c>
      <c r="B25" s="90" t="s">
        <v>190</v>
      </c>
      <c r="C25" s="867">
        <v>478020</v>
      </c>
      <c r="D25" s="869">
        <v>232886</v>
      </c>
      <c r="E25" s="868">
        <v>46746</v>
      </c>
      <c r="F25" s="867">
        <v>102244</v>
      </c>
      <c r="G25" s="868">
        <v>8910</v>
      </c>
      <c r="H25" s="867">
        <v>91765</v>
      </c>
      <c r="I25" s="868">
        <v>1569</v>
      </c>
      <c r="J25" s="867">
        <v>7374</v>
      </c>
      <c r="K25" s="869">
        <v>389250</v>
      </c>
      <c r="L25" s="856">
        <v>88770</v>
      </c>
      <c r="M25" s="830">
        <v>423397</v>
      </c>
      <c r="N25" s="830">
        <v>324475</v>
      </c>
      <c r="O25" s="831">
        <v>-10152</v>
      </c>
      <c r="P25" s="293">
        <v>219</v>
      </c>
      <c r="Q25" s="878"/>
      <c r="R25" s="807">
        <f t="shared" si="2"/>
        <v>478020</v>
      </c>
      <c r="S25" s="807">
        <f t="shared" si="1"/>
        <v>0</v>
      </c>
      <c r="T25" s="807"/>
      <c r="U25" s="49">
        <f>民間設備製造1!O27</f>
        <v>46106</v>
      </c>
      <c r="V25" s="49">
        <f t="shared" si="3"/>
        <v>342022</v>
      </c>
    </row>
    <row r="26" spans="1:22">
      <c r="A26" s="300">
        <v>301</v>
      </c>
      <c r="B26" s="90" t="s">
        <v>191</v>
      </c>
      <c r="C26" s="871">
        <v>62971</v>
      </c>
      <c r="D26" s="869">
        <v>61103</v>
      </c>
      <c r="E26" s="868">
        <v>15257</v>
      </c>
      <c r="F26" s="867">
        <v>12928</v>
      </c>
      <c r="G26" s="868">
        <v>1122</v>
      </c>
      <c r="H26" s="867">
        <v>11440</v>
      </c>
      <c r="I26" s="868">
        <v>366</v>
      </c>
      <c r="J26" s="867">
        <v>1580</v>
      </c>
      <c r="K26" s="869">
        <v>90868</v>
      </c>
      <c r="L26" s="858">
        <v>-27897</v>
      </c>
      <c r="M26" s="837">
        <v>60065</v>
      </c>
      <c r="N26" s="837">
        <v>75747</v>
      </c>
      <c r="O26" s="835">
        <v>-12215</v>
      </c>
      <c r="P26" s="293">
        <v>301</v>
      </c>
      <c r="Q26" s="878"/>
      <c r="R26" s="807">
        <f t="shared" si="2"/>
        <v>62971</v>
      </c>
      <c r="S26" s="807">
        <f t="shared" si="1"/>
        <v>0</v>
      </c>
      <c r="T26" s="807"/>
      <c r="U26" s="49">
        <f>民間設備製造1!O28</f>
        <v>783</v>
      </c>
      <c r="V26" s="49">
        <f t="shared" si="3"/>
        <v>79845</v>
      </c>
    </row>
    <row r="27" spans="1:22">
      <c r="A27" s="301">
        <v>3</v>
      </c>
      <c r="B27" s="128" t="s">
        <v>192</v>
      </c>
      <c r="C27" s="867">
        <v>2965443</v>
      </c>
      <c r="D27" s="865">
        <v>1631351</v>
      </c>
      <c r="E27" s="864">
        <v>270067</v>
      </c>
      <c r="F27" s="826">
        <v>793968</v>
      </c>
      <c r="G27" s="864">
        <v>112334</v>
      </c>
      <c r="H27" s="863">
        <v>670477</v>
      </c>
      <c r="I27" s="864">
        <v>11157</v>
      </c>
      <c r="J27" s="863">
        <v>73102</v>
      </c>
      <c r="K27" s="828">
        <v>2768488</v>
      </c>
      <c r="L27" s="856">
        <v>196955</v>
      </c>
      <c r="M27" s="830">
        <v>2617193</v>
      </c>
      <c r="N27" s="830">
        <v>2307782</v>
      </c>
      <c r="O27" s="831">
        <v>-112456</v>
      </c>
      <c r="P27" s="293">
        <v>3</v>
      </c>
      <c r="Q27" s="878"/>
      <c r="R27" s="807">
        <f t="shared" si="2"/>
        <v>2965443</v>
      </c>
      <c r="S27" s="807">
        <f t="shared" si="1"/>
        <v>0</v>
      </c>
      <c r="T27" s="807"/>
      <c r="U27" s="49">
        <f>民間設備製造1!O29</f>
        <v>345733</v>
      </c>
      <c r="V27" s="49">
        <f t="shared" si="3"/>
        <v>2432587</v>
      </c>
    </row>
    <row r="28" spans="1:22">
      <c r="A28" s="300">
        <v>203</v>
      </c>
      <c r="B28" s="90" t="s">
        <v>193</v>
      </c>
      <c r="C28" s="867">
        <v>1195444</v>
      </c>
      <c r="D28" s="869">
        <v>712896</v>
      </c>
      <c r="E28" s="868">
        <v>117789</v>
      </c>
      <c r="F28" s="867">
        <v>277720</v>
      </c>
      <c r="G28" s="868">
        <v>50008</v>
      </c>
      <c r="H28" s="867">
        <v>223108</v>
      </c>
      <c r="I28" s="868">
        <v>4604</v>
      </c>
      <c r="J28" s="867">
        <v>33993</v>
      </c>
      <c r="K28" s="869">
        <v>1142398</v>
      </c>
      <c r="L28" s="856">
        <v>53046</v>
      </c>
      <c r="M28" s="830">
        <v>1059260</v>
      </c>
      <c r="N28" s="830">
        <v>952291</v>
      </c>
      <c r="O28" s="831">
        <v>-53923</v>
      </c>
      <c r="P28" s="293">
        <v>203</v>
      </c>
      <c r="Q28" s="878"/>
      <c r="R28" s="807">
        <f t="shared" si="2"/>
        <v>1195444</v>
      </c>
      <c r="S28" s="807">
        <f t="shared" si="1"/>
        <v>0</v>
      </c>
      <c r="T28" s="807"/>
      <c r="U28" s="49">
        <f>民間設備製造1!O30</f>
        <v>89113</v>
      </c>
      <c r="V28" s="49">
        <f t="shared" si="3"/>
        <v>1003799</v>
      </c>
    </row>
    <row r="29" spans="1:22">
      <c r="A29" s="300">
        <v>210</v>
      </c>
      <c r="B29" s="90" t="s">
        <v>194</v>
      </c>
      <c r="C29" s="867">
        <v>893962</v>
      </c>
      <c r="D29" s="869">
        <v>581547</v>
      </c>
      <c r="E29" s="868">
        <v>95143</v>
      </c>
      <c r="F29" s="867">
        <v>270836</v>
      </c>
      <c r="G29" s="868">
        <v>43638</v>
      </c>
      <c r="H29" s="867">
        <v>223301</v>
      </c>
      <c r="I29" s="868">
        <v>3897</v>
      </c>
      <c r="J29" s="867">
        <v>19425</v>
      </c>
      <c r="K29" s="869">
        <v>966951</v>
      </c>
      <c r="L29" s="856">
        <v>-72989</v>
      </c>
      <c r="M29" s="830">
        <v>795451</v>
      </c>
      <c r="N29" s="830">
        <v>806040</v>
      </c>
      <c r="O29" s="831">
        <v>-62400</v>
      </c>
      <c r="P29" s="293">
        <v>210</v>
      </c>
      <c r="Q29" s="878"/>
      <c r="R29" s="807">
        <f t="shared" si="2"/>
        <v>893962</v>
      </c>
      <c r="S29" s="807">
        <f t="shared" si="1"/>
        <v>0</v>
      </c>
      <c r="T29" s="807"/>
      <c r="U29" s="49">
        <f>民間設備製造1!O31</f>
        <v>109879</v>
      </c>
      <c r="V29" s="49">
        <f t="shared" si="3"/>
        <v>849632</v>
      </c>
    </row>
    <row r="30" spans="1:22">
      <c r="A30" s="300">
        <v>216</v>
      </c>
      <c r="B30" s="90" t="s">
        <v>195</v>
      </c>
      <c r="C30" s="867">
        <v>518240</v>
      </c>
      <c r="D30" s="869">
        <v>200606</v>
      </c>
      <c r="E30" s="868">
        <v>34540</v>
      </c>
      <c r="F30" s="867">
        <v>161942</v>
      </c>
      <c r="G30" s="868">
        <v>10878</v>
      </c>
      <c r="H30" s="867">
        <v>149412</v>
      </c>
      <c r="I30" s="868">
        <v>1652</v>
      </c>
      <c r="J30" s="867">
        <v>12901</v>
      </c>
      <c r="K30" s="869">
        <v>409989</v>
      </c>
      <c r="L30" s="856">
        <v>108251</v>
      </c>
      <c r="M30" s="830">
        <v>451413</v>
      </c>
      <c r="N30" s="830">
        <v>341762</v>
      </c>
      <c r="O30" s="831">
        <v>-1400</v>
      </c>
      <c r="P30" s="293">
        <v>216</v>
      </c>
      <c r="Q30" s="878"/>
      <c r="R30" s="807">
        <f t="shared" si="2"/>
        <v>518240</v>
      </c>
      <c r="S30" s="807">
        <f t="shared" si="1"/>
        <v>0</v>
      </c>
      <c r="T30" s="807"/>
      <c r="U30" s="49">
        <f>民間設備製造1!O32</f>
        <v>101312</v>
      </c>
      <c r="V30" s="49">
        <f t="shared" si="3"/>
        <v>360237</v>
      </c>
    </row>
    <row r="31" spans="1:22">
      <c r="A31" s="300">
        <v>381</v>
      </c>
      <c r="B31" s="90" t="s">
        <v>196</v>
      </c>
      <c r="C31" s="867">
        <v>182715</v>
      </c>
      <c r="D31" s="869">
        <v>61813</v>
      </c>
      <c r="E31" s="868">
        <v>10163</v>
      </c>
      <c r="F31" s="867">
        <v>31812</v>
      </c>
      <c r="G31" s="868">
        <v>3577</v>
      </c>
      <c r="H31" s="867">
        <v>27808</v>
      </c>
      <c r="I31" s="868">
        <v>427</v>
      </c>
      <c r="J31" s="867">
        <v>2095</v>
      </c>
      <c r="K31" s="869">
        <v>105883</v>
      </c>
      <c r="L31" s="856">
        <v>76832</v>
      </c>
      <c r="M31" s="830">
        <v>158204</v>
      </c>
      <c r="N31" s="830">
        <v>88263</v>
      </c>
      <c r="O31" s="831">
        <v>6891</v>
      </c>
      <c r="P31" s="293">
        <v>381</v>
      </c>
      <c r="Q31" s="878"/>
      <c r="R31" s="807">
        <f t="shared" si="2"/>
        <v>182715</v>
      </c>
      <c r="S31" s="807">
        <f t="shared" si="1"/>
        <v>0</v>
      </c>
      <c r="T31" s="807"/>
      <c r="U31" s="49">
        <f>民間設備製造1!O33</f>
        <v>15388</v>
      </c>
      <c r="V31" s="49">
        <f t="shared" si="3"/>
        <v>93036</v>
      </c>
    </row>
    <row r="32" spans="1:22">
      <c r="A32" s="302">
        <v>382</v>
      </c>
      <c r="B32" s="201" t="s">
        <v>197</v>
      </c>
      <c r="C32" s="867">
        <v>175082</v>
      </c>
      <c r="D32" s="873">
        <v>74489</v>
      </c>
      <c r="E32" s="872">
        <v>12432</v>
      </c>
      <c r="F32" s="871">
        <v>51658</v>
      </c>
      <c r="G32" s="872">
        <v>4233</v>
      </c>
      <c r="H32" s="871">
        <v>46848</v>
      </c>
      <c r="I32" s="872">
        <v>577</v>
      </c>
      <c r="J32" s="871">
        <v>4688</v>
      </c>
      <c r="K32" s="873">
        <v>143267</v>
      </c>
      <c r="L32" s="856">
        <v>31815</v>
      </c>
      <c r="M32" s="830">
        <v>152865</v>
      </c>
      <c r="N32" s="830">
        <v>119426</v>
      </c>
      <c r="O32" s="831">
        <v>-1624</v>
      </c>
      <c r="P32" s="293">
        <v>382</v>
      </c>
      <c r="Q32" s="878"/>
      <c r="R32" s="807">
        <f t="shared" si="2"/>
        <v>175082</v>
      </c>
      <c r="S32" s="807">
        <f t="shared" si="1"/>
        <v>0</v>
      </c>
      <c r="T32" s="807"/>
      <c r="U32" s="49">
        <f>民間設備製造1!O34</f>
        <v>30041</v>
      </c>
      <c r="V32" s="49">
        <f t="shared" si="3"/>
        <v>125883</v>
      </c>
    </row>
    <row r="33" spans="1:22">
      <c r="A33" s="300">
        <v>4</v>
      </c>
      <c r="B33" s="91" t="s">
        <v>198</v>
      </c>
      <c r="C33" s="863">
        <v>1296507</v>
      </c>
      <c r="D33" s="869">
        <v>556062</v>
      </c>
      <c r="E33" s="868">
        <v>121985</v>
      </c>
      <c r="F33" s="829">
        <v>237782</v>
      </c>
      <c r="G33" s="868">
        <v>30116</v>
      </c>
      <c r="H33" s="867">
        <v>203833</v>
      </c>
      <c r="I33" s="868">
        <v>3833</v>
      </c>
      <c r="J33" s="867">
        <v>35180</v>
      </c>
      <c r="K33" s="831">
        <v>951009</v>
      </c>
      <c r="L33" s="855">
        <v>345498</v>
      </c>
      <c r="M33" s="827">
        <v>1146095</v>
      </c>
      <c r="N33" s="827">
        <v>792752</v>
      </c>
      <c r="O33" s="828">
        <v>-7845</v>
      </c>
      <c r="P33" s="293">
        <v>4</v>
      </c>
      <c r="Q33" s="878"/>
      <c r="R33" s="807">
        <f t="shared" si="2"/>
        <v>1296507</v>
      </c>
      <c r="S33" s="807">
        <f t="shared" si="1"/>
        <v>0</v>
      </c>
      <c r="T33" s="807"/>
      <c r="U33" s="49">
        <f>民間設備製造1!O35</f>
        <v>92285</v>
      </c>
      <c r="V33" s="49">
        <f t="shared" si="3"/>
        <v>835628</v>
      </c>
    </row>
    <row r="34" spans="1:22">
      <c r="A34" s="300">
        <v>213</v>
      </c>
      <c r="B34" s="92" t="s">
        <v>231</v>
      </c>
      <c r="C34" s="867">
        <v>142474</v>
      </c>
      <c r="D34" s="869">
        <v>83136</v>
      </c>
      <c r="E34" s="868">
        <v>15556</v>
      </c>
      <c r="F34" s="867">
        <v>23089</v>
      </c>
      <c r="G34" s="868">
        <v>4402</v>
      </c>
      <c r="H34" s="867">
        <v>18179</v>
      </c>
      <c r="I34" s="868">
        <v>508</v>
      </c>
      <c r="J34" s="867">
        <v>4229</v>
      </c>
      <c r="K34" s="869">
        <v>126010</v>
      </c>
      <c r="L34" s="856">
        <v>16464</v>
      </c>
      <c r="M34" s="830">
        <v>126960</v>
      </c>
      <c r="N34" s="830">
        <v>105041</v>
      </c>
      <c r="O34" s="831">
        <v>-5455</v>
      </c>
      <c r="P34" s="293">
        <v>213</v>
      </c>
      <c r="Q34" s="878"/>
      <c r="R34" s="807">
        <f t="shared" si="2"/>
        <v>142474</v>
      </c>
      <c r="S34" s="807">
        <f t="shared" si="1"/>
        <v>0</v>
      </c>
      <c r="T34" s="807"/>
      <c r="U34" s="49">
        <f>民間設備製造1!O36</f>
        <v>3400</v>
      </c>
      <c r="V34" s="49">
        <f t="shared" si="3"/>
        <v>110723</v>
      </c>
    </row>
    <row r="35" spans="1:22">
      <c r="A35" s="300">
        <v>215</v>
      </c>
      <c r="B35" s="92" t="s">
        <v>232</v>
      </c>
      <c r="C35" s="867">
        <v>308410</v>
      </c>
      <c r="D35" s="869">
        <v>163258</v>
      </c>
      <c r="E35" s="868">
        <v>35592</v>
      </c>
      <c r="F35" s="867">
        <v>55814</v>
      </c>
      <c r="G35" s="868">
        <v>7407</v>
      </c>
      <c r="H35" s="867">
        <v>47357</v>
      </c>
      <c r="I35" s="868">
        <v>1050</v>
      </c>
      <c r="J35" s="867">
        <v>5913</v>
      </c>
      <c r="K35" s="869">
        <v>260577</v>
      </c>
      <c r="L35" s="856">
        <v>47833</v>
      </c>
      <c r="M35" s="830">
        <v>275730</v>
      </c>
      <c r="N35" s="830">
        <v>217214</v>
      </c>
      <c r="O35" s="831">
        <v>-10683</v>
      </c>
      <c r="P35" s="293">
        <v>215</v>
      </c>
      <c r="Q35" s="878"/>
      <c r="R35" s="807">
        <f t="shared" si="2"/>
        <v>308410</v>
      </c>
      <c r="S35" s="807">
        <f t="shared" si="1"/>
        <v>0</v>
      </c>
      <c r="T35" s="807"/>
      <c r="U35" s="49">
        <f>民間設備製造1!O37</f>
        <v>16794</v>
      </c>
      <c r="V35" s="49">
        <f t="shared" si="3"/>
        <v>228964</v>
      </c>
    </row>
    <row r="36" spans="1:22">
      <c r="A36" s="300">
        <v>218</v>
      </c>
      <c r="B36" s="90" t="s">
        <v>200</v>
      </c>
      <c r="C36" s="867">
        <v>263985</v>
      </c>
      <c r="D36" s="869">
        <v>96115</v>
      </c>
      <c r="E36" s="868">
        <v>20116</v>
      </c>
      <c r="F36" s="867">
        <v>51475</v>
      </c>
      <c r="G36" s="868">
        <v>6730</v>
      </c>
      <c r="H36" s="867">
        <v>44035</v>
      </c>
      <c r="I36" s="868">
        <v>710</v>
      </c>
      <c r="J36" s="867">
        <v>8439</v>
      </c>
      <c r="K36" s="869">
        <v>176145</v>
      </c>
      <c r="L36" s="856">
        <v>87840</v>
      </c>
      <c r="M36" s="830">
        <v>231133</v>
      </c>
      <c r="N36" s="830">
        <v>146833</v>
      </c>
      <c r="O36" s="831">
        <v>3540</v>
      </c>
      <c r="P36" s="293">
        <v>218</v>
      </c>
      <c r="Q36" s="878"/>
      <c r="R36" s="807">
        <f t="shared" si="2"/>
        <v>263985</v>
      </c>
      <c r="S36" s="807">
        <f t="shared" si="1"/>
        <v>0</v>
      </c>
      <c r="T36" s="807"/>
      <c r="U36" s="49">
        <f>民間設備製造1!O38</f>
        <v>23373</v>
      </c>
      <c r="V36" s="49">
        <f t="shared" si="3"/>
        <v>154773</v>
      </c>
    </row>
    <row r="37" spans="1:22">
      <c r="A37" s="300">
        <v>220</v>
      </c>
      <c r="B37" s="90" t="s">
        <v>201</v>
      </c>
      <c r="C37" s="867">
        <v>254849</v>
      </c>
      <c r="D37" s="869">
        <v>88058</v>
      </c>
      <c r="E37" s="868">
        <v>18818</v>
      </c>
      <c r="F37" s="867">
        <v>48238</v>
      </c>
      <c r="G37" s="868">
        <v>3725</v>
      </c>
      <c r="H37" s="867">
        <v>43875</v>
      </c>
      <c r="I37" s="868">
        <v>638</v>
      </c>
      <c r="J37" s="867">
        <v>3111</v>
      </c>
      <c r="K37" s="869">
        <v>158225</v>
      </c>
      <c r="L37" s="856">
        <v>96624</v>
      </c>
      <c r="M37" s="830">
        <v>222850</v>
      </c>
      <c r="N37" s="830">
        <v>131895</v>
      </c>
      <c r="O37" s="831">
        <v>5669</v>
      </c>
      <c r="P37" s="293">
        <v>220</v>
      </c>
      <c r="Q37" s="878"/>
      <c r="R37" s="807">
        <f t="shared" si="2"/>
        <v>254849</v>
      </c>
      <c r="S37" s="807">
        <f t="shared" si="1"/>
        <v>0</v>
      </c>
      <c r="T37" s="807"/>
      <c r="U37" s="49">
        <f>民間設備製造1!O39</f>
        <v>25315</v>
      </c>
      <c r="V37" s="49">
        <f t="shared" si="3"/>
        <v>139027</v>
      </c>
    </row>
    <row r="38" spans="1:22">
      <c r="A38" s="300">
        <v>228</v>
      </c>
      <c r="B38" s="90" t="s">
        <v>239</v>
      </c>
      <c r="C38" s="867">
        <v>260978</v>
      </c>
      <c r="D38" s="869">
        <v>89309</v>
      </c>
      <c r="E38" s="868">
        <v>18842</v>
      </c>
      <c r="F38" s="867">
        <v>44750</v>
      </c>
      <c r="G38" s="868">
        <v>6963</v>
      </c>
      <c r="H38" s="867">
        <v>37140</v>
      </c>
      <c r="I38" s="868">
        <v>647</v>
      </c>
      <c r="J38" s="867">
        <v>7718</v>
      </c>
      <c r="K38" s="869">
        <v>160619</v>
      </c>
      <c r="L38" s="856">
        <v>100359</v>
      </c>
      <c r="M38" s="830">
        <v>228008</v>
      </c>
      <c r="N38" s="830">
        <v>133890</v>
      </c>
      <c r="O38" s="831">
        <v>6241</v>
      </c>
      <c r="P38" s="293">
        <v>228</v>
      </c>
      <c r="Q38" s="878"/>
      <c r="R38" s="807">
        <f t="shared" si="2"/>
        <v>260978</v>
      </c>
      <c r="S38" s="807">
        <f t="shared" si="1"/>
        <v>0</v>
      </c>
      <c r="T38" s="807"/>
      <c r="U38" s="49">
        <f>民間設備製造1!O40</f>
        <v>18300</v>
      </c>
      <c r="V38" s="49">
        <f t="shared" si="3"/>
        <v>141132</v>
      </c>
    </row>
    <row r="39" spans="1:22">
      <c r="A39" s="300">
        <v>365</v>
      </c>
      <c r="B39" s="90" t="s">
        <v>233</v>
      </c>
      <c r="C39" s="871">
        <v>65811</v>
      </c>
      <c r="D39" s="869">
        <v>36186</v>
      </c>
      <c r="E39" s="868">
        <v>13061</v>
      </c>
      <c r="F39" s="867">
        <v>14416</v>
      </c>
      <c r="G39" s="868">
        <v>889</v>
      </c>
      <c r="H39" s="867">
        <v>13247</v>
      </c>
      <c r="I39" s="868">
        <v>280</v>
      </c>
      <c r="J39" s="867">
        <v>5770</v>
      </c>
      <c r="K39" s="869">
        <v>69433</v>
      </c>
      <c r="L39" s="858">
        <v>-3622</v>
      </c>
      <c r="M39" s="837">
        <v>61414</v>
      </c>
      <c r="N39" s="837">
        <v>57879</v>
      </c>
      <c r="O39" s="835">
        <v>-7157</v>
      </c>
      <c r="P39" s="293">
        <v>365</v>
      </c>
      <c r="Q39" s="878"/>
      <c r="R39" s="807">
        <f t="shared" si="2"/>
        <v>65811</v>
      </c>
      <c r="S39" s="807">
        <f t="shared" si="1"/>
        <v>0</v>
      </c>
      <c r="T39" s="807"/>
      <c r="U39" s="49">
        <f>民間設備製造1!O41</f>
        <v>5103</v>
      </c>
      <c r="V39" s="49">
        <f t="shared" si="3"/>
        <v>61009</v>
      </c>
    </row>
    <row r="40" spans="1:22">
      <c r="A40" s="301">
        <v>5</v>
      </c>
      <c r="B40" s="306" t="s">
        <v>202</v>
      </c>
      <c r="C40" s="867">
        <v>2674825</v>
      </c>
      <c r="D40" s="865">
        <v>1301095</v>
      </c>
      <c r="E40" s="864">
        <v>239164</v>
      </c>
      <c r="F40" s="826">
        <v>721503</v>
      </c>
      <c r="G40" s="864">
        <v>98322</v>
      </c>
      <c r="H40" s="863">
        <v>613688</v>
      </c>
      <c r="I40" s="864">
        <v>9493</v>
      </c>
      <c r="J40" s="863">
        <v>93905</v>
      </c>
      <c r="K40" s="827">
        <v>2355667</v>
      </c>
      <c r="L40" s="856">
        <v>319158</v>
      </c>
      <c r="M40" s="830">
        <v>2358615</v>
      </c>
      <c r="N40" s="830">
        <v>1963659</v>
      </c>
      <c r="O40" s="831">
        <v>-75798</v>
      </c>
      <c r="P40" s="293">
        <v>5</v>
      </c>
      <c r="Q40" s="878"/>
      <c r="R40" s="807">
        <f t="shared" si="2"/>
        <v>2674825</v>
      </c>
      <c r="S40" s="807">
        <f t="shared" si="1"/>
        <v>0</v>
      </c>
      <c r="T40" s="807"/>
      <c r="U40" s="49">
        <f>民間設備製造1!O42</f>
        <v>337360</v>
      </c>
      <c r="V40" s="49">
        <f t="shared" si="3"/>
        <v>2069846</v>
      </c>
    </row>
    <row r="41" spans="1:22">
      <c r="A41" s="300">
        <v>201</v>
      </c>
      <c r="B41" s="92" t="s">
        <v>240</v>
      </c>
      <c r="C41" s="867">
        <v>2416021</v>
      </c>
      <c r="D41" s="869">
        <v>1214872</v>
      </c>
      <c r="E41" s="868">
        <v>212645</v>
      </c>
      <c r="F41" s="867">
        <v>668873</v>
      </c>
      <c r="G41" s="868">
        <v>93688</v>
      </c>
      <c r="H41" s="867">
        <v>566414</v>
      </c>
      <c r="I41" s="868">
        <v>8771</v>
      </c>
      <c r="J41" s="867">
        <v>80051</v>
      </c>
      <c r="K41" s="868">
        <v>2176441</v>
      </c>
      <c r="L41" s="856">
        <v>239580</v>
      </c>
      <c r="M41" s="830">
        <v>2128813</v>
      </c>
      <c r="N41" s="830">
        <v>1814258</v>
      </c>
      <c r="O41" s="831">
        <v>-74975</v>
      </c>
      <c r="P41" s="293">
        <v>201</v>
      </c>
      <c r="Q41" s="878"/>
      <c r="R41" s="807">
        <f t="shared" si="2"/>
        <v>2416021</v>
      </c>
      <c r="S41" s="807">
        <f t="shared" si="1"/>
        <v>0</v>
      </c>
      <c r="T41" s="807"/>
      <c r="U41" s="49">
        <f>民間設備製造1!O43</f>
        <v>311109</v>
      </c>
      <c r="V41" s="49">
        <f t="shared" si="3"/>
        <v>1912365</v>
      </c>
    </row>
    <row r="42" spans="1:22">
      <c r="A42" s="300">
        <v>442</v>
      </c>
      <c r="B42" s="90" t="s">
        <v>203</v>
      </c>
      <c r="C42" s="867">
        <v>38688</v>
      </c>
      <c r="D42" s="869">
        <v>23869</v>
      </c>
      <c r="E42" s="868">
        <v>7210</v>
      </c>
      <c r="F42" s="867">
        <v>9517</v>
      </c>
      <c r="G42" s="868">
        <v>571</v>
      </c>
      <c r="H42" s="867">
        <v>8764</v>
      </c>
      <c r="I42" s="868">
        <v>182</v>
      </c>
      <c r="J42" s="867">
        <v>4610</v>
      </c>
      <c r="K42" s="868">
        <v>45206</v>
      </c>
      <c r="L42" s="856">
        <v>-6518</v>
      </c>
      <c r="M42" s="830">
        <v>35883</v>
      </c>
      <c r="N42" s="830">
        <v>37683</v>
      </c>
      <c r="O42" s="831">
        <v>-4718</v>
      </c>
      <c r="P42" s="293">
        <v>442</v>
      </c>
      <c r="Q42" s="878"/>
      <c r="R42" s="807">
        <f t="shared" si="2"/>
        <v>38688</v>
      </c>
      <c r="S42" s="807">
        <f t="shared" si="1"/>
        <v>0</v>
      </c>
      <c r="T42" s="807"/>
      <c r="U42" s="49">
        <f>民間設備製造1!O44</f>
        <v>3462</v>
      </c>
      <c r="V42" s="49">
        <f t="shared" si="3"/>
        <v>39722</v>
      </c>
    </row>
    <row r="43" spans="1:22">
      <c r="A43" s="300">
        <v>443</v>
      </c>
      <c r="B43" s="90" t="s">
        <v>204</v>
      </c>
      <c r="C43" s="867">
        <v>187452</v>
      </c>
      <c r="D43" s="869">
        <v>41450</v>
      </c>
      <c r="E43" s="868">
        <v>9387</v>
      </c>
      <c r="F43" s="867">
        <v>29350</v>
      </c>
      <c r="G43" s="868">
        <v>3259</v>
      </c>
      <c r="H43" s="867">
        <v>25749</v>
      </c>
      <c r="I43" s="868">
        <v>342</v>
      </c>
      <c r="J43" s="867">
        <v>4635</v>
      </c>
      <c r="K43" s="868">
        <v>84822</v>
      </c>
      <c r="L43" s="856">
        <v>102630</v>
      </c>
      <c r="M43" s="830">
        <v>161815</v>
      </c>
      <c r="N43" s="830">
        <v>70707</v>
      </c>
      <c r="O43" s="831">
        <v>11522</v>
      </c>
      <c r="P43" s="293">
        <v>443</v>
      </c>
      <c r="Q43" s="878"/>
      <c r="R43" s="807">
        <f t="shared" si="2"/>
        <v>187452</v>
      </c>
      <c r="S43" s="807">
        <f t="shared" si="1"/>
        <v>0</v>
      </c>
      <c r="T43" s="807"/>
      <c r="U43" s="49">
        <f>民間設備製造1!O45</f>
        <v>15799</v>
      </c>
      <c r="V43" s="49">
        <f t="shared" si="3"/>
        <v>74530</v>
      </c>
    </row>
    <row r="44" spans="1:22">
      <c r="A44" s="302">
        <v>446</v>
      </c>
      <c r="B44" s="201" t="s">
        <v>234</v>
      </c>
      <c r="C44" s="867">
        <v>32664</v>
      </c>
      <c r="D44" s="873">
        <v>20904</v>
      </c>
      <c r="E44" s="872">
        <v>9922</v>
      </c>
      <c r="F44" s="871">
        <v>13763</v>
      </c>
      <c r="G44" s="872">
        <v>804</v>
      </c>
      <c r="H44" s="871">
        <v>12761</v>
      </c>
      <c r="I44" s="872">
        <v>198</v>
      </c>
      <c r="J44" s="871">
        <v>4609</v>
      </c>
      <c r="K44" s="872">
        <v>49198</v>
      </c>
      <c r="L44" s="856">
        <v>-16534</v>
      </c>
      <c r="M44" s="830">
        <v>32104</v>
      </c>
      <c r="N44" s="830">
        <v>41011</v>
      </c>
      <c r="O44" s="831">
        <v>-7627</v>
      </c>
      <c r="P44" s="293">
        <v>446</v>
      </c>
      <c r="Q44" s="878"/>
      <c r="R44" s="807">
        <f t="shared" si="2"/>
        <v>32664</v>
      </c>
      <c r="S44" s="807">
        <f t="shared" si="1"/>
        <v>0</v>
      </c>
      <c r="T44" s="807"/>
      <c r="U44" s="49">
        <f>民間設備製造1!O46</f>
        <v>6990</v>
      </c>
      <c r="V44" s="49">
        <f t="shared" si="3"/>
        <v>43229</v>
      </c>
    </row>
    <row r="45" spans="1:22">
      <c r="A45" s="300">
        <v>6</v>
      </c>
      <c r="B45" s="91" t="s">
        <v>205</v>
      </c>
      <c r="C45" s="863">
        <v>1071203</v>
      </c>
      <c r="D45" s="869">
        <v>524185</v>
      </c>
      <c r="E45" s="868">
        <v>119714</v>
      </c>
      <c r="F45" s="829">
        <v>213303</v>
      </c>
      <c r="G45" s="868">
        <v>21331</v>
      </c>
      <c r="H45" s="867">
        <v>188373</v>
      </c>
      <c r="I45" s="868">
        <v>3599</v>
      </c>
      <c r="J45" s="867">
        <v>35691</v>
      </c>
      <c r="K45" s="831">
        <v>892893</v>
      </c>
      <c r="L45" s="855">
        <v>178310</v>
      </c>
      <c r="M45" s="827">
        <v>955851</v>
      </c>
      <c r="N45" s="827">
        <v>744306</v>
      </c>
      <c r="O45" s="828">
        <v>-33235</v>
      </c>
      <c r="P45" s="293">
        <v>6</v>
      </c>
      <c r="Q45" s="878"/>
      <c r="R45" s="807">
        <f t="shared" si="2"/>
        <v>1071203</v>
      </c>
      <c r="S45" s="807">
        <f t="shared" si="1"/>
        <v>0</v>
      </c>
      <c r="T45" s="807"/>
      <c r="U45" s="49">
        <f>民間設備製造1!O47</f>
        <v>83640</v>
      </c>
      <c r="V45" s="49">
        <f t="shared" si="3"/>
        <v>784561</v>
      </c>
    </row>
    <row r="46" spans="1:22">
      <c r="A46" s="300">
        <v>208</v>
      </c>
      <c r="B46" s="90" t="s">
        <v>206</v>
      </c>
      <c r="C46" s="867">
        <v>138549</v>
      </c>
      <c r="D46" s="869">
        <v>66333</v>
      </c>
      <c r="E46" s="868">
        <v>13154</v>
      </c>
      <c r="F46" s="867">
        <v>21052</v>
      </c>
      <c r="G46" s="868">
        <v>2518</v>
      </c>
      <c r="H46" s="867">
        <v>18121</v>
      </c>
      <c r="I46" s="868">
        <v>413</v>
      </c>
      <c r="J46" s="867">
        <v>1838</v>
      </c>
      <c r="K46" s="869">
        <v>102377</v>
      </c>
      <c r="L46" s="856">
        <v>36172</v>
      </c>
      <c r="M46" s="830">
        <v>122531</v>
      </c>
      <c r="N46" s="830">
        <v>85340</v>
      </c>
      <c r="O46" s="831">
        <v>-1019</v>
      </c>
      <c r="P46" s="293">
        <v>208</v>
      </c>
      <c r="Q46" s="878"/>
      <c r="R46" s="807">
        <f t="shared" si="2"/>
        <v>138549</v>
      </c>
      <c r="S46" s="807">
        <f t="shared" si="1"/>
        <v>0</v>
      </c>
      <c r="T46" s="807"/>
      <c r="U46" s="49">
        <f>民間設備製造1!O48</f>
        <v>6113</v>
      </c>
      <c r="V46" s="49">
        <f t="shared" si="3"/>
        <v>89956</v>
      </c>
    </row>
    <row r="47" spans="1:22">
      <c r="A47" s="300">
        <v>212</v>
      </c>
      <c r="B47" s="90" t="s">
        <v>207</v>
      </c>
      <c r="C47" s="867">
        <v>235430</v>
      </c>
      <c r="D47" s="869">
        <v>103274</v>
      </c>
      <c r="E47" s="868">
        <v>24005</v>
      </c>
      <c r="F47" s="867">
        <v>49962</v>
      </c>
      <c r="G47" s="868">
        <v>4867</v>
      </c>
      <c r="H47" s="867">
        <v>44350</v>
      </c>
      <c r="I47" s="868">
        <v>745</v>
      </c>
      <c r="J47" s="867">
        <v>7587</v>
      </c>
      <c r="K47" s="869">
        <v>184828</v>
      </c>
      <c r="L47" s="856">
        <v>50602</v>
      </c>
      <c r="M47" s="830">
        <v>208991</v>
      </c>
      <c r="N47" s="830">
        <v>154071</v>
      </c>
      <c r="O47" s="831">
        <v>-4318</v>
      </c>
      <c r="P47" s="293">
        <v>212</v>
      </c>
      <c r="Q47" s="878"/>
      <c r="R47" s="807">
        <f t="shared" si="2"/>
        <v>235430</v>
      </c>
      <c r="S47" s="807">
        <f t="shared" si="1"/>
        <v>0</v>
      </c>
      <c r="T47" s="807"/>
      <c r="U47" s="49">
        <f>民間設備製造1!O49</f>
        <v>22670</v>
      </c>
      <c r="V47" s="49">
        <f t="shared" si="3"/>
        <v>162403</v>
      </c>
    </row>
    <row r="48" spans="1:22">
      <c r="A48" s="300">
        <v>227</v>
      </c>
      <c r="B48" s="90" t="s">
        <v>219</v>
      </c>
      <c r="C48" s="867">
        <v>122112</v>
      </c>
      <c r="D48" s="869">
        <v>70455</v>
      </c>
      <c r="E48" s="868">
        <v>22716</v>
      </c>
      <c r="F48" s="867">
        <v>24038</v>
      </c>
      <c r="G48" s="868">
        <v>2963</v>
      </c>
      <c r="H48" s="867">
        <v>20564</v>
      </c>
      <c r="I48" s="868">
        <v>511</v>
      </c>
      <c r="J48" s="867">
        <v>9523</v>
      </c>
      <c r="K48" s="869">
        <v>126732</v>
      </c>
      <c r="L48" s="856">
        <v>-4620</v>
      </c>
      <c r="M48" s="830">
        <v>113238</v>
      </c>
      <c r="N48" s="830">
        <v>105642</v>
      </c>
      <c r="O48" s="831">
        <v>-12216</v>
      </c>
      <c r="P48" s="293">
        <v>227</v>
      </c>
      <c r="Q48" s="878"/>
      <c r="R48" s="807">
        <f t="shared" si="2"/>
        <v>122112</v>
      </c>
      <c r="S48" s="807">
        <f t="shared" si="1"/>
        <v>0</v>
      </c>
      <c r="T48" s="807"/>
      <c r="U48" s="49">
        <f>民間設備製造1!O50</f>
        <v>5700</v>
      </c>
      <c r="V48" s="49">
        <f t="shared" si="3"/>
        <v>111357</v>
      </c>
    </row>
    <row r="49" spans="1:22">
      <c r="A49" s="300">
        <v>229</v>
      </c>
      <c r="B49" s="90" t="s">
        <v>235</v>
      </c>
      <c r="C49" s="867">
        <v>355140</v>
      </c>
      <c r="D49" s="869">
        <v>151690</v>
      </c>
      <c r="E49" s="868">
        <v>28432</v>
      </c>
      <c r="F49" s="867">
        <v>69542</v>
      </c>
      <c r="G49" s="868">
        <v>4825</v>
      </c>
      <c r="H49" s="867">
        <v>63676</v>
      </c>
      <c r="I49" s="868">
        <v>1041</v>
      </c>
      <c r="J49" s="867">
        <v>8764</v>
      </c>
      <c r="K49" s="869">
        <v>258428</v>
      </c>
      <c r="L49" s="856">
        <v>96712</v>
      </c>
      <c r="M49" s="830">
        <v>311590</v>
      </c>
      <c r="N49" s="830">
        <v>215423</v>
      </c>
      <c r="O49" s="831">
        <v>545</v>
      </c>
      <c r="P49" s="293">
        <v>229</v>
      </c>
      <c r="Q49" s="878"/>
      <c r="R49" s="807">
        <f t="shared" si="2"/>
        <v>355140</v>
      </c>
      <c r="S49" s="807">
        <f t="shared" si="1"/>
        <v>0</v>
      </c>
      <c r="T49" s="807"/>
      <c r="U49" s="49">
        <f>民間設備製造1!O51</f>
        <v>33363</v>
      </c>
      <c r="V49" s="49">
        <f t="shared" si="3"/>
        <v>227074</v>
      </c>
    </row>
    <row r="50" spans="1:22">
      <c r="A50" s="300">
        <v>464</v>
      </c>
      <c r="B50" s="90" t="s">
        <v>208</v>
      </c>
      <c r="C50" s="867">
        <v>104158</v>
      </c>
      <c r="D50" s="869">
        <v>69022</v>
      </c>
      <c r="E50" s="868">
        <v>9853</v>
      </c>
      <c r="F50" s="867">
        <v>29376</v>
      </c>
      <c r="G50" s="868">
        <v>5100</v>
      </c>
      <c r="H50" s="867">
        <v>23834</v>
      </c>
      <c r="I50" s="868">
        <v>442</v>
      </c>
      <c r="J50" s="867">
        <v>1315</v>
      </c>
      <c r="K50" s="869">
        <v>109566</v>
      </c>
      <c r="L50" s="856">
        <v>-5408</v>
      </c>
      <c r="M50" s="830">
        <v>92099</v>
      </c>
      <c r="N50" s="830">
        <v>91333</v>
      </c>
      <c r="O50" s="831">
        <v>-6174</v>
      </c>
      <c r="P50" s="293">
        <v>464</v>
      </c>
      <c r="Q50" s="878"/>
      <c r="R50" s="807">
        <f t="shared" si="2"/>
        <v>104158</v>
      </c>
      <c r="S50" s="807">
        <f t="shared" si="1"/>
        <v>0</v>
      </c>
      <c r="T50" s="807"/>
      <c r="U50" s="49">
        <f>民間設備製造1!O52</f>
        <v>10982</v>
      </c>
      <c r="V50" s="49">
        <f t="shared" si="3"/>
        <v>96272</v>
      </c>
    </row>
    <row r="51" spans="1:22">
      <c r="A51" s="300">
        <v>481</v>
      </c>
      <c r="B51" s="90" t="s">
        <v>209</v>
      </c>
      <c r="C51" s="867">
        <v>51794</v>
      </c>
      <c r="D51" s="869">
        <v>30631</v>
      </c>
      <c r="E51" s="868">
        <v>8223</v>
      </c>
      <c r="F51" s="867">
        <v>10019</v>
      </c>
      <c r="G51" s="868">
        <v>487</v>
      </c>
      <c r="H51" s="867">
        <v>9329</v>
      </c>
      <c r="I51" s="868">
        <v>203</v>
      </c>
      <c r="J51" s="867">
        <v>1485</v>
      </c>
      <c r="K51" s="869">
        <v>50358</v>
      </c>
      <c r="L51" s="856">
        <v>1436</v>
      </c>
      <c r="M51" s="830">
        <v>47364</v>
      </c>
      <c r="N51" s="830">
        <v>41978</v>
      </c>
      <c r="O51" s="831">
        <v>-3950</v>
      </c>
      <c r="P51" s="293">
        <v>481</v>
      </c>
      <c r="Q51" s="878"/>
      <c r="R51" s="807">
        <f t="shared" si="2"/>
        <v>51794</v>
      </c>
      <c r="S51" s="807">
        <f t="shared" si="1"/>
        <v>0</v>
      </c>
      <c r="T51" s="807"/>
      <c r="U51" s="49">
        <f>民間設備製造1!O53</f>
        <v>3422</v>
      </c>
      <c r="V51" s="49">
        <f t="shared" si="3"/>
        <v>44248</v>
      </c>
    </row>
    <row r="52" spans="1:22">
      <c r="A52" s="300">
        <v>501</v>
      </c>
      <c r="B52" s="90" t="s">
        <v>236</v>
      </c>
      <c r="C52" s="871">
        <v>64020</v>
      </c>
      <c r="D52" s="869">
        <v>32780</v>
      </c>
      <c r="E52" s="868">
        <v>13331</v>
      </c>
      <c r="F52" s="867">
        <v>9314</v>
      </c>
      <c r="G52" s="868">
        <v>571</v>
      </c>
      <c r="H52" s="867">
        <v>8499</v>
      </c>
      <c r="I52" s="868">
        <v>244</v>
      </c>
      <c r="J52" s="867">
        <v>5179</v>
      </c>
      <c r="K52" s="869">
        <v>60604</v>
      </c>
      <c r="L52" s="858">
        <v>3416</v>
      </c>
      <c r="M52" s="837">
        <v>60038</v>
      </c>
      <c r="N52" s="837">
        <v>50519</v>
      </c>
      <c r="O52" s="835">
        <v>-6103</v>
      </c>
      <c r="P52" s="293">
        <v>501</v>
      </c>
      <c r="Q52" s="878"/>
      <c r="R52" s="807">
        <f t="shared" si="2"/>
        <v>64020</v>
      </c>
      <c r="S52" s="807">
        <f t="shared" si="1"/>
        <v>0</v>
      </c>
      <c r="T52" s="807"/>
      <c r="U52" s="49">
        <f>民間設備製造1!O54</f>
        <v>1390</v>
      </c>
      <c r="V52" s="49">
        <f t="shared" si="3"/>
        <v>53251</v>
      </c>
    </row>
    <row r="53" spans="1:22">
      <c r="A53" s="301">
        <v>7</v>
      </c>
      <c r="B53" s="347" t="s">
        <v>210</v>
      </c>
      <c r="C53" s="867">
        <v>625315</v>
      </c>
      <c r="D53" s="865">
        <v>364298</v>
      </c>
      <c r="E53" s="864">
        <v>110352</v>
      </c>
      <c r="F53" s="826">
        <v>116057</v>
      </c>
      <c r="G53" s="864">
        <v>12084</v>
      </c>
      <c r="H53" s="863">
        <v>101452</v>
      </c>
      <c r="I53" s="864">
        <v>2521</v>
      </c>
      <c r="J53" s="863">
        <v>34916</v>
      </c>
      <c r="K53" s="828">
        <v>625623</v>
      </c>
      <c r="L53" s="856">
        <v>-308</v>
      </c>
      <c r="M53" s="830">
        <v>577057</v>
      </c>
      <c r="N53" s="830">
        <v>521513</v>
      </c>
      <c r="O53" s="831">
        <v>-55852</v>
      </c>
      <c r="P53" s="293">
        <v>7</v>
      </c>
      <c r="Q53" s="878"/>
      <c r="R53" s="807">
        <f t="shared" si="2"/>
        <v>625315</v>
      </c>
      <c r="S53" s="807">
        <f t="shared" si="1"/>
        <v>0</v>
      </c>
      <c r="T53" s="807"/>
      <c r="U53" s="49">
        <f>民間設備製造1!O55</f>
        <v>28076</v>
      </c>
      <c r="V53" s="49">
        <f t="shared" si="3"/>
        <v>549726</v>
      </c>
    </row>
    <row r="54" spans="1:22">
      <c r="A54" s="300">
        <v>209</v>
      </c>
      <c r="B54" s="90" t="s">
        <v>221</v>
      </c>
      <c r="C54" s="867">
        <v>311198</v>
      </c>
      <c r="D54" s="869">
        <v>179350</v>
      </c>
      <c r="E54" s="868">
        <v>47345</v>
      </c>
      <c r="F54" s="867">
        <v>53019</v>
      </c>
      <c r="G54" s="868">
        <v>7365</v>
      </c>
      <c r="H54" s="867">
        <v>44471</v>
      </c>
      <c r="I54" s="868">
        <v>1183</v>
      </c>
      <c r="J54" s="867">
        <v>13791</v>
      </c>
      <c r="K54" s="869">
        <v>293505</v>
      </c>
      <c r="L54" s="856">
        <v>17693</v>
      </c>
      <c r="M54" s="830">
        <v>283611</v>
      </c>
      <c r="N54" s="830">
        <v>244663</v>
      </c>
      <c r="O54" s="831">
        <v>-21255</v>
      </c>
      <c r="P54" s="293">
        <v>209</v>
      </c>
      <c r="Q54" s="878"/>
      <c r="R54" s="807">
        <f t="shared" si="2"/>
        <v>311198</v>
      </c>
      <c r="S54" s="807">
        <f t="shared" si="1"/>
        <v>0</v>
      </c>
      <c r="T54" s="807"/>
      <c r="U54" s="49">
        <f>民間設備製造1!O56</f>
        <v>10048</v>
      </c>
      <c r="V54" s="49">
        <f t="shared" si="3"/>
        <v>257899</v>
      </c>
    </row>
    <row r="55" spans="1:22">
      <c r="A55" s="300">
        <v>222</v>
      </c>
      <c r="B55" s="90" t="s">
        <v>218</v>
      </c>
      <c r="C55" s="867">
        <v>83834</v>
      </c>
      <c r="D55" s="869">
        <v>50447</v>
      </c>
      <c r="E55" s="868">
        <v>17067</v>
      </c>
      <c r="F55" s="867">
        <v>18376</v>
      </c>
      <c r="G55" s="868">
        <v>1185</v>
      </c>
      <c r="H55" s="867">
        <v>16824</v>
      </c>
      <c r="I55" s="868">
        <v>367</v>
      </c>
      <c r="J55" s="867">
        <v>5201</v>
      </c>
      <c r="K55" s="869">
        <v>91091</v>
      </c>
      <c r="L55" s="856">
        <v>-7257</v>
      </c>
      <c r="M55" s="830">
        <v>78436</v>
      </c>
      <c r="N55" s="830">
        <v>75932</v>
      </c>
      <c r="O55" s="831">
        <v>-9761</v>
      </c>
      <c r="P55" s="293">
        <v>222</v>
      </c>
      <c r="Q55" s="878"/>
      <c r="R55" s="807">
        <f t="shared" si="2"/>
        <v>83834</v>
      </c>
      <c r="S55" s="807">
        <f t="shared" si="1"/>
        <v>0</v>
      </c>
      <c r="T55" s="807"/>
      <c r="U55" s="49">
        <f>民間設備製造1!O57</f>
        <v>6140</v>
      </c>
      <c r="V55" s="49">
        <f t="shared" si="3"/>
        <v>80040</v>
      </c>
    </row>
    <row r="56" spans="1:22">
      <c r="A56" s="300">
        <v>225</v>
      </c>
      <c r="B56" s="90" t="s">
        <v>222</v>
      </c>
      <c r="C56" s="867">
        <v>126726</v>
      </c>
      <c r="D56" s="869">
        <v>68379</v>
      </c>
      <c r="E56" s="868">
        <v>21193</v>
      </c>
      <c r="F56" s="867">
        <v>26038</v>
      </c>
      <c r="G56" s="868">
        <v>2349</v>
      </c>
      <c r="H56" s="867">
        <v>23201</v>
      </c>
      <c r="I56" s="868">
        <v>488</v>
      </c>
      <c r="J56" s="867">
        <v>5477</v>
      </c>
      <c r="K56" s="869">
        <v>121087</v>
      </c>
      <c r="L56" s="856">
        <v>5639</v>
      </c>
      <c r="M56" s="830">
        <v>116394</v>
      </c>
      <c r="N56" s="830">
        <v>100937</v>
      </c>
      <c r="O56" s="831">
        <v>-9818</v>
      </c>
      <c r="P56" s="293">
        <v>225</v>
      </c>
      <c r="Q56" s="878"/>
      <c r="R56" s="807">
        <f t="shared" si="2"/>
        <v>126726</v>
      </c>
      <c r="S56" s="807">
        <f t="shared" si="1"/>
        <v>0</v>
      </c>
      <c r="T56" s="807"/>
      <c r="U56" s="49">
        <f>民間設備製造1!O58</f>
        <v>8998</v>
      </c>
      <c r="V56" s="49">
        <f t="shared" si="3"/>
        <v>106396</v>
      </c>
    </row>
    <row r="57" spans="1:22">
      <c r="A57" s="300">
        <v>585</v>
      </c>
      <c r="B57" s="90" t="s">
        <v>220</v>
      </c>
      <c r="C57" s="867">
        <v>55691</v>
      </c>
      <c r="D57" s="869">
        <v>36043</v>
      </c>
      <c r="E57" s="868">
        <v>13729</v>
      </c>
      <c r="F57" s="867">
        <v>11085</v>
      </c>
      <c r="G57" s="868">
        <v>677</v>
      </c>
      <c r="H57" s="867">
        <v>10134</v>
      </c>
      <c r="I57" s="868">
        <v>274</v>
      </c>
      <c r="J57" s="867">
        <v>7110</v>
      </c>
      <c r="K57" s="869">
        <v>67967</v>
      </c>
      <c r="L57" s="856">
        <v>-12276</v>
      </c>
      <c r="M57" s="830">
        <v>53232</v>
      </c>
      <c r="N57" s="830">
        <v>56657</v>
      </c>
      <c r="O57" s="831">
        <v>-8851</v>
      </c>
      <c r="P57" s="293">
        <v>585</v>
      </c>
      <c r="Q57" s="878"/>
      <c r="R57" s="807">
        <f t="shared" si="2"/>
        <v>55691</v>
      </c>
      <c r="S57" s="807">
        <f t="shared" si="1"/>
        <v>0</v>
      </c>
      <c r="T57" s="807"/>
      <c r="U57" s="49">
        <f>民間設備製造1!O59</f>
        <v>2163</v>
      </c>
      <c r="V57" s="49">
        <f t="shared" si="3"/>
        <v>59722</v>
      </c>
    </row>
    <row r="58" spans="1:22">
      <c r="A58" s="302">
        <v>586</v>
      </c>
      <c r="B58" s="201" t="s">
        <v>237</v>
      </c>
      <c r="C58" s="867">
        <v>47866</v>
      </c>
      <c r="D58" s="873">
        <v>30079</v>
      </c>
      <c r="E58" s="872">
        <v>11018</v>
      </c>
      <c r="F58" s="871">
        <v>7539</v>
      </c>
      <c r="G58" s="872">
        <v>508</v>
      </c>
      <c r="H58" s="871">
        <v>6822</v>
      </c>
      <c r="I58" s="872">
        <v>209</v>
      </c>
      <c r="J58" s="871">
        <v>3337</v>
      </c>
      <c r="K58" s="873">
        <v>51973</v>
      </c>
      <c r="L58" s="856">
        <v>-4107</v>
      </c>
      <c r="M58" s="830">
        <v>45384</v>
      </c>
      <c r="N58" s="830">
        <v>43324</v>
      </c>
      <c r="O58" s="831">
        <v>-6167</v>
      </c>
      <c r="P58" s="293">
        <v>586</v>
      </c>
      <c r="Q58" s="878"/>
      <c r="R58" s="807">
        <f t="shared" si="2"/>
        <v>47866</v>
      </c>
      <c r="S58" s="807">
        <f t="shared" si="1"/>
        <v>0</v>
      </c>
      <c r="T58" s="807"/>
      <c r="U58" s="49">
        <f>民間設備製造1!O60</f>
        <v>727</v>
      </c>
      <c r="V58" s="49">
        <f t="shared" si="3"/>
        <v>45669</v>
      </c>
    </row>
    <row r="59" spans="1:22">
      <c r="A59" s="300">
        <v>8</v>
      </c>
      <c r="B59" s="86" t="s">
        <v>211</v>
      </c>
      <c r="C59" s="863">
        <v>438473</v>
      </c>
      <c r="D59" s="869">
        <v>228475</v>
      </c>
      <c r="E59" s="868">
        <v>62754</v>
      </c>
      <c r="F59" s="829">
        <v>82160</v>
      </c>
      <c r="G59" s="868">
        <v>12465</v>
      </c>
      <c r="H59" s="867">
        <v>68069</v>
      </c>
      <c r="I59" s="868">
        <v>1626</v>
      </c>
      <c r="J59" s="867">
        <v>30170</v>
      </c>
      <c r="K59" s="830">
        <v>403559</v>
      </c>
      <c r="L59" s="855">
        <v>34914</v>
      </c>
      <c r="M59" s="827">
        <v>397740</v>
      </c>
      <c r="N59" s="827">
        <v>336402</v>
      </c>
      <c r="O59" s="828">
        <v>-26424</v>
      </c>
      <c r="P59" s="293">
        <v>8</v>
      </c>
      <c r="Q59" s="878"/>
      <c r="R59" s="807">
        <f t="shared" si="2"/>
        <v>438473</v>
      </c>
      <c r="S59" s="807">
        <f t="shared" si="1"/>
        <v>0</v>
      </c>
      <c r="T59" s="807"/>
      <c r="U59" s="49">
        <f>民間設備製造1!O61</f>
        <v>20736</v>
      </c>
      <c r="V59" s="49">
        <f t="shared" si="3"/>
        <v>354600</v>
      </c>
    </row>
    <row r="60" spans="1:22">
      <c r="A60" s="300">
        <v>221</v>
      </c>
      <c r="B60" s="90" t="s">
        <v>1144</v>
      </c>
      <c r="C60" s="867">
        <v>183058</v>
      </c>
      <c r="D60" s="869">
        <v>92684</v>
      </c>
      <c r="E60" s="868">
        <v>25924</v>
      </c>
      <c r="F60" s="867">
        <v>32633</v>
      </c>
      <c r="G60" s="868">
        <v>4021</v>
      </c>
      <c r="H60" s="867">
        <v>27968</v>
      </c>
      <c r="I60" s="868">
        <v>644</v>
      </c>
      <c r="J60" s="867">
        <v>8609</v>
      </c>
      <c r="K60" s="868">
        <v>159850</v>
      </c>
      <c r="L60" s="856">
        <v>23208</v>
      </c>
      <c r="M60" s="830">
        <v>165922</v>
      </c>
      <c r="N60" s="830">
        <v>133249</v>
      </c>
      <c r="O60" s="831">
        <v>-9465</v>
      </c>
      <c r="P60" s="293">
        <v>221</v>
      </c>
      <c r="Q60" s="878"/>
      <c r="R60" s="807">
        <f t="shared" si="2"/>
        <v>183058</v>
      </c>
      <c r="S60" s="807">
        <f t="shared" si="1"/>
        <v>0</v>
      </c>
      <c r="T60" s="807"/>
      <c r="U60" s="49">
        <f>民間設備製造1!O62</f>
        <v>9219</v>
      </c>
      <c r="V60" s="49">
        <f t="shared" si="3"/>
        <v>140457</v>
      </c>
    </row>
    <row r="61" spans="1:22">
      <c r="A61" s="300">
        <v>223</v>
      </c>
      <c r="B61" s="90" t="s">
        <v>223</v>
      </c>
      <c r="C61" s="871">
        <v>255415</v>
      </c>
      <c r="D61" s="869">
        <v>135791</v>
      </c>
      <c r="E61" s="868">
        <v>36830</v>
      </c>
      <c r="F61" s="867">
        <v>49527</v>
      </c>
      <c r="G61" s="868">
        <v>8444</v>
      </c>
      <c r="H61" s="867">
        <v>40101</v>
      </c>
      <c r="I61" s="868">
        <v>982</v>
      </c>
      <c r="J61" s="867">
        <v>21561</v>
      </c>
      <c r="K61" s="868">
        <v>243709</v>
      </c>
      <c r="L61" s="858">
        <v>11706</v>
      </c>
      <c r="M61" s="837">
        <v>231818</v>
      </c>
      <c r="N61" s="837">
        <v>203153</v>
      </c>
      <c r="O61" s="835">
        <v>-16959</v>
      </c>
      <c r="P61" s="293">
        <v>223</v>
      </c>
      <c r="Q61" s="878"/>
      <c r="R61" s="807">
        <f t="shared" si="2"/>
        <v>255415</v>
      </c>
      <c r="S61" s="807">
        <f t="shared" si="1"/>
        <v>0</v>
      </c>
      <c r="T61" s="807"/>
      <c r="U61" s="49">
        <f>民間設備製造1!O63</f>
        <v>11517</v>
      </c>
      <c r="V61" s="49">
        <f t="shared" si="3"/>
        <v>214143</v>
      </c>
    </row>
    <row r="62" spans="1:22">
      <c r="A62" s="301">
        <v>9</v>
      </c>
      <c r="B62" s="346" t="s">
        <v>212</v>
      </c>
      <c r="C62" s="867">
        <v>465034</v>
      </c>
      <c r="D62" s="865">
        <v>267320</v>
      </c>
      <c r="E62" s="864">
        <v>82215</v>
      </c>
      <c r="F62" s="826">
        <v>76186</v>
      </c>
      <c r="G62" s="864">
        <v>9714</v>
      </c>
      <c r="H62" s="863">
        <v>64673</v>
      </c>
      <c r="I62" s="864">
        <v>1799</v>
      </c>
      <c r="J62" s="863">
        <v>20742</v>
      </c>
      <c r="K62" s="828">
        <v>446463</v>
      </c>
      <c r="L62" s="855">
        <v>18571</v>
      </c>
      <c r="M62" s="827">
        <v>429213</v>
      </c>
      <c r="N62" s="827">
        <v>372167</v>
      </c>
      <c r="O62" s="828">
        <v>-38475</v>
      </c>
      <c r="P62" s="293">
        <v>9</v>
      </c>
      <c r="Q62" s="878"/>
      <c r="R62" s="807">
        <f t="shared" si="2"/>
        <v>465034</v>
      </c>
      <c r="S62" s="807">
        <f t="shared" si="1"/>
        <v>0</v>
      </c>
      <c r="T62" s="807"/>
      <c r="U62" s="49">
        <f>民間設備製造1!O64</f>
        <v>12309</v>
      </c>
      <c r="V62" s="49">
        <f t="shared" si="3"/>
        <v>392300</v>
      </c>
    </row>
    <row r="63" spans="1:22">
      <c r="A63" s="300">
        <v>205</v>
      </c>
      <c r="B63" s="92" t="s">
        <v>241</v>
      </c>
      <c r="C63" s="867">
        <v>157981</v>
      </c>
      <c r="D63" s="869">
        <v>91050</v>
      </c>
      <c r="E63" s="868">
        <v>25913</v>
      </c>
      <c r="F63" s="867">
        <v>26710</v>
      </c>
      <c r="G63" s="868">
        <v>2857</v>
      </c>
      <c r="H63" s="867">
        <v>23249</v>
      </c>
      <c r="I63" s="868">
        <v>604</v>
      </c>
      <c r="J63" s="867">
        <v>6301</v>
      </c>
      <c r="K63" s="869">
        <v>149974</v>
      </c>
      <c r="L63" s="856">
        <v>8007</v>
      </c>
      <c r="M63" s="830">
        <v>144861</v>
      </c>
      <c r="N63" s="830">
        <v>125017</v>
      </c>
      <c r="O63" s="831">
        <v>-11837</v>
      </c>
      <c r="P63" s="293">
        <v>205</v>
      </c>
      <c r="Q63" s="878"/>
      <c r="R63" s="807">
        <f t="shared" si="2"/>
        <v>157981</v>
      </c>
      <c r="S63" s="807">
        <f t="shared" si="1"/>
        <v>0</v>
      </c>
      <c r="T63" s="807"/>
      <c r="U63" s="49">
        <f>民間設備製造1!O65</f>
        <v>5659</v>
      </c>
      <c r="V63" s="49">
        <f t="shared" si="3"/>
        <v>131780</v>
      </c>
    </row>
    <row r="64" spans="1:22">
      <c r="A64" s="300">
        <v>224</v>
      </c>
      <c r="B64" s="90" t="s">
        <v>224</v>
      </c>
      <c r="C64" s="867">
        <v>162143</v>
      </c>
      <c r="D64" s="869">
        <v>86781</v>
      </c>
      <c r="E64" s="868">
        <v>28474</v>
      </c>
      <c r="F64" s="867">
        <v>25275</v>
      </c>
      <c r="G64" s="868">
        <v>3725</v>
      </c>
      <c r="H64" s="867">
        <v>20956</v>
      </c>
      <c r="I64" s="868">
        <v>594</v>
      </c>
      <c r="J64" s="867">
        <v>6924</v>
      </c>
      <c r="K64" s="869">
        <v>147454</v>
      </c>
      <c r="L64" s="856">
        <v>14689</v>
      </c>
      <c r="M64" s="830">
        <v>149563</v>
      </c>
      <c r="N64" s="830">
        <v>122916</v>
      </c>
      <c r="O64" s="831">
        <v>-11958</v>
      </c>
      <c r="P64" s="293">
        <v>224</v>
      </c>
      <c r="Q64" s="878"/>
      <c r="R64" s="807">
        <f t="shared" si="2"/>
        <v>162143</v>
      </c>
      <c r="S64" s="807">
        <f t="shared" si="1"/>
        <v>0</v>
      </c>
      <c r="T64" s="807"/>
      <c r="U64" s="49">
        <f>民間設備製造1!O66</f>
        <v>3662</v>
      </c>
      <c r="V64" s="49">
        <f t="shared" si="3"/>
        <v>129566</v>
      </c>
    </row>
    <row r="65" spans="1:22">
      <c r="A65" s="302">
        <v>226</v>
      </c>
      <c r="B65" s="201" t="s">
        <v>225</v>
      </c>
      <c r="C65" s="871">
        <v>144910</v>
      </c>
      <c r="D65" s="873">
        <v>89489</v>
      </c>
      <c r="E65" s="872">
        <v>27828</v>
      </c>
      <c r="F65" s="871">
        <v>24201</v>
      </c>
      <c r="G65" s="872">
        <v>3132</v>
      </c>
      <c r="H65" s="871">
        <v>20468</v>
      </c>
      <c r="I65" s="872">
        <v>601</v>
      </c>
      <c r="J65" s="871">
        <v>7517</v>
      </c>
      <c r="K65" s="873">
        <v>149035</v>
      </c>
      <c r="L65" s="858">
        <v>-4125</v>
      </c>
      <c r="M65" s="837">
        <v>134789</v>
      </c>
      <c r="N65" s="837">
        <v>124234</v>
      </c>
      <c r="O65" s="835">
        <v>-14680</v>
      </c>
      <c r="P65" s="293">
        <v>226</v>
      </c>
      <c r="Q65" s="878"/>
      <c r="R65" s="807">
        <f t="shared" si="2"/>
        <v>144910</v>
      </c>
      <c r="S65" s="807">
        <f t="shared" si="1"/>
        <v>0</v>
      </c>
      <c r="T65" s="807"/>
      <c r="U65" s="49">
        <f>民間設備製造1!O67</f>
        <v>2988</v>
      </c>
      <c r="V65" s="49">
        <f t="shared" si="3"/>
        <v>130954</v>
      </c>
    </row>
    <row r="66" spans="1:22">
      <c r="A66" s="75"/>
      <c r="B66" s="75"/>
      <c r="C66" s="239"/>
      <c r="D66" s="239"/>
      <c r="E66" s="239"/>
      <c r="F66" s="239"/>
      <c r="G66" s="239"/>
      <c r="H66" s="239"/>
      <c r="I66" s="239"/>
      <c r="J66" s="239"/>
      <c r="K66" s="239"/>
      <c r="L66" s="239"/>
      <c r="M66" s="239"/>
      <c r="N66" s="239"/>
      <c r="O66" s="352"/>
    </row>
    <row r="67" spans="1:22">
      <c r="A67" s="75"/>
      <c r="B67" s="75" t="s">
        <v>1309</v>
      </c>
      <c r="C67" s="239">
        <f>+SUM(C17:C65)/2+C16</f>
        <v>22237660</v>
      </c>
      <c r="D67" s="239">
        <f t="shared" ref="D67:O67" si="4">+SUM(D17:D65)/2+D16</f>
        <v>13228280</v>
      </c>
      <c r="E67" s="239">
        <f t="shared" si="4"/>
        <v>2674566</v>
      </c>
      <c r="F67" s="239">
        <f t="shared" si="4"/>
        <v>4565462</v>
      </c>
      <c r="G67" s="239">
        <f t="shared" si="4"/>
        <v>672430</v>
      </c>
      <c r="H67" s="239">
        <f t="shared" si="4"/>
        <v>3807596</v>
      </c>
      <c r="I67" s="239">
        <f t="shared" si="4"/>
        <v>85436</v>
      </c>
      <c r="J67" s="239">
        <f t="shared" si="4"/>
        <v>731309</v>
      </c>
      <c r="K67" s="239">
        <f t="shared" si="4"/>
        <v>21199617</v>
      </c>
      <c r="L67" s="239">
        <f t="shared" si="4"/>
        <v>1038043</v>
      </c>
      <c r="M67" s="239">
        <f t="shared" si="4"/>
        <v>19932287</v>
      </c>
      <c r="N67" s="239">
        <f t="shared" si="4"/>
        <v>17671776</v>
      </c>
      <c r="O67" s="239">
        <f t="shared" si="4"/>
        <v>-1222468</v>
      </c>
    </row>
    <row r="68" spans="1:22">
      <c r="A68" s="75"/>
      <c r="B68" s="75" t="s">
        <v>1307</v>
      </c>
      <c r="C68" s="239">
        <f>名目県内総支出!T44</f>
        <v>22237660</v>
      </c>
      <c r="D68" s="239">
        <f>名目県内総支出!T6</f>
        <v>13228280</v>
      </c>
      <c r="E68" s="239">
        <f>名目県内総支出!T61</f>
        <v>2674566</v>
      </c>
      <c r="F68" s="239">
        <f>名目県内総支出!T28+名目県内総支出!T36</f>
        <v>4565462</v>
      </c>
      <c r="G68" s="239">
        <f>名目県内総支出!T29</f>
        <v>672430</v>
      </c>
      <c r="H68" s="239">
        <f>名目県内総支出!T30</f>
        <v>3807596</v>
      </c>
      <c r="I68" s="239">
        <f>名目県内総支出!T36</f>
        <v>85436</v>
      </c>
      <c r="J68" s="239">
        <f>名目県内総支出!T31+名目県内総支出!T37</f>
        <v>731309</v>
      </c>
      <c r="K68" s="239">
        <f>名目県内総支出!T62</f>
        <v>21199617</v>
      </c>
      <c r="L68" s="239">
        <f>名目県内総支出!T63</f>
        <v>1038043</v>
      </c>
      <c r="M68" s="239">
        <f>名目県内総支出!T39+名目県内総支出!T41+名目県内総支出!T64</f>
        <v>18770137.291875411</v>
      </c>
      <c r="N68" s="239">
        <f>名目県内総支出!T40</f>
        <v>18053636</v>
      </c>
      <c r="O68" s="239">
        <f>名目県内総支出!T43</f>
        <v>-1222467</v>
      </c>
    </row>
    <row r="69" spans="1:22">
      <c r="A69" s="75"/>
      <c r="B69" s="75"/>
      <c r="C69" s="838">
        <f>+C67-C68</f>
        <v>0</v>
      </c>
      <c r="D69" s="838">
        <f t="shared" ref="D69:O69" si="5">+D67-D68</f>
        <v>0</v>
      </c>
      <c r="E69" s="838">
        <f t="shared" si="5"/>
        <v>0</v>
      </c>
      <c r="F69" s="838">
        <f t="shared" si="5"/>
        <v>0</v>
      </c>
      <c r="G69" s="838">
        <f t="shared" si="5"/>
        <v>0</v>
      </c>
      <c r="H69" s="838">
        <f t="shared" si="5"/>
        <v>0</v>
      </c>
      <c r="I69" s="838">
        <f t="shared" si="5"/>
        <v>0</v>
      </c>
      <c r="J69" s="838">
        <f t="shared" si="5"/>
        <v>0</v>
      </c>
      <c r="K69" s="838">
        <f t="shared" si="5"/>
        <v>0</v>
      </c>
      <c r="L69" s="838">
        <f t="shared" si="5"/>
        <v>0</v>
      </c>
      <c r="M69" s="838">
        <f t="shared" si="5"/>
        <v>1162149.7081245892</v>
      </c>
      <c r="N69" s="838">
        <f t="shared" si="5"/>
        <v>-381860</v>
      </c>
      <c r="O69" s="838">
        <f t="shared" si="5"/>
        <v>-1</v>
      </c>
    </row>
    <row r="70" spans="1:22">
      <c r="A70" s="75"/>
      <c r="B70" s="75"/>
      <c r="C70" s="239"/>
      <c r="D70" s="239"/>
      <c r="E70" s="239"/>
      <c r="F70" s="239"/>
      <c r="G70" s="239"/>
      <c r="H70" s="239"/>
      <c r="I70" s="239"/>
      <c r="J70" s="239"/>
      <c r="K70" s="239"/>
      <c r="L70" s="239"/>
      <c r="M70" s="239"/>
      <c r="N70" s="239"/>
      <c r="O70" s="239"/>
    </row>
    <row r="71" spans="1:22">
      <c r="A71" s="395"/>
      <c r="B71" s="203" t="s">
        <v>166</v>
      </c>
      <c r="C71" s="397">
        <f>ROUND((C4-'18H29'!C4)/ABS('18H29'!C4)*100,1)</f>
        <v>-0.2</v>
      </c>
      <c r="D71" s="397">
        <f>ROUND((D4-'18H29'!D4)/ABS('18H29'!D4)*100,1)</f>
        <v>0.5</v>
      </c>
      <c r="E71" s="397">
        <f>ROUND((E4-'18H29'!E4)/ABS('18H29'!E4)*100,1)</f>
        <v>0.4</v>
      </c>
      <c r="F71" s="397">
        <f>ROUND((F4-'18H29'!F4)/ABS('18H29'!F4)*100,1)</f>
        <v>0.2</v>
      </c>
      <c r="G71" s="397">
        <f>ROUND((G4-'18H29'!G4)/ABS('18H29'!G4)*100,1)</f>
        <v>-4.8</v>
      </c>
      <c r="H71" s="397">
        <f>ROUND((H4-'18H29'!H4)/ABS('18H29'!H4)*100,1)</f>
        <v>0.2</v>
      </c>
      <c r="I71" s="397">
        <f>ROUND((I4-'18H29'!I4)/ABS('18H29'!I4)*100,1)</f>
        <v>62.3</v>
      </c>
      <c r="J71" s="397">
        <f>ROUND((J4-'18H29'!J4)/ABS('18H29'!J4)*100,1)</f>
        <v>-8.6</v>
      </c>
      <c r="K71" s="397">
        <f>ROUND((K4-'18H29'!K4)/ABS('18H29'!K4)*100,1)</f>
        <v>0.1</v>
      </c>
      <c r="L71" s="397">
        <f>ROUND((L4-'18H29'!L4)/ABS('18H29'!L4)*100,1)</f>
        <v>-5.5</v>
      </c>
      <c r="M71" s="397">
        <f>ROUND((M4-'18H29'!M4)/ABS('18H29'!M4)*100,1)</f>
        <v>3.5</v>
      </c>
      <c r="N71" s="397">
        <f>ROUND((N4-'18H29'!N4)/ABS('18H29'!N4)*100,1)</f>
        <v>1.8</v>
      </c>
      <c r="O71" s="397">
        <f>ROUND((O4-'18H29'!O4)/ABS('18H29'!O4)*100,1)</f>
        <v>-52.6</v>
      </c>
    </row>
    <row r="72" spans="1:22">
      <c r="A72" s="77">
        <v>100</v>
      </c>
      <c r="B72" s="75" t="s">
        <v>172</v>
      </c>
      <c r="C72" s="384">
        <f>ROUND((C5-'18H29'!C5)/ABS('18H29'!C5)*100,1)</f>
        <v>-0.5</v>
      </c>
      <c r="D72" s="384">
        <f>ROUND((D5-'18H29'!D5)/ABS('18H29'!D5)*100,1)</f>
        <v>-0.3</v>
      </c>
      <c r="E72" s="384">
        <f>ROUND((E5-'18H29'!E5)/ABS('18H29'!E5)*100,1)</f>
        <v>1</v>
      </c>
      <c r="F72" s="384">
        <f>ROUND((F5-'18H29'!F5)/ABS('18H29'!F5)*100,1)</f>
        <v>-6.2</v>
      </c>
      <c r="G72" s="384">
        <f>ROUND((G5-'18H29'!G5)/ABS('18H29'!G5)*100,1)</f>
        <v>-25.8</v>
      </c>
      <c r="H72" s="384">
        <f>ROUND((H5-'18H29'!H5)/ABS('18H29'!H5)*100,1)</f>
        <v>-3</v>
      </c>
      <c r="I72" s="384">
        <f>ROUND((I5-'18H29'!I5)/ABS('18H29'!I5)*100,1)</f>
        <v>59.7</v>
      </c>
      <c r="J72" s="384">
        <f>ROUND((J5-'18H29'!J5)/ABS('18H29'!J5)*100,1)</f>
        <v>-8.6999999999999993</v>
      </c>
      <c r="K72" s="384">
        <f>ROUND((K5-'18H29'!K5)/ABS('18H29'!K5)*100,1)</f>
        <v>-1.5</v>
      </c>
      <c r="L72" s="384">
        <f>ROUND((L5-'18H29'!L5)/ABS('18H29'!L5)*100,1)</f>
        <v>13.5</v>
      </c>
      <c r="M72" s="384">
        <f>ROUND((M5-'18H29'!M5)/ABS('18H29'!M5)*100,1)</f>
        <v>3.2</v>
      </c>
      <c r="N72" s="384">
        <f>ROUND((N5-'18H29'!N5)/ABS('18H29'!N5)*100,1)</f>
        <v>0.1</v>
      </c>
      <c r="O72" s="384">
        <f>ROUND((O5-'18H29'!O5)/ABS('18H29'!O5)*100,1)</f>
        <v>-46</v>
      </c>
    </row>
    <row r="73" spans="1:22">
      <c r="A73" s="77">
        <v>1</v>
      </c>
      <c r="B73" s="75" t="s">
        <v>323</v>
      </c>
      <c r="C73" s="384">
        <f>ROUND((C6-'18H29'!C6)/ABS('18H29'!C6)*100,1)</f>
        <v>-0.8</v>
      </c>
      <c r="D73" s="384">
        <f>ROUND((D6-'18H29'!D6)/ABS('18H29'!D6)*100,1)</f>
        <v>0</v>
      </c>
      <c r="E73" s="384">
        <f>ROUND((E6-'18H29'!E6)/ABS('18H29'!E6)*100,1)</f>
        <v>0.2</v>
      </c>
      <c r="F73" s="384">
        <f>ROUND((F6-'18H29'!F6)/ABS('18H29'!F6)*100,1)</f>
        <v>5.8</v>
      </c>
      <c r="G73" s="384">
        <f>ROUND((G6-'18H29'!G6)/ABS('18H29'!G6)*100,1)</f>
        <v>1</v>
      </c>
      <c r="H73" s="384">
        <f>ROUND((H6-'18H29'!H6)/ABS('18H29'!H6)*100,1)</f>
        <v>6.1</v>
      </c>
      <c r="I73" s="384">
        <f>ROUND((I6-'18H29'!I6)/ABS('18H29'!I6)*100,1)</f>
        <v>63.9</v>
      </c>
      <c r="J73" s="384">
        <f>ROUND((J6-'18H29'!J6)/ABS('18H29'!J6)*100,1)</f>
        <v>-0.2</v>
      </c>
      <c r="K73" s="384">
        <f>ROUND((K6-'18H29'!K6)/ABS('18H29'!K6)*100,1)</f>
        <v>1</v>
      </c>
      <c r="L73" s="384">
        <f>ROUND((L6-'18H29'!L6)/ABS('18H29'!L6)*100,1)</f>
        <v>-32.700000000000003</v>
      </c>
      <c r="M73" s="384">
        <f>ROUND((M6-'18H29'!M6)/ABS('18H29'!M6)*100,1)</f>
        <v>2.9</v>
      </c>
      <c r="N73" s="384">
        <f>ROUND((N6-'18H29'!N6)/ABS('18H29'!N6)*100,1)</f>
        <v>2.7</v>
      </c>
      <c r="O73" s="384">
        <f>ROUND((O6-'18H29'!O6)/ABS('18H29'!O6)*100,1)</f>
        <v>-36.4</v>
      </c>
    </row>
    <row r="74" spans="1:22">
      <c r="A74" s="77">
        <v>2</v>
      </c>
      <c r="B74" s="75" t="s">
        <v>324</v>
      </c>
      <c r="C74" s="384">
        <f>ROUND((C7-'18H29'!C7)/ABS('18H29'!C7)*100,1)</f>
        <v>-0.4</v>
      </c>
      <c r="D74" s="384">
        <f>ROUND((D7-'18H29'!D7)/ABS('18H29'!D7)*100,1)</f>
        <v>0.8</v>
      </c>
      <c r="E74" s="384">
        <f>ROUND((E7-'18H29'!E7)/ABS('18H29'!E7)*100,1)</f>
        <v>-0.9</v>
      </c>
      <c r="F74" s="384">
        <f>ROUND((F7-'18H29'!F7)/ABS('18H29'!F7)*100,1)</f>
        <v>1.2</v>
      </c>
      <c r="G74" s="384">
        <f>ROUND((G7-'18H29'!G7)/ABS('18H29'!G7)*100,1)</f>
        <v>-11.6</v>
      </c>
      <c r="H74" s="384">
        <f>ROUND((H7-'18H29'!H7)/ABS('18H29'!H7)*100,1)</f>
        <v>2.9</v>
      </c>
      <c r="I74" s="384">
        <f>ROUND((I7-'18H29'!I7)/ABS('18H29'!I7)*100,1)</f>
        <v>62.1</v>
      </c>
      <c r="J74" s="384">
        <f>ROUND((J7-'18H29'!J7)/ABS('18H29'!J7)*100,1)</f>
        <v>-24.3</v>
      </c>
      <c r="K74" s="384">
        <f>ROUND((K7-'18H29'!K7)/ABS('18H29'!K7)*100,1)</f>
        <v>-0.1</v>
      </c>
      <c r="L74" s="384">
        <f>ROUND((L7-'18H29'!L7)/ABS('18H29'!L7)*100,1)</f>
        <v>-1.8</v>
      </c>
      <c r="M74" s="384">
        <f>ROUND((M7-'18H29'!M7)/ABS('18H29'!M7)*100,1)</f>
        <v>3.2</v>
      </c>
      <c r="N74" s="384">
        <f>ROUND((N7-'18H29'!N7)/ABS('18H29'!N7)*100,1)</f>
        <v>1.6</v>
      </c>
      <c r="O74" s="384">
        <f>ROUND((O7-'18H29'!O7)/ABS('18H29'!O7)*100,1)</f>
        <v>-19</v>
      </c>
    </row>
    <row r="75" spans="1:22">
      <c r="A75" s="77">
        <v>3</v>
      </c>
      <c r="B75" s="75" t="s">
        <v>192</v>
      </c>
      <c r="C75" s="384">
        <f>ROUND((C8-'18H29'!C8)/ABS('18H29'!C8)*100,1)</f>
        <v>1.3</v>
      </c>
      <c r="D75" s="384">
        <f>ROUND((D8-'18H29'!D8)/ABS('18H29'!D8)*100,1)</f>
        <v>1.5</v>
      </c>
      <c r="E75" s="384">
        <f>ROUND((E8-'18H29'!E8)/ABS('18H29'!E8)*100,1)</f>
        <v>1.6</v>
      </c>
      <c r="F75" s="384">
        <f>ROUND((F8-'18H29'!F8)/ABS('18H29'!F8)*100,1)</f>
        <v>-5.9</v>
      </c>
      <c r="G75" s="384">
        <f>ROUND((G8-'18H29'!G8)/ABS('18H29'!G8)*100,1)</f>
        <v>18</v>
      </c>
      <c r="H75" s="384">
        <f>ROUND((H8-'18H29'!H8)/ABS('18H29'!H8)*100,1)</f>
        <v>-9.6</v>
      </c>
      <c r="I75" s="384">
        <f>ROUND((I8-'18H29'!I8)/ABS('18H29'!I8)*100,1)</f>
        <v>60.7</v>
      </c>
      <c r="J75" s="384">
        <f>ROUND((J8-'18H29'!J8)/ABS('18H29'!J8)*100,1)</f>
        <v>-6.3</v>
      </c>
      <c r="K75" s="384">
        <f>ROUND((K8-'18H29'!K8)/ABS('18H29'!K8)*100,1)</f>
        <v>-0.9</v>
      </c>
      <c r="L75" s="384">
        <f>ROUND((L8-'18H29'!L8)/ABS('18H29'!L8)*100,1)</f>
        <v>50.2</v>
      </c>
      <c r="M75" s="384">
        <f>ROUND((M8-'18H29'!M8)/ABS('18H29'!M8)*100,1)</f>
        <v>5.0999999999999996</v>
      </c>
      <c r="N75" s="384">
        <f>ROUND((N8-'18H29'!N8)/ABS('18H29'!N8)*100,1)</f>
        <v>0.7</v>
      </c>
      <c r="O75" s="384">
        <f>ROUND((O8-'18H29'!O8)/ABS('18H29'!O8)*100,1)</f>
        <v>-63.4</v>
      </c>
    </row>
    <row r="76" spans="1:22">
      <c r="A76" s="77">
        <v>4</v>
      </c>
      <c r="B76" s="75" t="s">
        <v>325</v>
      </c>
      <c r="C76" s="384">
        <f>ROUND((C9-'18H29'!C9)/ABS('18H29'!C9)*100,1)</f>
        <v>-1.2</v>
      </c>
      <c r="D76" s="384">
        <f>ROUND((D9-'18H29'!D9)/ABS('18H29'!D9)*100,1)</f>
        <v>3.2</v>
      </c>
      <c r="E76" s="384">
        <f>ROUND((E9-'18H29'!E9)/ABS('18H29'!E9)*100,1)</f>
        <v>0</v>
      </c>
      <c r="F76" s="384">
        <f>ROUND((F9-'18H29'!F9)/ABS('18H29'!F9)*100,1)</f>
        <v>-1.3</v>
      </c>
      <c r="G76" s="384">
        <f>ROUND((G9-'18H29'!G9)/ABS('18H29'!G9)*100,1)</f>
        <v>-12.9</v>
      </c>
      <c r="H76" s="384">
        <f>ROUND((H9-'18H29'!H9)/ABS('18H29'!H9)*100,1)</f>
        <v>-0.1</v>
      </c>
      <c r="I76" s="384">
        <f>ROUND((I9-'18H29'!I9)/ABS('18H29'!I9)*100,1)</f>
        <v>63.9</v>
      </c>
      <c r="J76" s="384">
        <f>ROUND((J9-'18H29'!J9)/ABS('18H29'!J9)*100,1)</f>
        <v>-10.8</v>
      </c>
      <c r="K76" s="384">
        <f>ROUND((K9-'18H29'!K9)/ABS('18H29'!K9)*100,1)</f>
        <v>1</v>
      </c>
      <c r="L76" s="384">
        <f>ROUND((L9-'18H29'!L9)/ABS('18H29'!L9)*100,1)</f>
        <v>-6.7</v>
      </c>
      <c r="M76" s="384">
        <f>ROUND((M9-'18H29'!M9)/ABS('18H29'!M9)*100,1)</f>
        <v>2.5</v>
      </c>
      <c r="N76" s="384">
        <f>ROUND((N9-'18H29'!N9)/ABS('18H29'!N9)*100,1)</f>
        <v>2.7</v>
      </c>
      <c r="O76" s="384">
        <f>ROUND((O9-'18H29'!O9)/ABS('18H29'!O9)*100,1)</f>
        <v>-132.6</v>
      </c>
      <c r="R76" s="383"/>
      <c r="S76" s="383"/>
      <c r="T76" s="383"/>
    </row>
    <row r="77" spans="1:22">
      <c r="A77" s="77">
        <v>5</v>
      </c>
      <c r="B77" s="75" t="s">
        <v>326</v>
      </c>
      <c r="C77" s="384">
        <f>ROUND((C10-'18H29'!C10)/ABS('18H29'!C10)*100,1)</f>
        <v>-0.2</v>
      </c>
      <c r="D77" s="384">
        <f>ROUND((D10-'18H29'!D10)/ABS('18H29'!D10)*100,1)</f>
        <v>0</v>
      </c>
      <c r="E77" s="384">
        <f>ROUND((E10-'18H29'!E10)/ABS('18H29'!E10)*100,1)</f>
        <v>-0.2</v>
      </c>
      <c r="F77" s="384">
        <f>ROUND((F10-'18H29'!F10)/ABS('18H29'!F10)*100,1)</f>
        <v>23.5</v>
      </c>
      <c r="G77" s="384">
        <f>ROUND((G10-'18H29'!G10)/ABS('18H29'!G10)*100,1)</f>
        <v>8.1999999999999993</v>
      </c>
      <c r="H77" s="384">
        <f>ROUND((H10-'18H29'!H10)/ABS('18H29'!H10)*100,1)</f>
        <v>25.9</v>
      </c>
      <c r="I77" s="384">
        <f>ROUND((I10-'18H29'!I10)/ABS('18H29'!I10)*100,1)</f>
        <v>70.8</v>
      </c>
      <c r="J77" s="384">
        <f>ROUND((J10-'18H29'!J10)/ABS('18H29'!J10)*100,1)</f>
        <v>-16.8</v>
      </c>
      <c r="K77" s="384">
        <f>ROUND((K10-'18H29'!K10)/ABS('18H29'!K10)*100,1)</f>
        <v>5.3</v>
      </c>
      <c r="L77" s="384">
        <f>ROUND((L10-'18H29'!L10)/ABS('18H29'!L10)*100,1)</f>
        <v>-27.7</v>
      </c>
      <c r="M77" s="384">
        <f>ROUND((M10-'18H29'!M10)/ABS('18H29'!M10)*100,1)</f>
        <v>3.5</v>
      </c>
      <c r="N77" s="384">
        <f>ROUND((N10-'18H29'!N10)/ABS('18H29'!N10)*100,1)</f>
        <v>7</v>
      </c>
      <c r="O77" s="384">
        <f>ROUND((O10-'18H29'!O10)/ABS('18H29'!O10)*100,1)</f>
        <v>-2135.3000000000002</v>
      </c>
      <c r="R77" s="383"/>
      <c r="S77" s="383"/>
      <c r="T77" s="383"/>
    </row>
    <row r="78" spans="1:22">
      <c r="A78" s="77">
        <v>6</v>
      </c>
      <c r="B78" s="75" t="s">
        <v>327</v>
      </c>
      <c r="C78" s="384">
        <f>ROUND((C11-'18H29'!C11)/ABS('18H29'!C11)*100,1)</f>
        <v>0.5</v>
      </c>
      <c r="D78" s="384">
        <f>ROUND((D11-'18H29'!D11)/ABS('18H29'!D11)*100,1)</f>
        <v>1.9</v>
      </c>
      <c r="E78" s="384">
        <f>ROUND((E11-'18H29'!E11)/ABS('18H29'!E11)*100,1)</f>
        <v>0.4</v>
      </c>
      <c r="F78" s="384">
        <f>ROUND((F11-'18H29'!F11)/ABS('18H29'!F11)*100,1)</f>
        <v>9</v>
      </c>
      <c r="G78" s="384">
        <f>ROUND((G11-'18H29'!G11)/ABS('18H29'!G11)*100,1)</f>
        <v>28</v>
      </c>
      <c r="H78" s="384">
        <f>ROUND((H11-'18H29'!H11)/ABS('18H29'!H11)*100,1)</f>
        <v>6.5</v>
      </c>
      <c r="I78" s="384">
        <f>ROUND((I11-'18H29'!I11)/ABS('18H29'!I11)*100,1)</f>
        <v>66.900000000000006</v>
      </c>
      <c r="J78" s="384">
        <f>ROUND((J11-'18H29'!J11)/ABS('18H29'!J11)*100,1)</f>
        <v>-5.6</v>
      </c>
      <c r="K78" s="384">
        <f>ROUND((K11-'18H29'!K11)/ABS('18H29'!K11)*100,1)</f>
        <v>3</v>
      </c>
      <c r="L78" s="384">
        <f>ROUND((L11-'18H29'!L11)/ABS('18H29'!L11)*100,1)</f>
        <v>-10.199999999999999</v>
      </c>
      <c r="M78" s="384">
        <f>ROUND((M11-'18H29'!M11)/ABS('18H29'!M11)*100,1)</f>
        <v>4.2</v>
      </c>
      <c r="N78" s="384">
        <f>ROUND((N11-'18H29'!N11)/ABS('18H29'!N11)*100,1)</f>
        <v>4.7</v>
      </c>
      <c r="O78" s="384">
        <f>ROUND((O11-'18H29'!O11)/ABS('18H29'!O11)*100,1)</f>
        <v>-305.89999999999998</v>
      </c>
      <c r="R78" s="383"/>
      <c r="S78" s="383"/>
      <c r="T78" s="383"/>
    </row>
    <row r="79" spans="1:22">
      <c r="A79" s="77">
        <v>7</v>
      </c>
      <c r="B79" s="75" t="s">
        <v>210</v>
      </c>
      <c r="C79" s="384">
        <f>ROUND((C12-'18H29'!C12)/ABS('18H29'!C12)*100,1)</f>
        <v>-1.8</v>
      </c>
      <c r="D79" s="384">
        <f>ROUND((D12-'18H29'!D12)/ABS('18H29'!D12)*100,1)</f>
        <v>1.7</v>
      </c>
      <c r="E79" s="384">
        <f>ROUND((E12-'18H29'!E12)/ABS('18H29'!E12)*100,1)</f>
        <v>-3</v>
      </c>
      <c r="F79" s="384">
        <f>ROUND((F12-'18H29'!F12)/ABS('18H29'!F12)*100,1)</f>
        <v>-34.299999999999997</v>
      </c>
      <c r="G79" s="384">
        <f>ROUND((G12-'18H29'!G12)/ABS('18H29'!G12)*100,1)</f>
        <v>16.100000000000001</v>
      </c>
      <c r="H79" s="384">
        <f>ROUND((H12-'18H29'!H12)/ABS('18H29'!H12)*100,1)</f>
        <v>-38.4</v>
      </c>
      <c r="I79" s="384">
        <f>ROUND((I12-'18H29'!I12)/ABS('18H29'!I12)*100,1)</f>
        <v>47.3</v>
      </c>
      <c r="J79" s="384">
        <f>ROUND((J12-'18H29'!J12)/ABS('18H29'!J12)*100,1)</f>
        <v>-12.3</v>
      </c>
      <c r="K79" s="384">
        <f>ROUND((K12-'18H29'!K12)/ABS('18H29'!K12)*100,1)</f>
        <v>-9.1</v>
      </c>
      <c r="L79" s="384">
        <f>ROUND((L12-'18H29'!L12)/ABS('18H29'!L12)*100,1)</f>
        <v>99.4</v>
      </c>
      <c r="M79" s="384">
        <f>ROUND((M12-'18H29'!M12)/ABS('18H29'!M12)*100,1)</f>
        <v>1.6</v>
      </c>
      <c r="N79" s="384">
        <f>ROUND((N12-'18H29'!N12)/ABS('18H29'!N12)*100,1)</f>
        <v>-7.6</v>
      </c>
      <c r="O79" s="384">
        <f>ROUND((O12-'18H29'!O12)/ABS('18H29'!O12)*100,1)</f>
        <v>-1.2</v>
      </c>
      <c r="R79" s="383"/>
      <c r="S79" s="383"/>
      <c r="T79" s="383"/>
    </row>
    <row r="80" spans="1:22">
      <c r="A80" s="77">
        <v>8</v>
      </c>
      <c r="B80" s="75" t="s">
        <v>211</v>
      </c>
      <c r="C80" s="384">
        <f>ROUND((C13-'18H29'!C13)/ABS('18H29'!C13)*100,1)</f>
        <v>2.8</v>
      </c>
      <c r="D80" s="384">
        <f>ROUND((D13-'18H29'!D13)/ABS('18H29'!D13)*100,1)</f>
        <v>2.8</v>
      </c>
      <c r="E80" s="384">
        <f>ROUND((E13-'18H29'!E13)/ABS('18H29'!E13)*100,1)</f>
        <v>0</v>
      </c>
      <c r="F80" s="384">
        <f>ROUND((F13-'18H29'!F13)/ABS('18H29'!F13)*100,1)</f>
        <v>12.1</v>
      </c>
      <c r="G80" s="384">
        <f>ROUND((G13-'18H29'!G13)/ABS('18H29'!G13)*100,1)</f>
        <v>32</v>
      </c>
      <c r="H80" s="384">
        <f>ROUND((H13-'18H29'!H13)/ABS('18H29'!H13)*100,1)</f>
        <v>8.1999999999999993</v>
      </c>
      <c r="I80" s="384">
        <f>ROUND((I13-'18H29'!I13)/ABS('18H29'!I13)*100,1)</f>
        <v>74.8</v>
      </c>
      <c r="J80" s="384">
        <f>ROUND((J13-'18H29'!J13)/ABS('18H29'!J13)*100,1)</f>
        <v>84.5</v>
      </c>
      <c r="K80" s="384">
        <f>ROUND((K13-'18H29'!K13)/ABS('18H29'!K13)*100,1)</f>
        <v>7.7</v>
      </c>
      <c r="L80" s="384">
        <f>ROUND((L13-'18H29'!L13)/ABS('18H29'!L13)*100,1)</f>
        <v>-32.9</v>
      </c>
      <c r="M80" s="384">
        <f>ROUND((M13-'18H29'!M13)/ABS('18H29'!M13)*100,1)</f>
        <v>6.3</v>
      </c>
      <c r="N80" s="384">
        <f>ROUND((N13-'18H29'!N13)/ABS('18H29'!N13)*100,1)</f>
        <v>9.5</v>
      </c>
      <c r="O80" s="384">
        <f>ROUND((O13-'18H29'!O13)/ABS('18H29'!O13)*100,1)</f>
        <v>-74.099999999999994</v>
      </c>
      <c r="R80" s="383"/>
      <c r="S80" s="383"/>
      <c r="T80" s="383"/>
    </row>
    <row r="81" spans="1:20">
      <c r="A81" s="77">
        <v>9</v>
      </c>
      <c r="B81" s="75" t="s">
        <v>212</v>
      </c>
      <c r="C81" s="384">
        <f>ROUND((C14-'18H29'!C14)/ABS('18H29'!C14)*100,1)</f>
        <v>-0.6</v>
      </c>
      <c r="D81" s="384">
        <f>ROUND((D14-'18H29'!D14)/ABS('18H29'!D14)*100,1)</f>
        <v>1.1000000000000001</v>
      </c>
      <c r="E81" s="384">
        <f>ROUND((E14-'18H29'!E14)/ABS('18H29'!E14)*100,1)</f>
        <v>1.9</v>
      </c>
      <c r="F81" s="384">
        <f>ROUND((F14-'18H29'!F14)/ABS('18H29'!F14)*100,1)</f>
        <v>-15.9</v>
      </c>
      <c r="G81" s="384">
        <f>ROUND((G14-'18H29'!G14)/ABS('18H29'!G14)*100,1)</f>
        <v>-5.4</v>
      </c>
      <c r="H81" s="384">
        <f>ROUND((H14-'18H29'!H14)/ABS('18H29'!H14)*100,1)</f>
        <v>-18.3</v>
      </c>
      <c r="I81" s="384">
        <f>ROUND((I14-'18H29'!I14)/ABS('18H29'!I14)*100,1)</f>
        <v>56.3</v>
      </c>
      <c r="J81" s="384">
        <f>ROUND((J14-'18H29'!J14)/ABS('18H29'!J14)*100,1)</f>
        <v>-25.3</v>
      </c>
      <c r="K81" s="384">
        <f>ROUND((K14-'18H29'!K14)/ABS('18H29'!K14)*100,1)</f>
        <v>-3.7</v>
      </c>
      <c r="L81" s="384">
        <f>ROUND((L14-'18H29'!L14)/ABS('18H29'!L14)*100,1)</f>
        <v>319.39999999999998</v>
      </c>
      <c r="M81" s="384">
        <f>ROUND((M14-'18H29'!M14)/ABS('18H29'!M14)*100,1)</f>
        <v>3.2</v>
      </c>
      <c r="N81" s="384">
        <f>ROUND((N14-'18H29'!N14)/ABS('18H29'!N14)*100,1)</f>
        <v>-2.1</v>
      </c>
      <c r="O81" s="384">
        <f>ROUND((O14-'18H29'!O14)/ABS('18H29'!O14)*100,1)</f>
        <v>-21.8</v>
      </c>
      <c r="R81" s="383"/>
      <c r="S81" s="383"/>
      <c r="T81" s="383"/>
    </row>
    <row r="82" spans="1:20">
      <c r="A82" s="77"/>
      <c r="B82" s="87" t="s">
        <v>11</v>
      </c>
      <c r="C82" s="384" t="s">
        <v>11</v>
      </c>
      <c r="D82" s="384" t="s">
        <v>11</v>
      </c>
      <c r="E82" s="384" t="s">
        <v>11</v>
      </c>
      <c r="F82" s="384" t="s">
        <v>11</v>
      </c>
      <c r="G82" s="384" t="s">
        <v>11</v>
      </c>
      <c r="H82" s="384" t="s">
        <v>11</v>
      </c>
      <c r="I82" s="384" t="s">
        <v>11</v>
      </c>
      <c r="J82" s="384" t="s">
        <v>11</v>
      </c>
      <c r="K82" s="384" t="s">
        <v>11</v>
      </c>
      <c r="L82" s="384" t="s">
        <v>11</v>
      </c>
      <c r="M82" s="384" t="s">
        <v>11</v>
      </c>
      <c r="N82" s="384" t="s">
        <v>11</v>
      </c>
      <c r="O82" s="384" t="s">
        <v>11</v>
      </c>
      <c r="P82" s="49" t="s">
        <v>11</v>
      </c>
      <c r="R82" s="383"/>
      <c r="S82" s="383"/>
      <c r="T82" s="383"/>
    </row>
    <row r="83" spans="1:20">
      <c r="A83" s="293">
        <v>100</v>
      </c>
      <c r="B83" s="87" t="s">
        <v>172</v>
      </c>
      <c r="C83" s="384">
        <f>ROUND((C16-'18H29'!C16)/ABS('18H29'!C16)*100,1)</f>
        <v>-0.5</v>
      </c>
      <c r="D83" s="384">
        <f>ROUND((D16-'18H29'!D16)/ABS('18H29'!D16)*100,1)</f>
        <v>-0.3</v>
      </c>
      <c r="E83" s="384">
        <f>ROUND((E16-'18H29'!E16)/ABS('18H29'!E16)*100,1)</f>
        <v>1</v>
      </c>
      <c r="F83" s="384">
        <f>ROUND((F16-'18H29'!F16)/ABS('18H29'!F16)*100,1)</f>
        <v>-6.2</v>
      </c>
      <c r="G83" s="384">
        <f>ROUND((G16-'18H29'!G16)/ABS('18H29'!G16)*100,1)</f>
        <v>-25.8</v>
      </c>
      <c r="H83" s="384">
        <f>ROUND((H16-'18H29'!H16)/ABS('18H29'!H16)*100,1)</f>
        <v>-3</v>
      </c>
      <c r="I83" s="384">
        <f>ROUND((I16-'18H29'!I16)/ABS('18H29'!I16)*100,1)</f>
        <v>59.7</v>
      </c>
      <c r="J83" s="384">
        <f>ROUND((J16-'18H29'!J16)/ABS('18H29'!J16)*100,1)</f>
        <v>-8.6999999999999993</v>
      </c>
      <c r="K83" s="384">
        <f>ROUND((K16-'18H29'!K16)/ABS('18H29'!K16)*100,1)</f>
        <v>-1.5</v>
      </c>
      <c r="L83" s="384">
        <f>ROUND((L16-'18H29'!L16)/ABS('18H29'!L16)*100,1)</f>
        <v>13.5</v>
      </c>
      <c r="M83" s="384">
        <f>ROUND((M16-'18H29'!M16)/ABS('18H29'!M16)*100,1)</f>
        <v>3.2</v>
      </c>
      <c r="N83" s="384">
        <f>ROUND((N16-'18H29'!N16)/ABS('18H29'!N16)*100,1)</f>
        <v>0.1</v>
      </c>
      <c r="O83" s="384">
        <f>ROUND((O16-'18H29'!O16)/ABS('18H29'!O16)*100,1)</f>
        <v>-46</v>
      </c>
      <c r="R83" s="383"/>
      <c r="S83" s="383"/>
      <c r="T83" s="383"/>
    </row>
    <row r="84" spans="1:20">
      <c r="A84" s="293">
        <v>1</v>
      </c>
      <c r="B84" s="65" t="s">
        <v>182</v>
      </c>
      <c r="C84" s="384">
        <f>ROUND((C17-'18H29'!C17)/ABS('18H29'!C17)*100,1)</f>
        <v>-0.8</v>
      </c>
      <c r="D84" s="384">
        <f>ROUND((D17-'18H29'!D17)/ABS('18H29'!D17)*100,1)</f>
        <v>0</v>
      </c>
      <c r="E84" s="384">
        <f>ROUND((E17-'18H29'!E17)/ABS('18H29'!E17)*100,1)</f>
        <v>0.2</v>
      </c>
      <c r="F84" s="384">
        <f>ROUND((F17-'18H29'!F17)/ABS('18H29'!F17)*100,1)</f>
        <v>5.8</v>
      </c>
      <c r="G84" s="384">
        <f>ROUND((G17-'18H29'!G17)/ABS('18H29'!G17)*100,1)</f>
        <v>1</v>
      </c>
      <c r="H84" s="384">
        <f>ROUND((H17-'18H29'!H17)/ABS('18H29'!H17)*100,1)</f>
        <v>6.1</v>
      </c>
      <c r="I84" s="384">
        <f>ROUND((I17-'18H29'!I17)/ABS('18H29'!I17)*100,1)</f>
        <v>63.9</v>
      </c>
      <c r="J84" s="384">
        <f>ROUND((J17-'18H29'!J17)/ABS('18H29'!J17)*100,1)</f>
        <v>-0.2</v>
      </c>
      <c r="K84" s="384">
        <f>ROUND((K17-'18H29'!K17)/ABS('18H29'!K17)*100,1)</f>
        <v>1</v>
      </c>
      <c r="L84" s="384">
        <f>ROUND((L17-'18H29'!L17)/ABS('18H29'!L17)*100,1)</f>
        <v>-32.700000000000003</v>
      </c>
      <c r="M84" s="384">
        <f>ROUND((M17-'18H29'!M17)/ABS('18H29'!M17)*100,1)</f>
        <v>2.9</v>
      </c>
      <c r="N84" s="384">
        <f>ROUND((N17-'18H29'!N17)/ABS('18H29'!N17)*100,1)</f>
        <v>2.7</v>
      </c>
      <c r="O84" s="384">
        <f>ROUND((O17-'18H29'!O17)/ABS('18H29'!O17)*100,1)</f>
        <v>-36.4</v>
      </c>
      <c r="R84" s="383"/>
      <c r="S84" s="383"/>
      <c r="T84" s="383"/>
    </row>
    <row r="85" spans="1:20">
      <c r="A85" s="293">
        <v>202</v>
      </c>
      <c r="B85" s="90" t="s">
        <v>183</v>
      </c>
      <c r="C85" s="384">
        <f>ROUND((C18-'18H29'!C18)/ABS('18H29'!C18)*100,1)</f>
        <v>-1.2</v>
      </c>
      <c r="D85" s="384">
        <f>ROUND((D18-'18H29'!D18)/ABS('18H29'!D18)*100,1)</f>
        <v>0</v>
      </c>
      <c r="E85" s="384">
        <f>ROUND((E18-'18H29'!E18)/ABS('18H29'!E18)*100,1)</f>
        <v>1.8</v>
      </c>
      <c r="F85" s="384">
        <f>ROUND((F18-'18H29'!F18)/ABS('18H29'!F18)*100,1)</f>
        <v>7.3</v>
      </c>
      <c r="G85" s="384">
        <f>ROUND((G18-'18H29'!G18)/ABS('18H29'!G18)*100,1)</f>
        <v>0.2</v>
      </c>
      <c r="H85" s="384">
        <f>ROUND((H18-'18H29'!H18)/ABS('18H29'!H18)*100,1)</f>
        <v>8.1999999999999993</v>
      </c>
      <c r="I85" s="384">
        <f>ROUND((I18-'18H29'!I18)/ABS('18H29'!I18)*100,1)</f>
        <v>64.5</v>
      </c>
      <c r="J85" s="384">
        <f>ROUND((J18-'18H29'!J18)/ABS('18H29'!J18)*100,1)</f>
        <v>-7.9</v>
      </c>
      <c r="K85" s="384">
        <f>ROUND((K18-'18H29'!K18)/ABS('18H29'!K18)*100,1)</f>
        <v>1.4</v>
      </c>
      <c r="L85" s="384">
        <f>ROUND((L18-'18H29'!L18)/ABS('18H29'!L18)*100,1)</f>
        <v>-23</v>
      </c>
      <c r="M85" s="384">
        <f>ROUND((M18-'18H29'!M18)/ABS('18H29'!M18)*100,1)</f>
        <v>2.5</v>
      </c>
      <c r="N85" s="384">
        <f>ROUND((N18-'18H29'!N18)/ABS('18H29'!N18)*100,1)</f>
        <v>3.1</v>
      </c>
      <c r="O85" s="384">
        <f>ROUND((O18-'18H29'!O18)/ABS('18H29'!O18)*100,1)</f>
        <v>-270.8</v>
      </c>
      <c r="R85" s="383"/>
      <c r="S85" s="383"/>
      <c r="T85" s="383"/>
    </row>
    <row r="86" spans="1:20">
      <c r="A86" s="293">
        <v>204</v>
      </c>
      <c r="B86" s="90" t="s">
        <v>184</v>
      </c>
      <c r="C86" s="384">
        <f>ROUND((C19-'18H29'!C19)/ABS('18H29'!C19)*100,1)</f>
        <v>0.3</v>
      </c>
      <c r="D86" s="384">
        <f>ROUND((D19-'18H29'!D19)/ABS('18H29'!D19)*100,1)</f>
        <v>-0.7</v>
      </c>
      <c r="E86" s="384">
        <f>ROUND((E19-'18H29'!E19)/ABS('18H29'!E19)*100,1)</f>
        <v>-0.9</v>
      </c>
      <c r="F86" s="384">
        <f>ROUND((F19-'18H29'!F19)/ABS('18H29'!F19)*100,1)</f>
        <v>4</v>
      </c>
      <c r="G86" s="384">
        <f>ROUND((G19-'18H29'!G19)/ABS('18H29'!G19)*100,1)</f>
        <v>0.2</v>
      </c>
      <c r="H86" s="384">
        <f>ROUND((H19-'18H29'!H19)/ABS('18H29'!H19)*100,1)</f>
        <v>3.9</v>
      </c>
      <c r="I86" s="384">
        <f>ROUND((I19-'18H29'!I19)/ABS('18H29'!I19)*100,1)</f>
        <v>62.9</v>
      </c>
      <c r="J86" s="384">
        <f>ROUND((J19-'18H29'!J19)/ABS('18H29'!J19)*100,1)</f>
        <v>17.399999999999999</v>
      </c>
      <c r="K86" s="384">
        <f>ROUND((K19-'18H29'!K19)/ABS('18H29'!K19)*100,1)</f>
        <v>0.4</v>
      </c>
      <c r="L86" s="384">
        <f>ROUND((L19-'18H29'!L19)/ABS('18H29'!L19)*100,1)</f>
        <v>-1.2</v>
      </c>
      <c r="M86" s="384">
        <f>ROUND((M19-'18H29'!M19)/ABS('18H29'!M19)*100,1)</f>
        <v>3.8</v>
      </c>
      <c r="N86" s="384">
        <f>ROUND((N19-'18H29'!N19)/ABS('18H29'!N19)*100,1)</f>
        <v>2.1</v>
      </c>
      <c r="O86" s="384">
        <f>ROUND((O19-'18H29'!O19)/ABS('18H29'!O19)*100,1)</f>
        <v>-15.3</v>
      </c>
      <c r="R86" s="383"/>
      <c r="S86" s="383"/>
      <c r="T86" s="383"/>
    </row>
    <row r="87" spans="1:20">
      <c r="A87" s="293">
        <v>206</v>
      </c>
      <c r="B87" s="90" t="s">
        <v>185</v>
      </c>
      <c r="C87" s="384">
        <f>ROUND((C20-'18H29'!C20)/ABS('18H29'!C20)*100,1)</f>
        <v>-3.4</v>
      </c>
      <c r="D87" s="384">
        <f>ROUND((D20-'18H29'!D20)/ABS('18H29'!D20)*100,1)</f>
        <v>3.2</v>
      </c>
      <c r="E87" s="384">
        <f>ROUND((E20-'18H29'!E20)/ABS('18H29'!E20)*100,1)</f>
        <v>-0.2</v>
      </c>
      <c r="F87" s="384">
        <f>ROUND((F20-'18H29'!F20)/ABS('18H29'!F20)*100,1)</f>
        <v>6</v>
      </c>
      <c r="G87" s="384">
        <f>ROUND((G20-'18H29'!G20)/ABS('18H29'!G20)*100,1)</f>
        <v>12.7</v>
      </c>
      <c r="H87" s="384">
        <f>ROUND((H20-'18H29'!H20)/ABS('18H29'!H20)*100,1)</f>
        <v>3.2</v>
      </c>
      <c r="I87" s="384">
        <f>ROUND((I20-'18H29'!I20)/ABS('18H29'!I20)*100,1)</f>
        <v>65.599999999999994</v>
      </c>
      <c r="J87" s="384">
        <f>ROUND((J20-'18H29'!J20)/ABS('18H29'!J20)*100,1)</f>
        <v>-10.6</v>
      </c>
      <c r="K87" s="384">
        <f>ROUND((K20-'18H29'!K20)/ABS('18H29'!K20)*100,1)</f>
        <v>2.1</v>
      </c>
      <c r="L87" s="384">
        <f>ROUND((L20-'18H29'!L20)/ABS('18H29'!L20)*100,1)</f>
        <v>-12.5</v>
      </c>
      <c r="M87" s="384">
        <f>ROUND((M20-'18H29'!M20)/ABS('18H29'!M20)*100,1)</f>
        <v>0.4</v>
      </c>
      <c r="N87" s="384">
        <f>ROUND((N20-'18H29'!N20)/ABS('18H29'!N20)*100,1)</f>
        <v>3.9</v>
      </c>
      <c r="O87" s="384">
        <f>ROUND((O20-'18H29'!O20)/ABS('18H29'!O20)*100,1)</f>
        <v>-11.5</v>
      </c>
      <c r="R87" s="383"/>
      <c r="S87" s="383"/>
      <c r="T87" s="383"/>
    </row>
    <row r="88" spans="1:20">
      <c r="A88" s="293">
        <v>2</v>
      </c>
      <c r="B88" s="65" t="s">
        <v>186</v>
      </c>
      <c r="C88" s="384">
        <f>ROUND((C21-'18H29'!C21)/ABS('18H29'!C21)*100,1)</f>
        <v>-0.4</v>
      </c>
      <c r="D88" s="384">
        <f>ROUND((D21-'18H29'!D21)/ABS('18H29'!D21)*100,1)</f>
        <v>0.8</v>
      </c>
      <c r="E88" s="384">
        <f>ROUND((E21-'18H29'!E21)/ABS('18H29'!E21)*100,1)</f>
        <v>-0.9</v>
      </c>
      <c r="F88" s="384">
        <f>ROUND((F21-'18H29'!F21)/ABS('18H29'!F21)*100,1)</f>
        <v>1.2</v>
      </c>
      <c r="G88" s="384">
        <f>ROUND((G21-'18H29'!G21)/ABS('18H29'!G21)*100,1)</f>
        <v>-11.6</v>
      </c>
      <c r="H88" s="384">
        <f>ROUND((H21-'18H29'!H21)/ABS('18H29'!H21)*100,1)</f>
        <v>2.9</v>
      </c>
      <c r="I88" s="384">
        <f>ROUND((I21-'18H29'!I21)/ABS('18H29'!I21)*100,1)</f>
        <v>62.1</v>
      </c>
      <c r="J88" s="384">
        <f>ROUND((J21-'18H29'!J21)/ABS('18H29'!J21)*100,1)</f>
        <v>-24.3</v>
      </c>
      <c r="K88" s="384">
        <f>ROUND((K21-'18H29'!K21)/ABS('18H29'!K21)*100,1)</f>
        <v>-0.1</v>
      </c>
      <c r="L88" s="384">
        <f>ROUND((L21-'18H29'!L21)/ABS('18H29'!L21)*100,1)</f>
        <v>-1.8</v>
      </c>
      <c r="M88" s="384">
        <f>ROUND((M21-'18H29'!M21)/ABS('18H29'!M21)*100,1)</f>
        <v>3.2</v>
      </c>
      <c r="N88" s="384">
        <f>ROUND((N21-'18H29'!N21)/ABS('18H29'!N21)*100,1)</f>
        <v>1.6</v>
      </c>
      <c r="O88" s="384">
        <f>ROUND((O21-'18H29'!O21)/ABS('18H29'!O21)*100,1)</f>
        <v>-19</v>
      </c>
      <c r="R88" s="383"/>
      <c r="S88" s="383"/>
      <c r="T88" s="383"/>
    </row>
    <row r="89" spans="1:20">
      <c r="A89" s="293">
        <v>207</v>
      </c>
      <c r="B89" s="90" t="s">
        <v>187</v>
      </c>
      <c r="C89" s="384">
        <f>ROUND((C22-'18H29'!C22)/ABS('18H29'!C22)*100,1)</f>
        <v>-0.6</v>
      </c>
      <c r="D89" s="384">
        <f>ROUND((D22-'18H29'!D22)/ABS('18H29'!D22)*100,1)</f>
        <v>0.8</v>
      </c>
      <c r="E89" s="384">
        <f>ROUND((E22-'18H29'!E22)/ABS('18H29'!E22)*100,1)</f>
        <v>-0.7</v>
      </c>
      <c r="F89" s="384">
        <f>ROUND((F22-'18H29'!F22)/ABS('18H29'!F22)*100,1)</f>
        <v>0.1</v>
      </c>
      <c r="G89" s="384">
        <f>ROUND((G22-'18H29'!G22)/ABS('18H29'!G22)*100,1)</f>
        <v>-7.8</v>
      </c>
      <c r="H89" s="384">
        <f>ROUND((H22-'18H29'!H22)/ABS('18H29'!H22)*100,1)</f>
        <v>0.8</v>
      </c>
      <c r="I89" s="384">
        <f>ROUND((I22-'18H29'!I22)/ABS('18H29'!I22)*100,1)</f>
        <v>62.4</v>
      </c>
      <c r="J89" s="384">
        <f>ROUND((J22-'18H29'!J22)/ABS('18H29'!J22)*100,1)</f>
        <v>-20.6</v>
      </c>
      <c r="K89" s="384">
        <f>ROUND((K22-'18H29'!K22)/ABS('18H29'!K22)*100,1)</f>
        <v>0.1</v>
      </c>
      <c r="L89" s="384">
        <f>ROUND((L22-'18H29'!L22)/ABS('18H29'!L22)*100,1)</f>
        <v>-94.1</v>
      </c>
      <c r="M89" s="384">
        <f>ROUND((M22-'18H29'!M22)/ABS('18H29'!M22)*100,1)</f>
        <v>3</v>
      </c>
      <c r="N89" s="384">
        <f>ROUND((N22-'18H29'!N22)/ABS('18H29'!N22)*100,1)</f>
        <v>1.8</v>
      </c>
      <c r="O89" s="384">
        <f>ROUND((O22-'18H29'!O22)/ABS('18H29'!O22)*100,1)</f>
        <v>-48.4</v>
      </c>
      <c r="R89" s="383"/>
      <c r="S89" s="383"/>
      <c r="T89" s="383"/>
    </row>
    <row r="90" spans="1:20">
      <c r="A90" s="293">
        <v>214</v>
      </c>
      <c r="B90" s="90" t="s">
        <v>188</v>
      </c>
      <c r="C90" s="384">
        <f>ROUND((C23-'18H29'!C23)/ABS('18H29'!C23)*100,1)</f>
        <v>1.4</v>
      </c>
      <c r="D90" s="384">
        <f>ROUND((D23-'18H29'!D23)/ABS('18H29'!D23)*100,1)</f>
        <v>0</v>
      </c>
      <c r="E90" s="384">
        <f>ROUND((E23-'18H29'!E23)/ABS('18H29'!E23)*100,1)</f>
        <v>1</v>
      </c>
      <c r="F90" s="384">
        <f>ROUND((F23-'18H29'!F23)/ABS('18H29'!F23)*100,1)</f>
        <v>-4</v>
      </c>
      <c r="G90" s="384">
        <f>ROUND((G23-'18H29'!G23)/ABS('18H29'!G23)*100,1)</f>
        <v>-13.8</v>
      </c>
      <c r="H90" s="384">
        <f>ROUND((H23-'18H29'!H23)/ABS('18H29'!H23)*100,1)</f>
        <v>-2.6</v>
      </c>
      <c r="I90" s="384">
        <f>ROUND((I23-'18H29'!I23)/ABS('18H29'!I23)*100,1)</f>
        <v>61</v>
      </c>
      <c r="J90" s="384">
        <f>ROUND((J23-'18H29'!J23)/ABS('18H29'!J23)*100,1)</f>
        <v>-9.4</v>
      </c>
      <c r="K90" s="384">
        <f>ROUND((K23-'18H29'!K23)/ABS('18H29'!K23)*100,1)</f>
        <v>-0.8</v>
      </c>
      <c r="L90" s="384">
        <f>ROUND((L23-'18H29'!L23)/ABS('18H29'!L23)*100,1)</f>
        <v>4.7</v>
      </c>
      <c r="M90" s="384">
        <f>ROUND((M23-'18H29'!M23)/ABS('18H29'!M23)*100,1)</f>
        <v>5</v>
      </c>
      <c r="N90" s="384">
        <f>ROUND((N23-'18H29'!N23)/ABS('18H29'!N23)*100,1)</f>
        <v>0.9</v>
      </c>
      <c r="O90" s="384">
        <f>ROUND((O23-'18H29'!O23)/ABS('18H29'!O23)*100,1)</f>
        <v>-4.3</v>
      </c>
      <c r="R90" s="383"/>
      <c r="S90" s="383"/>
      <c r="T90" s="383"/>
    </row>
    <row r="91" spans="1:20">
      <c r="A91" s="293">
        <v>217</v>
      </c>
      <c r="B91" s="90" t="s">
        <v>189</v>
      </c>
      <c r="C91" s="384">
        <f>ROUND((C24-'18H29'!C24)/ABS('18H29'!C24)*100,1)</f>
        <v>2.9</v>
      </c>
      <c r="D91" s="384">
        <f>ROUND((D24-'18H29'!D24)/ABS('18H29'!D24)*100,1)</f>
        <v>-0.1</v>
      </c>
      <c r="E91" s="384">
        <f>ROUND((E24-'18H29'!E24)/ABS('18H29'!E24)*100,1)</f>
        <v>-2.4</v>
      </c>
      <c r="F91" s="384">
        <f>ROUND((F24-'18H29'!F24)/ABS('18H29'!F24)*100,1)</f>
        <v>-2.2999999999999998</v>
      </c>
      <c r="G91" s="384">
        <f>ROUND((G24-'18H29'!G24)/ABS('18H29'!G24)*100,1)</f>
        <v>-9.1</v>
      </c>
      <c r="H91" s="384">
        <f>ROUND((H24-'18H29'!H24)/ABS('18H29'!H24)*100,1)</f>
        <v>-1.8</v>
      </c>
      <c r="I91" s="384">
        <f>ROUND((I24-'18H29'!I24)/ABS('18H29'!I24)*100,1)</f>
        <v>57.7</v>
      </c>
      <c r="J91" s="384">
        <f>ROUND((J24-'18H29'!J24)/ABS('18H29'!J24)*100,1)</f>
        <v>-39.799999999999997</v>
      </c>
      <c r="K91" s="384">
        <f>ROUND((K24-'18H29'!K24)/ABS('18H29'!K24)*100,1)</f>
        <v>-2.8</v>
      </c>
      <c r="L91" s="384">
        <f>ROUND((L24-'18H29'!L24)/ABS('18H29'!L24)*100,1)</f>
        <v>14.5</v>
      </c>
      <c r="M91" s="384">
        <f>ROUND((M24-'18H29'!M24)/ABS('18H29'!M24)*100,1)</f>
        <v>6.1</v>
      </c>
      <c r="N91" s="384">
        <f>ROUND((N24-'18H29'!N24)/ABS('18H29'!N24)*100,1)</f>
        <v>-1.2</v>
      </c>
      <c r="O91" s="384">
        <f>ROUND((O24-'18H29'!O24)/ABS('18H29'!O24)*100,1)</f>
        <v>1.5</v>
      </c>
      <c r="R91" s="383"/>
      <c r="S91" s="383"/>
      <c r="T91" s="383"/>
    </row>
    <row r="92" spans="1:20">
      <c r="A92" s="293">
        <v>219</v>
      </c>
      <c r="B92" s="90" t="s">
        <v>190</v>
      </c>
      <c r="C92" s="384">
        <f>ROUND((C25-'18H29'!C25)/ABS('18H29'!C25)*100,1)</f>
        <v>-3.3</v>
      </c>
      <c r="D92" s="384">
        <f>ROUND((D25-'18H29'!D25)/ABS('18H29'!D25)*100,1)</f>
        <v>3.5</v>
      </c>
      <c r="E92" s="384">
        <f>ROUND((E25-'18H29'!E25)/ABS('18H29'!E25)*100,1)</f>
        <v>-2.8</v>
      </c>
      <c r="F92" s="384">
        <f>ROUND((F25-'18H29'!F25)/ABS('18H29'!F25)*100,1)</f>
        <v>16.7</v>
      </c>
      <c r="G92" s="384">
        <f>ROUND((G25-'18H29'!G25)/ABS('18H29'!G25)*100,1)</f>
        <v>-12.7</v>
      </c>
      <c r="H92" s="384">
        <f>ROUND((H25-'18H29'!H25)/ABS('18H29'!H25)*100,1)</f>
        <v>20</v>
      </c>
      <c r="I92" s="384">
        <f>ROUND((I25-'18H29'!I25)/ABS('18H29'!I25)*100,1)</f>
        <v>71.3</v>
      </c>
      <c r="J92" s="384">
        <f>ROUND((J25-'18H29'!J25)/ABS('18H29'!J25)*100,1)</f>
        <v>-9.9</v>
      </c>
      <c r="K92" s="384">
        <f>ROUND((K25-'18H29'!K25)/ABS('18H29'!K25)*100,1)</f>
        <v>5.5</v>
      </c>
      <c r="L92" s="384">
        <f>ROUND((L25-'18H29'!L25)/ABS('18H29'!L25)*100,1)</f>
        <v>-29.3</v>
      </c>
      <c r="M92" s="384">
        <f>ROUND((M25-'18H29'!M25)/ABS('18H29'!M25)*100,1)</f>
        <v>0.3</v>
      </c>
      <c r="N92" s="384">
        <f>ROUND((N25-'18H29'!N25)/ABS('18H29'!N25)*100,1)</f>
        <v>7.3</v>
      </c>
      <c r="O92" s="384">
        <f>ROUND((O25-'18H29'!O25)/ABS('18H29'!O25)*100,1)</f>
        <v>-283.39999999999998</v>
      </c>
      <c r="R92" s="383"/>
      <c r="S92" s="383"/>
      <c r="T92" s="383"/>
    </row>
    <row r="93" spans="1:20">
      <c r="A93" s="293">
        <v>301</v>
      </c>
      <c r="B93" s="90" t="s">
        <v>191</v>
      </c>
      <c r="C93" s="384">
        <f>ROUND((C26-'18H29'!C26)/ABS('18H29'!C26)*100,1)</f>
        <v>-5.4</v>
      </c>
      <c r="D93" s="384">
        <f>ROUND((D26-'18H29'!D26)/ABS('18H29'!D26)*100,1)</f>
        <v>2.2999999999999998</v>
      </c>
      <c r="E93" s="384">
        <f>ROUND((E26-'18H29'!E26)/ABS('18H29'!E26)*100,1)</f>
        <v>-1</v>
      </c>
      <c r="F93" s="384">
        <f>ROUND((F26-'18H29'!F26)/ABS('18H29'!F26)*100,1)</f>
        <v>-15.2</v>
      </c>
      <c r="G93" s="384">
        <f>ROUND((G26-'18H29'!G26)/ABS('18H29'!G26)*100,1)</f>
        <v>-47.9</v>
      </c>
      <c r="H93" s="384">
        <f>ROUND((H26-'18H29'!H26)/ABS('18H29'!H26)*100,1)</f>
        <v>-11</v>
      </c>
      <c r="I93" s="384">
        <f>ROUND((I26-'18H29'!I26)/ABS('18H29'!I26)*100,1)</f>
        <v>58.4</v>
      </c>
      <c r="J93" s="384">
        <f>ROUND((J26-'18H29'!J26)/ABS('18H29'!J26)*100,1)</f>
        <v>-35.6</v>
      </c>
      <c r="K93" s="384">
        <f>ROUND((K26-'18H29'!K26)/ABS('18H29'!K26)*100,1)</f>
        <v>-2.1</v>
      </c>
      <c r="L93" s="384">
        <f>ROUND((L26-'18H29'!L26)/ABS('18H29'!L26)*100,1)</f>
        <v>-6.3</v>
      </c>
      <c r="M93" s="384">
        <f>ROUND((M26-'18H29'!M26)/ABS('18H29'!M26)*100,1)</f>
        <v>-1.5</v>
      </c>
      <c r="N93" s="384">
        <f>ROUND((N26-'18H29'!N26)/ABS('18H29'!N26)*100,1)</f>
        <v>-0.4</v>
      </c>
      <c r="O93" s="384">
        <f>ROUND((O26-'18H29'!O26)/ABS('18H29'!O26)*100,1)</f>
        <v>-9.6</v>
      </c>
      <c r="R93" s="383"/>
      <c r="S93" s="383"/>
      <c r="T93" s="383"/>
    </row>
    <row r="94" spans="1:20">
      <c r="A94" s="293">
        <v>3</v>
      </c>
      <c r="B94" s="65" t="s">
        <v>192</v>
      </c>
      <c r="C94" s="384">
        <f>ROUND((C27-'18H29'!C27)/ABS('18H29'!C27)*100,1)</f>
        <v>1.3</v>
      </c>
      <c r="D94" s="384">
        <f>ROUND((D27-'18H29'!D27)/ABS('18H29'!D27)*100,1)</f>
        <v>1.5</v>
      </c>
      <c r="E94" s="384">
        <f>ROUND((E27-'18H29'!E27)/ABS('18H29'!E27)*100,1)</f>
        <v>1.6</v>
      </c>
      <c r="F94" s="384">
        <f>ROUND((F27-'18H29'!F27)/ABS('18H29'!F27)*100,1)</f>
        <v>-5.9</v>
      </c>
      <c r="G94" s="384">
        <f>ROUND((G27-'18H29'!G27)/ABS('18H29'!G27)*100,1)</f>
        <v>18</v>
      </c>
      <c r="H94" s="384">
        <f>ROUND((H27-'18H29'!H27)/ABS('18H29'!H27)*100,1)</f>
        <v>-9.6</v>
      </c>
      <c r="I94" s="384">
        <f>ROUND((I27-'18H29'!I27)/ABS('18H29'!I27)*100,1)</f>
        <v>60.7</v>
      </c>
      <c r="J94" s="384">
        <f>ROUND((J27-'18H29'!J27)/ABS('18H29'!J27)*100,1)</f>
        <v>-6.3</v>
      </c>
      <c r="K94" s="384">
        <f>ROUND((K27-'18H29'!K27)/ABS('18H29'!K27)*100,1)</f>
        <v>-0.9</v>
      </c>
      <c r="L94" s="384">
        <f>ROUND((L27-'18H29'!L27)/ABS('18H29'!L27)*100,1)</f>
        <v>50.2</v>
      </c>
      <c r="M94" s="384">
        <f>ROUND((M27-'18H29'!M27)/ABS('18H29'!M27)*100,1)</f>
        <v>5.0999999999999996</v>
      </c>
      <c r="N94" s="384">
        <f>ROUND((N27-'18H29'!N27)/ABS('18H29'!N27)*100,1)</f>
        <v>0.7</v>
      </c>
      <c r="O94" s="384">
        <f>ROUND((O27-'18H29'!O27)/ABS('18H29'!O27)*100,1)</f>
        <v>-63.4</v>
      </c>
      <c r="R94" s="383"/>
      <c r="S94" s="383"/>
      <c r="T94" s="383"/>
    </row>
    <row r="95" spans="1:20">
      <c r="A95" s="293">
        <v>203</v>
      </c>
      <c r="B95" s="90" t="s">
        <v>193</v>
      </c>
      <c r="C95" s="384">
        <f>ROUND((C28-'18H29'!C28)/ABS('18H29'!C28)*100,1)</f>
        <v>3.2</v>
      </c>
      <c r="D95" s="384">
        <f>ROUND((D28-'18H29'!D28)/ABS('18H29'!D28)*100,1)</f>
        <v>1.8</v>
      </c>
      <c r="E95" s="384">
        <f>ROUND((E28-'18H29'!E28)/ABS('18H29'!E28)*100,1)</f>
        <v>3.1</v>
      </c>
      <c r="F95" s="384">
        <f>ROUND((F28-'18H29'!F28)/ABS('18H29'!F28)*100,1)</f>
        <v>-3.3</v>
      </c>
      <c r="G95" s="384">
        <f>ROUND((G28-'18H29'!G28)/ABS('18H29'!G28)*100,1)</f>
        <v>6.7</v>
      </c>
      <c r="H95" s="384">
        <f>ROUND((H28-'18H29'!H28)/ABS('18H29'!H28)*100,1)</f>
        <v>-6.1</v>
      </c>
      <c r="I95" s="384">
        <f>ROUND((I28-'18H29'!I28)/ABS('18H29'!I28)*100,1)</f>
        <v>63.9</v>
      </c>
      <c r="J95" s="384">
        <f>ROUND((J28-'18H29'!J28)/ABS('18H29'!J28)*100,1)</f>
        <v>15.9</v>
      </c>
      <c r="K95" s="384">
        <f>ROUND((K28-'18H29'!K28)/ABS('18H29'!K28)*100,1)</f>
        <v>1</v>
      </c>
      <c r="L95" s="384">
        <f>ROUND((L28-'18H29'!L28)/ABS('18H29'!L28)*100,1)</f>
        <v>91.2</v>
      </c>
      <c r="M95" s="384">
        <f>ROUND((M28-'18H29'!M28)/ABS('18H29'!M28)*100,1)</f>
        <v>7</v>
      </c>
      <c r="N95" s="384">
        <f>ROUND((N28-'18H29'!N28)/ABS('18H29'!N28)*100,1)</f>
        <v>2.7</v>
      </c>
      <c r="O95" s="384">
        <f>ROUND((O28-'18H29'!O28)/ABS('18H29'!O28)*100,1)</f>
        <v>-50.9</v>
      </c>
      <c r="R95" s="383"/>
      <c r="S95" s="383"/>
      <c r="T95" s="383"/>
    </row>
    <row r="96" spans="1:20">
      <c r="A96" s="293">
        <v>210</v>
      </c>
      <c r="B96" s="90" t="s">
        <v>194</v>
      </c>
      <c r="C96" s="384">
        <f>ROUND((C29-'18H29'!C29)/ABS('18H29'!C29)*100,1)</f>
        <v>2</v>
      </c>
      <c r="D96" s="384">
        <f>ROUND((D29-'18H29'!D29)/ABS('18H29'!D29)*100,1)</f>
        <v>0.6</v>
      </c>
      <c r="E96" s="384">
        <f>ROUND((E29-'18H29'!E29)/ABS('18H29'!E29)*100,1)</f>
        <v>1.1000000000000001</v>
      </c>
      <c r="F96" s="384">
        <f>ROUND((F29-'18H29'!F29)/ABS('18H29'!F29)*100,1)</f>
        <v>-14.6</v>
      </c>
      <c r="G96" s="384">
        <f>ROUND((G29-'18H29'!G29)/ABS('18H29'!G29)*100,1)</f>
        <v>39.6</v>
      </c>
      <c r="H96" s="384">
        <f>ROUND((H29-'18H29'!H29)/ABS('18H29'!H29)*100,1)</f>
        <v>-21.2</v>
      </c>
      <c r="I96" s="384">
        <f>ROUND((I29-'18H29'!I29)/ABS('18H29'!I29)*100,1)</f>
        <v>54.5</v>
      </c>
      <c r="J96" s="384">
        <f>ROUND((J29-'18H29'!J29)/ABS('18H29'!J29)*100,1)</f>
        <v>-25.9</v>
      </c>
      <c r="K96" s="384">
        <f>ROUND((K29-'18H29'!K29)/ABS('18H29'!K29)*100,1)</f>
        <v>-4.8</v>
      </c>
      <c r="L96" s="384">
        <f>ROUND((L29-'18H29'!L29)/ABS('18H29'!L29)*100,1)</f>
        <v>47.5</v>
      </c>
      <c r="M96" s="384">
        <f>ROUND((M29-'18H29'!M29)/ABS('18H29'!M29)*100,1)</f>
        <v>5.6</v>
      </c>
      <c r="N96" s="384">
        <f>ROUND((N29-'18H29'!N29)/ABS('18H29'!N29)*100,1)</f>
        <v>-3.2</v>
      </c>
      <c r="O96" s="384">
        <f>ROUND((O29-'18H29'!O29)/ABS('18H29'!O29)*100,1)</f>
        <v>-5</v>
      </c>
      <c r="R96" s="383"/>
      <c r="S96" s="383"/>
      <c r="T96" s="383"/>
    </row>
    <row r="97" spans="1:20">
      <c r="A97" s="293">
        <v>216</v>
      </c>
      <c r="B97" s="90" t="s">
        <v>195</v>
      </c>
      <c r="C97" s="384">
        <f>ROUND((C30-'18H29'!C30)/ABS('18H29'!C30)*100,1)</f>
        <v>-3.9</v>
      </c>
      <c r="D97" s="384">
        <f>ROUND((D30-'18H29'!D30)/ABS('18H29'!D30)*100,1)</f>
        <v>2.8</v>
      </c>
      <c r="E97" s="384">
        <f>ROUND((E30-'18H29'!E30)/ABS('18H29'!E30)*100,1)</f>
        <v>-2.8</v>
      </c>
      <c r="F97" s="384">
        <f>ROUND((F30-'18H29'!F30)/ABS('18H29'!F30)*100,1)</f>
        <v>4.0999999999999996</v>
      </c>
      <c r="G97" s="384">
        <f>ROUND((G30-'18H29'!G30)/ABS('18H29'!G30)*100,1)</f>
        <v>12.2</v>
      </c>
      <c r="H97" s="384">
        <f>ROUND((H30-'18H29'!H30)/ABS('18H29'!H30)*100,1)</f>
        <v>3.1</v>
      </c>
      <c r="I97" s="384">
        <f>ROUND((I30-'18H29'!I30)/ABS('18H29'!I30)*100,1)</f>
        <v>66.7</v>
      </c>
      <c r="J97" s="384">
        <f>ROUND((J30-'18H29'!J30)/ABS('18H29'!J30)*100,1)</f>
        <v>3.2</v>
      </c>
      <c r="K97" s="384">
        <f>ROUND((K30-'18H29'!K30)/ABS('18H29'!K30)*100,1)</f>
        <v>2.8</v>
      </c>
      <c r="L97" s="384">
        <f>ROUND((L30-'18H29'!L30)/ABS('18H29'!L30)*100,1)</f>
        <v>-22.9</v>
      </c>
      <c r="M97" s="384">
        <f>ROUND((M30-'18H29'!M30)/ABS('18H29'!M30)*100,1)</f>
        <v>-0.3</v>
      </c>
      <c r="N97" s="384">
        <f>ROUND((N30-'18H29'!N30)/ABS('18H29'!N30)*100,1)</f>
        <v>4.5</v>
      </c>
      <c r="O97" s="384">
        <f>ROUND((O30-'18H29'!O30)/ABS('18H29'!O30)*100,1)</f>
        <v>-109.7</v>
      </c>
      <c r="R97" s="383"/>
      <c r="S97" s="383"/>
      <c r="T97" s="383"/>
    </row>
    <row r="98" spans="1:20">
      <c r="A98" s="293">
        <v>381</v>
      </c>
      <c r="B98" s="90" t="s">
        <v>196</v>
      </c>
      <c r="C98" s="384">
        <f>ROUND((C31-'18H29'!C31)/ABS('18H29'!C31)*100,1)</f>
        <v>-0.6</v>
      </c>
      <c r="D98" s="384">
        <f>ROUND((D31-'18H29'!D31)/ABS('18H29'!D31)*100,1)</f>
        <v>2.2999999999999998</v>
      </c>
      <c r="E98" s="384">
        <f>ROUND((E31-'18H29'!E31)/ABS('18H29'!E31)*100,1)</f>
        <v>-0.5</v>
      </c>
      <c r="F98" s="384">
        <f>ROUND((F31-'18H29'!F31)/ABS('18H29'!F31)*100,1)</f>
        <v>42.4</v>
      </c>
      <c r="G98" s="384">
        <f>ROUND((G31-'18H29'!G31)/ABS('18H29'!G31)*100,1)</f>
        <v>18.399999999999999</v>
      </c>
      <c r="H98" s="384">
        <f>ROUND((H31-'18H29'!H31)/ABS('18H29'!H31)*100,1)</f>
        <v>45.8</v>
      </c>
      <c r="I98" s="384">
        <f>ROUND((I31-'18H29'!I31)/ABS('18H29'!I31)*100,1)</f>
        <v>76.400000000000006</v>
      </c>
      <c r="J98" s="384">
        <f>ROUND((J31-'18H29'!J31)/ABS('18H29'!J31)*100,1)</f>
        <v>-52.4</v>
      </c>
      <c r="K98" s="384">
        <f>ROUND((K31-'18H29'!K31)/ABS('18H29'!K31)*100,1)</f>
        <v>8.6999999999999993</v>
      </c>
      <c r="L98" s="384">
        <f>ROUND((L31-'18H29'!L31)/ABS('18H29'!L31)*100,1)</f>
        <v>-11.1</v>
      </c>
      <c r="M98" s="384">
        <f>ROUND((M31-'18H29'!M31)/ABS('18H29'!M31)*100,1)</f>
        <v>3.1</v>
      </c>
      <c r="N98" s="384">
        <f>ROUND((N31-'18H29'!N31)/ABS('18H29'!N31)*100,1)</f>
        <v>10.6</v>
      </c>
      <c r="O98" s="384">
        <f>ROUND((O31-'18H29'!O31)/ABS('18H29'!O31)*100,1)</f>
        <v>-46</v>
      </c>
      <c r="R98" s="383"/>
      <c r="S98" s="383"/>
      <c r="T98" s="383"/>
    </row>
    <row r="99" spans="1:20">
      <c r="A99" s="293">
        <v>382</v>
      </c>
      <c r="B99" s="90" t="s">
        <v>197</v>
      </c>
      <c r="C99" s="384">
        <f>ROUND((C32-'18H29'!C32)/ABS('18H29'!C32)*100,1)</f>
        <v>4.2</v>
      </c>
      <c r="D99" s="384">
        <f>ROUND((D32-'18H29'!D32)/ABS('18H29'!D32)*100,1)</f>
        <v>2</v>
      </c>
      <c r="E99" s="384">
        <f>ROUND((E32-'18H29'!E32)/ABS('18H29'!E32)*100,1)</f>
        <v>4.5999999999999996</v>
      </c>
      <c r="F99" s="384">
        <f>ROUND((F32-'18H29'!F32)/ABS('18H29'!F32)*100,1)</f>
        <v>-16.5</v>
      </c>
      <c r="G99" s="384">
        <f>ROUND((G32-'18H29'!G32)/ABS('18H29'!G32)*100,1)</f>
        <v>-3.6</v>
      </c>
      <c r="H99" s="384">
        <f>ROUND((H32-'18H29'!H32)/ABS('18H29'!H32)*100,1)</f>
        <v>-18</v>
      </c>
      <c r="I99" s="384">
        <f>ROUND((I32-'18H29'!I32)/ABS('18H29'!I32)*100,1)</f>
        <v>52.2</v>
      </c>
      <c r="J99" s="384">
        <f>ROUND((J32-'18H29'!J32)/ABS('18H29'!J32)*100,1)</f>
        <v>-16</v>
      </c>
      <c r="K99" s="384">
        <f>ROUND((K32-'18H29'!K32)/ABS('18H29'!K32)*100,1)</f>
        <v>-6</v>
      </c>
      <c r="L99" s="384">
        <f>ROUND((L32-'18H29'!L32)/ABS('18H29'!L32)*100,1)</f>
        <v>102.9</v>
      </c>
      <c r="M99" s="384">
        <f>ROUND((M32-'18H29'!M32)/ABS('18H29'!M32)*100,1)</f>
        <v>8</v>
      </c>
      <c r="N99" s="384">
        <f>ROUND((N32-'18H29'!N32)/ABS('18H29'!N32)*100,1)</f>
        <v>-4.4000000000000004</v>
      </c>
      <c r="O99" s="384">
        <f>ROUND((O32-'18H29'!O32)/ABS('18H29'!O32)*100,1)</f>
        <v>-76.3</v>
      </c>
      <c r="R99" s="383"/>
      <c r="S99" s="383"/>
      <c r="T99" s="383"/>
    </row>
    <row r="100" spans="1:20">
      <c r="A100" s="293">
        <v>4</v>
      </c>
      <c r="B100" s="91" t="s">
        <v>198</v>
      </c>
      <c r="C100" s="384">
        <f>ROUND((C33-'18H29'!C33)/ABS('18H29'!C33)*100,1)</f>
        <v>-1.2</v>
      </c>
      <c r="D100" s="384">
        <f>ROUND((D33-'18H29'!D33)/ABS('18H29'!D33)*100,1)</f>
        <v>3.2</v>
      </c>
      <c r="E100" s="384">
        <f>ROUND((E33-'18H29'!E33)/ABS('18H29'!E33)*100,1)</f>
        <v>0</v>
      </c>
      <c r="F100" s="384">
        <f>ROUND((F33-'18H29'!F33)/ABS('18H29'!F33)*100,1)</f>
        <v>-1.3</v>
      </c>
      <c r="G100" s="384">
        <f>ROUND((G33-'18H29'!G33)/ABS('18H29'!G33)*100,1)</f>
        <v>-12.9</v>
      </c>
      <c r="H100" s="384">
        <f>ROUND((H33-'18H29'!H33)/ABS('18H29'!H33)*100,1)</f>
        <v>-0.1</v>
      </c>
      <c r="I100" s="384">
        <f>ROUND((I33-'18H29'!I33)/ABS('18H29'!I33)*100,1)</f>
        <v>63.9</v>
      </c>
      <c r="J100" s="384">
        <f>ROUND((J33-'18H29'!J33)/ABS('18H29'!J33)*100,1)</f>
        <v>-10.8</v>
      </c>
      <c r="K100" s="384">
        <f>ROUND((K33-'18H29'!K33)/ABS('18H29'!K33)*100,1)</f>
        <v>1</v>
      </c>
      <c r="L100" s="384">
        <f>ROUND((L33-'18H29'!L33)/ABS('18H29'!L33)*100,1)</f>
        <v>-6.7</v>
      </c>
      <c r="M100" s="384">
        <f>ROUND((M33-'18H29'!M33)/ABS('18H29'!M33)*100,1)</f>
        <v>2.5</v>
      </c>
      <c r="N100" s="384">
        <f>ROUND((N33-'18H29'!N33)/ABS('18H29'!N33)*100,1)</f>
        <v>2.7</v>
      </c>
      <c r="O100" s="384">
        <f>ROUND((O33-'18H29'!O33)/ABS('18H29'!O33)*100,1)</f>
        <v>-132.6</v>
      </c>
      <c r="R100" s="383"/>
      <c r="S100" s="383"/>
      <c r="T100" s="383"/>
    </row>
    <row r="101" spans="1:20">
      <c r="A101" s="293">
        <v>213</v>
      </c>
      <c r="B101" s="92" t="s">
        <v>231</v>
      </c>
      <c r="C101" s="384">
        <f>ROUND((C34-'18H29'!C34)/ABS('18H29'!C34)*100,1)</f>
        <v>0</v>
      </c>
      <c r="D101" s="384">
        <f>ROUND((D34-'18H29'!D34)/ABS('18H29'!D34)*100,1)</f>
        <v>2</v>
      </c>
      <c r="E101" s="384">
        <f>ROUND((E34-'18H29'!E34)/ABS('18H29'!E34)*100,1)</f>
        <v>-0.4</v>
      </c>
      <c r="F101" s="384">
        <f>ROUND((F34-'18H29'!F34)/ABS('18H29'!F34)*100,1)</f>
        <v>3.7</v>
      </c>
      <c r="G101" s="384">
        <f>ROUND((G34-'18H29'!G34)/ABS('18H29'!G34)*100,1)</f>
        <v>29.4</v>
      </c>
      <c r="H101" s="384">
        <f>ROUND((H34-'18H29'!H34)/ABS('18H29'!H34)*100,1)</f>
        <v>-2</v>
      </c>
      <c r="I101" s="384">
        <f>ROUND((I34-'18H29'!I34)/ABS('18H29'!I34)*100,1)</f>
        <v>66.599999999999994</v>
      </c>
      <c r="J101" s="384">
        <f>ROUND((J34-'18H29'!J34)/ABS('18H29'!J34)*100,1)</f>
        <v>26.6</v>
      </c>
      <c r="K101" s="384">
        <f>ROUND((K34-'18H29'!K34)/ABS('18H29'!K34)*100,1)</f>
        <v>2.7</v>
      </c>
      <c r="L101" s="384">
        <f>ROUND((L34-'18H29'!L34)/ABS('18H29'!L34)*100,1)</f>
        <v>-17</v>
      </c>
      <c r="M101" s="384">
        <f>ROUND((M34-'18H29'!M34)/ABS('18H29'!M34)*100,1)</f>
        <v>3.6</v>
      </c>
      <c r="N101" s="384">
        <f>ROUND((N34-'18H29'!N34)/ABS('18H29'!N34)*100,1)</f>
        <v>4.4000000000000004</v>
      </c>
      <c r="O101" s="384">
        <f>ROUND((O34-'18H29'!O34)/ABS('18H29'!O34)*100,1)</f>
        <v>-152.5</v>
      </c>
      <c r="R101" s="383"/>
      <c r="S101" s="383"/>
      <c r="T101" s="383"/>
    </row>
    <row r="102" spans="1:20">
      <c r="A102" s="293">
        <v>215</v>
      </c>
      <c r="B102" s="92" t="s">
        <v>232</v>
      </c>
      <c r="C102" s="384">
        <f>ROUND((C35-'18H29'!C35)/ABS('18H29'!C35)*100,1)</f>
        <v>1.2</v>
      </c>
      <c r="D102" s="384">
        <f>ROUND((D35-'18H29'!D35)/ABS('18H29'!D35)*100,1)</f>
        <v>4.2</v>
      </c>
      <c r="E102" s="384">
        <f>ROUND((E35-'18H29'!E35)/ABS('18H29'!E35)*100,1)</f>
        <v>1</v>
      </c>
      <c r="F102" s="384">
        <f>ROUND((F35-'18H29'!F35)/ABS('18H29'!F35)*100,1)</f>
        <v>5.8</v>
      </c>
      <c r="G102" s="384">
        <f>ROUND((G35-'18H29'!G35)/ABS('18H29'!G35)*100,1)</f>
        <v>-27.8</v>
      </c>
      <c r="H102" s="384">
        <f>ROUND((H35-'18H29'!H35)/ABS('18H29'!H35)*100,1)</f>
        <v>13.1</v>
      </c>
      <c r="I102" s="384">
        <f>ROUND((I35-'18H29'!I35)/ABS('18H29'!I35)*100,1)</f>
        <v>64.8</v>
      </c>
      <c r="J102" s="384">
        <f>ROUND((J35-'18H29'!J35)/ABS('18H29'!J35)*100,1)</f>
        <v>-49.9</v>
      </c>
      <c r="K102" s="384">
        <f>ROUND((K35-'18H29'!K35)/ABS('18H29'!K35)*100,1)</f>
        <v>1.6</v>
      </c>
      <c r="L102" s="384">
        <f>ROUND((L35-'18H29'!L35)/ABS('18H29'!L35)*100,1)</f>
        <v>-1</v>
      </c>
      <c r="M102" s="384">
        <f>ROUND((M35-'18H29'!M35)/ABS('18H29'!M35)*100,1)</f>
        <v>4.8</v>
      </c>
      <c r="N102" s="384">
        <f>ROUND((N35-'18H29'!N35)/ABS('18H29'!N35)*100,1)</f>
        <v>3.3</v>
      </c>
      <c r="O102" s="384">
        <f>ROUND((O35-'18H29'!O35)/ABS('18H29'!O35)*100,1)</f>
        <v>-142.1</v>
      </c>
      <c r="R102" s="383"/>
      <c r="S102" s="383"/>
      <c r="T102" s="383"/>
    </row>
    <row r="103" spans="1:20">
      <c r="A103" s="293">
        <v>218</v>
      </c>
      <c r="B103" s="90" t="s">
        <v>200</v>
      </c>
      <c r="C103" s="384">
        <f>ROUND((C36-'18H29'!C36)/ABS('18H29'!C36)*100,1)</f>
        <v>0.9</v>
      </c>
      <c r="D103" s="384">
        <f>ROUND((D36-'18H29'!D36)/ABS('18H29'!D36)*100,1)</f>
        <v>2.6</v>
      </c>
      <c r="E103" s="384">
        <f>ROUND((E36-'18H29'!E36)/ABS('18H29'!E36)*100,1)</f>
        <v>-2.1</v>
      </c>
      <c r="F103" s="384">
        <f>ROUND((F36-'18H29'!F36)/ABS('18H29'!F36)*100,1)</f>
        <v>11.8</v>
      </c>
      <c r="G103" s="384">
        <f>ROUND((G36-'18H29'!G36)/ABS('18H29'!G36)*100,1)</f>
        <v>0.5</v>
      </c>
      <c r="H103" s="384">
        <f>ROUND((H36-'18H29'!H36)/ABS('18H29'!H36)*100,1)</f>
        <v>13.1</v>
      </c>
      <c r="I103" s="384">
        <f>ROUND((I36-'18H29'!I36)/ABS('18H29'!I36)*100,1)</f>
        <v>69.900000000000006</v>
      </c>
      <c r="J103" s="384">
        <f>ROUND((J36-'18H29'!J36)/ABS('18H29'!J36)*100,1)</f>
        <v>6.1</v>
      </c>
      <c r="K103" s="384">
        <f>ROUND((K36-'18H29'!K36)/ABS('18H29'!K36)*100,1)</f>
        <v>4.7</v>
      </c>
      <c r="L103" s="384">
        <f>ROUND((L36-'18H29'!L36)/ABS('18H29'!L36)*100,1)</f>
        <v>-5.9</v>
      </c>
      <c r="M103" s="384">
        <f>ROUND((M36-'18H29'!M36)/ABS('18H29'!M36)*100,1)</f>
        <v>4.5</v>
      </c>
      <c r="N103" s="384">
        <f>ROUND((N36-'18H29'!N36)/ABS('18H29'!N36)*100,1)</f>
        <v>6.5</v>
      </c>
      <c r="O103" s="384">
        <f>ROUND((O36-'18H29'!O36)/ABS('18H29'!O36)*100,1)</f>
        <v>-64.8</v>
      </c>
      <c r="R103" s="383"/>
      <c r="S103" s="383"/>
      <c r="T103" s="383"/>
    </row>
    <row r="104" spans="1:20">
      <c r="A104" s="293">
        <v>220</v>
      </c>
      <c r="B104" s="90" t="s">
        <v>201</v>
      </c>
      <c r="C104" s="384">
        <f>ROUND((C37-'18H29'!C37)/ABS('18H29'!C37)*100,1)</f>
        <v>1.1000000000000001</v>
      </c>
      <c r="D104" s="384">
        <f>ROUND((D37-'18H29'!D37)/ABS('18H29'!D37)*100,1)</f>
        <v>3.5</v>
      </c>
      <c r="E104" s="384">
        <f>ROUND((E37-'18H29'!E37)/ABS('18H29'!E37)*100,1)</f>
        <v>-0.9</v>
      </c>
      <c r="F104" s="384">
        <f>ROUND((F37-'18H29'!F37)/ABS('18H29'!F37)*100,1)</f>
        <v>-9.6999999999999993</v>
      </c>
      <c r="G104" s="384">
        <f>ROUND((G37-'18H29'!G37)/ABS('18H29'!G37)*100,1)</f>
        <v>-37.200000000000003</v>
      </c>
      <c r="H104" s="384">
        <f>ROUND((H37-'18H29'!H37)/ABS('18H29'!H37)*100,1)</f>
        <v>-6.8</v>
      </c>
      <c r="I104" s="384">
        <f>ROUND((I37-'18H29'!I37)/ABS('18H29'!I37)*100,1)</f>
        <v>57.9</v>
      </c>
      <c r="J104" s="384">
        <f>ROUND((J37-'18H29'!J37)/ABS('18H29'!J37)*100,1)</f>
        <v>-40.6</v>
      </c>
      <c r="K104" s="384">
        <f>ROUND((K37-'18H29'!K37)/ABS('18H29'!K37)*100,1)</f>
        <v>-2.8</v>
      </c>
      <c r="L104" s="384">
        <f>ROUND((L37-'18H29'!L37)/ABS('18H29'!L37)*100,1)</f>
        <v>8</v>
      </c>
      <c r="M104" s="384">
        <f>ROUND((M37-'18H29'!M37)/ABS('18H29'!M37)*100,1)</f>
        <v>4.7</v>
      </c>
      <c r="N104" s="384">
        <f>ROUND((N37-'18H29'!N37)/ABS('18H29'!N37)*100,1)</f>
        <v>-1.1000000000000001</v>
      </c>
      <c r="O104" s="384">
        <f>ROUND((O37-'18H29'!O37)/ABS('18H29'!O37)*100,1)</f>
        <v>-43.1</v>
      </c>
      <c r="R104" s="383"/>
      <c r="S104" s="383"/>
      <c r="T104" s="383"/>
    </row>
    <row r="105" spans="1:20">
      <c r="A105" s="293">
        <v>228</v>
      </c>
      <c r="B105" s="90" t="s">
        <v>239</v>
      </c>
      <c r="C105" s="384">
        <f>ROUND((C38-'18H29'!C38)/ABS('18H29'!C38)*100,1)</f>
        <v>-7.5</v>
      </c>
      <c r="D105" s="384">
        <f>ROUND((D38-'18H29'!D38)/ABS('18H29'!D38)*100,1)</f>
        <v>3.7</v>
      </c>
      <c r="E105" s="384">
        <f>ROUND((E38-'18H29'!E38)/ABS('18H29'!E38)*100,1)</f>
        <v>2.7</v>
      </c>
      <c r="F105" s="384">
        <f>ROUND((F38-'18H29'!F38)/ABS('18H29'!F38)*100,1)</f>
        <v>-18.899999999999999</v>
      </c>
      <c r="G105" s="384">
        <f>ROUND((G38-'18H29'!G38)/ABS('18H29'!G38)*100,1)</f>
        <v>-6.1</v>
      </c>
      <c r="H105" s="384">
        <f>ROUND((H38-'18H29'!H38)/ABS('18H29'!H38)*100,1)</f>
        <v>-21.5</v>
      </c>
      <c r="I105" s="384">
        <f>ROUND((I38-'18H29'!I38)/ABS('18H29'!I38)*100,1)</f>
        <v>56.3</v>
      </c>
      <c r="J105" s="384">
        <f>ROUND((J38-'18H29'!J38)/ABS('18H29'!J38)*100,1)</f>
        <v>10.199999999999999</v>
      </c>
      <c r="K105" s="384">
        <f>ROUND((K38-'18H29'!K38)/ABS('18H29'!K38)*100,1)</f>
        <v>-3.6</v>
      </c>
      <c r="L105" s="384">
        <f>ROUND((L38-'18H29'!L38)/ABS('18H29'!L38)*100,1)</f>
        <v>-13.1</v>
      </c>
      <c r="M105" s="384">
        <f>ROUND((M38-'18H29'!M38)/ABS('18H29'!M38)*100,1)</f>
        <v>-3.7</v>
      </c>
      <c r="N105" s="384">
        <f>ROUND((N38-'18H29'!N38)/ABS('18H29'!N38)*100,1)</f>
        <v>-2</v>
      </c>
      <c r="O105" s="384">
        <f>ROUND((O38-'18H29'!O38)/ABS('18H29'!O38)*100,1)</f>
        <v>-59.2</v>
      </c>
      <c r="R105" s="383"/>
      <c r="S105" s="383"/>
      <c r="T105" s="383"/>
    </row>
    <row r="106" spans="1:20">
      <c r="A106" s="293">
        <v>365</v>
      </c>
      <c r="B106" s="90" t="s">
        <v>233</v>
      </c>
      <c r="C106" s="384">
        <f>ROUND((C39-'18H29'!C39)/ABS('18H29'!C39)*100,1)</f>
        <v>-3.8</v>
      </c>
      <c r="D106" s="384">
        <f>ROUND((D39-'18H29'!D39)/ABS('18H29'!D39)*100,1)</f>
        <v>1</v>
      </c>
      <c r="E106" s="384">
        <f>ROUND((E39-'18H29'!E39)/ABS('18H29'!E39)*100,1)</f>
        <v>-1</v>
      </c>
      <c r="F106" s="384">
        <f>ROUND((F39-'18H29'!F39)/ABS('18H29'!F39)*100,1)</f>
        <v>27.9</v>
      </c>
      <c r="G106" s="384">
        <f>ROUND((G39-'18H29'!G39)/ABS('18H29'!G39)*100,1)</f>
        <v>2.7</v>
      </c>
      <c r="H106" s="384">
        <f>ROUND((H39-'18H29'!H39)/ABS('18H29'!H39)*100,1)</f>
        <v>29.3</v>
      </c>
      <c r="I106" s="384">
        <f>ROUND((I39-'18H29'!I39)/ABS('18H29'!I39)*100,1)</f>
        <v>75</v>
      </c>
      <c r="J106" s="384">
        <f>ROUND((J39-'18H29'!J39)/ABS('18H29'!J39)*100,1)</f>
        <v>40.1</v>
      </c>
      <c r="K106" s="384">
        <f>ROUND((K39-'18H29'!K39)/ABS('18H29'!K39)*100,1)</f>
        <v>7.8</v>
      </c>
      <c r="L106" s="384">
        <f>ROUND((L39-'18H29'!L39)/ABS('18H29'!L39)*100,1)</f>
        <v>-191.2</v>
      </c>
      <c r="M106" s="384">
        <f>ROUND((M39-'18H29'!M39)/ABS('18H29'!M39)*100,1)</f>
        <v>0</v>
      </c>
      <c r="N106" s="384">
        <f>ROUND((N39-'18H29'!N39)/ABS('18H29'!N39)*100,1)</f>
        <v>9.6</v>
      </c>
      <c r="O106" s="384">
        <f>ROUND((O39-'18H29'!O39)/ABS('18H29'!O39)*100,1)</f>
        <v>-53.5</v>
      </c>
      <c r="R106" s="383"/>
      <c r="S106" s="383"/>
      <c r="T106" s="383"/>
    </row>
    <row r="107" spans="1:20">
      <c r="A107" s="293">
        <v>5</v>
      </c>
      <c r="B107" s="91" t="s">
        <v>202</v>
      </c>
      <c r="C107" s="384">
        <f>ROUND((C40-'18H29'!C40)/ABS('18H29'!C40)*100,1)</f>
        <v>-0.2</v>
      </c>
      <c r="D107" s="384">
        <f>ROUND((D40-'18H29'!D40)/ABS('18H29'!D40)*100,1)</f>
        <v>0</v>
      </c>
      <c r="E107" s="384">
        <f>ROUND((E40-'18H29'!E40)/ABS('18H29'!E40)*100,1)</f>
        <v>-0.2</v>
      </c>
      <c r="F107" s="384">
        <f>ROUND((F40-'18H29'!F40)/ABS('18H29'!F40)*100,1)</f>
        <v>23.5</v>
      </c>
      <c r="G107" s="384">
        <f>ROUND((G40-'18H29'!G40)/ABS('18H29'!G40)*100,1)</f>
        <v>8.1999999999999993</v>
      </c>
      <c r="H107" s="384">
        <f>ROUND((H40-'18H29'!H40)/ABS('18H29'!H40)*100,1)</f>
        <v>25.9</v>
      </c>
      <c r="I107" s="384">
        <f>ROUND((I40-'18H29'!I40)/ABS('18H29'!I40)*100,1)</f>
        <v>70.8</v>
      </c>
      <c r="J107" s="384">
        <f>ROUND((J40-'18H29'!J40)/ABS('18H29'!J40)*100,1)</f>
        <v>-16.8</v>
      </c>
      <c r="K107" s="384">
        <f>ROUND((K40-'18H29'!K40)/ABS('18H29'!K40)*100,1)</f>
        <v>5.3</v>
      </c>
      <c r="L107" s="384">
        <f>ROUND((L40-'18H29'!L40)/ABS('18H29'!L40)*100,1)</f>
        <v>-27.7</v>
      </c>
      <c r="M107" s="384">
        <f>ROUND((M40-'18H29'!M40)/ABS('18H29'!M40)*100,1)</f>
        <v>3.5</v>
      </c>
      <c r="N107" s="384">
        <f>ROUND((N40-'18H29'!N40)/ABS('18H29'!N40)*100,1)</f>
        <v>7</v>
      </c>
      <c r="O107" s="384">
        <f>ROUND((O40-'18H29'!O40)/ABS('18H29'!O40)*100,1)</f>
        <v>-2135.3000000000002</v>
      </c>
      <c r="R107" s="383"/>
      <c r="S107" s="383"/>
      <c r="T107" s="383"/>
    </row>
    <row r="108" spans="1:20">
      <c r="A108" s="293">
        <v>201</v>
      </c>
      <c r="B108" s="92" t="s">
        <v>240</v>
      </c>
      <c r="C108" s="384">
        <f>ROUND((C41-'18H29'!C41)/ABS('18H29'!C41)*100,1)</f>
        <v>-0.1</v>
      </c>
      <c r="D108" s="384">
        <f>ROUND((D41-'18H29'!D41)/ABS('18H29'!D41)*100,1)</f>
        <v>-0.2</v>
      </c>
      <c r="E108" s="384">
        <f>ROUND((E41-'18H29'!E41)/ABS('18H29'!E41)*100,1)</f>
        <v>-0.2</v>
      </c>
      <c r="F108" s="384">
        <f>ROUND((F41-'18H29'!F41)/ABS('18H29'!F41)*100,1)</f>
        <v>22.5</v>
      </c>
      <c r="G108" s="384">
        <f>ROUND((G41-'18H29'!G41)/ABS('18H29'!G41)*100,1)</f>
        <v>6.6</v>
      </c>
      <c r="H108" s="384">
        <f>ROUND((H41-'18H29'!H41)/ABS('18H29'!H41)*100,1)</f>
        <v>25.1</v>
      </c>
      <c r="I108" s="384">
        <f>ROUND((I41-'18H29'!I41)/ABS('18H29'!I41)*100,1)</f>
        <v>70.099999999999994</v>
      </c>
      <c r="J108" s="384">
        <f>ROUND((J41-'18H29'!J41)/ABS('18H29'!J41)*100,1)</f>
        <v>-19.899999999999999</v>
      </c>
      <c r="K108" s="384">
        <f>ROUND((K41-'18H29'!K41)/ABS('18H29'!K41)*100,1)</f>
        <v>4.8</v>
      </c>
      <c r="L108" s="384">
        <f>ROUND((L41-'18H29'!L41)/ABS('18H29'!L41)*100,1)</f>
        <v>-30.1</v>
      </c>
      <c r="M108" s="384">
        <f>ROUND((M41-'18H29'!M41)/ABS('18H29'!M41)*100,1)</f>
        <v>3.5</v>
      </c>
      <c r="N108" s="384">
        <f>ROUND((N41-'18H29'!N41)/ABS('18H29'!N41)*100,1)</f>
        <v>6.6</v>
      </c>
      <c r="O108" s="384">
        <f>ROUND((O41-'18H29'!O41)/ABS('18H29'!O41)*100,1)</f>
        <v>-553.79999999999995</v>
      </c>
      <c r="R108" s="383"/>
      <c r="S108" s="383"/>
      <c r="T108" s="383"/>
    </row>
    <row r="109" spans="1:20">
      <c r="A109" s="293">
        <v>442</v>
      </c>
      <c r="B109" s="90" t="s">
        <v>203</v>
      </c>
      <c r="C109" s="384">
        <f>ROUND((C42-'18H29'!C42)/ABS('18H29'!C42)*100,1)</f>
        <v>2.4</v>
      </c>
      <c r="D109" s="384">
        <f>ROUND((D42-'18H29'!D42)/ABS('18H29'!D42)*100,1)</f>
        <v>0.9</v>
      </c>
      <c r="E109" s="384">
        <f>ROUND((E42-'18H29'!E42)/ABS('18H29'!E42)*100,1)</f>
        <v>-3.2</v>
      </c>
      <c r="F109" s="384">
        <f>ROUND((F42-'18H29'!F42)/ABS('18H29'!F42)*100,1)</f>
        <v>24.9</v>
      </c>
      <c r="G109" s="384">
        <f>ROUND((G42-'18H29'!G42)/ABS('18H29'!G42)*100,1)</f>
        <v>17.5</v>
      </c>
      <c r="H109" s="384">
        <f>ROUND((H42-'18H29'!H42)/ABS('18H29'!H42)*100,1)</f>
        <v>24.7</v>
      </c>
      <c r="I109" s="384">
        <f>ROUND((I42-'18H29'!I42)/ABS('18H29'!I42)*100,1)</f>
        <v>76.7</v>
      </c>
      <c r="J109" s="384">
        <f>ROUND((J42-'18H29'!J42)/ABS('18H29'!J42)*100,1)</f>
        <v>73.2</v>
      </c>
      <c r="K109" s="384">
        <f>ROUND((K42-'18H29'!K42)/ABS('18H29'!K42)*100,1)</f>
        <v>9.1999999999999993</v>
      </c>
      <c r="L109" s="384">
        <f>ROUND((L42-'18H29'!L42)/ABS('18H29'!L42)*100,1)</f>
        <v>-81.400000000000006</v>
      </c>
      <c r="M109" s="384">
        <f>ROUND((M42-'18H29'!M42)/ABS('18H29'!M42)*100,1)</f>
        <v>5.5</v>
      </c>
      <c r="N109" s="384">
        <f>ROUND((N42-'18H29'!N42)/ABS('18H29'!N42)*100,1)</f>
        <v>11.1</v>
      </c>
      <c r="O109" s="384">
        <f>ROUND((O42-'18H29'!O42)/ABS('18H29'!O42)*100,1)</f>
        <v>-27.7</v>
      </c>
      <c r="R109" s="383"/>
      <c r="S109" s="383"/>
      <c r="T109" s="383"/>
    </row>
    <row r="110" spans="1:20">
      <c r="A110" s="293">
        <v>443</v>
      </c>
      <c r="B110" s="90" t="s">
        <v>204</v>
      </c>
      <c r="C110" s="384">
        <f>ROUND((C43-'18H29'!C43)/ABS('18H29'!C43)*100,1)</f>
        <v>-0.9</v>
      </c>
      <c r="D110" s="384">
        <f>ROUND((D43-'18H29'!D43)/ABS('18H29'!D43)*100,1)</f>
        <v>4.3</v>
      </c>
      <c r="E110" s="384">
        <f>ROUND((E43-'18H29'!E43)/ABS('18H29'!E43)*100,1)</f>
        <v>1.8</v>
      </c>
      <c r="F110" s="384">
        <f>ROUND((F43-'18H29'!F43)/ABS('18H29'!F43)*100,1)</f>
        <v>25</v>
      </c>
      <c r="G110" s="384">
        <f>ROUND((G43-'18H29'!G43)/ABS('18H29'!G43)*100,1)</f>
        <v>71.400000000000006</v>
      </c>
      <c r="H110" s="384">
        <f>ROUND((H43-'18H29'!H43)/ABS('18H29'!H43)*100,1)</f>
        <v>20.3</v>
      </c>
      <c r="I110" s="384">
        <f>ROUND((I43-'18H29'!I43)/ABS('18H29'!I43)*100,1)</f>
        <v>81</v>
      </c>
      <c r="J110" s="384">
        <f>ROUND((J43-'18H29'!J43)/ABS('18H29'!J43)*100,1)</f>
        <v>24.4</v>
      </c>
      <c r="K110" s="384">
        <f>ROUND((K43-'18H29'!K43)/ABS('18H29'!K43)*100,1)</f>
        <v>11.3</v>
      </c>
      <c r="L110" s="384">
        <f>ROUND((L43-'18H29'!L43)/ABS('18H29'!L43)*100,1)</f>
        <v>-9.1999999999999993</v>
      </c>
      <c r="M110" s="384">
        <f>ROUND((M43-'18H29'!M43)/ABS('18H29'!M43)*100,1)</f>
        <v>2.8</v>
      </c>
      <c r="N110" s="384">
        <f>ROUND((N43-'18H29'!N43)/ABS('18H29'!N43)*100,1)</f>
        <v>13.2</v>
      </c>
      <c r="O110" s="384">
        <f>ROUND((O43-'18H29'!O43)/ABS('18H29'!O43)*100,1)</f>
        <v>-36.299999999999997</v>
      </c>
      <c r="R110" s="383"/>
      <c r="S110" s="383"/>
      <c r="T110" s="383"/>
    </row>
    <row r="111" spans="1:20">
      <c r="A111" s="293">
        <v>446</v>
      </c>
      <c r="B111" s="90" t="s">
        <v>234</v>
      </c>
      <c r="C111" s="384">
        <f>ROUND((C44-'18H29'!C44)/ABS('18H29'!C44)*100,1)</f>
        <v>-0.8</v>
      </c>
      <c r="D111" s="384">
        <f>ROUND((D44-'18H29'!D44)/ABS('18H29'!D44)*100,1)</f>
        <v>1</v>
      </c>
      <c r="E111" s="384">
        <f>ROUND((E44-'18H29'!E44)/ABS('18H29'!E44)*100,1)</f>
        <v>-0.9</v>
      </c>
      <c r="F111" s="384">
        <f>ROUND((F44-'18H29'!F44)/ABS('18H29'!F44)*100,1)</f>
        <v>97.6</v>
      </c>
      <c r="G111" s="384">
        <f>ROUND((G44-'18H29'!G44)/ABS('18H29'!G44)*100,1)</f>
        <v>41.1</v>
      </c>
      <c r="H111" s="384">
        <f>ROUND((H44-'18H29'!H44)/ABS('18H29'!H44)*100,1)</f>
        <v>103</v>
      </c>
      <c r="I111" s="384">
        <f>ROUND((I44-'18H29'!I44)/ABS('18H29'!I44)*100,1)</f>
        <v>80</v>
      </c>
      <c r="J111" s="384">
        <f>ROUND((J44-'18H29'!J44)/ABS('18H29'!J44)*100,1)</f>
        <v>-29.2</v>
      </c>
      <c r="K111" s="384">
        <f>ROUND((K44-'18H29'!K44)/ABS('18H29'!K44)*100,1)</f>
        <v>11.3</v>
      </c>
      <c r="L111" s="384">
        <f>ROUND((L44-'18H29'!L44)/ABS('18H29'!L44)*100,1)</f>
        <v>-46.9</v>
      </c>
      <c r="M111" s="384">
        <f>ROUND((M44-'18H29'!M44)/ABS('18H29'!M44)*100,1)</f>
        <v>2.6</v>
      </c>
      <c r="N111" s="384">
        <f>ROUND((N44-'18H29'!N44)/ABS('18H29'!N44)*100,1)</f>
        <v>13.2</v>
      </c>
      <c r="O111" s="384">
        <f>ROUND((O44-'18H29'!O44)/ABS('18H29'!O44)*100,1)</f>
        <v>-20.9</v>
      </c>
      <c r="R111" s="383"/>
      <c r="S111" s="383"/>
      <c r="T111" s="383"/>
    </row>
    <row r="112" spans="1:20">
      <c r="A112" s="293">
        <v>6</v>
      </c>
      <c r="B112" s="91" t="s">
        <v>205</v>
      </c>
      <c r="C112" s="384">
        <f>ROUND((C45-'18H29'!C45)/ABS('18H29'!C45)*100,1)</f>
        <v>0.5</v>
      </c>
      <c r="D112" s="384">
        <f>ROUND((D45-'18H29'!D45)/ABS('18H29'!D45)*100,1)</f>
        <v>1.9</v>
      </c>
      <c r="E112" s="384">
        <f>ROUND((E45-'18H29'!E45)/ABS('18H29'!E45)*100,1)</f>
        <v>0.4</v>
      </c>
      <c r="F112" s="384">
        <f>ROUND((F45-'18H29'!F45)/ABS('18H29'!F45)*100,1)</f>
        <v>9</v>
      </c>
      <c r="G112" s="384">
        <f>ROUND((G45-'18H29'!G45)/ABS('18H29'!G45)*100,1)</f>
        <v>28</v>
      </c>
      <c r="H112" s="384">
        <f>ROUND((H45-'18H29'!H45)/ABS('18H29'!H45)*100,1)</f>
        <v>6.5</v>
      </c>
      <c r="I112" s="384">
        <f>ROUND((I45-'18H29'!I45)/ABS('18H29'!I45)*100,1)</f>
        <v>66.900000000000006</v>
      </c>
      <c r="J112" s="384">
        <f>ROUND((J45-'18H29'!J45)/ABS('18H29'!J45)*100,1)</f>
        <v>-5.6</v>
      </c>
      <c r="K112" s="384">
        <f>ROUND((K45-'18H29'!K45)/ABS('18H29'!K45)*100,1)</f>
        <v>3</v>
      </c>
      <c r="L112" s="384">
        <f>ROUND((L45-'18H29'!L45)/ABS('18H29'!L45)*100,1)</f>
        <v>-10.199999999999999</v>
      </c>
      <c r="M112" s="384">
        <f>ROUND((M45-'18H29'!M45)/ABS('18H29'!M45)*100,1)</f>
        <v>4.2</v>
      </c>
      <c r="N112" s="384">
        <f>ROUND((N45-'18H29'!N45)/ABS('18H29'!N45)*100,1)</f>
        <v>4.7</v>
      </c>
      <c r="O112" s="384">
        <f>ROUND((O45-'18H29'!O45)/ABS('18H29'!O45)*100,1)</f>
        <v>-305.89999999999998</v>
      </c>
      <c r="R112" s="383"/>
      <c r="S112" s="383"/>
      <c r="T112" s="383"/>
    </row>
    <row r="113" spans="1:20">
      <c r="A113" s="293">
        <v>208</v>
      </c>
      <c r="B113" s="90" t="s">
        <v>206</v>
      </c>
      <c r="C113" s="384">
        <f>ROUND((C46-'18H29'!C46)/ABS('18H29'!C46)*100,1)</f>
        <v>17</v>
      </c>
      <c r="D113" s="384">
        <f>ROUND((D46-'18H29'!D46)/ABS('18H29'!D46)*100,1)</f>
        <v>1</v>
      </c>
      <c r="E113" s="384">
        <f>ROUND((E46-'18H29'!E46)/ABS('18H29'!E46)*100,1)</f>
        <v>3.9</v>
      </c>
      <c r="F113" s="384">
        <f>ROUND((F46-'18H29'!F46)/ABS('18H29'!F46)*100,1)</f>
        <v>9.9</v>
      </c>
      <c r="G113" s="384">
        <f>ROUND((G46-'18H29'!G46)/ABS('18H29'!G46)*100,1)</f>
        <v>562.6</v>
      </c>
      <c r="H113" s="384">
        <f>ROUND((H46-'18H29'!H46)/ABS('18H29'!H46)*100,1)</f>
        <v>-2.2000000000000002</v>
      </c>
      <c r="I113" s="384">
        <f>ROUND((I46-'18H29'!I46)/ABS('18H29'!I46)*100,1)</f>
        <v>63.9</v>
      </c>
      <c r="J113" s="384">
        <f>ROUND((J46-'18H29'!J46)/ABS('18H29'!J46)*100,1)</f>
        <v>-50.4</v>
      </c>
      <c r="K113" s="384">
        <f>ROUND((K46-'18H29'!K46)/ABS('18H29'!K46)*100,1)</f>
        <v>1.1000000000000001</v>
      </c>
      <c r="L113" s="384">
        <f>ROUND((L46-'18H29'!L46)/ABS('18H29'!L46)*100,1)</f>
        <v>111</v>
      </c>
      <c r="M113" s="384">
        <f>ROUND((M46-'18H29'!M46)/ABS('18H29'!M46)*100,1)</f>
        <v>20.5</v>
      </c>
      <c r="N113" s="384">
        <f>ROUND((N46-'18H29'!N46)/ABS('18H29'!N46)*100,1)</f>
        <v>2.8</v>
      </c>
      <c r="O113" s="384">
        <f>ROUND((O46-'18H29'!O46)/ABS('18H29'!O46)*100,1)</f>
        <v>33.4</v>
      </c>
      <c r="R113" s="383"/>
      <c r="S113" s="383"/>
      <c r="T113" s="383"/>
    </row>
    <row r="114" spans="1:20">
      <c r="A114" s="293">
        <v>212</v>
      </c>
      <c r="B114" s="90" t="s">
        <v>207</v>
      </c>
      <c r="C114" s="384">
        <f>ROUND((C47-'18H29'!C47)/ABS('18H29'!C47)*100,1)</f>
        <v>-2.7</v>
      </c>
      <c r="D114" s="384">
        <f>ROUND((D47-'18H29'!D47)/ABS('18H29'!D47)*100,1)</f>
        <v>1.4</v>
      </c>
      <c r="E114" s="384">
        <f>ROUND((E47-'18H29'!E47)/ABS('18H29'!E47)*100,1)</f>
        <v>1.6</v>
      </c>
      <c r="F114" s="384">
        <f>ROUND((F47-'18H29'!F47)/ABS('18H29'!F47)*100,1)</f>
        <v>-8.9</v>
      </c>
      <c r="G114" s="384">
        <f>ROUND((G47-'18H29'!G47)/ABS('18H29'!G47)*100,1)</f>
        <v>28.7</v>
      </c>
      <c r="H114" s="384">
        <f>ROUND((H47-'18H29'!H47)/ABS('18H29'!H47)*100,1)</f>
        <v>-12.3</v>
      </c>
      <c r="I114" s="384">
        <f>ROUND((I47-'18H29'!I47)/ABS('18H29'!I47)*100,1)</f>
        <v>58.5</v>
      </c>
      <c r="J114" s="384">
        <f>ROUND((J47-'18H29'!J47)/ABS('18H29'!J47)*100,1)</f>
        <v>-12.6</v>
      </c>
      <c r="K114" s="384">
        <f>ROUND((K47-'18H29'!K47)/ABS('18H29'!K47)*100,1)</f>
        <v>-2.2000000000000002</v>
      </c>
      <c r="L114" s="384">
        <f>ROUND((L47-'18H29'!L47)/ABS('18H29'!L47)*100,1)</f>
        <v>-4.3</v>
      </c>
      <c r="M114" s="384">
        <f>ROUND((M47-'18H29'!M47)/ABS('18H29'!M47)*100,1)</f>
        <v>1.1000000000000001</v>
      </c>
      <c r="N114" s="384">
        <f>ROUND((N47-'18H29'!N47)/ABS('18H29'!N47)*100,1)</f>
        <v>-0.6</v>
      </c>
      <c r="O114" s="384">
        <f>ROUND((O47-'18H29'!O47)/ABS('18H29'!O47)*100,1)</f>
        <v>-480.8</v>
      </c>
      <c r="R114" s="383"/>
      <c r="S114" s="383"/>
      <c r="T114" s="383"/>
    </row>
    <row r="115" spans="1:20">
      <c r="A115" s="293">
        <v>227</v>
      </c>
      <c r="B115" s="90" t="s">
        <v>219</v>
      </c>
      <c r="C115" s="384">
        <f>ROUND((C48-'18H29'!C48)/ABS('18H29'!C48)*100,1)</f>
        <v>1.7</v>
      </c>
      <c r="D115" s="384">
        <f>ROUND((D48-'18H29'!D48)/ABS('18H29'!D48)*100,1)</f>
        <v>1.6</v>
      </c>
      <c r="E115" s="384">
        <f>ROUND((E48-'18H29'!E48)/ABS('18H29'!E48)*100,1)</f>
        <v>0</v>
      </c>
      <c r="F115" s="384">
        <f>ROUND((F48-'18H29'!F48)/ABS('18H29'!F48)*100,1)</f>
        <v>33.5</v>
      </c>
      <c r="G115" s="384">
        <f>ROUND((G48-'18H29'!G48)/ABS('18H29'!G48)*100,1)</f>
        <v>65.099999999999994</v>
      </c>
      <c r="H115" s="384">
        <f>ROUND((H48-'18H29'!H48)/ABS('18H29'!H48)*100,1)</f>
        <v>29.2</v>
      </c>
      <c r="I115" s="384">
        <f>ROUND((I48-'18H29'!I48)/ABS('18H29'!I48)*100,1)</f>
        <v>73.2</v>
      </c>
      <c r="J115" s="384">
        <f>ROUND((J48-'18H29'!J48)/ABS('18H29'!J48)*100,1)</f>
        <v>11.9</v>
      </c>
      <c r="K115" s="384">
        <f>ROUND((K48-'18H29'!K48)/ABS('18H29'!K48)*100,1)</f>
        <v>6.9</v>
      </c>
      <c r="L115" s="384">
        <f>ROUND((L48-'18H29'!L48)/ABS('18H29'!L48)*100,1)</f>
        <v>-405.6</v>
      </c>
      <c r="M115" s="384">
        <f>ROUND((M48-'18H29'!M48)/ABS('18H29'!M48)*100,1)</f>
        <v>5.0999999999999996</v>
      </c>
      <c r="N115" s="384">
        <f>ROUND((N48-'18H29'!N48)/ABS('18H29'!N48)*100,1)</f>
        <v>8.6999999999999993</v>
      </c>
      <c r="O115" s="384">
        <f>ROUND((O48-'18H29'!O48)/ABS('18H29'!O48)*100,1)</f>
        <v>-36.200000000000003</v>
      </c>
      <c r="R115" s="383"/>
      <c r="S115" s="383"/>
      <c r="T115" s="383"/>
    </row>
    <row r="116" spans="1:20">
      <c r="A116" s="293">
        <v>229</v>
      </c>
      <c r="B116" s="90" t="s">
        <v>235</v>
      </c>
      <c r="C116" s="384">
        <f>ROUND((C49-'18H29'!C49)/ABS('18H29'!C49)*100,1)</f>
        <v>-3.3</v>
      </c>
      <c r="D116" s="384">
        <f>ROUND((D49-'18H29'!D49)/ABS('18H29'!D49)*100,1)</f>
        <v>3</v>
      </c>
      <c r="E116" s="384">
        <f>ROUND((E49-'18H29'!E49)/ABS('18H29'!E49)*100,1)</f>
        <v>-0.2</v>
      </c>
      <c r="F116" s="384">
        <f>ROUND((F49-'18H29'!F49)/ABS('18H29'!F49)*100,1)</f>
        <v>17.7</v>
      </c>
      <c r="G116" s="384">
        <f>ROUND((G49-'18H29'!G49)/ABS('18H29'!G49)*100,1)</f>
        <v>-28.4</v>
      </c>
      <c r="H116" s="384">
        <f>ROUND((H49-'18H29'!H49)/ABS('18H29'!H49)*100,1)</f>
        <v>23.1</v>
      </c>
      <c r="I116" s="384">
        <f>ROUND((I49-'18H29'!I49)/ABS('18H29'!I49)*100,1)</f>
        <v>71.8</v>
      </c>
      <c r="J116" s="384">
        <f>ROUND((J49-'18H29'!J49)/ABS('18H29'!J49)*100,1)</f>
        <v>-1.5</v>
      </c>
      <c r="K116" s="384">
        <f>ROUND((K49-'18H29'!K49)/ABS('18H29'!K49)*100,1)</f>
        <v>6</v>
      </c>
      <c r="L116" s="384">
        <f>ROUND((L49-'18H29'!L49)/ABS('18H29'!L49)*100,1)</f>
        <v>-21.6</v>
      </c>
      <c r="M116" s="384">
        <f>ROUND((M49-'18H29'!M49)/ABS('18H29'!M49)*100,1)</f>
        <v>0.4</v>
      </c>
      <c r="N116" s="384">
        <f>ROUND((N49-'18H29'!N49)/ABS('18H29'!N49)*100,1)</f>
        <v>7.8</v>
      </c>
      <c r="O116" s="384">
        <f>ROUND((O49-'18H29'!O49)/ABS('18H29'!O49)*100,1)</f>
        <v>-95.8</v>
      </c>
      <c r="R116" s="383"/>
      <c r="S116" s="383"/>
      <c r="T116" s="383"/>
    </row>
    <row r="117" spans="1:20">
      <c r="A117" s="293">
        <v>464</v>
      </c>
      <c r="B117" s="90" t="s">
        <v>208</v>
      </c>
      <c r="C117" s="384">
        <f>ROUND((C50-'18H29'!C50)/ABS('18H29'!C50)*100,1)</f>
        <v>1</v>
      </c>
      <c r="D117" s="384">
        <f>ROUND((D50-'18H29'!D50)/ABS('18H29'!D50)*100,1)</f>
        <v>2.5</v>
      </c>
      <c r="E117" s="384">
        <f>ROUND((E50-'18H29'!E50)/ABS('18H29'!E50)*100,1)</f>
        <v>-2.4</v>
      </c>
      <c r="F117" s="384">
        <f>ROUND((F50-'18H29'!F50)/ABS('18H29'!F50)*100,1)</f>
        <v>18.8</v>
      </c>
      <c r="G117" s="384">
        <f>ROUND((G50-'18H29'!G50)/ABS('18H29'!G50)*100,1)</f>
        <v>67.7</v>
      </c>
      <c r="H117" s="384">
        <f>ROUND((H50-'18H29'!H50)/ABS('18H29'!H50)*100,1)</f>
        <v>11.2</v>
      </c>
      <c r="I117" s="384">
        <f>ROUND((I50-'18H29'!I50)/ABS('18H29'!I50)*100,1)</f>
        <v>70.7</v>
      </c>
      <c r="J117" s="384">
        <f>ROUND((J50-'18H29'!J50)/ABS('18H29'!J50)*100,1)</f>
        <v>-39.700000000000003</v>
      </c>
      <c r="K117" s="384">
        <f>ROUND((K50-'18H29'!K50)/ABS('18H29'!K50)*100,1)</f>
        <v>5</v>
      </c>
      <c r="L117" s="384">
        <f>ROUND((L50-'18H29'!L50)/ABS('18H29'!L50)*100,1)</f>
        <v>-350.7</v>
      </c>
      <c r="M117" s="384">
        <f>ROUND((M50-'18H29'!M50)/ABS('18H29'!M50)*100,1)</f>
        <v>4.5</v>
      </c>
      <c r="N117" s="384">
        <f>ROUND((N50-'18H29'!N50)/ABS('18H29'!N50)*100,1)</f>
        <v>6.8</v>
      </c>
      <c r="O117" s="384">
        <f>ROUND((O50-'18H29'!O50)/ABS('18H29'!O50)*100,1)</f>
        <v>-62.2</v>
      </c>
      <c r="R117" s="383"/>
      <c r="S117" s="383"/>
      <c r="T117" s="383"/>
    </row>
    <row r="118" spans="1:20">
      <c r="A118" s="293">
        <v>481</v>
      </c>
      <c r="B118" s="90" t="s">
        <v>209</v>
      </c>
      <c r="C118" s="384">
        <f>ROUND((C51-'18H29'!C51)/ABS('18H29'!C51)*100,1)</f>
        <v>-1.1000000000000001</v>
      </c>
      <c r="D118" s="384">
        <f>ROUND((D51-'18H29'!D51)/ABS('18H29'!D51)*100,1)</f>
        <v>0.9</v>
      </c>
      <c r="E118" s="384">
        <f>ROUND((E51-'18H29'!E51)/ABS('18H29'!E51)*100,1)</f>
        <v>2</v>
      </c>
      <c r="F118" s="384">
        <f>ROUND((F51-'18H29'!F51)/ABS('18H29'!F51)*100,1)</f>
        <v>-9.8000000000000007</v>
      </c>
      <c r="G118" s="384">
        <f>ROUND((G51-'18H29'!G51)/ABS('18H29'!G51)*100,1)</f>
        <v>15.4</v>
      </c>
      <c r="H118" s="384">
        <f>ROUND((H51-'18H29'!H51)/ABS('18H29'!H51)*100,1)</f>
        <v>-11.6</v>
      </c>
      <c r="I118" s="384">
        <f>ROUND((I51-'18H29'!I51)/ABS('18H29'!I51)*100,1)</f>
        <v>57.4</v>
      </c>
      <c r="J118" s="384">
        <f>ROUND((J51-'18H29'!J51)/ABS('18H29'!J51)*100,1)</f>
        <v>-33.1</v>
      </c>
      <c r="K118" s="384">
        <f>ROUND((K51-'18H29'!K51)/ABS('18H29'!K51)*100,1)</f>
        <v>-2.7</v>
      </c>
      <c r="L118" s="384">
        <f>ROUND((L51-'18H29'!L51)/ABS('18H29'!L51)*100,1)</f>
        <v>124</v>
      </c>
      <c r="M118" s="384">
        <f>ROUND((M51-'18H29'!M51)/ABS('18H29'!M51)*100,1)</f>
        <v>2.7</v>
      </c>
      <c r="N118" s="384">
        <f>ROUND((N51-'18H29'!N51)/ABS('18H29'!N51)*100,1)</f>
        <v>-1</v>
      </c>
      <c r="O118" s="384">
        <f>ROUND((O51-'18H29'!O51)/ABS('18H29'!O51)*100,1)</f>
        <v>-28.9</v>
      </c>
      <c r="R118" s="383"/>
      <c r="S118" s="383"/>
      <c r="T118" s="383"/>
    </row>
    <row r="119" spans="1:20">
      <c r="A119" s="293">
        <v>501</v>
      </c>
      <c r="B119" s="90" t="s">
        <v>236</v>
      </c>
      <c r="C119" s="384">
        <f>ROUND((C52-'18H29'!C52)/ABS('18H29'!C52)*100,1)</f>
        <v>2</v>
      </c>
      <c r="D119" s="384">
        <f>ROUND((D52-'18H29'!D52)/ABS('18H29'!D52)*100,1)</f>
        <v>0.9</v>
      </c>
      <c r="E119" s="384">
        <f>ROUND((E52-'18H29'!E52)/ABS('18H29'!E52)*100,1)</f>
        <v>-1.7</v>
      </c>
      <c r="F119" s="384">
        <f>ROUND((F52-'18H29'!F52)/ABS('18H29'!F52)*100,1)</f>
        <v>6.2</v>
      </c>
      <c r="G119" s="384">
        <f>ROUND((G52-'18H29'!G52)/ABS('18H29'!G52)*100,1)</f>
        <v>12.6</v>
      </c>
      <c r="H119" s="384">
        <f>ROUND((H52-'18H29'!H52)/ABS('18H29'!H52)*100,1)</f>
        <v>4.5999999999999996</v>
      </c>
      <c r="I119" s="384">
        <f>ROUND((I52-'18H29'!I52)/ABS('18H29'!I52)*100,1)</f>
        <v>68.3</v>
      </c>
      <c r="J119" s="384">
        <f>ROUND((J52-'18H29'!J52)/ABS('18H29'!J52)*100,1)</f>
        <v>42.6</v>
      </c>
      <c r="K119" s="384">
        <f>ROUND((K52-'18H29'!K52)/ABS('18H29'!K52)*100,1)</f>
        <v>3.7</v>
      </c>
      <c r="L119" s="384">
        <f>ROUND((L52-'18H29'!L52)/ABS('18H29'!L52)*100,1)</f>
        <v>-20.9</v>
      </c>
      <c r="M119" s="384">
        <f>ROUND((M52-'18H29'!M52)/ABS('18H29'!M52)*100,1)</f>
        <v>5.2</v>
      </c>
      <c r="N119" s="384">
        <f>ROUND((N52-'18H29'!N52)/ABS('18H29'!N52)*100,1)</f>
        <v>5.4</v>
      </c>
      <c r="O119" s="384">
        <f>ROUND((O52-'18H29'!O52)/ABS('18H29'!O52)*100,1)</f>
        <v>-26.3</v>
      </c>
      <c r="R119" s="383"/>
      <c r="S119" s="383"/>
      <c r="T119" s="383"/>
    </row>
    <row r="120" spans="1:20">
      <c r="A120" s="293">
        <v>7</v>
      </c>
      <c r="B120" s="93" t="s">
        <v>210</v>
      </c>
      <c r="C120" s="384">
        <f>ROUND((C53-'18H29'!C53)/ABS('18H29'!C53)*100,1)</f>
        <v>-1.8</v>
      </c>
      <c r="D120" s="384">
        <f>ROUND((D53-'18H29'!D53)/ABS('18H29'!D53)*100,1)</f>
        <v>1.7</v>
      </c>
      <c r="E120" s="384">
        <f>ROUND((E53-'18H29'!E53)/ABS('18H29'!E53)*100,1)</f>
        <v>-3</v>
      </c>
      <c r="F120" s="384">
        <f>ROUND((F53-'18H29'!F53)/ABS('18H29'!F53)*100,1)</f>
        <v>-34.299999999999997</v>
      </c>
      <c r="G120" s="384">
        <f>ROUND((G53-'18H29'!G53)/ABS('18H29'!G53)*100,1)</f>
        <v>16.100000000000001</v>
      </c>
      <c r="H120" s="384">
        <f>ROUND((H53-'18H29'!H53)/ABS('18H29'!H53)*100,1)</f>
        <v>-38.4</v>
      </c>
      <c r="I120" s="384">
        <f>ROUND((I53-'18H29'!I53)/ABS('18H29'!I53)*100,1)</f>
        <v>47.3</v>
      </c>
      <c r="J120" s="384">
        <f>ROUND((J53-'18H29'!J53)/ABS('18H29'!J53)*100,1)</f>
        <v>-12.3</v>
      </c>
      <c r="K120" s="384">
        <f>ROUND((K53-'18H29'!K53)/ABS('18H29'!K53)*100,1)</f>
        <v>-9.1</v>
      </c>
      <c r="L120" s="384">
        <f>ROUND((L53-'18H29'!L53)/ABS('18H29'!L53)*100,1)</f>
        <v>99.4</v>
      </c>
      <c r="M120" s="384">
        <f>ROUND((M53-'18H29'!M53)/ABS('18H29'!M53)*100,1)</f>
        <v>1.6</v>
      </c>
      <c r="N120" s="384">
        <f>ROUND((N53-'18H29'!N53)/ABS('18H29'!N53)*100,1)</f>
        <v>-7.6</v>
      </c>
      <c r="O120" s="384">
        <f>ROUND((O53-'18H29'!O53)/ABS('18H29'!O53)*100,1)</f>
        <v>-1.2</v>
      </c>
      <c r="R120" s="383"/>
      <c r="S120" s="383"/>
      <c r="T120" s="383"/>
    </row>
    <row r="121" spans="1:20">
      <c r="A121" s="293">
        <v>209</v>
      </c>
      <c r="B121" s="90" t="s">
        <v>221</v>
      </c>
      <c r="C121" s="384">
        <f>ROUND((C54-'18H29'!C54)/ABS('18H29'!C54)*100,1)</f>
        <v>-0.3</v>
      </c>
      <c r="D121" s="384">
        <f>ROUND((D54-'18H29'!D54)/ABS('18H29'!D54)*100,1)</f>
        <v>2.7</v>
      </c>
      <c r="E121" s="384">
        <f>ROUND((E54-'18H29'!E54)/ABS('18H29'!E54)*100,1)</f>
        <v>-2.6</v>
      </c>
      <c r="F121" s="384">
        <f>ROUND((F54-'18H29'!F54)/ABS('18H29'!F54)*100,1)</f>
        <v>8.9</v>
      </c>
      <c r="G121" s="384">
        <f>ROUND((G54-'18H29'!G54)/ABS('18H29'!G54)*100,1)</f>
        <v>24.5</v>
      </c>
      <c r="H121" s="384">
        <f>ROUND((H54-'18H29'!H54)/ABS('18H29'!H54)*100,1)</f>
        <v>5.8</v>
      </c>
      <c r="I121" s="384">
        <f>ROUND((I54-'18H29'!I54)/ABS('18H29'!I54)*100,1)</f>
        <v>65.2</v>
      </c>
      <c r="J121" s="384">
        <f>ROUND((J54-'18H29'!J54)/ABS('18H29'!J54)*100,1)</f>
        <v>-15.5</v>
      </c>
      <c r="K121" s="384">
        <f>ROUND((K54-'18H29'!K54)/ABS('18H29'!K54)*100,1)</f>
        <v>1.8</v>
      </c>
      <c r="L121" s="384">
        <f>ROUND((L54-'18H29'!L54)/ABS('18H29'!L54)*100,1)</f>
        <v>-25.4</v>
      </c>
      <c r="M121" s="384">
        <f>ROUND((M54-'18H29'!M54)/ABS('18H29'!M54)*100,1)</f>
        <v>3.1</v>
      </c>
      <c r="N121" s="384">
        <f>ROUND((N54-'18H29'!N54)/ABS('18H29'!N54)*100,1)</f>
        <v>3.5</v>
      </c>
      <c r="O121" s="384">
        <f>ROUND((O54-'18H29'!O54)/ABS('18H29'!O54)*100,1)</f>
        <v>-42.3</v>
      </c>
      <c r="R121" s="383"/>
      <c r="S121" s="383"/>
      <c r="T121" s="383"/>
    </row>
    <row r="122" spans="1:20">
      <c r="A122" s="293">
        <v>222</v>
      </c>
      <c r="B122" s="90" t="s">
        <v>218</v>
      </c>
      <c r="C122" s="384">
        <f>ROUND((C55-'18H29'!C55)/ABS('18H29'!C55)*100,1)</f>
        <v>-4.5999999999999996</v>
      </c>
      <c r="D122" s="384">
        <f>ROUND((D55-'18H29'!D55)/ABS('18H29'!D55)*100,1)</f>
        <v>0.2</v>
      </c>
      <c r="E122" s="384">
        <f>ROUND((E55-'18H29'!E55)/ABS('18H29'!E55)*100,1)</f>
        <v>-2</v>
      </c>
      <c r="F122" s="384">
        <f>ROUND((F55-'18H29'!F55)/ABS('18H29'!F55)*100,1)</f>
        <v>10</v>
      </c>
      <c r="G122" s="384">
        <f>ROUND((G55-'18H29'!G55)/ABS('18H29'!G55)*100,1)</f>
        <v>-8</v>
      </c>
      <c r="H122" s="384">
        <f>ROUND((H55-'18H29'!H55)/ABS('18H29'!H55)*100,1)</f>
        <v>10.7</v>
      </c>
      <c r="I122" s="384">
        <f>ROUND((I55-'18H29'!I55)/ABS('18H29'!I55)*100,1)</f>
        <v>67.599999999999994</v>
      </c>
      <c r="J122" s="384">
        <f>ROUND((J55-'18H29'!J55)/ABS('18H29'!J55)*100,1)</f>
        <v>46.3</v>
      </c>
      <c r="K122" s="384">
        <f>ROUND((K55-'18H29'!K55)/ABS('18H29'!K55)*100,1)</f>
        <v>3.5</v>
      </c>
      <c r="L122" s="384">
        <f>ROUND((L55-'18H29'!L55)/ABS('18H29'!L55)*100,1)</f>
        <v>-3719.5</v>
      </c>
      <c r="M122" s="384">
        <f>ROUND((M55-'18H29'!M55)/ABS('18H29'!M55)*100,1)</f>
        <v>-0.9</v>
      </c>
      <c r="N122" s="384">
        <f>ROUND((N55-'18H29'!N55)/ABS('18H29'!N55)*100,1)</f>
        <v>5.2</v>
      </c>
      <c r="O122" s="384">
        <f>ROUND((O55-'18H29'!O55)/ABS('18H29'!O55)*100,1)</f>
        <v>-36.200000000000003</v>
      </c>
      <c r="R122" s="383"/>
      <c r="S122" s="383"/>
      <c r="T122" s="383"/>
    </row>
    <row r="123" spans="1:20">
      <c r="A123" s="293">
        <v>225</v>
      </c>
      <c r="B123" s="90" t="s">
        <v>222</v>
      </c>
      <c r="C123" s="384">
        <f>ROUND((C56-'18H29'!C56)/ABS('18H29'!C56)*100,1)</f>
        <v>-3.5</v>
      </c>
      <c r="D123" s="384">
        <f>ROUND((D56-'18H29'!D56)/ABS('18H29'!D56)*100,1)</f>
        <v>1.5</v>
      </c>
      <c r="E123" s="384">
        <f>ROUND((E56-'18H29'!E56)/ABS('18H29'!E56)*100,1)</f>
        <v>-1.6</v>
      </c>
      <c r="F123" s="384">
        <f>ROUND((F56-'18H29'!F56)/ABS('18H29'!F56)*100,1)</f>
        <v>-72.5</v>
      </c>
      <c r="G123" s="384">
        <f>ROUND((G56-'18H29'!G56)/ABS('18H29'!G56)*100,1)</f>
        <v>20.9</v>
      </c>
      <c r="H123" s="384">
        <f>ROUND((H56-'18H29'!H56)/ABS('18H29'!H56)*100,1)</f>
        <v>-74.8</v>
      </c>
      <c r="I123" s="384">
        <f>ROUND((I56-'18H29'!I56)/ABS('18H29'!I56)*100,1)</f>
        <v>2.2999999999999998</v>
      </c>
      <c r="J123" s="384">
        <f>ROUND((J56-'18H29'!J56)/ABS('18H29'!J56)*100,1)</f>
        <v>-36.1</v>
      </c>
      <c r="K123" s="384">
        <f>ROUND((K56-'18H29'!K56)/ABS('18H29'!K56)*100,1)</f>
        <v>-36.9</v>
      </c>
      <c r="L123" s="384">
        <f>ROUND((L56-'18H29'!L56)/ABS('18H29'!L56)*100,1)</f>
        <v>109.3</v>
      </c>
      <c r="M123" s="384">
        <f>ROUND((M56-'18H29'!M56)/ABS('18H29'!M56)*100,1)</f>
        <v>0.2</v>
      </c>
      <c r="N123" s="384">
        <f>ROUND((N56-'18H29'!N56)/ABS('18H29'!N56)*100,1)</f>
        <v>-35.9</v>
      </c>
      <c r="O123" s="384">
        <f>ROUND((O56-'18H29'!O56)/ABS('18H29'!O56)*100,1)</f>
        <v>49.7</v>
      </c>
      <c r="R123" s="383"/>
      <c r="S123" s="383"/>
      <c r="T123" s="383"/>
    </row>
    <row r="124" spans="1:20">
      <c r="A124" s="293">
        <v>585</v>
      </c>
      <c r="B124" s="90" t="s">
        <v>220</v>
      </c>
      <c r="C124" s="384">
        <f>ROUND((C57-'18H29'!C57)/ABS('18H29'!C57)*100,1)</f>
        <v>-5.0999999999999996</v>
      </c>
      <c r="D124" s="384">
        <f>ROUND((D57-'18H29'!D57)/ABS('18H29'!D57)*100,1)</f>
        <v>0.6</v>
      </c>
      <c r="E124" s="384">
        <f>ROUND((E57-'18H29'!E57)/ABS('18H29'!E57)*100,1)</f>
        <v>-6.3</v>
      </c>
      <c r="F124" s="384">
        <f>ROUND((F57-'18H29'!F57)/ABS('18H29'!F57)*100,1)</f>
        <v>19</v>
      </c>
      <c r="G124" s="384">
        <f>ROUND((G57-'18H29'!G57)/ABS('18H29'!G57)*100,1)</f>
        <v>-19.899999999999999</v>
      </c>
      <c r="H124" s="384">
        <f>ROUND((H57-'18H29'!H57)/ABS('18H29'!H57)*100,1)</f>
        <v>22</v>
      </c>
      <c r="I124" s="384">
        <f>ROUND((I57-'18H29'!I57)/ABS('18H29'!I57)*100,1)</f>
        <v>65.099999999999994</v>
      </c>
      <c r="J124" s="384">
        <f>ROUND((J57-'18H29'!J57)/ABS('18H29'!J57)*100,1)</f>
        <v>1.1000000000000001</v>
      </c>
      <c r="K124" s="384">
        <f>ROUND((K57-'18H29'!K57)/ABS('18H29'!K57)*100,1)</f>
        <v>1.7</v>
      </c>
      <c r="L124" s="384">
        <f>ROUND((L57-'18H29'!L57)/ABS('18H29'!L57)*100,1)</f>
        <v>-50.7</v>
      </c>
      <c r="M124" s="384">
        <f>ROUND((M57-'18H29'!M57)/ABS('18H29'!M57)*100,1)</f>
        <v>-1.9</v>
      </c>
      <c r="N124" s="384">
        <f>ROUND((N57-'18H29'!N57)/ABS('18H29'!N57)*100,1)</f>
        <v>3.4</v>
      </c>
      <c r="O124" s="384">
        <f>ROUND((O57-'18H29'!O57)/ABS('18H29'!O57)*100,1)</f>
        <v>-16.100000000000001</v>
      </c>
      <c r="R124" s="383"/>
      <c r="S124" s="383"/>
      <c r="T124" s="383"/>
    </row>
    <row r="125" spans="1:20">
      <c r="A125" s="293">
        <v>586</v>
      </c>
      <c r="B125" s="90" t="s">
        <v>237</v>
      </c>
      <c r="C125" s="384">
        <f>ROUND((C58-'18H29'!C58)/ABS('18H29'!C58)*100,1)</f>
        <v>1.4</v>
      </c>
      <c r="D125" s="384">
        <f>ROUND((D58-'18H29'!D58)/ABS('18H29'!D58)*100,1)</f>
        <v>-0.2</v>
      </c>
      <c r="E125" s="384">
        <f>ROUND((E58-'18H29'!E58)/ABS('18H29'!E58)*100,1)</f>
        <v>-4.5</v>
      </c>
      <c r="F125" s="384">
        <f>ROUND((F58-'18H29'!F58)/ABS('18H29'!F58)*100,1)</f>
        <v>0.9</v>
      </c>
      <c r="G125" s="384">
        <f>ROUND((G58-'18H29'!G58)/ABS('18H29'!G58)*100,1)</f>
        <v>20.399999999999999</v>
      </c>
      <c r="H125" s="384">
        <f>ROUND((H58-'18H29'!H58)/ABS('18H29'!H58)*100,1)</f>
        <v>-1.4</v>
      </c>
      <c r="I125" s="384">
        <f>ROUND((I58-'18H29'!I58)/ABS('18H29'!I58)*100,1)</f>
        <v>57.1</v>
      </c>
      <c r="J125" s="384">
        <f>ROUND((J58-'18H29'!J58)/ABS('18H29'!J58)*100,1)</f>
        <v>-23</v>
      </c>
      <c r="K125" s="384">
        <f>ROUND((K58-'18H29'!K58)/ABS('18H29'!K58)*100,1)</f>
        <v>-2.8</v>
      </c>
      <c r="L125" s="384">
        <f>ROUND((L58-'18H29'!L58)/ABS('18H29'!L58)*100,1)</f>
        <v>34.299999999999997</v>
      </c>
      <c r="M125" s="384">
        <f>ROUND((M58-'18H29'!M58)/ABS('18H29'!M58)*100,1)</f>
        <v>4.2</v>
      </c>
      <c r="N125" s="384">
        <f>ROUND((N58-'18H29'!N58)/ABS('18H29'!N58)*100,1)</f>
        <v>-1.2</v>
      </c>
      <c r="O125" s="384">
        <f>ROUND((O58-'18H29'!O58)/ABS('18H29'!O58)*100,1)</f>
        <v>-3.5</v>
      </c>
      <c r="R125" s="383"/>
      <c r="S125" s="383"/>
      <c r="T125" s="383"/>
    </row>
    <row r="126" spans="1:20">
      <c r="A126" s="293">
        <v>8</v>
      </c>
      <c r="B126" s="86" t="s">
        <v>211</v>
      </c>
      <c r="C126" s="384">
        <f>ROUND((C59-'18H29'!C59)/ABS('18H29'!C59)*100,1)</f>
        <v>2.8</v>
      </c>
      <c r="D126" s="384">
        <f>ROUND((D59-'18H29'!D59)/ABS('18H29'!D59)*100,1)</f>
        <v>2.8</v>
      </c>
      <c r="E126" s="384">
        <f>ROUND((E59-'18H29'!E59)/ABS('18H29'!E59)*100,1)</f>
        <v>0</v>
      </c>
      <c r="F126" s="384">
        <f>ROUND((F59-'18H29'!F59)/ABS('18H29'!F59)*100,1)</f>
        <v>12.1</v>
      </c>
      <c r="G126" s="384">
        <f>ROUND((G59-'18H29'!G59)/ABS('18H29'!G59)*100,1)</f>
        <v>32</v>
      </c>
      <c r="H126" s="384">
        <f>ROUND((H59-'18H29'!H59)/ABS('18H29'!H59)*100,1)</f>
        <v>8.1999999999999993</v>
      </c>
      <c r="I126" s="384">
        <f>ROUND((I59-'18H29'!I59)/ABS('18H29'!I59)*100,1)</f>
        <v>74.8</v>
      </c>
      <c r="J126" s="384">
        <f>ROUND((J59-'18H29'!J59)/ABS('18H29'!J59)*100,1)</f>
        <v>84.5</v>
      </c>
      <c r="K126" s="384">
        <f>ROUND((K59-'18H29'!K59)/ABS('18H29'!K59)*100,1)</f>
        <v>7.7</v>
      </c>
      <c r="L126" s="384">
        <f>ROUND((L59-'18H29'!L59)/ABS('18H29'!L59)*100,1)</f>
        <v>-32.9</v>
      </c>
      <c r="M126" s="384">
        <f>ROUND((M59-'18H29'!M59)/ABS('18H29'!M59)*100,1)</f>
        <v>6.3</v>
      </c>
      <c r="N126" s="384">
        <f>ROUND((N59-'18H29'!N59)/ABS('18H29'!N59)*100,1)</f>
        <v>9.5</v>
      </c>
      <c r="O126" s="384">
        <f>ROUND((O59-'18H29'!O59)/ABS('18H29'!O59)*100,1)</f>
        <v>-74.099999999999994</v>
      </c>
      <c r="R126" s="383"/>
      <c r="S126" s="383"/>
      <c r="T126" s="383"/>
    </row>
    <row r="127" spans="1:20">
      <c r="A127" s="293">
        <v>221</v>
      </c>
      <c r="B127" s="90" t="s">
        <v>1144</v>
      </c>
      <c r="C127" s="384">
        <f>ROUND((C60-'18H29'!C60)/ABS('18H29'!C60)*100,1)</f>
        <v>9.6</v>
      </c>
      <c r="D127" s="384">
        <f>ROUND((D60-'18H29'!D60)/ABS('18H29'!D60)*100,1)</f>
        <v>1.8</v>
      </c>
      <c r="E127" s="384">
        <f>ROUND((E60-'18H29'!E60)/ABS('18H29'!E60)*100,1)</f>
        <v>0.3</v>
      </c>
      <c r="F127" s="384">
        <f>ROUND((F60-'18H29'!F60)/ABS('18H29'!F60)*100,1)</f>
        <v>15.8</v>
      </c>
      <c r="G127" s="384">
        <f>ROUND((G60-'18H29'!G60)/ABS('18H29'!G60)*100,1)</f>
        <v>9.4</v>
      </c>
      <c r="H127" s="384">
        <f>ROUND((H60-'18H29'!H60)/ABS('18H29'!H60)*100,1)</f>
        <v>15.9</v>
      </c>
      <c r="I127" s="384">
        <f>ROUND((I60-'18H29'!I60)/ABS('18H29'!I60)*100,1)</f>
        <v>73.599999999999994</v>
      </c>
      <c r="J127" s="384">
        <f>ROUND((J60-'18H29'!J60)/ABS('18H29'!J60)*100,1)</f>
        <v>93.1</v>
      </c>
      <c r="K127" s="384">
        <f>ROUND((K60-'18H29'!K60)/ABS('18H29'!K60)*100,1)</f>
        <v>6.9</v>
      </c>
      <c r="L127" s="384">
        <f>ROUND((L60-'18H29'!L60)/ABS('18H29'!L60)*100,1)</f>
        <v>32.4</v>
      </c>
      <c r="M127" s="384">
        <f>ROUND((M60-'18H29'!M60)/ABS('18H29'!M60)*100,1)</f>
        <v>12.8</v>
      </c>
      <c r="N127" s="384">
        <f>ROUND((N60-'18H29'!N60)/ABS('18H29'!N60)*100,1)</f>
        <v>8.6999999999999993</v>
      </c>
      <c r="O127" s="384">
        <f>ROUND((O60-'18H29'!O60)/ABS('18H29'!O60)*100,1)</f>
        <v>-34.5</v>
      </c>
      <c r="R127" s="383"/>
      <c r="S127" s="383"/>
      <c r="T127" s="383"/>
    </row>
    <row r="128" spans="1:20">
      <c r="A128" s="293">
        <v>223</v>
      </c>
      <c r="B128" s="90" t="s">
        <v>223</v>
      </c>
      <c r="C128" s="384">
        <f>ROUND((C61-'18H29'!C61)/ABS('18H29'!C61)*100,1)</f>
        <v>-1.6</v>
      </c>
      <c r="D128" s="384">
        <f>ROUND((D61-'18H29'!D61)/ABS('18H29'!D61)*100,1)</f>
        <v>3.5</v>
      </c>
      <c r="E128" s="384">
        <f>ROUND((E61-'18H29'!E61)/ABS('18H29'!E61)*100,1)</f>
        <v>-0.3</v>
      </c>
      <c r="F128" s="384">
        <f>ROUND((F61-'18H29'!F61)/ABS('18H29'!F61)*100,1)</f>
        <v>9.8000000000000007</v>
      </c>
      <c r="G128" s="384">
        <f>ROUND((G61-'18H29'!G61)/ABS('18H29'!G61)*100,1)</f>
        <v>46.4</v>
      </c>
      <c r="H128" s="384">
        <f>ROUND((H61-'18H29'!H61)/ABS('18H29'!H61)*100,1)</f>
        <v>3.4</v>
      </c>
      <c r="I128" s="384">
        <f>ROUND((I61-'18H29'!I61)/ABS('18H29'!I61)*100,1)</f>
        <v>75.7</v>
      </c>
      <c r="J128" s="384">
        <f>ROUND((J61-'18H29'!J61)/ABS('18H29'!J61)*100,1)</f>
        <v>81.3</v>
      </c>
      <c r="K128" s="384">
        <f>ROUND((K61-'18H29'!K61)/ABS('18H29'!K61)*100,1)</f>
        <v>8.3000000000000007</v>
      </c>
      <c r="L128" s="384">
        <f>ROUND((L61-'18H29'!L61)/ABS('18H29'!L61)*100,1)</f>
        <v>-66.099999999999994</v>
      </c>
      <c r="M128" s="384">
        <f>ROUND((M61-'18H29'!M61)/ABS('18H29'!M61)*100,1)</f>
        <v>2</v>
      </c>
      <c r="N128" s="384">
        <f>ROUND((N61-'18H29'!N61)/ABS('18H29'!N61)*100,1)</f>
        <v>10.1</v>
      </c>
      <c r="O128" s="384">
        <f>ROUND((O61-'18H29'!O61)/ABS('18H29'!O61)*100,1)</f>
        <v>-108.3</v>
      </c>
      <c r="R128" s="383"/>
      <c r="S128" s="383"/>
      <c r="T128" s="383"/>
    </row>
    <row r="129" spans="1:20">
      <c r="A129" s="293">
        <v>9</v>
      </c>
      <c r="B129" s="94" t="s">
        <v>212</v>
      </c>
      <c r="C129" s="384">
        <f>ROUND((C62-'18H29'!C62)/ABS('18H29'!C62)*100,1)</f>
        <v>-0.6</v>
      </c>
      <c r="D129" s="384">
        <f>ROUND((D62-'18H29'!D62)/ABS('18H29'!D62)*100,1)</f>
        <v>1.1000000000000001</v>
      </c>
      <c r="E129" s="384">
        <f>ROUND((E62-'18H29'!E62)/ABS('18H29'!E62)*100,1)</f>
        <v>1.9</v>
      </c>
      <c r="F129" s="384">
        <f>ROUND((F62-'18H29'!F62)/ABS('18H29'!F62)*100,1)</f>
        <v>-15.9</v>
      </c>
      <c r="G129" s="384">
        <f>ROUND((G62-'18H29'!G62)/ABS('18H29'!G62)*100,1)</f>
        <v>-5.4</v>
      </c>
      <c r="H129" s="384">
        <f>ROUND((H62-'18H29'!H62)/ABS('18H29'!H62)*100,1)</f>
        <v>-18.3</v>
      </c>
      <c r="I129" s="384">
        <f>ROUND((I62-'18H29'!I62)/ABS('18H29'!I62)*100,1)</f>
        <v>56.3</v>
      </c>
      <c r="J129" s="384">
        <f>ROUND((J62-'18H29'!J62)/ABS('18H29'!J62)*100,1)</f>
        <v>-25.3</v>
      </c>
      <c r="K129" s="384">
        <f>ROUND((K62-'18H29'!K62)/ABS('18H29'!K62)*100,1)</f>
        <v>-3.7</v>
      </c>
      <c r="L129" s="384">
        <f>ROUND((L62-'18H29'!L62)/ABS('18H29'!L62)*100,1)</f>
        <v>319.39999999999998</v>
      </c>
      <c r="M129" s="384">
        <f>ROUND((M62-'18H29'!M62)/ABS('18H29'!M62)*100,1)</f>
        <v>3.2</v>
      </c>
      <c r="N129" s="384">
        <f>ROUND((N62-'18H29'!N62)/ABS('18H29'!N62)*100,1)</f>
        <v>-2.1</v>
      </c>
      <c r="O129" s="384">
        <f>ROUND((O62-'18H29'!O62)/ABS('18H29'!O62)*100,1)</f>
        <v>-21.8</v>
      </c>
      <c r="R129" s="383"/>
      <c r="S129" s="383"/>
      <c r="T129" s="383"/>
    </row>
    <row r="130" spans="1:20">
      <c r="A130" s="293">
        <v>205</v>
      </c>
      <c r="B130" s="92" t="s">
        <v>241</v>
      </c>
      <c r="C130" s="384">
        <f>ROUND((C63-'18H29'!C63)/ABS('18H29'!C63)*100,1)</f>
        <v>-0.7</v>
      </c>
      <c r="D130" s="384">
        <f>ROUND((D63-'18H29'!D63)/ABS('18H29'!D63)*100,1)</f>
        <v>0.6</v>
      </c>
      <c r="E130" s="384">
        <f>ROUND((E63-'18H29'!E63)/ABS('18H29'!E63)*100,1)</f>
        <v>0.8</v>
      </c>
      <c r="F130" s="384">
        <f>ROUND((F63-'18H29'!F63)/ABS('18H29'!F63)*100,1)</f>
        <v>-38.299999999999997</v>
      </c>
      <c r="G130" s="384">
        <f>ROUND((G63-'18H29'!G63)/ABS('18H29'!G63)*100,1)</f>
        <v>-35.6</v>
      </c>
      <c r="H130" s="384">
        <f>ROUND((H63-'18H29'!H63)/ABS('18H29'!H63)*100,1)</f>
        <v>-39.5</v>
      </c>
      <c r="I130" s="384">
        <f>ROUND((I63-'18H29'!I63)/ABS('18H29'!I63)*100,1)</f>
        <v>47</v>
      </c>
      <c r="J130" s="384">
        <f>ROUND((J63-'18H29'!J63)/ABS('18H29'!J63)*100,1)</f>
        <v>3</v>
      </c>
      <c r="K130" s="384">
        <f>ROUND((K63-'18H29'!K63)/ABS('18H29'!K63)*100,1)</f>
        <v>-9.4</v>
      </c>
      <c r="L130" s="384">
        <f>ROUND((L63-'18H29'!L63)/ABS('18H29'!L63)*100,1)</f>
        <v>224.6</v>
      </c>
      <c r="M130" s="384">
        <f>ROUND((M63-'18H29'!M63)/ABS('18H29'!M63)*100,1)</f>
        <v>3</v>
      </c>
      <c r="N130" s="384">
        <f>ROUND((N63-'18H29'!N63)/ABS('18H29'!N63)*100,1)</f>
        <v>-7.9</v>
      </c>
      <c r="O130" s="384">
        <f>ROUND((O63-'18H29'!O63)/ABS('18H29'!O63)*100,1)</f>
        <v>-4.0999999999999996</v>
      </c>
      <c r="R130" s="383"/>
      <c r="S130" s="383"/>
      <c r="T130" s="383"/>
    </row>
    <row r="131" spans="1:20">
      <c r="A131" s="293">
        <v>224</v>
      </c>
      <c r="B131" s="90" t="s">
        <v>224</v>
      </c>
      <c r="C131" s="384">
        <f>ROUND((C64-'18H29'!C64)/ABS('18H29'!C64)*100,1)</f>
        <v>-0.8</v>
      </c>
      <c r="D131" s="384">
        <f>ROUND((D64-'18H29'!D64)/ABS('18H29'!D64)*100,1)</f>
        <v>1.6</v>
      </c>
      <c r="E131" s="384">
        <f>ROUND((E64-'18H29'!E64)/ABS('18H29'!E64)*100,1)</f>
        <v>5.0999999999999996</v>
      </c>
      <c r="F131" s="384">
        <f>ROUND((F64-'18H29'!F64)/ABS('18H29'!F64)*100,1)</f>
        <v>2.8</v>
      </c>
      <c r="G131" s="384">
        <f>ROUND((G64-'18H29'!G64)/ABS('18H29'!G64)*100,1)</f>
        <v>10.9</v>
      </c>
      <c r="H131" s="384">
        <f>ROUND((H64-'18H29'!H64)/ABS('18H29'!H64)*100,1)</f>
        <v>0.4</v>
      </c>
      <c r="I131" s="384">
        <f>ROUND((I64-'18H29'!I64)/ABS('18H29'!I64)*100,1)</f>
        <v>61.9</v>
      </c>
      <c r="J131" s="384">
        <f>ROUND((J64-'18H29'!J64)/ABS('18H29'!J64)*100,1)</f>
        <v>-35.5</v>
      </c>
      <c r="K131" s="384">
        <f>ROUND((K64-'18H29'!K64)/ABS('18H29'!K64)*100,1)</f>
        <v>-0.3</v>
      </c>
      <c r="L131" s="384">
        <f>ROUND((L64-'18H29'!L64)/ABS('18H29'!L64)*100,1)</f>
        <v>-5.6</v>
      </c>
      <c r="M131" s="384">
        <f>ROUND((M64-'18H29'!M64)/ABS('18H29'!M64)*100,1)</f>
        <v>3.3</v>
      </c>
      <c r="N131" s="384">
        <f>ROUND((N64-'18H29'!N64)/ABS('18H29'!N64)*100,1)</f>
        <v>1.4</v>
      </c>
      <c r="O131" s="384">
        <f>ROUND((O64-'18H29'!O64)/ABS('18H29'!O64)*100,1)</f>
        <v>-49.3</v>
      </c>
      <c r="R131" s="383"/>
      <c r="S131" s="383"/>
      <c r="T131" s="383"/>
    </row>
    <row r="132" spans="1:20">
      <c r="A132" s="396">
        <v>226</v>
      </c>
      <c r="B132" s="201" t="s">
        <v>225</v>
      </c>
      <c r="C132" s="398">
        <f>ROUND((C65-'18H29'!C65)/ABS('18H29'!C65)*100,1)</f>
        <v>-0.3</v>
      </c>
      <c r="D132" s="398">
        <f>ROUND((D65-'18H29'!D65)/ABS('18H29'!D65)*100,1)</f>
        <v>1</v>
      </c>
      <c r="E132" s="398">
        <f>ROUND((E65-'18H29'!E65)/ABS('18H29'!E65)*100,1)</f>
        <v>-0.2</v>
      </c>
      <c r="F132" s="398">
        <f>ROUND((F65-'18H29'!F65)/ABS('18H29'!F65)*100,1)</f>
        <v>6.5</v>
      </c>
      <c r="G132" s="398">
        <f>ROUND((G65-'18H29'!G65)/ABS('18H29'!G65)*100,1)</f>
        <v>26.8</v>
      </c>
      <c r="H132" s="398">
        <f>ROUND((H65-'18H29'!H65)/ABS('18H29'!H65)*100,1)</f>
        <v>2.9</v>
      </c>
      <c r="I132" s="398">
        <f>ROUND((I65-'18H29'!I65)/ABS('18H29'!I65)*100,1)</f>
        <v>61.1</v>
      </c>
      <c r="J132" s="398">
        <f>ROUND((J65-'18H29'!J65)/ABS('18H29'!J65)*100,1)</f>
        <v>-31.2</v>
      </c>
      <c r="K132" s="398">
        <f>ROUND((K65-'18H29'!K65)/ABS('18H29'!K65)*100,1)</f>
        <v>-0.7</v>
      </c>
      <c r="L132" s="398">
        <f>ROUND((L65-'18H29'!L65)/ABS('18H29'!L65)*100,1)</f>
        <v>12.2</v>
      </c>
      <c r="M132" s="398">
        <f>ROUND((M65-'18H29'!M65)/ABS('18H29'!M65)*100,1)</f>
        <v>3.2</v>
      </c>
      <c r="N132" s="398">
        <f>ROUND((N65-'18H29'!N65)/ABS('18H29'!N65)*100,1)</f>
        <v>1</v>
      </c>
      <c r="O132" s="398">
        <f>ROUND((O65-'18H29'!O65)/ABS('18H29'!O65)*100,1)</f>
        <v>-20.2</v>
      </c>
      <c r="R132" s="383"/>
      <c r="S132" s="383"/>
      <c r="T132" s="383"/>
    </row>
  </sheetData>
  <mergeCells count="1">
    <mergeCell ref="L2:M2"/>
  </mergeCells>
  <phoneticPr fontId="13"/>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theme="9" tint="0.59999389629810485"/>
  </sheetPr>
  <dimension ref="A1:V132"/>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20" width="6.2109375" style="49" customWidth="1"/>
    <col min="21" max="21" width="9.5703125" style="49" customWidth="1"/>
    <col min="22" max="22" width="8.92578125" style="49" customWidth="1"/>
    <col min="23" max="16384" width="8.7109375" style="49"/>
  </cols>
  <sheetData>
    <row r="1" spans="1:22">
      <c r="A1" s="86"/>
      <c r="B1" s="65" t="s">
        <v>1190</v>
      </c>
      <c r="C1" s="239"/>
      <c r="D1" s="239"/>
      <c r="E1" s="239"/>
      <c r="F1" s="1878" t="str">
        <f>'24R5'!F1</f>
        <v>市町民経済計算試算(2026.3)</v>
      </c>
      <c r="G1" s="682"/>
      <c r="H1" s="239"/>
      <c r="I1" s="239"/>
      <c r="J1" s="239"/>
      <c r="K1" s="239"/>
      <c r="L1" s="239"/>
      <c r="M1" s="239"/>
      <c r="N1" s="239" t="s">
        <v>818</v>
      </c>
      <c r="O1" s="830"/>
      <c r="R1" s="851" t="s">
        <v>1344</v>
      </c>
      <c r="S1" s="843"/>
    </row>
    <row r="2" spans="1:22" ht="26.25" customHeight="1">
      <c r="A2" s="294"/>
      <c r="B2" s="296" t="s">
        <v>930</v>
      </c>
      <c r="C2" s="297" t="s">
        <v>817</v>
      </c>
      <c r="D2" s="275" t="s">
        <v>68</v>
      </c>
      <c r="E2" s="291" t="s">
        <v>1289</v>
      </c>
      <c r="F2" s="297" t="s">
        <v>69</v>
      </c>
      <c r="G2" s="291"/>
      <c r="H2" s="291"/>
      <c r="I2" s="291"/>
      <c r="J2" s="275" t="s">
        <v>70</v>
      </c>
      <c r="K2" s="817" t="s">
        <v>671</v>
      </c>
      <c r="L2" s="2310" t="s">
        <v>71</v>
      </c>
      <c r="M2" s="2311"/>
      <c r="N2" s="291"/>
      <c r="O2" s="817"/>
      <c r="P2" s="92"/>
      <c r="Q2" s="313"/>
      <c r="R2" s="852" t="s">
        <v>1345</v>
      </c>
      <c r="S2" s="908">
        <f>+SUM(C69:O69)</f>
        <v>1001059.0547938235</v>
      </c>
      <c r="T2" s="755"/>
      <c r="U2" s="839" t="s">
        <v>1343</v>
      </c>
      <c r="V2" s="841"/>
    </row>
    <row r="3" spans="1:22" ht="28.5">
      <c r="A3" s="357"/>
      <c r="B3" s="92" t="s">
        <v>931</v>
      </c>
      <c r="C3" s="351" t="s">
        <v>82</v>
      </c>
      <c r="D3" s="353"/>
      <c r="E3" s="352"/>
      <c r="F3" s="351" t="s">
        <v>83</v>
      </c>
      <c r="G3" s="297" t="s">
        <v>72</v>
      </c>
      <c r="H3" s="275" t="s">
        <v>73</v>
      </c>
      <c r="I3" s="291" t="s">
        <v>74</v>
      </c>
      <c r="J3" s="353"/>
      <c r="K3" s="861" t="s">
        <v>75</v>
      </c>
      <c r="L3" s="351" t="s">
        <v>76</v>
      </c>
      <c r="M3" s="297" t="s">
        <v>77</v>
      </c>
      <c r="N3" s="275" t="s">
        <v>78</v>
      </c>
      <c r="O3" s="817" t="s">
        <v>81</v>
      </c>
      <c r="P3" s="92"/>
      <c r="Q3" s="355" t="s">
        <v>1583</v>
      </c>
      <c r="R3" s="854" t="s">
        <v>1346</v>
      </c>
      <c r="S3" s="847">
        <f>SUM(S4:S65)</f>
        <v>0</v>
      </c>
      <c r="T3" s="755"/>
      <c r="U3" s="886" t="s">
        <v>956</v>
      </c>
      <c r="V3" s="887" t="s">
        <v>1347</v>
      </c>
    </row>
    <row r="4" spans="1:22">
      <c r="A4" s="303"/>
      <c r="B4" s="203" t="s">
        <v>166</v>
      </c>
      <c r="C4" s="862">
        <v>22472835</v>
      </c>
      <c r="D4" s="863">
        <v>13235618</v>
      </c>
      <c r="E4" s="864">
        <v>2787989</v>
      </c>
      <c r="F4" s="863">
        <v>4704361</v>
      </c>
      <c r="G4" s="864">
        <v>721016</v>
      </c>
      <c r="H4" s="863">
        <v>3836860</v>
      </c>
      <c r="I4" s="864">
        <v>146485</v>
      </c>
      <c r="J4" s="863">
        <v>902611</v>
      </c>
      <c r="K4" s="865">
        <v>21630579</v>
      </c>
      <c r="L4" s="862">
        <v>842256</v>
      </c>
      <c r="M4" s="864">
        <v>20164278</v>
      </c>
      <c r="N4" s="864">
        <v>17577613</v>
      </c>
      <c r="O4" s="865">
        <v>-1744409</v>
      </c>
      <c r="P4" s="77"/>
      <c r="Q4" s="1386">
        <f>(C4-'19H30'!C4)/'19H30'!C4*100</f>
        <v>1.0575528180572957</v>
      </c>
      <c r="R4" s="807">
        <f>D4+E4+F4+J4+L4</f>
        <v>22472835</v>
      </c>
      <c r="S4" s="807">
        <f>R4-C4</f>
        <v>0</v>
      </c>
      <c r="T4" s="807"/>
      <c r="U4" s="49">
        <f>民間設備製造1!P6</f>
        <v>1304465.4834985307</v>
      </c>
      <c r="V4" s="49">
        <f t="shared" ref="V4:V14" si="0">D4+E4+G4+J4+U4</f>
        <v>18951699.483498532</v>
      </c>
    </row>
    <row r="5" spans="1:22">
      <c r="A5" s="298">
        <v>100</v>
      </c>
      <c r="B5" s="75" t="s">
        <v>172</v>
      </c>
      <c r="C5" s="866">
        <v>7083806</v>
      </c>
      <c r="D5" s="867">
        <v>4061985</v>
      </c>
      <c r="E5" s="868">
        <v>982784</v>
      </c>
      <c r="F5" s="867">
        <v>1194246</v>
      </c>
      <c r="G5" s="868">
        <v>185948</v>
      </c>
      <c r="H5" s="867">
        <v>963863</v>
      </c>
      <c r="I5" s="868">
        <v>44435</v>
      </c>
      <c r="J5" s="867">
        <v>322383</v>
      </c>
      <c r="K5" s="869">
        <v>6561398</v>
      </c>
      <c r="L5" s="866">
        <v>522408</v>
      </c>
      <c r="M5" s="868">
        <v>6403809</v>
      </c>
      <c r="N5" s="868">
        <v>5331976</v>
      </c>
      <c r="O5" s="869">
        <v>-549425</v>
      </c>
      <c r="P5" s="77">
        <v>100</v>
      </c>
      <c r="Q5" s="1386">
        <f>(C5-'19H30'!C5)/'19H30'!C5*100</f>
        <v>1.9107494040417266</v>
      </c>
      <c r="R5" s="807">
        <f t="shared" ref="R5:R65" si="1">D5+E5+F5+J5+L5</f>
        <v>7083806</v>
      </c>
      <c r="S5" s="807">
        <f t="shared" ref="S5:S65" si="2">R5-C5</f>
        <v>0</v>
      </c>
      <c r="T5" s="807"/>
      <c r="U5" s="49">
        <f>民間設備製造1!P7</f>
        <v>195525.4834985307</v>
      </c>
      <c r="V5" s="49">
        <f t="shared" si="0"/>
        <v>5748625.4834985305</v>
      </c>
    </row>
    <row r="6" spans="1:22">
      <c r="A6" s="298">
        <v>1</v>
      </c>
      <c r="B6" s="75" t="s">
        <v>323</v>
      </c>
      <c r="C6" s="866">
        <v>3695848</v>
      </c>
      <c r="D6" s="867">
        <v>2619305</v>
      </c>
      <c r="E6" s="868">
        <v>455008</v>
      </c>
      <c r="F6" s="867">
        <v>756912</v>
      </c>
      <c r="G6" s="868">
        <v>171489</v>
      </c>
      <c r="H6" s="867">
        <v>558789</v>
      </c>
      <c r="I6" s="868">
        <v>26634</v>
      </c>
      <c r="J6" s="867">
        <v>101650</v>
      </c>
      <c r="K6" s="869">
        <v>3932875</v>
      </c>
      <c r="L6" s="866">
        <v>-237027</v>
      </c>
      <c r="M6" s="868">
        <v>3314580</v>
      </c>
      <c r="N6" s="868">
        <v>3195964</v>
      </c>
      <c r="O6" s="869">
        <v>-355643</v>
      </c>
      <c r="P6" s="77">
        <v>1</v>
      </c>
      <c r="Q6" s="1386">
        <f>(C6-'19H30'!C6)/'19H30'!C6*100</f>
        <v>1.4761042226613479</v>
      </c>
      <c r="R6" s="807">
        <f t="shared" si="1"/>
        <v>3695848</v>
      </c>
      <c r="S6" s="807">
        <f t="shared" si="2"/>
        <v>0</v>
      </c>
      <c r="T6" s="807"/>
      <c r="U6" s="49">
        <f>民間設備製造1!P8</f>
        <v>98233</v>
      </c>
      <c r="V6" s="49">
        <f t="shared" si="0"/>
        <v>3445685</v>
      </c>
    </row>
    <row r="7" spans="1:22">
      <c r="A7" s="298">
        <v>2</v>
      </c>
      <c r="B7" s="75" t="s">
        <v>324</v>
      </c>
      <c r="C7" s="866">
        <v>2072364</v>
      </c>
      <c r="D7" s="867">
        <v>1625958</v>
      </c>
      <c r="E7" s="868">
        <v>301484</v>
      </c>
      <c r="F7" s="867">
        <v>501141</v>
      </c>
      <c r="G7" s="868">
        <v>78847</v>
      </c>
      <c r="H7" s="867">
        <v>405321</v>
      </c>
      <c r="I7" s="868">
        <v>16973</v>
      </c>
      <c r="J7" s="867">
        <v>77684</v>
      </c>
      <c r="K7" s="869">
        <v>2506267</v>
      </c>
      <c r="L7" s="866">
        <v>-433903</v>
      </c>
      <c r="M7" s="868">
        <v>1879840</v>
      </c>
      <c r="N7" s="868">
        <v>2036662</v>
      </c>
      <c r="O7" s="869">
        <v>-277081</v>
      </c>
      <c r="P7" s="77">
        <v>2</v>
      </c>
      <c r="Q7" s="1386">
        <f>(C7-'19H30'!C7)/'19H30'!C7*100</f>
        <v>-1.6803911977656145</v>
      </c>
      <c r="R7" s="807">
        <f t="shared" si="1"/>
        <v>2072364</v>
      </c>
      <c r="S7" s="807">
        <f t="shared" si="2"/>
        <v>0</v>
      </c>
      <c r="T7" s="807"/>
      <c r="U7" s="49">
        <f>民間設備製造1!P9</f>
        <v>111867</v>
      </c>
      <c r="V7" s="49">
        <f t="shared" si="0"/>
        <v>2195840</v>
      </c>
    </row>
    <row r="8" spans="1:22">
      <c r="A8" s="298">
        <v>3</v>
      </c>
      <c r="B8" s="75" t="s">
        <v>192</v>
      </c>
      <c r="C8" s="866">
        <v>3002259</v>
      </c>
      <c r="D8" s="867">
        <v>1647625</v>
      </c>
      <c r="E8" s="868">
        <v>283068</v>
      </c>
      <c r="F8" s="867">
        <v>838944</v>
      </c>
      <c r="G8" s="868">
        <v>110640</v>
      </c>
      <c r="H8" s="867">
        <v>708969</v>
      </c>
      <c r="I8" s="868">
        <v>19335</v>
      </c>
      <c r="J8" s="867">
        <v>85494</v>
      </c>
      <c r="K8" s="869">
        <v>2855131</v>
      </c>
      <c r="L8" s="866">
        <v>147128</v>
      </c>
      <c r="M8" s="868">
        <v>2652837</v>
      </c>
      <c r="N8" s="868">
        <v>2320159</v>
      </c>
      <c r="O8" s="869">
        <v>-185550</v>
      </c>
      <c r="P8" s="77">
        <v>3</v>
      </c>
      <c r="Q8" s="1386">
        <f>(C8-'19H30'!C8)/'19H30'!C8*100</f>
        <v>1.2415008482712364</v>
      </c>
      <c r="R8" s="807">
        <f t="shared" si="1"/>
        <v>3002259</v>
      </c>
      <c r="S8" s="807">
        <f t="shared" si="2"/>
        <v>0</v>
      </c>
      <c r="T8" s="807"/>
      <c r="U8" s="49">
        <f>民間設備製造1!P10</f>
        <v>374871</v>
      </c>
      <c r="V8" s="49">
        <f t="shared" si="0"/>
        <v>2501698</v>
      </c>
    </row>
    <row r="9" spans="1:22">
      <c r="A9" s="298">
        <v>4</v>
      </c>
      <c r="B9" s="75" t="s">
        <v>325</v>
      </c>
      <c r="C9" s="866">
        <v>1310283</v>
      </c>
      <c r="D9" s="867">
        <v>572534</v>
      </c>
      <c r="E9" s="868">
        <v>127560</v>
      </c>
      <c r="F9" s="867">
        <v>261114</v>
      </c>
      <c r="G9" s="868">
        <v>31612</v>
      </c>
      <c r="H9" s="867">
        <v>222647</v>
      </c>
      <c r="I9" s="868">
        <v>6855</v>
      </c>
      <c r="J9" s="867">
        <v>50966</v>
      </c>
      <c r="K9" s="869">
        <v>1012174</v>
      </c>
      <c r="L9" s="866">
        <v>298109</v>
      </c>
      <c r="M9" s="868">
        <v>1159630</v>
      </c>
      <c r="N9" s="868">
        <v>822522</v>
      </c>
      <c r="O9" s="869">
        <v>-38999</v>
      </c>
      <c r="P9" s="77">
        <v>4</v>
      </c>
      <c r="Q9" s="1386">
        <f>(C9-'19H30'!C9)/'19H30'!C9*100</f>
        <v>1.0625472905275481</v>
      </c>
      <c r="R9" s="807">
        <f t="shared" si="1"/>
        <v>1310283</v>
      </c>
      <c r="S9" s="807">
        <f t="shared" si="2"/>
        <v>0</v>
      </c>
      <c r="T9" s="807"/>
      <c r="U9" s="49">
        <f>民間設備製造1!P11</f>
        <v>104182</v>
      </c>
      <c r="V9" s="49">
        <f t="shared" si="0"/>
        <v>886854</v>
      </c>
    </row>
    <row r="10" spans="1:22">
      <c r="A10" s="298">
        <v>5</v>
      </c>
      <c r="B10" s="75" t="s">
        <v>326</v>
      </c>
      <c r="C10" s="866">
        <v>2648188</v>
      </c>
      <c r="D10" s="867">
        <v>1298593</v>
      </c>
      <c r="E10" s="868">
        <v>249183</v>
      </c>
      <c r="F10" s="867">
        <v>647206</v>
      </c>
      <c r="G10" s="868">
        <v>86726</v>
      </c>
      <c r="H10" s="867">
        <v>544831</v>
      </c>
      <c r="I10" s="868">
        <v>15649</v>
      </c>
      <c r="J10" s="867">
        <v>115739</v>
      </c>
      <c r="K10" s="869">
        <v>2310721</v>
      </c>
      <c r="L10" s="866">
        <v>337467</v>
      </c>
      <c r="M10" s="868">
        <v>2339743</v>
      </c>
      <c r="N10" s="868">
        <v>1877756</v>
      </c>
      <c r="O10" s="869">
        <v>-124520</v>
      </c>
      <c r="P10" s="77">
        <v>5</v>
      </c>
      <c r="Q10" s="1386">
        <f>(C10-'19H30'!C10)/'19H30'!C10*100</f>
        <v>-0.99584084940136275</v>
      </c>
      <c r="R10" s="807">
        <f t="shared" si="1"/>
        <v>2648188</v>
      </c>
      <c r="S10" s="807">
        <f t="shared" si="2"/>
        <v>0</v>
      </c>
      <c r="T10" s="807"/>
      <c r="U10" s="49">
        <f>民間設備製造1!P12</f>
        <v>274414</v>
      </c>
      <c r="V10" s="49">
        <f t="shared" si="0"/>
        <v>2024655</v>
      </c>
    </row>
    <row r="11" spans="1:22">
      <c r="A11" s="298">
        <v>6</v>
      </c>
      <c r="B11" s="75" t="s">
        <v>327</v>
      </c>
      <c r="C11" s="866">
        <v>1080047</v>
      </c>
      <c r="D11" s="867">
        <v>534945</v>
      </c>
      <c r="E11" s="868">
        <v>121849</v>
      </c>
      <c r="F11" s="867">
        <v>223568</v>
      </c>
      <c r="G11" s="868">
        <v>19575</v>
      </c>
      <c r="H11" s="867">
        <v>197694</v>
      </c>
      <c r="I11" s="868">
        <v>6299</v>
      </c>
      <c r="J11" s="867">
        <v>49962</v>
      </c>
      <c r="K11" s="869">
        <v>930324</v>
      </c>
      <c r="L11" s="866">
        <v>149723</v>
      </c>
      <c r="M11" s="868">
        <v>963526</v>
      </c>
      <c r="N11" s="868">
        <v>756007</v>
      </c>
      <c r="O11" s="869">
        <v>-57796</v>
      </c>
      <c r="P11" s="77">
        <v>6</v>
      </c>
      <c r="Q11" s="1386">
        <f>(C11-'19H30'!C11)/'19H30'!C11*100</f>
        <v>0.82561381922940846</v>
      </c>
      <c r="R11" s="807">
        <f t="shared" si="1"/>
        <v>1080047</v>
      </c>
      <c r="S11" s="807">
        <f t="shared" si="2"/>
        <v>0</v>
      </c>
      <c r="T11" s="807"/>
      <c r="U11" s="49">
        <f>民間設備製造1!P13</f>
        <v>88805</v>
      </c>
      <c r="V11" s="49">
        <f t="shared" si="0"/>
        <v>815136</v>
      </c>
    </row>
    <row r="12" spans="1:22">
      <c r="A12" s="298">
        <v>7</v>
      </c>
      <c r="B12" s="75" t="s">
        <v>210</v>
      </c>
      <c r="C12" s="866">
        <v>636327</v>
      </c>
      <c r="D12" s="867">
        <v>368709</v>
      </c>
      <c r="E12" s="868">
        <v>113728</v>
      </c>
      <c r="F12" s="867">
        <v>115862</v>
      </c>
      <c r="G12" s="868">
        <v>13246</v>
      </c>
      <c r="H12" s="867">
        <v>98271</v>
      </c>
      <c r="I12" s="868">
        <v>4345</v>
      </c>
      <c r="J12" s="867">
        <v>43342</v>
      </c>
      <c r="K12" s="869">
        <v>641641</v>
      </c>
      <c r="L12" s="866">
        <v>-5314</v>
      </c>
      <c r="M12" s="868">
        <v>586916</v>
      </c>
      <c r="N12" s="868">
        <v>521416</v>
      </c>
      <c r="O12" s="869">
        <v>-70814</v>
      </c>
      <c r="P12" s="77">
        <v>7</v>
      </c>
      <c r="Q12" s="1386">
        <f>(C12-'19H30'!C12)/'19H30'!C12*100</f>
        <v>1.7610324396504162</v>
      </c>
      <c r="R12" s="807">
        <f t="shared" si="1"/>
        <v>636327</v>
      </c>
      <c r="S12" s="807">
        <f t="shared" si="2"/>
        <v>0</v>
      </c>
      <c r="T12" s="807"/>
      <c r="U12" s="49">
        <f>民間設備製造1!P14</f>
        <v>23139</v>
      </c>
      <c r="V12" s="49">
        <f t="shared" si="0"/>
        <v>562164</v>
      </c>
    </row>
    <row r="13" spans="1:22">
      <c r="A13" s="298">
        <v>8</v>
      </c>
      <c r="B13" s="75" t="s">
        <v>211</v>
      </c>
      <c r="C13" s="866">
        <v>474718</v>
      </c>
      <c r="D13" s="867">
        <v>233145</v>
      </c>
      <c r="E13" s="868">
        <v>65246</v>
      </c>
      <c r="F13" s="867">
        <v>82935</v>
      </c>
      <c r="G13" s="868">
        <v>11878</v>
      </c>
      <c r="H13" s="867">
        <v>68300</v>
      </c>
      <c r="I13" s="868">
        <v>2757</v>
      </c>
      <c r="J13" s="867">
        <v>25772</v>
      </c>
      <c r="K13" s="869">
        <v>407098</v>
      </c>
      <c r="L13" s="866">
        <v>67620</v>
      </c>
      <c r="M13" s="868">
        <v>428866</v>
      </c>
      <c r="N13" s="868">
        <v>330819</v>
      </c>
      <c r="O13" s="869">
        <v>-30427</v>
      </c>
      <c r="P13" s="77">
        <v>8</v>
      </c>
      <c r="Q13" s="1386">
        <f>(C13-'19H30'!C13)/'19H30'!C13*100</f>
        <v>8.2661874277321523</v>
      </c>
      <c r="R13" s="807">
        <f t="shared" si="1"/>
        <v>474718</v>
      </c>
      <c r="S13" s="807">
        <f t="shared" si="2"/>
        <v>0</v>
      </c>
      <c r="T13" s="807"/>
      <c r="U13" s="49">
        <f>民間設備製造1!P15</f>
        <v>20637</v>
      </c>
      <c r="V13" s="49">
        <f t="shared" si="0"/>
        <v>356678</v>
      </c>
    </row>
    <row r="14" spans="1:22">
      <c r="A14" s="298">
        <v>9</v>
      </c>
      <c r="B14" s="75" t="s">
        <v>212</v>
      </c>
      <c r="C14" s="866">
        <v>468995</v>
      </c>
      <c r="D14" s="867">
        <v>272819</v>
      </c>
      <c r="E14" s="868">
        <v>88079</v>
      </c>
      <c r="F14" s="867">
        <v>82433</v>
      </c>
      <c r="G14" s="868">
        <v>11055</v>
      </c>
      <c r="H14" s="867">
        <v>68175</v>
      </c>
      <c r="I14" s="868">
        <v>3203</v>
      </c>
      <c r="J14" s="867">
        <v>29619</v>
      </c>
      <c r="K14" s="869">
        <v>472950</v>
      </c>
      <c r="L14" s="866">
        <v>-3955</v>
      </c>
      <c r="M14" s="868">
        <v>434531</v>
      </c>
      <c r="N14" s="868">
        <v>384332</v>
      </c>
      <c r="O14" s="869">
        <v>-54154</v>
      </c>
      <c r="P14" s="77">
        <v>9</v>
      </c>
      <c r="Q14" s="1386">
        <f>(C14-'19H30'!C14)/'19H30'!C14*100</f>
        <v>0.85176567734832287</v>
      </c>
      <c r="R14" s="807">
        <f t="shared" si="1"/>
        <v>468995</v>
      </c>
      <c r="S14" s="807">
        <f t="shared" si="2"/>
        <v>0</v>
      </c>
      <c r="T14" s="807"/>
      <c r="U14" s="49">
        <f>民間設備製造1!P16</f>
        <v>12792</v>
      </c>
      <c r="V14" s="49">
        <f t="shared" si="0"/>
        <v>414364</v>
      </c>
    </row>
    <row r="15" spans="1:22">
      <c r="A15" s="541"/>
      <c r="B15" s="540"/>
      <c r="C15" s="870" t="s">
        <v>839</v>
      </c>
      <c r="D15" s="871" t="s">
        <v>839</v>
      </c>
      <c r="E15" s="872" t="s">
        <v>839</v>
      </c>
      <c r="F15" s="871" t="s">
        <v>839</v>
      </c>
      <c r="G15" s="872" t="s">
        <v>839</v>
      </c>
      <c r="H15" s="871" t="s">
        <v>839</v>
      </c>
      <c r="I15" s="872" t="s">
        <v>839</v>
      </c>
      <c r="J15" s="871" t="s">
        <v>839</v>
      </c>
      <c r="K15" s="873" t="s">
        <v>839</v>
      </c>
      <c r="L15" s="858" t="s">
        <v>839</v>
      </c>
      <c r="M15" s="837" t="s">
        <v>839</v>
      </c>
      <c r="N15" s="837" t="s">
        <v>839</v>
      </c>
      <c r="O15" s="835" t="s">
        <v>839</v>
      </c>
      <c r="P15" s="77" t="s">
        <v>11</v>
      </c>
      <c r="Q15" s="1386" t="s">
        <v>106</v>
      </c>
      <c r="R15" s="807" t="s">
        <v>11</v>
      </c>
      <c r="S15" s="807" t="s">
        <v>11</v>
      </c>
      <c r="T15" s="807"/>
      <c r="U15" s="49" t="s">
        <v>1113</v>
      </c>
      <c r="V15" s="49" t="s">
        <v>11</v>
      </c>
    </row>
    <row r="16" spans="1:22">
      <c r="A16" s="300">
        <v>100</v>
      </c>
      <c r="B16" s="87" t="s">
        <v>172</v>
      </c>
      <c r="C16" s="874">
        <v>7083806</v>
      </c>
      <c r="D16" s="863">
        <v>4061985</v>
      </c>
      <c r="E16" s="865">
        <v>982784</v>
      </c>
      <c r="F16" s="867">
        <v>1194246</v>
      </c>
      <c r="G16" s="862">
        <v>185948</v>
      </c>
      <c r="H16" s="863">
        <v>963863</v>
      </c>
      <c r="I16" s="875">
        <v>44435</v>
      </c>
      <c r="J16" s="863">
        <v>322383</v>
      </c>
      <c r="K16" s="869">
        <v>6561398</v>
      </c>
      <c r="L16" s="856">
        <v>522408</v>
      </c>
      <c r="M16" s="830">
        <v>6403809</v>
      </c>
      <c r="N16" s="830">
        <v>5331976</v>
      </c>
      <c r="O16" s="831">
        <v>-549425</v>
      </c>
      <c r="P16" s="293">
        <v>100</v>
      </c>
      <c r="Q16" s="1386">
        <f>(C16-'19H30'!C16)/'19H30'!C16*100</f>
        <v>1.9107494040417266</v>
      </c>
      <c r="R16" s="807">
        <f t="shared" si="1"/>
        <v>7083806</v>
      </c>
      <c r="S16" s="807">
        <f t="shared" si="2"/>
        <v>0</v>
      </c>
      <c r="T16" s="807"/>
      <c r="U16" s="49">
        <f>民間設備製造1!P18</f>
        <v>195525.4834985307</v>
      </c>
      <c r="V16" s="49">
        <f t="shared" ref="V16:V65" si="3">D16+E16+G16+J16+U16</f>
        <v>5748625.4834985305</v>
      </c>
    </row>
    <row r="17" spans="1:22">
      <c r="A17" s="301">
        <v>1</v>
      </c>
      <c r="B17" s="128" t="s">
        <v>182</v>
      </c>
      <c r="C17" s="862">
        <v>3695848</v>
      </c>
      <c r="D17" s="863">
        <v>2619305</v>
      </c>
      <c r="E17" s="865">
        <v>455008</v>
      </c>
      <c r="F17" s="863">
        <v>756912</v>
      </c>
      <c r="G17" s="862">
        <v>171489</v>
      </c>
      <c r="H17" s="863">
        <v>558789</v>
      </c>
      <c r="I17" s="864">
        <v>26634</v>
      </c>
      <c r="J17" s="863">
        <v>101650</v>
      </c>
      <c r="K17" s="865">
        <v>3932875</v>
      </c>
      <c r="L17" s="862">
        <v>-237027</v>
      </c>
      <c r="M17" s="827">
        <v>3314580</v>
      </c>
      <c r="N17" s="827">
        <v>3195964</v>
      </c>
      <c r="O17" s="828">
        <v>-355643</v>
      </c>
      <c r="P17" s="293">
        <v>1</v>
      </c>
      <c r="Q17" s="1386">
        <f>(C17-'19H30'!C17)/'19H30'!C17*100</f>
        <v>1.4761042226613479</v>
      </c>
      <c r="R17" s="807">
        <f>D17+E17+F17+J17+L17</f>
        <v>3695848</v>
      </c>
      <c r="S17" s="807">
        <f t="shared" si="2"/>
        <v>0</v>
      </c>
      <c r="T17" s="807"/>
      <c r="U17" s="49">
        <f>民間設備製造1!P19</f>
        <v>98233</v>
      </c>
      <c r="V17" s="49">
        <f t="shared" si="3"/>
        <v>3445685</v>
      </c>
    </row>
    <row r="18" spans="1:22">
      <c r="A18" s="300">
        <v>202</v>
      </c>
      <c r="B18" s="90" t="s">
        <v>183</v>
      </c>
      <c r="C18" s="866">
        <v>2011427</v>
      </c>
      <c r="D18" s="867">
        <v>1202985</v>
      </c>
      <c r="E18" s="869">
        <v>175674</v>
      </c>
      <c r="F18" s="867">
        <v>403759</v>
      </c>
      <c r="G18" s="866">
        <v>92574</v>
      </c>
      <c r="H18" s="867">
        <v>298839</v>
      </c>
      <c r="I18" s="868">
        <v>12346</v>
      </c>
      <c r="J18" s="867">
        <v>40581</v>
      </c>
      <c r="K18" s="869">
        <v>1822999</v>
      </c>
      <c r="L18" s="856">
        <v>188428</v>
      </c>
      <c r="M18" s="830">
        <v>1770913</v>
      </c>
      <c r="N18" s="830">
        <v>1481420</v>
      </c>
      <c r="O18" s="831">
        <v>-101065</v>
      </c>
      <c r="P18" s="293">
        <v>202</v>
      </c>
      <c r="Q18" s="1386">
        <f>(C18-'19H30'!C18)/'19H30'!C18*100</f>
        <v>2.0104626011456626</v>
      </c>
      <c r="R18" s="807">
        <f t="shared" si="1"/>
        <v>2011427</v>
      </c>
      <c r="S18" s="807">
        <f>R18-C18</f>
        <v>0</v>
      </c>
      <c r="T18" s="807"/>
      <c r="U18" s="49">
        <f>民間設備製造1!P20</f>
        <v>85391</v>
      </c>
      <c r="V18" s="49">
        <f t="shared" si="3"/>
        <v>1597205</v>
      </c>
    </row>
    <row r="19" spans="1:22">
      <c r="A19" s="300">
        <v>204</v>
      </c>
      <c r="B19" s="90" t="s">
        <v>184</v>
      </c>
      <c r="C19" s="866">
        <v>1451518</v>
      </c>
      <c r="D19" s="867">
        <v>1179295</v>
      </c>
      <c r="E19" s="869">
        <v>226130</v>
      </c>
      <c r="F19" s="867">
        <v>298789</v>
      </c>
      <c r="G19" s="866">
        <v>69299</v>
      </c>
      <c r="H19" s="867">
        <v>217646</v>
      </c>
      <c r="I19" s="868">
        <v>11844</v>
      </c>
      <c r="J19" s="867">
        <v>44755</v>
      </c>
      <c r="K19" s="869">
        <v>1748969</v>
      </c>
      <c r="L19" s="856">
        <v>-297451</v>
      </c>
      <c r="M19" s="830">
        <v>1323537</v>
      </c>
      <c r="N19" s="830">
        <v>1421261</v>
      </c>
      <c r="O19" s="831">
        <v>-199727</v>
      </c>
      <c r="P19" s="293">
        <v>204</v>
      </c>
      <c r="Q19" s="1386">
        <f>(C19-'19H30'!C19)/'19H30'!C19*100</f>
        <v>0.36890213755797158</v>
      </c>
      <c r="R19" s="807">
        <f t="shared" si="1"/>
        <v>1451518</v>
      </c>
      <c r="S19" s="807">
        <f t="shared" si="2"/>
        <v>0</v>
      </c>
      <c r="T19" s="807"/>
      <c r="U19" s="49">
        <f>民間設備製造1!P21</f>
        <v>12809</v>
      </c>
      <c r="V19" s="49">
        <f t="shared" si="3"/>
        <v>1532288</v>
      </c>
    </row>
    <row r="20" spans="1:22">
      <c r="A20" s="302">
        <v>206</v>
      </c>
      <c r="B20" s="201" t="s">
        <v>185</v>
      </c>
      <c r="C20" s="870">
        <v>232903</v>
      </c>
      <c r="D20" s="871">
        <v>237025</v>
      </c>
      <c r="E20" s="873">
        <v>53204</v>
      </c>
      <c r="F20" s="871">
        <v>54364</v>
      </c>
      <c r="G20" s="870">
        <v>9616</v>
      </c>
      <c r="H20" s="871">
        <v>42304</v>
      </c>
      <c r="I20" s="872">
        <v>2444</v>
      </c>
      <c r="J20" s="871">
        <v>16314</v>
      </c>
      <c r="K20" s="873">
        <v>360907</v>
      </c>
      <c r="L20" s="858">
        <v>-128004</v>
      </c>
      <c r="M20" s="837">
        <v>220130</v>
      </c>
      <c r="N20" s="837">
        <v>293283</v>
      </c>
      <c r="O20" s="835">
        <v>-54851</v>
      </c>
      <c r="P20" s="293">
        <v>206</v>
      </c>
      <c r="Q20" s="1386">
        <f>(C20-'19H30'!C20)/'19H30'!C20*100</f>
        <v>3.9193464186436668</v>
      </c>
      <c r="R20" s="807">
        <f t="shared" si="1"/>
        <v>232903</v>
      </c>
      <c r="S20" s="807">
        <f t="shared" si="2"/>
        <v>0</v>
      </c>
      <c r="T20" s="807"/>
      <c r="U20" s="49">
        <f>民間設備製造1!P22</f>
        <v>33</v>
      </c>
      <c r="V20" s="49">
        <f t="shared" si="3"/>
        <v>316192</v>
      </c>
    </row>
    <row r="21" spans="1:22">
      <c r="A21" s="300">
        <v>2</v>
      </c>
      <c r="B21" s="65" t="s">
        <v>186</v>
      </c>
      <c r="C21" s="856">
        <v>2072364</v>
      </c>
      <c r="D21" s="867">
        <v>1625958</v>
      </c>
      <c r="E21" s="869">
        <v>301484</v>
      </c>
      <c r="F21" s="829">
        <v>501141</v>
      </c>
      <c r="G21" s="866">
        <v>78847</v>
      </c>
      <c r="H21" s="867">
        <v>405321</v>
      </c>
      <c r="I21" s="868">
        <v>16973</v>
      </c>
      <c r="J21" s="867">
        <v>77684</v>
      </c>
      <c r="K21" s="831">
        <v>2506267</v>
      </c>
      <c r="L21" s="856">
        <v>-433903</v>
      </c>
      <c r="M21" s="830">
        <v>1879840</v>
      </c>
      <c r="N21" s="830">
        <v>2036662</v>
      </c>
      <c r="O21" s="831">
        <v>-277081</v>
      </c>
      <c r="P21" s="293">
        <v>2</v>
      </c>
      <c r="Q21" s="1386">
        <f>(C21-'19H30'!C21)/'19H30'!C21*100</f>
        <v>-1.6803911977656145</v>
      </c>
      <c r="R21" s="807">
        <f t="shared" si="1"/>
        <v>2072364</v>
      </c>
      <c r="S21" s="807">
        <f t="shared" si="2"/>
        <v>0</v>
      </c>
      <c r="T21" s="807"/>
      <c r="U21" s="49">
        <f>民間設備製造1!P23</f>
        <v>111867</v>
      </c>
      <c r="V21" s="49">
        <f t="shared" si="3"/>
        <v>2195840</v>
      </c>
    </row>
    <row r="22" spans="1:22">
      <c r="A22" s="300">
        <v>207</v>
      </c>
      <c r="B22" s="90" t="s">
        <v>187</v>
      </c>
      <c r="C22" s="866">
        <v>699526</v>
      </c>
      <c r="D22" s="867">
        <v>451347</v>
      </c>
      <c r="E22" s="869">
        <v>80368</v>
      </c>
      <c r="F22" s="867">
        <v>177800</v>
      </c>
      <c r="G22" s="866">
        <v>23298</v>
      </c>
      <c r="H22" s="867">
        <v>149545</v>
      </c>
      <c r="I22" s="868">
        <v>4957</v>
      </c>
      <c r="J22" s="867">
        <v>22447</v>
      </c>
      <c r="K22" s="869">
        <v>731962</v>
      </c>
      <c r="L22" s="856">
        <v>-32436</v>
      </c>
      <c r="M22" s="830">
        <v>624722</v>
      </c>
      <c r="N22" s="830">
        <v>594813</v>
      </c>
      <c r="O22" s="831">
        <v>-62345</v>
      </c>
      <c r="P22" s="293">
        <v>207</v>
      </c>
      <c r="Q22" s="1386">
        <f>(C22-'19H30'!C22)/'19H30'!C22*100</f>
        <v>-0.97871015231300618</v>
      </c>
      <c r="R22" s="807">
        <f t="shared" si="1"/>
        <v>699526</v>
      </c>
      <c r="S22" s="807">
        <f t="shared" si="2"/>
        <v>0</v>
      </c>
      <c r="T22" s="807"/>
      <c r="U22" s="49">
        <f>民間設備製造1!P24</f>
        <v>63866</v>
      </c>
      <c r="V22" s="49">
        <f t="shared" si="3"/>
        <v>641326</v>
      </c>
    </row>
    <row r="23" spans="1:22">
      <c r="A23" s="300">
        <v>214</v>
      </c>
      <c r="B23" s="90" t="s">
        <v>188</v>
      </c>
      <c r="C23" s="866">
        <v>496141</v>
      </c>
      <c r="D23" s="867">
        <v>525751</v>
      </c>
      <c r="E23" s="869">
        <v>97461</v>
      </c>
      <c r="F23" s="867">
        <v>125817</v>
      </c>
      <c r="G23" s="866">
        <v>24919</v>
      </c>
      <c r="H23" s="867">
        <v>95673</v>
      </c>
      <c r="I23" s="868">
        <v>5225</v>
      </c>
      <c r="J23" s="867">
        <v>22466</v>
      </c>
      <c r="K23" s="869">
        <v>771495</v>
      </c>
      <c r="L23" s="856">
        <v>-275354</v>
      </c>
      <c r="M23" s="830">
        <v>461648</v>
      </c>
      <c r="N23" s="830">
        <v>626938</v>
      </c>
      <c r="O23" s="831">
        <v>-110064</v>
      </c>
      <c r="P23" s="293">
        <v>214</v>
      </c>
      <c r="Q23" s="1386">
        <f>(C23-'19H30'!C23)/'19H30'!C23*100</f>
        <v>-0.92971802946103899</v>
      </c>
      <c r="R23" s="807">
        <f t="shared" si="1"/>
        <v>496141</v>
      </c>
      <c r="S23" s="807">
        <f t="shared" si="2"/>
        <v>0</v>
      </c>
      <c r="T23" s="807"/>
      <c r="U23" s="49">
        <f>民間設備製造1!P25</f>
        <v>5316</v>
      </c>
      <c r="V23" s="49">
        <f t="shared" si="3"/>
        <v>675913</v>
      </c>
    </row>
    <row r="24" spans="1:22">
      <c r="A24" s="300">
        <v>217</v>
      </c>
      <c r="B24" s="90" t="s">
        <v>189</v>
      </c>
      <c r="C24" s="866">
        <v>357084</v>
      </c>
      <c r="D24" s="867">
        <v>349130</v>
      </c>
      <c r="E24" s="869">
        <v>59530</v>
      </c>
      <c r="F24" s="867">
        <v>90176</v>
      </c>
      <c r="G24" s="866">
        <v>23024</v>
      </c>
      <c r="H24" s="867">
        <v>63654</v>
      </c>
      <c r="I24" s="868">
        <v>3498</v>
      </c>
      <c r="J24" s="867">
        <v>17692</v>
      </c>
      <c r="K24" s="869">
        <v>516528</v>
      </c>
      <c r="L24" s="856">
        <v>-159444</v>
      </c>
      <c r="M24" s="830">
        <v>327390</v>
      </c>
      <c r="N24" s="830">
        <v>419745</v>
      </c>
      <c r="O24" s="831">
        <v>-67089</v>
      </c>
      <c r="P24" s="293">
        <v>217</v>
      </c>
      <c r="Q24" s="1386">
        <f>(C24-'19H30'!C24)/'19H30'!C24*100</f>
        <v>-0.68723839190109992</v>
      </c>
      <c r="R24" s="807">
        <f t="shared" si="1"/>
        <v>357084</v>
      </c>
      <c r="S24" s="807">
        <f t="shared" si="2"/>
        <v>0</v>
      </c>
      <c r="T24" s="807"/>
      <c r="U24" s="49">
        <f>民間設備製造1!P26</f>
        <v>3158</v>
      </c>
      <c r="V24" s="49">
        <f t="shared" si="3"/>
        <v>452534</v>
      </c>
    </row>
    <row r="25" spans="1:22">
      <c r="A25" s="300">
        <v>219</v>
      </c>
      <c r="B25" s="90" t="s">
        <v>190</v>
      </c>
      <c r="C25" s="866">
        <v>456238</v>
      </c>
      <c r="D25" s="867">
        <v>237491</v>
      </c>
      <c r="E25" s="869">
        <v>48262</v>
      </c>
      <c r="F25" s="867">
        <v>94391</v>
      </c>
      <c r="G25" s="866">
        <v>6807</v>
      </c>
      <c r="H25" s="867">
        <v>84945</v>
      </c>
      <c r="I25" s="868">
        <v>2639</v>
      </c>
      <c r="J25" s="867">
        <v>9529</v>
      </c>
      <c r="K25" s="869">
        <v>389673</v>
      </c>
      <c r="L25" s="856">
        <v>66565</v>
      </c>
      <c r="M25" s="830">
        <v>405545</v>
      </c>
      <c r="N25" s="830">
        <v>316659</v>
      </c>
      <c r="O25" s="831">
        <v>-22321</v>
      </c>
      <c r="P25" s="293">
        <v>219</v>
      </c>
      <c r="Q25" s="1386">
        <f>(C25-'19H30'!C25)/'19H30'!C25*100</f>
        <v>-4.5567131082381485</v>
      </c>
      <c r="R25" s="807">
        <f t="shared" si="1"/>
        <v>456238</v>
      </c>
      <c r="S25" s="807">
        <f t="shared" si="2"/>
        <v>0</v>
      </c>
      <c r="T25" s="807"/>
      <c r="U25" s="49">
        <f>民間設備製造1!P27</f>
        <v>39338</v>
      </c>
      <c r="V25" s="49">
        <f t="shared" si="3"/>
        <v>341427</v>
      </c>
    </row>
    <row r="26" spans="1:22">
      <c r="A26" s="300">
        <v>301</v>
      </c>
      <c r="B26" s="90" t="s">
        <v>191</v>
      </c>
      <c r="C26" s="866">
        <v>63375</v>
      </c>
      <c r="D26" s="867">
        <v>62239</v>
      </c>
      <c r="E26" s="869">
        <v>15863</v>
      </c>
      <c r="F26" s="867">
        <v>12957</v>
      </c>
      <c r="G26" s="866">
        <v>799</v>
      </c>
      <c r="H26" s="867">
        <v>11504</v>
      </c>
      <c r="I26" s="868">
        <v>654</v>
      </c>
      <c r="J26" s="867">
        <v>5550</v>
      </c>
      <c r="K26" s="869">
        <v>96609</v>
      </c>
      <c r="L26" s="856">
        <v>-33234</v>
      </c>
      <c r="M26" s="830">
        <v>60535</v>
      </c>
      <c r="N26" s="830">
        <v>78507</v>
      </c>
      <c r="O26" s="831">
        <v>-15262</v>
      </c>
      <c r="P26" s="293">
        <v>301</v>
      </c>
      <c r="Q26" s="1386">
        <f>(C26-'19H30'!C26)/'19H30'!C26*100</f>
        <v>0.64156516491718407</v>
      </c>
      <c r="R26" s="807">
        <f t="shared" si="1"/>
        <v>63375</v>
      </c>
      <c r="S26" s="807">
        <f t="shared" si="2"/>
        <v>0</v>
      </c>
      <c r="T26" s="807"/>
      <c r="U26" s="49">
        <f>民間設備製造1!P28</f>
        <v>189</v>
      </c>
      <c r="V26" s="49">
        <f t="shared" si="3"/>
        <v>84640</v>
      </c>
    </row>
    <row r="27" spans="1:22">
      <c r="A27" s="301">
        <v>3</v>
      </c>
      <c r="B27" s="128" t="s">
        <v>192</v>
      </c>
      <c r="C27" s="855">
        <v>3002259</v>
      </c>
      <c r="D27" s="863">
        <v>1647625</v>
      </c>
      <c r="E27" s="865">
        <v>283068</v>
      </c>
      <c r="F27" s="826">
        <v>838944</v>
      </c>
      <c r="G27" s="862">
        <v>110640</v>
      </c>
      <c r="H27" s="863">
        <v>708969</v>
      </c>
      <c r="I27" s="864">
        <v>19335</v>
      </c>
      <c r="J27" s="863">
        <v>85494</v>
      </c>
      <c r="K27" s="828">
        <v>2855131</v>
      </c>
      <c r="L27" s="855">
        <v>147128</v>
      </c>
      <c r="M27" s="827">
        <v>2652837</v>
      </c>
      <c r="N27" s="827">
        <v>2320159</v>
      </c>
      <c r="O27" s="828">
        <v>-185550</v>
      </c>
      <c r="P27" s="293">
        <v>3</v>
      </c>
      <c r="Q27" s="1386">
        <f>(C27-'19H30'!C27)/'19H30'!C27*100</f>
        <v>1.2415008482712364</v>
      </c>
      <c r="R27" s="807">
        <f t="shared" si="1"/>
        <v>3002259</v>
      </c>
      <c r="S27" s="807">
        <f t="shared" si="2"/>
        <v>0</v>
      </c>
      <c r="T27" s="807"/>
      <c r="U27" s="49">
        <f>民間設備製造1!P29</f>
        <v>374871</v>
      </c>
      <c r="V27" s="49">
        <f t="shared" si="3"/>
        <v>2501698</v>
      </c>
    </row>
    <row r="28" spans="1:22">
      <c r="A28" s="300">
        <v>203</v>
      </c>
      <c r="B28" s="90" t="s">
        <v>193</v>
      </c>
      <c r="C28" s="866">
        <v>1215341</v>
      </c>
      <c r="D28" s="867">
        <v>722070</v>
      </c>
      <c r="E28" s="869">
        <v>123312</v>
      </c>
      <c r="F28" s="867">
        <v>280872</v>
      </c>
      <c r="G28" s="866">
        <v>49313</v>
      </c>
      <c r="H28" s="867">
        <v>223780</v>
      </c>
      <c r="I28" s="868">
        <v>7779</v>
      </c>
      <c r="J28" s="867">
        <v>22495</v>
      </c>
      <c r="K28" s="869">
        <v>1148749</v>
      </c>
      <c r="L28" s="856">
        <v>66592</v>
      </c>
      <c r="M28" s="830">
        <v>1077894</v>
      </c>
      <c r="N28" s="830">
        <v>933506</v>
      </c>
      <c r="O28" s="831">
        <v>-77796</v>
      </c>
      <c r="P28" s="293">
        <v>203</v>
      </c>
      <c r="Q28" s="1386">
        <f>(C28-'19H30'!C28)/'19H30'!C28*100</f>
        <v>1.6644025148815003</v>
      </c>
      <c r="R28" s="807">
        <f t="shared" si="1"/>
        <v>1215341</v>
      </c>
      <c r="S28" s="807">
        <f t="shared" si="2"/>
        <v>0</v>
      </c>
      <c r="T28" s="807"/>
      <c r="U28" s="49">
        <f>民間設備製造1!P30</f>
        <v>89307</v>
      </c>
      <c r="V28" s="49">
        <f t="shared" si="3"/>
        <v>1006497</v>
      </c>
    </row>
    <row r="29" spans="1:22">
      <c r="A29" s="300">
        <v>210</v>
      </c>
      <c r="B29" s="90" t="s">
        <v>194</v>
      </c>
      <c r="C29" s="866">
        <v>895719</v>
      </c>
      <c r="D29" s="867">
        <v>581974</v>
      </c>
      <c r="E29" s="869">
        <v>99592</v>
      </c>
      <c r="F29" s="867">
        <v>264780</v>
      </c>
      <c r="G29" s="866">
        <v>40177</v>
      </c>
      <c r="H29" s="867">
        <v>217992</v>
      </c>
      <c r="I29" s="868">
        <v>6611</v>
      </c>
      <c r="J29" s="867">
        <v>29843</v>
      </c>
      <c r="K29" s="869">
        <v>976189</v>
      </c>
      <c r="L29" s="856">
        <v>-80470</v>
      </c>
      <c r="M29" s="830">
        <v>798415</v>
      </c>
      <c r="N29" s="830">
        <v>793278</v>
      </c>
      <c r="O29" s="831">
        <v>-85607</v>
      </c>
      <c r="P29" s="293">
        <v>210</v>
      </c>
      <c r="Q29" s="1386">
        <f>(C29-'19H30'!C29)/'19H30'!C29*100</f>
        <v>0.19654079256165249</v>
      </c>
      <c r="R29" s="807">
        <f t="shared" si="1"/>
        <v>895719</v>
      </c>
      <c r="S29" s="807">
        <f t="shared" si="2"/>
        <v>0</v>
      </c>
      <c r="T29" s="807"/>
      <c r="U29" s="49">
        <f>民間設備製造1!P31</f>
        <v>103741</v>
      </c>
      <c r="V29" s="49">
        <f t="shared" si="3"/>
        <v>855327</v>
      </c>
    </row>
    <row r="30" spans="1:22">
      <c r="A30" s="300">
        <v>216</v>
      </c>
      <c r="B30" s="90" t="s">
        <v>195</v>
      </c>
      <c r="C30" s="866">
        <v>532214</v>
      </c>
      <c r="D30" s="867">
        <v>203475</v>
      </c>
      <c r="E30" s="869">
        <v>35949</v>
      </c>
      <c r="F30" s="867">
        <v>221277</v>
      </c>
      <c r="G30" s="866">
        <v>11580</v>
      </c>
      <c r="H30" s="867">
        <v>206410</v>
      </c>
      <c r="I30" s="868">
        <v>3287</v>
      </c>
      <c r="J30" s="867">
        <v>24719</v>
      </c>
      <c r="K30" s="869">
        <v>485420</v>
      </c>
      <c r="L30" s="856">
        <v>46794</v>
      </c>
      <c r="M30" s="830">
        <v>463743</v>
      </c>
      <c r="N30" s="830">
        <v>394466</v>
      </c>
      <c r="O30" s="831">
        <v>-22483</v>
      </c>
      <c r="P30" s="293">
        <v>216</v>
      </c>
      <c r="Q30" s="1386">
        <f>(C30-'19H30'!C30)/'19H30'!C30*100</f>
        <v>2.6964340845940105</v>
      </c>
      <c r="R30" s="807">
        <f t="shared" si="1"/>
        <v>532214</v>
      </c>
      <c r="S30" s="807">
        <f t="shared" si="2"/>
        <v>0</v>
      </c>
      <c r="T30" s="807"/>
      <c r="U30" s="49">
        <f>民間設備製造1!P32</f>
        <v>149678</v>
      </c>
      <c r="V30" s="49">
        <f t="shared" si="3"/>
        <v>425401</v>
      </c>
    </row>
    <row r="31" spans="1:22">
      <c r="A31" s="300">
        <v>381</v>
      </c>
      <c r="B31" s="90" t="s">
        <v>196</v>
      </c>
      <c r="C31" s="866">
        <v>175742</v>
      </c>
      <c r="D31" s="867">
        <v>63468</v>
      </c>
      <c r="E31" s="869">
        <v>10649</v>
      </c>
      <c r="F31" s="867">
        <v>28805</v>
      </c>
      <c r="G31" s="866">
        <v>3609</v>
      </c>
      <c r="H31" s="867">
        <v>24469</v>
      </c>
      <c r="I31" s="868">
        <v>727</v>
      </c>
      <c r="J31" s="867">
        <v>4409</v>
      </c>
      <c r="K31" s="869">
        <v>107331</v>
      </c>
      <c r="L31" s="856">
        <v>68411</v>
      </c>
      <c r="M31" s="830">
        <v>152571</v>
      </c>
      <c r="N31" s="830">
        <v>87220</v>
      </c>
      <c r="O31" s="831">
        <v>3060</v>
      </c>
      <c r="P31" s="293">
        <v>381</v>
      </c>
      <c r="Q31" s="1386">
        <f>(C31-'19H30'!C31)/'19H30'!C31*100</f>
        <v>-3.8163259721424079</v>
      </c>
      <c r="R31" s="807">
        <f t="shared" si="1"/>
        <v>175742</v>
      </c>
      <c r="S31" s="807">
        <f t="shared" si="2"/>
        <v>0</v>
      </c>
      <c r="T31" s="807"/>
      <c r="U31" s="49">
        <f>民間設備製造1!P33</f>
        <v>11908</v>
      </c>
      <c r="V31" s="49">
        <f t="shared" si="3"/>
        <v>94043</v>
      </c>
    </row>
    <row r="32" spans="1:22">
      <c r="A32" s="302">
        <v>382</v>
      </c>
      <c r="B32" s="201" t="s">
        <v>197</v>
      </c>
      <c r="C32" s="870">
        <v>183243</v>
      </c>
      <c r="D32" s="871">
        <v>76638</v>
      </c>
      <c r="E32" s="873">
        <v>13566</v>
      </c>
      <c r="F32" s="871">
        <v>43210</v>
      </c>
      <c r="G32" s="870">
        <v>5961</v>
      </c>
      <c r="H32" s="871">
        <v>36318</v>
      </c>
      <c r="I32" s="872">
        <v>931</v>
      </c>
      <c r="J32" s="871">
        <v>4028</v>
      </c>
      <c r="K32" s="873">
        <v>137442</v>
      </c>
      <c r="L32" s="858">
        <v>45801</v>
      </c>
      <c r="M32" s="837">
        <v>160214</v>
      </c>
      <c r="N32" s="837">
        <v>111689</v>
      </c>
      <c r="O32" s="835">
        <v>-2724</v>
      </c>
      <c r="P32" s="293">
        <v>382</v>
      </c>
      <c r="Q32" s="1386">
        <f>(C32-'19H30'!C32)/'19H30'!C32*100</f>
        <v>4.6612444454598414</v>
      </c>
      <c r="R32" s="807">
        <f t="shared" si="1"/>
        <v>183243</v>
      </c>
      <c r="S32" s="807">
        <f t="shared" si="2"/>
        <v>0</v>
      </c>
      <c r="T32" s="807"/>
      <c r="U32" s="49">
        <f>民間設備製造1!P34</f>
        <v>20237</v>
      </c>
      <c r="V32" s="49">
        <f t="shared" si="3"/>
        <v>120430</v>
      </c>
    </row>
    <row r="33" spans="1:22">
      <c r="A33" s="300">
        <v>4</v>
      </c>
      <c r="B33" s="91" t="s">
        <v>198</v>
      </c>
      <c r="C33" s="856">
        <v>1310283</v>
      </c>
      <c r="D33" s="867">
        <v>572534</v>
      </c>
      <c r="E33" s="869">
        <v>127560</v>
      </c>
      <c r="F33" s="829">
        <v>261114</v>
      </c>
      <c r="G33" s="866">
        <v>31612</v>
      </c>
      <c r="H33" s="867">
        <v>222647</v>
      </c>
      <c r="I33" s="868">
        <v>6855</v>
      </c>
      <c r="J33" s="867">
        <v>50966</v>
      </c>
      <c r="K33" s="831">
        <v>1012174</v>
      </c>
      <c r="L33" s="856">
        <v>298109</v>
      </c>
      <c r="M33" s="830">
        <v>1159630</v>
      </c>
      <c r="N33" s="830">
        <v>822522</v>
      </c>
      <c r="O33" s="831">
        <v>-38999</v>
      </c>
      <c r="P33" s="293">
        <v>4</v>
      </c>
      <c r="Q33" s="1386">
        <f>(C33-'19H30'!C33)/'19H30'!C33*100</f>
        <v>1.0625472905275481</v>
      </c>
      <c r="R33" s="807">
        <f t="shared" si="1"/>
        <v>1310283</v>
      </c>
      <c r="S33" s="807">
        <f t="shared" si="2"/>
        <v>0</v>
      </c>
      <c r="T33" s="807"/>
      <c r="U33" s="49">
        <f>民間設備製造1!P35</f>
        <v>104182</v>
      </c>
      <c r="V33" s="49">
        <f t="shared" si="3"/>
        <v>886854</v>
      </c>
    </row>
    <row r="34" spans="1:22">
      <c r="A34" s="300">
        <v>213</v>
      </c>
      <c r="B34" s="92" t="s">
        <v>231</v>
      </c>
      <c r="C34" s="866">
        <v>151432</v>
      </c>
      <c r="D34" s="867">
        <v>84905</v>
      </c>
      <c r="E34" s="869">
        <v>16151</v>
      </c>
      <c r="F34" s="867">
        <v>25108</v>
      </c>
      <c r="G34" s="866">
        <v>3563</v>
      </c>
      <c r="H34" s="867">
        <v>20640</v>
      </c>
      <c r="I34" s="868">
        <v>905</v>
      </c>
      <c r="J34" s="867">
        <v>7401</v>
      </c>
      <c r="K34" s="869">
        <v>133565</v>
      </c>
      <c r="L34" s="856">
        <v>17867</v>
      </c>
      <c r="M34" s="830">
        <v>134667</v>
      </c>
      <c r="N34" s="830">
        <v>108539</v>
      </c>
      <c r="O34" s="831">
        <v>-8261</v>
      </c>
      <c r="P34" s="293">
        <v>213</v>
      </c>
      <c r="Q34" s="1386">
        <f>(C34-'19H30'!C34)/'19H30'!C34*100</f>
        <v>6.2874629757008291</v>
      </c>
      <c r="R34" s="807">
        <f t="shared" si="1"/>
        <v>151432</v>
      </c>
      <c r="S34" s="807">
        <f t="shared" si="2"/>
        <v>0</v>
      </c>
      <c r="T34" s="807"/>
      <c r="U34" s="49">
        <f>民間設備製造1!P36</f>
        <v>5000</v>
      </c>
      <c r="V34" s="49">
        <f t="shared" si="3"/>
        <v>117020</v>
      </c>
    </row>
    <row r="35" spans="1:22">
      <c r="A35" s="300">
        <v>215</v>
      </c>
      <c r="B35" s="92" t="s">
        <v>232</v>
      </c>
      <c r="C35" s="866">
        <v>308956</v>
      </c>
      <c r="D35" s="867">
        <v>167171</v>
      </c>
      <c r="E35" s="869">
        <v>38047</v>
      </c>
      <c r="F35" s="867">
        <v>60433</v>
      </c>
      <c r="G35" s="866">
        <v>8520</v>
      </c>
      <c r="H35" s="867">
        <v>50063</v>
      </c>
      <c r="I35" s="868">
        <v>1850</v>
      </c>
      <c r="J35" s="867">
        <v>7492</v>
      </c>
      <c r="K35" s="869">
        <v>273143</v>
      </c>
      <c r="L35" s="856">
        <v>35813</v>
      </c>
      <c r="M35" s="830">
        <v>277089</v>
      </c>
      <c r="N35" s="830">
        <v>221964</v>
      </c>
      <c r="O35" s="831">
        <v>-19312</v>
      </c>
      <c r="P35" s="293">
        <v>215</v>
      </c>
      <c r="Q35" s="1386">
        <f>(C35-'19H30'!C35)/'19H30'!C35*100</f>
        <v>0.17703706105508901</v>
      </c>
      <c r="R35" s="807">
        <f t="shared" si="1"/>
        <v>308956</v>
      </c>
      <c r="S35" s="807">
        <f t="shared" si="2"/>
        <v>0</v>
      </c>
      <c r="T35" s="807"/>
      <c r="U35" s="49">
        <f>民間設備製造1!P37</f>
        <v>18086</v>
      </c>
      <c r="V35" s="49">
        <f t="shared" si="3"/>
        <v>239316</v>
      </c>
    </row>
    <row r="36" spans="1:22">
      <c r="A36" s="300">
        <v>218</v>
      </c>
      <c r="B36" s="90" t="s">
        <v>200</v>
      </c>
      <c r="C36" s="866">
        <v>263822</v>
      </c>
      <c r="D36" s="867">
        <v>99198</v>
      </c>
      <c r="E36" s="869">
        <v>21076</v>
      </c>
      <c r="F36" s="867">
        <v>52297</v>
      </c>
      <c r="G36" s="866">
        <v>4774</v>
      </c>
      <c r="H36" s="867">
        <v>46216</v>
      </c>
      <c r="I36" s="868">
        <v>1307</v>
      </c>
      <c r="J36" s="867">
        <v>20353</v>
      </c>
      <c r="K36" s="869">
        <v>192924</v>
      </c>
      <c r="L36" s="856">
        <v>70898</v>
      </c>
      <c r="M36" s="830">
        <v>231374</v>
      </c>
      <c r="N36" s="830">
        <v>156775</v>
      </c>
      <c r="O36" s="831">
        <v>-3701</v>
      </c>
      <c r="P36" s="293">
        <v>218</v>
      </c>
      <c r="Q36" s="1386">
        <f>(C36-'19H30'!C36)/'19H30'!C36*100</f>
        <v>-6.1745932534045499E-2</v>
      </c>
      <c r="R36" s="807">
        <f t="shared" si="1"/>
        <v>263822</v>
      </c>
      <c r="S36" s="807">
        <f t="shared" si="2"/>
        <v>0</v>
      </c>
      <c r="T36" s="807"/>
      <c r="U36" s="49">
        <f>民間設備製造1!P38</f>
        <v>23640</v>
      </c>
      <c r="V36" s="49">
        <f t="shared" si="3"/>
        <v>169041</v>
      </c>
    </row>
    <row r="37" spans="1:22">
      <c r="A37" s="300">
        <v>220</v>
      </c>
      <c r="B37" s="90" t="s">
        <v>201</v>
      </c>
      <c r="C37" s="866">
        <v>247086</v>
      </c>
      <c r="D37" s="867">
        <v>90740</v>
      </c>
      <c r="E37" s="869">
        <v>20528</v>
      </c>
      <c r="F37" s="867">
        <v>50760</v>
      </c>
      <c r="G37" s="866">
        <v>5893</v>
      </c>
      <c r="H37" s="867">
        <v>43722</v>
      </c>
      <c r="I37" s="868">
        <v>1145</v>
      </c>
      <c r="J37" s="867">
        <v>7082</v>
      </c>
      <c r="K37" s="869">
        <v>169110</v>
      </c>
      <c r="L37" s="856">
        <v>77976</v>
      </c>
      <c r="M37" s="830">
        <v>217059</v>
      </c>
      <c r="N37" s="830">
        <v>137424</v>
      </c>
      <c r="O37" s="831">
        <v>-1659</v>
      </c>
      <c r="P37" s="293">
        <v>220</v>
      </c>
      <c r="Q37" s="1386">
        <f>(C37-'19H30'!C37)/'19H30'!C37*100</f>
        <v>-3.0461175048754363</v>
      </c>
      <c r="R37" s="807">
        <f t="shared" si="1"/>
        <v>247086</v>
      </c>
      <c r="S37" s="807">
        <f t="shared" si="2"/>
        <v>0</v>
      </c>
      <c r="T37" s="807"/>
      <c r="U37" s="49">
        <f>民間設備製造1!P39</f>
        <v>23935</v>
      </c>
      <c r="V37" s="49">
        <f t="shared" si="3"/>
        <v>148178</v>
      </c>
    </row>
    <row r="38" spans="1:22">
      <c r="A38" s="300">
        <v>228</v>
      </c>
      <c r="B38" s="90" t="s">
        <v>239</v>
      </c>
      <c r="C38" s="866">
        <v>273058</v>
      </c>
      <c r="D38" s="867">
        <v>93627</v>
      </c>
      <c r="E38" s="869">
        <v>19502</v>
      </c>
      <c r="F38" s="867">
        <v>59908</v>
      </c>
      <c r="G38" s="866">
        <v>7903</v>
      </c>
      <c r="H38" s="867">
        <v>50791</v>
      </c>
      <c r="I38" s="868">
        <v>1214</v>
      </c>
      <c r="J38" s="867">
        <v>6244</v>
      </c>
      <c r="K38" s="869">
        <v>179281</v>
      </c>
      <c r="L38" s="856">
        <v>93777</v>
      </c>
      <c r="M38" s="830">
        <v>238414</v>
      </c>
      <c r="N38" s="830">
        <v>145689</v>
      </c>
      <c r="O38" s="831">
        <v>1052</v>
      </c>
      <c r="P38" s="293">
        <v>228</v>
      </c>
      <c r="Q38" s="1386">
        <f>(C38-'19H30'!C38)/'19H30'!C38*100</f>
        <v>4.6287426526373867</v>
      </c>
      <c r="R38" s="807">
        <f t="shared" si="1"/>
        <v>273058</v>
      </c>
      <c r="S38" s="807">
        <f t="shared" si="2"/>
        <v>0</v>
      </c>
      <c r="T38" s="807"/>
      <c r="U38" s="49">
        <f>民間設備製造1!P40</f>
        <v>29817</v>
      </c>
      <c r="V38" s="49">
        <f t="shared" si="3"/>
        <v>157093</v>
      </c>
    </row>
    <row r="39" spans="1:22">
      <c r="A39" s="300">
        <v>365</v>
      </c>
      <c r="B39" s="90" t="s">
        <v>233</v>
      </c>
      <c r="C39" s="866">
        <v>65929</v>
      </c>
      <c r="D39" s="867">
        <v>36893</v>
      </c>
      <c r="E39" s="869">
        <v>12256</v>
      </c>
      <c r="F39" s="867">
        <v>12608</v>
      </c>
      <c r="G39" s="866">
        <v>959</v>
      </c>
      <c r="H39" s="867">
        <v>11215</v>
      </c>
      <c r="I39" s="868">
        <v>434</v>
      </c>
      <c r="J39" s="867">
        <v>2394</v>
      </c>
      <c r="K39" s="869">
        <v>64151</v>
      </c>
      <c r="L39" s="856">
        <v>1778</v>
      </c>
      <c r="M39" s="830">
        <v>61027</v>
      </c>
      <c r="N39" s="830">
        <v>52131</v>
      </c>
      <c r="O39" s="831">
        <v>-7118</v>
      </c>
      <c r="P39" s="293">
        <v>365</v>
      </c>
      <c r="Q39" s="1386">
        <f>(C39-'19H30'!C39)/'19H30'!C39*100</f>
        <v>0.17930133260397196</v>
      </c>
      <c r="R39" s="807">
        <f t="shared" si="1"/>
        <v>65929</v>
      </c>
      <c r="S39" s="807">
        <f t="shared" si="2"/>
        <v>0</v>
      </c>
      <c r="T39" s="807"/>
      <c r="U39" s="49">
        <f>民間設備製造1!P41</f>
        <v>3704</v>
      </c>
      <c r="V39" s="49">
        <f t="shared" si="3"/>
        <v>56206</v>
      </c>
    </row>
    <row r="40" spans="1:22">
      <c r="A40" s="301">
        <v>5</v>
      </c>
      <c r="B40" s="306" t="s">
        <v>202</v>
      </c>
      <c r="C40" s="855">
        <v>2648188</v>
      </c>
      <c r="D40" s="863">
        <v>1298593</v>
      </c>
      <c r="E40" s="865">
        <v>249183</v>
      </c>
      <c r="F40" s="826">
        <v>647206</v>
      </c>
      <c r="G40" s="862">
        <v>86726</v>
      </c>
      <c r="H40" s="863">
        <v>544831</v>
      </c>
      <c r="I40" s="864">
        <v>15649</v>
      </c>
      <c r="J40" s="863">
        <v>115739</v>
      </c>
      <c r="K40" s="827">
        <v>2310721</v>
      </c>
      <c r="L40" s="855">
        <v>337467</v>
      </c>
      <c r="M40" s="827">
        <v>2339743</v>
      </c>
      <c r="N40" s="827">
        <v>1877756</v>
      </c>
      <c r="O40" s="828">
        <v>-124520</v>
      </c>
      <c r="P40" s="293">
        <v>5</v>
      </c>
      <c r="Q40" s="1386">
        <f>(C40-'19H30'!C40)/'19H30'!C40*100</f>
        <v>-0.99584084940136275</v>
      </c>
      <c r="R40" s="807">
        <f t="shared" si="1"/>
        <v>2648188</v>
      </c>
      <c r="S40" s="807">
        <f t="shared" si="2"/>
        <v>0</v>
      </c>
      <c r="T40" s="807"/>
      <c r="U40" s="49">
        <f>民間設備製造1!P42</f>
        <v>274414</v>
      </c>
      <c r="V40" s="49">
        <f t="shared" si="3"/>
        <v>2024655</v>
      </c>
    </row>
    <row r="41" spans="1:22">
      <c r="A41" s="300">
        <v>201</v>
      </c>
      <c r="B41" s="92" t="s">
        <v>240</v>
      </c>
      <c r="C41" s="866">
        <v>2390528</v>
      </c>
      <c r="D41" s="867">
        <v>1209571</v>
      </c>
      <c r="E41" s="869">
        <v>221373</v>
      </c>
      <c r="F41" s="867">
        <v>590448</v>
      </c>
      <c r="G41" s="866">
        <v>82204</v>
      </c>
      <c r="H41" s="867">
        <v>493834</v>
      </c>
      <c r="I41" s="868">
        <v>14410</v>
      </c>
      <c r="J41" s="867">
        <v>106394</v>
      </c>
      <c r="K41" s="868">
        <v>2127786</v>
      </c>
      <c r="L41" s="856">
        <v>262742</v>
      </c>
      <c r="M41" s="830">
        <v>2110459</v>
      </c>
      <c r="N41" s="830">
        <v>1729098</v>
      </c>
      <c r="O41" s="831">
        <v>-118619</v>
      </c>
      <c r="P41" s="293">
        <v>201</v>
      </c>
      <c r="Q41" s="1386">
        <f>(C41-'19H30'!C41)/'19H30'!C41*100</f>
        <v>-1.0551646695123924</v>
      </c>
      <c r="R41" s="807">
        <f t="shared" si="1"/>
        <v>2390528</v>
      </c>
      <c r="S41" s="807">
        <f t="shared" si="2"/>
        <v>0</v>
      </c>
      <c r="T41" s="807"/>
      <c r="U41" s="49">
        <f>民間設備製造1!P43</f>
        <v>244820</v>
      </c>
      <c r="V41" s="49">
        <f t="shared" si="3"/>
        <v>1864362</v>
      </c>
    </row>
    <row r="42" spans="1:22">
      <c r="A42" s="300">
        <v>442</v>
      </c>
      <c r="B42" s="90" t="s">
        <v>203</v>
      </c>
      <c r="C42" s="866">
        <v>39589</v>
      </c>
      <c r="D42" s="867">
        <v>24335</v>
      </c>
      <c r="E42" s="869">
        <v>7968</v>
      </c>
      <c r="F42" s="867">
        <v>10075</v>
      </c>
      <c r="G42" s="866">
        <v>480</v>
      </c>
      <c r="H42" s="867">
        <v>9298</v>
      </c>
      <c r="I42" s="868">
        <v>297</v>
      </c>
      <c r="J42" s="867">
        <v>1461</v>
      </c>
      <c r="K42" s="868">
        <v>43839</v>
      </c>
      <c r="L42" s="856">
        <v>-4250</v>
      </c>
      <c r="M42" s="830">
        <v>36924</v>
      </c>
      <c r="N42" s="830">
        <v>35625</v>
      </c>
      <c r="O42" s="831">
        <v>-5549</v>
      </c>
      <c r="P42" s="293">
        <v>442</v>
      </c>
      <c r="Q42" s="1386">
        <f>(C42-'19H30'!C42)/'19H30'!C42*100</f>
        <v>2.3288875103391233</v>
      </c>
      <c r="R42" s="807">
        <f t="shared" si="1"/>
        <v>39589</v>
      </c>
      <c r="S42" s="807">
        <f t="shared" si="2"/>
        <v>0</v>
      </c>
      <c r="T42" s="807"/>
      <c r="U42" s="49">
        <f>民間設備製造1!P44</f>
        <v>4166</v>
      </c>
      <c r="V42" s="49">
        <f t="shared" si="3"/>
        <v>38410</v>
      </c>
    </row>
    <row r="43" spans="1:22">
      <c r="A43" s="300">
        <v>443</v>
      </c>
      <c r="B43" s="90" t="s">
        <v>204</v>
      </c>
      <c r="C43" s="866">
        <v>186340</v>
      </c>
      <c r="D43" s="867">
        <v>43351</v>
      </c>
      <c r="E43" s="869">
        <v>9780</v>
      </c>
      <c r="F43" s="867">
        <v>31233</v>
      </c>
      <c r="G43" s="866">
        <v>3677</v>
      </c>
      <c r="H43" s="867">
        <v>26954</v>
      </c>
      <c r="I43" s="868">
        <v>602</v>
      </c>
      <c r="J43" s="867">
        <v>4494</v>
      </c>
      <c r="K43" s="868">
        <v>88858</v>
      </c>
      <c r="L43" s="856">
        <v>97482</v>
      </c>
      <c r="M43" s="830">
        <v>161079</v>
      </c>
      <c r="N43" s="830">
        <v>72208</v>
      </c>
      <c r="O43" s="831">
        <v>8611</v>
      </c>
      <c r="P43" s="293">
        <v>443</v>
      </c>
      <c r="Q43" s="1386">
        <f>(C43-'19H30'!C43)/'19H30'!C43*100</f>
        <v>-0.593218530610503</v>
      </c>
      <c r="R43" s="807">
        <f t="shared" si="1"/>
        <v>186340</v>
      </c>
      <c r="S43" s="807">
        <f t="shared" si="2"/>
        <v>0</v>
      </c>
      <c r="T43" s="807"/>
      <c r="U43" s="49">
        <f>民間設備製造1!P45</f>
        <v>16560</v>
      </c>
      <c r="V43" s="49">
        <f t="shared" si="3"/>
        <v>77862</v>
      </c>
    </row>
    <row r="44" spans="1:22">
      <c r="A44" s="302">
        <v>446</v>
      </c>
      <c r="B44" s="201" t="s">
        <v>234</v>
      </c>
      <c r="C44" s="870">
        <v>31731</v>
      </c>
      <c r="D44" s="871">
        <v>21336</v>
      </c>
      <c r="E44" s="873">
        <v>10062</v>
      </c>
      <c r="F44" s="871">
        <v>15450</v>
      </c>
      <c r="G44" s="870">
        <v>365</v>
      </c>
      <c r="H44" s="871">
        <v>14745</v>
      </c>
      <c r="I44" s="872">
        <v>340</v>
      </c>
      <c r="J44" s="871">
        <v>3390</v>
      </c>
      <c r="K44" s="872">
        <v>50238</v>
      </c>
      <c r="L44" s="858">
        <v>-18507</v>
      </c>
      <c r="M44" s="837">
        <v>31281</v>
      </c>
      <c r="N44" s="837">
        <v>40825</v>
      </c>
      <c r="O44" s="835">
        <v>-8963</v>
      </c>
      <c r="P44" s="293">
        <v>446</v>
      </c>
      <c r="Q44" s="1386">
        <f>(C44-'19H30'!C44)/'19H30'!C44*100</f>
        <v>-2.8563556208670096</v>
      </c>
      <c r="R44" s="807">
        <f t="shared" si="1"/>
        <v>31731</v>
      </c>
      <c r="S44" s="807">
        <f t="shared" si="2"/>
        <v>0</v>
      </c>
      <c r="T44" s="807"/>
      <c r="U44" s="49">
        <f>民間設備製造1!P46</f>
        <v>8868</v>
      </c>
      <c r="V44" s="49">
        <f t="shared" si="3"/>
        <v>44021</v>
      </c>
    </row>
    <row r="45" spans="1:22">
      <c r="A45" s="300">
        <v>6</v>
      </c>
      <c r="B45" s="91" t="s">
        <v>205</v>
      </c>
      <c r="C45" s="856">
        <v>1080047</v>
      </c>
      <c r="D45" s="867">
        <v>534945</v>
      </c>
      <c r="E45" s="869">
        <v>121849</v>
      </c>
      <c r="F45" s="829">
        <v>223568</v>
      </c>
      <c r="G45" s="866">
        <v>19575</v>
      </c>
      <c r="H45" s="867">
        <v>197694</v>
      </c>
      <c r="I45" s="868">
        <v>6299</v>
      </c>
      <c r="J45" s="867">
        <v>49962</v>
      </c>
      <c r="K45" s="831">
        <v>930324</v>
      </c>
      <c r="L45" s="856">
        <v>149723</v>
      </c>
      <c r="M45" s="830">
        <v>963526</v>
      </c>
      <c r="N45" s="830">
        <v>756007</v>
      </c>
      <c r="O45" s="831">
        <v>-57796</v>
      </c>
      <c r="P45" s="293">
        <v>6</v>
      </c>
      <c r="Q45" s="1386">
        <f>(C45-'19H30'!C45)/'19H30'!C45*100</f>
        <v>0.82561381922940846</v>
      </c>
      <c r="R45" s="807">
        <f t="shared" si="1"/>
        <v>1080047</v>
      </c>
      <c r="S45" s="807">
        <f t="shared" si="2"/>
        <v>0</v>
      </c>
      <c r="T45" s="807"/>
      <c r="U45" s="49">
        <f>民間設備製造1!P47</f>
        <v>88805</v>
      </c>
      <c r="V45" s="49">
        <f t="shared" si="3"/>
        <v>815136</v>
      </c>
    </row>
    <row r="46" spans="1:22">
      <c r="A46" s="300">
        <v>208</v>
      </c>
      <c r="B46" s="90" t="s">
        <v>206</v>
      </c>
      <c r="C46" s="866">
        <v>145544</v>
      </c>
      <c r="D46" s="867">
        <v>66832</v>
      </c>
      <c r="E46" s="869">
        <v>13090</v>
      </c>
      <c r="F46" s="867">
        <v>18806</v>
      </c>
      <c r="G46" s="866">
        <v>1667</v>
      </c>
      <c r="H46" s="867">
        <v>16448</v>
      </c>
      <c r="I46" s="868">
        <v>691</v>
      </c>
      <c r="J46" s="867">
        <v>3378</v>
      </c>
      <c r="K46" s="869">
        <v>102106</v>
      </c>
      <c r="L46" s="856">
        <v>43438</v>
      </c>
      <c r="M46" s="830">
        <v>128314</v>
      </c>
      <c r="N46" s="830">
        <v>82974</v>
      </c>
      <c r="O46" s="831">
        <v>-1902</v>
      </c>
      <c r="P46" s="293">
        <v>208</v>
      </c>
      <c r="Q46" s="1386">
        <f>(C46-'19H30'!C46)/'19H30'!C46*100</f>
        <v>5.0487553140044312</v>
      </c>
      <c r="R46" s="807">
        <f t="shared" si="1"/>
        <v>145544</v>
      </c>
      <c r="S46" s="807">
        <f t="shared" si="2"/>
        <v>0</v>
      </c>
      <c r="T46" s="807"/>
      <c r="U46" s="49">
        <f>民間設備製造1!P48</f>
        <v>4493</v>
      </c>
      <c r="V46" s="49">
        <f t="shared" si="3"/>
        <v>89460</v>
      </c>
    </row>
    <row r="47" spans="1:22">
      <c r="A47" s="300">
        <v>212</v>
      </c>
      <c r="B47" s="90" t="s">
        <v>207</v>
      </c>
      <c r="C47" s="866">
        <v>240172</v>
      </c>
      <c r="D47" s="867">
        <v>106056</v>
      </c>
      <c r="E47" s="869">
        <v>24102</v>
      </c>
      <c r="F47" s="867">
        <v>61383</v>
      </c>
      <c r="G47" s="866">
        <v>4454</v>
      </c>
      <c r="H47" s="867">
        <v>55578</v>
      </c>
      <c r="I47" s="868">
        <v>1351</v>
      </c>
      <c r="J47" s="867">
        <v>8013</v>
      </c>
      <c r="K47" s="869">
        <v>199554</v>
      </c>
      <c r="L47" s="856">
        <v>40618</v>
      </c>
      <c r="M47" s="830">
        <v>212887</v>
      </c>
      <c r="N47" s="830">
        <v>162163</v>
      </c>
      <c r="O47" s="831">
        <v>-10106</v>
      </c>
      <c r="P47" s="293">
        <v>212</v>
      </c>
      <c r="Q47" s="1386">
        <f>(C47-'19H30'!C47)/'19H30'!C47*100</f>
        <v>2.0141868071188886</v>
      </c>
      <c r="R47" s="807">
        <f t="shared" si="1"/>
        <v>240172</v>
      </c>
      <c r="S47" s="807">
        <f t="shared" si="2"/>
        <v>0</v>
      </c>
      <c r="T47" s="807"/>
      <c r="U47" s="49">
        <f>民間設備製造1!P49</f>
        <v>32232</v>
      </c>
      <c r="V47" s="49">
        <f t="shared" si="3"/>
        <v>174857</v>
      </c>
    </row>
    <row r="48" spans="1:22">
      <c r="A48" s="300">
        <v>227</v>
      </c>
      <c r="B48" s="90" t="s">
        <v>219</v>
      </c>
      <c r="C48" s="866">
        <v>119381</v>
      </c>
      <c r="D48" s="867">
        <v>72100</v>
      </c>
      <c r="E48" s="869">
        <v>23619</v>
      </c>
      <c r="F48" s="867">
        <v>22361</v>
      </c>
      <c r="G48" s="866">
        <v>2079</v>
      </c>
      <c r="H48" s="867">
        <v>19407</v>
      </c>
      <c r="I48" s="868">
        <v>875</v>
      </c>
      <c r="J48" s="867">
        <v>11121</v>
      </c>
      <c r="K48" s="869">
        <v>129201</v>
      </c>
      <c r="L48" s="856">
        <v>-9820</v>
      </c>
      <c r="M48" s="830">
        <v>111159</v>
      </c>
      <c r="N48" s="830">
        <v>104992</v>
      </c>
      <c r="O48" s="831">
        <v>-15987</v>
      </c>
      <c r="P48" s="293">
        <v>227</v>
      </c>
      <c r="Q48" s="1386">
        <f>(C48-'19H30'!C48)/'19H30'!C48*100</f>
        <v>-2.2364714360587001</v>
      </c>
      <c r="R48" s="807">
        <f t="shared" si="1"/>
        <v>119381</v>
      </c>
      <c r="S48" s="807">
        <f t="shared" si="2"/>
        <v>0</v>
      </c>
      <c r="T48" s="807"/>
      <c r="U48" s="49">
        <f>民間設備製造1!P50</f>
        <v>4278</v>
      </c>
      <c r="V48" s="49">
        <f t="shared" si="3"/>
        <v>113197</v>
      </c>
    </row>
    <row r="49" spans="1:22">
      <c r="A49" s="300">
        <v>229</v>
      </c>
      <c r="B49" s="90" t="s">
        <v>235</v>
      </c>
      <c r="C49" s="866">
        <v>359241</v>
      </c>
      <c r="D49" s="867">
        <v>154298</v>
      </c>
      <c r="E49" s="869">
        <v>29168</v>
      </c>
      <c r="F49" s="867">
        <v>71680</v>
      </c>
      <c r="G49" s="866">
        <v>7035</v>
      </c>
      <c r="H49" s="867">
        <v>62835</v>
      </c>
      <c r="I49" s="868">
        <v>1810</v>
      </c>
      <c r="J49" s="867">
        <v>12114</v>
      </c>
      <c r="K49" s="869">
        <v>267260</v>
      </c>
      <c r="L49" s="856">
        <v>91981</v>
      </c>
      <c r="M49" s="830">
        <v>315272</v>
      </c>
      <c r="N49" s="830">
        <v>217183</v>
      </c>
      <c r="O49" s="831">
        <v>-6108</v>
      </c>
      <c r="P49" s="293">
        <v>229</v>
      </c>
      <c r="Q49" s="1386">
        <f>(C49-'19H30'!C49)/'19H30'!C49*100</f>
        <v>1.1547558709241426</v>
      </c>
      <c r="R49" s="807">
        <f t="shared" si="1"/>
        <v>359241</v>
      </c>
      <c r="S49" s="807">
        <f t="shared" si="2"/>
        <v>0</v>
      </c>
      <c r="T49" s="807"/>
      <c r="U49" s="49">
        <f>民間設備製造1!P51</f>
        <v>31558</v>
      </c>
      <c r="V49" s="49">
        <f t="shared" si="3"/>
        <v>234173</v>
      </c>
    </row>
    <row r="50" spans="1:22">
      <c r="A50" s="300">
        <v>464</v>
      </c>
      <c r="B50" s="90" t="s">
        <v>208</v>
      </c>
      <c r="C50" s="866">
        <v>101296</v>
      </c>
      <c r="D50" s="867">
        <v>71050</v>
      </c>
      <c r="E50" s="869">
        <v>10177</v>
      </c>
      <c r="F50" s="867">
        <v>28380</v>
      </c>
      <c r="G50" s="866">
        <v>3221</v>
      </c>
      <c r="H50" s="867">
        <v>24379</v>
      </c>
      <c r="I50" s="868">
        <v>780</v>
      </c>
      <c r="J50" s="867">
        <v>5614</v>
      </c>
      <c r="K50" s="869">
        <v>115221</v>
      </c>
      <c r="L50" s="856">
        <v>-13925</v>
      </c>
      <c r="M50" s="830">
        <v>89794</v>
      </c>
      <c r="N50" s="830">
        <v>93632</v>
      </c>
      <c r="O50" s="831">
        <v>-10087</v>
      </c>
      <c r="P50" s="293">
        <v>464</v>
      </c>
      <c r="Q50" s="1386">
        <f>(C50-'19H30'!C50)/'19H30'!C50*100</f>
        <v>-2.7477486126845756</v>
      </c>
      <c r="R50" s="807">
        <f t="shared" si="1"/>
        <v>101296</v>
      </c>
      <c r="S50" s="807">
        <f t="shared" si="2"/>
        <v>0</v>
      </c>
      <c r="T50" s="807"/>
      <c r="U50" s="49">
        <f>民間設備製造1!P52</f>
        <v>10893</v>
      </c>
      <c r="V50" s="49">
        <f t="shared" si="3"/>
        <v>100955</v>
      </c>
    </row>
    <row r="51" spans="1:22">
      <c r="A51" s="300">
        <v>481</v>
      </c>
      <c r="B51" s="90" t="s">
        <v>209</v>
      </c>
      <c r="C51" s="866">
        <v>50542</v>
      </c>
      <c r="D51" s="867">
        <v>31271</v>
      </c>
      <c r="E51" s="869">
        <v>8610</v>
      </c>
      <c r="F51" s="867">
        <v>11171</v>
      </c>
      <c r="G51" s="866">
        <v>320</v>
      </c>
      <c r="H51" s="867">
        <v>10486</v>
      </c>
      <c r="I51" s="868">
        <v>365</v>
      </c>
      <c r="J51" s="867">
        <v>2894</v>
      </c>
      <c r="K51" s="869">
        <v>53946</v>
      </c>
      <c r="L51" s="856">
        <v>-3404</v>
      </c>
      <c r="M51" s="830">
        <v>46424</v>
      </c>
      <c r="N51" s="830">
        <v>43838</v>
      </c>
      <c r="O51" s="831">
        <v>-5990</v>
      </c>
      <c r="P51" s="293">
        <v>481</v>
      </c>
      <c r="Q51" s="1386">
        <f>(C51-'19H30'!C51)/'19H30'!C51*100</f>
        <v>-2.4172684094682784</v>
      </c>
      <c r="R51" s="807">
        <f t="shared" si="1"/>
        <v>50542</v>
      </c>
      <c r="S51" s="807">
        <f t="shared" si="2"/>
        <v>0</v>
      </c>
      <c r="T51" s="807"/>
      <c r="U51" s="49">
        <f>民間設備製造1!P53</f>
        <v>4172</v>
      </c>
      <c r="V51" s="49">
        <f t="shared" si="3"/>
        <v>47267</v>
      </c>
    </row>
    <row r="52" spans="1:22">
      <c r="A52" s="300">
        <v>501</v>
      </c>
      <c r="B52" s="90" t="s">
        <v>236</v>
      </c>
      <c r="C52" s="866">
        <v>63871</v>
      </c>
      <c r="D52" s="867">
        <v>33338</v>
      </c>
      <c r="E52" s="869">
        <v>13083</v>
      </c>
      <c r="F52" s="867">
        <v>9787</v>
      </c>
      <c r="G52" s="866">
        <v>799</v>
      </c>
      <c r="H52" s="867">
        <v>8561</v>
      </c>
      <c r="I52" s="868">
        <v>427</v>
      </c>
      <c r="J52" s="867">
        <v>6828</v>
      </c>
      <c r="K52" s="869">
        <v>63036</v>
      </c>
      <c r="L52" s="856">
        <v>835</v>
      </c>
      <c r="M52" s="830">
        <v>59676</v>
      </c>
      <c r="N52" s="830">
        <v>51225</v>
      </c>
      <c r="O52" s="831">
        <v>-7616</v>
      </c>
      <c r="P52" s="293">
        <v>501</v>
      </c>
      <c r="Q52" s="1386">
        <f>(C52-'19H30'!C52)/'19H30'!C52*100</f>
        <v>-0.23273976882224306</v>
      </c>
      <c r="R52" s="807">
        <f t="shared" si="1"/>
        <v>63871</v>
      </c>
      <c r="S52" s="807">
        <f t="shared" si="2"/>
        <v>0</v>
      </c>
      <c r="T52" s="807"/>
      <c r="U52" s="49">
        <f>民間設備製造1!P54</f>
        <v>1179</v>
      </c>
      <c r="V52" s="49">
        <f t="shared" si="3"/>
        <v>55227</v>
      </c>
    </row>
    <row r="53" spans="1:22">
      <c r="A53" s="301">
        <v>7</v>
      </c>
      <c r="B53" s="347" t="s">
        <v>210</v>
      </c>
      <c r="C53" s="855">
        <v>636327</v>
      </c>
      <c r="D53" s="863">
        <v>368709</v>
      </c>
      <c r="E53" s="865">
        <v>113728</v>
      </c>
      <c r="F53" s="826">
        <v>115862</v>
      </c>
      <c r="G53" s="862">
        <v>13246</v>
      </c>
      <c r="H53" s="863">
        <v>98271</v>
      </c>
      <c r="I53" s="864">
        <v>4345</v>
      </c>
      <c r="J53" s="863">
        <v>43342</v>
      </c>
      <c r="K53" s="828">
        <v>641641</v>
      </c>
      <c r="L53" s="855">
        <v>-5314</v>
      </c>
      <c r="M53" s="827">
        <v>586916</v>
      </c>
      <c r="N53" s="827">
        <v>521416</v>
      </c>
      <c r="O53" s="828">
        <v>-70814</v>
      </c>
      <c r="P53" s="293">
        <v>7</v>
      </c>
      <c r="Q53" s="1386">
        <f>(C53-'19H30'!C53)/'19H30'!C53*100</f>
        <v>1.7610324396504162</v>
      </c>
      <c r="R53" s="807">
        <f t="shared" si="1"/>
        <v>636327</v>
      </c>
      <c r="S53" s="807">
        <f t="shared" si="2"/>
        <v>0</v>
      </c>
      <c r="T53" s="807"/>
      <c r="U53" s="49">
        <f>民間設備製造1!P55</f>
        <v>23139</v>
      </c>
      <c r="V53" s="49">
        <f t="shared" si="3"/>
        <v>562164</v>
      </c>
    </row>
    <row r="54" spans="1:22">
      <c r="A54" s="300">
        <v>209</v>
      </c>
      <c r="B54" s="90" t="s">
        <v>221</v>
      </c>
      <c r="C54" s="866">
        <v>312773</v>
      </c>
      <c r="D54" s="867">
        <v>181927</v>
      </c>
      <c r="E54" s="869">
        <v>48816</v>
      </c>
      <c r="F54" s="867">
        <v>55101</v>
      </c>
      <c r="G54" s="866">
        <v>8268</v>
      </c>
      <c r="H54" s="867">
        <v>44774</v>
      </c>
      <c r="I54" s="868">
        <v>2059</v>
      </c>
      <c r="J54" s="867">
        <v>18230</v>
      </c>
      <c r="K54" s="869">
        <v>304074</v>
      </c>
      <c r="L54" s="856">
        <v>8699</v>
      </c>
      <c r="M54" s="830">
        <v>285236</v>
      </c>
      <c r="N54" s="830">
        <v>247099</v>
      </c>
      <c r="O54" s="831">
        <v>-29438</v>
      </c>
      <c r="P54" s="293">
        <v>209</v>
      </c>
      <c r="Q54" s="1386">
        <f>(C54-'19H30'!C54)/'19H30'!C54*100</f>
        <v>0.50610865108387582</v>
      </c>
      <c r="R54" s="807">
        <f t="shared" si="1"/>
        <v>312773</v>
      </c>
      <c r="S54" s="807">
        <f t="shared" si="2"/>
        <v>0</v>
      </c>
      <c r="T54" s="807"/>
      <c r="U54" s="49">
        <f>民間設備製造1!P56</f>
        <v>9166</v>
      </c>
      <c r="V54" s="49">
        <f t="shared" si="3"/>
        <v>266407</v>
      </c>
    </row>
    <row r="55" spans="1:22">
      <c r="A55" s="300">
        <v>222</v>
      </c>
      <c r="B55" s="90" t="s">
        <v>218</v>
      </c>
      <c r="C55" s="866">
        <v>80066</v>
      </c>
      <c r="D55" s="867">
        <v>51038</v>
      </c>
      <c r="E55" s="869">
        <v>16866</v>
      </c>
      <c r="F55" s="867">
        <v>15327</v>
      </c>
      <c r="G55" s="866">
        <v>1119</v>
      </c>
      <c r="H55" s="867">
        <v>13605</v>
      </c>
      <c r="I55" s="868">
        <v>603</v>
      </c>
      <c r="J55" s="867">
        <v>5802</v>
      </c>
      <c r="K55" s="869">
        <v>89033</v>
      </c>
      <c r="L55" s="856">
        <v>-8967</v>
      </c>
      <c r="M55" s="830">
        <v>75022</v>
      </c>
      <c r="N55" s="830">
        <v>72351</v>
      </c>
      <c r="O55" s="831">
        <v>-11638</v>
      </c>
      <c r="P55" s="293">
        <v>222</v>
      </c>
      <c r="Q55" s="1386">
        <f>(C55-'19H30'!C55)/'19H30'!C55*100</f>
        <v>-4.4945964644416341</v>
      </c>
      <c r="R55" s="807">
        <f t="shared" si="1"/>
        <v>80066</v>
      </c>
      <c r="S55" s="807">
        <f t="shared" si="2"/>
        <v>0</v>
      </c>
      <c r="T55" s="807"/>
      <c r="U55" s="49">
        <f>民間設備製造1!P57</f>
        <v>3180</v>
      </c>
      <c r="V55" s="49">
        <f t="shared" si="3"/>
        <v>78005</v>
      </c>
    </row>
    <row r="56" spans="1:22">
      <c r="A56" s="300">
        <v>225</v>
      </c>
      <c r="B56" s="90" t="s">
        <v>222</v>
      </c>
      <c r="C56" s="866">
        <v>139968</v>
      </c>
      <c r="D56" s="867">
        <v>69258</v>
      </c>
      <c r="E56" s="869">
        <v>22140</v>
      </c>
      <c r="F56" s="867">
        <v>27643</v>
      </c>
      <c r="G56" s="866">
        <v>2512</v>
      </c>
      <c r="H56" s="867">
        <v>24282</v>
      </c>
      <c r="I56" s="868">
        <v>849</v>
      </c>
      <c r="J56" s="867">
        <v>6333</v>
      </c>
      <c r="K56" s="869">
        <v>125374</v>
      </c>
      <c r="L56" s="856">
        <v>14594</v>
      </c>
      <c r="M56" s="830">
        <v>127780</v>
      </c>
      <c r="N56" s="830">
        <v>101882</v>
      </c>
      <c r="O56" s="831">
        <v>-11304</v>
      </c>
      <c r="P56" s="293">
        <v>225</v>
      </c>
      <c r="Q56" s="1386">
        <f>(C56-'19H30'!C56)/'19H30'!C56*100</f>
        <v>10.449315846787558</v>
      </c>
      <c r="R56" s="807">
        <f t="shared" si="1"/>
        <v>139968</v>
      </c>
      <c r="S56" s="807">
        <f t="shared" si="2"/>
        <v>0</v>
      </c>
      <c r="T56" s="807"/>
      <c r="U56" s="49">
        <f>民間設備製造1!P58</f>
        <v>9606</v>
      </c>
      <c r="V56" s="49">
        <f t="shared" si="3"/>
        <v>109849</v>
      </c>
    </row>
    <row r="57" spans="1:22">
      <c r="A57" s="300">
        <v>585</v>
      </c>
      <c r="B57" s="90" t="s">
        <v>220</v>
      </c>
      <c r="C57" s="866">
        <v>56011</v>
      </c>
      <c r="D57" s="867">
        <v>36124</v>
      </c>
      <c r="E57" s="869">
        <v>14447</v>
      </c>
      <c r="F57" s="867">
        <v>9584</v>
      </c>
      <c r="G57" s="866">
        <v>662</v>
      </c>
      <c r="H57" s="867">
        <v>8475</v>
      </c>
      <c r="I57" s="868">
        <v>447</v>
      </c>
      <c r="J57" s="867">
        <v>5908</v>
      </c>
      <c r="K57" s="869">
        <v>66063</v>
      </c>
      <c r="L57" s="856">
        <v>-10052</v>
      </c>
      <c r="M57" s="830">
        <v>53697</v>
      </c>
      <c r="N57" s="830">
        <v>53685</v>
      </c>
      <c r="O57" s="831">
        <v>-10064</v>
      </c>
      <c r="P57" s="293">
        <v>585</v>
      </c>
      <c r="Q57" s="1386">
        <f>(C57-'19H30'!C57)/'19H30'!C57*100</f>
        <v>0.57459912732757534</v>
      </c>
      <c r="R57" s="807">
        <f t="shared" si="1"/>
        <v>56011</v>
      </c>
      <c r="S57" s="807">
        <f t="shared" si="2"/>
        <v>0</v>
      </c>
      <c r="T57" s="807"/>
      <c r="U57" s="49">
        <f>民間設備製造1!P59</f>
        <v>738</v>
      </c>
      <c r="V57" s="49">
        <f t="shared" si="3"/>
        <v>57879</v>
      </c>
    </row>
    <row r="58" spans="1:22">
      <c r="A58" s="302">
        <v>586</v>
      </c>
      <c r="B58" s="201" t="s">
        <v>237</v>
      </c>
      <c r="C58" s="870">
        <v>47509</v>
      </c>
      <c r="D58" s="871">
        <v>30362</v>
      </c>
      <c r="E58" s="873">
        <v>11459</v>
      </c>
      <c r="F58" s="876">
        <v>8207</v>
      </c>
      <c r="G58" s="870">
        <v>685</v>
      </c>
      <c r="H58" s="871">
        <v>7135</v>
      </c>
      <c r="I58" s="872">
        <v>387</v>
      </c>
      <c r="J58" s="871">
        <v>7069</v>
      </c>
      <c r="K58" s="877">
        <v>57097</v>
      </c>
      <c r="L58" s="858">
        <v>-9588</v>
      </c>
      <c r="M58" s="837">
        <v>45181</v>
      </c>
      <c r="N58" s="837">
        <v>46399</v>
      </c>
      <c r="O58" s="835">
        <v>-8370</v>
      </c>
      <c r="P58" s="293">
        <v>586</v>
      </c>
      <c r="Q58" s="1386">
        <f>(C58-'19H30'!C58)/'19H30'!C58*100</f>
        <v>-0.74583211465340749</v>
      </c>
      <c r="R58" s="807">
        <f t="shared" si="1"/>
        <v>47509</v>
      </c>
      <c r="S58" s="807">
        <f t="shared" si="2"/>
        <v>0</v>
      </c>
      <c r="T58" s="807"/>
      <c r="U58" s="49">
        <f>民間設備製造1!P60</f>
        <v>449</v>
      </c>
      <c r="V58" s="49">
        <f t="shared" si="3"/>
        <v>50024</v>
      </c>
    </row>
    <row r="59" spans="1:22">
      <c r="A59" s="300">
        <v>8</v>
      </c>
      <c r="B59" s="86" t="s">
        <v>211</v>
      </c>
      <c r="C59" s="856">
        <v>474718</v>
      </c>
      <c r="D59" s="867">
        <v>233145</v>
      </c>
      <c r="E59" s="869">
        <v>65246</v>
      </c>
      <c r="F59" s="829">
        <v>82935</v>
      </c>
      <c r="G59" s="866">
        <v>11878</v>
      </c>
      <c r="H59" s="867">
        <v>68300</v>
      </c>
      <c r="I59" s="868">
        <v>2757</v>
      </c>
      <c r="J59" s="867">
        <v>25772</v>
      </c>
      <c r="K59" s="830">
        <v>407098</v>
      </c>
      <c r="L59" s="856">
        <v>67620</v>
      </c>
      <c r="M59" s="830">
        <v>428866</v>
      </c>
      <c r="N59" s="830">
        <v>330819</v>
      </c>
      <c r="O59" s="831">
        <v>-30427</v>
      </c>
      <c r="P59" s="293">
        <v>8</v>
      </c>
      <c r="Q59" s="1386">
        <f>(C59-'19H30'!C59)/'19H30'!C59*100</f>
        <v>8.2661874277321523</v>
      </c>
      <c r="R59" s="807">
        <f t="shared" si="1"/>
        <v>474718</v>
      </c>
      <c r="S59" s="807">
        <f t="shared" si="2"/>
        <v>0</v>
      </c>
      <c r="T59" s="807"/>
      <c r="U59" s="49">
        <f>民間設備製造1!P61</f>
        <v>20637</v>
      </c>
      <c r="V59" s="49">
        <f t="shared" si="3"/>
        <v>356678</v>
      </c>
    </row>
    <row r="60" spans="1:22">
      <c r="A60" s="300">
        <v>221</v>
      </c>
      <c r="B60" s="90" t="s">
        <v>1144</v>
      </c>
      <c r="C60" s="866">
        <v>216487</v>
      </c>
      <c r="D60" s="867">
        <v>94740</v>
      </c>
      <c r="E60" s="869">
        <v>27400</v>
      </c>
      <c r="F60" s="867">
        <v>31142</v>
      </c>
      <c r="G60" s="866">
        <v>4363</v>
      </c>
      <c r="H60" s="867">
        <v>25660</v>
      </c>
      <c r="I60" s="868">
        <v>1119</v>
      </c>
      <c r="J60" s="867">
        <v>11929</v>
      </c>
      <c r="K60" s="868">
        <v>165211</v>
      </c>
      <c r="L60" s="856">
        <v>51276</v>
      </c>
      <c r="M60" s="830">
        <v>194497</v>
      </c>
      <c r="N60" s="830">
        <v>134255</v>
      </c>
      <c r="O60" s="831">
        <v>-8966</v>
      </c>
      <c r="P60" s="293">
        <v>221</v>
      </c>
      <c r="Q60" s="1386">
        <f>(C60-'19H30'!C60)/'19H30'!C60*100</f>
        <v>18.261425340602432</v>
      </c>
      <c r="R60" s="807">
        <f t="shared" si="1"/>
        <v>216487</v>
      </c>
      <c r="S60" s="807">
        <f t="shared" si="2"/>
        <v>0</v>
      </c>
      <c r="T60" s="807"/>
      <c r="U60" s="49">
        <f>民間設備製造1!P62</f>
        <v>6316</v>
      </c>
      <c r="V60" s="49">
        <f t="shared" si="3"/>
        <v>144748</v>
      </c>
    </row>
    <row r="61" spans="1:22">
      <c r="A61" s="300">
        <v>223</v>
      </c>
      <c r="B61" s="90" t="s">
        <v>223</v>
      </c>
      <c r="C61" s="866">
        <v>258231</v>
      </c>
      <c r="D61" s="867">
        <v>138405</v>
      </c>
      <c r="E61" s="869">
        <v>37846</v>
      </c>
      <c r="F61" s="867">
        <v>51793</v>
      </c>
      <c r="G61" s="866">
        <v>7515</v>
      </c>
      <c r="H61" s="867">
        <v>42640</v>
      </c>
      <c r="I61" s="868">
        <v>1638</v>
      </c>
      <c r="J61" s="867">
        <v>13843</v>
      </c>
      <c r="K61" s="868">
        <v>241887</v>
      </c>
      <c r="L61" s="856">
        <v>16344</v>
      </c>
      <c r="M61" s="830">
        <v>234369</v>
      </c>
      <c r="N61" s="830">
        <v>196564</v>
      </c>
      <c r="O61" s="831">
        <v>-21461</v>
      </c>
      <c r="P61" s="293">
        <v>223</v>
      </c>
      <c r="Q61" s="1386">
        <f>(C61-'19H30'!C61)/'19H30'!C61*100</f>
        <v>1.1025194291643012</v>
      </c>
      <c r="R61" s="807">
        <f t="shared" si="1"/>
        <v>258231</v>
      </c>
      <c r="S61" s="807">
        <f t="shared" si="2"/>
        <v>0</v>
      </c>
      <c r="T61" s="807"/>
      <c r="U61" s="49">
        <f>民間設備製造1!P63</f>
        <v>14321</v>
      </c>
      <c r="V61" s="49">
        <f t="shared" si="3"/>
        <v>211930</v>
      </c>
    </row>
    <row r="62" spans="1:22">
      <c r="A62" s="301">
        <v>9</v>
      </c>
      <c r="B62" s="346" t="s">
        <v>212</v>
      </c>
      <c r="C62" s="855">
        <v>468995</v>
      </c>
      <c r="D62" s="863">
        <v>272819</v>
      </c>
      <c r="E62" s="865">
        <v>88079</v>
      </c>
      <c r="F62" s="826">
        <v>82433</v>
      </c>
      <c r="G62" s="862">
        <v>11055</v>
      </c>
      <c r="H62" s="863">
        <v>68175</v>
      </c>
      <c r="I62" s="864">
        <v>3203</v>
      </c>
      <c r="J62" s="863">
        <v>29619</v>
      </c>
      <c r="K62" s="828">
        <v>472950</v>
      </c>
      <c r="L62" s="855">
        <v>-3955</v>
      </c>
      <c r="M62" s="827">
        <v>434531</v>
      </c>
      <c r="N62" s="827">
        <v>384332</v>
      </c>
      <c r="O62" s="828">
        <v>-54154</v>
      </c>
      <c r="P62" s="293">
        <v>9</v>
      </c>
      <c r="Q62" s="1386">
        <f>(C62-'19H30'!C62)/'19H30'!C62*100</f>
        <v>0.85176567734832287</v>
      </c>
      <c r="R62" s="807">
        <f t="shared" si="1"/>
        <v>468995</v>
      </c>
      <c r="S62" s="807">
        <f t="shared" si="2"/>
        <v>0</v>
      </c>
      <c r="T62" s="807"/>
      <c r="U62" s="49">
        <f>民間設備製造1!P64</f>
        <v>12792</v>
      </c>
      <c r="V62" s="49">
        <f t="shared" si="3"/>
        <v>414364</v>
      </c>
    </row>
    <row r="63" spans="1:22">
      <c r="A63" s="300">
        <v>205</v>
      </c>
      <c r="B63" s="92" t="s">
        <v>241</v>
      </c>
      <c r="C63" s="866">
        <v>157474</v>
      </c>
      <c r="D63" s="867">
        <v>92816</v>
      </c>
      <c r="E63" s="869">
        <v>28414</v>
      </c>
      <c r="F63" s="867">
        <v>32160</v>
      </c>
      <c r="G63" s="866">
        <v>3974</v>
      </c>
      <c r="H63" s="867">
        <v>27102</v>
      </c>
      <c r="I63" s="868">
        <v>1084</v>
      </c>
      <c r="J63" s="867">
        <v>6640</v>
      </c>
      <c r="K63" s="869">
        <v>160030</v>
      </c>
      <c r="L63" s="856">
        <v>-2556</v>
      </c>
      <c r="M63" s="830">
        <v>145370</v>
      </c>
      <c r="N63" s="830">
        <v>130045</v>
      </c>
      <c r="O63" s="831">
        <v>-17881</v>
      </c>
      <c r="P63" s="293">
        <v>205</v>
      </c>
      <c r="Q63" s="1386">
        <f>(C63-'19H30'!C63)/'19H30'!C63*100</f>
        <v>-0.32092466815629728</v>
      </c>
      <c r="R63" s="807">
        <f t="shared" si="1"/>
        <v>157474</v>
      </c>
      <c r="S63" s="807">
        <f t="shared" si="2"/>
        <v>0</v>
      </c>
      <c r="T63" s="807"/>
      <c r="U63" s="49">
        <f>民間設備製造1!P65</f>
        <v>8366</v>
      </c>
      <c r="V63" s="49">
        <f t="shared" si="3"/>
        <v>140210</v>
      </c>
    </row>
    <row r="64" spans="1:22">
      <c r="A64" s="300">
        <v>224</v>
      </c>
      <c r="B64" s="90" t="s">
        <v>224</v>
      </c>
      <c r="C64" s="866">
        <v>162153</v>
      </c>
      <c r="D64" s="867">
        <v>88877</v>
      </c>
      <c r="E64" s="869">
        <v>29480</v>
      </c>
      <c r="F64" s="867">
        <v>23509</v>
      </c>
      <c r="G64" s="866">
        <v>3152</v>
      </c>
      <c r="H64" s="867">
        <v>19329</v>
      </c>
      <c r="I64" s="868">
        <v>1028</v>
      </c>
      <c r="J64" s="867">
        <v>10006</v>
      </c>
      <c r="K64" s="869">
        <v>151872</v>
      </c>
      <c r="L64" s="856">
        <v>10281</v>
      </c>
      <c r="M64" s="830">
        <v>149791</v>
      </c>
      <c r="N64" s="830">
        <v>123415</v>
      </c>
      <c r="O64" s="831">
        <v>-16095</v>
      </c>
      <c r="P64" s="293">
        <v>224</v>
      </c>
      <c r="Q64" s="1386">
        <f>(C64-'19H30'!C64)/'19H30'!C64*100</f>
        <v>6.1673954472286812E-3</v>
      </c>
      <c r="R64" s="807">
        <f t="shared" si="1"/>
        <v>162153</v>
      </c>
      <c r="S64" s="807">
        <f t="shared" si="2"/>
        <v>0</v>
      </c>
      <c r="T64" s="807"/>
      <c r="U64" s="49">
        <f>民間設備製造1!P66</f>
        <v>1543</v>
      </c>
      <c r="V64" s="49">
        <f t="shared" si="3"/>
        <v>133058</v>
      </c>
    </row>
    <row r="65" spans="1:22">
      <c r="A65" s="302">
        <v>226</v>
      </c>
      <c r="B65" s="201" t="s">
        <v>225</v>
      </c>
      <c r="C65" s="870">
        <v>149368</v>
      </c>
      <c r="D65" s="871">
        <v>91126</v>
      </c>
      <c r="E65" s="873">
        <v>30185</v>
      </c>
      <c r="F65" s="871">
        <v>26764</v>
      </c>
      <c r="G65" s="870">
        <v>3929</v>
      </c>
      <c r="H65" s="871">
        <v>21744</v>
      </c>
      <c r="I65" s="872">
        <v>1091</v>
      </c>
      <c r="J65" s="871">
        <v>12973</v>
      </c>
      <c r="K65" s="873">
        <v>161048</v>
      </c>
      <c r="L65" s="858">
        <v>-11680</v>
      </c>
      <c r="M65" s="837">
        <v>139370</v>
      </c>
      <c r="N65" s="837">
        <v>130872</v>
      </c>
      <c r="O65" s="835">
        <v>-20178</v>
      </c>
      <c r="P65" s="293">
        <v>226</v>
      </c>
      <c r="Q65" s="1386">
        <f>(C65-'19H30'!C65)/'19H30'!C65*100</f>
        <v>3.0763922434614588</v>
      </c>
      <c r="R65" s="807">
        <f t="shared" si="1"/>
        <v>149368</v>
      </c>
      <c r="S65" s="807">
        <f t="shared" si="2"/>
        <v>0</v>
      </c>
      <c r="T65" s="807"/>
      <c r="U65" s="49">
        <f>民間設備製造1!P67</f>
        <v>2883</v>
      </c>
      <c r="V65" s="49">
        <f t="shared" si="3"/>
        <v>141096</v>
      </c>
    </row>
    <row r="66" spans="1:22">
      <c r="A66" s="75"/>
      <c r="B66" s="75"/>
      <c r="C66" s="239"/>
      <c r="D66" s="239"/>
      <c r="E66" s="239"/>
      <c r="F66" s="239"/>
      <c r="G66" s="239"/>
      <c r="H66" s="239"/>
      <c r="I66" s="239"/>
      <c r="J66" s="239"/>
      <c r="K66" s="239"/>
      <c r="L66" s="239"/>
      <c r="M66" s="239"/>
      <c r="N66" s="239"/>
      <c r="O66" s="352"/>
    </row>
    <row r="67" spans="1:22">
      <c r="A67" s="75"/>
      <c r="B67" s="75" t="s">
        <v>1309</v>
      </c>
      <c r="C67" s="239">
        <f>+SUM(C17:C65)/2+C16</f>
        <v>22472835</v>
      </c>
      <c r="D67" s="239">
        <f t="shared" ref="D67:O67" si="4">+SUM(D17:D65)/2+D16</f>
        <v>13235618</v>
      </c>
      <c r="E67" s="239">
        <f t="shared" si="4"/>
        <v>2787989</v>
      </c>
      <c r="F67" s="239">
        <f t="shared" si="4"/>
        <v>4704361</v>
      </c>
      <c r="G67" s="239">
        <f t="shared" si="4"/>
        <v>721016</v>
      </c>
      <c r="H67" s="239">
        <f t="shared" si="4"/>
        <v>3836860</v>
      </c>
      <c r="I67" s="239">
        <f t="shared" si="4"/>
        <v>146485</v>
      </c>
      <c r="J67" s="239">
        <f t="shared" si="4"/>
        <v>902611</v>
      </c>
      <c r="K67" s="239">
        <f t="shared" si="4"/>
        <v>21630579</v>
      </c>
      <c r="L67" s="239">
        <f t="shared" si="4"/>
        <v>842256</v>
      </c>
      <c r="M67" s="239">
        <f t="shared" si="4"/>
        <v>20164278</v>
      </c>
      <c r="N67" s="239">
        <f t="shared" si="4"/>
        <v>17577613</v>
      </c>
      <c r="O67" s="239">
        <f t="shared" si="4"/>
        <v>-1744409</v>
      </c>
    </row>
    <row r="68" spans="1:22">
      <c r="A68" s="75"/>
      <c r="B68" s="75" t="s">
        <v>1307</v>
      </c>
      <c r="C68" s="239">
        <f>名目県内総支出!U44</f>
        <v>22472835</v>
      </c>
      <c r="D68" s="239">
        <f>名目県内総支出!U6</f>
        <v>13235618</v>
      </c>
      <c r="E68" s="239">
        <f>名目県内総支出!U61</f>
        <v>2787989</v>
      </c>
      <c r="F68" s="239">
        <f>名目県内総支出!U28+名目県内総支出!U36</f>
        <v>4704361</v>
      </c>
      <c r="G68" s="239">
        <f>名目県内総支出!U29</f>
        <v>721016</v>
      </c>
      <c r="H68" s="239">
        <f>名目県内総支出!U30</f>
        <v>3836860</v>
      </c>
      <c r="I68" s="239">
        <f>名目県内総支出!U36</f>
        <v>146485</v>
      </c>
      <c r="J68" s="239">
        <f>名目県内総支出!U31+名目県内総支出!U37</f>
        <v>902611</v>
      </c>
      <c r="K68" s="239">
        <f>名目県内総支出!U62</f>
        <v>21630579</v>
      </c>
      <c r="L68" s="239">
        <f>名目県内総支出!U63</f>
        <v>842256</v>
      </c>
      <c r="M68" s="239">
        <f>名目県内総支出!U39+名目県内総支出!U41+名目県内総支出!U64</f>
        <v>18622893.945206176</v>
      </c>
      <c r="N68" s="239">
        <f>名目県内総支出!U40</f>
        <v>18117939</v>
      </c>
      <c r="O68" s="239">
        <f>名目県内総支出!U43</f>
        <v>-1744410</v>
      </c>
    </row>
    <row r="69" spans="1:22">
      <c r="A69" s="75"/>
      <c r="B69" s="75"/>
      <c r="C69" s="838">
        <f>+C67-C68</f>
        <v>0</v>
      </c>
      <c r="D69" s="838">
        <f t="shared" ref="D69:O69" si="5">+D67-D68</f>
        <v>0</v>
      </c>
      <c r="E69" s="838">
        <f t="shared" si="5"/>
        <v>0</v>
      </c>
      <c r="F69" s="838">
        <f t="shared" si="5"/>
        <v>0</v>
      </c>
      <c r="G69" s="838">
        <f t="shared" si="5"/>
        <v>0</v>
      </c>
      <c r="H69" s="838">
        <f t="shared" si="5"/>
        <v>0</v>
      </c>
      <c r="I69" s="838">
        <f t="shared" si="5"/>
        <v>0</v>
      </c>
      <c r="J69" s="838">
        <f t="shared" si="5"/>
        <v>0</v>
      </c>
      <c r="K69" s="838">
        <f t="shared" si="5"/>
        <v>0</v>
      </c>
      <c r="L69" s="838">
        <f t="shared" si="5"/>
        <v>0</v>
      </c>
      <c r="M69" s="838">
        <f t="shared" si="5"/>
        <v>1541384.0547938235</v>
      </c>
      <c r="N69" s="838">
        <f t="shared" si="5"/>
        <v>-540326</v>
      </c>
      <c r="O69" s="838">
        <f t="shared" si="5"/>
        <v>1</v>
      </c>
    </row>
    <row r="70" spans="1:22">
      <c r="A70" s="75"/>
      <c r="B70" s="75"/>
      <c r="C70" s="239"/>
      <c r="D70" s="239"/>
      <c r="E70" s="239"/>
      <c r="F70" s="239"/>
      <c r="G70" s="239"/>
      <c r="H70" s="239"/>
      <c r="I70" s="239"/>
      <c r="J70" s="239"/>
      <c r="K70" s="239"/>
      <c r="L70" s="239"/>
      <c r="M70" s="239"/>
      <c r="N70" s="239"/>
      <c r="O70" s="239"/>
    </row>
    <row r="71" spans="1:22">
      <c r="A71" s="395"/>
      <c r="B71" s="203" t="s">
        <v>166</v>
      </c>
      <c r="C71" s="397">
        <f>ROUND((C4-'19H30'!C4)/ABS('19H30'!C4)*100,1)</f>
        <v>1.1000000000000001</v>
      </c>
      <c r="D71" s="397">
        <f>ROUND((D4-'19H30'!D4)/ABS('19H30'!D4)*100,1)</f>
        <v>0.1</v>
      </c>
      <c r="E71" s="397">
        <f>ROUND((E4-'19H30'!E4)/ABS('19H30'!E4)*100,1)</f>
        <v>4.2</v>
      </c>
      <c r="F71" s="397">
        <f>ROUND((F4-'19H30'!F4)/ABS('19H30'!F4)*100,1)</f>
        <v>3</v>
      </c>
      <c r="G71" s="397">
        <f>ROUND((G4-'19H30'!G4)/ABS('19H30'!G4)*100,1)</f>
        <v>7.2</v>
      </c>
      <c r="H71" s="397">
        <f>ROUND((H4-'19H30'!H4)/ABS('19H30'!H4)*100,1)</f>
        <v>0.8</v>
      </c>
      <c r="I71" s="397">
        <f>ROUND((I4-'19H30'!I4)/ABS('19H30'!I4)*100,1)</f>
        <v>71.5</v>
      </c>
      <c r="J71" s="397">
        <f>ROUND((J4-'19H30'!J4)/ABS('19H30'!J4)*100,1)</f>
        <v>23.4</v>
      </c>
      <c r="K71" s="397">
        <f>ROUND((K4-'19H30'!K4)/ABS('19H30'!K4)*100,1)</f>
        <v>2</v>
      </c>
      <c r="L71" s="397">
        <f>ROUND((L4-'19H30'!L4)/ABS('19H30'!L4)*100,1)</f>
        <v>-18.899999999999999</v>
      </c>
      <c r="M71" s="397">
        <f>ROUND((M4-'19H30'!M4)/ABS('19H30'!M4)*100,1)</f>
        <v>1.2</v>
      </c>
      <c r="N71" s="397">
        <f>ROUND((N4-'19H30'!N4)/ABS('19H30'!N4)*100,1)</f>
        <v>-0.5</v>
      </c>
      <c r="O71" s="397">
        <f>ROUND((O4-'19H30'!O4)/ABS('19H30'!O4)*100,1)</f>
        <v>-42.7</v>
      </c>
    </row>
    <row r="72" spans="1:22">
      <c r="A72" s="77">
        <v>100</v>
      </c>
      <c r="B72" s="75" t="s">
        <v>172</v>
      </c>
      <c r="C72" s="384">
        <f>ROUND((C5-'19H30'!C5)/ABS('19H30'!C5)*100,1)</f>
        <v>1.9</v>
      </c>
      <c r="D72" s="384">
        <f>ROUND((D5-'19H30'!D5)/ABS('19H30'!D5)*100,1)</f>
        <v>-0.9</v>
      </c>
      <c r="E72" s="384">
        <f>ROUND((E5-'19H30'!E5)/ABS('19H30'!E5)*100,1)</f>
        <v>4.3</v>
      </c>
      <c r="F72" s="384">
        <f>ROUND((F5-'19H30'!F5)/ABS('19H30'!F5)*100,1)</f>
        <v>7.4</v>
      </c>
      <c r="G72" s="384">
        <f>ROUND((G5-'19H30'!G5)/ABS('19H30'!G5)*100,1)</f>
        <v>17.7</v>
      </c>
      <c r="H72" s="384">
        <f>ROUND((H5-'19H30'!H5)/ABS('19H30'!H5)*100,1)</f>
        <v>3.9</v>
      </c>
      <c r="I72" s="384">
        <f>ROUND((I5-'19H30'!I5)/ABS('19H30'!I5)*100,1)</f>
        <v>72.599999999999994</v>
      </c>
      <c r="J72" s="384">
        <f>ROUND((J5-'19H30'!J5)/ABS('19H30'!J5)*100,1)</f>
        <v>35.6</v>
      </c>
      <c r="K72" s="384">
        <f>ROUND((K5-'19H30'!K5)/ABS('19H30'!K5)*100,1)</f>
        <v>2.7</v>
      </c>
      <c r="L72" s="384">
        <f>ROUND((L5-'19H30'!L5)/ABS('19H30'!L5)*100,1)</f>
        <v>-7</v>
      </c>
      <c r="M72" s="384">
        <f>ROUND((M5-'19H30'!M5)/ABS('19H30'!M5)*100,1)</f>
        <v>2</v>
      </c>
      <c r="N72" s="384">
        <f>ROUND((N5-'19H30'!N5)/ABS('19H30'!N5)*100,1)</f>
        <v>0.1</v>
      </c>
      <c r="O72" s="384">
        <f>ROUND((O5-'19H30'!O5)/ABS('19H30'!O5)*100,1)</f>
        <v>-39.9</v>
      </c>
    </row>
    <row r="73" spans="1:22">
      <c r="A73" s="77">
        <v>1</v>
      </c>
      <c r="B73" s="75" t="s">
        <v>323</v>
      </c>
      <c r="C73" s="384">
        <f>ROUND((C6-'19H30'!C6)/ABS('19H30'!C6)*100,1)</f>
        <v>1.5</v>
      </c>
      <c r="D73" s="384">
        <f>ROUND((D6-'19H30'!D6)/ABS('19H30'!D6)*100,1)</f>
        <v>-0.7</v>
      </c>
      <c r="E73" s="384">
        <f>ROUND((E6-'19H30'!E6)/ABS('19H30'!E6)*100,1)</f>
        <v>3.9</v>
      </c>
      <c r="F73" s="384">
        <f>ROUND((F6-'19H30'!F6)/ABS('19H30'!F6)*100,1)</f>
        <v>3.9</v>
      </c>
      <c r="G73" s="384">
        <f>ROUND((G6-'19H30'!G6)/ABS('19H30'!G6)*100,1)</f>
        <v>16.899999999999999</v>
      </c>
      <c r="H73" s="384">
        <f>ROUND((H6-'19H30'!H6)/ABS('19H30'!H6)*100,1)</f>
        <v>-1.3</v>
      </c>
      <c r="I73" s="384">
        <f>ROUND((I6-'19H30'!I6)/ABS('19H30'!I6)*100,1)</f>
        <v>68.599999999999994</v>
      </c>
      <c r="J73" s="384">
        <f>ROUND((J6-'19H30'!J6)/ABS('19H30'!J6)*100,1)</f>
        <v>-12.3</v>
      </c>
      <c r="K73" s="384">
        <f>ROUND((K6-'19H30'!K6)/ABS('19H30'!K6)*100,1)</f>
        <v>0.3</v>
      </c>
      <c r="L73" s="384">
        <f>ROUND((L6-'19H30'!L6)/ABS('19H30'!L6)*100,1)</f>
        <v>14.6</v>
      </c>
      <c r="M73" s="384">
        <f>ROUND((M6-'19H30'!M6)/ABS('19H30'!M6)*100,1)</f>
        <v>1.5</v>
      </c>
      <c r="N73" s="384">
        <f>ROUND((N6-'19H30'!N6)/ABS('19H30'!N6)*100,1)</f>
        <v>-2.2000000000000002</v>
      </c>
      <c r="O73" s="384">
        <f>ROUND((O6-'19H30'!O6)/ABS('19H30'!O6)*100,1)</f>
        <v>-29.5</v>
      </c>
    </row>
    <row r="74" spans="1:22">
      <c r="A74" s="77">
        <v>2</v>
      </c>
      <c r="B74" s="75" t="s">
        <v>324</v>
      </c>
      <c r="C74" s="384">
        <f>ROUND((C7-'19H30'!C7)/ABS('19H30'!C7)*100,1)</f>
        <v>-1.7</v>
      </c>
      <c r="D74" s="384">
        <f>ROUND((D7-'19H30'!D7)/ABS('19H30'!D7)*100,1)</f>
        <v>0.3</v>
      </c>
      <c r="E74" s="384">
        <f>ROUND((E7-'19H30'!E7)/ABS('19H30'!E7)*100,1)</f>
        <v>4.7</v>
      </c>
      <c r="F74" s="384">
        <f>ROUND((F7-'19H30'!F7)/ABS('19H30'!F7)*100,1)</f>
        <v>3.6</v>
      </c>
      <c r="G74" s="384">
        <f>ROUND((G7-'19H30'!G7)/ABS('19H30'!G7)*100,1)</f>
        <v>10.6</v>
      </c>
      <c r="H74" s="384">
        <f>ROUND((H7-'19H30'!H7)/ABS('19H30'!H7)*100,1)</f>
        <v>0.6</v>
      </c>
      <c r="I74" s="384">
        <f>ROUND((I7-'19H30'!I7)/ABS('19H30'!I7)*100,1)</f>
        <v>72.099999999999994</v>
      </c>
      <c r="J74" s="384">
        <f>ROUND((J7-'19H30'!J7)/ABS('19H30'!J7)*100,1)</f>
        <v>44.2</v>
      </c>
      <c r="K74" s="384">
        <f>ROUND((K7-'19H30'!K7)/ABS('19H30'!K7)*100,1)</f>
        <v>2.4</v>
      </c>
      <c r="L74" s="384">
        <f>ROUND((L7-'19H30'!L7)/ABS('19H30'!L7)*100,1)</f>
        <v>-28</v>
      </c>
      <c r="M74" s="384">
        <f>ROUND((M7-'19H30'!M7)/ABS('19H30'!M7)*100,1)</f>
        <v>-1.3</v>
      </c>
      <c r="N74" s="384">
        <f>ROUND((N7-'19H30'!N7)/ABS('19H30'!N7)*100,1)</f>
        <v>-0.1</v>
      </c>
      <c r="O74" s="384">
        <f>ROUND((O7-'19H30'!O7)/ABS('19H30'!O7)*100,1)</f>
        <v>-35.200000000000003</v>
      </c>
    </row>
    <row r="75" spans="1:22">
      <c r="A75" s="77">
        <v>3</v>
      </c>
      <c r="B75" s="75" t="s">
        <v>192</v>
      </c>
      <c r="C75" s="384">
        <f>ROUND((C8-'19H30'!C8)/ABS('19H30'!C8)*100,1)</f>
        <v>1.2</v>
      </c>
      <c r="D75" s="384">
        <f>ROUND((D8-'19H30'!D8)/ABS('19H30'!D8)*100,1)</f>
        <v>1</v>
      </c>
      <c r="E75" s="384">
        <f>ROUND((E8-'19H30'!E8)/ABS('19H30'!E8)*100,1)</f>
        <v>4.8</v>
      </c>
      <c r="F75" s="384">
        <f>ROUND((F8-'19H30'!F8)/ABS('19H30'!F8)*100,1)</f>
        <v>5.7</v>
      </c>
      <c r="G75" s="384">
        <f>ROUND((G8-'19H30'!G8)/ABS('19H30'!G8)*100,1)</f>
        <v>-1.5</v>
      </c>
      <c r="H75" s="384">
        <f>ROUND((H8-'19H30'!H8)/ABS('19H30'!H8)*100,1)</f>
        <v>5.7</v>
      </c>
      <c r="I75" s="384">
        <f>ROUND((I8-'19H30'!I8)/ABS('19H30'!I8)*100,1)</f>
        <v>73.3</v>
      </c>
      <c r="J75" s="384">
        <f>ROUND((J8-'19H30'!J8)/ABS('19H30'!J8)*100,1)</f>
        <v>17</v>
      </c>
      <c r="K75" s="384">
        <f>ROUND((K8-'19H30'!K8)/ABS('19H30'!K8)*100,1)</f>
        <v>3.1</v>
      </c>
      <c r="L75" s="384">
        <f>ROUND((L8-'19H30'!L8)/ABS('19H30'!L8)*100,1)</f>
        <v>-25.3</v>
      </c>
      <c r="M75" s="384">
        <f>ROUND((M8-'19H30'!M8)/ABS('19H30'!M8)*100,1)</f>
        <v>1.4</v>
      </c>
      <c r="N75" s="384">
        <f>ROUND((N8-'19H30'!N8)/ABS('19H30'!N8)*100,1)</f>
        <v>0.5</v>
      </c>
      <c r="O75" s="384">
        <f>ROUND((O8-'19H30'!O8)/ABS('19H30'!O8)*100,1)</f>
        <v>-65</v>
      </c>
    </row>
    <row r="76" spans="1:22">
      <c r="A76" s="77">
        <v>4</v>
      </c>
      <c r="B76" s="75" t="s">
        <v>325</v>
      </c>
      <c r="C76" s="384">
        <f>ROUND((C9-'19H30'!C9)/ABS('19H30'!C9)*100,1)</f>
        <v>1.1000000000000001</v>
      </c>
      <c r="D76" s="384">
        <f>ROUND((D9-'19H30'!D9)/ABS('19H30'!D9)*100,1)</f>
        <v>3</v>
      </c>
      <c r="E76" s="384">
        <f>ROUND((E9-'19H30'!E9)/ABS('19H30'!E9)*100,1)</f>
        <v>4.5999999999999996</v>
      </c>
      <c r="F76" s="384">
        <f>ROUND((F9-'19H30'!F9)/ABS('19H30'!F9)*100,1)</f>
        <v>9.8000000000000007</v>
      </c>
      <c r="G76" s="384">
        <f>ROUND((G9-'19H30'!G9)/ABS('19H30'!G9)*100,1)</f>
        <v>5</v>
      </c>
      <c r="H76" s="384">
        <f>ROUND((H9-'19H30'!H9)/ABS('19H30'!H9)*100,1)</f>
        <v>9.1999999999999993</v>
      </c>
      <c r="I76" s="384">
        <f>ROUND((I9-'19H30'!I9)/ABS('19H30'!I9)*100,1)</f>
        <v>78.8</v>
      </c>
      <c r="J76" s="384">
        <f>ROUND((J9-'19H30'!J9)/ABS('19H30'!J9)*100,1)</f>
        <v>44.9</v>
      </c>
      <c r="K76" s="384">
        <f>ROUND((K9-'19H30'!K9)/ABS('19H30'!K9)*100,1)</f>
        <v>6.4</v>
      </c>
      <c r="L76" s="384">
        <f>ROUND((L9-'19H30'!L9)/ABS('19H30'!L9)*100,1)</f>
        <v>-13.7</v>
      </c>
      <c r="M76" s="384">
        <f>ROUND((M9-'19H30'!M9)/ABS('19H30'!M9)*100,1)</f>
        <v>1.2</v>
      </c>
      <c r="N76" s="384">
        <f>ROUND((N9-'19H30'!N9)/ABS('19H30'!N9)*100,1)</f>
        <v>3.8</v>
      </c>
      <c r="O76" s="384">
        <f>ROUND((O9-'19H30'!O9)/ABS('19H30'!O9)*100,1)</f>
        <v>-397.1</v>
      </c>
      <c r="R76" s="383"/>
      <c r="S76" s="383"/>
      <c r="T76" s="383"/>
    </row>
    <row r="77" spans="1:22">
      <c r="A77" s="77">
        <v>5</v>
      </c>
      <c r="B77" s="75" t="s">
        <v>326</v>
      </c>
      <c r="C77" s="384">
        <f>ROUND((C10-'19H30'!C10)/ABS('19H30'!C10)*100,1)</f>
        <v>-1</v>
      </c>
      <c r="D77" s="384">
        <f>ROUND((D10-'19H30'!D10)/ABS('19H30'!D10)*100,1)</f>
        <v>-0.2</v>
      </c>
      <c r="E77" s="384">
        <f>ROUND((E10-'19H30'!E10)/ABS('19H30'!E10)*100,1)</f>
        <v>4.2</v>
      </c>
      <c r="F77" s="384">
        <f>ROUND((F10-'19H30'!F10)/ABS('19H30'!F10)*100,1)</f>
        <v>-10.3</v>
      </c>
      <c r="G77" s="384">
        <f>ROUND((G10-'19H30'!G10)/ABS('19H30'!G10)*100,1)</f>
        <v>-11.8</v>
      </c>
      <c r="H77" s="384">
        <f>ROUND((H10-'19H30'!H10)/ABS('19H30'!H10)*100,1)</f>
        <v>-11.2</v>
      </c>
      <c r="I77" s="384">
        <f>ROUND((I10-'19H30'!I10)/ABS('19H30'!I10)*100,1)</f>
        <v>64.8</v>
      </c>
      <c r="J77" s="384">
        <f>ROUND((J10-'19H30'!J10)/ABS('19H30'!J10)*100,1)</f>
        <v>23.3</v>
      </c>
      <c r="K77" s="384">
        <f>ROUND((K10-'19H30'!K10)/ABS('19H30'!K10)*100,1)</f>
        <v>-1.9</v>
      </c>
      <c r="L77" s="384">
        <f>ROUND((L10-'19H30'!L10)/ABS('19H30'!L10)*100,1)</f>
        <v>5.7</v>
      </c>
      <c r="M77" s="384">
        <f>ROUND((M10-'19H30'!M10)/ABS('19H30'!M10)*100,1)</f>
        <v>-0.8</v>
      </c>
      <c r="N77" s="384">
        <f>ROUND((N10-'19H30'!N10)/ABS('19H30'!N10)*100,1)</f>
        <v>-4.4000000000000004</v>
      </c>
      <c r="O77" s="384">
        <f>ROUND((O10-'19H30'!O10)/ABS('19H30'!O10)*100,1)</f>
        <v>-64.3</v>
      </c>
      <c r="R77" s="383"/>
      <c r="S77" s="383"/>
      <c r="T77" s="383"/>
    </row>
    <row r="78" spans="1:22">
      <c r="A78" s="77">
        <v>6</v>
      </c>
      <c r="B78" s="75" t="s">
        <v>327</v>
      </c>
      <c r="C78" s="384">
        <f>ROUND((C11-'19H30'!C11)/ABS('19H30'!C11)*100,1)</f>
        <v>0.8</v>
      </c>
      <c r="D78" s="384">
        <f>ROUND((D11-'19H30'!D11)/ABS('19H30'!D11)*100,1)</f>
        <v>2.1</v>
      </c>
      <c r="E78" s="384">
        <f>ROUND((E11-'19H30'!E11)/ABS('19H30'!E11)*100,1)</f>
        <v>1.8</v>
      </c>
      <c r="F78" s="384">
        <f>ROUND((F11-'19H30'!F11)/ABS('19H30'!F11)*100,1)</f>
        <v>4.8</v>
      </c>
      <c r="G78" s="384">
        <f>ROUND((G11-'19H30'!G11)/ABS('19H30'!G11)*100,1)</f>
        <v>-8.1999999999999993</v>
      </c>
      <c r="H78" s="384">
        <f>ROUND((H11-'19H30'!H11)/ABS('19H30'!H11)*100,1)</f>
        <v>4.9000000000000004</v>
      </c>
      <c r="I78" s="384">
        <f>ROUND((I11-'19H30'!I11)/ABS('19H30'!I11)*100,1)</f>
        <v>75</v>
      </c>
      <c r="J78" s="384">
        <f>ROUND((J11-'19H30'!J11)/ABS('19H30'!J11)*100,1)</f>
        <v>40</v>
      </c>
      <c r="K78" s="384">
        <f>ROUND((K11-'19H30'!K11)/ABS('19H30'!K11)*100,1)</f>
        <v>4.2</v>
      </c>
      <c r="L78" s="384">
        <f>ROUND((L11-'19H30'!L11)/ABS('19H30'!L11)*100,1)</f>
        <v>-16</v>
      </c>
      <c r="M78" s="384">
        <f>ROUND((M11-'19H30'!M11)/ABS('19H30'!M11)*100,1)</f>
        <v>0.8</v>
      </c>
      <c r="N78" s="384">
        <f>ROUND((N11-'19H30'!N11)/ABS('19H30'!N11)*100,1)</f>
        <v>1.6</v>
      </c>
      <c r="O78" s="384">
        <f>ROUND((O11-'19H30'!O11)/ABS('19H30'!O11)*100,1)</f>
        <v>-73.900000000000006</v>
      </c>
      <c r="R78" s="383"/>
      <c r="S78" s="383"/>
      <c r="T78" s="383"/>
    </row>
    <row r="79" spans="1:22">
      <c r="A79" s="77">
        <v>7</v>
      </c>
      <c r="B79" s="75" t="s">
        <v>210</v>
      </c>
      <c r="C79" s="384">
        <f>ROUND((C12-'19H30'!C12)/ABS('19H30'!C12)*100,1)</f>
        <v>1.8</v>
      </c>
      <c r="D79" s="384">
        <f>ROUND((D12-'19H30'!D12)/ABS('19H30'!D12)*100,1)</f>
        <v>1.2</v>
      </c>
      <c r="E79" s="384">
        <f>ROUND((E12-'19H30'!E12)/ABS('19H30'!E12)*100,1)</f>
        <v>3.1</v>
      </c>
      <c r="F79" s="384">
        <f>ROUND((F12-'19H30'!F12)/ABS('19H30'!F12)*100,1)</f>
        <v>-0.2</v>
      </c>
      <c r="G79" s="384">
        <f>ROUND((G12-'19H30'!G12)/ABS('19H30'!G12)*100,1)</f>
        <v>9.6</v>
      </c>
      <c r="H79" s="384">
        <f>ROUND((H12-'19H30'!H12)/ABS('19H30'!H12)*100,1)</f>
        <v>-3.1</v>
      </c>
      <c r="I79" s="384">
        <f>ROUND((I12-'19H30'!I12)/ABS('19H30'!I12)*100,1)</f>
        <v>72.400000000000006</v>
      </c>
      <c r="J79" s="384">
        <f>ROUND((J12-'19H30'!J12)/ABS('19H30'!J12)*100,1)</f>
        <v>24.1</v>
      </c>
      <c r="K79" s="384">
        <f>ROUND((K12-'19H30'!K12)/ABS('19H30'!K12)*100,1)</f>
        <v>2.6</v>
      </c>
      <c r="L79" s="384">
        <f>ROUND((L12-'19H30'!L12)/ABS('19H30'!L12)*100,1)</f>
        <v>-1625.3</v>
      </c>
      <c r="M79" s="384">
        <f>ROUND((M12-'19H30'!M12)/ABS('19H30'!M12)*100,1)</f>
        <v>1.7</v>
      </c>
      <c r="N79" s="384">
        <f>ROUND((N12-'19H30'!N12)/ABS('19H30'!N12)*100,1)</f>
        <v>0</v>
      </c>
      <c r="O79" s="384">
        <f>ROUND((O12-'19H30'!O12)/ABS('19H30'!O12)*100,1)</f>
        <v>-26.8</v>
      </c>
      <c r="R79" s="383"/>
      <c r="S79" s="383"/>
      <c r="T79" s="383"/>
    </row>
    <row r="80" spans="1:22">
      <c r="A80" s="77">
        <v>8</v>
      </c>
      <c r="B80" s="75" t="s">
        <v>211</v>
      </c>
      <c r="C80" s="384">
        <f>ROUND((C13-'19H30'!C13)/ABS('19H30'!C13)*100,1)</f>
        <v>8.3000000000000007</v>
      </c>
      <c r="D80" s="384">
        <f>ROUND((D13-'19H30'!D13)/ABS('19H30'!D13)*100,1)</f>
        <v>2</v>
      </c>
      <c r="E80" s="384">
        <f>ROUND((E13-'19H30'!E13)/ABS('19H30'!E13)*100,1)</f>
        <v>4</v>
      </c>
      <c r="F80" s="384">
        <f>ROUND((F13-'19H30'!F13)/ABS('19H30'!F13)*100,1)</f>
        <v>0.9</v>
      </c>
      <c r="G80" s="384">
        <f>ROUND((G13-'19H30'!G13)/ABS('19H30'!G13)*100,1)</f>
        <v>-4.7</v>
      </c>
      <c r="H80" s="384">
        <f>ROUND((H13-'19H30'!H13)/ABS('19H30'!H13)*100,1)</f>
        <v>0.3</v>
      </c>
      <c r="I80" s="384">
        <f>ROUND((I13-'19H30'!I13)/ABS('19H30'!I13)*100,1)</f>
        <v>69.599999999999994</v>
      </c>
      <c r="J80" s="384">
        <f>ROUND((J13-'19H30'!J13)/ABS('19H30'!J13)*100,1)</f>
        <v>-14.6</v>
      </c>
      <c r="K80" s="384">
        <f>ROUND((K13-'19H30'!K13)/ABS('19H30'!K13)*100,1)</f>
        <v>0.9</v>
      </c>
      <c r="L80" s="384">
        <f>ROUND((L13-'19H30'!L13)/ABS('19H30'!L13)*100,1)</f>
        <v>93.7</v>
      </c>
      <c r="M80" s="384">
        <f>ROUND((M13-'19H30'!M13)/ABS('19H30'!M13)*100,1)</f>
        <v>7.8</v>
      </c>
      <c r="N80" s="384">
        <f>ROUND((N13-'19H30'!N13)/ABS('19H30'!N13)*100,1)</f>
        <v>-1.7</v>
      </c>
      <c r="O80" s="384">
        <f>ROUND((O13-'19H30'!O13)/ABS('19H30'!O13)*100,1)</f>
        <v>-15.1</v>
      </c>
      <c r="R80" s="383"/>
      <c r="S80" s="383"/>
      <c r="T80" s="383"/>
    </row>
    <row r="81" spans="1:20">
      <c r="A81" s="77">
        <v>9</v>
      </c>
      <c r="B81" s="75" t="s">
        <v>212</v>
      </c>
      <c r="C81" s="384">
        <f>ROUND((C14-'19H30'!C14)/ABS('19H30'!C14)*100,1)</f>
        <v>0.9</v>
      </c>
      <c r="D81" s="384">
        <f>ROUND((D14-'19H30'!D14)/ABS('19H30'!D14)*100,1)</f>
        <v>2.1</v>
      </c>
      <c r="E81" s="384">
        <f>ROUND((E14-'19H30'!E14)/ABS('19H30'!E14)*100,1)</f>
        <v>7.1</v>
      </c>
      <c r="F81" s="384">
        <f>ROUND((F14-'19H30'!F14)/ABS('19H30'!F14)*100,1)</f>
        <v>8.1999999999999993</v>
      </c>
      <c r="G81" s="384">
        <f>ROUND((G14-'19H30'!G14)/ABS('19H30'!G14)*100,1)</f>
        <v>13.8</v>
      </c>
      <c r="H81" s="384">
        <f>ROUND((H14-'19H30'!H14)/ABS('19H30'!H14)*100,1)</f>
        <v>5.4</v>
      </c>
      <c r="I81" s="384">
        <f>ROUND((I14-'19H30'!I14)/ABS('19H30'!I14)*100,1)</f>
        <v>78</v>
      </c>
      <c r="J81" s="384">
        <f>ROUND((J14-'19H30'!J14)/ABS('19H30'!J14)*100,1)</f>
        <v>42.8</v>
      </c>
      <c r="K81" s="384">
        <f>ROUND((K14-'19H30'!K14)/ABS('19H30'!K14)*100,1)</f>
        <v>5.9</v>
      </c>
      <c r="L81" s="384">
        <f>ROUND((L14-'19H30'!L14)/ABS('19H30'!L14)*100,1)</f>
        <v>-121.3</v>
      </c>
      <c r="M81" s="384">
        <f>ROUND((M14-'19H30'!M14)/ABS('19H30'!M14)*100,1)</f>
        <v>1.2</v>
      </c>
      <c r="N81" s="384">
        <f>ROUND((N14-'19H30'!N14)/ABS('19H30'!N14)*100,1)</f>
        <v>3.3</v>
      </c>
      <c r="O81" s="384">
        <f>ROUND((O14-'19H30'!O14)/ABS('19H30'!O14)*100,1)</f>
        <v>-40.799999999999997</v>
      </c>
      <c r="R81" s="383"/>
      <c r="S81" s="383"/>
      <c r="T81" s="383"/>
    </row>
    <row r="82" spans="1:20">
      <c r="A82" s="77"/>
      <c r="B82" s="87" t="s">
        <v>11</v>
      </c>
      <c r="C82" s="384" t="s">
        <v>11</v>
      </c>
      <c r="D82" s="384" t="s">
        <v>11</v>
      </c>
      <c r="E82" s="384" t="s">
        <v>11</v>
      </c>
      <c r="F82" s="384" t="s">
        <v>11</v>
      </c>
      <c r="G82" s="384" t="s">
        <v>11</v>
      </c>
      <c r="H82" s="384" t="s">
        <v>11</v>
      </c>
      <c r="I82" s="384" t="s">
        <v>11</v>
      </c>
      <c r="J82" s="384" t="s">
        <v>11</v>
      </c>
      <c r="K82" s="384" t="s">
        <v>11</v>
      </c>
      <c r="L82" s="384" t="s">
        <v>11</v>
      </c>
      <c r="M82" s="384" t="s">
        <v>11</v>
      </c>
      <c r="N82" s="384" t="s">
        <v>11</v>
      </c>
      <c r="O82" s="384" t="s">
        <v>11</v>
      </c>
      <c r="P82" s="49" t="s">
        <v>11</v>
      </c>
      <c r="R82" s="383"/>
      <c r="S82" s="383"/>
      <c r="T82" s="383"/>
    </row>
    <row r="83" spans="1:20">
      <c r="A83" s="293">
        <v>100</v>
      </c>
      <c r="B83" s="87" t="s">
        <v>172</v>
      </c>
      <c r="C83" s="384">
        <f>ROUND((C16-'19H30'!C16)/ABS('19H30'!C16)*100,1)</f>
        <v>1.9</v>
      </c>
      <c r="D83" s="384">
        <f>ROUND((D16-'19H30'!D16)/ABS('19H30'!D16)*100,1)</f>
        <v>-0.9</v>
      </c>
      <c r="E83" s="384">
        <f>ROUND((E16-'19H30'!E16)/ABS('19H30'!E16)*100,1)</f>
        <v>4.3</v>
      </c>
      <c r="F83" s="384">
        <f>ROUND((F16-'19H30'!F16)/ABS('19H30'!F16)*100,1)</f>
        <v>7.4</v>
      </c>
      <c r="G83" s="384">
        <f>ROUND((G16-'19H30'!G16)/ABS('19H30'!G16)*100,1)</f>
        <v>17.7</v>
      </c>
      <c r="H83" s="384">
        <f>ROUND((H16-'19H30'!H16)/ABS('19H30'!H16)*100,1)</f>
        <v>3.9</v>
      </c>
      <c r="I83" s="384">
        <f>ROUND((I16-'19H30'!I16)/ABS('19H30'!I16)*100,1)</f>
        <v>72.599999999999994</v>
      </c>
      <c r="J83" s="384">
        <f>ROUND((J16-'19H30'!J16)/ABS('19H30'!J16)*100,1)</f>
        <v>35.6</v>
      </c>
      <c r="K83" s="384">
        <f>ROUND((K16-'19H30'!K16)/ABS('19H30'!K16)*100,1)</f>
        <v>2.7</v>
      </c>
      <c r="L83" s="384">
        <f>ROUND((L16-'19H30'!L16)/ABS('19H30'!L16)*100,1)</f>
        <v>-7</v>
      </c>
      <c r="M83" s="384">
        <f>ROUND((M16-'19H30'!M16)/ABS('19H30'!M16)*100,1)</f>
        <v>2</v>
      </c>
      <c r="N83" s="384">
        <f>ROUND((N16-'19H30'!N16)/ABS('19H30'!N16)*100,1)</f>
        <v>0.1</v>
      </c>
      <c r="O83" s="384">
        <f>ROUND((O16-'19H30'!O16)/ABS('19H30'!O16)*100,1)</f>
        <v>-39.9</v>
      </c>
      <c r="R83" s="383"/>
      <c r="S83" s="383"/>
      <c r="T83" s="383"/>
    </row>
    <row r="84" spans="1:20">
      <c r="A84" s="293">
        <v>1</v>
      </c>
      <c r="B84" s="65" t="s">
        <v>182</v>
      </c>
      <c r="C84" s="384">
        <f>ROUND((C17-'19H30'!C17)/ABS('19H30'!C17)*100,1)</f>
        <v>1.5</v>
      </c>
      <c r="D84" s="384">
        <f>ROUND((D17-'19H30'!D17)/ABS('19H30'!D17)*100,1)</f>
        <v>-0.7</v>
      </c>
      <c r="E84" s="384">
        <f>ROUND((E17-'19H30'!E17)/ABS('19H30'!E17)*100,1)</f>
        <v>3.9</v>
      </c>
      <c r="F84" s="384">
        <f>ROUND((F17-'19H30'!F17)/ABS('19H30'!F17)*100,1)</f>
        <v>3.9</v>
      </c>
      <c r="G84" s="384">
        <f>ROUND((G17-'19H30'!G17)/ABS('19H30'!G17)*100,1)</f>
        <v>16.899999999999999</v>
      </c>
      <c r="H84" s="384">
        <f>ROUND((H17-'19H30'!H17)/ABS('19H30'!H17)*100,1)</f>
        <v>-1.3</v>
      </c>
      <c r="I84" s="384">
        <f>ROUND((I17-'19H30'!I17)/ABS('19H30'!I17)*100,1)</f>
        <v>68.599999999999994</v>
      </c>
      <c r="J84" s="384">
        <f>ROUND((J17-'19H30'!J17)/ABS('19H30'!J17)*100,1)</f>
        <v>-12.3</v>
      </c>
      <c r="K84" s="384">
        <f>ROUND((K17-'19H30'!K17)/ABS('19H30'!K17)*100,1)</f>
        <v>0.3</v>
      </c>
      <c r="L84" s="384">
        <f>ROUND((L17-'19H30'!L17)/ABS('19H30'!L17)*100,1)</f>
        <v>14.6</v>
      </c>
      <c r="M84" s="384">
        <f>ROUND((M17-'19H30'!M17)/ABS('19H30'!M17)*100,1)</f>
        <v>1.5</v>
      </c>
      <c r="N84" s="384">
        <f>ROUND((N17-'19H30'!N17)/ABS('19H30'!N17)*100,1)</f>
        <v>-2.2000000000000002</v>
      </c>
      <c r="O84" s="384">
        <f>ROUND((O17-'19H30'!O17)/ABS('19H30'!O17)*100,1)</f>
        <v>-29.5</v>
      </c>
      <c r="R84" s="383"/>
      <c r="S84" s="383"/>
      <c r="T84" s="383"/>
    </row>
    <row r="85" spans="1:20">
      <c r="A85" s="293">
        <v>202</v>
      </c>
      <c r="B85" s="90" t="s">
        <v>183</v>
      </c>
      <c r="C85" s="384">
        <f>ROUND((C18-'19H30'!C18)/ABS('19H30'!C18)*100,1)</f>
        <v>2</v>
      </c>
      <c r="D85" s="384">
        <f>ROUND((D18-'19H30'!D18)/ABS('19H30'!D18)*100,1)</f>
        <v>-0.5</v>
      </c>
      <c r="E85" s="384">
        <f>ROUND((E18-'19H30'!E18)/ABS('19H30'!E18)*100,1)</f>
        <v>4</v>
      </c>
      <c r="F85" s="384">
        <f>ROUND((F18-'19H30'!F18)/ABS('19H30'!F18)*100,1)</f>
        <v>6.1</v>
      </c>
      <c r="G85" s="384">
        <f>ROUND((G18-'19H30'!G18)/ABS('19H30'!G18)*100,1)</f>
        <v>28</v>
      </c>
      <c r="H85" s="384">
        <f>ROUND((H18-'19H30'!H18)/ABS('19H30'!H18)*100,1)</f>
        <v>-0.8</v>
      </c>
      <c r="I85" s="384">
        <f>ROUND((I18-'19H30'!I18)/ABS('19H30'!I18)*100,1)</f>
        <v>69.5</v>
      </c>
      <c r="J85" s="384">
        <f>ROUND((J18-'19H30'!J18)/ABS('19H30'!J18)*100,1)</f>
        <v>-16.100000000000001</v>
      </c>
      <c r="K85" s="384">
        <f>ROUND((K18-'19H30'!K18)/ABS('19H30'!K18)*100,1)</f>
        <v>0.9</v>
      </c>
      <c r="L85" s="384">
        <f>ROUND((L18-'19H30'!L18)/ABS('19H30'!L18)*100,1)</f>
        <v>14.2</v>
      </c>
      <c r="M85" s="384">
        <f>ROUND((M18-'19H30'!M18)/ABS('19H30'!M18)*100,1)</f>
        <v>2.1</v>
      </c>
      <c r="N85" s="384">
        <f>ROUND((N18-'19H30'!N18)/ABS('19H30'!N18)*100,1)</f>
        <v>-1.6</v>
      </c>
      <c r="O85" s="384">
        <f>ROUND((O18-'19H30'!O18)/ABS('19H30'!O18)*100,1)</f>
        <v>-57.7</v>
      </c>
      <c r="R85" s="383"/>
      <c r="S85" s="383"/>
      <c r="T85" s="383"/>
    </row>
    <row r="86" spans="1:20">
      <c r="A86" s="293">
        <v>204</v>
      </c>
      <c r="B86" s="90" t="s">
        <v>184</v>
      </c>
      <c r="C86" s="384">
        <f>ROUND((C19-'19H30'!C19)/ABS('19H30'!C19)*100,1)</f>
        <v>0.4</v>
      </c>
      <c r="D86" s="384">
        <f>ROUND((D19-'19H30'!D19)/ABS('19H30'!D19)*100,1)</f>
        <v>-1.2</v>
      </c>
      <c r="E86" s="384">
        <f>ROUND((E19-'19H30'!E19)/ABS('19H30'!E19)*100,1)</f>
        <v>4.2</v>
      </c>
      <c r="F86" s="384">
        <f>ROUND((F19-'19H30'!F19)/ABS('19H30'!F19)*100,1)</f>
        <v>1.8</v>
      </c>
      <c r="G86" s="384">
        <f>ROUND((G19-'19H30'!G19)/ABS('19H30'!G19)*100,1)</f>
        <v>8.4</v>
      </c>
      <c r="H86" s="384">
        <f>ROUND((H19-'19H30'!H19)/ABS('19H30'!H19)*100,1)</f>
        <v>-2.1</v>
      </c>
      <c r="I86" s="384">
        <f>ROUND((I19-'19H30'!I19)/ABS('19H30'!I19)*100,1)</f>
        <v>68</v>
      </c>
      <c r="J86" s="384">
        <f>ROUND((J19-'19H30'!J19)/ABS('19H30'!J19)*100,1)</f>
        <v>-0.1</v>
      </c>
      <c r="K86" s="384">
        <f>ROUND((K19-'19H30'!K19)/ABS('19H30'!K19)*100,1)</f>
        <v>0</v>
      </c>
      <c r="L86" s="384">
        <f>ROUND((L19-'19H30'!L19)/ABS('19H30'!L19)*100,1)</f>
        <v>1.8</v>
      </c>
      <c r="M86" s="384">
        <f>ROUND((M19-'19H30'!M19)/ABS('19H30'!M19)*100,1)</f>
        <v>0.5</v>
      </c>
      <c r="N86" s="384">
        <f>ROUND((N19-'19H30'!N19)/ABS('19H30'!N19)*100,1)</f>
        <v>-2.5</v>
      </c>
      <c r="O86" s="384">
        <f>ROUND((O19-'19H30'!O19)/ABS('19H30'!O19)*100,1)</f>
        <v>-23.7</v>
      </c>
      <c r="R86" s="383"/>
      <c r="S86" s="383"/>
      <c r="T86" s="383"/>
    </row>
    <row r="87" spans="1:20">
      <c r="A87" s="293">
        <v>206</v>
      </c>
      <c r="B87" s="90" t="s">
        <v>185</v>
      </c>
      <c r="C87" s="384">
        <f>ROUND((C20-'19H30'!C20)/ABS('19H30'!C20)*100,1)</f>
        <v>3.9</v>
      </c>
      <c r="D87" s="384">
        <f>ROUND((D20-'19H30'!D20)/ABS('19H30'!D20)*100,1)</f>
        <v>1.2</v>
      </c>
      <c r="E87" s="384">
        <f>ROUND((E20-'19H30'!E20)/ABS('19H30'!E20)*100,1)</f>
        <v>2</v>
      </c>
      <c r="F87" s="384">
        <f>ROUND((F20-'19H30'!F20)/ABS('19H30'!F20)*100,1)</f>
        <v>-0.6</v>
      </c>
      <c r="G87" s="384">
        <f>ROUND((G20-'19H30'!G20)/ABS('19H30'!G20)*100,1)</f>
        <v>-8.6</v>
      </c>
      <c r="H87" s="384">
        <f>ROUND((H20-'19H30'!H20)/ABS('19H30'!H20)*100,1)</f>
        <v>-1</v>
      </c>
      <c r="I87" s="384">
        <f>ROUND((I20-'19H30'!I20)/ABS('19H30'!I20)*100,1)</f>
        <v>66.7</v>
      </c>
      <c r="J87" s="384">
        <f>ROUND((J20-'19H30'!J20)/ABS('19H30'!J20)*100,1)</f>
        <v>-28.2</v>
      </c>
      <c r="K87" s="384">
        <f>ROUND((K20-'19H30'!K20)/ABS('19H30'!K20)*100,1)</f>
        <v>-0.8</v>
      </c>
      <c r="L87" s="384">
        <f>ROUND((L20-'19H30'!L20)/ABS('19H30'!L20)*100,1)</f>
        <v>8.3000000000000007</v>
      </c>
      <c r="M87" s="384">
        <f>ROUND((M20-'19H30'!M20)/ABS('19H30'!M20)*100,1)</f>
        <v>3.5</v>
      </c>
      <c r="N87" s="384">
        <f>ROUND((N20-'19H30'!N20)/ABS('19H30'!N20)*100,1)</f>
        <v>-3.3</v>
      </c>
      <c r="O87" s="384">
        <f>ROUND((O20-'19H30'!O20)/ABS('19H30'!O20)*100,1)</f>
        <v>-11.5</v>
      </c>
      <c r="R87" s="383"/>
      <c r="S87" s="383"/>
      <c r="T87" s="383"/>
    </row>
    <row r="88" spans="1:20">
      <c r="A88" s="293">
        <v>2</v>
      </c>
      <c r="B88" s="65" t="s">
        <v>186</v>
      </c>
      <c r="C88" s="384">
        <f>ROUND((C21-'19H30'!C21)/ABS('19H30'!C21)*100,1)</f>
        <v>-1.7</v>
      </c>
      <c r="D88" s="384">
        <f>ROUND((D21-'19H30'!D21)/ABS('19H30'!D21)*100,1)</f>
        <v>0.3</v>
      </c>
      <c r="E88" s="384">
        <f>ROUND((E21-'19H30'!E21)/ABS('19H30'!E21)*100,1)</f>
        <v>4.7</v>
      </c>
      <c r="F88" s="384">
        <f>ROUND((F21-'19H30'!F21)/ABS('19H30'!F21)*100,1)</f>
        <v>3.6</v>
      </c>
      <c r="G88" s="384">
        <f>ROUND((G21-'19H30'!G21)/ABS('19H30'!G21)*100,1)</f>
        <v>10.6</v>
      </c>
      <c r="H88" s="384">
        <f>ROUND((H21-'19H30'!H21)/ABS('19H30'!H21)*100,1)</f>
        <v>0.6</v>
      </c>
      <c r="I88" s="384">
        <f>ROUND((I21-'19H30'!I21)/ABS('19H30'!I21)*100,1)</f>
        <v>72.099999999999994</v>
      </c>
      <c r="J88" s="384">
        <f>ROUND((J21-'19H30'!J21)/ABS('19H30'!J21)*100,1)</f>
        <v>44.2</v>
      </c>
      <c r="K88" s="384">
        <f>ROUND((K21-'19H30'!K21)/ABS('19H30'!K21)*100,1)</f>
        <v>2.4</v>
      </c>
      <c r="L88" s="384">
        <f>ROUND((L21-'19H30'!L21)/ABS('19H30'!L21)*100,1)</f>
        <v>-28</v>
      </c>
      <c r="M88" s="384">
        <f>ROUND((M21-'19H30'!M21)/ABS('19H30'!M21)*100,1)</f>
        <v>-1.3</v>
      </c>
      <c r="N88" s="384">
        <f>ROUND((N21-'19H30'!N21)/ABS('19H30'!N21)*100,1)</f>
        <v>-0.1</v>
      </c>
      <c r="O88" s="384">
        <f>ROUND((O21-'19H30'!O21)/ABS('19H30'!O21)*100,1)</f>
        <v>-35.200000000000003</v>
      </c>
      <c r="R88" s="383"/>
      <c r="S88" s="383"/>
      <c r="T88" s="383"/>
    </row>
    <row r="89" spans="1:20">
      <c r="A89" s="293">
        <v>207</v>
      </c>
      <c r="B89" s="90" t="s">
        <v>187</v>
      </c>
      <c r="C89" s="384">
        <f>ROUND((C22-'19H30'!C22)/ABS('19H30'!C22)*100,1)</f>
        <v>-1</v>
      </c>
      <c r="D89" s="384">
        <f>ROUND((D22-'19H30'!D22)/ABS('19H30'!D22)*100,1)</f>
        <v>0.4</v>
      </c>
      <c r="E89" s="384">
        <f>ROUND((E22-'19H30'!E22)/ABS('19H30'!E22)*100,1)</f>
        <v>5.9</v>
      </c>
      <c r="F89" s="384">
        <f>ROUND((F22-'19H30'!F22)/ABS('19H30'!F22)*100,1)</f>
        <v>4.2</v>
      </c>
      <c r="G89" s="384">
        <f>ROUND((G22-'19H30'!G22)/ABS('19H30'!G22)*100,1)</f>
        <v>-4.8</v>
      </c>
      <c r="H89" s="384">
        <f>ROUND((H22-'19H30'!H22)/ABS('19H30'!H22)*100,1)</f>
        <v>4.4000000000000004</v>
      </c>
      <c r="I89" s="384">
        <f>ROUND((I22-'19H30'!I22)/ABS('19H30'!I22)*100,1)</f>
        <v>74.2</v>
      </c>
      <c r="J89" s="384">
        <f>ROUND((J22-'19H30'!J22)/ABS('19H30'!J22)*100,1)</f>
        <v>121.8</v>
      </c>
      <c r="K89" s="384">
        <f>ROUND((K22-'19H30'!K22)/ABS('19H30'!K22)*100,1)</f>
        <v>3.7</v>
      </c>
      <c r="L89" s="384">
        <f>ROUND((L22-'19H30'!L22)/ABS('19H30'!L22)*100,1)</f>
        <v>-10300</v>
      </c>
      <c r="M89" s="384">
        <f>ROUND((M22-'19H30'!M22)/ABS('19H30'!M22)*100,1)</f>
        <v>-0.7</v>
      </c>
      <c r="N89" s="384">
        <f>ROUND((N22-'19H30'!N22)/ABS('19H30'!N22)*100,1)</f>
        <v>1.1000000000000001</v>
      </c>
      <c r="O89" s="384">
        <f>ROUND((O22-'19H30'!O22)/ABS('19H30'!O22)*100,1)</f>
        <v>-55.9</v>
      </c>
      <c r="R89" s="383"/>
      <c r="S89" s="383"/>
      <c r="T89" s="383"/>
    </row>
    <row r="90" spans="1:20">
      <c r="A90" s="293">
        <v>214</v>
      </c>
      <c r="B90" s="90" t="s">
        <v>188</v>
      </c>
      <c r="C90" s="384">
        <f>ROUND((C23-'19H30'!C23)/ABS('19H30'!C23)*100,1)</f>
        <v>-0.9</v>
      </c>
      <c r="D90" s="384">
        <f>ROUND((D23-'19H30'!D23)/ABS('19H30'!D23)*100,1)</f>
        <v>-0.3</v>
      </c>
      <c r="E90" s="384">
        <f>ROUND((E23-'19H30'!E23)/ABS('19H30'!E23)*100,1)</f>
        <v>5.3</v>
      </c>
      <c r="F90" s="384">
        <f>ROUND((F23-'19H30'!F23)/ABS('19H30'!F23)*100,1)</f>
        <v>7.6</v>
      </c>
      <c r="G90" s="384">
        <f>ROUND((G23-'19H30'!G23)/ABS('19H30'!G23)*100,1)</f>
        <v>13.1</v>
      </c>
      <c r="H90" s="384">
        <f>ROUND((H23-'19H30'!H23)/ABS('19H30'!H23)*100,1)</f>
        <v>4.0999999999999996</v>
      </c>
      <c r="I90" s="384">
        <f>ROUND((I23-'19H30'!I23)/ABS('19H30'!I23)*100,1)</f>
        <v>71.7</v>
      </c>
      <c r="J90" s="384">
        <f>ROUND((J23-'19H30'!J23)/ABS('19H30'!J23)*100,1)</f>
        <v>25</v>
      </c>
      <c r="K90" s="384">
        <f>ROUND((K23-'19H30'!K23)/ABS('19H30'!K23)*100,1)</f>
        <v>2.2000000000000002</v>
      </c>
      <c r="L90" s="384">
        <f>ROUND((L23-'19H30'!L23)/ABS('19H30'!L23)*100,1)</f>
        <v>-8.3000000000000007</v>
      </c>
      <c r="M90" s="384">
        <f>ROUND((M23-'19H30'!M23)/ABS('19H30'!M23)*100,1)</f>
        <v>-0.5</v>
      </c>
      <c r="N90" s="384">
        <f>ROUND((N23-'19H30'!N23)/ABS('19H30'!N23)*100,1)</f>
        <v>-0.4</v>
      </c>
      <c r="O90" s="384">
        <f>ROUND((O23-'19H30'!O23)/ABS('19H30'!O23)*100,1)</f>
        <v>-23.7</v>
      </c>
      <c r="R90" s="383"/>
      <c r="S90" s="383"/>
      <c r="T90" s="383"/>
    </row>
    <row r="91" spans="1:20">
      <c r="A91" s="293">
        <v>217</v>
      </c>
      <c r="B91" s="90" t="s">
        <v>189</v>
      </c>
      <c r="C91" s="384">
        <f>ROUND((C24-'19H30'!C24)/ABS('19H30'!C24)*100,1)</f>
        <v>-0.7</v>
      </c>
      <c r="D91" s="384">
        <f>ROUND((D24-'19H30'!D24)/ABS('19H30'!D24)*100,1)</f>
        <v>-0.3</v>
      </c>
      <c r="E91" s="384">
        <f>ROUND((E24-'19H30'!E24)/ABS('19H30'!E24)*100,1)</f>
        <v>3.8</v>
      </c>
      <c r="F91" s="384">
        <f>ROUND((F24-'19H30'!F24)/ABS('19H30'!F24)*100,1)</f>
        <v>11</v>
      </c>
      <c r="G91" s="384">
        <f>ROUND((G24-'19H30'!G24)/ABS('19H30'!G24)*100,1)</f>
        <v>55.9</v>
      </c>
      <c r="H91" s="384">
        <f>ROUND((H24-'19H30'!H24)/ABS('19H30'!H24)*100,1)</f>
        <v>-1.2</v>
      </c>
      <c r="I91" s="384">
        <f>ROUND((I24-'19H30'!I24)/ABS('19H30'!I24)*100,1)</f>
        <v>71.7</v>
      </c>
      <c r="J91" s="384">
        <f>ROUND((J24-'19H30'!J24)/ABS('19H30'!J24)*100,1)</f>
        <v>5.0999999999999996</v>
      </c>
      <c r="K91" s="384">
        <f>ROUND((K24-'19H30'!K24)/ABS('19H30'!K24)*100,1)</f>
        <v>2.2000000000000002</v>
      </c>
      <c r="L91" s="384">
        <f>ROUND((L24-'19H30'!L24)/ABS('19H30'!L24)*100,1)</f>
        <v>-9.1999999999999993</v>
      </c>
      <c r="M91" s="384">
        <f>ROUND((M24-'19H30'!M24)/ABS('19H30'!M24)*100,1)</f>
        <v>-0.5</v>
      </c>
      <c r="N91" s="384">
        <f>ROUND((N24-'19H30'!N24)/ABS('19H30'!N24)*100,1)</f>
        <v>-0.4</v>
      </c>
      <c r="O91" s="384">
        <f>ROUND((O24-'19H30'!O24)/ABS('19H30'!O24)*100,1)</f>
        <v>-25.4</v>
      </c>
      <c r="R91" s="383"/>
      <c r="S91" s="383"/>
      <c r="T91" s="383"/>
    </row>
    <row r="92" spans="1:20">
      <c r="A92" s="293">
        <v>219</v>
      </c>
      <c r="B92" s="90" t="s">
        <v>190</v>
      </c>
      <c r="C92" s="384">
        <f>ROUND((C25-'19H30'!C25)/ABS('19H30'!C25)*100,1)</f>
        <v>-4.5999999999999996</v>
      </c>
      <c r="D92" s="384">
        <f>ROUND((D25-'19H30'!D25)/ABS('19H30'!D25)*100,1)</f>
        <v>2</v>
      </c>
      <c r="E92" s="384">
        <f>ROUND((E25-'19H30'!E25)/ABS('19H30'!E25)*100,1)</f>
        <v>3.2</v>
      </c>
      <c r="F92" s="384">
        <f>ROUND((F25-'19H30'!F25)/ABS('19H30'!F25)*100,1)</f>
        <v>-7.7</v>
      </c>
      <c r="G92" s="384">
        <f>ROUND((G25-'19H30'!G25)/ABS('19H30'!G25)*100,1)</f>
        <v>-23.6</v>
      </c>
      <c r="H92" s="384">
        <f>ROUND((H25-'19H30'!H25)/ABS('19H30'!H25)*100,1)</f>
        <v>-7.4</v>
      </c>
      <c r="I92" s="384">
        <f>ROUND((I25-'19H30'!I25)/ABS('19H30'!I25)*100,1)</f>
        <v>68.2</v>
      </c>
      <c r="J92" s="384">
        <f>ROUND((J25-'19H30'!J25)/ABS('19H30'!J25)*100,1)</f>
        <v>29.2</v>
      </c>
      <c r="K92" s="384">
        <f>ROUND((K25-'19H30'!K25)/ABS('19H30'!K25)*100,1)</f>
        <v>0.1</v>
      </c>
      <c r="L92" s="384">
        <f>ROUND((L25-'19H30'!L25)/ABS('19H30'!L25)*100,1)</f>
        <v>-25</v>
      </c>
      <c r="M92" s="384">
        <f>ROUND((M25-'19H30'!M25)/ABS('19H30'!M25)*100,1)</f>
        <v>-4.2</v>
      </c>
      <c r="N92" s="384">
        <f>ROUND((N25-'19H30'!N25)/ABS('19H30'!N25)*100,1)</f>
        <v>-2.4</v>
      </c>
      <c r="O92" s="384">
        <f>ROUND((O25-'19H30'!O25)/ABS('19H30'!O25)*100,1)</f>
        <v>-119.9</v>
      </c>
      <c r="R92" s="383"/>
      <c r="S92" s="383"/>
      <c r="T92" s="383"/>
    </row>
    <row r="93" spans="1:20">
      <c r="A93" s="293">
        <v>301</v>
      </c>
      <c r="B93" s="90" t="s">
        <v>191</v>
      </c>
      <c r="C93" s="384">
        <f>ROUND((C26-'19H30'!C26)/ABS('19H30'!C26)*100,1)</f>
        <v>0.6</v>
      </c>
      <c r="D93" s="384">
        <f>ROUND((D26-'19H30'!D26)/ABS('19H30'!D26)*100,1)</f>
        <v>1.9</v>
      </c>
      <c r="E93" s="384">
        <f>ROUND((E26-'19H30'!E26)/ABS('19H30'!E26)*100,1)</f>
        <v>4</v>
      </c>
      <c r="F93" s="384">
        <f>ROUND((F26-'19H30'!F26)/ABS('19H30'!F26)*100,1)</f>
        <v>0.2</v>
      </c>
      <c r="G93" s="384">
        <f>ROUND((G26-'19H30'!G26)/ABS('19H30'!G26)*100,1)</f>
        <v>-28.8</v>
      </c>
      <c r="H93" s="384">
        <f>ROUND((H26-'19H30'!H26)/ABS('19H30'!H26)*100,1)</f>
        <v>0.6</v>
      </c>
      <c r="I93" s="384">
        <f>ROUND((I26-'19H30'!I26)/ABS('19H30'!I26)*100,1)</f>
        <v>78.7</v>
      </c>
      <c r="J93" s="384">
        <f>ROUND((J26-'19H30'!J26)/ABS('19H30'!J26)*100,1)</f>
        <v>251.3</v>
      </c>
      <c r="K93" s="384">
        <f>ROUND((K26-'19H30'!K26)/ABS('19H30'!K26)*100,1)</f>
        <v>6.3</v>
      </c>
      <c r="L93" s="384">
        <f>ROUND((L26-'19H30'!L26)/ABS('19H30'!L26)*100,1)</f>
        <v>-19.100000000000001</v>
      </c>
      <c r="M93" s="384">
        <f>ROUND((M26-'19H30'!M26)/ABS('19H30'!M26)*100,1)</f>
        <v>0.8</v>
      </c>
      <c r="N93" s="384">
        <f>ROUND((N26-'19H30'!N26)/ABS('19H30'!N26)*100,1)</f>
        <v>3.6</v>
      </c>
      <c r="O93" s="384">
        <f>ROUND((O26-'19H30'!O26)/ABS('19H30'!O26)*100,1)</f>
        <v>-24.9</v>
      </c>
      <c r="R93" s="383"/>
      <c r="S93" s="383"/>
      <c r="T93" s="383"/>
    </row>
    <row r="94" spans="1:20">
      <c r="A94" s="293">
        <v>3</v>
      </c>
      <c r="B94" s="65" t="s">
        <v>192</v>
      </c>
      <c r="C94" s="384">
        <f>ROUND((C27-'19H30'!C27)/ABS('19H30'!C27)*100,1)</f>
        <v>1.2</v>
      </c>
      <c r="D94" s="384">
        <f>ROUND((D27-'19H30'!D27)/ABS('19H30'!D27)*100,1)</f>
        <v>1</v>
      </c>
      <c r="E94" s="384">
        <f>ROUND((E27-'19H30'!E27)/ABS('19H30'!E27)*100,1)</f>
        <v>4.8</v>
      </c>
      <c r="F94" s="384">
        <f>ROUND((F27-'19H30'!F27)/ABS('19H30'!F27)*100,1)</f>
        <v>5.7</v>
      </c>
      <c r="G94" s="384">
        <f>ROUND((G27-'19H30'!G27)/ABS('19H30'!G27)*100,1)</f>
        <v>-1.5</v>
      </c>
      <c r="H94" s="384">
        <f>ROUND((H27-'19H30'!H27)/ABS('19H30'!H27)*100,1)</f>
        <v>5.7</v>
      </c>
      <c r="I94" s="384">
        <f>ROUND((I27-'19H30'!I27)/ABS('19H30'!I27)*100,1)</f>
        <v>73.3</v>
      </c>
      <c r="J94" s="384">
        <f>ROUND((J27-'19H30'!J27)/ABS('19H30'!J27)*100,1)</f>
        <v>17</v>
      </c>
      <c r="K94" s="384">
        <f>ROUND((K27-'19H30'!K27)/ABS('19H30'!K27)*100,1)</f>
        <v>3.1</v>
      </c>
      <c r="L94" s="384">
        <f>ROUND((L27-'19H30'!L27)/ABS('19H30'!L27)*100,1)</f>
        <v>-25.3</v>
      </c>
      <c r="M94" s="384">
        <f>ROUND((M27-'19H30'!M27)/ABS('19H30'!M27)*100,1)</f>
        <v>1.4</v>
      </c>
      <c r="N94" s="384">
        <f>ROUND((N27-'19H30'!N27)/ABS('19H30'!N27)*100,1)</f>
        <v>0.5</v>
      </c>
      <c r="O94" s="384">
        <f>ROUND((O27-'19H30'!O27)/ABS('19H30'!O27)*100,1)</f>
        <v>-65</v>
      </c>
      <c r="R94" s="383"/>
      <c r="S94" s="383"/>
      <c r="T94" s="383"/>
    </row>
    <row r="95" spans="1:20">
      <c r="A95" s="293">
        <v>203</v>
      </c>
      <c r="B95" s="90" t="s">
        <v>193</v>
      </c>
      <c r="C95" s="384">
        <f>ROUND((C28-'19H30'!C28)/ABS('19H30'!C28)*100,1)</f>
        <v>1.7</v>
      </c>
      <c r="D95" s="384">
        <f>ROUND((D28-'19H30'!D28)/ABS('19H30'!D28)*100,1)</f>
        <v>1.3</v>
      </c>
      <c r="E95" s="384">
        <f>ROUND((E28-'19H30'!E28)/ABS('19H30'!E28)*100,1)</f>
        <v>4.7</v>
      </c>
      <c r="F95" s="384">
        <f>ROUND((F28-'19H30'!F28)/ABS('19H30'!F28)*100,1)</f>
        <v>1.1000000000000001</v>
      </c>
      <c r="G95" s="384">
        <f>ROUND((G28-'19H30'!G28)/ABS('19H30'!G28)*100,1)</f>
        <v>-1.4</v>
      </c>
      <c r="H95" s="384">
        <f>ROUND((H28-'19H30'!H28)/ABS('19H30'!H28)*100,1)</f>
        <v>0.3</v>
      </c>
      <c r="I95" s="384">
        <f>ROUND((I28-'19H30'!I28)/ABS('19H30'!I28)*100,1)</f>
        <v>69</v>
      </c>
      <c r="J95" s="384">
        <f>ROUND((J28-'19H30'!J28)/ABS('19H30'!J28)*100,1)</f>
        <v>-33.799999999999997</v>
      </c>
      <c r="K95" s="384">
        <f>ROUND((K28-'19H30'!K28)/ABS('19H30'!K28)*100,1)</f>
        <v>0.6</v>
      </c>
      <c r="L95" s="384">
        <f>ROUND((L28-'19H30'!L28)/ABS('19H30'!L28)*100,1)</f>
        <v>25.5</v>
      </c>
      <c r="M95" s="384">
        <f>ROUND((M28-'19H30'!M28)/ABS('19H30'!M28)*100,1)</f>
        <v>1.8</v>
      </c>
      <c r="N95" s="384">
        <f>ROUND((N28-'19H30'!N28)/ABS('19H30'!N28)*100,1)</f>
        <v>-2</v>
      </c>
      <c r="O95" s="384">
        <f>ROUND((O28-'19H30'!O28)/ABS('19H30'!O28)*100,1)</f>
        <v>-44.3</v>
      </c>
      <c r="R95" s="383"/>
      <c r="S95" s="383"/>
      <c r="T95" s="383"/>
    </row>
    <row r="96" spans="1:20">
      <c r="A96" s="293">
        <v>210</v>
      </c>
      <c r="B96" s="90" t="s">
        <v>194</v>
      </c>
      <c r="C96" s="384">
        <f>ROUND((C29-'19H30'!C29)/ABS('19H30'!C29)*100,1)</f>
        <v>0.2</v>
      </c>
      <c r="D96" s="384">
        <f>ROUND((D29-'19H30'!D29)/ABS('19H30'!D29)*100,1)</f>
        <v>0.1</v>
      </c>
      <c r="E96" s="384">
        <f>ROUND((E29-'19H30'!E29)/ABS('19H30'!E29)*100,1)</f>
        <v>4.7</v>
      </c>
      <c r="F96" s="384">
        <f>ROUND((F29-'19H30'!F29)/ABS('19H30'!F29)*100,1)</f>
        <v>-2.2000000000000002</v>
      </c>
      <c r="G96" s="384">
        <f>ROUND((G29-'19H30'!G29)/ABS('19H30'!G29)*100,1)</f>
        <v>-7.9</v>
      </c>
      <c r="H96" s="384">
        <f>ROUND((H29-'19H30'!H29)/ABS('19H30'!H29)*100,1)</f>
        <v>-2.4</v>
      </c>
      <c r="I96" s="384">
        <f>ROUND((I29-'19H30'!I29)/ABS('19H30'!I29)*100,1)</f>
        <v>69.599999999999994</v>
      </c>
      <c r="J96" s="384">
        <f>ROUND((J29-'19H30'!J29)/ABS('19H30'!J29)*100,1)</f>
        <v>53.6</v>
      </c>
      <c r="K96" s="384">
        <f>ROUND((K29-'19H30'!K29)/ABS('19H30'!K29)*100,1)</f>
        <v>1</v>
      </c>
      <c r="L96" s="384">
        <f>ROUND((L29-'19H30'!L29)/ABS('19H30'!L29)*100,1)</f>
        <v>-10.199999999999999</v>
      </c>
      <c r="M96" s="384">
        <f>ROUND((M29-'19H30'!M29)/ABS('19H30'!M29)*100,1)</f>
        <v>0.4</v>
      </c>
      <c r="N96" s="384">
        <f>ROUND((N29-'19H30'!N29)/ABS('19H30'!N29)*100,1)</f>
        <v>-1.6</v>
      </c>
      <c r="O96" s="384">
        <f>ROUND((O29-'19H30'!O29)/ABS('19H30'!O29)*100,1)</f>
        <v>-37.200000000000003</v>
      </c>
      <c r="R96" s="383"/>
      <c r="S96" s="383"/>
      <c r="T96" s="383"/>
    </row>
    <row r="97" spans="1:20">
      <c r="A97" s="293">
        <v>216</v>
      </c>
      <c r="B97" s="90" t="s">
        <v>195</v>
      </c>
      <c r="C97" s="384">
        <f>ROUND((C30-'19H30'!C30)/ABS('19H30'!C30)*100,1)</f>
        <v>2.7</v>
      </c>
      <c r="D97" s="384">
        <f>ROUND((D30-'19H30'!D30)/ABS('19H30'!D30)*100,1)</f>
        <v>1.4</v>
      </c>
      <c r="E97" s="384">
        <f>ROUND((E30-'19H30'!E30)/ABS('19H30'!E30)*100,1)</f>
        <v>4.0999999999999996</v>
      </c>
      <c r="F97" s="384">
        <f>ROUND((F30-'19H30'!F30)/ABS('19H30'!F30)*100,1)</f>
        <v>36.6</v>
      </c>
      <c r="G97" s="384">
        <f>ROUND((G30-'19H30'!G30)/ABS('19H30'!G30)*100,1)</f>
        <v>6.5</v>
      </c>
      <c r="H97" s="384">
        <f>ROUND((H30-'19H30'!H30)/ABS('19H30'!H30)*100,1)</f>
        <v>38.1</v>
      </c>
      <c r="I97" s="384">
        <f>ROUND((I30-'19H30'!I30)/ABS('19H30'!I30)*100,1)</f>
        <v>99</v>
      </c>
      <c r="J97" s="384">
        <f>ROUND((J30-'19H30'!J30)/ABS('19H30'!J30)*100,1)</f>
        <v>91.6</v>
      </c>
      <c r="K97" s="384">
        <f>ROUND((K30-'19H30'!K30)/ABS('19H30'!K30)*100,1)</f>
        <v>18.399999999999999</v>
      </c>
      <c r="L97" s="384">
        <f>ROUND((L30-'19H30'!L30)/ABS('19H30'!L30)*100,1)</f>
        <v>-56.8</v>
      </c>
      <c r="M97" s="384">
        <f>ROUND((M30-'19H30'!M30)/ABS('19H30'!M30)*100,1)</f>
        <v>2.7</v>
      </c>
      <c r="N97" s="384">
        <f>ROUND((N30-'19H30'!N30)/ABS('19H30'!N30)*100,1)</f>
        <v>15.4</v>
      </c>
      <c r="O97" s="384">
        <f>ROUND((O30-'19H30'!O30)/ABS('19H30'!O30)*100,1)</f>
        <v>-1505.9</v>
      </c>
      <c r="R97" s="383"/>
      <c r="S97" s="383"/>
      <c r="T97" s="383"/>
    </row>
    <row r="98" spans="1:20">
      <c r="A98" s="293">
        <v>381</v>
      </c>
      <c r="B98" s="90" t="s">
        <v>196</v>
      </c>
      <c r="C98" s="384">
        <f>ROUND((C31-'19H30'!C31)/ABS('19H30'!C31)*100,1)</f>
        <v>-3.8</v>
      </c>
      <c r="D98" s="384">
        <f>ROUND((D31-'19H30'!D31)/ABS('19H30'!D31)*100,1)</f>
        <v>2.7</v>
      </c>
      <c r="E98" s="384">
        <f>ROUND((E31-'19H30'!E31)/ABS('19H30'!E31)*100,1)</f>
        <v>4.8</v>
      </c>
      <c r="F98" s="384">
        <f>ROUND((F31-'19H30'!F31)/ABS('19H30'!F31)*100,1)</f>
        <v>-9.5</v>
      </c>
      <c r="G98" s="384">
        <f>ROUND((G31-'19H30'!G31)/ABS('19H30'!G31)*100,1)</f>
        <v>0.9</v>
      </c>
      <c r="H98" s="384">
        <f>ROUND((H31-'19H30'!H31)/ABS('19H30'!H31)*100,1)</f>
        <v>-12</v>
      </c>
      <c r="I98" s="384">
        <f>ROUND((I31-'19H30'!I31)/ABS('19H30'!I31)*100,1)</f>
        <v>70.3</v>
      </c>
      <c r="J98" s="384">
        <f>ROUND((J31-'19H30'!J31)/ABS('19H30'!J31)*100,1)</f>
        <v>110.5</v>
      </c>
      <c r="K98" s="384">
        <f>ROUND((K31-'19H30'!K31)/ABS('19H30'!K31)*100,1)</f>
        <v>1.4</v>
      </c>
      <c r="L98" s="384">
        <f>ROUND((L31-'19H30'!L31)/ABS('19H30'!L31)*100,1)</f>
        <v>-11</v>
      </c>
      <c r="M98" s="384">
        <f>ROUND((M31-'19H30'!M31)/ABS('19H30'!M31)*100,1)</f>
        <v>-3.6</v>
      </c>
      <c r="N98" s="384">
        <f>ROUND((N31-'19H30'!N31)/ABS('19H30'!N31)*100,1)</f>
        <v>-1.2</v>
      </c>
      <c r="O98" s="384">
        <f>ROUND((O31-'19H30'!O31)/ABS('19H30'!O31)*100,1)</f>
        <v>-55.6</v>
      </c>
      <c r="R98" s="383"/>
      <c r="S98" s="383"/>
      <c r="T98" s="383"/>
    </row>
    <row r="99" spans="1:20">
      <c r="A99" s="293">
        <v>382</v>
      </c>
      <c r="B99" s="90" t="s">
        <v>197</v>
      </c>
      <c r="C99" s="384">
        <f>ROUND((C32-'19H30'!C32)/ABS('19H30'!C32)*100,1)</f>
        <v>4.7</v>
      </c>
      <c r="D99" s="384">
        <f>ROUND((D32-'19H30'!D32)/ABS('19H30'!D32)*100,1)</f>
        <v>2.9</v>
      </c>
      <c r="E99" s="384">
        <f>ROUND((E32-'19H30'!E32)/ABS('19H30'!E32)*100,1)</f>
        <v>9.1</v>
      </c>
      <c r="F99" s="384">
        <f>ROUND((F32-'19H30'!F32)/ABS('19H30'!F32)*100,1)</f>
        <v>-16.399999999999999</v>
      </c>
      <c r="G99" s="384">
        <f>ROUND((G32-'19H30'!G32)/ABS('19H30'!G32)*100,1)</f>
        <v>40.799999999999997</v>
      </c>
      <c r="H99" s="384">
        <f>ROUND((H32-'19H30'!H32)/ABS('19H30'!H32)*100,1)</f>
        <v>-22.5</v>
      </c>
      <c r="I99" s="384">
        <f>ROUND((I32-'19H30'!I32)/ABS('19H30'!I32)*100,1)</f>
        <v>61.4</v>
      </c>
      <c r="J99" s="384">
        <f>ROUND((J32-'19H30'!J32)/ABS('19H30'!J32)*100,1)</f>
        <v>-14.1</v>
      </c>
      <c r="K99" s="384">
        <f>ROUND((K32-'19H30'!K32)/ABS('19H30'!K32)*100,1)</f>
        <v>-4.0999999999999996</v>
      </c>
      <c r="L99" s="384">
        <f>ROUND((L32-'19H30'!L32)/ABS('19H30'!L32)*100,1)</f>
        <v>44</v>
      </c>
      <c r="M99" s="384">
        <f>ROUND((M32-'19H30'!M32)/ABS('19H30'!M32)*100,1)</f>
        <v>4.8</v>
      </c>
      <c r="N99" s="384">
        <f>ROUND((N32-'19H30'!N32)/ABS('19H30'!N32)*100,1)</f>
        <v>-6.5</v>
      </c>
      <c r="O99" s="384">
        <f>ROUND((O32-'19H30'!O32)/ABS('19H30'!O32)*100,1)</f>
        <v>-67.7</v>
      </c>
      <c r="R99" s="383"/>
      <c r="S99" s="383"/>
      <c r="T99" s="383"/>
    </row>
    <row r="100" spans="1:20">
      <c r="A100" s="293">
        <v>4</v>
      </c>
      <c r="B100" s="91" t="s">
        <v>198</v>
      </c>
      <c r="C100" s="384">
        <f>ROUND((C33-'19H30'!C33)/ABS('19H30'!C33)*100,1)</f>
        <v>1.1000000000000001</v>
      </c>
      <c r="D100" s="384">
        <f>ROUND((D33-'19H30'!D33)/ABS('19H30'!D33)*100,1)</f>
        <v>3</v>
      </c>
      <c r="E100" s="384">
        <f>ROUND((E33-'19H30'!E33)/ABS('19H30'!E33)*100,1)</f>
        <v>4.5999999999999996</v>
      </c>
      <c r="F100" s="384">
        <f>ROUND((F33-'19H30'!F33)/ABS('19H30'!F33)*100,1)</f>
        <v>9.8000000000000007</v>
      </c>
      <c r="G100" s="384">
        <f>ROUND((G33-'19H30'!G33)/ABS('19H30'!G33)*100,1)</f>
        <v>5</v>
      </c>
      <c r="H100" s="384">
        <f>ROUND((H33-'19H30'!H33)/ABS('19H30'!H33)*100,1)</f>
        <v>9.1999999999999993</v>
      </c>
      <c r="I100" s="384">
        <f>ROUND((I33-'19H30'!I33)/ABS('19H30'!I33)*100,1)</f>
        <v>78.8</v>
      </c>
      <c r="J100" s="384">
        <f>ROUND((J33-'19H30'!J33)/ABS('19H30'!J33)*100,1)</f>
        <v>44.9</v>
      </c>
      <c r="K100" s="384">
        <f>ROUND((K33-'19H30'!K33)/ABS('19H30'!K33)*100,1)</f>
        <v>6.4</v>
      </c>
      <c r="L100" s="384">
        <f>ROUND((L33-'19H30'!L33)/ABS('19H30'!L33)*100,1)</f>
        <v>-13.7</v>
      </c>
      <c r="M100" s="384">
        <f>ROUND((M33-'19H30'!M33)/ABS('19H30'!M33)*100,1)</f>
        <v>1.2</v>
      </c>
      <c r="N100" s="384">
        <f>ROUND((N33-'19H30'!N33)/ABS('19H30'!N33)*100,1)</f>
        <v>3.8</v>
      </c>
      <c r="O100" s="384">
        <f>ROUND((O33-'19H30'!O33)/ABS('19H30'!O33)*100,1)</f>
        <v>-397.1</v>
      </c>
      <c r="R100" s="383"/>
      <c r="S100" s="383"/>
      <c r="T100" s="383"/>
    </row>
    <row r="101" spans="1:20">
      <c r="A101" s="293">
        <v>213</v>
      </c>
      <c r="B101" s="92" t="s">
        <v>231</v>
      </c>
      <c r="C101" s="384">
        <f>ROUND((C34-'19H30'!C34)/ABS('19H30'!C34)*100,1)</f>
        <v>6.3</v>
      </c>
      <c r="D101" s="384">
        <f>ROUND((D34-'19H30'!D34)/ABS('19H30'!D34)*100,1)</f>
        <v>2.1</v>
      </c>
      <c r="E101" s="384">
        <f>ROUND((E34-'19H30'!E34)/ABS('19H30'!E34)*100,1)</f>
        <v>3.8</v>
      </c>
      <c r="F101" s="384">
        <f>ROUND((F34-'19H30'!F34)/ABS('19H30'!F34)*100,1)</f>
        <v>8.6999999999999993</v>
      </c>
      <c r="G101" s="384">
        <f>ROUND((G34-'19H30'!G34)/ABS('19H30'!G34)*100,1)</f>
        <v>-19.100000000000001</v>
      </c>
      <c r="H101" s="384">
        <f>ROUND((H34-'19H30'!H34)/ABS('19H30'!H34)*100,1)</f>
        <v>13.5</v>
      </c>
      <c r="I101" s="384">
        <f>ROUND((I34-'19H30'!I34)/ABS('19H30'!I34)*100,1)</f>
        <v>78.099999999999994</v>
      </c>
      <c r="J101" s="384">
        <f>ROUND((J34-'19H30'!J34)/ABS('19H30'!J34)*100,1)</f>
        <v>75</v>
      </c>
      <c r="K101" s="384">
        <f>ROUND((K34-'19H30'!K34)/ABS('19H30'!K34)*100,1)</f>
        <v>6</v>
      </c>
      <c r="L101" s="384">
        <f>ROUND((L34-'19H30'!L34)/ABS('19H30'!L34)*100,1)</f>
        <v>8.5</v>
      </c>
      <c r="M101" s="384">
        <f>ROUND((M34-'19H30'!M34)/ABS('19H30'!M34)*100,1)</f>
        <v>6.1</v>
      </c>
      <c r="N101" s="384">
        <f>ROUND((N34-'19H30'!N34)/ABS('19H30'!N34)*100,1)</f>
        <v>3.3</v>
      </c>
      <c r="O101" s="384">
        <f>ROUND((O34-'19H30'!O34)/ABS('19H30'!O34)*100,1)</f>
        <v>-51.4</v>
      </c>
      <c r="R101" s="383"/>
      <c r="S101" s="383"/>
      <c r="T101" s="383"/>
    </row>
    <row r="102" spans="1:20">
      <c r="A102" s="293">
        <v>215</v>
      </c>
      <c r="B102" s="92" t="s">
        <v>232</v>
      </c>
      <c r="C102" s="384">
        <f>ROUND((C35-'19H30'!C35)/ABS('19H30'!C35)*100,1)</f>
        <v>0.2</v>
      </c>
      <c r="D102" s="384">
        <f>ROUND((D35-'19H30'!D35)/ABS('19H30'!D35)*100,1)</f>
        <v>2.4</v>
      </c>
      <c r="E102" s="384">
        <f>ROUND((E35-'19H30'!E35)/ABS('19H30'!E35)*100,1)</f>
        <v>6.9</v>
      </c>
      <c r="F102" s="384">
        <f>ROUND((F35-'19H30'!F35)/ABS('19H30'!F35)*100,1)</f>
        <v>8.3000000000000007</v>
      </c>
      <c r="G102" s="384">
        <f>ROUND((G35-'19H30'!G35)/ABS('19H30'!G35)*100,1)</f>
        <v>15</v>
      </c>
      <c r="H102" s="384">
        <f>ROUND((H35-'19H30'!H35)/ABS('19H30'!H35)*100,1)</f>
        <v>5.7</v>
      </c>
      <c r="I102" s="384">
        <f>ROUND((I35-'19H30'!I35)/ABS('19H30'!I35)*100,1)</f>
        <v>76.2</v>
      </c>
      <c r="J102" s="384">
        <f>ROUND((J35-'19H30'!J35)/ABS('19H30'!J35)*100,1)</f>
        <v>26.7</v>
      </c>
      <c r="K102" s="384">
        <f>ROUND((K35-'19H30'!K35)/ABS('19H30'!K35)*100,1)</f>
        <v>4.8</v>
      </c>
      <c r="L102" s="384">
        <f>ROUND((L35-'19H30'!L35)/ABS('19H30'!L35)*100,1)</f>
        <v>-25.1</v>
      </c>
      <c r="M102" s="384">
        <f>ROUND((M35-'19H30'!M35)/ABS('19H30'!M35)*100,1)</f>
        <v>0.5</v>
      </c>
      <c r="N102" s="384">
        <f>ROUND((N35-'19H30'!N35)/ABS('19H30'!N35)*100,1)</f>
        <v>2.2000000000000002</v>
      </c>
      <c r="O102" s="384">
        <f>ROUND((O35-'19H30'!O35)/ABS('19H30'!O35)*100,1)</f>
        <v>-80.8</v>
      </c>
      <c r="R102" s="383"/>
      <c r="S102" s="383"/>
      <c r="T102" s="383"/>
    </row>
    <row r="103" spans="1:20">
      <c r="A103" s="293">
        <v>218</v>
      </c>
      <c r="B103" s="90" t="s">
        <v>200</v>
      </c>
      <c r="C103" s="384">
        <f>ROUND((C36-'19H30'!C36)/ABS('19H30'!C36)*100,1)</f>
        <v>-0.1</v>
      </c>
      <c r="D103" s="384">
        <f>ROUND((D36-'19H30'!D36)/ABS('19H30'!D36)*100,1)</f>
        <v>3.2</v>
      </c>
      <c r="E103" s="384">
        <f>ROUND((E36-'19H30'!E36)/ABS('19H30'!E36)*100,1)</f>
        <v>4.8</v>
      </c>
      <c r="F103" s="384">
        <f>ROUND((F36-'19H30'!F36)/ABS('19H30'!F36)*100,1)</f>
        <v>1.6</v>
      </c>
      <c r="G103" s="384">
        <f>ROUND((G36-'19H30'!G36)/ABS('19H30'!G36)*100,1)</f>
        <v>-29.1</v>
      </c>
      <c r="H103" s="384">
        <f>ROUND((H36-'19H30'!H36)/ABS('19H30'!H36)*100,1)</f>
        <v>5</v>
      </c>
      <c r="I103" s="384">
        <f>ROUND((I36-'19H30'!I36)/ABS('19H30'!I36)*100,1)</f>
        <v>84.1</v>
      </c>
      <c r="J103" s="384">
        <f>ROUND((J36-'19H30'!J36)/ABS('19H30'!J36)*100,1)</f>
        <v>141.19999999999999</v>
      </c>
      <c r="K103" s="384">
        <f>ROUND((K36-'19H30'!K36)/ABS('19H30'!K36)*100,1)</f>
        <v>9.5</v>
      </c>
      <c r="L103" s="384">
        <f>ROUND((L36-'19H30'!L36)/ABS('19H30'!L36)*100,1)</f>
        <v>-19.3</v>
      </c>
      <c r="M103" s="384">
        <f>ROUND((M36-'19H30'!M36)/ABS('19H30'!M36)*100,1)</f>
        <v>0.1</v>
      </c>
      <c r="N103" s="384">
        <f>ROUND((N36-'19H30'!N36)/ABS('19H30'!N36)*100,1)</f>
        <v>6.8</v>
      </c>
      <c r="O103" s="384">
        <f>ROUND((O36-'19H30'!O36)/ABS('19H30'!O36)*100,1)</f>
        <v>-204.5</v>
      </c>
      <c r="R103" s="383"/>
      <c r="S103" s="383"/>
      <c r="T103" s="383"/>
    </row>
    <row r="104" spans="1:20">
      <c r="A104" s="293">
        <v>220</v>
      </c>
      <c r="B104" s="90" t="s">
        <v>201</v>
      </c>
      <c r="C104" s="384">
        <f>ROUND((C37-'19H30'!C37)/ABS('19H30'!C37)*100,1)</f>
        <v>-3</v>
      </c>
      <c r="D104" s="384">
        <f>ROUND((D37-'19H30'!D37)/ABS('19H30'!D37)*100,1)</f>
        <v>3</v>
      </c>
      <c r="E104" s="384">
        <f>ROUND((E37-'19H30'!E37)/ABS('19H30'!E37)*100,1)</f>
        <v>9.1</v>
      </c>
      <c r="F104" s="384">
        <f>ROUND((F37-'19H30'!F37)/ABS('19H30'!F37)*100,1)</f>
        <v>5.2</v>
      </c>
      <c r="G104" s="384">
        <f>ROUND((G37-'19H30'!G37)/ABS('19H30'!G37)*100,1)</f>
        <v>58.2</v>
      </c>
      <c r="H104" s="384">
        <f>ROUND((H37-'19H30'!H37)/ABS('19H30'!H37)*100,1)</f>
        <v>-0.3</v>
      </c>
      <c r="I104" s="384">
        <f>ROUND((I37-'19H30'!I37)/ABS('19H30'!I37)*100,1)</f>
        <v>79.5</v>
      </c>
      <c r="J104" s="384">
        <f>ROUND((J37-'19H30'!J37)/ABS('19H30'!J37)*100,1)</f>
        <v>127.6</v>
      </c>
      <c r="K104" s="384">
        <f>ROUND((K37-'19H30'!K37)/ABS('19H30'!K37)*100,1)</f>
        <v>6.9</v>
      </c>
      <c r="L104" s="384">
        <f>ROUND((L37-'19H30'!L37)/ABS('19H30'!L37)*100,1)</f>
        <v>-19.3</v>
      </c>
      <c r="M104" s="384">
        <f>ROUND((M37-'19H30'!M37)/ABS('19H30'!M37)*100,1)</f>
        <v>-2.6</v>
      </c>
      <c r="N104" s="384">
        <f>ROUND((N37-'19H30'!N37)/ABS('19H30'!N37)*100,1)</f>
        <v>4.2</v>
      </c>
      <c r="O104" s="384">
        <f>ROUND((O37-'19H30'!O37)/ABS('19H30'!O37)*100,1)</f>
        <v>-129.30000000000001</v>
      </c>
      <c r="R104" s="383"/>
      <c r="S104" s="383"/>
      <c r="T104" s="383"/>
    </row>
    <row r="105" spans="1:20">
      <c r="A105" s="293">
        <v>228</v>
      </c>
      <c r="B105" s="90" t="s">
        <v>239</v>
      </c>
      <c r="C105" s="384">
        <f>ROUND((C38-'19H30'!C38)/ABS('19H30'!C38)*100,1)</f>
        <v>4.5999999999999996</v>
      </c>
      <c r="D105" s="384">
        <f>ROUND((D38-'19H30'!D38)/ABS('19H30'!D38)*100,1)</f>
        <v>4.8</v>
      </c>
      <c r="E105" s="384">
        <f>ROUND((E38-'19H30'!E38)/ABS('19H30'!E38)*100,1)</f>
        <v>3.5</v>
      </c>
      <c r="F105" s="384">
        <f>ROUND((F38-'19H30'!F38)/ABS('19H30'!F38)*100,1)</f>
        <v>33.9</v>
      </c>
      <c r="G105" s="384">
        <f>ROUND((G38-'19H30'!G38)/ABS('19H30'!G38)*100,1)</f>
        <v>13.5</v>
      </c>
      <c r="H105" s="384">
        <f>ROUND((H38-'19H30'!H38)/ABS('19H30'!H38)*100,1)</f>
        <v>36.799999999999997</v>
      </c>
      <c r="I105" s="384">
        <f>ROUND((I38-'19H30'!I38)/ABS('19H30'!I38)*100,1)</f>
        <v>87.6</v>
      </c>
      <c r="J105" s="384">
        <f>ROUND((J38-'19H30'!J38)/ABS('19H30'!J38)*100,1)</f>
        <v>-19.100000000000001</v>
      </c>
      <c r="K105" s="384">
        <f>ROUND((K38-'19H30'!K38)/ABS('19H30'!K38)*100,1)</f>
        <v>11.6</v>
      </c>
      <c r="L105" s="384">
        <f>ROUND((L38-'19H30'!L38)/ABS('19H30'!L38)*100,1)</f>
        <v>-6.6</v>
      </c>
      <c r="M105" s="384">
        <f>ROUND((M38-'19H30'!M38)/ABS('19H30'!M38)*100,1)</f>
        <v>4.5999999999999996</v>
      </c>
      <c r="N105" s="384">
        <f>ROUND((N38-'19H30'!N38)/ABS('19H30'!N38)*100,1)</f>
        <v>8.8000000000000007</v>
      </c>
      <c r="O105" s="384">
        <f>ROUND((O38-'19H30'!O38)/ABS('19H30'!O38)*100,1)</f>
        <v>-83.1</v>
      </c>
      <c r="R105" s="383"/>
      <c r="S105" s="383"/>
      <c r="T105" s="383"/>
    </row>
    <row r="106" spans="1:20">
      <c r="A106" s="293">
        <v>365</v>
      </c>
      <c r="B106" s="90" t="s">
        <v>233</v>
      </c>
      <c r="C106" s="384">
        <f>ROUND((C39-'19H30'!C39)/ABS('19H30'!C39)*100,1)</f>
        <v>0.2</v>
      </c>
      <c r="D106" s="384">
        <f>ROUND((D39-'19H30'!D39)/ABS('19H30'!D39)*100,1)</f>
        <v>2</v>
      </c>
      <c r="E106" s="384">
        <f>ROUND((E39-'19H30'!E39)/ABS('19H30'!E39)*100,1)</f>
        <v>-6.2</v>
      </c>
      <c r="F106" s="384">
        <f>ROUND((F39-'19H30'!F39)/ABS('19H30'!F39)*100,1)</f>
        <v>-12.5</v>
      </c>
      <c r="G106" s="384">
        <f>ROUND((G39-'19H30'!G39)/ABS('19H30'!G39)*100,1)</f>
        <v>7.9</v>
      </c>
      <c r="H106" s="384">
        <f>ROUND((H39-'19H30'!H39)/ABS('19H30'!H39)*100,1)</f>
        <v>-15.3</v>
      </c>
      <c r="I106" s="384">
        <f>ROUND((I39-'19H30'!I39)/ABS('19H30'!I39)*100,1)</f>
        <v>55</v>
      </c>
      <c r="J106" s="384">
        <f>ROUND((J39-'19H30'!J39)/ABS('19H30'!J39)*100,1)</f>
        <v>-58.5</v>
      </c>
      <c r="K106" s="384">
        <f>ROUND((K39-'19H30'!K39)/ABS('19H30'!K39)*100,1)</f>
        <v>-7.6</v>
      </c>
      <c r="L106" s="384">
        <f>ROUND((L39-'19H30'!L39)/ABS('19H30'!L39)*100,1)</f>
        <v>149.1</v>
      </c>
      <c r="M106" s="384">
        <f>ROUND((M39-'19H30'!M39)/ABS('19H30'!M39)*100,1)</f>
        <v>-0.6</v>
      </c>
      <c r="N106" s="384">
        <f>ROUND((N39-'19H30'!N39)/ABS('19H30'!N39)*100,1)</f>
        <v>-9.9</v>
      </c>
      <c r="O106" s="384">
        <f>ROUND((O39-'19H30'!O39)/ABS('19H30'!O39)*100,1)</f>
        <v>0.5</v>
      </c>
      <c r="R106" s="383"/>
      <c r="S106" s="383"/>
      <c r="T106" s="383"/>
    </row>
    <row r="107" spans="1:20">
      <c r="A107" s="293">
        <v>5</v>
      </c>
      <c r="B107" s="91" t="s">
        <v>202</v>
      </c>
      <c r="C107" s="384">
        <f>ROUND((C40-'19H30'!C40)/ABS('19H30'!C40)*100,1)</f>
        <v>-1</v>
      </c>
      <c r="D107" s="384">
        <f>ROUND((D40-'19H30'!D40)/ABS('19H30'!D40)*100,1)</f>
        <v>-0.2</v>
      </c>
      <c r="E107" s="384">
        <f>ROUND((E40-'19H30'!E40)/ABS('19H30'!E40)*100,1)</f>
        <v>4.2</v>
      </c>
      <c r="F107" s="384">
        <f>ROUND((F40-'19H30'!F40)/ABS('19H30'!F40)*100,1)</f>
        <v>-10.3</v>
      </c>
      <c r="G107" s="384">
        <f>ROUND((G40-'19H30'!G40)/ABS('19H30'!G40)*100,1)</f>
        <v>-11.8</v>
      </c>
      <c r="H107" s="384">
        <f>ROUND((H40-'19H30'!H40)/ABS('19H30'!H40)*100,1)</f>
        <v>-11.2</v>
      </c>
      <c r="I107" s="384">
        <f>ROUND((I40-'19H30'!I40)/ABS('19H30'!I40)*100,1)</f>
        <v>64.8</v>
      </c>
      <c r="J107" s="384">
        <f>ROUND((J40-'19H30'!J40)/ABS('19H30'!J40)*100,1)</f>
        <v>23.3</v>
      </c>
      <c r="K107" s="384">
        <f>ROUND((K40-'19H30'!K40)/ABS('19H30'!K40)*100,1)</f>
        <v>-1.9</v>
      </c>
      <c r="L107" s="384">
        <f>ROUND((L40-'19H30'!L40)/ABS('19H30'!L40)*100,1)</f>
        <v>5.7</v>
      </c>
      <c r="M107" s="384">
        <f>ROUND((M40-'19H30'!M40)/ABS('19H30'!M40)*100,1)</f>
        <v>-0.8</v>
      </c>
      <c r="N107" s="384">
        <f>ROUND((N40-'19H30'!N40)/ABS('19H30'!N40)*100,1)</f>
        <v>-4.4000000000000004</v>
      </c>
      <c r="O107" s="384">
        <f>ROUND((O40-'19H30'!O40)/ABS('19H30'!O40)*100,1)</f>
        <v>-64.3</v>
      </c>
      <c r="R107" s="383"/>
      <c r="S107" s="383"/>
      <c r="T107" s="383"/>
    </row>
    <row r="108" spans="1:20">
      <c r="A108" s="293">
        <v>201</v>
      </c>
      <c r="B108" s="92" t="s">
        <v>240</v>
      </c>
      <c r="C108" s="384">
        <f>ROUND((C41-'19H30'!C41)/ABS('19H30'!C41)*100,1)</f>
        <v>-1.1000000000000001</v>
      </c>
      <c r="D108" s="384">
        <f>ROUND((D41-'19H30'!D41)/ABS('19H30'!D41)*100,1)</f>
        <v>-0.4</v>
      </c>
      <c r="E108" s="384">
        <f>ROUND((E41-'19H30'!E41)/ABS('19H30'!E41)*100,1)</f>
        <v>4.0999999999999996</v>
      </c>
      <c r="F108" s="384">
        <f>ROUND((F41-'19H30'!F41)/ABS('19H30'!F41)*100,1)</f>
        <v>-11.7</v>
      </c>
      <c r="G108" s="384">
        <f>ROUND((G41-'19H30'!G41)/ABS('19H30'!G41)*100,1)</f>
        <v>-12.3</v>
      </c>
      <c r="H108" s="384">
        <f>ROUND((H41-'19H30'!H41)/ABS('19H30'!H41)*100,1)</f>
        <v>-12.8</v>
      </c>
      <c r="I108" s="384">
        <f>ROUND((I41-'19H30'!I41)/ABS('19H30'!I41)*100,1)</f>
        <v>64.3</v>
      </c>
      <c r="J108" s="384">
        <f>ROUND((J41-'19H30'!J41)/ABS('19H30'!J41)*100,1)</f>
        <v>32.9</v>
      </c>
      <c r="K108" s="384">
        <f>ROUND((K41-'19H30'!K41)/ABS('19H30'!K41)*100,1)</f>
        <v>-2.2000000000000002</v>
      </c>
      <c r="L108" s="384">
        <f>ROUND((L41-'19H30'!L41)/ABS('19H30'!L41)*100,1)</f>
        <v>9.6999999999999993</v>
      </c>
      <c r="M108" s="384">
        <f>ROUND((M41-'19H30'!M41)/ABS('19H30'!M41)*100,1)</f>
        <v>-0.9</v>
      </c>
      <c r="N108" s="384">
        <f>ROUND((N41-'19H30'!N41)/ABS('19H30'!N41)*100,1)</f>
        <v>-4.7</v>
      </c>
      <c r="O108" s="384">
        <f>ROUND((O41-'19H30'!O41)/ABS('19H30'!O41)*100,1)</f>
        <v>-58.2</v>
      </c>
      <c r="R108" s="383"/>
      <c r="S108" s="383"/>
      <c r="T108" s="383"/>
    </row>
    <row r="109" spans="1:20">
      <c r="A109" s="293">
        <v>442</v>
      </c>
      <c r="B109" s="90" t="s">
        <v>203</v>
      </c>
      <c r="C109" s="384">
        <f>ROUND((C42-'19H30'!C42)/ABS('19H30'!C42)*100,1)</f>
        <v>2.2999999999999998</v>
      </c>
      <c r="D109" s="384">
        <f>ROUND((D42-'19H30'!D42)/ABS('19H30'!D42)*100,1)</f>
        <v>2</v>
      </c>
      <c r="E109" s="384">
        <f>ROUND((E42-'19H30'!E42)/ABS('19H30'!E42)*100,1)</f>
        <v>10.5</v>
      </c>
      <c r="F109" s="384">
        <f>ROUND((F42-'19H30'!F42)/ABS('19H30'!F42)*100,1)</f>
        <v>5.9</v>
      </c>
      <c r="G109" s="384">
        <f>ROUND((G42-'19H30'!G42)/ABS('19H30'!G42)*100,1)</f>
        <v>-15.9</v>
      </c>
      <c r="H109" s="384">
        <f>ROUND((H42-'19H30'!H42)/ABS('19H30'!H42)*100,1)</f>
        <v>6.1</v>
      </c>
      <c r="I109" s="384">
        <f>ROUND((I42-'19H30'!I42)/ABS('19H30'!I42)*100,1)</f>
        <v>63.2</v>
      </c>
      <c r="J109" s="384">
        <f>ROUND((J42-'19H30'!J42)/ABS('19H30'!J42)*100,1)</f>
        <v>-68.3</v>
      </c>
      <c r="K109" s="384">
        <f>ROUND((K42-'19H30'!K42)/ABS('19H30'!K42)*100,1)</f>
        <v>-3</v>
      </c>
      <c r="L109" s="384">
        <f>ROUND((L42-'19H30'!L42)/ABS('19H30'!L42)*100,1)</f>
        <v>34.799999999999997</v>
      </c>
      <c r="M109" s="384">
        <f>ROUND((M42-'19H30'!M42)/ABS('19H30'!M42)*100,1)</f>
        <v>2.9</v>
      </c>
      <c r="N109" s="384">
        <f>ROUND((N42-'19H30'!N42)/ABS('19H30'!N42)*100,1)</f>
        <v>-5.5</v>
      </c>
      <c r="O109" s="384">
        <f>ROUND((O42-'19H30'!O42)/ABS('19H30'!O42)*100,1)</f>
        <v>-17.600000000000001</v>
      </c>
      <c r="R109" s="383"/>
      <c r="S109" s="383"/>
      <c r="T109" s="383"/>
    </row>
    <row r="110" spans="1:20">
      <c r="A110" s="293">
        <v>443</v>
      </c>
      <c r="B110" s="90" t="s">
        <v>204</v>
      </c>
      <c r="C110" s="384">
        <f>ROUND((C43-'19H30'!C43)/ABS('19H30'!C43)*100,1)</f>
        <v>-0.6</v>
      </c>
      <c r="D110" s="384">
        <f>ROUND((D43-'19H30'!D43)/ABS('19H30'!D43)*100,1)</f>
        <v>4.5999999999999996</v>
      </c>
      <c r="E110" s="384">
        <f>ROUND((E43-'19H30'!E43)/ABS('19H30'!E43)*100,1)</f>
        <v>4.2</v>
      </c>
      <c r="F110" s="384">
        <f>ROUND((F43-'19H30'!F43)/ABS('19H30'!F43)*100,1)</f>
        <v>6.4</v>
      </c>
      <c r="G110" s="384">
        <f>ROUND((G43-'19H30'!G43)/ABS('19H30'!G43)*100,1)</f>
        <v>12.8</v>
      </c>
      <c r="H110" s="384">
        <f>ROUND((H43-'19H30'!H43)/ABS('19H30'!H43)*100,1)</f>
        <v>4.7</v>
      </c>
      <c r="I110" s="384">
        <f>ROUND((I43-'19H30'!I43)/ABS('19H30'!I43)*100,1)</f>
        <v>76</v>
      </c>
      <c r="J110" s="384">
        <f>ROUND((J43-'19H30'!J43)/ABS('19H30'!J43)*100,1)</f>
        <v>-3</v>
      </c>
      <c r="K110" s="384">
        <f>ROUND((K43-'19H30'!K43)/ABS('19H30'!K43)*100,1)</f>
        <v>4.8</v>
      </c>
      <c r="L110" s="384">
        <f>ROUND((L43-'19H30'!L43)/ABS('19H30'!L43)*100,1)</f>
        <v>-5</v>
      </c>
      <c r="M110" s="384">
        <f>ROUND((M43-'19H30'!M43)/ABS('19H30'!M43)*100,1)</f>
        <v>-0.5</v>
      </c>
      <c r="N110" s="384">
        <f>ROUND((N43-'19H30'!N43)/ABS('19H30'!N43)*100,1)</f>
        <v>2.1</v>
      </c>
      <c r="O110" s="384">
        <f>ROUND((O43-'19H30'!O43)/ABS('19H30'!O43)*100,1)</f>
        <v>-25.3</v>
      </c>
      <c r="R110" s="383"/>
      <c r="S110" s="383"/>
      <c r="T110" s="383"/>
    </row>
    <row r="111" spans="1:20">
      <c r="A111" s="293">
        <v>446</v>
      </c>
      <c r="B111" s="90" t="s">
        <v>234</v>
      </c>
      <c r="C111" s="384">
        <f>ROUND((C44-'19H30'!C44)/ABS('19H30'!C44)*100,1)</f>
        <v>-2.9</v>
      </c>
      <c r="D111" s="384">
        <f>ROUND((D44-'19H30'!D44)/ABS('19H30'!D44)*100,1)</f>
        <v>2.1</v>
      </c>
      <c r="E111" s="384">
        <f>ROUND((E44-'19H30'!E44)/ABS('19H30'!E44)*100,1)</f>
        <v>1.4</v>
      </c>
      <c r="F111" s="384">
        <f>ROUND((F44-'19H30'!F44)/ABS('19H30'!F44)*100,1)</f>
        <v>12.3</v>
      </c>
      <c r="G111" s="384">
        <f>ROUND((G44-'19H30'!G44)/ABS('19H30'!G44)*100,1)</f>
        <v>-54.6</v>
      </c>
      <c r="H111" s="384">
        <f>ROUND((H44-'19H30'!H44)/ABS('19H30'!H44)*100,1)</f>
        <v>15.5</v>
      </c>
      <c r="I111" s="384">
        <f>ROUND((I44-'19H30'!I44)/ABS('19H30'!I44)*100,1)</f>
        <v>71.7</v>
      </c>
      <c r="J111" s="384">
        <f>ROUND((J44-'19H30'!J44)/ABS('19H30'!J44)*100,1)</f>
        <v>-26.4</v>
      </c>
      <c r="K111" s="384">
        <f>ROUND((K44-'19H30'!K44)/ABS('19H30'!K44)*100,1)</f>
        <v>2.1</v>
      </c>
      <c r="L111" s="384">
        <f>ROUND((L44-'19H30'!L44)/ABS('19H30'!L44)*100,1)</f>
        <v>-11.9</v>
      </c>
      <c r="M111" s="384">
        <f>ROUND((M44-'19H30'!M44)/ABS('19H30'!M44)*100,1)</f>
        <v>-2.6</v>
      </c>
      <c r="N111" s="384">
        <f>ROUND((N44-'19H30'!N44)/ABS('19H30'!N44)*100,1)</f>
        <v>-0.5</v>
      </c>
      <c r="O111" s="384">
        <f>ROUND((O44-'19H30'!O44)/ABS('19H30'!O44)*100,1)</f>
        <v>-17.5</v>
      </c>
      <c r="R111" s="383"/>
      <c r="S111" s="383"/>
      <c r="T111" s="383"/>
    </row>
    <row r="112" spans="1:20">
      <c r="A112" s="293">
        <v>6</v>
      </c>
      <c r="B112" s="91" t="s">
        <v>205</v>
      </c>
      <c r="C112" s="384">
        <f>ROUND((C45-'19H30'!C45)/ABS('19H30'!C45)*100,1)</f>
        <v>0.8</v>
      </c>
      <c r="D112" s="384">
        <f>ROUND((D45-'19H30'!D45)/ABS('19H30'!D45)*100,1)</f>
        <v>2.1</v>
      </c>
      <c r="E112" s="384">
        <f>ROUND((E45-'19H30'!E45)/ABS('19H30'!E45)*100,1)</f>
        <v>1.8</v>
      </c>
      <c r="F112" s="384">
        <f>ROUND((F45-'19H30'!F45)/ABS('19H30'!F45)*100,1)</f>
        <v>4.8</v>
      </c>
      <c r="G112" s="384">
        <f>ROUND((G45-'19H30'!G45)/ABS('19H30'!G45)*100,1)</f>
        <v>-8.1999999999999993</v>
      </c>
      <c r="H112" s="384">
        <f>ROUND((H45-'19H30'!H45)/ABS('19H30'!H45)*100,1)</f>
        <v>4.9000000000000004</v>
      </c>
      <c r="I112" s="384">
        <f>ROUND((I45-'19H30'!I45)/ABS('19H30'!I45)*100,1)</f>
        <v>75</v>
      </c>
      <c r="J112" s="384">
        <f>ROUND((J45-'19H30'!J45)/ABS('19H30'!J45)*100,1)</f>
        <v>40</v>
      </c>
      <c r="K112" s="384">
        <f>ROUND((K45-'19H30'!K45)/ABS('19H30'!K45)*100,1)</f>
        <v>4.2</v>
      </c>
      <c r="L112" s="384">
        <f>ROUND((L45-'19H30'!L45)/ABS('19H30'!L45)*100,1)</f>
        <v>-16</v>
      </c>
      <c r="M112" s="384">
        <f>ROUND((M45-'19H30'!M45)/ABS('19H30'!M45)*100,1)</f>
        <v>0.8</v>
      </c>
      <c r="N112" s="384">
        <f>ROUND((N45-'19H30'!N45)/ABS('19H30'!N45)*100,1)</f>
        <v>1.6</v>
      </c>
      <c r="O112" s="384">
        <f>ROUND((O45-'19H30'!O45)/ABS('19H30'!O45)*100,1)</f>
        <v>-73.900000000000006</v>
      </c>
      <c r="R112" s="383"/>
      <c r="S112" s="383"/>
      <c r="T112" s="383"/>
    </row>
    <row r="113" spans="1:20">
      <c r="A113" s="293">
        <v>208</v>
      </c>
      <c r="B113" s="90" t="s">
        <v>206</v>
      </c>
      <c r="C113" s="384">
        <f>ROUND((C46-'19H30'!C46)/ABS('19H30'!C46)*100,1)</f>
        <v>5</v>
      </c>
      <c r="D113" s="384">
        <f>ROUND((D46-'19H30'!D46)/ABS('19H30'!D46)*100,1)</f>
        <v>0.8</v>
      </c>
      <c r="E113" s="384">
        <f>ROUND((E46-'19H30'!E46)/ABS('19H30'!E46)*100,1)</f>
        <v>-0.5</v>
      </c>
      <c r="F113" s="384">
        <f>ROUND((F46-'19H30'!F46)/ABS('19H30'!F46)*100,1)</f>
        <v>-10.7</v>
      </c>
      <c r="G113" s="384">
        <f>ROUND((G46-'19H30'!G46)/ABS('19H30'!G46)*100,1)</f>
        <v>-33.799999999999997</v>
      </c>
      <c r="H113" s="384">
        <f>ROUND((H46-'19H30'!H46)/ABS('19H30'!H46)*100,1)</f>
        <v>-9.1999999999999993</v>
      </c>
      <c r="I113" s="384">
        <f>ROUND((I46-'19H30'!I46)/ABS('19H30'!I46)*100,1)</f>
        <v>67.3</v>
      </c>
      <c r="J113" s="384">
        <f>ROUND((J46-'19H30'!J46)/ABS('19H30'!J46)*100,1)</f>
        <v>83.8</v>
      </c>
      <c r="K113" s="384">
        <f>ROUND((K46-'19H30'!K46)/ABS('19H30'!K46)*100,1)</f>
        <v>-0.3</v>
      </c>
      <c r="L113" s="384">
        <f>ROUND((L46-'19H30'!L46)/ABS('19H30'!L46)*100,1)</f>
        <v>20.100000000000001</v>
      </c>
      <c r="M113" s="384">
        <f>ROUND((M46-'19H30'!M46)/ABS('19H30'!M46)*100,1)</f>
        <v>4.7</v>
      </c>
      <c r="N113" s="384">
        <f>ROUND((N46-'19H30'!N46)/ABS('19H30'!N46)*100,1)</f>
        <v>-2.8</v>
      </c>
      <c r="O113" s="384">
        <f>ROUND((O46-'19H30'!O46)/ABS('19H30'!O46)*100,1)</f>
        <v>-86.7</v>
      </c>
      <c r="R113" s="383"/>
      <c r="S113" s="383"/>
      <c r="T113" s="383"/>
    </row>
    <row r="114" spans="1:20">
      <c r="A114" s="293">
        <v>212</v>
      </c>
      <c r="B114" s="90" t="s">
        <v>207</v>
      </c>
      <c r="C114" s="384">
        <f>ROUND((C47-'19H30'!C47)/ABS('19H30'!C47)*100,1)</f>
        <v>2</v>
      </c>
      <c r="D114" s="384">
        <f>ROUND((D47-'19H30'!D47)/ABS('19H30'!D47)*100,1)</f>
        <v>2.7</v>
      </c>
      <c r="E114" s="384">
        <f>ROUND((E47-'19H30'!E47)/ABS('19H30'!E47)*100,1)</f>
        <v>0.4</v>
      </c>
      <c r="F114" s="384">
        <f>ROUND((F47-'19H30'!F47)/ABS('19H30'!F47)*100,1)</f>
        <v>22.9</v>
      </c>
      <c r="G114" s="384">
        <f>ROUND((G47-'19H30'!G47)/ABS('19H30'!G47)*100,1)</f>
        <v>-8.5</v>
      </c>
      <c r="H114" s="384">
        <f>ROUND((H47-'19H30'!H47)/ABS('19H30'!H47)*100,1)</f>
        <v>25.3</v>
      </c>
      <c r="I114" s="384">
        <f>ROUND((I47-'19H30'!I47)/ABS('19H30'!I47)*100,1)</f>
        <v>81.3</v>
      </c>
      <c r="J114" s="384">
        <f>ROUND((J47-'19H30'!J47)/ABS('19H30'!J47)*100,1)</f>
        <v>5.6</v>
      </c>
      <c r="K114" s="384">
        <f>ROUND((K47-'19H30'!K47)/ABS('19H30'!K47)*100,1)</f>
        <v>8</v>
      </c>
      <c r="L114" s="384">
        <f>ROUND((L47-'19H30'!L47)/ABS('19H30'!L47)*100,1)</f>
        <v>-19.7</v>
      </c>
      <c r="M114" s="384">
        <f>ROUND((M47-'19H30'!M47)/ABS('19H30'!M47)*100,1)</f>
        <v>1.9</v>
      </c>
      <c r="N114" s="384">
        <f>ROUND((N47-'19H30'!N47)/ABS('19H30'!N47)*100,1)</f>
        <v>5.3</v>
      </c>
      <c r="O114" s="384">
        <f>ROUND((O47-'19H30'!O47)/ABS('19H30'!O47)*100,1)</f>
        <v>-134</v>
      </c>
      <c r="R114" s="383"/>
      <c r="S114" s="383"/>
      <c r="T114" s="383"/>
    </row>
    <row r="115" spans="1:20">
      <c r="A115" s="293">
        <v>227</v>
      </c>
      <c r="B115" s="90" t="s">
        <v>219</v>
      </c>
      <c r="C115" s="384">
        <f>ROUND((C48-'19H30'!C48)/ABS('19H30'!C48)*100,1)</f>
        <v>-2.2000000000000002</v>
      </c>
      <c r="D115" s="384">
        <f>ROUND((D48-'19H30'!D48)/ABS('19H30'!D48)*100,1)</f>
        <v>2.2999999999999998</v>
      </c>
      <c r="E115" s="384">
        <f>ROUND((E48-'19H30'!E48)/ABS('19H30'!E48)*100,1)</f>
        <v>4</v>
      </c>
      <c r="F115" s="384">
        <f>ROUND((F48-'19H30'!F48)/ABS('19H30'!F48)*100,1)</f>
        <v>-7</v>
      </c>
      <c r="G115" s="384">
        <f>ROUND((G48-'19H30'!G48)/ABS('19H30'!G48)*100,1)</f>
        <v>-29.8</v>
      </c>
      <c r="H115" s="384">
        <f>ROUND((H48-'19H30'!H48)/ABS('19H30'!H48)*100,1)</f>
        <v>-5.6</v>
      </c>
      <c r="I115" s="384">
        <f>ROUND((I48-'19H30'!I48)/ABS('19H30'!I48)*100,1)</f>
        <v>71.2</v>
      </c>
      <c r="J115" s="384">
        <f>ROUND((J48-'19H30'!J48)/ABS('19H30'!J48)*100,1)</f>
        <v>16.8</v>
      </c>
      <c r="K115" s="384">
        <f>ROUND((K48-'19H30'!K48)/ABS('19H30'!K48)*100,1)</f>
        <v>1.9</v>
      </c>
      <c r="L115" s="384">
        <f>ROUND((L48-'19H30'!L48)/ABS('19H30'!L48)*100,1)</f>
        <v>-112.6</v>
      </c>
      <c r="M115" s="384">
        <f>ROUND((M48-'19H30'!M48)/ABS('19H30'!M48)*100,1)</f>
        <v>-1.8</v>
      </c>
      <c r="N115" s="384">
        <f>ROUND((N48-'19H30'!N48)/ABS('19H30'!N48)*100,1)</f>
        <v>-0.6</v>
      </c>
      <c r="O115" s="384">
        <f>ROUND((O48-'19H30'!O48)/ABS('19H30'!O48)*100,1)</f>
        <v>-30.9</v>
      </c>
      <c r="R115" s="383"/>
      <c r="S115" s="383"/>
      <c r="T115" s="383"/>
    </row>
    <row r="116" spans="1:20">
      <c r="A116" s="293">
        <v>229</v>
      </c>
      <c r="B116" s="90" t="s">
        <v>235</v>
      </c>
      <c r="C116" s="384">
        <f>ROUND((C49-'19H30'!C49)/ABS('19H30'!C49)*100,1)</f>
        <v>1.2</v>
      </c>
      <c r="D116" s="384">
        <f>ROUND((D49-'19H30'!D49)/ABS('19H30'!D49)*100,1)</f>
        <v>1.7</v>
      </c>
      <c r="E116" s="384">
        <f>ROUND((E49-'19H30'!E49)/ABS('19H30'!E49)*100,1)</f>
        <v>2.6</v>
      </c>
      <c r="F116" s="384">
        <f>ROUND((F49-'19H30'!F49)/ABS('19H30'!F49)*100,1)</f>
        <v>3.1</v>
      </c>
      <c r="G116" s="384">
        <f>ROUND((G49-'19H30'!G49)/ABS('19H30'!G49)*100,1)</f>
        <v>45.8</v>
      </c>
      <c r="H116" s="384">
        <f>ROUND((H49-'19H30'!H49)/ABS('19H30'!H49)*100,1)</f>
        <v>-1.3</v>
      </c>
      <c r="I116" s="384">
        <f>ROUND((I49-'19H30'!I49)/ABS('19H30'!I49)*100,1)</f>
        <v>73.900000000000006</v>
      </c>
      <c r="J116" s="384">
        <f>ROUND((J49-'19H30'!J49)/ABS('19H30'!J49)*100,1)</f>
        <v>38.200000000000003</v>
      </c>
      <c r="K116" s="384">
        <f>ROUND((K49-'19H30'!K49)/ABS('19H30'!K49)*100,1)</f>
        <v>3.4</v>
      </c>
      <c r="L116" s="384">
        <f>ROUND((L49-'19H30'!L49)/ABS('19H30'!L49)*100,1)</f>
        <v>-4.9000000000000004</v>
      </c>
      <c r="M116" s="384">
        <f>ROUND((M49-'19H30'!M49)/ABS('19H30'!M49)*100,1)</f>
        <v>1.2</v>
      </c>
      <c r="N116" s="384">
        <f>ROUND((N49-'19H30'!N49)/ABS('19H30'!N49)*100,1)</f>
        <v>0.8</v>
      </c>
      <c r="O116" s="384">
        <f>ROUND((O49-'19H30'!O49)/ABS('19H30'!O49)*100,1)</f>
        <v>-1220.7</v>
      </c>
      <c r="R116" s="383"/>
      <c r="S116" s="383"/>
      <c r="T116" s="383"/>
    </row>
    <row r="117" spans="1:20">
      <c r="A117" s="293">
        <v>464</v>
      </c>
      <c r="B117" s="90" t="s">
        <v>208</v>
      </c>
      <c r="C117" s="384">
        <f>ROUND((C50-'19H30'!C50)/ABS('19H30'!C50)*100,1)</f>
        <v>-2.7</v>
      </c>
      <c r="D117" s="384">
        <f>ROUND((D50-'19H30'!D50)/ABS('19H30'!D50)*100,1)</f>
        <v>2.9</v>
      </c>
      <c r="E117" s="384">
        <f>ROUND((E50-'19H30'!E50)/ABS('19H30'!E50)*100,1)</f>
        <v>3.3</v>
      </c>
      <c r="F117" s="384">
        <f>ROUND((F50-'19H30'!F50)/ABS('19H30'!F50)*100,1)</f>
        <v>-3.4</v>
      </c>
      <c r="G117" s="384">
        <f>ROUND((G50-'19H30'!G50)/ABS('19H30'!G50)*100,1)</f>
        <v>-36.799999999999997</v>
      </c>
      <c r="H117" s="384">
        <f>ROUND((H50-'19H30'!H50)/ABS('19H30'!H50)*100,1)</f>
        <v>2.2999999999999998</v>
      </c>
      <c r="I117" s="384">
        <f>ROUND((I50-'19H30'!I50)/ABS('19H30'!I50)*100,1)</f>
        <v>76.5</v>
      </c>
      <c r="J117" s="384">
        <f>ROUND((J50-'19H30'!J50)/ABS('19H30'!J50)*100,1)</f>
        <v>326.89999999999998</v>
      </c>
      <c r="K117" s="384">
        <f>ROUND((K50-'19H30'!K50)/ABS('19H30'!K50)*100,1)</f>
        <v>5.2</v>
      </c>
      <c r="L117" s="384">
        <f>ROUND((L50-'19H30'!L50)/ABS('19H30'!L50)*100,1)</f>
        <v>-157.5</v>
      </c>
      <c r="M117" s="384">
        <f>ROUND((M50-'19H30'!M50)/ABS('19H30'!M50)*100,1)</f>
        <v>-2.5</v>
      </c>
      <c r="N117" s="384">
        <f>ROUND((N50-'19H30'!N50)/ABS('19H30'!N50)*100,1)</f>
        <v>2.5</v>
      </c>
      <c r="O117" s="384">
        <f>ROUND((O50-'19H30'!O50)/ABS('19H30'!O50)*100,1)</f>
        <v>-63.4</v>
      </c>
      <c r="R117" s="383"/>
      <c r="S117" s="383"/>
      <c r="T117" s="383"/>
    </row>
    <row r="118" spans="1:20">
      <c r="A118" s="293">
        <v>481</v>
      </c>
      <c r="B118" s="90" t="s">
        <v>209</v>
      </c>
      <c r="C118" s="384">
        <f>ROUND((C51-'19H30'!C51)/ABS('19H30'!C51)*100,1)</f>
        <v>-2.4</v>
      </c>
      <c r="D118" s="384">
        <f>ROUND((D51-'19H30'!D51)/ABS('19H30'!D51)*100,1)</f>
        <v>2.1</v>
      </c>
      <c r="E118" s="384">
        <f>ROUND((E51-'19H30'!E51)/ABS('19H30'!E51)*100,1)</f>
        <v>4.7</v>
      </c>
      <c r="F118" s="384">
        <f>ROUND((F51-'19H30'!F51)/ABS('19H30'!F51)*100,1)</f>
        <v>11.5</v>
      </c>
      <c r="G118" s="384">
        <f>ROUND((G51-'19H30'!G51)/ABS('19H30'!G51)*100,1)</f>
        <v>-34.299999999999997</v>
      </c>
      <c r="H118" s="384">
        <f>ROUND((H51-'19H30'!H51)/ABS('19H30'!H51)*100,1)</f>
        <v>12.4</v>
      </c>
      <c r="I118" s="384">
        <f>ROUND((I51-'19H30'!I51)/ABS('19H30'!I51)*100,1)</f>
        <v>79.8</v>
      </c>
      <c r="J118" s="384">
        <f>ROUND((J51-'19H30'!J51)/ABS('19H30'!J51)*100,1)</f>
        <v>94.9</v>
      </c>
      <c r="K118" s="384">
        <f>ROUND((K51-'19H30'!K51)/ABS('19H30'!K51)*100,1)</f>
        <v>7.1</v>
      </c>
      <c r="L118" s="384">
        <f>ROUND((L51-'19H30'!L51)/ABS('19H30'!L51)*100,1)</f>
        <v>-337</v>
      </c>
      <c r="M118" s="384">
        <f>ROUND((M51-'19H30'!M51)/ABS('19H30'!M51)*100,1)</f>
        <v>-2</v>
      </c>
      <c r="N118" s="384">
        <f>ROUND((N51-'19H30'!N51)/ABS('19H30'!N51)*100,1)</f>
        <v>4.4000000000000004</v>
      </c>
      <c r="O118" s="384">
        <f>ROUND((O51-'19H30'!O51)/ABS('19H30'!O51)*100,1)</f>
        <v>-51.6</v>
      </c>
      <c r="R118" s="383"/>
      <c r="S118" s="383"/>
      <c r="T118" s="383"/>
    </row>
    <row r="119" spans="1:20">
      <c r="A119" s="293">
        <v>501</v>
      </c>
      <c r="B119" s="90" t="s">
        <v>236</v>
      </c>
      <c r="C119" s="384">
        <f>ROUND((C52-'19H30'!C52)/ABS('19H30'!C52)*100,1)</f>
        <v>-0.2</v>
      </c>
      <c r="D119" s="384">
        <f>ROUND((D52-'19H30'!D52)/ABS('19H30'!D52)*100,1)</f>
        <v>1.7</v>
      </c>
      <c r="E119" s="384">
        <f>ROUND((E52-'19H30'!E52)/ABS('19H30'!E52)*100,1)</f>
        <v>-1.9</v>
      </c>
      <c r="F119" s="384">
        <f>ROUND((F52-'19H30'!F52)/ABS('19H30'!F52)*100,1)</f>
        <v>5.0999999999999996</v>
      </c>
      <c r="G119" s="384">
        <f>ROUND((G52-'19H30'!G52)/ABS('19H30'!G52)*100,1)</f>
        <v>39.9</v>
      </c>
      <c r="H119" s="384">
        <f>ROUND((H52-'19H30'!H52)/ABS('19H30'!H52)*100,1)</f>
        <v>0.7</v>
      </c>
      <c r="I119" s="384">
        <f>ROUND((I52-'19H30'!I52)/ABS('19H30'!I52)*100,1)</f>
        <v>75</v>
      </c>
      <c r="J119" s="384">
        <f>ROUND((J52-'19H30'!J52)/ABS('19H30'!J52)*100,1)</f>
        <v>31.8</v>
      </c>
      <c r="K119" s="384">
        <f>ROUND((K52-'19H30'!K52)/ABS('19H30'!K52)*100,1)</f>
        <v>4</v>
      </c>
      <c r="L119" s="384">
        <f>ROUND((L52-'19H30'!L52)/ABS('19H30'!L52)*100,1)</f>
        <v>-75.599999999999994</v>
      </c>
      <c r="M119" s="384">
        <f>ROUND((M52-'19H30'!M52)/ABS('19H30'!M52)*100,1)</f>
        <v>-0.6</v>
      </c>
      <c r="N119" s="384">
        <f>ROUND((N52-'19H30'!N52)/ABS('19H30'!N52)*100,1)</f>
        <v>1.4</v>
      </c>
      <c r="O119" s="384">
        <f>ROUND((O52-'19H30'!O52)/ABS('19H30'!O52)*100,1)</f>
        <v>-24.8</v>
      </c>
      <c r="R119" s="383"/>
      <c r="S119" s="383"/>
      <c r="T119" s="383"/>
    </row>
    <row r="120" spans="1:20">
      <c r="A120" s="293">
        <v>7</v>
      </c>
      <c r="B120" s="93" t="s">
        <v>210</v>
      </c>
      <c r="C120" s="384">
        <f>ROUND((C53-'19H30'!C53)/ABS('19H30'!C53)*100,1)</f>
        <v>1.8</v>
      </c>
      <c r="D120" s="384">
        <f>ROUND((D53-'19H30'!D53)/ABS('19H30'!D53)*100,1)</f>
        <v>1.2</v>
      </c>
      <c r="E120" s="384">
        <f>ROUND((E53-'19H30'!E53)/ABS('19H30'!E53)*100,1)</f>
        <v>3.1</v>
      </c>
      <c r="F120" s="384">
        <f>ROUND((F53-'19H30'!F53)/ABS('19H30'!F53)*100,1)</f>
        <v>-0.2</v>
      </c>
      <c r="G120" s="384">
        <f>ROUND((G53-'19H30'!G53)/ABS('19H30'!G53)*100,1)</f>
        <v>9.6</v>
      </c>
      <c r="H120" s="384">
        <f>ROUND((H53-'19H30'!H53)/ABS('19H30'!H53)*100,1)</f>
        <v>-3.1</v>
      </c>
      <c r="I120" s="384">
        <f>ROUND((I53-'19H30'!I53)/ABS('19H30'!I53)*100,1)</f>
        <v>72.400000000000006</v>
      </c>
      <c r="J120" s="384">
        <f>ROUND((J53-'19H30'!J53)/ABS('19H30'!J53)*100,1)</f>
        <v>24.1</v>
      </c>
      <c r="K120" s="384">
        <f>ROUND((K53-'19H30'!K53)/ABS('19H30'!K53)*100,1)</f>
        <v>2.6</v>
      </c>
      <c r="L120" s="384">
        <f>ROUND((L53-'19H30'!L53)/ABS('19H30'!L53)*100,1)</f>
        <v>-1625.3</v>
      </c>
      <c r="M120" s="384">
        <f>ROUND((M53-'19H30'!M53)/ABS('19H30'!M53)*100,1)</f>
        <v>1.7</v>
      </c>
      <c r="N120" s="384">
        <f>ROUND((N53-'19H30'!N53)/ABS('19H30'!N53)*100,1)</f>
        <v>0</v>
      </c>
      <c r="O120" s="384">
        <f>ROUND((O53-'19H30'!O53)/ABS('19H30'!O53)*100,1)</f>
        <v>-26.8</v>
      </c>
      <c r="R120" s="383"/>
      <c r="S120" s="383"/>
      <c r="T120" s="383"/>
    </row>
    <row r="121" spans="1:20">
      <c r="A121" s="293">
        <v>209</v>
      </c>
      <c r="B121" s="90" t="s">
        <v>221</v>
      </c>
      <c r="C121" s="384">
        <f>ROUND((C54-'19H30'!C54)/ABS('19H30'!C54)*100,1)</f>
        <v>0.5</v>
      </c>
      <c r="D121" s="384">
        <f>ROUND((D54-'19H30'!D54)/ABS('19H30'!D54)*100,1)</f>
        <v>1.4</v>
      </c>
      <c r="E121" s="384">
        <f>ROUND((E54-'19H30'!E54)/ABS('19H30'!E54)*100,1)</f>
        <v>3.1</v>
      </c>
      <c r="F121" s="384">
        <f>ROUND((F54-'19H30'!F54)/ABS('19H30'!F54)*100,1)</f>
        <v>3.9</v>
      </c>
      <c r="G121" s="384">
        <f>ROUND((G54-'19H30'!G54)/ABS('19H30'!G54)*100,1)</f>
        <v>12.3</v>
      </c>
      <c r="H121" s="384">
        <f>ROUND((H54-'19H30'!H54)/ABS('19H30'!H54)*100,1)</f>
        <v>0.7</v>
      </c>
      <c r="I121" s="384">
        <f>ROUND((I54-'19H30'!I54)/ABS('19H30'!I54)*100,1)</f>
        <v>74</v>
      </c>
      <c r="J121" s="384">
        <f>ROUND((J54-'19H30'!J54)/ABS('19H30'!J54)*100,1)</f>
        <v>32.200000000000003</v>
      </c>
      <c r="K121" s="384">
        <f>ROUND((K54-'19H30'!K54)/ABS('19H30'!K54)*100,1)</f>
        <v>3.6</v>
      </c>
      <c r="L121" s="384">
        <f>ROUND((L54-'19H30'!L54)/ABS('19H30'!L54)*100,1)</f>
        <v>-50.8</v>
      </c>
      <c r="M121" s="384">
        <f>ROUND((M54-'19H30'!M54)/ABS('19H30'!M54)*100,1)</f>
        <v>0.6</v>
      </c>
      <c r="N121" s="384">
        <f>ROUND((N54-'19H30'!N54)/ABS('19H30'!N54)*100,1)</f>
        <v>1</v>
      </c>
      <c r="O121" s="384">
        <f>ROUND((O54-'19H30'!O54)/ABS('19H30'!O54)*100,1)</f>
        <v>-38.5</v>
      </c>
      <c r="R121" s="383"/>
      <c r="S121" s="383"/>
      <c r="T121" s="383"/>
    </row>
    <row r="122" spans="1:20">
      <c r="A122" s="293">
        <v>222</v>
      </c>
      <c r="B122" s="90" t="s">
        <v>218</v>
      </c>
      <c r="C122" s="384">
        <f>ROUND((C55-'19H30'!C55)/ABS('19H30'!C55)*100,1)</f>
        <v>-4.5</v>
      </c>
      <c r="D122" s="384">
        <f>ROUND((D55-'19H30'!D55)/ABS('19H30'!D55)*100,1)</f>
        <v>1.2</v>
      </c>
      <c r="E122" s="384">
        <f>ROUND((E55-'19H30'!E55)/ABS('19H30'!E55)*100,1)</f>
        <v>-1.2</v>
      </c>
      <c r="F122" s="384">
        <f>ROUND((F55-'19H30'!F55)/ABS('19H30'!F55)*100,1)</f>
        <v>-16.600000000000001</v>
      </c>
      <c r="G122" s="384">
        <f>ROUND((G55-'19H30'!G55)/ABS('19H30'!G55)*100,1)</f>
        <v>-5.6</v>
      </c>
      <c r="H122" s="384">
        <f>ROUND((H55-'19H30'!H55)/ABS('19H30'!H55)*100,1)</f>
        <v>-19.100000000000001</v>
      </c>
      <c r="I122" s="384">
        <f>ROUND((I55-'19H30'!I55)/ABS('19H30'!I55)*100,1)</f>
        <v>64.3</v>
      </c>
      <c r="J122" s="384">
        <f>ROUND((J55-'19H30'!J55)/ABS('19H30'!J55)*100,1)</f>
        <v>11.6</v>
      </c>
      <c r="K122" s="384">
        <f>ROUND((K55-'19H30'!K55)/ABS('19H30'!K55)*100,1)</f>
        <v>-2.2999999999999998</v>
      </c>
      <c r="L122" s="384">
        <f>ROUND((L55-'19H30'!L55)/ABS('19H30'!L55)*100,1)</f>
        <v>-23.6</v>
      </c>
      <c r="M122" s="384">
        <f>ROUND((M55-'19H30'!M55)/ABS('19H30'!M55)*100,1)</f>
        <v>-4.4000000000000004</v>
      </c>
      <c r="N122" s="384">
        <f>ROUND((N55-'19H30'!N55)/ABS('19H30'!N55)*100,1)</f>
        <v>-4.7</v>
      </c>
      <c r="O122" s="384">
        <f>ROUND((O55-'19H30'!O55)/ABS('19H30'!O55)*100,1)</f>
        <v>-19.2</v>
      </c>
      <c r="R122" s="383"/>
      <c r="S122" s="383"/>
      <c r="T122" s="383"/>
    </row>
    <row r="123" spans="1:20">
      <c r="A123" s="293">
        <v>225</v>
      </c>
      <c r="B123" s="90" t="s">
        <v>222</v>
      </c>
      <c r="C123" s="384">
        <f>ROUND((C56-'19H30'!C56)/ABS('19H30'!C56)*100,1)</f>
        <v>10.4</v>
      </c>
      <c r="D123" s="384">
        <f>ROUND((D56-'19H30'!D56)/ABS('19H30'!D56)*100,1)</f>
        <v>1.3</v>
      </c>
      <c r="E123" s="384">
        <f>ROUND((E56-'19H30'!E56)/ABS('19H30'!E56)*100,1)</f>
        <v>4.5</v>
      </c>
      <c r="F123" s="384">
        <f>ROUND((F56-'19H30'!F56)/ABS('19H30'!F56)*100,1)</f>
        <v>6.2</v>
      </c>
      <c r="G123" s="384">
        <f>ROUND((G56-'19H30'!G56)/ABS('19H30'!G56)*100,1)</f>
        <v>6.9</v>
      </c>
      <c r="H123" s="384">
        <f>ROUND((H56-'19H30'!H56)/ABS('19H30'!H56)*100,1)</f>
        <v>4.7</v>
      </c>
      <c r="I123" s="384">
        <f>ROUND((I56-'19H30'!I56)/ABS('19H30'!I56)*100,1)</f>
        <v>74</v>
      </c>
      <c r="J123" s="384">
        <f>ROUND((J56-'19H30'!J56)/ABS('19H30'!J56)*100,1)</f>
        <v>15.6</v>
      </c>
      <c r="K123" s="384">
        <f>ROUND((K56-'19H30'!K56)/ABS('19H30'!K56)*100,1)</f>
        <v>3.5</v>
      </c>
      <c r="L123" s="384">
        <f>ROUND((L56-'19H30'!L56)/ABS('19H30'!L56)*100,1)</f>
        <v>158.80000000000001</v>
      </c>
      <c r="M123" s="384">
        <f>ROUND((M56-'19H30'!M56)/ABS('19H30'!M56)*100,1)</f>
        <v>9.8000000000000007</v>
      </c>
      <c r="N123" s="384">
        <f>ROUND((N56-'19H30'!N56)/ABS('19H30'!N56)*100,1)</f>
        <v>0.9</v>
      </c>
      <c r="O123" s="384">
        <f>ROUND((O56-'19H30'!O56)/ABS('19H30'!O56)*100,1)</f>
        <v>-15.1</v>
      </c>
      <c r="R123" s="383"/>
      <c r="S123" s="383"/>
      <c r="T123" s="383"/>
    </row>
    <row r="124" spans="1:20">
      <c r="A124" s="293">
        <v>585</v>
      </c>
      <c r="B124" s="90" t="s">
        <v>220</v>
      </c>
      <c r="C124" s="384">
        <f>ROUND((C57-'19H30'!C57)/ABS('19H30'!C57)*100,1)</f>
        <v>0.6</v>
      </c>
      <c r="D124" s="384">
        <f>ROUND((D57-'19H30'!D57)/ABS('19H30'!D57)*100,1)</f>
        <v>0.2</v>
      </c>
      <c r="E124" s="384">
        <f>ROUND((E57-'19H30'!E57)/ABS('19H30'!E57)*100,1)</f>
        <v>5.2</v>
      </c>
      <c r="F124" s="384">
        <f>ROUND((F57-'19H30'!F57)/ABS('19H30'!F57)*100,1)</f>
        <v>-13.5</v>
      </c>
      <c r="G124" s="384">
        <f>ROUND((G57-'19H30'!G57)/ABS('19H30'!G57)*100,1)</f>
        <v>-2.2000000000000002</v>
      </c>
      <c r="H124" s="384">
        <f>ROUND((H57-'19H30'!H57)/ABS('19H30'!H57)*100,1)</f>
        <v>-16.399999999999999</v>
      </c>
      <c r="I124" s="384">
        <f>ROUND((I57-'19H30'!I57)/ABS('19H30'!I57)*100,1)</f>
        <v>63.1</v>
      </c>
      <c r="J124" s="384">
        <f>ROUND((J57-'19H30'!J57)/ABS('19H30'!J57)*100,1)</f>
        <v>-16.899999999999999</v>
      </c>
      <c r="K124" s="384">
        <f>ROUND((K57-'19H30'!K57)/ABS('19H30'!K57)*100,1)</f>
        <v>-2.8</v>
      </c>
      <c r="L124" s="384">
        <f>ROUND((L57-'19H30'!L57)/ABS('19H30'!L57)*100,1)</f>
        <v>18.100000000000001</v>
      </c>
      <c r="M124" s="384">
        <f>ROUND((M57-'19H30'!M57)/ABS('19H30'!M57)*100,1)</f>
        <v>0.9</v>
      </c>
      <c r="N124" s="384">
        <f>ROUND((N57-'19H30'!N57)/ABS('19H30'!N57)*100,1)</f>
        <v>-5.2</v>
      </c>
      <c r="O124" s="384">
        <f>ROUND((O57-'19H30'!O57)/ABS('19H30'!O57)*100,1)</f>
        <v>-13.7</v>
      </c>
      <c r="R124" s="383"/>
      <c r="S124" s="383"/>
      <c r="T124" s="383"/>
    </row>
    <row r="125" spans="1:20">
      <c r="A125" s="293">
        <v>586</v>
      </c>
      <c r="B125" s="90" t="s">
        <v>237</v>
      </c>
      <c r="C125" s="384">
        <f>ROUND((C58-'19H30'!C58)/ABS('19H30'!C58)*100,1)</f>
        <v>-0.7</v>
      </c>
      <c r="D125" s="384">
        <f>ROUND((D58-'19H30'!D58)/ABS('19H30'!D58)*100,1)</f>
        <v>0.9</v>
      </c>
      <c r="E125" s="384">
        <f>ROUND((E58-'19H30'!E58)/ABS('19H30'!E58)*100,1)</f>
        <v>4</v>
      </c>
      <c r="F125" s="384">
        <f>ROUND((F58-'19H30'!F58)/ABS('19H30'!F58)*100,1)</f>
        <v>8.9</v>
      </c>
      <c r="G125" s="384">
        <f>ROUND((G58-'19H30'!G58)/ABS('19H30'!G58)*100,1)</f>
        <v>34.799999999999997</v>
      </c>
      <c r="H125" s="384">
        <f>ROUND((H58-'19H30'!H58)/ABS('19H30'!H58)*100,1)</f>
        <v>4.5999999999999996</v>
      </c>
      <c r="I125" s="384">
        <f>ROUND((I58-'19H30'!I58)/ABS('19H30'!I58)*100,1)</f>
        <v>85.2</v>
      </c>
      <c r="J125" s="384">
        <f>ROUND((J58-'19H30'!J58)/ABS('19H30'!J58)*100,1)</f>
        <v>111.8</v>
      </c>
      <c r="K125" s="384">
        <f>ROUND((K58-'19H30'!K58)/ABS('19H30'!K58)*100,1)</f>
        <v>9.9</v>
      </c>
      <c r="L125" s="384">
        <f>ROUND((L58-'19H30'!L58)/ABS('19H30'!L58)*100,1)</f>
        <v>-133.5</v>
      </c>
      <c r="M125" s="384">
        <f>ROUND((M58-'19H30'!M58)/ABS('19H30'!M58)*100,1)</f>
        <v>-0.4</v>
      </c>
      <c r="N125" s="384">
        <f>ROUND((N58-'19H30'!N58)/ABS('19H30'!N58)*100,1)</f>
        <v>7.1</v>
      </c>
      <c r="O125" s="384">
        <f>ROUND((O58-'19H30'!O58)/ABS('19H30'!O58)*100,1)</f>
        <v>-35.700000000000003</v>
      </c>
      <c r="R125" s="383"/>
      <c r="S125" s="383"/>
      <c r="T125" s="383"/>
    </row>
    <row r="126" spans="1:20">
      <c r="A126" s="293">
        <v>8</v>
      </c>
      <c r="B126" s="86" t="s">
        <v>211</v>
      </c>
      <c r="C126" s="384">
        <f>ROUND((C59-'19H30'!C59)/ABS('19H30'!C59)*100,1)</f>
        <v>8.3000000000000007</v>
      </c>
      <c r="D126" s="384">
        <f>ROUND((D59-'19H30'!D59)/ABS('19H30'!D59)*100,1)</f>
        <v>2</v>
      </c>
      <c r="E126" s="384">
        <f>ROUND((E59-'19H30'!E59)/ABS('19H30'!E59)*100,1)</f>
        <v>4</v>
      </c>
      <c r="F126" s="384">
        <f>ROUND((F59-'19H30'!F59)/ABS('19H30'!F59)*100,1)</f>
        <v>0.9</v>
      </c>
      <c r="G126" s="384">
        <f>ROUND((G59-'19H30'!G59)/ABS('19H30'!G59)*100,1)</f>
        <v>-4.7</v>
      </c>
      <c r="H126" s="384">
        <f>ROUND((H59-'19H30'!H59)/ABS('19H30'!H59)*100,1)</f>
        <v>0.3</v>
      </c>
      <c r="I126" s="384">
        <f>ROUND((I59-'19H30'!I59)/ABS('19H30'!I59)*100,1)</f>
        <v>69.599999999999994</v>
      </c>
      <c r="J126" s="384">
        <f>ROUND((J59-'19H30'!J59)/ABS('19H30'!J59)*100,1)</f>
        <v>-14.6</v>
      </c>
      <c r="K126" s="384">
        <f>ROUND((K59-'19H30'!K59)/ABS('19H30'!K59)*100,1)</f>
        <v>0.9</v>
      </c>
      <c r="L126" s="384">
        <f>ROUND((L59-'19H30'!L59)/ABS('19H30'!L59)*100,1)</f>
        <v>93.7</v>
      </c>
      <c r="M126" s="384">
        <f>ROUND((M59-'19H30'!M59)/ABS('19H30'!M59)*100,1)</f>
        <v>7.8</v>
      </c>
      <c r="N126" s="384">
        <f>ROUND((N59-'19H30'!N59)/ABS('19H30'!N59)*100,1)</f>
        <v>-1.7</v>
      </c>
      <c r="O126" s="384">
        <f>ROUND((O59-'19H30'!O59)/ABS('19H30'!O59)*100,1)</f>
        <v>-15.1</v>
      </c>
      <c r="R126" s="383"/>
      <c r="S126" s="383"/>
      <c r="T126" s="383"/>
    </row>
    <row r="127" spans="1:20">
      <c r="A127" s="293">
        <v>221</v>
      </c>
      <c r="B127" s="90" t="s">
        <v>1144</v>
      </c>
      <c r="C127" s="384">
        <f>ROUND((C60-'19H30'!C60)/ABS('19H30'!C60)*100,1)</f>
        <v>18.3</v>
      </c>
      <c r="D127" s="384">
        <f>ROUND((D60-'19H30'!D60)/ABS('19H30'!D60)*100,1)</f>
        <v>2.2000000000000002</v>
      </c>
      <c r="E127" s="384">
        <f>ROUND((E60-'19H30'!E60)/ABS('19H30'!E60)*100,1)</f>
        <v>5.7</v>
      </c>
      <c r="F127" s="384">
        <f>ROUND((F60-'19H30'!F60)/ABS('19H30'!F60)*100,1)</f>
        <v>-4.5999999999999996</v>
      </c>
      <c r="G127" s="384">
        <f>ROUND((G60-'19H30'!G60)/ABS('19H30'!G60)*100,1)</f>
        <v>8.5</v>
      </c>
      <c r="H127" s="384">
        <f>ROUND((H60-'19H30'!H60)/ABS('19H30'!H60)*100,1)</f>
        <v>-8.3000000000000007</v>
      </c>
      <c r="I127" s="384">
        <f>ROUND((I60-'19H30'!I60)/ABS('19H30'!I60)*100,1)</f>
        <v>73.8</v>
      </c>
      <c r="J127" s="384">
        <f>ROUND((J60-'19H30'!J60)/ABS('19H30'!J60)*100,1)</f>
        <v>38.6</v>
      </c>
      <c r="K127" s="384">
        <f>ROUND((K60-'19H30'!K60)/ABS('19H30'!K60)*100,1)</f>
        <v>3.4</v>
      </c>
      <c r="L127" s="384">
        <f>ROUND((L60-'19H30'!L60)/ABS('19H30'!L60)*100,1)</f>
        <v>120.9</v>
      </c>
      <c r="M127" s="384">
        <f>ROUND((M60-'19H30'!M60)/ABS('19H30'!M60)*100,1)</f>
        <v>17.2</v>
      </c>
      <c r="N127" s="384">
        <f>ROUND((N60-'19H30'!N60)/ABS('19H30'!N60)*100,1)</f>
        <v>0.8</v>
      </c>
      <c r="O127" s="384">
        <f>ROUND((O60-'19H30'!O60)/ABS('19H30'!O60)*100,1)</f>
        <v>5.3</v>
      </c>
      <c r="R127" s="383"/>
      <c r="S127" s="383"/>
      <c r="T127" s="383"/>
    </row>
    <row r="128" spans="1:20">
      <c r="A128" s="293">
        <v>223</v>
      </c>
      <c r="B128" s="90" t="s">
        <v>223</v>
      </c>
      <c r="C128" s="384">
        <f>ROUND((C61-'19H30'!C61)/ABS('19H30'!C61)*100,1)</f>
        <v>1.1000000000000001</v>
      </c>
      <c r="D128" s="384">
        <f>ROUND((D61-'19H30'!D61)/ABS('19H30'!D61)*100,1)</f>
        <v>1.9</v>
      </c>
      <c r="E128" s="384">
        <f>ROUND((E61-'19H30'!E61)/ABS('19H30'!E61)*100,1)</f>
        <v>2.8</v>
      </c>
      <c r="F128" s="384">
        <f>ROUND((F61-'19H30'!F61)/ABS('19H30'!F61)*100,1)</f>
        <v>4.5999999999999996</v>
      </c>
      <c r="G128" s="384">
        <f>ROUND((G61-'19H30'!G61)/ABS('19H30'!G61)*100,1)</f>
        <v>-11</v>
      </c>
      <c r="H128" s="384">
        <f>ROUND((H61-'19H30'!H61)/ABS('19H30'!H61)*100,1)</f>
        <v>6.3</v>
      </c>
      <c r="I128" s="384">
        <f>ROUND((I61-'19H30'!I61)/ABS('19H30'!I61)*100,1)</f>
        <v>66.8</v>
      </c>
      <c r="J128" s="384">
        <f>ROUND((J61-'19H30'!J61)/ABS('19H30'!J61)*100,1)</f>
        <v>-35.799999999999997</v>
      </c>
      <c r="K128" s="384">
        <f>ROUND((K61-'19H30'!K61)/ABS('19H30'!K61)*100,1)</f>
        <v>-0.7</v>
      </c>
      <c r="L128" s="384">
        <f>ROUND((L61-'19H30'!L61)/ABS('19H30'!L61)*100,1)</f>
        <v>39.6</v>
      </c>
      <c r="M128" s="384">
        <f>ROUND((M61-'19H30'!M61)/ABS('19H30'!M61)*100,1)</f>
        <v>1.1000000000000001</v>
      </c>
      <c r="N128" s="384">
        <f>ROUND((N61-'19H30'!N61)/ABS('19H30'!N61)*100,1)</f>
        <v>-3.2</v>
      </c>
      <c r="O128" s="384">
        <f>ROUND((O61-'19H30'!O61)/ABS('19H30'!O61)*100,1)</f>
        <v>-26.5</v>
      </c>
      <c r="R128" s="383"/>
      <c r="S128" s="383"/>
      <c r="T128" s="383"/>
    </row>
    <row r="129" spans="1:20">
      <c r="A129" s="293">
        <v>9</v>
      </c>
      <c r="B129" s="94" t="s">
        <v>212</v>
      </c>
      <c r="C129" s="384">
        <f>ROUND((C62-'19H30'!C62)/ABS('19H30'!C62)*100,1)</f>
        <v>0.9</v>
      </c>
      <c r="D129" s="384">
        <f>ROUND((D62-'19H30'!D62)/ABS('19H30'!D62)*100,1)</f>
        <v>2.1</v>
      </c>
      <c r="E129" s="384">
        <f>ROUND((E62-'19H30'!E62)/ABS('19H30'!E62)*100,1)</f>
        <v>7.1</v>
      </c>
      <c r="F129" s="384">
        <f>ROUND((F62-'19H30'!F62)/ABS('19H30'!F62)*100,1)</f>
        <v>8.1999999999999993</v>
      </c>
      <c r="G129" s="384">
        <f>ROUND((G62-'19H30'!G62)/ABS('19H30'!G62)*100,1)</f>
        <v>13.8</v>
      </c>
      <c r="H129" s="384">
        <f>ROUND((H62-'19H30'!H62)/ABS('19H30'!H62)*100,1)</f>
        <v>5.4</v>
      </c>
      <c r="I129" s="384">
        <f>ROUND((I62-'19H30'!I62)/ABS('19H30'!I62)*100,1)</f>
        <v>78</v>
      </c>
      <c r="J129" s="384">
        <f>ROUND((J62-'19H30'!J62)/ABS('19H30'!J62)*100,1)</f>
        <v>42.8</v>
      </c>
      <c r="K129" s="384">
        <f>ROUND((K62-'19H30'!K62)/ABS('19H30'!K62)*100,1)</f>
        <v>5.9</v>
      </c>
      <c r="L129" s="384">
        <f>ROUND((L62-'19H30'!L62)/ABS('19H30'!L62)*100,1)</f>
        <v>-121.3</v>
      </c>
      <c r="M129" s="384">
        <f>ROUND((M62-'19H30'!M62)/ABS('19H30'!M62)*100,1)</f>
        <v>1.2</v>
      </c>
      <c r="N129" s="384">
        <f>ROUND((N62-'19H30'!N62)/ABS('19H30'!N62)*100,1)</f>
        <v>3.3</v>
      </c>
      <c r="O129" s="384">
        <f>ROUND((O62-'19H30'!O62)/ABS('19H30'!O62)*100,1)</f>
        <v>-40.799999999999997</v>
      </c>
      <c r="R129" s="383"/>
      <c r="S129" s="383"/>
      <c r="T129" s="383"/>
    </row>
    <row r="130" spans="1:20">
      <c r="A130" s="293">
        <v>205</v>
      </c>
      <c r="B130" s="92" t="s">
        <v>241</v>
      </c>
      <c r="C130" s="384">
        <f>ROUND((C63-'19H30'!C63)/ABS('19H30'!C63)*100,1)</f>
        <v>-0.3</v>
      </c>
      <c r="D130" s="384">
        <f>ROUND((D63-'19H30'!D63)/ABS('19H30'!D63)*100,1)</f>
        <v>1.9</v>
      </c>
      <c r="E130" s="384">
        <f>ROUND((E63-'19H30'!E63)/ABS('19H30'!E63)*100,1)</f>
        <v>9.6999999999999993</v>
      </c>
      <c r="F130" s="384">
        <f>ROUND((F63-'19H30'!F63)/ABS('19H30'!F63)*100,1)</f>
        <v>20.399999999999999</v>
      </c>
      <c r="G130" s="384">
        <f>ROUND((G63-'19H30'!G63)/ABS('19H30'!G63)*100,1)</f>
        <v>39.1</v>
      </c>
      <c r="H130" s="384">
        <f>ROUND((H63-'19H30'!H63)/ABS('19H30'!H63)*100,1)</f>
        <v>16.600000000000001</v>
      </c>
      <c r="I130" s="384">
        <f>ROUND((I63-'19H30'!I63)/ABS('19H30'!I63)*100,1)</f>
        <v>79.5</v>
      </c>
      <c r="J130" s="384">
        <f>ROUND((J63-'19H30'!J63)/ABS('19H30'!J63)*100,1)</f>
        <v>5.4</v>
      </c>
      <c r="K130" s="384">
        <f>ROUND((K63-'19H30'!K63)/ABS('19H30'!K63)*100,1)</f>
        <v>6.7</v>
      </c>
      <c r="L130" s="384">
        <f>ROUND((L63-'19H30'!L63)/ABS('19H30'!L63)*100,1)</f>
        <v>-131.9</v>
      </c>
      <c r="M130" s="384">
        <f>ROUND((M63-'19H30'!M63)/ABS('19H30'!M63)*100,1)</f>
        <v>0.4</v>
      </c>
      <c r="N130" s="384">
        <f>ROUND((N63-'19H30'!N63)/ABS('19H30'!N63)*100,1)</f>
        <v>4</v>
      </c>
      <c r="O130" s="384">
        <f>ROUND((O63-'19H30'!O63)/ABS('19H30'!O63)*100,1)</f>
        <v>-51.1</v>
      </c>
      <c r="R130" s="383"/>
      <c r="S130" s="383"/>
      <c r="T130" s="383"/>
    </row>
    <row r="131" spans="1:20">
      <c r="A131" s="293">
        <v>224</v>
      </c>
      <c r="B131" s="90" t="s">
        <v>224</v>
      </c>
      <c r="C131" s="384">
        <f>ROUND((C64-'19H30'!C64)/ABS('19H30'!C64)*100,1)</f>
        <v>0</v>
      </c>
      <c r="D131" s="384">
        <f>ROUND((D64-'19H30'!D64)/ABS('19H30'!D64)*100,1)</f>
        <v>2.4</v>
      </c>
      <c r="E131" s="384">
        <f>ROUND((E64-'19H30'!E64)/ABS('19H30'!E64)*100,1)</f>
        <v>3.5</v>
      </c>
      <c r="F131" s="384">
        <f>ROUND((F64-'19H30'!F64)/ABS('19H30'!F64)*100,1)</f>
        <v>-7</v>
      </c>
      <c r="G131" s="384">
        <f>ROUND((G64-'19H30'!G64)/ABS('19H30'!G64)*100,1)</f>
        <v>-15.4</v>
      </c>
      <c r="H131" s="384">
        <f>ROUND((H64-'19H30'!H64)/ABS('19H30'!H64)*100,1)</f>
        <v>-7.8</v>
      </c>
      <c r="I131" s="384">
        <f>ROUND((I64-'19H30'!I64)/ABS('19H30'!I64)*100,1)</f>
        <v>73.099999999999994</v>
      </c>
      <c r="J131" s="384">
        <f>ROUND((J64-'19H30'!J64)/ABS('19H30'!J64)*100,1)</f>
        <v>44.5</v>
      </c>
      <c r="K131" s="384">
        <f>ROUND((K64-'19H30'!K64)/ABS('19H30'!K64)*100,1)</f>
        <v>3</v>
      </c>
      <c r="L131" s="384">
        <f>ROUND((L64-'19H30'!L64)/ABS('19H30'!L64)*100,1)</f>
        <v>-30</v>
      </c>
      <c r="M131" s="384">
        <f>ROUND((M64-'19H30'!M64)/ABS('19H30'!M64)*100,1)</f>
        <v>0.2</v>
      </c>
      <c r="N131" s="384">
        <f>ROUND((N64-'19H30'!N64)/ABS('19H30'!N64)*100,1)</f>
        <v>0.4</v>
      </c>
      <c r="O131" s="384">
        <f>ROUND((O64-'19H30'!O64)/ABS('19H30'!O64)*100,1)</f>
        <v>-34.6</v>
      </c>
      <c r="R131" s="383"/>
      <c r="S131" s="383"/>
      <c r="T131" s="383"/>
    </row>
    <row r="132" spans="1:20">
      <c r="A132" s="396">
        <v>226</v>
      </c>
      <c r="B132" s="201" t="s">
        <v>225</v>
      </c>
      <c r="C132" s="398">
        <f>ROUND((C65-'19H30'!C65)/ABS('19H30'!C65)*100,1)</f>
        <v>3.1</v>
      </c>
      <c r="D132" s="398">
        <f>ROUND((D65-'19H30'!D65)/ABS('19H30'!D65)*100,1)</f>
        <v>1.8</v>
      </c>
      <c r="E132" s="398">
        <f>ROUND((E65-'19H30'!E65)/ABS('19H30'!E65)*100,1)</f>
        <v>8.5</v>
      </c>
      <c r="F132" s="398">
        <f>ROUND((F65-'19H30'!F65)/ABS('19H30'!F65)*100,1)</f>
        <v>10.6</v>
      </c>
      <c r="G132" s="398">
        <f>ROUND((G65-'19H30'!G65)/ABS('19H30'!G65)*100,1)</f>
        <v>25.4</v>
      </c>
      <c r="H132" s="398">
        <f>ROUND((H65-'19H30'!H65)/ABS('19H30'!H65)*100,1)</f>
        <v>6.2</v>
      </c>
      <c r="I132" s="398">
        <f>ROUND((I65-'19H30'!I65)/ABS('19H30'!I65)*100,1)</f>
        <v>81.5</v>
      </c>
      <c r="J132" s="398">
        <f>ROUND((J65-'19H30'!J65)/ABS('19H30'!J65)*100,1)</f>
        <v>72.599999999999994</v>
      </c>
      <c r="K132" s="398">
        <f>ROUND((K65-'19H30'!K65)/ABS('19H30'!K65)*100,1)</f>
        <v>8.1</v>
      </c>
      <c r="L132" s="398">
        <f>ROUND((L65-'19H30'!L65)/ABS('19H30'!L65)*100,1)</f>
        <v>-183.2</v>
      </c>
      <c r="M132" s="398">
        <f>ROUND((M65-'19H30'!M65)/ABS('19H30'!M65)*100,1)</f>
        <v>3.4</v>
      </c>
      <c r="N132" s="398">
        <f>ROUND((N65-'19H30'!N65)/ABS('19H30'!N65)*100,1)</f>
        <v>5.3</v>
      </c>
      <c r="O132" s="398">
        <f>ROUND((O65-'19H30'!O65)/ABS('19H30'!O65)*100,1)</f>
        <v>-37.5</v>
      </c>
      <c r="R132" s="383"/>
      <c r="S132" s="383"/>
      <c r="T132" s="383"/>
    </row>
  </sheetData>
  <mergeCells count="1">
    <mergeCell ref="L2:M2"/>
  </mergeCells>
  <phoneticPr fontId="13"/>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theme="9" tint="0.59999389629810485"/>
    <pageSetUpPr fitToPage="1"/>
  </sheetPr>
  <dimension ref="A1:U131"/>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6.42578125" style="49" customWidth="1"/>
    <col min="18" max="18" width="8.5" style="49" customWidth="1"/>
    <col min="19" max="19" width="7.92578125" style="49" customWidth="1"/>
    <col min="20" max="20" width="9.5703125" style="49" customWidth="1"/>
    <col min="21" max="21" width="8.92578125" style="49" customWidth="1"/>
    <col min="22" max="16384" width="8.7109375" style="49"/>
  </cols>
  <sheetData>
    <row r="1" spans="1:21">
      <c r="A1" s="86"/>
      <c r="B1" s="65" t="s">
        <v>1128</v>
      </c>
      <c r="C1" s="239"/>
      <c r="D1" s="239"/>
      <c r="E1" s="239"/>
      <c r="F1" s="1878" t="str">
        <f>'24R5'!F1</f>
        <v>市町民経済計算試算(2026.3)</v>
      </c>
      <c r="G1" s="682"/>
      <c r="H1" s="239"/>
      <c r="I1" s="239"/>
      <c r="J1" s="239"/>
      <c r="K1" s="239"/>
      <c r="L1" s="239"/>
      <c r="M1" s="239"/>
      <c r="N1" s="239" t="s">
        <v>818</v>
      </c>
      <c r="O1" s="1132">
        <f>名目県内総支出!V43</f>
        <v>-400927</v>
      </c>
    </row>
    <row r="2" spans="1:21" ht="26.25" customHeight="1">
      <c r="A2" s="294"/>
      <c r="B2" s="296" t="s">
        <v>930</v>
      </c>
      <c r="C2" s="312" t="s">
        <v>817</v>
      </c>
      <c r="D2" s="275" t="s">
        <v>68</v>
      </c>
      <c r="E2" s="291" t="s">
        <v>1289</v>
      </c>
      <c r="F2" s="297" t="s">
        <v>69</v>
      </c>
      <c r="G2" s="291"/>
      <c r="H2" s="291"/>
      <c r="I2" s="291"/>
      <c r="J2" s="275" t="s">
        <v>70</v>
      </c>
      <c r="K2" s="283" t="s">
        <v>671</v>
      </c>
      <c r="L2" s="2306" t="s">
        <v>71</v>
      </c>
      <c r="M2" s="2312"/>
      <c r="N2" s="282"/>
      <c r="O2" s="283"/>
      <c r="P2" s="92"/>
      <c r="Q2" s="313" t="s">
        <v>949</v>
      </c>
      <c r="U2" s="49" t="s">
        <v>671</v>
      </c>
    </row>
    <row r="3" spans="1:21" ht="37.5" customHeight="1">
      <c r="A3" s="357"/>
      <c r="B3" s="92" t="s">
        <v>931</v>
      </c>
      <c r="C3" s="406" t="s">
        <v>82</v>
      </c>
      <c r="D3" s="353"/>
      <c r="E3" s="352"/>
      <c r="F3" s="351" t="s">
        <v>83</v>
      </c>
      <c r="G3" s="297" t="s">
        <v>72</v>
      </c>
      <c r="H3" s="275" t="s">
        <v>73</v>
      </c>
      <c r="I3" s="291" t="s">
        <v>74</v>
      </c>
      <c r="J3" s="353"/>
      <c r="K3" s="474" t="s">
        <v>75</v>
      </c>
      <c r="L3" s="406" t="s">
        <v>76</v>
      </c>
      <c r="M3" s="1131" t="s">
        <v>77</v>
      </c>
      <c r="N3" s="282" t="s">
        <v>78</v>
      </c>
      <c r="O3" s="1098" t="s">
        <v>81</v>
      </c>
      <c r="P3" s="92"/>
      <c r="Q3" s="355" t="s">
        <v>1139</v>
      </c>
      <c r="R3" s="49" t="s">
        <v>287</v>
      </c>
      <c r="T3" s="344" t="s">
        <v>956</v>
      </c>
      <c r="U3" s="345" t="s">
        <v>958</v>
      </c>
    </row>
    <row r="4" spans="1:21">
      <c r="A4" s="303"/>
      <c r="B4" s="203" t="s">
        <v>166</v>
      </c>
      <c r="C4" s="412">
        <v>21896001</v>
      </c>
      <c r="D4" s="438">
        <v>12662771</v>
      </c>
      <c r="E4" s="407">
        <v>2777965</v>
      </c>
      <c r="F4" s="438">
        <v>4083779</v>
      </c>
      <c r="G4" s="407">
        <v>668534</v>
      </c>
      <c r="H4" s="438">
        <v>3596246</v>
      </c>
      <c r="I4" s="407">
        <v>-181001</v>
      </c>
      <c r="J4" s="438">
        <v>975369</v>
      </c>
      <c r="K4" s="410">
        <v>20499884</v>
      </c>
      <c r="L4" s="438">
        <v>1396117</v>
      </c>
      <c r="M4" s="438">
        <v>17874417</v>
      </c>
      <c r="N4" s="407">
        <v>16077374</v>
      </c>
      <c r="O4" s="438">
        <v>-400926</v>
      </c>
      <c r="P4" s="77"/>
      <c r="Q4" s="314">
        <f>(C4-'20R1'!C4)/'20R1'!C4*100</f>
        <v>-2.5668056566961845</v>
      </c>
      <c r="R4" s="394">
        <f>D4+E4+F4+J4+L4</f>
        <v>21896001</v>
      </c>
      <c r="S4" s="394">
        <f>R4-C4</f>
        <v>0</v>
      </c>
      <c r="T4" s="49">
        <f>民間設備製造1!Q6</f>
        <v>1175683</v>
      </c>
      <c r="U4" s="49">
        <f t="shared" ref="U4:U14" si="0">D4+E4+G4+J4+T4</f>
        <v>18260322</v>
      </c>
    </row>
    <row r="5" spans="1:21">
      <c r="A5" s="298">
        <v>100</v>
      </c>
      <c r="B5" s="75" t="s">
        <v>172</v>
      </c>
      <c r="C5" s="413">
        <v>6827769</v>
      </c>
      <c r="D5" s="439">
        <v>3935194</v>
      </c>
      <c r="E5" s="408">
        <v>958986</v>
      </c>
      <c r="F5" s="439">
        <v>1013062</v>
      </c>
      <c r="G5" s="408">
        <v>184360</v>
      </c>
      <c r="H5" s="439">
        <v>883763</v>
      </c>
      <c r="I5" s="408">
        <v>-55061</v>
      </c>
      <c r="J5" s="439">
        <v>328677</v>
      </c>
      <c r="K5" s="411">
        <v>6235919</v>
      </c>
      <c r="L5" s="439">
        <v>591850</v>
      </c>
      <c r="M5" s="439">
        <v>5615868</v>
      </c>
      <c r="N5" s="408">
        <v>4890621</v>
      </c>
      <c r="O5" s="439">
        <v>-133397</v>
      </c>
      <c r="P5" s="77">
        <v>100</v>
      </c>
      <c r="Q5" s="314">
        <f>(C5-'20R1'!C5)/'20R1'!C5*100</f>
        <v>-3.614398813293306</v>
      </c>
      <c r="R5" s="394">
        <f>D5+E5+F5+J5+L5</f>
        <v>6827769</v>
      </c>
      <c r="S5" s="394">
        <f>R5-C5</f>
        <v>0</v>
      </c>
      <c r="T5" s="49">
        <f>民間設備製造1!Q7</f>
        <v>171165</v>
      </c>
      <c r="U5" s="49">
        <f t="shared" si="0"/>
        <v>5578382</v>
      </c>
    </row>
    <row r="6" spans="1:21">
      <c r="A6" s="298">
        <v>1</v>
      </c>
      <c r="B6" s="75" t="s">
        <v>323</v>
      </c>
      <c r="C6" s="413">
        <v>3523512</v>
      </c>
      <c r="D6" s="439">
        <v>2528056</v>
      </c>
      <c r="E6" s="408">
        <v>450039</v>
      </c>
      <c r="F6" s="439">
        <v>661182</v>
      </c>
      <c r="G6" s="408">
        <v>161712</v>
      </c>
      <c r="H6" s="439">
        <v>532811</v>
      </c>
      <c r="I6" s="408">
        <v>-33341</v>
      </c>
      <c r="J6" s="439">
        <v>136856</v>
      </c>
      <c r="K6" s="411">
        <v>3776133</v>
      </c>
      <c r="L6" s="439">
        <v>-252621</v>
      </c>
      <c r="M6" s="439">
        <v>2877724</v>
      </c>
      <c r="N6" s="408">
        <v>2961494</v>
      </c>
      <c r="O6" s="439">
        <v>-168851</v>
      </c>
      <c r="P6" s="77">
        <v>1</v>
      </c>
      <c r="Q6" s="314">
        <f>(C6-'20R1'!C6)/'20R1'!C6*100</f>
        <v>-4.6629623296196163</v>
      </c>
      <c r="R6" s="394">
        <f t="shared" ref="R6:R65" si="1">D6+E6+F6+J6+L6</f>
        <v>3523512</v>
      </c>
      <c r="S6" s="394">
        <f>R6-C6</f>
        <v>0</v>
      </c>
      <c r="T6" s="49">
        <f>民間設備製造1!Q8</f>
        <v>85464</v>
      </c>
      <c r="U6" s="49">
        <f>D6+E6+G6+J6+T6</f>
        <v>3362127</v>
      </c>
    </row>
    <row r="7" spans="1:21">
      <c r="A7" s="298">
        <v>2</v>
      </c>
      <c r="B7" s="75" t="s">
        <v>324</v>
      </c>
      <c r="C7" s="413">
        <v>2047222</v>
      </c>
      <c r="D7" s="439">
        <v>1537186</v>
      </c>
      <c r="E7" s="408">
        <v>301527</v>
      </c>
      <c r="F7" s="439">
        <v>451484</v>
      </c>
      <c r="G7" s="408">
        <v>72956</v>
      </c>
      <c r="H7" s="439">
        <v>399303</v>
      </c>
      <c r="I7" s="408">
        <v>-20775</v>
      </c>
      <c r="J7" s="439">
        <v>62790</v>
      </c>
      <c r="K7" s="411">
        <v>2352987</v>
      </c>
      <c r="L7" s="439">
        <v>-305765</v>
      </c>
      <c r="M7" s="439">
        <v>1690206</v>
      </c>
      <c r="N7" s="408">
        <v>1845369</v>
      </c>
      <c r="O7" s="439">
        <v>-150602</v>
      </c>
      <c r="P7" s="77">
        <v>2</v>
      </c>
      <c r="Q7" s="314">
        <f>(C7-'20R1'!C7)/'20R1'!C7*100</f>
        <v>-1.2132038580095004</v>
      </c>
      <c r="R7" s="394">
        <f t="shared" si="1"/>
        <v>2047222</v>
      </c>
      <c r="S7" s="394">
        <f t="shared" ref="S7:S65" si="2">R7-C7</f>
        <v>0</v>
      </c>
      <c r="T7" s="49">
        <f>民間設備製造1!Q9</f>
        <v>99316</v>
      </c>
      <c r="U7" s="49">
        <f t="shared" si="0"/>
        <v>2073775</v>
      </c>
    </row>
    <row r="8" spans="1:21">
      <c r="A8" s="298">
        <v>3</v>
      </c>
      <c r="B8" s="75" t="s">
        <v>192</v>
      </c>
      <c r="C8" s="413">
        <v>2971362</v>
      </c>
      <c r="D8" s="439">
        <v>1569746</v>
      </c>
      <c r="E8" s="408">
        <v>282384</v>
      </c>
      <c r="F8" s="439">
        <v>711469</v>
      </c>
      <c r="G8" s="408">
        <v>100769</v>
      </c>
      <c r="H8" s="439">
        <v>634377</v>
      </c>
      <c r="I8" s="408">
        <v>-23677</v>
      </c>
      <c r="J8" s="439">
        <v>118021</v>
      </c>
      <c r="K8" s="411">
        <v>2681620</v>
      </c>
      <c r="L8" s="439">
        <v>289742</v>
      </c>
      <c r="M8" s="439">
        <v>2382634</v>
      </c>
      <c r="N8" s="408">
        <v>2103106</v>
      </c>
      <c r="O8" s="439">
        <v>10214</v>
      </c>
      <c r="P8" s="77">
        <v>3</v>
      </c>
      <c r="Q8" s="314">
        <f>(C8-'20R1'!C8)/'20R1'!C8*100</f>
        <v>-1.0291250688231761</v>
      </c>
      <c r="R8" s="394">
        <f t="shared" si="1"/>
        <v>2971362</v>
      </c>
      <c r="S8" s="394">
        <f t="shared" si="2"/>
        <v>0</v>
      </c>
      <c r="T8" s="49">
        <f>民間設備製造1!Q10</f>
        <v>337498</v>
      </c>
      <c r="U8" s="49">
        <f t="shared" si="0"/>
        <v>2408418</v>
      </c>
    </row>
    <row r="9" spans="1:21">
      <c r="A9" s="298">
        <v>4</v>
      </c>
      <c r="B9" s="75" t="s">
        <v>325</v>
      </c>
      <c r="C9" s="413">
        <v>1299522</v>
      </c>
      <c r="D9" s="439">
        <v>534015</v>
      </c>
      <c r="E9" s="408">
        <v>137246</v>
      </c>
      <c r="F9" s="439">
        <v>192975</v>
      </c>
      <c r="G9" s="408">
        <v>23589</v>
      </c>
      <c r="H9" s="439">
        <v>177447</v>
      </c>
      <c r="I9" s="408">
        <v>-8061</v>
      </c>
      <c r="J9" s="439">
        <v>48909</v>
      </c>
      <c r="K9" s="411">
        <v>913145</v>
      </c>
      <c r="L9" s="439">
        <v>386377</v>
      </c>
      <c r="M9" s="439">
        <v>1048288</v>
      </c>
      <c r="N9" s="408">
        <v>716150</v>
      </c>
      <c r="O9" s="439">
        <v>54239</v>
      </c>
      <c r="P9" s="77">
        <v>4</v>
      </c>
      <c r="Q9" s="314">
        <f>(C9-'20R1'!C9)/'20R1'!C9*100</f>
        <v>-0.82127296164263752</v>
      </c>
      <c r="R9" s="394">
        <f t="shared" si="1"/>
        <v>1299522</v>
      </c>
      <c r="S9" s="394">
        <f t="shared" si="2"/>
        <v>0</v>
      </c>
      <c r="T9" s="49">
        <f>民間設備製造1!Q11</f>
        <v>86621</v>
      </c>
      <c r="U9" s="49">
        <f t="shared" si="0"/>
        <v>830380</v>
      </c>
    </row>
    <row r="10" spans="1:21">
      <c r="A10" s="298">
        <v>5</v>
      </c>
      <c r="B10" s="75" t="s">
        <v>326</v>
      </c>
      <c r="C10" s="413">
        <v>2592307</v>
      </c>
      <c r="D10" s="439">
        <v>1258811</v>
      </c>
      <c r="E10" s="408">
        <v>239887</v>
      </c>
      <c r="F10" s="439">
        <v>639270</v>
      </c>
      <c r="G10" s="408">
        <v>80987</v>
      </c>
      <c r="H10" s="439">
        <v>578441</v>
      </c>
      <c r="I10" s="408">
        <v>-20158</v>
      </c>
      <c r="J10" s="439">
        <v>145094</v>
      </c>
      <c r="K10" s="411">
        <v>2283062</v>
      </c>
      <c r="L10" s="439">
        <v>309245</v>
      </c>
      <c r="M10" s="439">
        <v>2075743</v>
      </c>
      <c r="N10" s="408">
        <v>1790530</v>
      </c>
      <c r="O10" s="439">
        <v>24032</v>
      </c>
      <c r="P10" s="77">
        <v>5</v>
      </c>
      <c r="Q10" s="314">
        <f>(C10-'20R1'!C10)/'20R1'!C10*100</f>
        <v>-2.1101598526992795</v>
      </c>
      <c r="R10" s="394">
        <f t="shared" si="1"/>
        <v>2592307</v>
      </c>
      <c r="S10" s="394">
        <f t="shared" si="2"/>
        <v>0</v>
      </c>
      <c r="T10" s="49">
        <f>民間設備製造1!Q12</f>
        <v>249210</v>
      </c>
      <c r="U10" s="49">
        <f t="shared" si="0"/>
        <v>1973989</v>
      </c>
    </row>
    <row r="11" spans="1:21">
      <c r="A11" s="298">
        <v>6</v>
      </c>
      <c r="B11" s="75" t="s">
        <v>327</v>
      </c>
      <c r="C11" s="413">
        <v>1100471</v>
      </c>
      <c r="D11" s="439">
        <v>494475</v>
      </c>
      <c r="E11" s="408">
        <v>126398</v>
      </c>
      <c r="F11" s="439">
        <v>185788</v>
      </c>
      <c r="G11" s="408">
        <v>17266</v>
      </c>
      <c r="H11" s="439">
        <v>176104</v>
      </c>
      <c r="I11" s="408">
        <v>-7582</v>
      </c>
      <c r="J11" s="439">
        <v>51907</v>
      </c>
      <c r="K11" s="411">
        <v>858568</v>
      </c>
      <c r="L11" s="439">
        <v>241903</v>
      </c>
      <c r="M11" s="439">
        <v>892346</v>
      </c>
      <c r="N11" s="408">
        <v>673346</v>
      </c>
      <c r="O11" s="439">
        <v>22903</v>
      </c>
      <c r="P11" s="77">
        <v>6</v>
      </c>
      <c r="Q11" s="314">
        <f>(C11-'20R1'!C11)/'20R1'!C11*100</f>
        <v>1.8910288163385482</v>
      </c>
      <c r="R11" s="394">
        <f t="shared" si="1"/>
        <v>1100471</v>
      </c>
      <c r="S11" s="394">
        <f t="shared" si="2"/>
        <v>0</v>
      </c>
      <c r="T11" s="49">
        <f>民間設備製造1!Q13</f>
        <v>73978</v>
      </c>
      <c r="U11" s="49">
        <f t="shared" si="0"/>
        <v>764024</v>
      </c>
    </row>
    <row r="12" spans="1:21">
      <c r="A12" s="298">
        <v>7</v>
      </c>
      <c r="B12" s="75" t="s">
        <v>210</v>
      </c>
      <c r="C12" s="413">
        <v>639162</v>
      </c>
      <c r="D12" s="439">
        <v>338275</v>
      </c>
      <c r="E12" s="408">
        <v>119833</v>
      </c>
      <c r="F12" s="439">
        <v>85411</v>
      </c>
      <c r="G12" s="408">
        <v>9891</v>
      </c>
      <c r="H12" s="439">
        <v>80700</v>
      </c>
      <c r="I12" s="408">
        <v>-5180</v>
      </c>
      <c r="J12" s="439">
        <v>43172</v>
      </c>
      <c r="K12" s="411">
        <v>586691</v>
      </c>
      <c r="L12" s="439">
        <v>52471</v>
      </c>
      <c r="M12" s="439">
        <v>539371</v>
      </c>
      <c r="N12" s="408">
        <v>460122</v>
      </c>
      <c r="O12" s="439">
        <v>-26778</v>
      </c>
      <c r="P12" s="77">
        <v>7</v>
      </c>
      <c r="Q12" s="314">
        <f>(C12-'20R1'!C12)/'20R1'!C12*100</f>
        <v>0.44552564954810964</v>
      </c>
      <c r="R12" s="394">
        <f t="shared" si="1"/>
        <v>639162</v>
      </c>
      <c r="S12" s="394">
        <f t="shared" si="2"/>
        <v>0</v>
      </c>
      <c r="T12" s="49">
        <f>民間設備製造1!Q14</f>
        <v>39549</v>
      </c>
      <c r="U12" s="49">
        <f t="shared" si="0"/>
        <v>550720</v>
      </c>
    </row>
    <row r="13" spans="1:21">
      <c r="A13" s="298">
        <v>8</v>
      </c>
      <c r="B13" s="75" t="s">
        <v>211</v>
      </c>
      <c r="C13" s="413">
        <v>453080</v>
      </c>
      <c r="D13" s="439">
        <v>214702</v>
      </c>
      <c r="E13" s="408">
        <v>66058</v>
      </c>
      <c r="F13" s="439">
        <v>80272</v>
      </c>
      <c r="G13" s="408">
        <v>8491</v>
      </c>
      <c r="H13" s="439">
        <v>75100</v>
      </c>
      <c r="I13" s="408">
        <v>-3319</v>
      </c>
      <c r="J13" s="439">
        <v>14986</v>
      </c>
      <c r="K13" s="411">
        <v>376018</v>
      </c>
      <c r="L13" s="439">
        <v>77062</v>
      </c>
      <c r="M13" s="439">
        <v>373761</v>
      </c>
      <c r="N13" s="408">
        <v>294899</v>
      </c>
      <c r="O13" s="439">
        <v>-1800</v>
      </c>
      <c r="P13" s="77">
        <v>8</v>
      </c>
      <c r="Q13" s="314">
        <f>(C13-'20R1'!C13)/'20R1'!C13*100</f>
        <v>-4.5580744779005649</v>
      </c>
      <c r="R13" s="394">
        <f t="shared" si="1"/>
        <v>453080</v>
      </c>
      <c r="S13" s="394">
        <f t="shared" si="2"/>
        <v>0</v>
      </c>
      <c r="T13" s="49">
        <f>民間設備製造1!Q15</f>
        <v>18052</v>
      </c>
      <c r="U13" s="49">
        <f t="shared" si="0"/>
        <v>322289</v>
      </c>
    </row>
    <row r="14" spans="1:21">
      <c r="A14" s="298">
        <v>9</v>
      </c>
      <c r="B14" s="75" t="s">
        <v>212</v>
      </c>
      <c r="C14" s="413">
        <v>441594</v>
      </c>
      <c r="D14" s="439">
        <v>252311</v>
      </c>
      <c r="E14" s="408">
        <v>95607</v>
      </c>
      <c r="F14" s="439">
        <v>62866</v>
      </c>
      <c r="G14" s="408">
        <v>8513</v>
      </c>
      <c r="H14" s="439">
        <v>58200</v>
      </c>
      <c r="I14" s="408">
        <v>-3847</v>
      </c>
      <c r="J14" s="439">
        <v>24957</v>
      </c>
      <c r="K14" s="411">
        <v>435741</v>
      </c>
      <c r="L14" s="439">
        <v>5853</v>
      </c>
      <c r="M14" s="439">
        <v>378476</v>
      </c>
      <c r="N14" s="408">
        <v>341737</v>
      </c>
      <c r="O14" s="439">
        <v>-30886</v>
      </c>
      <c r="P14" s="77">
        <v>9</v>
      </c>
      <c r="Q14" s="314">
        <f>(C14-'20R1'!C14)/'20R1'!C14*100</f>
        <v>-5.8424929903303875</v>
      </c>
      <c r="R14" s="394">
        <f t="shared" si="1"/>
        <v>441594</v>
      </c>
      <c r="S14" s="394">
        <f t="shared" si="2"/>
        <v>0</v>
      </c>
      <c r="T14" s="49">
        <f>民間設備製造1!Q16</f>
        <v>14830</v>
      </c>
      <c r="U14" s="49">
        <f t="shared" si="0"/>
        <v>396218</v>
      </c>
    </row>
    <row r="15" spans="1:21">
      <c r="A15" s="541"/>
      <c r="B15" s="540"/>
      <c r="C15" s="445"/>
      <c r="D15" s="439"/>
      <c r="E15" s="408"/>
      <c r="F15" s="549"/>
      <c r="G15" s="408"/>
      <c r="H15" s="439"/>
      <c r="I15" s="408"/>
      <c r="J15" s="439"/>
      <c r="K15" s="440"/>
      <c r="L15" s="1094"/>
      <c r="M15" s="1094"/>
      <c r="N15" s="281"/>
      <c r="O15" s="1684"/>
      <c r="P15" s="77" t="s">
        <v>11</v>
      </c>
      <c r="Q15" s="314" t="s">
        <v>11</v>
      </c>
      <c r="R15" s="394"/>
      <c r="S15" s="394"/>
      <c r="T15" s="49" t="s">
        <v>1187</v>
      </c>
      <c r="U15" s="49" t="s">
        <v>11</v>
      </c>
    </row>
    <row r="16" spans="1:21">
      <c r="A16" s="300">
        <v>100</v>
      </c>
      <c r="B16" s="87" t="s">
        <v>172</v>
      </c>
      <c r="C16" s="413">
        <v>6827769</v>
      </c>
      <c r="D16" s="1133">
        <v>3935194</v>
      </c>
      <c r="E16" s="1133">
        <v>958986</v>
      </c>
      <c r="F16" s="1134">
        <v>1013062</v>
      </c>
      <c r="G16" s="1133">
        <v>184360</v>
      </c>
      <c r="H16" s="1135">
        <v>883763</v>
      </c>
      <c r="I16" s="1374">
        <v>-55061</v>
      </c>
      <c r="J16" s="1136">
        <v>328677</v>
      </c>
      <c r="K16" s="408">
        <v>6235919</v>
      </c>
      <c r="L16" s="1102">
        <v>591850</v>
      </c>
      <c r="M16" s="1130">
        <v>5615868</v>
      </c>
      <c r="N16" s="1129">
        <v>4890621</v>
      </c>
      <c r="O16" s="831">
        <v>-133397</v>
      </c>
      <c r="P16" s="293">
        <v>100</v>
      </c>
      <c r="Q16" s="314">
        <f>(C16-'20R1'!C16)/'20R1'!C16*100</f>
        <v>-3.614398813293306</v>
      </c>
      <c r="R16" s="394">
        <f>D16+E16+F16+J16+L16</f>
        <v>6827769</v>
      </c>
      <c r="S16" s="394">
        <f>R16-C16</f>
        <v>0</v>
      </c>
      <c r="T16" s="49">
        <f>民間設備製造1!Q18</f>
        <v>171165</v>
      </c>
      <c r="U16" s="49">
        <f t="shared" ref="U16:U65" si="3">D16+E16+G16+J16+T16</f>
        <v>5578382</v>
      </c>
    </row>
    <row r="17" spans="1:21">
      <c r="A17" s="301">
        <v>1</v>
      </c>
      <c r="B17" s="128" t="s">
        <v>182</v>
      </c>
      <c r="C17" s="412">
        <v>3523512</v>
      </c>
      <c r="D17" s="547">
        <v>2528056</v>
      </c>
      <c r="E17" s="547">
        <v>450039</v>
      </c>
      <c r="F17" s="407">
        <v>661182</v>
      </c>
      <c r="G17" s="547">
        <v>161712</v>
      </c>
      <c r="H17" s="560">
        <v>532811</v>
      </c>
      <c r="I17" s="547">
        <v>-33341</v>
      </c>
      <c r="J17" s="557">
        <v>136856</v>
      </c>
      <c r="K17" s="407">
        <v>3776133</v>
      </c>
      <c r="L17" s="1102">
        <v>-252621</v>
      </c>
      <c r="M17" s="1096">
        <v>2877724</v>
      </c>
      <c r="N17" s="1127">
        <v>2961494</v>
      </c>
      <c r="O17" s="828">
        <v>-168851</v>
      </c>
      <c r="P17" s="293">
        <v>1</v>
      </c>
      <c r="Q17" s="314">
        <f>(C17-'20R1'!C17)/'20R1'!C17*100</f>
        <v>-4.6629623296196163</v>
      </c>
      <c r="R17" s="394">
        <f t="shared" si="1"/>
        <v>3523512</v>
      </c>
      <c r="S17" s="394">
        <f t="shared" si="2"/>
        <v>0</v>
      </c>
      <c r="T17" s="49">
        <f>民間設備製造1!Q19</f>
        <v>85464</v>
      </c>
      <c r="U17" s="49">
        <f t="shared" si="3"/>
        <v>3362127</v>
      </c>
    </row>
    <row r="18" spans="1:21">
      <c r="A18" s="300">
        <v>202</v>
      </c>
      <c r="B18" s="90" t="s">
        <v>183</v>
      </c>
      <c r="C18" s="413">
        <v>1878775</v>
      </c>
      <c r="D18" s="546">
        <v>1169418</v>
      </c>
      <c r="E18" s="546">
        <v>177023</v>
      </c>
      <c r="F18" s="572">
        <v>335977</v>
      </c>
      <c r="G18" s="546">
        <v>72716</v>
      </c>
      <c r="H18" s="561">
        <v>278580</v>
      </c>
      <c r="I18" s="546">
        <v>-15319</v>
      </c>
      <c r="J18" s="558">
        <v>52610</v>
      </c>
      <c r="K18" s="408">
        <v>1735028</v>
      </c>
      <c r="L18" s="1103">
        <v>143747</v>
      </c>
      <c r="M18" s="1096">
        <v>1505833</v>
      </c>
      <c r="N18" s="1127">
        <v>1360724</v>
      </c>
      <c r="O18" s="831">
        <v>-1362</v>
      </c>
      <c r="P18" s="293">
        <v>202</v>
      </c>
      <c r="Q18" s="314">
        <f>(C18-'20R1'!C18)/'20R1'!C18*100</f>
        <v>-6.5949199250084645</v>
      </c>
      <c r="R18" s="394">
        <f>D18+E18+F18+J18+L18</f>
        <v>1878775</v>
      </c>
      <c r="S18" s="394">
        <f t="shared" si="2"/>
        <v>0</v>
      </c>
      <c r="T18" s="49">
        <f>民間設備製造1!Q20</f>
        <v>73080</v>
      </c>
      <c r="U18" s="49">
        <f t="shared" si="3"/>
        <v>1544847</v>
      </c>
    </row>
    <row r="19" spans="1:21">
      <c r="A19" s="300">
        <v>204</v>
      </c>
      <c r="B19" s="90" t="s">
        <v>184</v>
      </c>
      <c r="C19" s="413">
        <v>1416580</v>
      </c>
      <c r="D19" s="546">
        <v>1139031</v>
      </c>
      <c r="E19" s="546">
        <v>221030</v>
      </c>
      <c r="F19" s="572">
        <v>279419</v>
      </c>
      <c r="G19" s="546">
        <v>81009</v>
      </c>
      <c r="H19" s="561">
        <v>213407</v>
      </c>
      <c r="I19" s="546">
        <v>-14997</v>
      </c>
      <c r="J19" s="558">
        <v>59028</v>
      </c>
      <c r="K19" s="408">
        <v>1698508</v>
      </c>
      <c r="L19" s="1103">
        <v>-281928</v>
      </c>
      <c r="M19" s="1096">
        <v>1175170</v>
      </c>
      <c r="N19" s="1127">
        <v>1332083</v>
      </c>
      <c r="O19" s="831">
        <v>-125015</v>
      </c>
      <c r="P19" s="293">
        <v>204</v>
      </c>
      <c r="Q19" s="314">
        <f>(C19-'20R1'!C19)/'20R1'!C19*100</f>
        <v>-2.4069973641387845</v>
      </c>
      <c r="R19" s="394">
        <f t="shared" si="1"/>
        <v>1416580</v>
      </c>
      <c r="S19" s="394">
        <f t="shared" si="2"/>
        <v>0</v>
      </c>
      <c r="T19" s="49">
        <f>民間設備製造1!Q21</f>
        <v>12353</v>
      </c>
      <c r="U19" s="49">
        <f t="shared" si="3"/>
        <v>1512451</v>
      </c>
    </row>
    <row r="20" spans="1:21">
      <c r="A20" s="302">
        <v>206</v>
      </c>
      <c r="B20" s="201" t="s">
        <v>185</v>
      </c>
      <c r="C20" s="445">
        <v>228157</v>
      </c>
      <c r="D20" s="548">
        <v>219607</v>
      </c>
      <c r="E20" s="548">
        <v>51986</v>
      </c>
      <c r="F20" s="573">
        <v>45786</v>
      </c>
      <c r="G20" s="548">
        <v>7987</v>
      </c>
      <c r="H20" s="562">
        <v>40824</v>
      </c>
      <c r="I20" s="548">
        <v>-3025</v>
      </c>
      <c r="J20" s="559">
        <v>25218</v>
      </c>
      <c r="K20" s="409">
        <v>342597</v>
      </c>
      <c r="L20" s="1104">
        <v>-114440</v>
      </c>
      <c r="M20" s="1096">
        <v>196721</v>
      </c>
      <c r="N20" s="1127">
        <v>268687</v>
      </c>
      <c r="O20" s="835">
        <v>-42474</v>
      </c>
      <c r="P20" s="293">
        <v>206</v>
      </c>
      <c r="Q20" s="314">
        <f>(C20-'20R1'!C20)/'20R1'!C20*100</f>
        <v>-2.0377582083528334</v>
      </c>
      <c r="R20" s="394">
        <f t="shared" si="1"/>
        <v>228157</v>
      </c>
      <c r="S20" s="394">
        <f t="shared" si="2"/>
        <v>0</v>
      </c>
      <c r="T20" s="49">
        <f>民間設備製造1!Q22</f>
        <v>31</v>
      </c>
      <c r="U20" s="49">
        <f t="shared" si="3"/>
        <v>304829</v>
      </c>
    </row>
    <row r="21" spans="1:21">
      <c r="A21" s="300">
        <v>2</v>
      </c>
      <c r="B21" s="65" t="s">
        <v>186</v>
      </c>
      <c r="C21" s="308">
        <v>2047222</v>
      </c>
      <c r="D21" s="546">
        <v>1537186</v>
      </c>
      <c r="E21" s="546">
        <v>301527</v>
      </c>
      <c r="F21" s="281">
        <v>451484</v>
      </c>
      <c r="G21" s="546">
        <v>72956</v>
      </c>
      <c r="H21" s="561">
        <v>399303</v>
      </c>
      <c r="I21" s="546">
        <v>-20775</v>
      </c>
      <c r="J21" s="558">
        <v>62790</v>
      </c>
      <c r="K21" s="281">
        <v>2352987</v>
      </c>
      <c r="L21" s="1103">
        <v>-305765</v>
      </c>
      <c r="M21" s="1095">
        <v>1690206</v>
      </c>
      <c r="N21" s="1126">
        <v>1845369</v>
      </c>
      <c r="O21" s="831">
        <v>-150602</v>
      </c>
      <c r="P21" s="293">
        <v>2</v>
      </c>
      <c r="Q21" s="314">
        <f>(C21-'20R1'!C21)/'20R1'!C21*100</f>
        <v>-1.2132038580095004</v>
      </c>
      <c r="R21" s="394">
        <f t="shared" si="1"/>
        <v>2047222</v>
      </c>
      <c r="S21" s="394">
        <f t="shared" si="2"/>
        <v>0</v>
      </c>
      <c r="T21" s="49">
        <f>民間設備製造1!Q23</f>
        <v>99316</v>
      </c>
      <c r="U21" s="49">
        <f t="shared" si="3"/>
        <v>2073775</v>
      </c>
    </row>
    <row r="22" spans="1:21">
      <c r="A22" s="300">
        <v>207</v>
      </c>
      <c r="B22" s="90" t="s">
        <v>187</v>
      </c>
      <c r="C22" s="413">
        <v>708582</v>
      </c>
      <c r="D22" s="546">
        <v>430999</v>
      </c>
      <c r="E22" s="546">
        <v>80886</v>
      </c>
      <c r="F22" s="572">
        <v>151654</v>
      </c>
      <c r="G22" s="546">
        <v>25406</v>
      </c>
      <c r="H22" s="561">
        <v>132311</v>
      </c>
      <c r="I22" s="546">
        <v>-6063</v>
      </c>
      <c r="J22" s="558">
        <v>23133</v>
      </c>
      <c r="K22" s="408">
        <v>686672</v>
      </c>
      <c r="L22" s="1103">
        <v>21910</v>
      </c>
      <c r="M22" s="1096">
        <v>574344</v>
      </c>
      <c r="N22" s="1127">
        <v>538534</v>
      </c>
      <c r="O22" s="831">
        <v>-13900</v>
      </c>
      <c r="P22" s="293">
        <v>207</v>
      </c>
      <c r="Q22" s="314">
        <f>(C22-'20R1'!C22)/'20R1'!C22*100</f>
        <v>1.2945909087010348</v>
      </c>
      <c r="R22" s="394">
        <f t="shared" si="1"/>
        <v>708582</v>
      </c>
      <c r="S22" s="394">
        <f t="shared" si="2"/>
        <v>0</v>
      </c>
      <c r="T22" s="49">
        <f>民間設備製造1!Q24</f>
        <v>54830</v>
      </c>
      <c r="U22" s="49">
        <f t="shared" si="3"/>
        <v>615254</v>
      </c>
    </row>
    <row r="23" spans="1:21">
      <c r="A23" s="300">
        <v>214</v>
      </c>
      <c r="B23" s="90" t="s">
        <v>188</v>
      </c>
      <c r="C23" s="413">
        <v>479974</v>
      </c>
      <c r="D23" s="546">
        <v>498846</v>
      </c>
      <c r="E23" s="546">
        <v>95256</v>
      </c>
      <c r="F23" s="572">
        <v>100375</v>
      </c>
      <c r="G23" s="546">
        <v>19344</v>
      </c>
      <c r="H23" s="561">
        <v>87287</v>
      </c>
      <c r="I23" s="546">
        <v>-6256</v>
      </c>
      <c r="J23" s="558">
        <v>14064</v>
      </c>
      <c r="K23" s="408">
        <v>708541</v>
      </c>
      <c r="L23" s="1103">
        <v>-228567</v>
      </c>
      <c r="M23" s="1096">
        <v>407433</v>
      </c>
      <c r="N23" s="1127">
        <v>555685</v>
      </c>
      <c r="O23" s="831">
        <v>-80315</v>
      </c>
      <c r="P23" s="293">
        <v>214</v>
      </c>
      <c r="Q23" s="314">
        <f>(C23-'20R1'!C23)/'20R1'!C23*100</f>
        <v>-3.2585494849246484</v>
      </c>
      <c r="R23" s="394">
        <f t="shared" si="1"/>
        <v>479974</v>
      </c>
      <c r="S23" s="394">
        <f t="shared" si="2"/>
        <v>0</v>
      </c>
      <c r="T23" s="49">
        <f>民間設備製造1!Q25</f>
        <v>4310</v>
      </c>
      <c r="U23" s="49">
        <f t="shared" si="3"/>
        <v>631820</v>
      </c>
    </row>
    <row r="24" spans="1:21">
      <c r="A24" s="300">
        <v>217</v>
      </c>
      <c r="B24" s="90" t="s">
        <v>189</v>
      </c>
      <c r="C24" s="413">
        <v>345655</v>
      </c>
      <c r="D24" s="546">
        <v>330932</v>
      </c>
      <c r="E24" s="546">
        <v>60865</v>
      </c>
      <c r="F24" s="572">
        <v>91918</v>
      </c>
      <c r="G24" s="546">
        <v>21029</v>
      </c>
      <c r="H24" s="561">
        <v>75281</v>
      </c>
      <c r="I24" s="546">
        <v>-4392</v>
      </c>
      <c r="J24" s="558">
        <v>13744</v>
      </c>
      <c r="K24" s="408">
        <v>497459</v>
      </c>
      <c r="L24" s="1103">
        <v>-151804</v>
      </c>
      <c r="M24" s="1096">
        <v>289899</v>
      </c>
      <c r="N24" s="1127">
        <v>390140</v>
      </c>
      <c r="O24" s="831">
        <v>-51563</v>
      </c>
      <c r="P24" s="293">
        <v>217</v>
      </c>
      <c r="Q24" s="314">
        <f>(C24-'20R1'!C24)/'20R1'!C24*100</f>
        <v>-3.2006474667025122</v>
      </c>
      <c r="R24" s="394">
        <f t="shared" si="1"/>
        <v>345655</v>
      </c>
      <c r="S24" s="394">
        <f t="shared" si="2"/>
        <v>0</v>
      </c>
      <c r="T24" s="49">
        <f>民間設備製造1!Q26</f>
        <v>3939</v>
      </c>
      <c r="U24" s="49">
        <f t="shared" si="3"/>
        <v>430509</v>
      </c>
    </row>
    <row r="25" spans="1:21">
      <c r="A25" s="300">
        <v>219</v>
      </c>
      <c r="B25" s="90" t="s">
        <v>190</v>
      </c>
      <c r="C25" s="413">
        <v>450240</v>
      </c>
      <c r="D25" s="546">
        <v>218982</v>
      </c>
      <c r="E25" s="546">
        <v>48364</v>
      </c>
      <c r="F25" s="572">
        <v>96197</v>
      </c>
      <c r="G25" s="546">
        <v>6630</v>
      </c>
      <c r="H25" s="561">
        <v>92848</v>
      </c>
      <c r="I25" s="546">
        <v>-3281</v>
      </c>
      <c r="J25" s="558">
        <v>8063</v>
      </c>
      <c r="K25" s="408">
        <v>371606</v>
      </c>
      <c r="L25" s="1103">
        <v>78634</v>
      </c>
      <c r="M25" s="1096">
        <v>363566</v>
      </c>
      <c r="N25" s="1127">
        <v>291438</v>
      </c>
      <c r="O25" s="831">
        <v>6506</v>
      </c>
      <c r="P25" s="293">
        <v>219</v>
      </c>
      <c r="Q25" s="314">
        <f>(C25-'20R1'!C25)/'20R1'!C25*100</f>
        <v>-1.3146647144692025</v>
      </c>
      <c r="R25" s="394">
        <f t="shared" si="1"/>
        <v>450240</v>
      </c>
      <c r="S25" s="394">
        <f t="shared" si="2"/>
        <v>0</v>
      </c>
      <c r="T25" s="49">
        <f>民間設備製造1!Q27</f>
        <v>35362</v>
      </c>
      <c r="U25" s="49">
        <f t="shared" si="3"/>
        <v>317401</v>
      </c>
    </row>
    <row r="26" spans="1:21">
      <c r="A26" s="300">
        <v>301</v>
      </c>
      <c r="B26" s="90" t="s">
        <v>191</v>
      </c>
      <c r="C26" s="413">
        <v>62771</v>
      </c>
      <c r="D26" s="546">
        <v>57427</v>
      </c>
      <c r="E26" s="546">
        <v>16156</v>
      </c>
      <c r="F26" s="572">
        <v>11340</v>
      </c>
      <c r="G26" s="546">
        <v>547</v>
      </c>
      <c r="H26" s="561">
        <v>11576</v>
      </c>
      <c r="I26" s="546">
        <v>-783</v>
      </c>
      <c r="J26" s="558">
        <v>3786</v>
      </c>
      <c r="K26" s="408">
        <v>88709</v>
      </c>
      <c r="L26" s="1103">
        <v>-25938</v>
      </c>
      <c r="M26" s="1097">
        <v>54964</v>
      </c>
      <c r="N26" s="1128">
        <v>69572</v>
      </c>
      <c r="O26" s="831">
        <v>-11330</v>
      </c>
      <c r="P26" s="293">
        <v>301</v>
      </c>
      <c r="Q26" s="314">
        <f>(C26-'20R1'!C26)/'20R1'!C26*100</f>
        <v>-0.95305719921104548</v>
      </c>
      <c r="R26" s="394">
        <f t="shared" si="1"/>
        <v>62771</v>
      </c>
      <c r="S26" s="394">
        <f t="shared" si="2"/>
        <v>0</v>
      </c>
      <c r="T26" s="49">
        <f>民間設備製造1!Q28</f>
        <v>875</v>
      </c>
      <c r="U26" s="49">
        <f t="shared" si="3"/>
        <v>78791</v>
      </c>
    </row>
    <row r="27" spans="1:21">
      <c r="A27" s="301">
        <v>3</v>
      </c>
      <c r="B27" s="128" t="s">
        <v>192</v>
      </c>
      <c r="C27" s="307">
        <v>2971362</v>
      </c>
      <c r="D27" s="547">
        <v>1569746</v>
      </c>
      <c r="E27" s="547">
        <v>282384</v>
      </c>
      <c r="F27" s="292">
        <v>711469</v>
      </c>
      <c r="G27" s="547">
        <v>100769</v>
      </c>
      <c r="H27" s="560">
        <v>634377</v>
      </c>
      <c r="I27" s="547">
        <v>-23677</v>
      </c>
      <c r="J27" s="557">
        <v>118021</v>
      </c>
      <c r="K27" s="292">
        <v>2681620</v>
      </c>
      <c r="L27" s="1102">
        <v>289742</v>
      </c>
      <c r="M27" s="1096">
        <v>2382634</v>
      </c>
      <c r="N27" s="1127">
        <v>2103106</v>
      </c>
      <c r="O27" s="828">
        <v>10214</v>
      </c>
      <c r="P27" s="293">
        <v>3</v>
      </c>
      <c r="Q27" s="314">
        <f>(C27-'20R1'!C27)/'20R1'!C27*100</f>
        <v>-1.0291250688231761</v>
      </c>
      <c r="R27" s="394">
        <f t="shared" si="1"/>
        <v>2971362</v>
      </c>
      <c r="S27" s="394">
        <f t="shared" si="2"/>
        <v>0</v>
      </c>
      <c r="T27" s="49">
        <f>民間設備製造1!Q29</f>
        <v>337498</v>
      </c>
      <c r="U27" s="49">
        <f t="shared" si="3"/>
        <v>2408418</v>
      </c>
    </row>
    <row r="28" spans="1:21">
      <c r="A28" s="300">
        <v>203</v>
      </c>
      <c r="B28" s="90" t="s">
        <v>193</v>
      </c>
      <c r="C28" s="413">
        <v>1167367</v>
      </c>
      <c r="D28" s="546">
        <v>694007</v>
      </c>
      <c r="E28" s="546">
        <v>123495</v>
      </c>
      <c r="F28" s="572">
        <v>223688</v>
      </c>
      <c r="G28" s="546">
        <v>51665</v>
      </c>
      <c r="H28" s="561">
        <v>181460</v>
      </c>
      <c r="I28" s="546">
        <v>-9437</v>
      </c>
      <c r="J28" s="558">
        <v>27604</v>
      </c>
      <c r="K28" s="408">
        <v>1068794</v>
      </c>
      <c r="L28" s="1103">
        <v>98573</v>
      </c>
      <c r="M28" s="1096">
        <v>941777</v>
      </c>
      <c r="N28" s="1127">
        <v>838219</v>
      </c>
      <c r="O28" s="831">
        <v>-4985</v>
      </c>
      <c r="P28" s="293">
        <v>203</v>
      </c>
      <c r="Q28" s="314">
        <f>(C28-'20R1'!C28)/'20R1'!C28*100</f>
        <v>-3.9473695037030758</v>
      </c>
      <c r="R28" s="394">
        <f t="shared" si="1"/>
        <v>1167367</v>
      </c>
      <c r="S28" s="394">
        <f t="shared" si="2"/>
        <v>0</v>
      </c>
      <c r="T28" s="49">
        <f>民間設備製造1!Q30</f>
        <v>84275</v>
      </c>
      <c r="U28" s="49">
        <f t="shared" si="3"/>
        <v>981046</v>
      </c>
    </row>
    <row r="29" spans="1:21">
      <c r="A29" s="300">
        <v>210</v>
      </c>
      <c r="B29" s="90" t="s">
        <v>194</v>
      </c>
      <c r="C29" s="413">
        <v>856308</v>
      </c>
      <c r="D29" s="546">
        <v>556646</v>
      </c>
      <c r="E29" s="546">
        <v>98440</v>
      </c>
      <c r="F29" s="572">
        <v>291130</v>
      </c>
      <c r="G29" s="546">
        <v>29541</v>
      </c>
      <c r="H29" s="561">
        <v>270258</v>
      </c>
      <c r="I29" s="546">
        <v>-8669</v>
      </c>
      <c r="J29" s="558">
        <v>35655</v>
      </c>
      <c r="K29" s="408">
        <v>981871</v>
      </c>
      <c r="L29" s="1103">
        <v>-125563</v>
      </c>
      <c r="M29" s="1096">
        <v>694397</v>
      </c>
      <c r="N29" s="1127">
        <v>770049</v>
      </c>
      <c r="O29" s="831">
        <v>-49911</v>
      </c>
      <c r="P29" s="293">
        <v>210</v>
      </c>
      <c r="Q29" s="314">
        <f>(C29-'20R1'!C29)/'20R1'!C29*100</f>
        <v>-4.3999289955890184</v>
      </c>
      <c r="R29" s="394">
        <f t="shared" si="1"/>
        <v>856308</v>
      </c>
      <c r="S29" s="394">
        <f t="shared" si="2"/>
        <v>0</v>
      </c>
      <c r="T29" s="49">
        <f>民間設備製造1!Q31</f>
        <v>111711</v>
      </c>
      <c r="U29" s="49">
        <f t="shared" si="3"/>
        <v>831993</v>
      </c>
    </row>
    <row r="30" spans="1:21">
      <c r="A30" s="300">
        <v>216</v>
      </c>
      <c r="B30" s="90" t="s">
        <v>195</v>
      </c>
      <c r="C30" s="413">
        <v>587926</v>
      </c>
      <c r="D30" s="546">
        <v>188418</v>
      </c>
      <c r="E30" s="546">
        <v>36383</v>
      </c>
      <c r="F30" s="572">
        <v>144014</v>
      </c>
      <c r="G30" s="546">
        <v>8950</v>
      </c>
      <c r="H30" s="561">
        <v>138694</v>
      </c>
      <c r="I30" s="546">
        <v>-3630</v>
      </c>
      <c r="J30" s="558">
        <v>42352</v>
      </c>
      <c r="K30" s="408">
        <v>411167</v>
      </c>
      <c r="L30" s="1103">
        <v>176759</v>
      </c>
      <c r="M30" s="1096">
        <v>462582</v>
      </c>
      <c r="N30" s="1127">
        <v>322465</v>
      </c>
      <c r="O30" s="831">
        <v>36642</v>
      </c>
      <c r="P30" s="293">
        <v>216</v>
      </c>
      <c r="Q30" s="314">
        <f>(C30-'20R1'!C30)/'20R1'!C30*100</f>
        <v>10.467969651305678</v>
      </c>
      <c r="R30" s="394">
        <f t="shared" si="1"/>
        <v>587926</v>
      </c>
      <c r="S30" s="394">
        <f t="shared" si="2"/>
        <v>0</v>
      </c>
      <c r="T30" s="49">
        <f>民間設備製造1!Q32</f>
        <v>104764</v>
      </c>
      <c r="U30" s="49">
        <f t="shared" si="3"/>
        <v>380867</v>
      </c>
    </row>
    <row r="31" spans="1:21">
      <c r="A31" s="300">
        <v>381</v>
      </c>
      <c r="B31" s="90" t="s">
        <v>196</v>
      </c>
      <c r="C31" s="413">
        <v>151068</v>
      </c>
      <c r="D31" s="546">
        <v>59088</v>
      </c>
      <c r="E31" s="546">
        <v>10595</v>
      </c>
      <c r="F31" s="572">
        <v>19635</v>
      </c>
      <c r="G31" s="546">
        <v>3479</v>
      </c>
      <c r="H31" s="561">
        <v>16990</v>
      </c>
      <c r="I31" s="546">
        <v>-834</v>
      </c>
      <c r="J31" s="558">
        <v>5119</v>
      </c>
      <c r="K31" s="408">
        <v>94437</v>
      </c>
      <c r="L31" s="1103">
        <v>56631</v>
      </c>
      <c r="M31" s="1096">
        <v>119426</v>
      </c>
      <c r="N31" s="1127">
        <v>74064</v>
      </c>
      <c r="O31" s="831">
        <v>11269</v>
      </c>
      <c r="P31" s="293">
        <v>381</v>
      </c>
      <c r="Q31" s="314">
        <f>(C31-'20R1'!C31)/'20R1'!C31*100</f>
        <v>-14.039899397981131</v>
      </c>
      <c r="R31" s="394">
        <f t="shared" si="1"/>
        <v>151068</v>
      </c>
      <c r="S31" s="394">
        <f t="shared" si="2"/>
        <v>0</v>
      </c>
      <c r="T31" s="49">
        <f>民間設備製造1!Q33</f>
        <v>10426</v>
      </c>
      <c r="U31" s="49">
        <f t="shared" si="3"/>
        <v>88707</v>
      </c>
    </row>
    <row r="32" spans="1:21">
      <c r="A32" s="302">
        <v>382</v>
      </c>
      <c r="B32" s="201" t="s">
        <v>197</v>
      </c>
      <c r="C32" s="445">
        <v>208693</v>
      </c>
      <c r="D32" s="548">
        <v>71587</v>
      </c>
      <c r="E32" s="548">
        <v>13471</v>
      </c>
      <c r="F32" s="573">
        <v>33002</v>
      </c>
      <c r="G32" s="548">
        <v>7134</v>
      </c>
      <c r="H32" s="562">
        <v>26975</v>
      </c>
      <c r="I32" s="548">
        <v>-1107</v>
      </c>
      <c r="J32" s="559">
        <v>7291</v>
      </c>
      <c r="K32" s="409">
        <v>125351</v>
      </c>
      <c r="L32" s="1104">
        <v>83342</v>
      </c>
      <c r="M32" s="1096">
        <v>164452</v>
      </c>
      <c r="N32" s="1127">
        <v>98309</v>
      </c>
      <c r="O32" s="835">
        <v>17199</v>
      </c>
      <c r="P32" s="293">
        <v>382</v>
      </c>
      <c r="Q32" s="314">
        <f>(C32-'20R1'!C32)/'20R1'!C32*100</f>
        <v>13.88866150412294</v>
      </c>
      <c r="R32" s="394">
        <f t="shared" si="1"/>
        <v>208693</v>
      </c>
      <c r="S32" s="394">
        <f t="shared" si="2"/>
        <v>0</v>
      </c>
      <c r="T32" s="49">
        <f>民間設備製造1!Q34</f>
        <v>26322</v>
      </c>
      <c r="U32" s="49">
        <f t="shared" si="3"/>
        <v>125805</v>
      </c>
    </row>
    <row r="33" spans="1:21">
      <c r="A33" s="300">
        <v>4</v>
      </c>
      <c r="B33" s="91" t="s">
        <v>198</v>
      </c>
      <c r="C33" s="308">
        <v>1299522</v>
      </c>
      <c r="D33" s="546">
        <v>534015</v>
      </c>
      <c r="E33" s="546">
        <v>137246</v>
      </c>
      <c r="F33" s="281">
        <v>192975</v>
      </c>
      <c r="G33" s="546">
        <v>23589</v>
      </c>
      <c r="H33" s="561">
        <v>177447</v>
      </c>
      <c r="I33" s="546">
        <v>-8061</v>
      </c>
      <c r="J33" s="558">
        <v>48909</v>
      </c>
      <c r="K33" s="281">
        <v>913145</v>
      </c>
      <c r="L33" s="1103">
        <v>386377</v>
      </c>
      <c r="M33" s="1095">
        <v>1048288</v>
      </c>
      <c r="N33" s="1126">
        <v>716150</v>
      </c>
      <c r="O33" s="831">
        <v>54239</v>
      </c>
      <c r="P33" s="293">
        <v>4</v>
      </c>
      <c r="Q33" s="314">
        <f>(C33-'20R1'!C33)/'20R1'!C33*100</f>
        <v>-0.82127296164263752</v>
      </c>
      <c r="R33" s="394">
        <f t="shared" si="1"/>
        <v>1299522</v>
      </c>
      <c r="S33" s="394">
        <f t="shared" si="2"/>
        <v>0</v>
      </c>
      <c r="T33" s="49">
        <f>民間設備製造1!Q35</f>
        <v>86621</v>
      </c>
      <c r="U33" s="49">
        <f t="shared" si="3"/>
        <v>830380</v>
      </c>
    </row>
    <row r="34" spans="1:21">
      <c r="A34" s="300">
        <v>213</v>
      </c>
      <c r="B34" s="92" t="s">
        <v>231</v>
      </c>
      <c r="C34" s="413">
        <v>145709</v>
      </c>
      <c r="D34" s="546">
        <v>78724</v>
      </c>
      <c r="E34" s="546">
        <v>16706</v>
      </c>
      <c r="F34" s="572">
        <v>19984</v>
      </c>
      <c r="G34" s="546">
        <v>2823</v>
      </c>
      <c r="H34" s="561">
        <v>18360</v>
      </c>
      <c r="I34" s="546">
        <v>-1199</v>
      </c>
      <c r="J34" s="558">
        <v>20407</v>
      </c>
      <c r="K34" s="408">
        <v>135821</v>
      </c>
      <c r="L34" s="1103">
        <v>9888</v>
      </c>
      <c r="M34" s="1096">
        <v>118138</v>
      </c>
      <c r="N34" s="1127">
        <v>106520</v>
      </c>
      <c r="O34" s="831">
        <v>-1730</v>
      </c>
      <c r="P34" s="293">
        <v>213</v>
      </c>
      <c r="Q34" s="314">
        <f>(C34-'20R1'!C34)/'20R1'!C34*100</f>
        <v>-3.7792540546251785</v>
      </c>
      <c r="R34" s="394">
        <f t="shared" si="1"/>
        <v>145709</v>
      </c>
      <c r="S34" s="394">
        <f t="shared" si="2"/>
        <v>0</v>
      </c>
      <c r="T34" s="49">
        <f>民間設備製造1!Q36</f>
        <v>3789</v>
      </c>
      <c r="U34" s="49">
        <f t="shared" si="3"/>
        <v>122449</v>
      </c>
    </row>
    <row r="35" spans="1:21">
      <c r="A35" s="300">
        <v>215</v>
      </c>
      <c r="B35" s="92" t="s">
        <v>232</v>
      </c>
      <c r="C35" s="413">
        <v>316527</v>
      </c>
      <c r="D35" s="546">
        <v>155869</v>
      </c>
      <c r="E35" s="546">
        <v>39364</v>
      </c>
      <c r="F35" s="572">
        <v>45928</v>
      </c>
      <c r="G35" s="546">
        <v>6805</v>
      </c>
      <c r="H35" s="561">
        <v>41315</v>
      </c>
      <c r="I35" s="546">
        <v>-2192</v>
      </c>
      <c r="J35" s="558">
        <v>7137</v>
      </c>
      <c r="K35" s="408">
        <v>248298</v>
      </c>
      <c r="L35" s="1103">
        <v>68229</v>
      </c>
      <c r="M35" s="1096">
        <v>258030</v>
      </c>
      <c r="N35" s="1127">
        <v>194732</v>
      </c>
      <c r="O35" s="831">
        <v>4931</v>
      </c>
      <c r="P35" s="293">
        <v>215</v>
      </c>
      <c r="Q35" s="314">
        <f>(C35-'20R1'!C35)/'20R1'!C35*100</f>
        <v>2.450510752340139</v>
      </c>
      <c r="R35" s="394">
        <f t="shared" si="1"/>
        <v>316527</v>
      </c>
      <c r="S35" s="394">
        <f t="shared" si="2"/>
        <v>0</v>
      </c>
      <c r="T35" s="49">
        <f>民間設備製造1!Q37</f>
        <v>14013</v>
      </c>
      <c r="U35" s="49">
        <f t="shared" si="3"/>
        <v>223188</v>
      </c>
    </row>
    <row r="36" spans="1:21">
      <c r="A36" s="300">
        <v>218</v>
      </c>
      <c r="B36" s="90" t="s">
        <v>200</v>
      </c>
      <c r="C36" s="413">
        <v>252856</v>
      </c>
      <c r="D36" s="546">
        <v>92442</v>
      </c>
      <c r="E36" s="546">
        <v>21653</v>
      </c>
      <c r="F36" s="572">
        <v>38930</v>
      </c>
      <c r="G36" s="546">
        <v>5121</v>
      </c>
      <c r="H36" s="561">
        <v>35218</v>
      </c>
      <c r="I36" s="546">
        <v>-1409</v>
      </c>
      <c r="J36" s="558">
        <v>6590</v>
      </c>
      <c r="K36" s="408">
        <v>159615</v>
      </c>
      <c r="L36" s="1103">
        <v>93241</v>
      </c>
      <c r="M36" s="1096">
        <v>201676</v>
      </c>
      <c r="N36" s="1127">
        <v>125181</v>
      </c>
      <c r="O36" s="831">
        <v>16746</v>
      </c>
      <c r="P36" s="293">
        <v>218</v>
      </c>
      <c r="Q36" s="314">
        <f>(C36-'20R1'!C36)/'20R1'!C36*100</f>
        <v>-4.1565904283949022</v>
      </c>
      <c r="R36" s="394">
        <f t="shared" si="1"/>
        <v>252856</v>
      </c>
      <c r="S36" s="394">
        <f t="shared" si="2"/>
        <v>0</v>
      </c>
      <c r="T36" s="49">
        <f>民間設備製造1!Q38</f>
        <v>19763</v>
      </c>
      <c r="U36" s="49">
        <f t="shared" si="3"/>
        <v>145569</v>
      </c>
    </row>
    <row r="37" spans="1:21">
      <c r="A37" s="300">
        <v>220</v>
      </c>
      <c r="B37" s="90" t="s">
        <v>201</v>
      </c>
      <c r="C37" s="413">
        <v>234697</v>
      </c>
      <c r="D37" s="546">
        <v>84319</v>
      </c>
      <c r="E37" s="546">
        <v>24293</v>
      </c>
      <c r="F37" s="572">
        <v>31569</v>
      </c>
      <c r="G37" s="546">
        <v>3129</v>
      </c>
      <c r="H37" s="561">
        <v>29733</v>
      </c>
      <c r="I37" s="546">
        <v>-1293</v>
      </c>
      <c r="J37" s="558">
        <v>6301</v>
      </c>
      <c r="K37" s="408">
        <v>146482</v>
      </c>
      <c r="L37" s="1103">
        <v>88215</v>
      </c>
      <c r="M37" s="1096">
        <v>189099</v>
      </c>
      <c r="N37" s="1127">
        <v>114881</v>
      </c>
      <c r="O37" s="831">
        <v>13997</v>
      </c>
      <c r="P37" s="293">
        <v>220</v>
      </c>
      <c r="Q37" s="314">
        <f>(C37-'20R1'!C37)/'20R1'!C37*100</f>
        <v>-5.0140436932889765</v>
      </c>
      <c r="R37" s="394">
        <f t="shared" si="1"/>
        <v>234697</v>
      </c>
      <c r="S37" s="394">
        <f t="shared" si="2"/>
        <v>0</v>
      </c>
      <c r="T37" s="49">
        <f>民間設備製造1!Q39</f>
        <v>22924</v>
      </c>
      <c r="U37" s="49">
        <f t="shared" si="3"/>
        <v>140966</v>
      </c>
    </row>
    <row r="38" spans="1:21">
      <c r="A38" s="300">
        <v>228</v>
      </c>
      <c r="B38" s="90" t="s">
        <v>239</v>
      </c>
      <c r="C38" s="413">
        <v>283315</v>
      </c>
      <c r="D38" s="546">
        <v>88601</v>
      </c>
      <c r="E38" s="546">
        <v>22448</v>
      </c>
      <c r="F38" s="572">
        <v>46704</v>
      </c>
      <c r="G38" s="546">
        <v>5033</v>
      </c>
      <c r="H38" s="561">
        <v>43120</v>
      </c>
      <c r="I38" s="546">
        <v>-1449</v>
      </c>
      <c r="J38" s="558">
        <v>6339</v>
      </c>
      <c r="K38" s="408">
        <v>164092</v>
      </c>
      <c r="L38" s="1103">
        <v>119223</v>
      </c>
      <c r="M38" s="1096">
        <v>225146</v>
      </c>
      <c r="N38" s="1127">
        <v>128692</v>
      </c>
      <c r="O38" s="831">
        <v>22769</v>
      </c>
      <c r="P38" s="293">
        <v>228</v>
      </c>
      <c r="Q38" s="314">
        <f>(C38-'20R1'!C38)/'20R1'!C38*100</f>
        <v>3.7563448058654205</v>
      </c>
      <c r="R38" s="394">
        <f t="shared" si="1"/>
        <v>283315</v>
      </c>
      <c r="S38" s="394">
        <f t="shared" si="2"/>
        <v>0</v>
      </c>
      <c r="T38" s="49">
        <f>民間設備製造1!Q40</f>
        <v>22698</v>
      </c>
      <c r="U38" s="49">
        <f t="shared" si="3"/>
        <v>145119</v>
      </c>
    </row>
    <row r="39" spans="1:21">
      <c r="A39" s="300">
        <v>365</v>
      </c>
      <c r="B39" s="90" t="s">
        <v>233</v>
      </c>
      <c r="C39" s="413">
        <v>66418</v>
      </c>
      <c r="D39" s="546">
        <v>34060</v>
      </c>
      <c r="E39" s="546">
        <v>12782</v>
      </c>
      <c r="F39" s="572">
        <v>9860</v>
      </c>
      <c r="G39" s="546">
        <v>678</v>
      </c>
      <c r="H39" s="561">
        <v>9701</v>
      </c>
      <c r="I39" s="546">
        <v>-519</v>
      </c>
      <c r="J39" s="558">
        <v>2135</v>
      </c>
      <c r="K39" s="408">
        <v>58837</v>
      </c>
      <c r="L39" s="1103">
        <v>7581</v>
      </c>
      <c r="M39" s="1097">
        <v>56199</v>
      </c>
      <c r="N39" s="1128">
        <v>46144</v>
      </c>
      <c r="O39" s="831">
        <v>-2474</v>
      </c>
      <c r="P39" s="293">
        <v>365</v>
      </c>
      <c r="Q39" s="314">
        <f>(C39-'20R1'!C39)/'20R1'!C39*100</f>
        <v>0.74170698782023092</v>
      </c>
      <c r="R39" s="394">
        <f t="shared" si="1"/>
        <v>66418</v>
      </c>
      <c r="S39" s="394">
        <f t="shared" si="2"/>
        <v>0</v>
      </c>
      <c r="T39" s="49">
        <f>民間設備製造1!Q41</f>
        <v>3434</v>
      </c>
      <c r="U39" s="49">
        <f t="shared" si="3"/>
        <v>53089</v>
      </c>
    </row>
    <row r="40" spans="1:21">
      <c r="A40" s="301">
        <v>5</v>
      </c>
      <c r="B40" s="306" t="s">
        <v>202</v>
      </c>
      <c r="C40" s="307">
        <v>2592307</v>
      </c>
      <c r="D40" s="547">
        <v>1258811</v>
      </c>
      <c r="E40" s="547">
        <v>239887</v>
      </c>
      <c r="F40" s="292">
        <v>639270</v>
      </c>
      <c r="G40" s="547">
        <v>80987</v>
      </c>
      <c r="H40" s="560">
        <v>578441</v>
      </c>
      <c r="I40" s="547">
        <v>-20158</v>
      </c>
      <c r="J40" s="557">
        <v>145094</v>
      </c>
      <c r="K40" s="292">
        <v>2283062</v>
      </c>
      <c r="L40" s="1102">
        <v>309245</v>
      </c>
      <c r="M40" s="1096">
        <v>2075743</v>
      </c>
      <c r="N40" s="1127">
        <v>1790530</v>
      </c>
      <c r="O40" s="828">
        <v>24032</v>
      </c>
      <c r="P40" s="293">
        <v>5</v>
      </c>
      <c r="Q40" s="314">
        <f>(C40-'20R1'!C40)/'20R1'!C40*100</f>
        <v>-2.1101598526992795</v>
      </c>
      <c r="R40" s="394">
        <f t="shared" si="1"/>
        <v>2592307</v>
      </c>
      <c r="S40" s="394">
        <f t="shared" si="2"/>
        <v>0</v>
      </c>
      <c r="T40" s="49">
        <f>民間設備製造1!Q42</f>
        <v>249210</v>
      </c>
      <c r="U40" s="49">
        <f t="shared" si="3"/>
        <v>1973989</v>
      </c>
    </row>
    <row r="41" spans="1:21">
      <c r="A41" s="300">
        <v>201</v>
      </c>
      <c r="B41" s="92" t="s">
        <v>240</v>
      </c>
      <c r="C41" s="413">
        <v>2346960</v>
      </c>
      <c r="D41" s="546">
        <v>1176293</v>
      </c>
      <c r="E41" s="546">
        <v>212082</v>
      </c>
      <c r="F41" s="572">
        <v>568941</v>
      </c>
      <c r="G41" s="546">
        <v>78427</v>
      </c>
      <c r="H41" s="561">
        <v>509005</v>
      </c>
      <c r="I41" s="546">
        <v>-18491</v>
      </c>
      <c r="J41" s="558">
        <v>136933</v>
      </c>
      <c r="K41" s="408">
        <v>2094249</v>
      </c>
      <c r="L41" s="1103">
        <v>252711</v>
      </c>
      <c r="M41" s="1096">
        <v>1876967</v>
      </c>
      <c r="N41" s="1127">
        <v>1642450</v>
      </c>
      <c r="O41" s="831">
        <v>18194</v>
      </c>
      <c r="P41" s="293">
        <v>201</v>
      </c>
      <c r="Q41" s="314">
        <f>(C41-'20R1'!C41)/'20R1'!C41*100</f>
        <v>-1.8225262368815591</v>
      </c>
      <c r="R41" s="394">
        <f t="shared" si="1"/>
        <v>2346960</v>
      </c>
      <c r="S41" s="394">
        <f t="shared" si="2"/>
        <v>0</v>
      </c>
      <c r="T41" s="49">
        <f>民間設備製造1!Q43</f>
        <v>227721</v>
      </c>
      <c r="U41" s="49">
        <f t="shared" si="3"/>
        <v>1831456</v>
      </c>
    </row>
    <row r="42" spans="1:21">
      <c r="A42" s="300">
        <v>442</v>
      </c>
      <c r="B42" s="90" t="s">
        <v>203</v>
      </c>
      <c r="C42" s="413">
        <v>38208</v>
      </c>
      <c r="D42" s="546">
        <v>22443</v>
      </c>
      <c r="E42" s="546">
        <v>8063</v>
      </c>
      <c r="F42" s="572">
        <v>6547</v>
      </c>
      <c r="G42" s="546">
        <v>306</v>
      </c>
      <c r="H42" s="561">
        <v>6591</v>
      </c>
      <c r="I42" s="546">
        <v>-350</v>
      </c>
      <c r="J42" s="558">
        <v>2611</v>
      </c>
      <c r="K42" s="408">
        <v>39664</v>
      </c>
      <c r="L42" s="1103">
        <v>-1456</v>
      </c>
      <c r="M42" s="1096">
        <v>32652</v>
      </c>
      <c r="N42" s="1127">
        <v>31107</v>
      </c>
      <c r="O42" s="831">
        <v>-3001</v>
      </c>
      <c r="P42" s="293">
        <v>442</v>
      </c>
      <c r="Q42" s="314">
        <f>(C42-'20R1'!C42)/'20R1'!C42*100</f>
        <v>-3.4883427214630327</v>
      </c>
      <c r="R42" s="394">
        <f t="shared" si="1"/>
        <v>38208</v>
      </c>
      <c r="S42" s="394">
        <f t="shared" si="2"/>
        <v>0</v>
      </c>
      <c r="T42" s="49">
        <f>民間設備製造1!Q44</f>
        <v>2952</v>
      </c>
      <c r="U42" s="49">
        <f t="shared" si="3"/>
        <v>36375</v>
      </c>
    </row>
    <row r="43" spans="1:21">
      <c r="A43" s="300">
        <v>443</v>
      </c>
      <c r="B43" s="90" t="s">
        <v>204</v>
      </c>
      <c r="C43" s="413">
        <v>175405</v>
      </c>
      <c r="D43" s="546">
        <v>40460</v>
      </c>
      <c r="E43" s="546">
        <v>10040</v>
      </c>
      <c r="F43" s="572">
        <v>53725</v>
      </c>
      <c r="G43" s="546">
        <v>1860</v>
      </c>
      <c r="H43" s="561">
        <v>52807</v>
      </c>
      <c r="I43" s="546">
        <v>-942</v>
      </c>
      <c r="J43" s="558">
        <v>2439</v>
      </c>
      <c r="K43" s="408">
        <v>106664</v>
      </c>
      <c r="L43" s="1103">
        <v>68741</v>
      </c>
      <c r="M43" s="1096">
        <v>137639</v>
      </c>
      <c r="N43" s="1127">
        <v>83653</v>
      </c>
      <c r="O43" s="831">
        <v>14755</v>
      </c>
      <c r="P43" s="293">
        <v>443</v>
      </c>
      <c r="Q43" s="314">
        <f>(C43-'20R1'!C43)/'20R1'!C43*100</f>
        <v>-5.8683052484705378</v>
      </c>
      <c r="R43" s="394">
        <f t="shared" si="1"/>
        <v>175405</v>
      </c>
      <c r="S43" s="394">
        <f t="shared" si="2"/>
        <v>0</v>
      </c>
      <c r="T43" s="49">
        <f>民間設備製造1!Q45</f>
        <v>13383</v>
      </c>
      <c r="U43" s="49">
        <f t="shared" si="3"/>
        <v>68182</v>
      </c>
    </row>
    <row r="44" spans="1:21">
      <c r="A44" s="302">
        <v>446</v>
      </c>
      <c r="B44" s="201" t="s">
        <v>234</v>
      </c>
      <c r="C44" s="445">
        <v>31734</v>
      </c>
      <c r="D44" s="548">
        <v>19615</v>
      </c>
      <c r="E44" s="548">
        <v>9702</v>
      </c>
      <c r="F44" s="573">
        <v>10057</v>
      </c>
      <c r="G44" s="548">
        <v>394</v>
      </c>
      <c r="H44" s="562">
        <v>10038</v>
      </c>
      <c r="I44" s="548">
        <v>-375</v>
      </c>
      <c r="J44" s="559">
        <v>3111</v>
      </c>
      <c r="K44" s="409">
        <v>42485</v>
      </c>
      <c r="L44" s="1104">
        <v>-10751</v>
      </c>
      <c r="M44" s="1096">
        <v>28485</v>
      </c>
      <c r="N44" s="1127">
        <v>33320</v>
      </c>
      <c r="O44" s="835">
        <v>-5916</v>
      </c>
      <c r="P44" s="293">
        <v>446</v>
      </c>
      <c r="Q44" s="314">
        <f>(C44-'20R1'!C44)/'20R1'!C44*100</f>
        <v>9.4544766947149469E-3</v>
      </c>
      <c r="R44" s="394">
        <f t="shared" si="1"/>
        <v>31734</v>
      </c>
      <c r="S44" s="394">
        <f t="shared" si="2"/>
        <v>0</v>
      </c>
      <c r="T44" s="49">
        <f>民間設備製造1!Q46</f>
        <v>5154</v>
      </c>
      <c r="U44" s="49">
        <f t="shared" si="3"/>
        <v>37976</v>
      </c>
    </row>
    <row r="45" spans="1:21">
      <c r="A45" s="300">
        <v>6</v>
      </c>
      <c r="B45" s="91" t="s">
        <v>205</v>
      </c>
      <c r="C45" s="308">
        <v>1100471</v>
      </c>
      <c r="D45" s="546">
        <v>494475</v>
      </c>
      <c r="E45" s="546">
        <v>126398</v>
      </c>
      <c r="F45" s="281">
        <v>185788</v>
      </c>
      <c r="G45" s="546">
        <v>17266</v>
      </c>
      <c r="H45" s="561">
        <v>176104</v>
      </c>
      <c r="I45" s="546">
        <v>-7582</v>
      </c>
      <c r="J45" s="558">
        <v>51907</v>
      </c>
      <c r="K45" s="281">
        <v>858568</v>
      </c>
      <c r="L45" s="1103">
        <v>241903</v>
      </c>
      <c r="M45" s="1095">
        <v>892346</v>
      </c>
      <c r="N45" s="1126">
        <v>673346</v>
      </c>
      <c r="O45" s="831">
        <v>22903</v>
      </c>
      <c r="P45" s="293">
        <v>6</v>
      </c>
      <c r="Q45" s="314">
        <f>(C45-'20R1'!C45)/'20R1'!C45*100</f>
        <v>1.8910288163385482</v>
      </c>
      <c r="R45" s="394">
        <f t="shared" si="1"/>
        <v>1100471</v>
      </c>
      <c r="S45" s="394">
        <f t="shared" si="2"/>
        <v>0</v>
      </c>
      <c r="T45" s="49">
        <f>民間設備製造1!Q47</f>
        <v>73978</v>
      </c>
      <c r="U45" s="49">
        <f t="shared" si="3"/>
        <v>764024</v>
      </c>
    </row>
    <row r="46" spans="1:21">
      <c r="A46" s="300">
        <v>208</v>
      </c>
      <c r="B46" s="90" t="s">
        <v>206</v>
      </c>
      <c r="C46" s="413">
        <v>173140</v>
      </c>
      <c r="D46" s="546">
        <v>61278</v>
      </c>
      <c r="E46" s="546">
        <v>13813</v>
      </c>
      <c r="F46" s="572">
        <v>20470</v>
      </c>
      <c r="G46" s="546">
        <v>1554</v>
      </c>
      <c r="H46" s="561">
        <v>19780</v>
      </c>
      <c r="I46" s="546">
        <v>-864</v>
      </c>
      <c r="J46" s="558">
        <v>2302</v>
      </c>
      <c r="K46" s="408">
        <v>97863</v>
      </c>
      <c r="L46" s="1103">
        <v>75277</v>
      </c>
      <c r="M46" s="1096">
        <v>137635</v>
      </c>
      <c r="N46" s="1127">
        <v>76751</v>
      </c>
      <c r="O46" s="831">
        <v>14393</v>
      </c>
      <c r="P46" s="293">
        <v>208</v>
      </c>
      <c r="Q46" s="314">
        <f>(C46-'20R1'!C46)/'20R1'!C46*100</f>
        <v>18.960589237618862</v>
      </c>
      <c r="R46" s="394">
        <f t="shared" si="1"/>
        <v>173140</v>
      </c>
      <c r="S46" s="394">
        <f t="shared" si="2"/>
        <v>0</v>
      </c>
      <c r="T46" s="49">
        <f>民間設備製造1!Q48</f>
        <v>5118</v>
      </c>
      <c r="U46" s="49">
        <f t="shared" si="3"/>
        <v>84065</v>
      </c>
    </row>
    <row r="47" spans="1:21">
      <c r="A47" s="300">
        <v>212</v>
      </c>
      <c r="B47" s="90" t="s">
        <v>207</v>
      </c>
      <c r="C47" s="413">
        <v>241852</v>
      </c>
      <c r="D47" s="546">
        <v>98157</v>
      </c>
      <c r="E47" s="546">
        <v>24448</v>
      </c>
      <c r="F47" s="572">
        <v>57125</v>
      </c>
      <c r="G47" s="546">
        <v>5602</v>
      </c>
      <c r="H47" s="561">
        <v>53155</v>
      </c>
      <c r="I47" s="546">
        <v>-1632</v>
      </c>
      <c r="J47" s="558">
        <v>5080</v>
      </c>
      <c r="K47" s="408">
        <v>184810</v>
      </c>
      <c r="L47" s="1103">
        <v>57042</v>
      </c>
      <c r="M47" s="1096">
        <v>194598</v>
      </c>
      <c r="N47" s="1127">
        <v>144940</v>
      </c>
      <c r="O47" s="831">
        <v>7384</v>
      </c>
      <c r="P47" s="293">
        <v>212</v>
      </c>
      <c r="Q47" s="314">
        <f>(C47-'20R1'!C47)/'20R1'!C47*100</f>
        <v>0.69949869260363406</v>
      </c>
      <c r="R47" s="394">
        <f t="shared" si="1"/>
        <v>241852</v>
      </c>
      <c r="S47" s="394">
        <f t="shared" si="2"/>
        <v>0</v>
      </c>
      <c r="T47" s="49">
        <f>民間設備製造1!Q49</f>
        <v>24913</v>
      </c>
      <c r="U47" s="49">
        <f t="shared" si="3"/>
        <v>158200</v>
      </c>
    </row>
    <row r="48" spans="1:21">
      <c r="A48" s="300">
        <v>227</v>
      </c>
      <c r="B48" s="90" t="s">
        <v>219</v>
      </c>
      <c r="C48" s="413">
        <v>111914</v>
      </c>
      <c r="D48" s="546">
        <v>66863</v>
      </c>
      <c r="E48" s="546">
        <v>23734</v>
      </c>
      <c r="F48" s="572">
        <v>16764</v>
      </c>
      <c r="G48" s="546">
        <v>1685</v>
      </c>
      <c r="H48" s="561">
        <v>16102</v>
      </c>
      <c r="I48" s="546">
        <v>-1023</v>
      </c>
      <c r="J48" s="558">
        <v>8451</v>
      </c>
      <c r="K48" s="408">
        <v>115812</v>
      </c>
      <c r="L48" s="1103">
        <v>-3898</v>
      </c>
      <c r="M48" s="1096">
        <v>95692</v>
      </c>
      <c r="N48" s="1127">
        <v>90827</v>
      </c>
      <c r="O48" s="831">
        <v>-8763</v>
      </c>
      <c r="P48" s="293">
        <v>227</v>
      </c>
      <c r="Q48" s="314">
        <f>(C48-'20R1'!C48)/'20R1'!C48*100</f>
        <v>-6.2547641584506746</v>
      </c>
      <c r="R48" s="394">
        <f t="shared" si="1"/>
        <v>111914</v>
      </c>
      <c r="S48" s="394">
        <f t="shared" si="2"/>
        <v>0</v>
      </c>
      <c r="T48" s="49">
        <f>民間設備製造1!Q50</f>
        <v>3609</v>
      </c>
      <c r="U48" s="49">
        <f t="shared" si="3"/>
        <v>104342</v>
      </c>
    </row>
    <row r="49" spans="1:21">
      <c r="A49" s="300">
        <v>229</v>
      </c>
      <c r="B49" s="90" t="s">
        <v>235</v>
      </c>
      <c r="C49" s="413">
        <v>349957</v>
      </c>
      <c r="D49" s="546">
        <v>142458</v>
      </c>
      <c r="E49" s="546">
        <v>30708</v>
      </c>
      <c r="F49" s="572">
        <v>61093</v>
      </c>
      <c r="G49" s="546">
        <v>4311</v>
      </c>
      <c r="H49" s="561">
        <v>59025</v>
      </c>
      <c r="I49" s="546">
        <v>-2243</v>
      </c>
      <c r="J49" s="558">
        <v>19774</v>
      </c>
      <c r="K49" s="408">
        <v>254033</v>
      </c>
      <c r="L49" s="1103">
        <v>95924</v>
      </c>
      <c r="M49" s="1096">
        <v>279461</v>
      </c>
      <c r="N49" s="1127">
        <v>199230</v>
      </c>
      <c r="O49" s="831">
        <v>15693</v>
      </c>
      <c r="P49" s="293">
        <v>229</v>
      </c>
      <c r="Q49" s="314">
        <f>(C49-'20R1'!C49)/'20R1'!C49*100</f>
        <v>-2.5843375338561021</v>
      </c>
      <c r="R49" s="394">
        <f t="shared" si="1"/>
        <v>349957</v>
      </c>
      <c r="S49" s="394">
        <f t="shared" si="2"/>
        <v>0</v>
      </c>
      <c r="T49" s="49">
        <f>民間設備製造1!Q51</f>
        <v>26305</v>
      </c>
      <c r="U49" s="49">
        <f t="shared" si="3"/>
        <v>223556</v>
      </c>
    </row>
    <row r="50" spans="1:21">
      <c r="A50" s="300">
        <v>464</v>
      </c>
      <c r="B50" s="90" t="s">
        <v>208</v>
      </c>
      <c r="C50" s="413">
        <v>114490</v>
      </c>
      <c r="D50" s="546">
        <v>66215</v>
      </c>
      <c r="E50" s="546">
        <v>10943</v>
      </c>
      <c r="F50" s="572">
        <v>14579</v>
      </c>
      <c r="G50" s="546">
        <v>3085</v>
      </c>
      <c r="H50" s="561">
        <v>12357</v>
      </c>
      <c r="I50" s="546">
        <v>-863</v>
      </c>
      <c r="J50" s="558">
        <v>5958</v>
      </c>
      <c r="K50" s="408">
        <v>97695</v>
      </c>
      <c r="L50" s="1103">
        <v>16795</v>
      </c>
      <c r="M50" s="1096">
        <v>91834</v>
      </c>
      <c r="N50" s="1127">
        <v>76619</v>
      </c>
      <c r="O50" s="831">
        <v>1580</v>
      </c>
      <c r="P50" s="293">
        <v>464</v>
      </c>
      <c r="Q50" s="314">
        <f>(C50-'20R1'!C50)/'20R1'!C50*100</f>
        <v>13.025193492339282</v>
      </c>
      <c r="R50" s="394">
        <f t="shared" si="1"/>
        <v>114490</v>
      </c>
      <c r="S50" s="394">
        <f t="shared" si="2"/>
        <v>0</v>
      </c>
      <c r="T50" s="49">
        <f>民間設備製造1!Q52</f>
        <v>9275</v>
      </c>
      <c r="U50" s="49">
        <f t="shared" si="3"/>
        <v>95476</v>
      </c>
    </row>
    <row r="51" spans="1:21">
      <c r="A51" s="300">
        <v>481</v>
      </c>
      <c r="B51" s="90" t="s">
        <v>209</v>
      </c>
      <c r="C51" s="413">
        <v>50015</v>
      </c>
      <c r="D51" s="546">
        <v>28740</v>
      </c>
      <c r="E51" s="546">
        <v>8459</v>
      </c>
      <c r="F51" s="572">
        <v>8064</v>
      </c>
      <c r="G51" s="546">
        <v>635</v>
      </c>
      <c r="H51" s="561">
        <v>7861</v>
      </c>
      <c r="I51" s="546">
        <v>-432</v>
      </c>
      <c r="J51" s="558">
        <v>3659</v>
      </c>
      <c r="K51" s="408">
        <v>48922</v>
      </c>
      <c r="L51" s="1103">
        <v>1093</v>
      </c>
      <c r="M51" s="1096">
        <v>41790</v>
      </c>
      <c r="N51" s="1127">
        <v>38368</v>
      </c>
      <c r="O51" s="831">
        <v>-2329</v>
      </c>
      <c r="P51" s="293">
        <v>481</v>
      </c>
      <c r="Q51" s="314">
        <f>(C51-'20R1'!C51)/'20R1'!C51*100</f>
        <v>-1.042697162755728</v>
      </c>
      <c r="R51" s="394">
        <f t="shared" si="1"/>
        <v>50015</v>
      </c>
      <c r="S51" s="394">
        <f t="shared" si="2"/>
        <v>0</v>
      </c>
      <c r="T51" s="49">
        <f>民間設備製造1!Q53</f>
        <v>3604</v>
      </c>
      <c r="U51" s="49">
        <f t="shared" si="3"/>
        <v>45097</v>
      </c>
    </row>
    <row r="52" spans="1:21">
      <c r="A52" s="300">
        <v>501</v>
      </c>
      <c r="B52" s="90" t="s">
        <v>236</v>
      </c>
      <c r="C52" s="413">
        <v>59103</v>
      </c>
      <c r="D52" s="546">
        <v>30764</v>
      </c>
      <c r="E52" s="546">
        <v>14293</v>
      </c>
      <c r="F52" s="572">
        <v>7693</v>
      </c>
      <c r="G52" s="546">
        <v>394</v>
      </c>
      <c r="H52" s="561">
        <v>7824</v>
      </c>
      <c r="I52" s="546">
        <v>-525</v>
      </c>
      <c r="J52" s="558">
        <v>6683</v>
      </c>
      <c r="K52" s="408">
        <v>59433</v>
      </c>
      <c r="L52" s="1103">
        <v>-330</v>
      </c>
      <c r="M52" s="1097">
        <v>51336</v>
      </c>
      <c r="N52" s="1128">
        <v>46611</v>
      </c>
      <c r="O52" s="831">
        <v>-5055</v>
      </c>
      <c r="P52" s="293">
        <v>501</v>
      </c>
      <c r="Q52" s="314">
        <f>(C52-'20R1'!C52)/'20R1'!C52*100</f>
        <v>-7.4650467348248819</v>
      </c>
      <c r="R52" s="394">
        <f t="shared" si="1"/>
        <v>59103</v>
      </c>
      <c r="S52" s="394">
        <f t="shared" si="2"/>
        <v>0</v>
      </c>
      <c r="T52" s="49">
        <f>民間設備製造1!Q54</f>
        <v>1154</v>
      </c>
      <c r="U52" s="49">
        <f t="shared" si="3"/>
        <v>53288</v>
      </c>
    </row>
    <row r="53" spans="1:21">
      <c r="A53" s="301">
        <v>7</v>
      </c>
      <c r="B53" s="347" t="s">
        <v>210</v>
      </c>
      <c r="C53" s="307">
        <v>639162</v>
      </c>
      <c r="D53" s="547">
        <v>338275</v>
      </c>
      <c r="E53" s="547">
        <v>119833</v>
      </c>
      <c r="F53" s="292">
        <v>85411</v>
      </c>
      <c r="G53" s="547">
        <v>9891</v>
      </c>
      <c r="H53" s="560">
        <v>80700</v>
      </c>
      <c r="I53" s="547">
        <v>-5180</v>
      </c>
      <c r="J53" s="557">
        <v>43172</v>
      </c>
      <c r="K53" s="292">
        <v>586691</v>
      </c>
      <c r="L53" s="1102">
        <v>52471</v>
      </c>
      <c r="M53" s="1096">
        <v>539371</v>
      </c>
      <c r="N53" s="1127">
        <v>460122</v>
      </c>
      <c r="O53" s="828">
        <v>-26778</v>
      </c>
      <c r="P53" s="293">
        <v>7</v>
      </c>
      <c r="Q53" s="314">
        <f>(C53-'20R1'!C53)/'20R1'!C53*100</f>
        <v>0.44552564954810964</v>
      </c>
      <c r="R53" s="394">
        <f t="shared" si="1"/>
        <v>639162</v>
      </c>
      <c r="S53" s="394">
        <f t="shared" si="2"/>
        <v>0</v>
      </c>
      <c r="T53" s="49">
        <f>民間設備製造1!Q55</f>
        <v>39549</v>
      </c>
      <c r="U53" s="49">
        <f t="shared" si="3"/>
        <v>550720</v>
      </c>
    </row>
    <row r="54" spans="1:21">
      <c r="A54" s="300">
        <v>209</v>
      </c>
      <c r="B54" s="90" t="s">
        <v>221</v>
      </c>
      <c r="C54" s="413">
        <v>297021</v>
      </c>
      <c r="D54" s="546">
        <v>166940</v>
      </c>
      <c r="E54" s="546">
        <v>51020</v>
      </c>
      <c r="F54" s="572">
        <v>41915</v>
      </c>
      <c r="G54" s="546">
        <v>6061</v>
      </c>
      <c r="H54" s="561">
        <v>38279</v>
      </c>
      <c r="I54" s="546">
        <v>-2425</v>
      </c>
      <c r="J54" s="558">
        <v>14779</v>
      </c>
      <c r="K54" s="408">
        <v>274654</v>
      </c>
      <c r="L54" s="1103">
        <v>22367</v>
      </c>
      <c r="M54" s="1096">
        <v>248528</v>
      </c>
      <c r="N54" s="1127">
        <v>215402</v>
      </c>
      <c r="O54" s="831">
        <v>-10759</v>
      </c>
      <c r="P54" s="293">
        <v>209</v>
      </c>
      <c r="Q54" s="314">
        <f>(C54-'20R1'!C54)/'20R1'!C54*100</f>
        <v>-5.0362403404385931</v>
      </c>
      <c r="R54" s="394">
        <f t="shared" si="1"/>
        <v>297021</v>
      </c>
      <c r="S54" s="394">
        <f t="shared" si="2"/>
        <v>0</v>
      </c>
      <c r="T54" s="49">
        <f>民間設備製造1!Q56</f>
        <v>8239</v>
      </c>
      <c r="U54" s="49">
        <f t="shared" si="3"/>
        <v>247039</v>
      </c>
    </row>
    <row r="55" spans="1:21">
      <c r="A55" s="300">
        <v>222</v>
      </c>
      <c r="B55" s="90" t="s">
        <v>218</v>
      </c>
      <c r="C55" s="413">
        <v>77584</v>
      </c>
      <c r="D55" s="546">
        <v>46923</v>
      </c>
      <c r="E55" s="546">
        <v>18910</v>
      </c>
      <c r="F55" s="572">
        <v>11810</v>
      </c>
      <c r="G55" s="546">
        <v>1116</v>
      </c>
      <c r="H55" s="561">
        <v>11467</v>
      </c>
      <c r="I55" s="546">
        <v>-773</v>
      </c>
      <c r="J55" s="558">
        <v>9925</v>
      </c>
      <c r="K55" s="408">
        <v>87568</v>
      </c>
      <c r="L55" s="1103">
        <v>-9984</v>
      </c>
      <c r="M55" s="1096">
        <v>67454</v>
      </c>
      <c r="N55" s="1127">
        <v>68677</v>
      </c>
      <c r="O55" s="831">
        <v>-8761</v>
      </c>
      <c r="P55" s="293">
        <v>222</v>
      </c>
      <c r="Q55" s="314">
        <f>(C55-'20R1'!C55)/'20R1'!C55*100</f>
        <v>-3.0999425473983964</v>
      </c>
      <c r="R55" s="394">
        <f t="shared" si="1"/>
        <v>77584</v>
      </c>
      <c r="S55" s="394">
        <f t="shared" si="2"/>
        <v>0</v>
      </c>
      <c r="T55" s="49">
        <f>民間設備製造1!Q57</f>
        <v>4197</v>
      </c>
      <c r="U55" s="49">
        <f t="shared" si="3"/>
        <v>81071</v>
      </c>
    </row>
    <row r="56" spans="1:21">
      <c r="A56" s="300">
        <v>225</v>
      </c>
      <c r="B56" s="90" t="s">
        <v>222</v>
      </c>
      <c r="C56" s="413">
        <v>167290</v>
      </c>
      <c r="D56" s="546">
        <v>63767</v>
      </c>
      <c r="E56" s="546">
        <v>21418</v>
      </c>
      <c r="F56" s="572">
        <v>17349</v>
      </c>
      <c r="G56" s="546">
        <v>2079</v>
      </c>
      <c r="H56" s="561">
        <v>16225</v>
      </c>
      <c r="I56" s="546">
        <v>-955</v>
      </c>
      <c r="J56" s="558">
        <v>5625</v>
      </c>
      <c r="K56" s="408">
        <v>108159</v>
      </c>
      <c r="L56" s="1103">
        <v>59131</v>
      </c>
      <c r="M56" s="1096">
        <v>136651</v>
      </c>
      <c r="N56" s="1127">
        <v>84825</v>
      </c>
      <c r="O56" s="831">
        <v>7305</v>
      </c>
      <c r="P56" s="293">
        <v>225</v>
      </c>
      <c r="Q56" s="314">
        <f>(C56-'20R1'!C56)/'20R1'!C56*100</f>
        <v>19.520176040237768</v>
      </c>
      <c r="R56" s="394">
        <f t="shared" si="1"/>
        <v>167290</v>
      </c>
      <c r="S56" s="394">
        <f t="shared" si="2"/>
        <v>0</v>
      </c>
      <c r="T56" s="49">
        <f>民間設備製造1!Q58</f>
        <v>25548</v>
      </c>
      <c r="U56" s="49">
        <f t="shared" si="3"/>
        <v>118437</v>
      </c>
    </row>
    <row r="57" spans="1:21">
      <c r="A57" s="300">
        <v>585</v>
      </c>
      <c r="B57" s="90" t="s">
        <v>220</v>
      </c>
      <c r="C57" s="413">
        <v>52788</v>
      </c>
      <c r="D57" s="546">
        <v>33072</v>
      </c>
      <c r="E57" s="546">
        <v>16032</v>
      </c>
      <c r="F57" s="572">
        <v>7549</v>
      </c>
      <c r="G57" s="546">
        <v>263</v>
      </c>
      <c r="H57" s="561">
        <v>7843</v>
      </c>
      <c r="I57" s="546">
        <v>-557</v>
      </c>
      <c r="J57" s="558">
        <v>6420</v>
      </c>
      <c r="K57" s="408">
        <v>63073</v>
      </c>
      <c r="L57" s="1103">
        <v>-10285</v>
      </c>
      <c r="M57" s="1096">
        <v>47334</v>
      </c>
      <c r="N57" s="1127">
        <v>49466</v>
      </c>
      <c r="O57" s="831">
        <v>-8153</v>
      </c>
      <c r="P57" s="293">
        <v>585</v>
      </c>
      <c r="Q57" s="314">
        <f>(C57-'20R1'!C57)/'20R1'!C57*100</f>
        <v>-5.7542268482976553</v>
      </c>
      <c r="R57" s="394">
        <f t="shared" si="1"/>
        <v>52788</v>
      </c>
      <c r="S57" s="394">
        <f t="shared" si="2"/>
        <v>0</v>
      </c>
      <c r="T57" s="49">
        <f>民間設備製造1!Q59</f>
        <v>1012</v>
      </c>
      <c r="U57" s="49">
        <f t="shared" si="3"/>
        <v>56799</v>
      </c>
    </row>
    <row r="58" spans="1:21">
      <c r="A58" s="302">
        <v>586</v>
      </c>
      <c r="B58" s="201" t="s">
        <v>237</v>
      </c>
      <c r="C58" s="445">
        <v>44479</v>
      </c>
      <c r="D58" s="548">
        <v>27573</v>
      </c>
      <c r="E58" s="548">
        <v>12453</v>
      </c>
      <c r="F58" s="573">
        <v>6788</v>
      </c>
      <c r="G58" s="548">
        <v>372</v>
      </c>
      <c r="H58" s="562">
        <v>6886</v>
      </c>
      <c r="I58" s="548">
        <v>-470</v>
      </c>
      <c r="J58" s="559">
        <v>6423</v>
      </c>
      <c r="K58" s="409">
        <v>53237</v>
      </c>
      <c r="L58" s="1104">
        <v>-8758</v>
      </c>
      <c r="M58" s="1096">
        <v>39404</v>
      </c>
      <c r="N58" s="1127">
        <v>41752</v>
      </c>
      <c r="O58" s="835">
        <v>-6410</v>
      </c>
      <c r="P58" s="293">
        <v>586</v>
      </c>
      <c r="Q58" s="314">
        <f>(C58-'20R1'!C58)/'20R1'!C58*100</f>
        <v>-6.3777389547243688</v>
      </c>
      <c r="R58" s="394">
        <f t="shared" si="1"/>
        <v>44479</v>
      </c>
      <c r="S58" s="394">
        <f t="shared" si="2"/>
        <v>0</v>
      </c>
      <c r="T58" s="49">
        <f>民間設備製造1!Q60</f>
        <v>553</v>
      </c>
      <c r="U58" s="49">
        <f t="shared" si="3"/>
        <v>47374</v>
      </c>
    </row>
    <row r="59" spans="1:21">
      <c r="A59" s="300">
        <v>8</v>
      </c>
      <c r="B59" s="86" t="s">
        <v>211</v>
      </c>
      <c r="C59" s="308">
        <v>453080</v>
      </c>
      <c r="D59" s="546">
        <v>214702</v>
      </c>
      <c r="E59" s="546">
        <v>66058</v>
      </c>
      <c r="F59" s="281">
        <v>80272</v>
      </c>
      <c r="G59" s="546">
        <v>8491</v>
      </c>
      <c r="H59" s="561">
        <v>75100</v>
      </c>
      <c r="I59" s="546">
        <v>-3319</v>
      </c>
      <c r="J59" s="558">
        <v>14986</v>
      </c>
      <c r="K59" s="281">
        <v>376018</v>
      </c>
      <c r="L59" s="1103">
        <v>77062</v>
      </c>
      <c r="M59" s="1095">
        <v>373761</v>
      </c>
      <c r="N59" s="1126">
        <v>294899</v>
      </c>
      <c r="O59" s="831">
        <v>-1800</v>
      </c>
      <c r="P59" s="293">
        <v>8</v>
      </c>
      <c r="Q59" s="314">
        <f>(C59-'20R1'!C59)/'20R1'!C59*100</f>
        <v>-4.5580744779005649</v>
      </c>
      <c r="R59" s="394">
        <f t="shared" si="1"/>
        <v>453080</v>
      </c>
      <c r="S59" s="394">
        <f t="shared" si="2"/>
        <v>0</v>
      </c>
      <c r="T59" s="49">
        <f>民間設備製造1!Q61</f>
        <v>18052</v>
      </c>
      <c r="U59" s="49">
        <f t="shared" si="3"/>
        <v>322289</v>
      </c>
    </row>
    <row r="60" spans="1:21">
      <c r="A60" s="300">
        <v>221</v>
      </c>
      <c r="B60" s="492" t="s">
        <v>1144</v>
      </c>
      <c r="C60" s="413">
        <v>205887</v>
      </c>
      <c r="D60" s="546">
        <v>87296</v>
      </c>
      <c r="E60" s="546">
        <v>28495</v>
      </c>
      <c r="F60" s="572">
        <v>24515</v>
      </c>
      <c r="G60" s="546">
        <v>2254</v>
      </c>
      <c r="H60" s="561">
        <v>23560</v>
      </c>
      <c r="I60" s="546">
        <v>-1299</v>
      </c>
      <c r="J60" s="558">
        <v>6873</v>
      </c>
      <c r="K60" s="408">
        <v>147179</v>
      </c>
      <c r="L60" s="1103">
        <v>58708</v>
      </c>
      <c r="M60" s="1096">
        <v>169151</v>
      </c>
      <c r="N60" s="1127">
        <v>115428</v>
      </c>
      <c r="O60" s="831">
        <v>4985</v>
      </c>
      <c r="P60" s="293">
        <v>221</v>
      </c>
      <c r="Q60" s="314">
        <f>(C60-'20R1'!C60)/'20R1'!C60*100</f>
        <v>-4.8963679112371645</v>
      </c>
      <c r="R60" s="394">
        <f t="shared" si="1"/>
        <v>205887</v>
      </c>
      <c r="S60" s="394">
        <f t="shared" si="2"/>
        <v>0</v>
      </c>
      <c r="T60" s="49">
        <f>民間設備製造1!Q62</f>
        <v>6589</v>
      </c>
      <c r="U60" s="49">
        <f t="shared" si="3"/>
        <v>131507</v>
      </c>
    </row>
    <row r="61" spans="1:21">
      <c r="A61" s="300">
        <v>223</v>
      </c>
      <c r="B61" s="90" t="s">
        <v>223</v>
      </c>
      <c r="C61" s="413">
        <v>247193</v>
      </c>
      <c r="D61" s="546">
        <v>127406</v>
      </c>
      <c r="E61" s="546">
        <v>37563</v>
      </c>
      <c r="F61" s="572">
        <v>55757</v>
      </c>
      <c r="G61" s="546">
        <v>6237</v>
      </c>
      <c r="H61" s="561">
        <v>51540</v>
      </c>
      <c r="I61" s="546">
        <v>-2020</v>
      </c>
      <c r="J61" s="558">
        <v>8113</v>
      </c>
      <c r="K61" s="408">
        <v>228839</v>
      </c>
      <c r="L61" s="1103">
        <v>18354</v>
      </c>
      <c r="M61" s="1097">
        <v>204610</v>
      </c>
      <c r="N61" s="1128">
        <v>179471</v>
      </c>
      <c r="O61" s="831">
        <v>-6785</v>
      </c>
      <c r="P61" s="293">
        <v>223</v>
      </c>
      <c r="Q61" s="314">
        <f>(C61-'20R1'!C61)/'20R1'!C61*100</f>
        <v>-4.2744674341965139</v>
      </c>
      <c r="R61" s="394">
        <f t="shared" si="1"/>
        <v>247193</v>
      </c>
      <c r="S61" s="394">
        <f t="shared" si="2"/>
        <v>0</v>
      </c>
      <c r="T61" s="49">
        <f>民間設備製造1!Q63</f>
        <v>11463</v>
      </c>
      <c r="U61" s="49">
        <f t="shared" si="3"/>
        <v>190782</v>
      </c>
    </row>
    <row r="62" spans="1:21">
      <c r="A62" s="301">
        <v>9</v>
      </c>
      <c r="B62" s="346" t="s">
        <v>212</v>
      </c>
      <c r="C62" s="307">
        <v>441594</v>
      </c>
      <c r="D62" s="547">
        <v>252311</v>
      </c>
      <c r="E62" s="547">
        <v>95607</v>
      </c>
      <c r="F62" s="292">
        <v>62866</v>
      </c>
      <c r="G62" s="547">
        <v>8513</v>
      </c>
      <c r="H62" s="560">
        <v>58200</v>
      </c>
      <c r="I62" s="547">
        <v>-3847</v>
      </c>
      <c r="J62" s="557">
        <v>24957</v>
      </c>
      <c r="K62" s="292">
        <v>435741</v>
      </c>
      <c r="L62" s="1102">
        <v>5853</v>
      </c>
      <c r="M62" s="1096">
        <v>378476</v>
      </c>
      <c r="N62" s="1127">
        <v>341737</v>
      </c>
      <c r="O62" s="828">
        <v>-30886</v>
      </c>
      <c r="P62" s="293">
        <v>9</v>
      </c>
      <c r="Q62" s="314">
        <f>(C62-'20R1'!C62)/'20R1'!C62*100</f>
        <v>-5.8424929903303875</v>
      </c>
      <c r="R62" s="394">
        <f t="shared" si="1"/>
        <v>441594</v>
      </c>
      <c r="S62" s="394">
        <f t="shared" si="2"/>
        <v>0</v>
      </c>
      <c r="T62" s="49">
        <f>民間設備製造1!Q64</f>
        <v>14830</v>
      </c>
      <c r="U62" s="49">
        <f t="shared" si="3"/>
        <v>396218</v>
      </c>
    </row>
    <row r="63" spans="1:21">
      <c r="A63" s="300">
        <v>205</v>
      </c>
      <c r="B63" s="92" t="s">
        <v>241</v>
      </c>
      <c r="C63" s="413">
        <v>148521</v>
      </c>
      <c r="D63" s="546">
        <v>85780</v>
      </c>
      <c r="E63" s="546">
        <v>34321</v>
      </c>
      <c r="F63" s="572">
        <v>21691</v>
      </c>
      <c r="G63" s="546">
        <v>2276</v>
      </c>
      <c r="H63" s="561">
        <v>20736</v>
      </c>
      <c r="I63" s="546">
        <v>-1321</v>
      </c>
      <c r="J63" s="558">
        <v>7858</v>
      </c>
      <c r="K63" s="408">
        <v>149650</v>
      </c>
      <c r="L63" s="1103">
        <v>-1129</v>
      </c>
      <c r="M63" s="1096">
        <v>128277</v>
      </c>
      <c r="N63" s="1127">
        <v>117365</v>
      </c>
      <c r="O63" s="831">
        <v>-12041</v>
      </c>
      <c r="P63" s="293">
        <v>205</v>
      </c>
      <c r="Q63" s="314">
        <f>(C63-'20R1'!C63)/'20R1'!C63*100</f>
        <v>-5.6853829838576528</v>
      </c>
      <c r="R63" s="394">
        <f t="shared" si="1"/>
        <v>148521</v>
      </c>
      <c r="S63" s="394">
        <f t="shared" si="2"/>
        <v>0</v>
      </c>
      <c r="T63" s="49">
        <f>民間設備製造1!Q65</f>
        <v>9759</v>
      </c>
      <c r="U63" s="49">
        <f t="shared" si="3"/>
        <v>139994</v>
      </c>
    </row>
    <row r="64" spans="1:21">
      <c r="A64" s="300">
        <v>224</v>
      </c>
      <c r="B64" s="90" t="s">
        <v>224</v>
      </c>
      <c r="C64" s="413">
        <v>150844</v>
      </c>
      <c r="D64" s="546">
        <v>82188</v>
      </c>
      <c r="E64" s="546">
        <v>30217</v>
      </c>
      <c r="F64" s="572">
        <v>18420</v>
      </c>
      <c r="G64" s="546">
        <v>2823</v>
      </c>
      <c r="H64" s="561">
        <v>16817</v>
      </c>
      <c r="I64" s="546">
        <v>-1220</v>
      </c>
      <c r="J64" s="558">
        <v>7371</v>
      </c>
      <c r="K64" s="408">
        <v>138196</v>
      </c>
      <c r="L64" s="1103">
        <v>12648</v>
      </c>
      <c r="M64" s="1096">
        <v>128174</v>
      </c>
      <c r="N64" s="1127">
        <v>108383</v>
      </c>
      <c r="O64" s="831">
        <v>-7143</v>
      </c>
      <c r="P64" s="293">
        <v>224</v>
      </c>
      <c r="Q64" s="314">
        <f>(C64-'20R1'!C64)/'20R1'!C64*100</f>
        <v>-6.9742773800053035</v>
      </c>
      <c r="R64" s="394">
        <f t="shared" si="1"/>
        <v>150844</v>
      </c>
      <c r="S64" s="394">
        <f t="shared" si="2"/>
        <v>0</v>
      </c>
      <c r="T64" s="49">
        <f>民間設備製造1!Q66</f>
        <v>2598</v>
      </c>
      <c r="U64" s="49">
        <f t="shared" si="3"/>
        <v>125197</v>
      </c>
    </row>
    <row r="65" spans="1:21">
      <c r="A65" s="302">
        <v>226</v>
      </c>
      <c r="B65" s="201" t="s">
        <v>225</v>
      </c>
      <c r="C65" s="445">
        <v>142229</v>
      </c>
      <c r="D65" s="548">
        <v>84343</v>
      </c>
      <c r="E65" s="548">
        <v>31069</v>
      </c>
      <c r="F65" s="573">
        <v>22755</v>
      </c>
      <c r="G65" s="548">
        <v>3414</v>
      </c>
      <c r="H65" s="562">
        <v>20647</v>
      </c>
      <c r="I65" s="548">
        <v>-1306</v>
      </c>
      <c r="J65" s="559">
        <v>9728</v>
      </c>
      <c r="K65" s="409">
        <v>147895</v>
      </c>
      <c r="L65" s="1104">
        <v>-5666</v>
      </c>
      <c r="M65" s="1097">
        <v>122025</v>
      </c>
      <c r="N65" s="1128">
        <v>115989</v>
      </c>
      <c r="O65" s="835">
        <v>-11702</v>
      </c>
      <c r="P65" s="293">
        <v>226</v>
      </c>
      <c r="Q65" s="314">
        <f>(C65-'20R1'!C65)/'20R1'!C65*100</f>
        <v>-4.7794708371270955</v>
      </c>
      <c r="R65" s="394">
        <f t="shared" si="1"/>
        <v>142229</v>
      </c>
      <c r="S65" s="394">
        <f t="shared" si="2"/>
        <v>0</v>
      </c>
      <c r="T65" s="49">
        <f>民間設備製造1!Q67</f>
        <v>2473</v>
      </c>
      <c r="U65" s="49">
        <f t="shared" si="3"/>
        <v>131027</v>
      </c>
    </row>
    <row r="66" spans="1:21">
      <c r="A66" s="75"/>
      <c r="B66" s="75"/>
      <c r="C66" s="239"/>
      <c r="D66" s="239"/>
      <c r="E66" s="239"/>
      <c r="F66" s="239"/>
      <c r="G66" s="239"/>
      <c r="H66" s="239"/>
      <c r="I66" s="239"/>
      <c r="J66" s="239"/>
      <c r="K66" s="239"/>
      <c r="L66" s="239"/>
      <c r="M66" s="239"/>
      <c r="N66" s="239"/>
      <c r="O66" s="436"/>
    </row>
    <row r="67" spans="1:21">
      <c r="A67" s="75"/>
      <c r="B67" s="75"/>
      <c r="C67" s="239"/>
      <c r="D67" s="239"/>
      <c r="E67" s="239"/>
      <c r="F67" s="239"/>
      <c r="G67" s="239"/>
      <c r="H67" s="239"/>
      <c r="I67" s="239"/>
      <c r="J67" s="239"/>
      <c r="K67" s="239"/>
      <c r="L67" s="239"/>
      <c r="M67" s="239"/>
      <c r="N67" s="239"/>
      <c r="O67" s="239"/>
    </row>
    <row r="68" spans="1:21">
      <c r="A68" s="75"/>
      <c r="B68" s="75"/>
      <c r="C68" s="239"/>
      <c r="D68" s="239"/>
      <c r="E68" s="239"/>
      <c r="F68" s="239"/>
      <c r="G68" s="239"/>
      <c r="H68" s="239"/>
      <c r="I68" s="239"/>
      <c r="J68" s="239"/>
      <c r="K68" s="239"/>
      <c r="L68" s="239"/>
      <c r="M68" s="239"/>
      <c r="N68" s="239"/>
      <c r="O68" s="239"/>
    </row>
    <row r="69" spans="1:21">
      <c r="A69" s="75"/>
      <c r="B69" s="75"/>
      <c r="C69" s="239"/>
      <c r="D69" s="239"/>
      <c r="E69" s="239"/>
      <c r="F69" s="239"/>
      <c r="G69" s="239"/>
      <c r="H69" s="239"/>
      <c r="I69" s="239"/>
      <c r="J69" s="239"/>
      <c r="K69" s="239"/>
      <c r="L69" s="239"/>
      <c r="M69" s="239"/>
      <c r="N69" s="239"/>
      <c r="O69" s="239"/>
    </row>
    <row r="70" spans="1:21">
      <c r="A70" s="395"/>
      <c r="B70" s="203" t="s">
        <v>166</v>
      </c>
      <c r="C70" s="384">
        <f>ROUND((C4-'20R1'!C4)/ABS('20R1'!C4)*100,1)</f>
        <v>-2.6</v>
      </c>
      <c r="D70" s="384">
        <f>ROUND((D4-'20R1'!D4)/ABS('20R1'!D4)*100,1)</f>
        <v>-4.3</v>
      </c>
      <c r="E70" s="384">
        <f>ROUND((E4-'20R1'!E4)/ABS('20R1'!E4)*100,1)</f>
        <v>-0.4</v>
      </c>
      <c r="F70" s="384">
        <f>ROUND((F4-'20R1'!F4)/ABS('20R1'!F4)*100,1)</f>
        <v>-13.2</v>
      </c>
      <c r="G70" s="384">
        <f>ROUND((G4-'20R1'!G4)/ABS('20R1'!G4)*100,1)</f>
        <v>-7.3</v>
      </c>
      <c r="H70" s="384">
        <f>ROUND((H4-'20R1'!H4)/ABS('20R1'!H4)*100,1)</f>
        <v>-6.3</v>
      </c>
      <c r="I70" s="384">
        <f>ROUND((I4-'20R1'!I4)/ABS('20R1'!I4)*100,1)</f>
        <v>-223.6</v>
      </c>
      <c r="J70" s="384">
        <f>ROUND((J4-'20R1'!J4)/ABS('20R1'!J4)*100,1)</f>
        <v>8.1</v>
      </c>
      <c r="K70" s="384">
        <f>ROUND((K4-'20R1'!K4)/ABS('20R1'!K4)*100,1)</f>
        <v>-5.2</v>
      </c>
      <c r="L70" s="384">
        <f>ROUND((L4-'20R1'!L4)/ABS('20R1'!L4)*100,1)</f>
        <v>65.8</v>
      </c>
      <c r="M70" s="384">
        <f>ROUND((M4-'20R1'!M4)/ABS('20R1'!M4)*100,1)</f>
        <v>-11.4</v>
      </c>
      <c r="N70" s="384">
        <f>ROUND((N4-'20R1'!N4)/ABS('20R1'!N4)*100,1)</f>
        <v>-8.5</v>
      </c>
      <c r="O70" s="384">
        <f>ROUND((O4-'20R1'!O4)/ABS('20R1'!O4)*100,1)</f>
        <v>77</v>
      </c>
    </row>
    <row r="71" spans="1:21">
      <c r="A71" s="77">
        <v>100</v>
      </c>
      <c r="B71" s="75" t="s">
        <v>172</v>
      </c>
      <c r="C71" s="384">
        <f>ROUND((C5-'20R1'!C5)/ABS('20R1'!C5)*100,1)</f>
        <v>-3.6</v>
      </c>
      <c r="D71" s="384">
        <f>ROUND((D5-'20R1'!D5)/ABS('20R1'!D5)*100,1)</f>
        <v>-3.1</v>
      </c>
      <c r="E71" s="384">
        <f>ROUND((E5-'20R1'!E5)/ABS('20R1'!E5)*100,1)</f>
        <v>-2.4</v>
      </c>
      <c r="F71" s="384">
        <f>ROUND((F5-'20R1'!F5)/ABS('20R1'!F5)*100,1)</f>
        <v>-15.2</v>
      </c>
      <c r="G71" s="384">
        <f>ROUND((G5-'20R1'!G5)/ABS('20R1'!G5)*100,1)</f>
        <v>-0.9</v>
      </c>
      <c r="H71" s="384">
        <f>ROUND((H5-'20R1'!H5)/ABS('20R1'!H5)*100,1)</f>
        <v>-8.3000000000000007</v>
      </c>
      <c r="I71" s="384">
        <f>ROUND((I5-'20R1'!I5)/ABS('20R1'!I5)*100,1)</f>
        <v>-223.9</v>
      </c>
      <c r="J71" s="384">
        <f>ROUND((J5-'20R1'!J5)/ABS('20R1'!J5)*100,1)</f>
        <v>2</v>
      </c>
      <c r="K71" s="384">
        <f>ROUND((K5-'20R1'!K5)/ABS('20R1'!K5)*100,1)</f>
        <v>-5</v>
      </c>
      <c r="L71" s="384">
        <f>ROUND((L5-'20R1'!L5)/ABS('20R1'!L5)*100,1)</f>
        <v>13.3</v>
      </c>
      <c r="M71" s="384">
        <f>ROUND((M5-'20R1'!M5)/ABS('20R1'!M5)*100,1)</f>
        <v>-12.3</v>
      </c>
      <c r="N71" s="384">
        <f>ROUND((N5-'20R1'!N5)/ABS('20R1'!N5)*100,1)</f>
        <v>-8.3000000000000007</v>
      </c>
      <c r="O71" s="384">
        <f>ROUND((O5-'20R1'!O5)/ABS('20R1'!O5)*100,1)</f>
        <v>75.7</v>
      </c>
    </row>
    <row r="72" spans="1:21">
      <c r="A72" s="77">
        <v>1</v>
      </c>
      <c r="B72" s="75" t="s">
        <v>323</v>
      </c>
      <c r="C72" s="384">
        <f>ROUND((C6-'20R1'!C6)/ABS('20R1'!C6)*100,1)</f>
        <v>-4.7</v>
      </c>
      <c r="D72" s="384">
        <f>ROUND((D6-'20R1'!D6)/ABS('20R1'!D6)*100,1)</f>
        <v>-3.5</v>
      </c>
      <c r="E72" s="384">
        <f>ROUND((E6-'20R1'!E6)/ABS('20R1'!E6)*100,1)</f>
        <v>-1.1000000000000001</v>
      </c>
      <c r="F72" s="384">
        <f>ROUND((F6-'20R1'!F6)/ABS('20R1'!F6)*100,1)</f>
        <v>-12.6</v>
      </c>
      <c r="G72" s="384">
        <f>ROUND((G6-'20R1'!G6)/ABS('20R1'!G6)*100,1)</f>
        <v>-5.7</v>
      </c>
      <c r="H72" s="384">
        <f>ROUND((H6-'20R1'!H6)/ABS('20R1'!H6)*100,1)</f>
        <v>-4.5999999999999996</v>
      </c>
      <c r="I72" s="384">
        <f>ROUND((I6-'20R1'!I6)/ABS('20R1'!I6)*100,1)</f>
        <v>-225.2</v>
      </c>
      <c r="J72" s="384">
        <f>ROUND((J6-'20R1'!J6)/ABS('20R1'!J6)*100,1)</f>
        <v>34.6</v>
      </c>
      <c r="K72" s="384">
        <f>ROUND((K6-'20R1'!K6)/ABS('20R1'!K6)*100,1)</f>
        <v>-4</v>
      </c>
      <c r="L72" s="384">
        <f>ROUND((L6-'20R1'!L6)/ABS('20R1'!L6)*100,1)</f>
        <v>-6.6</v>
      </c>
      <c r="M72" s="384">
        <f>ROUND((M6-'20R1'!M6)/ABS('20R1'!M6)*100,1)</f>
        <v>-13.2</v>
      </c>
      <c r="N72" s="384">
        <f>ROUND((N6-'20R1'!N6)/ABS('20R1'!N6)*100,1)</f>
        <v>-7.3</v>
      </c>
      <c r="O72" s="384">
        <f>ROUND((O6-'20R1'!O6)/ABS('20R1'!O6)*100,1)</f>
        <v>52.5</v>
      </c>
    </row>
    <row r="73" spans="1:21">
      <c r="A73" s="77">
        <v>2</v>
      </c>
      <c r="B73" s="75" t="s">
        <v>324</v>
      </c>
      <c r="C73" s="384">
        <f>ROUND((C7-'20R1'!C7)/ABS('20R1'!C7)*100,1)</f>
        <v>-1.2</v>
      </c>
      <c r="D73" s="384">
        <f>ROUND((D7-'20R1'!D7)/ABS('20R1'!D7)*100,1)</f>
        <v>-5.5</v>
      </c>
      <c r="E73" s="384">
        <f>ROUND((E7-'20R1'!E7)/ABS('20R1'!E7)*100,1)</f>
        <v>0</v>
      </c>
      <c r="F73" s="384">
        <f>ROUND((F7-'20R1'!F7)/ABS('20R1'!F7)*100,1)</f>
        <v>-9.9</v>
      </c>
      <c r="G73" s="384">
        <f>ROUND((G7-'20R1'!G7)/ABS('20R1'!G7)*100,1)</f>
        <v>-7.5</v>
      </c>
      <c r="H73" s="384">
        <f>ROUND((H7-'20R1'!H7)/ABS('20R1'!H7)*100,1)</f>
        <v>-1.5</v>
      </c>
      <c r="I73" s="384">
        <f>ROUND((I7-'20R1'!I7)/ABS('20R1'!I7)*100,1)</f>
        <v>-222.4</v>
      </c>
      <c r="J73" s="384">
        <f>ROUND((J7-'20R1'!J7)/ABS('20R1'!J7)*100,1)</f>
        <v>-19.2</v>
      </c>
      <c r="K73" s="384">
        <f>ROUND((K7-'20R1'!K7)/ABS('20R1'!K7)*100,1)</f>
        <v>-6.1</v>
      </c>
      <c r="L73" s="384">
        <f>ROUND((L7-'20R1'!L7)/ABS('20R1'!L7)*100,1)</f>
        <v>29.5</v>
      </c>
      <c r="M73" s="384">
        <f>ROUND((M7-'20R1'!M7)/ABS('20R1'!M7)*100,1)</f>
        <v>-10.1</v>
      </c>
      <c r="N73" s="384">
        <f>ROUND((N7-'20R1'!N7)/ABS('20R1'!N7)*100,1)</f>
        <v>-9.4</v>
      </c>
      <c r="O73" s="384">
        <f>ROUND((O7-'20R1'!O7)/ABS('20R1'!O7)*100,1)</f>
        <v>45.6</v>
      </c>
    </row>
    <row r="74" spans="1:21">
      <c r="A74" s="77">
        <v>3</v>
      </c>
      <c r="B74" s="75" t="s">
        <v>192</v>
      </c>
      <c r="C74" s="384">
        <f>ROUND((C8-'20R1'!C8)/ABS('20R1'!C8)*100,1)</f>
        <v>-1</v>
      </c>
      <c r="D74" s="384">
        <f>ROUND((D8-'20R1'!D8)/ABS('20R1'!D8)*100,1)</f>
        <v>-4.7</v>
      </c>
      <c r="E74" s="384">
        <f>ROUND((E8-'20R1'!E8)/ABS('20R1'!E8)*100,1)</f>
        <v>-0.2</v>
      </c>
      <c r="F74" s="384">
        <f>ROUND((F8-'20R1'!F8)/ABS('20R1'!F8)*100,1)</f>
        <v>-15.2</v>
      </c>
      <c r="G74" s="384">
        <f>ROUND((G8-'20R1'!G8)/ABS('20R1'!G8)*100,1)</f>
        <v>-8.9</v>
      </c>
      <c r="H74" s="384">
        <f>ROUND((H8-'20R1'!H8)/ABS('20R1'!H8)*100,1)</f>
        <v>-10.5</v>
      </c>
      <c r="I74" s="384">
        <f>ROUND((I8-'20R1'!I8)/ABS('20R1'!I8)*100,1)</f>
        <v>-222.5</v>
      </c>
      <c r="J74" s="384">
        <f>ROUND((J8-'20R1'!J8)/ABS('20R1'!J8)*100,1)</f>
        <v>38</v>
      </c>
      <c r="K74" s="384">
        <f>ROUND((K8-'20R1'!K8)/ABS('20R1'!K8)*100,1)</f>
        <v>-6.1</v>
      </c>
      <c r="L74" s="384">
        <f>ROUND((L8-'20R1'!L8)/ABS('20R1'!L8)*100,1)</f>
        <v>96.9</v>
      </c>
      <c r="M74" s="384">
        <f>ROUND((M8-'20R1'!M8)/ABS('20R1'!M8)*100,1)</f>
        <v>-10.199999999999999</v>
      </c>
      <c r="N74" s="384">
        <f>ROUND((N8-'20R1'!N8)/ABS('20R1'!N8)*100,1)</f>
        <v>-9.4</v>
      </c>
      <c r="O74" s="384">
        <f>ROUND((O8-'20R1'!O8)/ABS('20R1'!O8)*100,1)</f>
        <v>105.5</v>
      </c>
    </row>
    <row r="75" spans="1:21">
      <c r="A75" s="77">
        <v>4</v>
      </c>
      <c r="B75" s="75" t="s">
        <v>325</v>
      </c>
      <c r="C75" s="384">
        <f>ROUND((C9-'20R1'!C9)/ABS('20R1'!C9)*100,1)</f>
        <v>-0.8</v>
      </c>
      <c r="D75" s="384">
        <f>ROUND((D9-'20R1'!D9)/ABS('20R1'!D9)*100,1)</f>
        <v>-6.7</v>
      </c>
      <c r="E75" s="384">
        <f>ROUND((E9-'20R1'!E9)/ABS('20R1'!E9)*100,1)</f>
        <v>7.6</v>
      </c>
      <c r="F75" s="384">
        <f>ROUND((F9-'20R1'!F9)/ABS('20R1'!F9)*100,1)</f>
        <v>-26.1</v>
      </c>
      <c r="G75" s="384">
        <f>ROUND((G9-'20R1'!G9)/ABS('20R1'!G9)*100,1)</f>
        <v>-25.4</v>
      </c>
      <c r="H75" s="384">
        <f>ROUND((H9-'20R1'!H9)/ABS('20R1'!H9)*100,1)</f>
        <v>-20.3</v>
      </c>
      <c r="I75" s="384">
        <f>ROUND((I9-'20R1'!I9)/ABS('20R1'!I9)*100,1)</f>
        <v>-217.6</v>
      </c>
      <c r="J75" s="384">
        <f>ROUND((J9-'20R1'!J9)/ABS('20R1'!J9)*100,1)</f>
        <v>-4</v>
      </c>
      <c r="K75" s="384">
        <f>ROUND((K9-'20R1'!K9)/ABS('20R1'!K9)*100,1)</f>
        <v>-9.8000000000000007</v>
      </c>
      <c r="L75" s="384">
        <f>ROUND((L9-'20R1'!L9)/ABS('20R1'!L9)*100,1)</f>
        <v>29.6</v>
      </c>
      <c r="M75" s="384">
        <f>ROUND((M9-'20R1'!M9)/ABS('20R1'!M9)*100,1)</f>
        <v>-9.6</v>
      </c>
      <c r="N75" s="384">
        <f>ROUND((N9-'20R1'!N9)/ABS('20R1'!N9)*100,1)</f>
        <v>-12.9</v>
      </c>
      <c r="O75" s="384">
        <f>ROUND((O9-'20R1'!O9)/ABS('20R1'!O9)*100,1)</f>
        <v>239.1</v>
      </c>
      <c r="R75" s="383"/>
      <c r="S75" s="383"/>
    </row>
    <row r="76" spans="1:21">
      <c r="A76" s="77">
        <v>5</v>
      </c>
      <c r="B76" s="75" t="s">
        <v>326</v>
      </c>
      <c r="C76" s="384">
        <f>ROUND((C10-'20R1'!C10)/ABS('20R1'!C10)*100,1)</f>
        <v>-2.1</v>
      </c>
      <c r="D76" s="384">
        <f>ROUND((D10-'20R1'!D10)/ABS('20R1'!D10)*100,1)</f>
        <v>-3.1</v>
      </c>
      <c r="E76" s="384">
        <f>ROUND((E10-'20R1'!E10)/ABS('20R1'!E10)*100,1)</f>
        <v>-3.7</v>
      </c>
      <c r="F76" s="384">
        <f>ROUND((F10-'20R1'!F10)/ABS('20R1'!F10)*100,1)</f>
        <v>-1.2</v>
      </c>
      <c r="G76" s="384">
        <f>ROUND((G10-'20R1'!G10)/ABS('20R1'!G10)*100,1)</f>
        <v>-6.6</v>
      </c>
      <c r="H76" s="384">
        <f>ROUND((H10-'20R1'!H10)/ABS('20R1'!H10)*100,1)</f>
        <v>6.2</v>
      </c>
      <c r="I76" s="384">
        <f>ROUND((I10-'20R1'!I10)/ABS('20R1'!I10)*100,1)</f>
        <v>-228.8</v>
      </c>
      <c r="J76" s="384">
        <f>ROUND((J10-'20R1'!J10)/ABS('20R1'!J10)*100,1)</f>
        <v>25.4</v>
      </c>
      <c r="K76" s="384">
        <f>ROUND((K10-'20R1'!K10)/ABS('20R1'!K10)*100,1)</f>
        <v>-1.2</v>
      </c>
      <c r="L76" s="384">
        <f>ROUND((L10-'20R1'!L10)/ABS('20R1'!L10)*100,1)</f>
        <v>-8.4</v>
      </c>
      <c r="M76" s="384">
        <f>ROUND((M10-'20R1'!M10)/ABS('20R1'!M10)*100,1)</f>
        <v>-11.3</v>
      </c>
      <c r="N76" s="384">
        <f>ROUND((N10-'20R1'!N10)/ABS('20R1'!N10)*100,1)</f>
        <v>-4.5999999999999996</v>
      </c>
      <c r="O76" s="384">
        <f>ROUND((O10-'20R1'!O10)/ABS('20R1'!O10)*100,1)</f>
        <v>119.3</v>
      </c>
      <c r="R76" s="383"/>
      <c r="S76" s="383"/>
    </row>
    <row r="77" spans="1:21">
      <c r="A77" s="77">
        <v>6</v>
      </c>
      <c r="B77" s="75" t="s">
        <v>327</v>
      </c>
      <c r="C77" s="384">
        <f>ROUND((C11-'20R1'!C11)/ABS('20R1'!C11)*100,1)</f>
        <v>1.9</v>
      </c>
      <c r="D77" s="384">
        <f>ROUND((D11-'20R1'!D11)/ABS('20R1'!D11)*100,1)</f>
        <v>-7.6</v>
      </c>
      <c r="E77" s="384">
        <f>ROUND((E11-'20R1'!E11)/ABS('20R1'!E11)*100,1)</f>
        <v>3.7</v>
      </c>
      <c r="F77" s="384">
        <f>ROUND((F11-'20R1'!F11)/ABS('20R1'!F11)*100,1)</f>
        <v>-16.899999999999999</v>
      </c>
      <c r="G77" s="384">
        <f>ROUND((G11-'20R1'!G11)/ABS('20R1'!G11)*100,1)</f>
        <v>-11.8</v>
      </c>
      <c r="H77" s="384">
        <f>ROUND((H11-'20R1'!H11)/ABS('20R1'!H11)*100,1)</f>
        <v>-10.9</v>
      </c>
      <c r="I77" s="384">
        <f>ROUND((I11-'20R1'!I11)/ABS('20R1'!I11)*100,1)</f>
        <v>-220.4</v>
      </c>
      <c r="J77" s="384">
        <f>ROUND((J11-'20R1'!J11)/ABS('20R1'!J11)*100,1)</f>
        <v>3.9</v>
      </c>
      <c r="K77" s="384">
        <f>ROUND((K11-'20R1'!K11)/ABS('20R1'!K11)*100,1)</f>
        <v>-7.7</v>
      </c>
      <c r="L77" s="384">
        <f>ROUND((L11-'20R1'!L11)/ABS('20R1'!L11)*100,1)</f>
        <v>61.6</v>
      </c>
      <c r="M77" s="384">
        <f>ROUND((M11-'20R1'!M11)/ABS('20R1'!M11)*100,1)</f>
        <v>-7.4</v>
      </c>
      <c r="N77" s="384">
        <f>ROUND((N11-'20R1'!N11)/ABS('20R1'!N11)*100,1)</f>
        <v>-10.9</v>
      </c>
      <c r="O77" s="384">
        <f>ROUND((O11-'20R1'!O11)/ABS('20R1'!O11)*100,1)</f>
        <v>139.6</v>
      </c>
      <c r="R77" s="383"/>
      <c r="S77" s="383"/>
    </row>
    <row r="78" spans="1:21">
      <c r="A78" s="77">
        <v>7</v>
      </c>
      <c r="B78" s="75" t="s">
        <v>210</v>
      </c>
      <c r="C78" s="384">
        <f>ROUND((C12-'20R1'!C12)/ABS('20R1'!C12)*100,1)</f>
        <v>0.4</v>
      </c>
      <c r="D78" s="384">
        <f>ROUND((D12-'20R1'!D12)/ABS('20R1'!D12)*100,1)</f>
        <v>-8.3000000000000007</v>
      </c>
      <c r="E78" s="384">
        <f>ROUND((E12-'20R1'!E12)/ABS('20R1'!E12)*100,1)</f>
        <v>5.4</v>
      </c>
      <c r="F78" s="384">
        <f>ROUND((F12-'20R1'!F12)/ABS('20R1'!F12)*100,1)</f>
        <v>-26.3</v>
      </c>
      <c r="G78" s="384">
        <f>ROUND((G12-'20R1'!G12)/ABS('20R1'!G12)*100,1)</f>
        <v>-25.3</v>
      </c>
      <c r="H78" s="384">
        <f>ROUND((H12-'20R1'!H12)/ABS('20R1'!H12)*100,1)</f>
        <v>-17.899999999999999</v>
      </c>
      <c r="I78" s="384">
        <f>ROUND((I12-'20R1'!I12)/ABS('20R1'!I12)*100,1)</f>
        <v>-219.2</v>
      </c>
      <c r="J78" s="384">
        <f>ROUND((J12-'20R1'!J12)/ABS('20R1'!J12)*100,1)</f>
        <v>-0.4</v>
      </c>
      <c r="K78" s="384">
        <f>ROUND((K12-'20R1'!K12)/ABS('20R1'!K12)*100,1)</f>
        <v>-8.6</v>
      </c>
      <c r="L78" s="384">
        <f>ROUND((L12-'20R1'!L12)/ABS('20R1'!L12)*100,1)</f>
        <v>1087.4000000000001</v>
      </c>
      <c r="M78" s="384">
        <f>ROUND((M12-'20R1'!M12)/ABS('20R1'!M12)*100,1)</f>
        <v>-8.1</v>
      </c>
      <c r="N78" s="384">
        <f>ROUND((N12-'20R1'!N12)/ABS('20R1'!N12)*100,1)</f>
        <v>-11.8</v>
      </c>
      <c r="O78" s="384">
        <f>ROUND((O12-'20R1'!O12)/ABS('20R1'!O12)*100,1)</f>
        <v>62.2</v>
      </c>
      <c r="R78" s="383"/>
      <c r="S78" s="383"/>
    </row>
    <row r="79" spans="1:21">
      <c r="A79" s="77">
        <v>8</v>
      </c>
      <c r="B79" s="75" t="s">
        <v>211</v>
      </c>
      <c r="C79" s="384">
        <f>ROUND((C13-'20R1'!C13)/ABS('20R1'!C13)*100,1)</f>
        <v>-4.5999999999999996</v>
      </c>
      <c r="D79" s="384">
        <f>ROUND((D13-'20R1'!D13)/ABS('20R1'!D13)*100,1)</f>
        <v>-7.9</v>
      </c>
      <c r="E79" s="384">
        <f>ROUND((E13-'20R1'!E13)/ABS('20R1'!E13)*100,1)</f>
        <v>1.2</v>
      </c>
      <c r="F79" s="384">
        <f>ROUND((F13-'20R1'!F13)/ABS('20R1'!F13)*100,1)</f>
        <v>-3.2</v>
      </c>
      <c r="G79" s="384">
        <f>ROUND((G13-'20R1'!G13)/ABS('20R1'!G13)*100,1)</f>
        <v>-28.5</v>
      </c>
      <c r="H79" s="384">
        <f>ROUND((H13-'20R1'!H13)/ABS('20R1'!H13)*100,1)</f>
        <v>10</v>
      </c>
      <c r="I79" s="384">
        <f>ROUND((I13-'20R1'!I13)/ABS('20R1'!I13)*100,1)</f>
        <v>-220.4</v>
      </c>
      <c r="J79" s="384">
        <f>ROUND((J13-'20R1'!J13)/ABS('20R1'!J13)*100,1)</f>
        <v>-41.9</v>
      </c>
      <c r="K79" s="384">
        <f>ROUND((K13-'20R1'!K13)/ABS('20R1'!K13)*100,1)</f>
        <v>-7.6</v>
      </c>
      <c r="L79" s="384">
        <f>ROUND((L13-'20R1'!L13)/ABS('20R1'!L13)*100,1)</f>
        <v>14</v>
      </c>
      <c r="M79" s="384">
        <f>ROUND((M13-'20R1'!M13)/ABS('20R1'!M13)*100,1)</f>
        <v>-12.8</v>
      </c>
      <c r="N79" s="384">
        <f>ROUND((N13-'20R1'!N13)/ABS('20R1'!N13)*100,1)</f>
        <v>-10.9</v>
      </c>
      <c r="O79" s="384">
        <f>ROUND((O13-'20R1'!O13)/ABS('20R1'!O13)*100,1)</f>
        <v>94.1</v>
      </c>
      <c r="R79" s="383"/>
      <c r="S79" s="383"/>
    </row>
    <row r="80" spans="1:21">
      <c r="A80" s="77">
        <v>9</v>
      </c>
      <c r="B80" s="75" t="s">
        <v>212</v>
      </c>
      <c r="C80" s="384">
        <f>ROUND((C14-'20R1'!C14)/ABS('20R1'!C14)*100,1)</f>
        <v>-5.8</v>
      </c>
      <c r="D80" s="384">
        <f>ROUND((D14-'20R1'!D14)/ABS('20R1'!D14)*100,1)</f>
        <v>-7.5</v>
      </c>
      <c r="E80" s="384">
        <f>ROUND((E14-'20R1'!E14)/ABS('20R1'!E14)*100,1)</f>
        <v>8.5</v>
      </c>
      <c r="F80" s="384">
        <f>ROUND((F14-'20R1'!F14)/ABS('20R1'!F14)*100,1)</f>
        <v>-23.7</v>
      </c>
      <c r="G80" s="384">
        <f>ROUND((G14-'20R1'!G14)/ABS('20R1'!G14)*100,1)</f>
        <v>-23</v>
      </c>
      <c r="H80" s="384">
        <f>ROUND((H14-'20R1'!H14)/ABS('20R1'!H14)*100,1)</f>
        <v>-14.6</v>
      </c>
      <c r="I80" s="384">
        <f>ROUND((I14-'20R1'!I14)/ABS('20R1'!I14)*100,1)</f>
        <v>-220.1</v>
      </c>
      <c r="J80" s="384">
        <f>ROUND((J14-'20R1'!J14)/ABS('20R1'!J14)*100,1)</f>
        <v>-15.7</v>
      </c>
      <c r="K80" s="384">
        <f>ROUND((K14-'20R1'!K14)/ABS('20R1'!K14)*100,1)</f>
        <v>-7.9</v>
      </c>
      <c r="L80" s="384">
        <f>ROUND((L14-'20R1'!L14)/ABS('20R1'!L14)*100,1)</f>
        <v>248</v>
      </c>
      <c r="M80" s="384">
        <f>ROUND((M14-'20R1'!M14)/ABS('20R1'!M14)*100,1)</f>
        <v>-12.9</v>
      </c>
      <c r="N80" s="384">
        <f>ROUND((N14-'20R1'!N14)/ABS('20R1'!N14)*100,1)</f>
        <v>-11.1</v>
      </c>
      <c r="O80" s="384">
        <f>ROUND((O14-'20R1'!O14)/ABS('20R1'!O14)*100,1)</f>
        <v>43</v>
      </c>
      <c r="R80" s="383"/>
      <c r="S80" s="383"/>
    </row>
    <row r="81" spans="1:19">
      <c r="A81" s="77"/>
      <c r="B81" s="87"/>
      <c r="C81" s="384"/>
      <c r="D81" s="384"/>
      <c r="E81" s="384"/>
      <c r="F81" s="384"/>
      <c r="G81" s="384"/>
      <c r="H81" s="384"/>
      <c r="I81" s="384"/>
      <c r="J81" s="384"/>
      <c r="K81" s="384"/>
      <c r="L81" s="384"/>
      <c r="M81" s="384"/>
      <c r="N81" s="384"/>
      <c r="O81" s="384"/>
      <c r="R81" s="383"/>
      <c r="S81" s="383"/>
    </row>
    <row r="82" spans="1:19">
      <c r="A82" s="293">
        <v>100</v>
      </c>
      <c r="B82" s="87" t="s">
        <v>172</v>
      </c>
      <c r="C82" s="384">
        <f>ROUND((C16-'20R1'!C16)/ABS('20R1'!C16)*100,1)</f>
        <v>-3.6</v>
      </c>
      <c r="D82" s="384">
        <f>ROUND((D16-'20R1'!D16)/ABS('20R1'!D16)*100,1)</f>
        <v>-3.1</v>
      </c>
      <c r="E82" s="384">
        <f>ROUND((E16-'20R1'!E16)/ABS('20R1'!E16)*100,1)</f>
        <v>-2.4</v>
      </c>
      <c r="F82" s="384">
        <f>ROUND((F16-'20R1'!F16)/ABS('20R1'!F16)*100,1)</f>
        <v>-15.2</v>
      </c>
      <c r="G82" s="384">
        <f>ROUND((G16-'20R1'!G16)/ABS('20R1'!G16)*100,1)</f>
        <v>-0.9</v>
      </c>
      <c r="H82" s="384">
        <f>ROUND((H16-'20R1'!H16)/ABS('20R1'!H16)*100,1)</f>
        <v>-8.3000000000000007</v>
      </c>
      <c r="I82" s="384">
        <f>ROUND((I16-'20R1'!I16)/ABS('20R1'!I16)*100,1)</f>
        <v>-223.9</v>
      </c>
      <c r="J82" s="384">
        <f>ROUND((J16-'20R1'!J16)/ABS('20R1'!J16)*100,1)</f>
        <v>2</v>
      </c>
      <c r="K82" s="384">
        <f>ROUND((K16-'20R1'!K16)/ABS('20R1'!K16)*100,1)</f>
        <v>-5</v>
      </c>
      <c r="L82" s="384">
        <f>ROUND((L16-'20R1'!L16)/ABS('20R1'!L16)*100,1)</f>
        <v>13.3</v>
      </c>
      <c r="M82" s="384">
        <f>ROUND((M16-'20R1'!M16)/ABS('20R1'!M16)*100,1)</f>
        <v>-12.3</v>
      </c>
      <c r="N82" s="384">
        <f>ROUND((N16-'20R1'!N16)/ABS('20R1'!N16)*100,1)</f>
        <v>-8.3000000000000007</v>
      </c>
      <c r="O82" s="384">
        <f>ROUND((O16-'20R1'!O16)/ABS('20R1'!O16)*100,1)</f>
        <v>75.7</v>
      </c>
      <c r="R82" s="383"/>
      <c r="S82" s="383"/>
    </row>
    <row r="83" spans="1:19">
      <c r="A83" s="293">
        <v>1</v>
      </c>
      <c r="B83" s="65" t="s">
        <v>182</v>
      </c>
      <c r="C83" s="384">
        <f>ROUND((C17-'20R1'!C17)/ABS('20R1'!C17)*100,1)</f>
        <v>-4.7</v>
      </c>
      <c r="D83" s="384">
        <f>ROUND((D17-'20R1'!D17)/ABS('20R1'!D17)*100,1)</f>
        <v>-3.5</v>
      </c>
      <c r="E83" s="384">
        <f>ROUND((E17-'20R1'!E17)/ABS('20R1'!E17)*100,1)</f>
        <v>-1.1000000000000001</v>
      </c>
      <c r="F83" s="384">
        <f>ROUND((F17-'20R1'!F17)/ABS('20R1'!F17)*100,1)</f>
        <v>-12.6</v>
      </c>
      <c r="G83" s="384">
        <f>ROUND((G17-'20R1'!G17)/ABS('20R1'!G17)*100,1)</f>
        <v>-5.7</v>
      </c>
      <c r="H83" s="384">
        <f>ROUND((H17-'20R1'!H17)/ABS('20R1'!H17)*100,1)</f>
        <v>-4.5999999999999996</v>
      </c>
      <c r="I83" s="384">
        <f>ROUND((I17-'20R1'!I17)/ABS('20R1'!I17)*100,1)</f>
        <v>-225.2</v>
      </c>
      <c r="J83" s="384">
        <f>ROUND((J17-'20R1'!J17)/ABS('20R1'!J17)*100,1)</f>
        <v>34.6</v>
      </c>
      <c r="K83" s="384">
        <f>ROUND((K17-'20R1'!K17)/ABS('20R1'!K17)*100,1)</f>
        <v>-4</v>
      </c>
      <c r="L83" s="384">
        <f>ROUND((L17-'20R1'!L17)/ABS('20R1'!L17)*100,1)</f>
        <v>-6.6</v>
      </c>
      <c r="M83" s="384">
        <f>ROUND((M17-'20R1'!M17)/ABS('20R1'!M17)*100,1)</f>
        <v>-13.2</v>
      </c>
      <c r="N83" s="384">
        <f>ROUND((N17-'20R1'!N17)/ABS('20R1'!N17)*100,1)</f>
        <v>-7.3</v>
      </c>
      <c r="O83" s="384">
        <f>ROUND((O17-'20R1'!O17)/ABS('20R1'!O17)*100,1)</f>
        <v>52.5</v>
      </c>
      <c r="R83" s="383"/>
      <c r="S83" s="383"/>
    </row>
    <row r="84" spans="1:19">
      <c r="A84" s="293">
        <v>202</v>
      </c>
      <c r="B84" s="90" t="s">
        <v>183</v>
      </c>
      <c r="C84" s="384">
        <f>ROUND((C18-'20R1'!C18)/ABS('20R1'!C18)*100,1)</f>
        <v>-6.6</v>
      </c>
      <c r="D84" s="384">
        <f>ROUND((D18-'20R1'!D18)/ABS('20R1'!D18)*100,1)</f>
        <v>-2.8</v>
      </c>
      <c r="E84" s="384">
        <f>ROUND((E18-'20R1'!E18)/ABS('20R1'!E18)*100,1)</f>
        <v>0.8</v>
      </c>
      <c r="F84" s="384">
        <f>ROUND((F18-'20R1'!F18)/ABS('20R1'!F18)*100,1)</f>
        <v>-16.8</v>
      </c>
      <c r="G84" s="384">
        <f>ROUND((G18-'20R1'!G18)/ABS('20R1'!G18)*100,1)</f>
        <v>-21.5</v>
      </c>
      <c r="H84" s="384">
        <f>ROUND((H18-'20R1'!H18)/ABS('20R1'!H18)*100,1)</f>
        <v>-6.8</v>
      </c>
      <c r="I84" s="384">
        <f>ROUND((I18-'20R1'!I18)/ABS('20R1'!I18)*100,1)</f>
        <v>-224.1</v>
      </c>
      <c r="J84" s="384">
        <f>ROUND((J18-'20R1'!J18)/ABS('20R1'!J18)*100,1)</f>
        <v>29.6</v>
      </c>
      <c r="K84" s="384">
        <f>ROUND((K18-'20R1'!K18)/ABS('20R1'!K18)*100,1)</f>
        <v>-4.8</v>
      </c>
      <c r="L84" s="384">
        <f>ROUND((L18-'20R1'!L18)/ABS('20R1'!L18)*100,1)</f>
        <v>-23.7</v>
      </c>
      <c r="M84" s="384">
        <f>ROUND((M18-'20R1'!M18)/ABS('20R1'!M18)*100,1)</f>
        <v>-15</v>
      </c>
      <c r="N84" s="384">
        <f>ROUND((N18-'20R1'!N18)/ABS('20R1'!N18)*100,1)</f>
        <v>-8.1</v>
      </c>
      <c r="O84" s="384">
        <f>ROUND((O18-'20R1'!O18)/ABS('20R1'!O18)*100,1)</f>
        <v>98.7</v>
      </c>
      <c r="R84" s="383"/>
      <c r="S84" s="383"/>
    </row>
    <row r="85" spans="1:19">
      <c r="A85" s="293">
        <v>204</v>
      </c>
      <c r="B85" s="90" t="s">
        <v>184</v>
      </c>
      <c r="C85" s="384">
        <f>ROUND((C19-'20R1'!C19)/ABS('20R1'!C19)*100,1)</f>
        <v>-2.4</v>
      </c>
      <c r="D85" s="384">
        <f>ROUND((D19-'20R1'!D19)/ABS('20R1'!D19)*100,1)</f>
        <v>-3.4</v>
      </c>
      <c r="E85" s="384">
        <f>ROUND((E19-'20R1'!E19)/ABS('20R1'!E19)*100,1)</f>
        <v>-2.2999999999999998</v>
      </c>
      <c r="F85" s="384">
        <f>ROUND((F19-'20R1'!F19)/ABS('20R1'!F19)*100,1)</f>
        <v>-6.5</v>
      </c>
      <c r="G85" s="384">
        <f>ROUND((G19-'20R1'!G19)/ABS('20R1'!G19)*100,1)</f>
        <v>16.899999999999999</v>
      </c>
      <c r="H85" s="384">
        <f>ROUND((H19-'20R1'!H19)/ABS('20R1'!H19)*100,1)</f>
        <v>-1.9</v>
      </c>
      <c r="I85" s="384">
        <f>ROUND((I19-'20R1'!I19)/ABS('20R1'!I19)*100,1)</f>
        <v>-226.6</v>
      </c>
      <c r="J85" s="384">
        <f>ROUND((J19-'20R1'!J19)/ABS('20R1'!J19)*100,1)</f>
        <v>31.9</v>
      </c>
      <c r="K85" s="384">
        <f>ROUND((K19-'20R1'!K19)/ABS('20R1'!K19)*100,1)</f>
        <v>-2.9</v>
      </c>
      <c r="L85" s="384">
        <f>ROUND((L19-'20R1'!L19)/ABS('20R1'!L19)*100,1)</f>
        <v>5.2</v>
      </c>
      <c r="M85" s="384">
        <f>ROUND((M19-'20R1'!M19)/ABS('20R1'!M19)*100,1)</f>
        <v>-11.2</v>
      </c>
      <c r="N85" s="384">
        <f>ROUND((N19-'20R1'!N19)/ABS('20R1'!N19)*100,1)</f>
        <v>-6.3</v>
      </c>
      <c r="O85" s="384">
        <f>ROUND((O19-'20R1'!O19)/ABS('20R1'!O19)*100,1)</f>
        <v>37.4</v>
      </c>
      <c r="R85" s="383"/>
      <c r="S85" s="383"/>
    </row>
    <row r="86" spans="1:19">
      <c r="A86" s="293">
        <v>206</v>
      </c>
      <c r="B86" s="90" t="s">
        <v>185</v>
      </c>
      <c r="C86" s="384">
        <f>ROUND((C20-'20R1'!C20)/ABS('20R1'!C20)*100,1)</f>
        <v>-2</v>
      </c>
      <c r="D86" s="384">
        <f>ROUND((D20-'20R1'!D20)/ABS('20R1'!D20)*100,1)</f>
        <v>-7.3</v>
      </c>
      <c r="E86" s="384">
        <f>ROUND((E20-'20R1'!E20)/ABS('20R1'!E20)*100,1)</f>
        <v>-2.2999999999999998</v>
      </c>
      <c r="F86" s="384">
        <f>ROUND((F20-'20R1'!F20)/ABS('20R1'!F20)*100,1)</f>
        <v>-15.8</v>
      </c>
      <c r="G86" s="384">
        <f>ROUND((G20-'20R1'!G20)/ABS('20R1'!G20)*100,1)</f>
        <v>-16.899999999999999</v>
      </c>
      <c r="H86" s="384">
        <f>ROUND((H20-'20R1'!H20)/ABS('20R1'!H20)*100,1)</f>
        <v>-3.5</v>
      </c>
      <c r="I86" s="384">
        <f>ROUND((I20-'20R1'!I20)/ABS('20R1'!I20)*100,1)</f>
        <v>-223.8</v>
      </c>
      <c r="J86" s="384">
        <f>ROUND((J20-'20R1'!J20)/ABS('20R1'!J20)*100,1)</f>
        <v>54.6</v>
      </c>
      <c r="K86" s="384">
        <f>ROUND((K20-'20R1'!K20)/ABS('20R1'!K20)*100,1)</f>
        <v>-5.0999999999999996</v>
      </c>
      <c r="L86" s="384">
        <f>ROUND((L20-'20R1'!L20)/ABS('20R1'!L20)*100,1)</f>
        <v>10.6</v>
      </c>
      <c r="M86" s="384">
        <f>ROUND((M20-'20R1'!M20)/ABS('20R1'!M20)*100,1)</f>
        <v>-10.6</v>
      </c>
      <c r="N86" s="384">
        <f>ROUND((N20-'20R1'!N20)/ABS('20R1'!N20)*100,1)</f>
        <v>-8.4</v>
      </c>
      <c r="O86" s="384">
        <f>ROUND((O20-'20R1'!O20)/ABS('20R1'!O20)*100,1)</f>
        <v>22.6</v>
      </c>
      <c r="R86" s="383"/>
      <c r="S86" s="383"/>
    </row>
    <row r="87" spans="1:19">
      <c r="A87" s="293">
        <v>2</v>
      </c>
      <c r="B87" s="65" t="s">
        <v>186</v>
      </c>
      <c r="C87" s="384">
        <f>ROUND((C21-'20R1'!C21)/ABS('20R1'!C21)*100,1)</f>
        <v>-1.2</v>
      </c>
      <c r="D87" s="384">
        <f>ROUND((D21-'20R1'!D21)/ABS('20R1'!D21)*100,1)</f>
        <v>-5.5</v>
      </c>
      <c r="E87" s="384">
        <f>ROUND((E21-'20R1'!E21)/ABS('20R1'!E21)*100,1)</f>
        <v>0</v>
      </c>
      <c r="F87" s="384">
        <f>ROUND((F21-'20R1'!F21)/ABS('20R1'!F21)*100,1)</f>
        <v>-9.9</v>
      </c>
      <c r="G87" s="384">
        <f>ROUND((G21-'20R1'!G21)/ABS('20R1'!G21)*100,1)</f>
        <v>-7.5</v>
      </c>
      <c r="H87" s="384">
        <f>ROUND((H21-'20R1'!H21)/ABS('20R1'!H21)*100,1)</f>
        <v>-1.5</v>
      </c>
      <c r="I87" s="384">
        <f>ROUND((I21-'20R1'!I21)/ABS('20R1'!I21)*100,1)</f>
        <v>-222.4</v>
      </c>
      <c r="J87" s="384">
        <f>ROUND((J21-'20R1'!J21)/ABS('20R1'!J21)*100,1)</f>
        <v>-19.2</v>
      </c>
      <c r="K87" s="384">
        <f>ROUND((K21-'20R1'!K21)/ABS('20R1'!K21)*100,1)</f>
        <v>-6.1</v>
      </c>
      <c r="L87" s="384">
        <f>ROUND((L21-'20R1'!L21)/ABS('20R1'!L21)*100,1)</f>
        <v>29.5</v>
      </c>
      <c r="M87" s="384">
        <f>ROUND((M21-'20R1'!M21)/ABS('20R1'!M21)*100,1)</f>
        <v>-10.1</v>
      </c>
      <c r="N87" s="384">
        <f>ROUND((N21-'20R1'!N21)/ABS('20R1'!N21)*100,1)</f>
        <v>-9.4</v>
      </c>
      <c r="O87" s="384">
        <f>ROUND((O21-'20R1'!O21)/ABS('20R1'!O21)*100,1)</f>
        <v>45.6</v>
      </c>
      <c r="R87" s="383"/>
      <c r="S87" s="383"/>
    </row>
    <row r="88" spans="1:19">
      <c r="A88" s="293">
        <v>207</v>
      </c>
      <c r="B88" s="90" t="s">
        <v>187</v>
      </c>
      <c r="C88" s="384">
        <f>ROUND((C22-'20R1'!C22)/ABS('20R1'!C22)*100,1)</f>
        <v>1.3</v>
      </c>
      <c r="D88" s="384">
        <f>ROUND((D22-'20R1'!D22)/ABS('20R1'!D22)*100,1)</f>
        <v>-4.5</v>
      </c>
      <c r="E88" s="384">
        <f>ROUND((E22-'20R1'!E22)/ABS('20R1'!E22)*100,1)</f>
        <v>0.6</v>
      </c>
      <c r="F88" s="384">
        <f>ROUND((F22-'20R1'!F22)/ABS('20R1'!F22)*100,1)</f>
        <v>-14.7</v>
      </c>
      <c r="G88" s="384">
        <f>ROUND((G22-'20R1'!G22)/ABS('20R1'!G22)*100,1)</f>
        <v>9</v>
      </c>
      <c r="H88" s="384">
        <f>ROUND((H22-'20R1'!H22)/ABS('20R1'!H22)*100,1)</f>
        <v>-11.5</v>
      </c>
      <c r="I88" s="384">
        <f>ROUND((I22-'20R1'!I22)/ABS('20R1'!I22)*100,1)</f>
        <v>-222.3</v>
      </c>
      <c r="J88" s="384">
        <f>ROUND((J22-'20R1'!J22)/ABS('20R1'!J22)*100,1)</f>
        <v>3.1</v>
      </c>
      <c r="K88" s="384">
        <f>ROUND((K22-'20R1'!K22)/ABS('20R1'!K22)*100,1)</f>
        <v>-6.2</v>
      </c>
      <c r="L88" s="384">
        <f>ROUND((L22-'20R1'!L22)/ABS('20R1'!L22)*100,1)</f>
        <v>167.5</v>
      </c>
      <c r="M88" s="384">
        <f>ROUND((M22-'20R1'!M22)/ABS('20R1'!M22)*100,1)</f>
        <v>-8.1</v>
      </c>
      <c r="N88" s="384">
        <f>ROUND((N22-'20R1'!N22)/ABS('20R1'!N22)*100,1)</f>
        <v>-9.5</v>
      </c>
      <c r="O88" s="384">
        <f>ROUND((O22-'20R1'!O22)/ABS('20R1'!O22)*100,1)</f>
        <v>77.7</v>
      </c>
      <c r="R88" s="383"/>
      <c r="S88" s="383"/>
    </row>
    <row r="89" spans="1:19">
      <c r="A89" s="293">
        <v>214</v>
      </c>
      <c r="B89" s="90" t="s">
        <v>188</v>
      </c>
      <c r="C89" s="384">
        <f>ROUND((C23-'20R1'!C23)/ABS('20R1'!C23)*100,1)</f>
        <v>-3.3</v>
      </c>
      <c r="D89" s="384">
        <f>ROUND((D23-'20R1'!D23)/ABS('20R1'!D23)*100,1)</f>
        <v>-5.0999999999999996</v>
      </c>
      <c r="E89" s="384">
        <f>ROUND((E23-'20R1'!E23)/ABS('20R1'!E23)*100,1)</f>
        <v>-2.2999999999999998</v>
      </c>
      <c r="F89" s="384">
        <f>ROUND((F23-'20R1'!F23)/ABS('20R1'!F23)*100,1)</f>
        <v>-20.2</v>
      </c>
      <c r="G89" s="384">
        <f>ROUND((G23-'20R1'!G23)/ABS('20R1'!G23)*100,1)</f>
        <v>-22.4</v>
      </c>
      <c r="H89" s="384">
        <f>ROUND((H23-'20R1'!H23)/ABS('20R1'!H23)*100,1)</f>
        <v>-8.8000000000000007</v>
      </c>
      <c r="I89" s="384">
        <f>ROUND((I23-'20R1'!I23)/ABS('20R1'!I23)*100,1)</f>
        <v>-219.7</v>
      </c>
      <c r="J89" s="384">
        <f>ROUND((J23-'20R1'!J23)/ABS('20R1'!J23)*100,1)</f>
        <v>-37.4</v>
      </c>
      <c r="K89" s="384">
        <f>ROUND((K23-'20R1'!K23)/ABS('20R1'!K23)*100,1)</f>
        <v>-8.1999999999999993</v>
      </c>
      <c r="L89" s="384">
        <f>ROUND((L23-'20R1'!L23)/ABS('20R1'!L23)*100,1)</f>
        <v>17</v>
      </c>
      <c r="M89" s="384">
        <f>ROUND((M23-'20R1'!M23)/ABS('20R1'!M23)*100,1)</f>
        <v>-11.7</v>
      </c>
      <c r="N89" s="384">
        <f>ROUND((N23-'20R1'!N23)/ABS('20R1'!N23)*100,1)</f>
        <v>-11.4</v>
      </c>
      <c r="O89" s="384">
        <f>ROUND((O23-'20R1'!O23)/ABS('20R1'!O23)*100,1)</f>
        <v>27</v>
      </c>
      <c r="R89" s="383"/>
      <c r="S89" s="383"/>
    </row>
    <row r="90" spans="1:19">
      <c r="A90" s="293">
        <v>217</v>
      </c>
      <c r="B90" s="90" t="s">
        <v>189</v>
      </c>
      <c r="C90" s="384">
        <f>ROUND((C24-'20R1'!C24)/ABS('20R1'!C24)*100,1)</f>
        <v>-3.2</v>
      </c>
      <c r="D90" s="384">
        <f>ROUND((D24-'20R1'!D24)/ABS('20R1'!D24)*100,1)</f>
        <v>-5.2</v>
      </c>
      <c r="E90" s="384">
        <f>ROUND((E24-'20R1'!E24)/ABS('20R1'!E24)*100,1)</f>
        <v>2.2000000000000002</v>
      </c>
      <c r="F90" s="384">
        <f>ROUND((F24-'20R1'!F24)/ABS('20R1'!F24)*100,1)</f>
        <v>1.9</v>
      </c>
      <c r="G90" s="384">
        <f>ROUND((G24-'20R1'!G24)/ABS('20R1'!G24)*100,1)</f>
        <v>-8.6999999999999993</v>
      </c>
      <c r="H90" s="384">
        <f>ROUND((H24-'20R1'!H24)/ABS('20R1'!H24)*100,1)</f>
        <v>18.3</v>
      </c>
      <c r="I90" s="384">
        <f>ROUND((I24-'20R1'!I24)/ABS('20R1'!I24)*100,1)</f>
        <v>-225.6</v>
      </c>
      <c r="J90" s="384">
        <f>ROUND((J24-'20R1'!J24)/ABS('20R1'!J24)*100,1)</f>
        <v>-22.3</v>
      </c>
      <c r="K90" s="384">
        <f>ROUND((K24-'20R1'!K24)/ABS('20R1'!K24)*100,1)</f>
        <v>-3.7</v>
      </c>
      <c r="L90" s="384">
        <f>ROUND((L24-'20R1'!L24)/ABS('20R1'!L24)*100,1)</f>
        <v>4.8</v>
      </c>
      <c r="M90" s="384">
        <f>ROUND((M24-'20R1'!M24)/ABS('20R1'!M24)*100,1)</f>
        <v>-11.5</v>
      </c>
      <c r="N90" s="384">
        <f>ROUND((N24-'20R1'!N24)/ABS('20R1'!N24)*100,1)</f>
        <v>-7.1</v>
      </c>
      <c r="O90" s="384">
        <f>ROUND((O24-'20R1'!O24)/ABS('20R1'!O24)*100,1)</f>
        <v>23.1</v>
      </c>
      <c r="R90" s="383"/>
      <c r="S90" s="383"/>
    </row>
    <row r="91" spans="1:19">
      <c r="A91" s="293">
        <v>219</v>
      </c>
      <c r="B91" s="90" t="s">
        <v>190</v>
      </c>
      <c r="C91" s="384">
        <f>ROUND((C25-'20R1'!C25)/ABS('20R1'!C25)*100,1)</f>
        <v>-1.3</v>
      </c>
      <c r="D91" s="384">
        <f>ROUND((D25-'20R1'!D25)/ABS('20R1'!D25)*100,1)</f>
        <v>-7.8</v>
      </c>
      <c r="E91" s="384">
        <f>ROUND((E25-'20R1'!E25)/ABS('20R1'!E25)*100,1)</f>
        <v>0.2</v>
      </c>
      <c r="F91" s="384">
        <f>ROUND((F25-'20R1'!F25)/ABS('20R1'!F25)*100,1)</f>
        <v>1.9</v>
      </c>
      <c r="G91" s="384">
        <f>ROUND((G25-'20R1'!G25)/ABS('20R1'!G25)*100,1)</f>
        <v>-2.6</v>
      </c>
      <c r="H91" s="384">
        <f>ROUND((H25-'20R1'!H25)/ABS('20R1'!H25)*100,1)</f>
        <v>9.3000000000000007</v>
      </c>
      <c r="I91" s="384">
        <f>ROUND((I25-'20R1'!I25)/ABS('20R1'!I25)*100,1)</f>
        <v>-224.3</v>
      </c>
      <c r="J91" s="384">
        <f>ROUND((J25-'20R1'!J25)/ABS('20R1'!J25)*100,1)</f>
        <v>-15.4</v>
      </c>
      <c r="K91" s="384">
        <f>ROUND((K25-'20R1'!K25)/ABS('20R1'!K25)*100,1)</f>
        <v>-4.5999999999999996</v>
      </c>
      <c r="L91" s="384">
        <f>ROUND((L25-'20R1'!L25)/ABS('20R1'!L25)*100,1)</f>
        <v>18.100000000000001</v>
      </c>
      <c r="M91" s="384">
        <f>ROUND((M25-'20R1'!M25)/ABS('20R1'!M25)*100,1)</f>
        <v>-10.4</v>
      </c>
      <c r="N91" s="384">
        <f>ROUND((N25-'20R1'!N25)/ABS('20R1'!N25)*100,1)</f>
        <v>-8</v>
      </c>
      <c r="O91" s="384">
        <f>ROUND((O25-'20R1'!O25)/ABS('20R1'!O25)*100,1)</f>
        <v>129.1</v>
      </c>
      <c r="R91" s="383"/>
      <c r="S91" s="383"/>
    </row>
    <row r="92" spans="1:19">
      <c r="A92" s="293">
        <v>301</v>
      </c>
      <c r="B92" s="90" t="s">
        <v>191</v>
      </c>
      <c r="C92" s="384">
        <f>ROUND((C26-'20R1'!C26)/ABS('20R1'!C26)*100,1)</f>
        <v>-1</v>
      </c>
      <c r="D92" s="384">
        <f>ROUND((D26-'20R1'!D26)/ABS('20R1'!D26)*100,1)</f>
        <v>-7.7</v>
      </c>
      <c r="E92" s="384">
        <f>ROUND((E26-'20R1'!E26)/ABS('20R1'!E26)*100,1)</f>
        <v>1.8</v>
      </c>
      <c r="F92" s="384">
        <f>ROUND((F26-'20R1'!F26)/ABS('20R1'!F26)*100,1)</f>
        <v>-12.5</v>
      </c>
      <c r="G92" s="384">
        <f>ROUND((G26-'20R1'!G26)/ABS('20R1'!G26)*100,1)</f>
        <v>-31.5</v>
      </c>
      <c r="H92" s="384">
        <f>ROUND((H26-'20R1'!H26)/ABS('20R1'!H26)*100,1)</f>
        <v>0.6</v>
      </c>
      <c r="I92" s="384">
        <f>ROUND((I26-'20R1'!I26)/ABS('20R1'!I26)*100,1)</f>
        <v>-219.7</v>
      </c>
      <c r="J92" s="384">
        <f>ROUND((J26-'20R1'!J26)/ABS('20R1'!J26)*100,1)</f>
        <v>-31.8</v>
      </c>
      <c r="K92" s="384">
        <f>ROUND((K26-'20R1'!K26)/ABS('20R1'!K26)*100,1)</f>
        <v>-8.1999999999999993</v>
      </c>
      <c r="L92" s="384">
        <f>ROUND((L26-'20R1'!L26)/ABS('20R1'!L26)*100,1)</f>
        <v>22</v>
      </c>
      <c r="M92" s="384">
        <f>ROUND((M26-'20R1'!M26)/ABS('20R1'!M26)*100,1)</f>
        <v>-9.1999999999999993</v>
      </c>
      <c r="N92" s="384">
        <f>ROUND((N26-'20R1'!N26)/ABS('20R1'!N26)*100,1)</f>
        <v>-11.4</v>
      </c>
      <c r="O92" s="384">
        <f>ROUND((O26-'20R1'!O26)/ABS('20R1'!O26)*100,1)</f>
        <v>25.8</v>
      </c>
      <c r="R92" s="383"/>
      <c r="S92" s="383"/>
    </row>
    <row r="93" spans="1:19">
      <c r="A93" s="293">
        <v>3</v>
      </c>
      <c r="B93" s="65" t="s">
        <v>192</v>
      </c>
      <c r="C93" s="384">
        <f>ROUND((C27-'20R1'!C27)/ABS('20R1'!C27)*100,1)</f>
        <v>-1</v>
      </c>
      <c r="D93" s="384">
        <f>ROUND((D27-'20R1'!D27)/ABS('20R1'!D27)*100,1)</f>
        <v>-4.7</v>
      </c>
      <c r="E93" s="384">
        <f>ROUND((E27-'20R1'!E27)/ABS('20R1'!E27)*100,1)</f>
        <v>-0.2</v>
      </c>
      <c r="F93" s="384">
        <f>ROUND((F27-'20R1'!F27)/ABS('20R1'!F27)*100,1)</f>
        <v>-15.2</v>
      </c>
      <c r="G93" s="384">
        <f>ROUND((G27-'20R1'!G27)/ABS('20R1'!G27)*100,1)</f>
        <v>-8.9</v>
      </c>
      <c r="H93" s="384">
        <f>ROUND((H27-'20R1'!H27)/ABS('20R1'!H27)*100,1)</f>
        <v>-10.5</v>
      </c>
      <c r="I93" s="384">
        <f>ROUND((I27-'20R1'!I27)/ABS('20R1'!I27)*100,1)</f>
        <v>-222.5</v>
      </c>
      <c r="J93" s="384">
        <f>ROUND((J27-'20R1'!J27)/ABS('20R1'!J27)*100,1)</f>
        <v>38</v>
      </c>
      <c r="K93" s="384">
        <f>ROUND((K27-'20R1'!K27)/ABS('20R1'!K27)*100,1)</f>
        <v>-6.1</v>
      </c>
      <c r="L93" s="384">
        <f>ROUND((L27-'20R1'!L27)/ABS('20R1'!L27)*100,1)</f>
        <v>96.9</v>
      </c>
      <c r="M93" s="384">
        <f>ROUND((M27-'20R1'!M27)/ABS('20R1'!M27)*100,1)</f>
        <v>-10.199999999999999</v>
      </c>
      <c r="N93" s="384">
        <f>ROUND((N27-'20R1'!N27)/ABS('20R1'!N27)*100,1)</f>
        <v>-9.4</v>
      </c>
      <c r="O93" s="384">
        <f>ROUND((O27-'20R1'!O27)/ABS('20R1'!O27)*100,1)</f>
        <v>105.5</v>
      </c>
      <c r="R93" s="383"/>
      <c r="S93" s="383"/>
    </row>
    <row r="94" spans="1:19">
      <c r="A94" s="293">
        <v>203</v>
      </c>
      <c r="B94" s="90" t="s">
        <v>193</v>
      </c>
      <c r="C94" s="384">
        <f>ROUND((C28-'20R1'!C28)/ABS('20R1'!C28)*100,1)</f>
        <v>-3.9</v>
      </c>
      <c r="D94" s="384">
        <f>ROUND((D28-'20R1'!D28)/ABS('20R1'!D28)*100,1)</f>
        <v>-3.9</v>
      </c>
      <c r="E94" s="384">
        <f>ROUND((E28-'20R1'!E28)/ABS('20R1'!E28)*100,1)</f>
        <v>0.1</v>
      </c>
      <c r="F94" s="384">
        <f>ROUND((F28-'20R1'!F28)/ABS('20R1'!F28)*100,1)</f>
        <v>-20.399999999999999</v>
      </c>
      <c r="G94" s="384">
        <f>ROUND((G28-'20R1'!G28)/ABS('20R1'!G28)*100,1)</f>
        <v>4.8</v>
      </c>
      <c r="H94" s="384">
        <f>ROUND((H28-'20R1'!H28)/ABS('20R1'!H28)*100,1)</f>
        <v>-18.899999999999999</v>
      </c>
      <c r="I94" s="384">
        <f>ROUND((I28-'20R1'!I28)/ABS('20R1'!I28)*100,1)</f>
        <v>-221.3</v>
      </c>
      <c r="J94" s="384">
        <f>ROUND((J28-'20R1'!J28)/ABS('20R1'!J28)*100,1)</f>
        <v>22.7</v>
      </c>
      <c r="K94" s="384">
        <f>ROUND((K28-'20R1'!K28)/ABS('20R1'!K28)*100,1)</f>
        <v>-7</v>
      </c>
      <c r="L94" s="384">
        <f>ROUND((L28-'20R1'!L28)/ABS('20R1'!L28)*100,1)</f>
        <v>48</v>
      </c>
      <c r="M94" s="384">
        <f>ROUND((M28-'20R1'!M28)/ABS('20R1'!M28)*100,1)</f>
        <v>-12.6</v>
      </c>
      <c r="N94" s="384">
        <f>ROUND((N28-'20R1'!N28)/ABS('20R1'!N28)*100,1)</f>
        <v>-10.199999999999999</v>
      </c>
      <c r="O94" s="384">
        <f>ROUND((O28-'20R1'!O28)/ABS('20R1'!O28)*100,1)</f>
        <v>93.6</v>
      </c>
      <c r="R94" s="383"/>
      <c r="S94" s="383"/>
    </row>
    <row r="95" spans="1:19">
      <c r="A95" s="293">
        <v>210</v>
      </c>
      <c r="B95" s="90" t="s">
        <v>194</v>
      </c>
      <c r="C95" s="384">
        <f>ROUND((C29-'20R1'!C29)/ABS('20R1'!C29)*100,1)</f>
        <v>-4.4000000000000004</v>
      </c>
      <c r="D95" s="384">
        <f>ROUND((D29-'20R1'!D29)/ABS('20R1'!D29)*100,1)</f>
        <v>-4.4000000000000004</v>
      </c>
      <c r="E95" s="384">
        <f>ROUND((E29-'20R1'!E29)/ABS('20R1'!E29)*100,1)</f>
        <v>-1.2</v>
      </c>
      <c r="F95" s="384">
        <f>ROUND((F29-'20R1'!F29)/ABS('20R1'!F29)*100,1)</f>
        <v>10</v>
      </c>
      <c r="G95" s="384">
        <f>ROUND((G29-'20R1'!G29)/ABS('20R1'!G29)*100,1)</f>
        <v>-26.5</v>
      </c>
      <c r="H95" s="384">
        <f>ROUND((H29-'20R1'!H29)/ABS('20R1'!H29)*100,1)</f>
        <v>24</v>
      </c>
      <c r="I95" s="384">
        <f>ROUND((I29-'20R1'!I29)/ABS('20R1'!I29)*100,1)</f>
        <v>-231.1</v>
      </c>
      <c r="J95" s="384">
        <f>ROUND((J29-'20R1'!J29)/ABS('20R1'!J29)*100,1)</f>
        <v>19.5</v>
      </c>
      <c r="K95" s="384">
        <f>ROUND((K29-'20R1'!K29)/ABS('20R1'!K29)*100,1)</f>
        <v>0.6</v>
      </c>
      <c r="L95" s="384">
        <f>ROUND((L29-'20R1'!L29)/ABS('20R1'!L29)*100,1)</f>
        <v>-56</v>
      </c>
      <c r="M95" s="384">
        <f>ROUND((M29-'20R1'!M29)/ABS('20R1'!M29)*100,1)</f>
        <v>-13</v>
      </c>
      <c r="N95" s="384">
        <f>ROUND((N29-'20R1'!N29)/ABS('20R1'!N29)*100,1)</f>
        <v>-2.9</v>
      </c>
      <c r="O95" s="384">
        <f>ROUND((O29-'20R1'!O29)/ABS('20R1'!O29)*100,1)</f>
        <v>41.7</v>
      </c>
      <c r="R95" s="383"/>
      <c r="S95" s="383"/>
    </row>
    <row r="96" spans="1:19">
      <c r="A96" s="293">
        <v>216</v>
      </c>
      <c r="B96" s="90" t="s">
        <v>195</v>
      </c>
      <c r="C96" s="384">
        <f>ROUND((C30-'20R1'!C30)/ABS('20R1'!C30)*100,1)</f>
        <v>10.5</v>
      </c>
      <c r="D96" s="384">
        <f>ROUND((D30-'20R1'!D30)/ABS('20R1'!D30)*100,1)</f>
        <v>-7.4</v>
      </c>
      <c r="E96" s="384">
        <f>ROUND((E30-'20R1'!E30)/ABS('20R1'!E30)*100,1)</f>
        <v>1.2</v>
      </c>
      <c r="F96" s="384">
        <f>ROUND((F30-'20R1'!F30)/ABS('20R1'!F30)*100,1)</f>
        <v>-34.9</v>
      </c>
      <c r="G96" s="384">
        <f>ROUND((G30-'20R1'!G30)/ABS('20R1'!G30)*100,1)</f>
        <v>-22.7</v>
      </c>
      <c r="H96" s="384">
        <f>ROUND((H30-'20R1'!H30)/ABS('20R1'!H30)*100,1)</f>
        <v>-32.799999999999997</v>
      </c>
      <c r="I96" s="384">
        <f>ROUND((I30-'20R1'!I30)/ABS('20R1'!I30)*100,1)</f>
        <v>-210.4</v>
      </c>
      <c r="J96" s="384">
        <f>ROUND((J30-'20R1'!J30)/ABS('20R1'!J30)*100,1)</f>
        <v>71.3</v>
      </c>
      <c r="K96" s="384">
        <f>ROUND((K30-'20R1'!K30)/ABS('20R1'!K30)*100,1)</f>
        <v>-15.3</v>
      </c>
      <c r="L96" s="384">
        <f>ROUND((L30-'20R1'!L30)/ABS('20R1'!L30)*100,1)</f>
        <v>277.7</v>
      </c>
      <c r="M96" s="384">
        <f>ROUND((M30-'20R1'!M30)/ABS('20R1'!M30)*100,1)</f>
        <v>-0.3</v>
      </c>
      <c r="N96" s="384">
        <f>ROUND((N30-'20R1'!N30)/ABS('20R1'!N30)*100,1)</f>
        <v>-18.3</v>
      </c>
      <c r="O96" s="384">
        <f>ROUND((O30-'20R1'!O30)/ABS('20R1'!O30)*100,1)</f>
        <v>263</v>
      </c>
      <c r="R96" s="383"/>
      <c r="S96" s="383"/>
    </row>
    <row r="97" spans="1:19">
      <c r="A97" s="293">
        <v>381</v>
      </c>
      <c r="B97" s="90" t="s">
        <v>196</v>
      </c>
      <c r="C97" s="384">
        <f>ROUND((C31-'20R1'!C31)/ABS('20R1'!C31)*100,1)</f>
        <v>-14</v>
      </c>
      <c r="D97" s="384">
        <f>ROUND((D31-'20R1'!D31)/ABS('20R1'!D31)*100,1)</f>
        <v>-6.9</v>
      </c>
      <c r="E97" s="384">
        <f>ROUND((E31-'20R1'!E31)/ABS('20R1'!E31)*100,1)</f>
        <v>-0.5</v>
      </c>
      <c r="F97" s="384">
        <f>ROUND((F31-'20R1'!F31)/ABS('20R1'!F31)*100,1)</f>
        <v>-31.8</v>
      </c>
      <c r="G97" s="384">
        <f>ROUND((G31-'20R1'!G31)/ABS('20R1'!G31)*100,1)</f>
        <v>-3.6</v>
      </c>
      <c r="H97" s="384">
        <f>ROUND((H31-'20R1'!H31)/ABS('20R1'!H31)*100,1)</f>
        <v>-30.6</v>
      </c>
      <c r="I97" s="384">
        <f>ROUND((I31-'20R1'!I31)/ABS('20R1'!I31)*100,1)</f>
        <v>-214.7</v>
      </c>
      <c r="J97" s="384">
        <f>ROUND((J31-'20R1'!J31)/ABS('20R1'!J31)*100,1)</f>
        <v>16.100000000000001</v>
      </c>
      <c r="K97" s="384">
        <f>ROUND((K31-'20R1'!K31)/ABS('20R1'!K31)*100,1)</f>
        <v>-12</v>
      </c>
      <c r="L97" s="384">
        <f>ROUND((L31-'20R1'!L31)/ABS('20R1'!L31)*100,1)</f>
        <v>-17.2</v>
      </c>
      <c r="M97" s="384">
        <f>ROUND((M31-'20R1'!M31)/ABS('20R1'!M31)*100,1)</f>
        <v>-21.7</v>
      </c>
      <c r="N97" s="384">
        <f>ROUND((N31-'20R1'!N31)/ABS('20R1'!N31)*100,1)</f>
        <v>-15.1</v>
      </c>
      <c r="O97" s="384">
        <f>ROUND((O31-'20R1'!O31)/ABS('20R1'!O31)*100,1)</f>
        <v>268.3</v>
      </c>
      <c r="R97" s="383"/>
      <c r="S97" s="383"/>
    </row>
    <row r="98" spans="1:19">
      <c r="A98" s="293">
        <v>382</v>
      </c>
      <c r="B98" s="90" t="s">
        <v>197</v>
      </c>
      <c r="C98" s="384">
        <f>ROUND((C32-'20R1'!C32)/ABS('20R1'!C32)*100,1)</f>
        <v>13.9</v>
      </c>
      <c r="D98" s="384">
        <f>ROUND((D32-'20R1'!D32)/ABS('20R1'!D32)*100,1)</f>
        <v>-6.6</v>
      </c>
      <c r="E98" s="384">
        <f>ROUND((E32-'20R1'!E32)/ABS('20R1'!E32)*100,1)</f>
        <v>-0.7</v>
      </c>
      <c r="F98" s="384">
        <f>ROUND((F32-'20R1'!F32)/ABS('20R1'!F32)*100,1)</f>
        <v>-23.6</v>
      </c>
      <c r="G98" s="384">
        <f>ROUND((G32-'20R1'!G32)/ABS('20R1'!G32)*100,1)</f>
        <v>19.7</v>
      </c>
      <c r="H98" s="384">
        <f>ROUND((H32-'20R1'!H32)/ABS('20R1'!H32)*100,1)</f>
        <v>-25.7</v>
      </c>
      <c r="I98" s="384">
        <f>ROUND((I32-'20R1'!I32)/ABS('20R1'!I32)*100,1)</f>
        <v>-218.9</v>
      </c>
      <c r="J98" s="384">
        <f>ROUND((J32-'20R1'!J32)/ABS('20R1'!J32)*100,1)</f>
        <v>81</v>
      </c>
      <c r="K98" s="384">
        <f>ROUND((K32-'20R1'!K32)/ABS('20R1'!K32)*100,1)</f>
        <v>-8.8000000000000007</v>
      </c>
      <c r="L98" s="384">
        <f>ROUND((L32-'20R1'!L32)/ABS('20R1'!L32)*100,1)</f>
        <v>82</v>
      </c>
      <c r="M98" s="384">
        <f>ROUND((M32-'20R1'!M32)/ABS('20R1'!M32)*100,1)</f>
        <v>2.6</v>
      </c>
      <c r="N98" s="384">
        <f>ROUND((N32-'20R1'!N32)/ABS('20R1'!N32)*100,1)</f>
        <v>-12</v>
      </c>
      <c r="O98" s="384">
        <f>ROUND((O32-'20R1'!O32)/ABS('20R1'!O32)*100,1)</f>
        <v>731.4</v>
      </c>
      <c r="R98" s="383"/>
      <c r="S98" s="383"/>
    </row>
    <row r="99" spans="1:19">
      <c r="A99" s="293">
        <v>4</v>
      </c>
      <c r="B99" s="91" t="s">
        <v>198</v>
      </c>
      <c r="C99" s="384">
        <f>ROUND((C33-'20R1'!C33)/ABS('20R1'!C33)*100,1)</f>
        <v>-0.8</v>
      </c>
      <c r="D99" s="384">
        <f>ROUND((D33-'20R1'!D33)/ABS('20R1'!D33)*100,1)</f>
        <v>-6.7</v>
      </c>
      <c r="E99" s="384">
        <f>ROUND((E33-'20R1'!E33)/ABS('20R1'!E33)*100,1)</f>
        <v>7.6</v>
      </c>
      <c r="F99" s="384">
        <f>ROUND((F33-'20R1'!F33)/ABS('20R1'!F33)*100,1)</f>
        <v>-26.1</v>
      </c>
      <c r="G99" s="384">
        <f>ROUND((G33-'20R1'!G33)/ABS('20R1'!G33)*100,1)</f>
        <v>-25.4</v>
      </c>
      <c r="H99" s="384">
        <f>ROUND((H33-'20R1'!H33)/ABS('20R1'!H33)*100,1)</f>
        <v>-20.3</v>
      </c>
      <c r="I99" s="384">
        <f>ROUND((I33-'20R1'!I33)/ABS('20R1'!I33)*100,1)</f>
        <v>-217.6</v>
      </c>
      <c r="J99" s="384">
        <f>ROUND((J33-'20R1'!J33)/ABS('20R1'!J33)*100,1)</f>
        <v>-4</v>
      </c>
      <c r="K99" s="384">
        <f>ROUND((K33-'20R1'!K33)/ABS('20R1'!K33)*100,1)</f>
        <v>-9.8000000000000007</v>
      </c>
      <c r="L99" s="384">
        <f>ROUND((L33-'20R1'!L33)/ABS('20R1'!L33)*100,1)</f>
        <v>29.6</v>
      </c>
      <c r="M99" s="384">
        <f>ROUND((M33-'20R1'!M33)/ABS('20R1'!M33)*100,1)</f>
        <v>-9.6</v>
      </c>
      <c r="N99" s="384">
        <f>ROUND((N33-'20R1'!N33)/ABS('20R1'!N33)*100,1)</f>
        <v>-12.9</v>
      </c>
      <c r="O99" s="384">
        <f>ROUND((O33-'20R1'!O33)/ABS('20R1'!O33)*100,1)</f>
        <v>239.1</v>
      </c>
      <c r="R99" s="383"/>
      <c r="S99" s="383"/>
    </row>
    <row r="100" spans="1:19">
      <c r="A100" s="293">
        <v>213</v>
      </c>
      <c r="B100" s="92" t="s">
        <v>231</v>
      </c>
      <c r="C100" s="384">
        <f>ROUND((C34-'20R1'!C34)/ABS('20R1'!C34)*100,1)</f>
        <v>-3.8</v>
      </c>
      <c r="D100" s="384">
        <f>ROUND((D34-'20R1'!D34)/ABS('20R1'!D34)*100,1)</f>
        <v>-7.3</v>
      </c>
      <c r="E100" s="384">
        <f>ROUND((E34-'20R1'!E34)/ABS('20R1'!E34)*100,1)</f>
        <v>3.4</v>
      </c>
      <c r="F100" s="384">
        <f>ROUND((F34-'20R1'!F34)/ABS('20R1'!F34)*100,1)</f>
        <v>-20.399999999999999</v>
      </c>
      <c r="G100" s="384">
        <f>ROUND((G34-'20R1'!G34)/ABS('20R1'!G34)*100,1)</f>
        <v>-20.8</v>
      </c>
      <c r="H100" s="384">
        <f>ROUND((H34-'20R1'!H34)/ABS('20R1'!H34)*100,1)</f>
        <v>-11</v>
      </c>
      <c r="I100" s="384">
        <f>ROUND((I34-'20R1'!I34)/ABS('20R1'!I34)*100,1)</f>
        <v>-232.5</v>
      </c>
      <c r="J100" s="384">
        <f>ROUND((J34-'20R1'!J34)/ABS('20R1'!J34)*100,1)</f>
        <v>175.7</v>
      </c>
      <c r="K100" s="384">
        <f>ROUND((K34-'20R1'!K34)/ABS('20R1'!K34)*100,1)</f>
        <v>1.7</v>
      </c>
      <c r="L100" s="384">
        <f>ROUND((L34-'20R1'!L34)/ABS('20R1'!L34)*100,1)</f>
        <v>-44.7</v>
      </c>
      <c r="M100" s="384">
        <f>ROUND((M34-'20R1'!M34)/ABS('20R1'!M34)*100,1)</f>
        <v>-12.3</v>
      </c>
      <c r="N100" s="384">
        <f>ROUND((N34-'20R1'!N34)/ABS('20R1'!N34)*100,1)</f>
        <v>-1.9</v>
      </c>
      <c r="O100" s="384">
        <f>ROUND((O34-'20R1'!O34)/ABS('20R1'!O34)*100,1)</f>
        <v>79.099999999999994</v>
      </c>
      <c r="R100" s="383"/>
      <c r="S100" s="383"/>
    </row>
    <row r="101" spans="1:19">
      <c r="A101" s="293">
        <v>215</v>
      </c>
      <c r="B101" s="92" t="s">
        <v>232</v>
      </c>
      <c r="C101" s="384">
        <f>ROUND((C35-'20R1'!C35)/ABS('20R1'!C35)*100,1)</f>
        <v>2.5</v>
      </c>
      <c r="D101" s="384">
        <f>ROUND((D35-'20R1'!D35)/ABS('20R1'!D35)*100,1)</f>
        <v>-6.8</v>
      </c>
      <c r="E101" s="384">
        <f>ROUND((E35-'20R1'!E35)/ABS('20R1'!E35)*100,1)</f>
        <v>3.5</v>
      </c>
      <c r="F101" s="384">
        <f>ROUND((F35-'20R1'!F35)/ABS('20R1'!F35)*100,1)</f>
        <v>-24</v>
      </c>
      <c r="G101" s="384">
        <f>ROUND((G35-'20R1'!G35)/ABS('20R1'!G35)*100,1)</f>
        <v>-20.100000000000001</v>
      </c>
      <c r="H101" s="384">
        <f>ROUND((H35-'20R1'!H35)/ABS('20R1'!H35)*100,1)</f>
        <v>-17.5</v>
      </c>
      <c r="I101" s="384">
        <f>ROUND((I35-'20R1'!I35)/ABS('20R1'!I35)*100,1)</f>
        <v>-218.5</v>
      </c>
      <c r="J101" s="384">
        <f>ROUND((J35-'20R1'!J35)/ABS('20R1'!J35)*100,1)</f>
        <v>-4.7</v>
      </c>
      <c r="K101" s="384">
        <f>ROUND((K35-'20R1'!K35)/ABS('20R1'!K35)*100,1)</f>
        <v>-9.1</v>
      </c>
      <c r="L101" s="384">
        <f>ROUND((L35-'20R1'!L35)/ABS('20R1'!L35)*100,1)</f>
        <v>90.5</v>
      </c>
      <c r="M101" s="384">
        <f>ROUND((M35-'20R1'!M35)/ABS('20R1'!M35)*100,1)</f>
        <v>-6.9</v>
      </c>
      <c r="N101" s="384">
        <f>ROUND((N35-'20R1'!N35)/ABS('20R1'!N35)*100,1)</f>
        <v>-12.3</v>
      </c>
      <c r="O101" s="384">
        <f>ROUND((O35-'20R1'!O35)/ABS('20R1'!O35)*100,1)</f>
        <v>125.5</v>
      </c>
      <c r="R101" s="383"/>
      <c r="S101" s="383"/>
    </row>
    <row r="102" spans="1:19">
      <c r="A102" s="293">
        <v>218</v>
      </c>
      <c r="B102" s="90" t="s">
        <v>200</v>
      </c>
      <c r="C102" s="384">
        <f>ROUND((C36-'20R1'!C36)/ABS('20R1'!C36)*100,1)</f>
        <v>-4.2</v>
      </c>
      <c r="D102" s="384">
        <f>ROUND((D36-'20R1'!D36)/ABS('20R1'!D36)*100,1)</f>
        <v>-6.8</v>
      </c>
      <c r="E102" s="384">
        <f>ROUND((E36-'20R1'!E36)/ABS('20R1'!E36)*100,1)</f>
        <v>2.7</v>
      </c>
      <c r="F102" s="384">
        <f>ROUND((F36-'20R1'!F36)/ABS('20R1'!F36)*100,1)</f>
        <v>-25.6</v>
      </c>
      <c r="G102" s="384">
        <f>ROUND((G36-'20R1'!G36)/ABS('20R1'!G36)*100,1)</f>
        <v>7.3</v>
      </c>
      <c r="H102" s="384">
        <f>ROUND((H36-'20R1'!H36)/ABS('20R1'!H36)*100,1)</f>
        <v>-23.8</v>
      </c>
      <c r="I102" s="384">
        <f>ROUND((I36-'20R1'!I36)/ABS('20R1'!I36)*100,1)</f>
        <v>-207.8</v>
      </c>
      <c r="J102" s="384">
        <f>ROUND((J36-'20R1'!J36)/ABS('20R1'!J36)*100,1)</f>
        <v>-67.599999999999994</v>
      </c>
      <c r="K102" s="384">
        <f>ROUND((K36-'20R1'!K36)/ABS('20R1'!K36)*100,1)</f>
        <v>-17.3</v>
      </c>
      <c r="L102" s="384">
        <f>ROUND((L36-'20R1'!L36)/ABS('20R1'!L36)*100,1)</f>
        <v>31.5</v>
      </c>
      <c r="M102" s="384">
        <f>ROUND((M36-'20R1'!M36)/ABS('20R1'!M36)*100,1)</f>
        <v>-12.8</v>
      </c>
      <c r="N102" s="384">
        <f>ROUND((N36-'20R1'!N36)/ABS('20R1'!N36)*100,1)</f>
        <v>-20.2</v>
      </c>
      <c r="O102" s="384">
        <f>ROUND((O36-'20R1'!O36)/ABS('20R1'!O36)*100,1)</f>
        <v>552.5</v>
      </c>
      <c r="R102" s="383"/>
      <c r="S102" s="383"/>
    </row>
    <row r="103" spans="1:19">
      <c r="A103" s="293">
        <v>220</v>
      </c>
      <c r="B103" s="90" t="s">
        <v>201</v>
      </c>
      <c r="C103" s="384">
        <f>ROUND((C37-'20R1'!C37)/ABS('20R1'!C37)*100,1)</f>
        <v>-5</v>
      </c>
      <c r="D103" s="384">
        <f>ROUND((D37-'20R1'!D37)/ABS('20R1'!D37)*100,1)</f>
        <v>-7.1</v>
      </c>
      <c r="E103" s="384">
        <f>ROUND((E37-'20R1'!E37)/ABS('20R1'!E37)*100,1)</f>
        <v>18.3</v>
      </c>
      <c r="F103" s="384">
        <f>ROUND((F37-'20R1'!F37)/ABS('20R1'!F37)*100,1)</f>
        <v>-37.799999999999997</v>
      </c>
      <c r="G103" s="384">
        <f>ROUND((G37-'20R1'!G37)/ABS('20R1'!G37)*100,1)</f>
        <v>-46.9</v>
      </c>
      <c r="H103" s="384">
        <f>ROUND((H37-'20R1'!H37)/ABS('20R1'!H37)*100,1)</f>
        <v>-32</v>
      </c>
      <c r="I103" s="384">
        <f>ROUND((I37-'20R1'!I37)/ABS('20R1'!I37)*100,1)</f>
        <v>-212.9</v>
      </c>
      <c r="J103" s="384">
        <f>ROUND((J37-'20R1'!J37)/ABS('20R1'!J37)*100,1)</f>
        <v>-11</v>
      </c>
      <c r="K103" s="384">
        <f>ROUND((K37-'20R1'!K37)/ABS('20R1'!K37)*100,1)</f>
        <v>-13.4</v>
      </c>
      <c r="L103" s="384">
        <f>ROUND((L37-'20R1'!L37)/ABS('20R1'!L37)*100,1)</f>
        <v>13.1</v>
      </c>
      <c r="M103" s="384">
        <f>ROUND((M37-'20R1'!M37)/ABS('20R1'!M37)*100,1)</f>
        <v>-12.9</v>
      </c>
      <c r="N103" s="384">
        <f>ROUND((N37-'20R1'!N37)/ABS('20R1'!N37)*100,1)</f>
        <v>-16.399999999999999</v>
      </c>
      <c r="O103" s="384">
        <f>ROUND((O37-'20R1'!O37)/ABS('20R1'!O37)*100,1)</f>
        <v>943.7</v>
      </c>
      <c r="R103" s="383"/>
      <c r="S103" s="383"/>
    </row>
    <row r="104" spans="1:19">
      <c r="A104" s="293">
        <v>228</v>
      </c>
      <c r="B104" s="90" t="s">
        <v>239</v>
      </c>
      <c r="C104" s="384">
        <f>ROUND((C38-'20R1'!C38)/ABS('20R1'!C38)*100,1)</f>
        <v>3.8</v>
      </c>
      <c r="D104" s="384">
        <f>ROUND((D38-'20R1'!D38)/ABS('20R1'!D38)*100,1)</f>
        <v>-5.4</v>
      </c>
      <c r="E104" s="384">
        <f>ROUND((E38-'20R1'!E38)/ABS('20R1'!E38)*100,1)</f>
        <v>15.1</v>
      </c>
      <c r="F104" s="384">
        <f>ROUND((F38-'20R1'!F38)/ABS('20R1'!F38)*100,1)</f>
        <v>-22</v>
      </c>
      <c r="G104" s="384">
        <f>ROUND((G38-'20R1'!G38)/ABS('20R1'!G38)*100,1)</f>
        <v>-36.299999999999997</v>
      </c>
      <c r="H104" s="384">
        <f>ROUND((H38-'20R1'!H38)/ABS('20R1'!H38)*100,1)</f>
        <v>-15.1</v>
      </c>
      <c r="I104" s="384">
        <f>ROUND((I38-'20R1'!I38)/ABS('20R1'!I38)*100,1)</f>
        <v>-219.4</v>
      </c>
      <c r="J104" s="384">
        <f>ROUND((J38-'20R1'!J38)/ABS('20R1'!J38)*100,1)</f>
        <v>1.5</v>
      </c>
      <c r="K104" s="384">
        <f>ROUND((K38-'20R1'!K38)/ABS('20R1'!K38)*100,1)</f>
        <v>-8.5</v>
      </c>
      <c r="L104" s="384">
        <f>ROUND((L38-'20R1'!L38)/ABS('20R1'!L38)*100,1)</f>
        <v>27.1</v>
      </c>
      <c r="M104" s="384">
        <f>ROUND((M38-'20R1'!M38)/ABS('20R1'!M38)*100,1)</f>
        <v>-5.6</v>
      </c>
      <c r="N104" s="384">
        <f>ROUND((N38-'20R1'!N38)/ABS('20R1'!N38)*100,1)</f>
        <v>-11.7</v>
      </c>
      <c r="O104" s="384">
        <f>ROUND((O38-'20R1'!O38)/ABS('20R1'!O38)*100,1)</f>
        <v>2064.4</v>
      </c>
      <c r="R104" s="383"/>
      <c r="S104" s="383"/>
    </row>
    <row r="105" spans="1:19">
      <c r="A105" s="293">
        <v>365</v>
      </c>
      <c r="B105" s="90" t="s">
        <v>233</v>
      </c>
      <c r="C105" s="384">
        <f>ROUND((C39-'20R1'!C39)/ABS('20R1'!C39)*100,1)</f>
        <v>0.7</v>
      </c>
      <c r="D105" s="384">
        <f>ROUND((D39-'20R1'!D39)/ABS('20R1'!D39)*100,1)</f>
        <v>-7.7</v>
      </c>
      <c r="E105" s="384">
        <f>ROUND((E39-'20R1'!E39)/ABS('20R1'!E39)*100,1)</f>
        <v>4.3</v>
      </c>
      <c r="F105" s="384">
        <f>ROUND((F39-'20R1'!F39)/ABS('20R1'!F39)*100,1)</f>
        <v>-21.8</v>
      </c>
      <c r="G105" s="384">
        <f>ROUND((G39-'20R1'!G39)/ABS('20R1'!G39)*100,1)</f>
        <v>-29.3</v>
      </c>
      <c r="H105" s="384">
        <f>ROUND((H39-'20R1'!H39)/ABS('20R1'!H39)*100,1)</f>
        <v>-13.5</v>
      </c>
      <c r="I105" s="384">
        <f>ROUND((I39-'20R1'!I39)/ABS('20R1'!I39)*100,1)</f>
        <v>-219.6</v>
      </c>
      <c r="J105" s="384">
        <f>ROUND((J39-'20R1'!J39)/ABS('20R1'!J39)*100,1)</f>
        <v>-10.8</v>
      </c>
      <c r="K105" s="384">
        <f>ROUND((K39-'20R1'!K39)/ABS('20R1'!K39)*100,1)</f>
        <v>-8.3000000000000007</v>
      </c>
      <c r="L105" s="384">
        <f>ROUND((L39-'20R1'!L39)/ABS('20R1'!L39)*100,1)</f>
        <v>326.39999999999998</v>
      </c>
      <c r="M105" s="384">
        <f>ROUND((M39-'20R1'!M39)/ABS('20R1'!M39)*100,1)</f>
        <v>-7.9</v>
      </c>
      <c r="N105" s="384">
        <f>ROUND((N39-'20R1'!N39)/ABS('20R1'!N39)*100,1)</f>
        <v>-11.5</v>
      </c>
      <c r="O105" s="384">
        <f>ROUND((O39-'20R1'!O39)/ABS('20R1'!O39)*100,1)</f>
        <v>65.2</v>
      </c>
      <c r="R105" s="383"/>
      <c r="S105" s="383"/>
    </row>
    <row r="106" spans="1:19">
      <c r="A106" s="293">
        <v>5</v>
      </c>
      <c r="B106" s="91" t="s">
        <v>202</v>
      </c>
      <c r="C106" s="384">
        <f>ROUND((C40-'20R1'!C40)/ABS('20R1'!C40)*100,1)</f>
        <v>-2.1</v>
      </c>
      <c r="D106" s="384">
        <f>ROUND((D40-'20R1'!D40)/ABS('20R1'!D40)*100,1)</f>
        <v>-3.1</v>
      </c>
      <c r="E106" s="384">
        <f>ROUND((E40-'20R1'!E40)/ABS('20R1'!E40)*100,1)</f>
        <v>-3.7</v>
      </c>
      <c r="F106" s="384">
        <f>ROUND((F40-'20R1'!F40)/ABS('20R1'!F40)*100,1)</f>
        <v>-1.2</v>
      </c>
      <c r="G106" s="384">
        <f>ROUND((G40-'20R1'!G40)/ABS('20R1'!G40)*100,1)</f>
        <v>-6.6</v>
      </c>
      <c r="H106" s="384">
        <f>ROUND((H40-'20R1'!H40)/ABS('20R1'!H40)*100,1)</f>
        <v>6.2</v>
      </c>
      <c r="I106" s="384">
        <f>ROUND((I40-'20R1'!I40)/ABS('20R1'!I40)*100,1)</f>
        <v>-228.8</v>
      </c>
      <c r="J106" s="384">
        <f>ROUND((J40-'20R1'!J40)/ABS('20R1'!J40)*100,1)</f>
        <v>25.4</v>
      </c>
      <c r="K106" s="384">
        <f>ROUND((K40-'20R1'!K40)/ABS('20R1'!K40)*100,1)</f>
        <v>-1.2</v>
      </c>
      <c r="L106" s="384">
        <f>ROUND((L40-'20R1'!L40)/ABS('20R1'!L40)*100,1)</f>
        <v>-8.4</v>
      </c>
      <c r="M106" s="384">
        <f>ROUND((M40-'20R1'!M40)/ABS('20R1'!M40)*100,1)</f>
        <v>-11.3</v>
      </c>
      <c r="N106" s="384">
        <f>ROUND((N40-'20R1'!N40)/ABS('20R1'!N40)*100,1)</f>
        <v>-4.5999999999999996</v>
      </c>
      <c r="O106" s="384">
        <f>ROUND((O40-'20R1'!O40)/ABS('20R1'!O40)*100,1)</f>
        <v>119.3</v>
      </c>
      <c r="R106" s="383"/>
      <c r="S106" s="383"/>
    </row>
    <row r="107" spans="1:19">
      <c r="A107" s="293">
        <v>201</v>
      </c>
      <c r="B107" s="92" t="s">
        <v>240</v>
      </c>
      <c r="C107" s="384">
        <f>ROUND((C41-'20R1'!C41)/ABS('20R1'!C41)*100,1)</f>
        <v>-1.8</v>
      </c>
      <c r="D107" s="384">
        <f>ROUND((D41-'20R1'!D41)/ABS('20R1'!D41)*100,1)</f>
        <v>-2.8</v>
      </c>
      <c r="E107" s="384">
        <f>ROUND((E41-'20R1'!E41)/ABS('20R1'!E41)*100,1)</f>
        <v>-4.2</v>
      </c>
      <c r="F107" s="384">
        <f>ROUND((F41-'20R1'!F41)/ABS('20R1'!F41)*100,1)</f>
        <v>-3.6</v>
      </c>
      <c r="G107" s="384">
        <f>ROUND((G41-'20R1'!G41)/ABS('20R1'!G41)*100,1)</f>
        <v>-4.5999999999999996</v>
      </c>
      <c r="H107" s="384">
        <f>ROUND((H41-'20R1'!H41)/ABS('20R1'!H41)*100,1)</f>
        <v>3.1</v>
      </c>
      <c r="I107" s="384">
        <f>ROUND((I41-'20R1'!I41)/ABS('20R1'!I41)*100,1)</f>
        <v>-228.3</v>
      </c>
      <c r="J107" s="384">
        <f>ROUND((J41-'20R1'!J41)/ABS('20R1'!J41)*100,1)</f>
        <v>28.7</v>
      </c>
      <c r="K107" s="384">
        <f>ROUND((K41-'20R1'!K41)/ABS('20R1'!K41)*100,1)</f>
        <v>-1.6</v>
      </c>
      <c r="L107" s="384">
        <f>ROUND((L41-'20R1'!L41)/ABS('20R1'!L41)*100,1)</f>
        <v>-3.8</v>
      </c>
      <c r="M107" s="384">
        <f>ROUND((M41-'20R1'!M41)/ABS('20R1'!M41)*100,1)</f>
        <v>-11.1</v>
      </c>
      <c r="N107" s="384">
        <f>ROUND((N41-'20R1'!N41)/ABS('20R1'!N41)*100,1)</f>
        <v>-5</v>
      </c>
      <c r="O107" s="384">
        <f>ROUND((O41-'20R1'!O41)/ABS('20R1'!O41)*100,1)</f>
        <v>115.3</v>
      </c>
      <c r="R107" s="383"/>
      <c r="S107" s="383"/>
    </row>
    <row r="108" spans="1:19">
      <c r="A108" s="293">
        <v>442</v>
      </c>
      <c r="B108" s="90" t="s">
        <v>203</v>
      </c>
      <c r="C108" s="384">
        <f>ROUND((C42-'20R1'!C42)/ABS('20R1'!C42)*100,1)</f>
        <v>-3.5</v>
      </c>
      <c r="D108" s="384">
        <f>ROUND((D42-'20R1'!D42)/ABS('20R1'!D42)*100,1)</f>
        <v>-7.8</v>
      </c>
      <c r="E108" s="384">
        <f>ROUND((E42-'20R1'!E42)/ABS('20R1'!E42)*100,1)</f>
        <v>1.2</v>
      </c>
      <c r="F108" s="384">
        <f>ROUND((F42-'20R1'!F42)/ABS('20R1'!F42)*100,1)</f>
        <v>-35</v>
      </c>
      <c r="G108" s="384">
        <f>ROUND((G42-'20R1'!G42)/ABS('20R1'!G42)*100,1)</f>
        <v>-36.299999999999997</v>
      </c>
      <c r="H108" s="384">
        <f>ROUND((H42-'20R1'!H42)/ABS('20R1'!H42)*100,1)</f>
        <v>-29.1</v>
      </c>
      <c r="I108" s="384">
        <f>ROUND((I42-'20R1'!I42)/ABS('20R1'!I42)*100,1)</f>
        <v>-217.8</v>
      </c>
      <c r="J108" s="384">
        <f>ROUND((J42-'20R1'!J42)/ABS('20R1'!J42)*100,1)</f>
        <v>78.7</v>
      </c>
      <c r="K108" s="384">
        <f>ROUND((K42-'20R1'!K42)/ABS('20R1'!K42)*100,1)</f>
        <v>-9.5</v>
      </c>
      <c r="L108" s="384">
        <f>ROUND((L42-'20R1'!L42)/ABS('20R1'!L42)*100,1)</f>
        <v>65.7</v>
      </c>
      <c r="M108" s="384">
        <f>ROUND((M42-'20R1'!M42)/ABS('20R1'!M42)*100,1)</f>
        <v>-11.6</v>
      </c>
      <c r="N108" s="384">
        <f>ROUND((N42-'20R1'!N42)/ABS('20R1'!N42)*100,1)</f>
        <v>-12.7</v>
      </c>
      <c r="O108" s="384">
        <f>ROUND((O42-'20R1'!O42)/ABS('20R1'!O42)*100,1)</f>
        <v>45.9</v>
      </c>
      <c r="R108" s="383"/>
      <c r="S108" s="383"/>
    </row>
    <row r="109" spans="1:19">
      <c r="A109" s="293">
        <v>443</v>
      </c>
      <c r="B109" s="90" t="s">
        <v>204</v>
      </c>
      <c r="C109" s="384">
        <f>ROUND((C43-'20R1'!C43)/ABS('20R1'!C43)*100,1)</f>
        <v>-5.9</v>
      </c>
      <c r="D109" s="384">
        <f>ROUND((D43-'20R1'!D43)/ABS('20R1'!D43)*100,1)</f>
        <v>-6.7</v>
      </c>
      <c r="E109" s="384">
        <f>ROUND((E43-'20R1'!E43)/ABS('20R1'!E43)*100,1)</f>
        <v>2.7</v>
      </c>
      <c r="F109" s="384">
        <f>ROUND((F43-'20R1'!F43)/ABS('20R1'!F43)*100,1)</f>
        <v>72</v>
      </c>
      <c r="G109" s="384">
        <f>ROUND((G43-'20R1'!G43)/ABS('20R1'!G43)*100,1)</f>
        <v>-49.4</v>
      </c>
      <c r="H109" s="384">
        <f>ROUND((H43-'20R1'!H43)/ABS('20R1'!H43)*100,1)</f>
        <v>95.9</v>
      </c>
      <c r="I109" s="384">
        <f>ROUND((I43-'20R1'!I43)/ABS('20R1'!I43)*100,1)</f>
        <v>-256.5</v>
      </c>
      <c r="J109" s="384">
        <f>ROUND((J43-'20R1'!J43)/ABS('20R1'!J43)*100,1)</f>
        <v>-45.7</v>
      </c>
      <c r="K109" s="384">
        <f>ROUND((K43-'20R1'!K43)/ABS('20R1'!K43)*100,1)</f>
        <v>20</v>
      </c>
      <c r="L109" s="384">
        <f>ROUND((L43-'20R1'!L43)/ABS('20R1'!L43)*100,1)</f>
        <v>-29.5</v>
      </c>
      <c r="M109" s="384">
        <f>ROUND((M43-'20R1'!M43)/ABS('20R1'!M43)*100,1)</f>
        <v>-14.6</v>
      </c>
      <c r="N109" s="384">
        <f>ROUND((N43-'20R1'!N43)/ABS('20R1'!N43)*100,1)</f>
        <v>15.9</v>
      </c>
      <c r="O109" s="384">
        <f>ROUND((O43-'20R1'!O43)/ABS('20R1'!O43)*100,1)</f>
        <v>71.400000000000006</v>
      </c>
      <c r="R109" s="383"/>
      <c r="S109" s="383"/>
    </row>
    <row r="110" spans="1:19">
      <c r="A110" s="293">
        <v>446</v>
      </c>
      <c r="B110" s="90" t="s">
        <v>234</v>
      </c>
      <c r="C110" s="384">
        <f>ROUND((C44-'20R1'!C44)/ABS('20R1'!C44)*100,1)</f>
        <v>0</v>
      </c>
      <c r="D110" s="384">
        <f>ROUND((D44-'20R1'!D44)/ABS('20R1'!D44)*100,1)</f>
        <v>-8.1</v>
      </c>
      <c r="E110" s="384">
        <f>ROUND((E44-'20R1'!E44)/ABS('20R1'!E44)*100,1)</f>
        <v>-3.6</v>
      </c>
      <c r="F110" s="384">
        <f>ROUND((F44-'20R1'!F44)/ABS('20R1'!F44)*100,1)</f>
        <v>-34.9</v>
      </c>
      <c r="G110" s="384">
        <f>ROUND((G44-'20R1'!G44)/ABS('20R1'!G44)*100,1)</f>
        <v>7.9</v>
      </c>
      <c r="H110" s="384">
        <f>ROUND((H44-'20R1'!H44)/ABS('20R1'!H44)*100,1)</f>
        <v>-31.9</v>
      </c>
      <c r="I110" s="384">
        <f>ROUND((I44-'20R1'!I44)/ABS('20R1'!I44)*100,1)</f>
        <v>-210.3</v>
      </c>
      <c r="J110" s="384">
        <f>ROUND((J44-'20R1'!J44)/ABS('20R1'!J44)*100,1)</f>
        <v>-8.1999999999999993</v>
      </c>
      <c r="K110" s="384">
        <f>ROUND((K44-'20R1'!K44)/ABS('20R1'!K44)*100,1)</f>
        <v>-15.4</v>
      </c>
      <c r="L110" s="384">
        <f>ROUND((L44-'20R1'!L44)/ABS('20R1'!L44)*100,1)</f>
        <v>41.9</v>
      </c>
      <c r="M110" s="384">
        <f>ROUND((M44-'20R1'!M44)/ABS('20R1'!M44)*100,1)</f>
        <v>-8.9</v>
      </c>
      <c r="N110" s="384">
        <f>ROUND((N44-'20R1'!N44)/ABS('20R1'!N44)*100,1)</f>
        <v>-18.399999999999999</v>
      </c>
      <c r="O110" s="384">
        <f>ROUND((O44-'20R1'!O44)/ABS('20R1'!O44)*100,1)</f>
        <v>34</v>
      </c>
      <c r="R110" s="383"/>
      <c r="S110" s="383"/>
    </row>
    <row r="111" spans="1:19">
      <c r="A111" s="293">
        <v>6</v>
      </c>
      <c r="B111" s="91" t="s">
        <v>205</v>
      </c>
      <c r="C111" s="384">
        <f>ROUND((C45-'20R1'!C45)/ABS('20R1'!C45)*100,1)</f>
        <v>1.9</v>
      </c>
      <c r="D111" s="384">
        <f>ROUND((D45-'20R1'!D45)/ABS('20R1'!D45)*100,1)</f>
        <v>-7.6</v>
      </c>
      <c r="E111" s="384">
        <f>ROUND((E45-'20R1'!E45)/ABS('20R1'!E45)*100,1)</f>
        <v>3.7</v>
      </c>
      <c r="F111" s="384">
        <f>ROUND((F45-'20R1'!F45)/ABS('20R1'!F45)*100,1)</f>
        <v>-16.899999999999999</v>
      </c>
      <c r="G111" s="384">
        <f>ROUND((G45-'20R1'!G45)/ABS('20R1'!G45)*100,1)</f>
        <v>-11.8</v>
      </c>
      <c r="H111" s="384">
        <f>ROUND((H45-'20R1'!H45)/ABS('20R1'!H45)*100,1)</f>
        <v>-10.9</v>
      </c>
      <c r="I111" s="384">
        <f>ROUND((I45-'20R1'!I45)/ABS('20R1'!I45)*100,1)</f>
        <v>-220.4</v>
      </c>
      <c r="J111" s="384">
        <f>ROUND((J45-'20R1'!J45)/ABS('20R1'!J45)*100,1)</f>
        <v>3.9</v>
      </c>
      <c r="K111" s="384">
        <f>ROUND((K45-'20R1'!K45)/ABS('20R1'!K45)*100,1)</f>
        <v>-7.7</v>
      </c>
      <c r="L111" s="384">
        <f>ROUND((L45-'20R1'!L45)/ABS('20R1'!L45)*100,1)</f>
        <v>61.6</v>
      </c>
      <c r="M111" s="384">
        <f>ROUND((M45-'20R1'!M45)/ABS('20R1'!M45)*100,1)</f>
        <v>-7.4</v>
      </c>
      <c r="N111" s="384">
        <f>ROUND((N45-'20R1'!N45)/ABS('20R1'!N45)*100,1)</f>
        <v>-10.9</v>
      </c>
      <c r="O111" s="384">
        <f>ROUND((O45-'20R1'!O45)/ABS('20R1'!O45)*100,1)</f>
        <v>139.6</v>
      </c>
      <c r="R111" s="383"/>
      <c r="S111" s="383"/>
    </row>
    <row r="112" spans="1:19">
      <c r="A112" s="293">
        <v>208</v>
      </c>
      <c r="B112" s="90" t="s">
        <v>206</v>
      </c>
      <c r="C112" s="384">
        <f>ROUND((C46-'20R1'!C46)/ABS('20R1'!C46)*100,1)</f>
        <v>19</v>
      </c>
      <c r="D112" s="384">
        <f>ROUND((D46-'20R1'!D46)/ABS('20R1'!D46)*100,1)</f>
        <v>-8.3000000000000007</v>
      </c>
      <c r="E112" s="384">
        <f>ROUND((E46-'20R1'!E46)/ABS('20R1'!E46)*100,1)</f>
        <v>5.5</v>
      </c>
      <c r="F112" s="384">
        <f>ROUND((F46-'20R1'!F46)/ABS('20R1'!F46)*100,1)</f>
        <v>8.8000000000000007</v>
      </c>
      <c r="G112" s="384">
        <f>ROUND((G46-'20R1'!G46)/ABS('20R1'!G46)*100,1)</f>
        <v>-6.8</v>
      </c>
      <c r="H112" s="384">
        <f>ROUND((H46-'20R1'!H46)/ABS('20R1'!H46)*100,1)</f>
        <v>20.3</v>
      </c>
      <c r="I112" s="384">
        <f>ROUND((I46-'20R1'!I46)/ABS('20R1'!I46)*100,1)</f>
        <v>-225</v>
      </c>
      <c r="J112" s="384">
        <f>ROUND((J46-'20R1'!J46)/ABS('20R1'!J46)*100,1)</f>
        <v>-31.9</v>
      </c>
      <c r="K112" s="384">
        <f>ROUND((K46-'20R1'!K46)/ABS('20R1'!K46)*100,1)</f>
        <v>-4.2</v>
      </c>
      <c r="L112" s="384">
        <f>ROUND((L46-'20R1'!L46)/ABS('20R1'!L46)*100,1)</f>
        <v>73.3</v>
      </c>
      <c r="M112" s="384">
        <f>ROUND((M46-'20R1'!M46)/ABS('20R1'!M46)*100,1)</f>
        <v>7.3</v>
      </c>
      <c r="N112" s="384">
        <f>ROUND((N46-'20R1'!N46)/ABS('20R1'!N46)*100,1)</f>
        <v>-7.5</v>
      </c>
      <c r="O112" s="384">
        <f>ROUND((O46-'20R1'!O46)/ABS('20R1'!O46)*100,1)</f>
        <v>856.7</v>
      </c>
      <c r="R112" s="383"/>
      <c r="S112" s="383"/>
    </row>
    <row r="113" spans="1:19">
      <c r="A113" s="293">
        <v>212</v>
      </c>
      <c r="B113" s="90" t="s">
        <v>207</v>
      </c>
      <c r="C113" s="384">
        <f>ROUND((C47-'20R1'!C47)/ABS('20R1'!C47)*100,1)</f>
        <v>0.7</v>
      </c>
      <c r="D113" s="384">
        <f>ROUND((D47-'20R1'!D47)/ABS('20R1'!D47)*100,1)</f>
        <v>-7.4</v>
      </c>
      <c r="E113" s="384">
        <f>ROUND((E47-'20R1'!E47)/ABS('20R1'!E47)*100,1)</f>
        <v>1.4</v>
      </c>
      <c r="F113" s="384">
        <f>ROUND((F47-'20R1'!F47)/ABS('20R1'!F47)*100,1)</f>
        <v>-6.9</v>
      </c>
      <c r="G113" s="384">
        <f>ROUND((G47-'20R1'!G47)/ABS('20R1'!G47)*100,1)</f>
        <v>25.8</v>
      </c>
      <c r="H113" s="384">
        <f>ROUND((H47-'20R1'!H47)/ABS('20R1'!H47)*100,1)</f>
        <v>-4.4000000000000004</v>
      </c>
      <c r="I113" s="384">
        <f>ROUND((I47-'20R1'!I47)/ABS('20R1'!I47)*100,1)</f>
        <v>-220.8</v>
      </c>
      <c r="J113" s="384">
        <f>ROUND((J47-'20R1'!J47)/ABS('20R1'!J47)*100,1)</f>
        <v>-36.6</v>
      </c>
      <c r="K113" s="384">
        <f>ROUND((K47-'20R1'!K47)/ABS('20R1'!K47)*100,1)</f>
        <v>-7.4</v>
      </c>
      <c r="L113" s="384">
        <f>ROUND((L47-'20R1'!L47)/ABS('20R1'!L47)*100,1)</f>
        <v>40.4</v>
      </c>
      <c r="M113" s="384">
        <f>ROUND((M47-'20R1'!M47)/ABS('20R1'!M47)*100,1)</f>
        <v>-8.6</v>
      </c>
      <c r="N113" s="384">
        <f>ROUND((N47-'20R1'!N47)/ABS('20R1'!N47)*100,1)</f>
        <v>-10.6</v>
      </c>
      <c r="O113" s="384">
        <f>ROUND((O47-'20R1'!O47)/ABS('20R1'!O47)*100,1)</f>
        <v>173.1</v>
      </c>
      <c r="R113" s="383"/>
      <c r="S113" s="383"/>
    </row>
    <row r="114" spans="1:19">
      <c r="A114" s="293">
        <v>227</v>
      </c>
      <c r="B114" s="90" t="s">
        <v>219</v>
      </c>
      <c r="C114" s="384">
        <f>ROUND((C48-'20R1'!C48)/ABS('20R1'!C48)*100,1)</f>
        <v>-6.3</v>
      </c>
      <c r="D114" s="384">
        <f>ROUND((D48-'20R1'!D48)/ABS('20R1'!D48)*100,1)</f>
        <v>-7.3</v>
      </c>
      <c r="E114" s="384">
        <f>ROUND((E48-'20R1'!E48)/ABS('20R1'!E48)*100,1)</f>
        <v>0.5</v>
      </c>
      <c r="F114" s="384">
        <f>ROUND((F48-'20R1'!F48)/ABS('20R1'!F48)*100,1)</f>
        <v>-25</v>
      </c>
      <c r="G114" s="384">
        <f>ROUND((G48-'20R1'!G48)/ABS('20R1'!G48)*100,1)</f>
        <v>-19</v>
      </c>
      <c r="H114" s="384">
        <f>ROUND((H48-'20R1'!H48)/ABS('20R1'!H48)*100,1)</f>
        <v>-17</v>
      </c>
      <c r="I114" s="384">
        <f>ROUND((I48-'20R1'!I48)/ABS('20R1'!I48)*100,1)</f>
        <v>-216.9</v>
      </c>
      <c r="J114" s="384">
        <f>ROUND((J48-'20R1'!J48)/ABS('20R1'!J48)*100,1)</f>
        <v>-24</v>
      </c>
      <c r="K114" s="384">
        <f>ROUND((K48-'20R1'!K48)/ABS('20R1'!K48)*100,1)</f>
        <v>-10.4</v>
      </c>
      <c r="L114" s="384">
        <f>ROUND((L48-'20R1'!L48)/ABS('20R1'!L48)*100,1)</f>
        <v>60.3</v>
      </c>
      <c r="M114" s="384">
        <f>ROUND((M48-'20R1'!M48)/ABS('20R1'!M48)*100,1)</f>
        <v>-13.9</v>
      </c>
      <c r="N114" s="384">
        <f>ROUND((N48-'20R1'!N48)/ABS('20R1'!N48)*100,1)</f>
        <v>-13.5</v>
      </c>
      <c r="O114" s="384">
        <f>ROUND((O48-'20R1'!O48)/ABS('20R1'!O48)*100,1)</f>
        <v>45.2</v>
      </c>
      <c r="R114" s="383"/>
      <c r="S114" s="383"/>
    </row>
    <row r="115" spans="1:19">
      <c r="A115" s="293">
        <v>229</v>
      </c>
      <c r="B115" s="90" t="s">
        <v>235</v>
      </c>
      <c r="C115" s="384">
        <f>ROUND((C49-'20R1'!C49)/ABS('20R1'!C49)*100,1)</f>
        <v>-2.6</v>
      </c>
      <c r="D115" s="384">
        <f>ROUND((D49-'20R1'!D49)/ABS('20R1'!D49)*100,1)</f>
        <v>-7.7</v>
      </c>
      <c r="E115" s="384">
        <f>ROUND((E49-'20R1'!E49)/ABS('20R1'!E49)*100,1)</f>
        <v>5.3</v>
      </c>
      <c r="F115" s="384">
        <f>ROUND((F49-'20R1'!F49)/ABS('20R1'!F49)*100,1)</f>
        <v>-14.8</v>
      </c>
      <c r="G115" s="384">
        <f>ROUND((G49-'20R1'!G49)/ABS('20R1'!G49)*100,1)</f>
        <v>-38.700000000000003</v>
      </c>
      <c r="H115" s="384">
        <f>ROUND((H49-'20R1'!H49)/ABS('20R1'!H49)*100,1)</f>
        <v>-6.1</v>
      </c>
      <c r="I115" s="384">
        <f>ROUND((I49-'20R1'!I49)/ABS('20R1'!I49)*100,1)</f>
        <v>-223.9</v>
      </c>
      <c r="J115" s="384">
        <f>ROUND((J49-'20R1'!J49)/ABS('20R1'!J49)*100,1)</f>
        <v>63.2</v>
      </c>
      <c r="K115" s="384">
        <f>ROUND((K49-'20R1'!K49)/ABS('20R1'!K49)*100,1)</f>
        <v>-4.9000000000000004</v>
      </c>
      <c r="L115" s="384">
        <f>ROUND((L49-'20R1'!L49)/ABS('20R1'!L49)*100,1)</f>
        <v>4.3</v>
      </c>
      <c r="M115" s="384">
        <f>ROUND((M49-'20R1'!M49)/ABS('20R1'!M49)*100,1)</f>
        <v>-11.4</v>
      </c>
      <c r="N115" s="384">
        <f>ROUND((N49-'20R1'!N49)/ABS('20R1'!N49)*100,1)</f>
        <v>-8.3000000000000007</v>
      </c>
      <c r="O115" s="384">
        <f>ROUND((O49-'20R1'!O49)/ABS('20R1'!O49)*100,1)</f>
        <v>356.9</v>
      </c>
      <c r="R115" s="383"/>
      <c r="S115" s="383"/>
    </row>
    <row r="116" spans="1:19">
      <c r="A116" s="293">
        <v>464</v>
      </c>
      <c r="B116" s="90" t="s">
        <v>208</v>
      </c>
      <c r="C116" s="384">
        <f>ROUND((C50-'20R1'!C50)/ABS('20R1'!C50)*100,1)</f>
        <v>13</v>
      </c>
      <c r="D116" s="384">
        <f>ROUND((D50-'20R1'!D50)/ABS('20R1'!D50)*100,1)</f>
        <v>-6.8</v>
      </c>
      <c r="E116" s="384">
        <f>ROUND((E50-'20R1'!E50)/ABS('20R1'!E50)*100,1)</f>
        <v>7.5</v>
      </c>
      <c r="F116" s="384">
        <f>ROUND((F50-'20R1'!F50)/ABS('20R1'!F50)*100,1)</f>
        <v>-48.6</v>
      </c>
      <c r="G116" s="384">
        <f>ROUND((G50-'20R1'!G50)/ABS('20R1'!G50)*100,1)</f>
        <v>-4.2</v>
      </c>
      <c r="H116" s="384">
        <f>ROUND((H50-'20R1'!H50)/ABS('20R1'!H50)*100,1)</f>
        <v>-49.3</v>
      </c>
      <c r="I116" s="384">
        <f>ROUND((I50-'20R1'!I50)/ABS('20R1'!I50)*100,1)</f>
        <v>-210.6</v>
      </c>
      <c r="J116" s="384">
        <f>ROUND((J50-'20R1'!J50)/ABS('20R1'!J50)*100,1)</f>
        <v>6.1</v>
      </c>
      <c r="K116" s="384">
        <f>ROUND((K50-'20R1'!K50)/ABS('20R1'!K50)*100,1)</f>
        <v>-15.2</v>
      </c>
      <c r="L116" s="384">
        <f>ROUND((L50-'20R1'!L50)/ABS('20R1'!L50)*100,1)</f>
        <v>220.6</v>
      </c>
      <c r="M116" s="384">
        <f>ROUND((M50-'20R1'!M50)/ABS('20R1'!M50)*100,1)</f>
        <v>2.2999999999999998</v>
      </c>
      <c r="N116" s="384">
        <f>ROUND((N50-'20R1'!N50)/ABS('20R1'!N50)*100,1)</f>
        <v>-18.2</v>
      </c>
      <c r="O116" s="384">
        <f>ROUND((O50-'20R1'!O50)/ABS('20R1'!O50)*100,1)</f>
        <v>115.7</v>
      </c>
      <c r="R116" s="383"/>
      <c r="S116" s="383"/>
    </row>
    <row r="117" spans="1:19">
      <c r="A117" s="293">
        <v>481</v>
      </c>
      <c r="B117" s="90" t="s">
        <v>209</v>
      </c>
      <c r="C117" s="384">
        <f>ROUND((C51-'20R1'!C51)/ABS('20R1'!C51)*100,1)</f>
        <v>-1</v>
      </c>
      <c r="D117" s="384">
        <f>ROUND((D51-'20R1'!D51)/ABS('20R1'!D51)*100,1)</f>
        <v>-8.1</v>
      </c>
      <c r="E117" s="384">
        <f>ROUND((E51-'20R1'!E51)/ABS('20R1'!E51)*100,1)</f>
        <v>-1.8</v>
      </c>
      <c r="F117" s="384">
        <f>ROUND((F51-'20R1'!F51)/ABS('20R1'!F51)*100,1)</f>
        <v>-27.8</v>
      </c>
      <c r="G117" s="384">
        <f>ROUND((G51-'20R1'!G51)/ABS('20R1'!G51)*100,1)</f>
        <v>98.4</v>
      </c>
      <c r="H117" s="384">
        <f>ROUND((H51-'20R1'!H51)/ABS('20R1'!H51)*100,1)</f>
        <v>-25</v>
      </c>
      <c r="I117" s="384">
        <f>ROUND((I51-'20R1'!I51)/ABS('20R1'!I51)*100,1)</f>
        <v>-218.4</v>
      </c>
      <c r="J117" s="384">
        <f>ROUND((J51-'20R1'!J51)/ABS('20R1'!J51)*100,1)</f>
        <v>26.4</v>
      </c>
      <c r="K117" s="384">
        <f>ROUND((K51-'20R1'!K51)/ABS('20R1'!K51)*100,1)</f>
        <v>-9.3000000000000007</v>
      </c>
      <c r="L117" s="384">
        <f>ROUND((L51-'20R1'!L51)/ABS('20R1'!L51)*100,1)</f>
        <v>132.1</v>
      </c>
      <c r="M117" s="384">
        <f>ROUND((M51-'20R1'!M51)/ABS('20R1'!M51)*100,1)</f>
        <v>-10</v>
      </c>
      <c r="N117" s="384">
        <f>ROUND((N51-'20R1'!N51)/ABS('20R1'!N51)*100,1)</f>
        <v>-12.5</v>
      </c>
      <c r="O117" s="384">
        <f>ROUND((O51-'20R1'!O51)/ABS('20R1'!O51)*100,1)</f>
        <v>61.1</v>
      </c>
      <c r="R117" s="383"/>
      <c r="S117" s="383"/>
    </row>
    <row r="118" spans="1:19">
      <c r="A118" s="293">
        <v>501</v>
      </c>
      <c r="B118" s="90" t="s">
        <v>236</v>
      </c>
      <c r="C118" s="384">
        <f>ROUND((C52-'20R1'!C52)/ABS('20R1'!C52)*100,1)</f>
        <v>-7.5</v>
      </c>
      <c r="D118" s="384">
        <f>ROUND((D52-'20R1'!D52)/ABS('20R1'!D52)*100,1)</f>
        <v>-7.7</v>
      </c>
      <c r="E118" s="384">
        <f>ROUND((E52-'20R1'!E52)/ABS('20R1'!E52)*100,1)</f>
        <v>9.1999999999999993</v>
      </c>
      <c r="F118" s="384">
        <f>ROUND((F52-'20R1'!F52)/ABS('20R1'!F52)*100,1)</f>
        <v>-21.4</v>
      </c>
      <c r="G118" s="384">
        <f>ROUND((G52-'20R1'!G52)/ABS('20R1'!G52)*100,1)</f>
        <v>-50.7</v>
      </c>
      <c r="H118" s="384">
        <f>ROUND((H52-'20R1'!H52)/ABS('20R1'!H52)*100,1)</f>
        <v>-8.6</v>
      </c>
      <c r="I118" s="384">
        <f>ROUND((I52-'20R1'!I52)/ABS('20R1'!I52)*100,1)</f>
        <v>-223</v>
      </c>
      <c r="J118" s="384">
        <f>ROUND((J52-'20R1'!J52)/ABS('20R1'!J52)*100,1)</f>
        <v>-2.1</v>
      </c>
      <c r="K118" s="384">
        <f>ROUND((K52-'20R1'!K52)/ABS('20R1'!K52)*100,1)</f>
        <v>-5.7</v>
      </c>
      <c r="L118" s="384">
        <f>ROUND((L52-'20R1'!L52)/ABS('20R1'!L52)*100,1)</f>
        <v>-139.5</v>
      </c>
      <c r="M118" s="384">
        <f>ROUND((M52-'20R1'!M52)/ABS('20R1'!M52)*100,1)</f>
        <v>-14</v>
      </c>
      <c r="N118" s="384">
        <f>ROUND((N52-'20R1'!N52)/ABS('20R1'!N52)*100,1)</f>
        <v>-9</v>
      </c>
      <c r="O118" s="384">
        <f>ROUND((O52-'20R1'!O52)/ABS('20R1'!O52)*100,1)</f>
        <v>33.6</v>
      </c>
      <c r="R118" s="383"/>
      <c r="S118" s="383"/>
    </row>
    <row r="119" spans="1:19">
      <c r="A119" s="293">
        <v>7</v>
      </c>
      <c r="B119" s="93" t="s">
        <v>210</v>
      </c>
      <c r="C119" s="384">
        <f>ROUND((C53-'20R1'!C53)/ABS('20R1'!C53)*100,1)</f>
        <v>0.4</v>
      </c>
      <c r="D119" s="384">
        <f>ROUND((D53-'20R1'!D53)/ABS('20R1'!D53)*100,1)</f>
        <v>-8.3000000000000007</v>
      </c>
      <c r="E119" s="384">
        <f>ROUND((E53-'20R1'!E53)/ABS('20R1'!E53)*100,1)</f>
        <v>5.4</v>
      </c>
      <c r="F119" s="384">
        <f>ROUND((F53-'20R1'!F53)/ABS('20R1'!F53)*100,1)</f>
        <v>-26.3</v>
      </c>
      <c r="G119" s="384">
        <f>ROUND((G53-'20R1'!G53)/ABS('20R1'!G53)*100,1)</f>
        <v>-25.3</v>
      </c>
      <c r="H119" s="384">
        <f>ROUND((H53-'20R1'!H53)/ABS('20R1'!H53)*100,1)</f>
        <v>-17.899999999999999</v>
      </c>
      <c r="I119" s="384">
        <f>ROUND((I53-'20R1'!I53)/ABS('20R1'!I53)*100,1)</f>
        <v>-219.2</v>
      </c>
      <c r="J119" s="384">
        <f>ROUND((J53-'20R1'!J53)/ABS('20R1'!J53)*100,1)</f>
        <v>-0.4</v>
      </c>
      <c r="K119" s="384">
        <f>ROUND((K53-'20R1'!K53)/ABS('20R1'!K53)*100,1)</f>
        <v>-8.6</v>
      </c>
      <c r="L119" s="384">
        <f>ROUND((L53-'20R1'!L53)/ABS('20R1'!L53)*100,1)</f>
        <v>1087.4000000000001</v>
      </c>
      <c r="M119" s="384">
        <f>ROUND((M53-'20R1'!M53)/ABS('20R1'!M53)*100,1)</f>
        <v>-8.1</v>
      </c>
      <c r="N119" s="384">
        <f>ROUND((N53-'20R1'!N53)/ABS('20R1'!N53)*100,1)</f>
        <v>-11.8</v>
      </c>
      <c r="O119" s="384">
        <f>ROUND((O53-'20R1'!O53)/ABS('20R1'!O53)*100,1)</f>
        <v>62.2</v>
      </c>
      <c r="R119" s="383"/>
      <c r="S119" s="383"/>
    </row>
    <row r="120" spans="1:19">
      <c r="A120" s="293">
        <v>209</v>
      </c>
      <c r="B120" s="90" t="s">
        <v>221</v>
      </c>
      <c r="C120" s="384">
        <f>ROUND((C54-'20R1'!C54)/ABS('20R1'!C54)*100,1)</f>
        <v>-5</v>
      </c>
      <c r="D120" s="384">
        <f>ROUND((D54-'20R1'!D54)/ABS('20R1'!D54)*100,1)</f>
        <v>-8.1999999999999993</v>
      </c>
      <c r="E120" s="384">
        <f>ROUND((E54-'20R1'!E54)/ABS('20R1'!E54)*100,1)</f>
        <v>4.5</v>
      </c>
      <c r="F120" s="384">
        <f>ROUND((F54-'20R1'!F54)/ABS('20R1'!F54)*100,1)</f>
        <v>-23.9</v>
      </c>
      <c r="G120" s="384">
        <f>ROUND((G54-'20R1'!G54)/ABS('20R1'!G54)*100,1)</f>
        <v>-26.7</v>
      </c>
      <c r="H120" s="384">
        <f>ROUND((H54-'20R1'!H54)/ABS('20R1'!H54)*100,1)</f>
        <v>-14.5</v>
      </c>
      <c r="I120" s="384">
        <f>ROUND((I54-'20R1'!I54)/ABS('20R1'!I54)*100,1)</f>
        <v>-217.8</v>
      </c>
      <c r="J120" s="384">
        <f>ROUND((J54-'20R1'!J54)/ABS('20R1'!J54)*100,1)</f>
        <v>-18.899999999999999</v>
      </c>
      <c r="K120" s="384">
        <f>ROUND((K54-'20R1'!K54)/ABS('20R1'!K54)*100,1)</f>
        <v>-9.6999999999999993</v>
      </c>
      <c r="L120" s="384">
        <f>ROUND((L54-'20R1'!L54)/ABS('20R1'!L54)*100,1)</f>
        <v>157.1</v>
      </c>
      <c r="M120" s="384">
        <f>ROUND((M54-'20R1'!M54)/ABS('20R1'!M54)*100,1)</f>
        <v>-12.9</v>
      </c>
      <c r="N120" s="384">
        <f>ROUND((N54-'20R1'!N54)/ABS('20R1'!N54)*100,1)</f>
        <v>-12.8</v>
      </c>
      <c r="O120" s="384">
        <f>ROUND((O54-'20R1'!O54)/ABS('20R1'!O54)*100,1)</f>
        <v>63.5</v>
      </c>
      <c r="R120" s="383"/>
      <c r="S120" s="383"/>
    </row>
    <row r="121" spans="1:19">
      <c r="A121" s="293">
        <v>222</v>
      </c>
      <c r="B121" s="90" t="s">
        <v>218</v>
      </c>
      <c r="C121" s="384">
        <f>ROUND((C55-'20R1'!C55)/ABS('20R1'!C55)*100,1)</f>
        <v>-3.1</v>
      </c>
      <c r="D121" s="384">
        <f>ROUND((D55-'20R1'!D55)/ABS('20R1'!D55)*100,1)</f>
        <v>-8.1</v>
      </c>
      <c r="E121" s="384">
        <f>ROUND((E55-'20R1'!E55)/ABS('20R1'!E55)*100,1)</f>
        <v>12.1</v>
      </c>
      <c r="F121" s="384">
        <f>ROUND((F55-'20R1'!F55)/ABS('20R1'!F55)*100,1)</f>
        <v>-22.9</v>
      </c>
      <c r="G121" s="384">
        <f>ROUND((G55-'20R1'!G55)/ABS('20R1'!G55)*100,1)</f>
        <v>-0.3</v>
      </c>
      <c r="H121" s="384">
        <f>ROUND((H55-'20R1'!H55)/ABS('20R1'!H55)*100,1)</f>
        <v>-15.7</v>
      </c>
      <c r="I121" s="384">
        <f>ROUND((I55-'20R1'!I55)/ABS('20R1'!I55)*100,1)</f>
        <v>-228.2</v>
      </c>
      <c r="J121" s="384">
        <f>ROUND((J55-'20R1'!J55)/ABS('20R1'!J55)*100,1)</f>
        <v>71.099999999999994</v>
      </c>
      <c r="K121" s="384">
        <f>ROUND((K55-'20R1'!K55)/ABS('20R1'!K55)*100,1)</f>
        <v>-1.6</v>
      </c>
      <c r="L121" s="384">
        <f>ROUND((L55-'20R1'!L55)/ABS('20R1'!L55)*100,1)</f>
        <v>-11.3</v>
      </c>
      <c r="M121" s="384">
        <f>ROUND((M55-'20R1'!M55)/ABS('20R1'!M55)*100,1)</f>
        <v>-10.1</v>
      </c>
      <c r="N121" s="384">
        <f>ROUND((N55-'20R1'!N55)/ABS('20R1'!N55)*100,1)</f>
        <v>-5.0999999999999996</v>
      </c>
      <c r="O121" s="384">
        <f>ROUND((O55-'20R1'!O55)/ABS('20R1'!O55)*100,1)</f>
        <v>24.7</v>
      </c>
      <c r="R121" s="383"/>
      <c r="S121" s="383"/>
    </row>
    <row r="122" spans="1:19">
      <c r="A122" s="293">
        <v>225</v>
      </c>
      <c r="B122" s="90" t="s">
        <v>222</v>
      </c>
      <c r="C122" s="384">
        <f>ROUND((C56-'20R1'!C56)/ABS('20R1'!C56)*100,1)</f>
        <v>19.5</v>
      </c>
      <c r="D122" s="384">
        <f>ROUND((D56-'20R1'!D56)/ABS('20R1'!D56)*100,1)</f>
        <v>-7.9</v>
      </c>
      <c r="E122" s="384">
        <f>ROUND((E56-'20R1'!E56)/ABS('20R1'!E56)*100,1)</f>
        <v>-3.3</v>
      </c>
      <c r="F122" s="384">
        <f>ROUND((F56-'20R1'!F56)/ABS('20R1'!F56)*100,1)</f>
        <v>-37.200000000000003</v>
      </c>
      <c r="G122" s="384">
        <f>ROUND((G56-'20R1'!G56)/ABS('20R1'!G56)*100,1)</f>
        <v>-17.2</v>
      </c>
      <c r="H122" s="384">
        <f>ROUND((H56-'20R1'!H56)/ABS('20R1'!H56)*100,1)</f>
        <v>-33.200000000000003</v>
      </c>
      <c r="I122" s="384">
        <f>ROUND((I56-'20R1'!I56)/ABS('20R1'!I56)*100,1)</f>
        <v>-212.5</v>
      </c>
      <c r="J122" s="384">
        <f>ROUND((J56-'20R1'!J56)/ABS('20R1'!J56)*100,1)</f>
        <v>-11.2</v>
      </c>
      <c r="K122" s="384">
        <f>ROUND((K56-'20R1'!K56)/ABS('20R1'!K56)*100,1)</f>
        <v>-13.7</v>
      </c>
      <c r="L122" s="384">
        <f>ROUND((L56-'20R1'!L56)/ABS('20R1'!L56)*100,1)</f>
        <v>305.2</v>
      </c>
      <c r="M122" s="384">
        <f>ROUND((M56-'20R1'!M56)/ABS('20R1'!M56)*100,1)</f>
        <v>6.9</v>
      </c>
      <c r="N122" s="384">
        <f>ROUND((N56-'20R1'!N56)/ABS('20R1'!N56)*100,1)</f>
        <v>-16.7</v>
      </c>
      <c r="O122" s="384">
        <f>ROUND((O56-'20R1'!O56)/ABS('20R1'!O56)*100,1)</f>
        <v>164.6</v>
      </c>
      <c r="R122" s="383"/>
      <c r="S122" s="383"/>
    </row>
    <row r="123" spans="1:19">
      <c r="A123" s="293">
        <v>585</v>
      </c>
      <c r="B123" s="90" t="s">
        <v>220</v>
      </c>
      <c r="C123" s="384">
        <f>ROUND((C57-'20R1'!C57)/ABS('20R1'!C57)*100,1)</f>
        <v>-5.8</v>
      </c>
      <c r="D123" s="384">
        <f>ROUND((D57-'20R1'!D57)/ABS('20R1'!D57)*100,1)</f>
        <v>-8.4</v>
      </c>
      <c r="E123" s="384">
        <f>ROUND((E57-'20R1'!E57)/ABS('20R1'!E57)*100,1)</f>
        <v>11</v>
      </c>
      <c r="F123" s="384">
        <f>ROUND((F57-'20R1'!F57)/ABS('20R1'!F57)*100,1)</f>
        <v>-21.2</v>
      </c>
      <c r="G123" s="384">
        <f>ROUND((G57-'20R1'!G57)/ABS('20R1'!G57)*100,1)</f>
        <v>-60.3</v>
      </c>
      <c r="H123" s="384">
        <f>ROUND((H57-'20R1'!H57)/ABS('20R1'!H57)*100,1)</f>
        <v>-7.5</v>
      </c>
      <c r="I123" s="384">
        <f>ROUND((I57-'20R1'!I57)/ABS('20R1'!I57)*100,1)</f>
        <v>-224.6</v>
      </c>
      <c r="J123" s="384">
        <f>ROUND((J57-'20R1'!J57)/ABS('20R1'!J57)*100,1)</f>
        <v>8.6999999999999993</v>
      </c>
      <c r="K123" s="384">
        <f>ROUND((K57-'20R1'!K57)/ABS('20R1'!K57)*100,1)</f>
        <v>-4.5</v>
      </c>
      <c r="L123" s="384">
        <f>ROUND((L57-'20R1'!L57)/ABS('20R1'!L57)*100,1)</f>
        <v>-2.2999999999999998</v>
      </c>
      <c r="M123" s="384">
        <f>ROUND((M57-'20R1'!M57)/ABS('20R1'!M57)*100,1)</f>
        <v>-11.8</v>
      </c>
      <c r="N123" s="384">
        <f>ROUND((N57-'20R1'!N57)/ABS('20R1'!N57)*100,1)</f>
        <v>-7.9</v>
      </c>
      <c r="O123" s="384">
        <f>ROUND((O57-'20R1'!O57)/ABS('20R1'!O57)*100,1)</f>
        <v>19</v>
      </c>
      <c r="R123" s="383"/>
      <c r="S123" s="383"/>
    </row>
    <row r="124" spans="1:19">
      <c r="A124" s="293">
        <v>586</v>
      </c>
      <c r="B124" s="90" t="s">
        <v>237</v>
      </c>
      <c r="C124" s="384">
        <f>ROUND((C58-'20R1'!C58)/ABS('20R1'!C58)*100,1)</f>
        <v>-6.4</v>
      </c>
      <c r="D124" s="384">
        <f>ROUND((D58-'20R1'!D58)/ABS('20R1'!D58)*100,1)</f>
        <v>-9.1999999999999993</v>
      </c>
      <c r="E124" s="384">
        <f>ROUND((E58-'20R1'!E58)/ABS('20R1'!E58)*100,1)</f>
        <v>8.6999999999999993</v>
      </c>
      <c r="F124" s="384">
        <f>ROUND((F58-'20R1'!F58)/ABS('20R1'!F58)*100,1)</f>
        <v>-17.3</v>
      </c>
      <c r="G124" s="384">
        <f>ROUND((G58-'20R1'!G58)/ABS('20R1'!G58)*100,1)</f>
        <v>-45.7</v>
      </c>
      <c r="H124" s="384">
        <f>ROUND((H58-'20R1'!H58)/ABS('20R1'!H58)*100,1)</f>
        <v>-3.5</v>
      </c>
      <c r="I124" s="384">
        <f>ROUND((I58-'20R1'!I58)/ABS('20R1'!I58)*100,1)</f>
        <v>-221.4</v>
      </c>
      <c r="J124" s="384">
        <f>ROUND((J58-'20R1'!J58)/ABS('20R1'!J58)*100,1)</f>
        <v>-9.1</v>
      </c>
      <c r="K124" s="384">
        <f>ROUND((K58-'20R1'!K58)/ABS('20R1'!K58)*100,1)</f>
        <v>-6.8</v>
      </c>
      <c r="L124" s="384">
        <f>ROUND((L58-'20R1'!L58)/ABS('20R1'!L58)*100,1)</f>
        <v>8.6999999999999993</v>
      </c>
      <c r="M124" s="384">
        <f>ROUND((M58-'20R1'!M58)/ABS('20R1'!M58)*100,1)</f>
        <v>-12.8</v>
      </c>
      <c r="N124" s="384">
        <f>ROUND((N58-'20R1'!N58)/ABS('20R1'!N58)*100,1)</f>
        <v>-10</v>
      </c>
      <c r="O124" s="384">
        <f>ROUND((O58-'20R1'!O58)/ABS('20R1'!O58)*100,1)</f>
        <v>23.4</v>
      </c>
      <c r="R124" s="383"/>
      <c r="S124" s="383"/>
    </row>
    <row r="125" spans="1:19">
      <c r="A125" s="293">
        <v>8</v>
      </c>
      <c r="B125" s="86" t="s">
        <v>211</v>
      </c>
      <c r="C125" s="384">
        <f>ROUND((C59-'20R1'!C59)/ABS('20R1'!C59)*100,1)</f>
        <v>-4.5999999999999996</v>
      </c>
      <c r="D125" s="384">
        <f>ROUND((D59-'20R1'!D59)/ABS('20R1'!D59)*100,1)</f>
        <v>-7.9</v>
      </c>
      <c r="E125" s="384">
        <f>ROUND((E59-'20R1'!E59)/ABS('20R1'!E59)*100,1)</f>
        <v>1.2</v>
      </c>
      <c r="F125" s="384">
        <f>ROUND((F59-'20R1'!F59)/ABS('20R1'!F59)*100,1)</f>
        <v>-3.2</v>
      </c>
      <c r="G125" s="384">
        <f>ROUND((G59-'20R1'!G59)/ABS('20R1'!G59)*100,1)</f>
        <v>-28.5</v>
      </c>
      <c r="H125" s="384">
        <f>ROUND((H59-'20R1'!H59)/ABS('20R1'!H59)*100,1)</f>
        <v>10</v>
      </c>
      <c r="I125" s="384">
        <f>ROUND((I59-'20R1'!I59)/ABS('20R1'!I59)*100,1)</f>
        <v>-220.4</v>
      </c>
      <c r="J125" s="384">
        <f>ROUND((J59-'20R1'!J59)/ABS('20R1'!J59)*100,1)</f>
        <v>-41.9</v>
      </c>
      <c r="K125" s="384">
        <f>ROUND((K59-'20R1'!K59)/ABS('20R1'!K59)*100,1)</f>
        <v>-7.6</v>
      </c>
      <c r="L125" s="384">
        <f>ROUND((L59-'20R1'!L59)/ABS('20R1'!L59)*100,1)</f>
        <v>14</v>
      </c>
      <c r="M125" s="384">
        <f>ROUND((M59-'20R1'!M59)/ABS('20R1'!M59)*100,1)</f>
        <v>-12.8</v>
      </c>
      <c r="N125" s="384">
        <f>ROUND((N59-'20R1'!N59)/ABS('20R1'!N59)*100,1)</f>
        <v>-10.9</v>
      </c>
      <c r="O125" s="384">
        <f>ROUND((O59-'20R1'!O59)/ABS('20R1'!O59)*100,1)</f>
        <v>94.1</v>
      </c>
      <c r="R125" s="383"/>
      <c r="S125" s="383"/>
    </row>
    <row r="126" spans="1:19">
      <c r="A126" s="293">
        <v>221</v>
      </c>
      <c r="B126" s="90" t="s">
        <v>1144</v>
      </c>
      <c r="C126" s="384">
        <f>ROUND((C60-'20R1'!C60)/ABS('20R1'!C60)*100,1)</f>
        <v>-4.9000000000000004</v>
      </c>
      <c r="D126" s="384">
        <f>ROUND((D60-'20R1'!D60)/ABS('20R1'!D60)*100,1)</f>
        <v>-7.9</v>
      </c>
      <c r="E126" s="384">
        <f>ROUND((E60-'20R1'!E60)/ABS('20R1'!E60)*100,1)</f>
        <v>4</v>
      </c>
      <c r="F126" s="384">
        <f>ROUND((F60-'20R1'!F60)/ABS('20R1'!F60)*100,1)</f>
        <v>-21.3</v>
      </c>
      <c r="G126" s="384">
        <f>ROUND((G60-'20R1'!G60)/ABS('20R1'!G60)*100,1)</f>
        <v>-48.3</v>
      </c>
      <c r="H126" s="384">
        <f>ROUND((H60-'20R1'!H60)/ABS('20R1'!H60)*100,1)</f>
        <v>-8.1999999999999993</v>
      </c>
      <c r="I126" s="384">
        <f>ROUND((I60-'20R1'!I60)/ABS('20R1'!I60)*100,1)</f>
        <v>-216.1</v>
      </c>
      <c r="J126" s="384">
        <f>ROUND((J60-'20R1'!J60)/ABS('20R1'!J60)*100,1)</f>
        <v>-42.4</v>
      </c>
      <c r="K126" s="384">
        <f>ROUND((K60-'20R1'!K60)/ABS('20R1'!K60)*100,1)</f>
        <v>-10.9</v>
      </c>
      <c r="L126" s="384">
        <f>ROUND((L60-'20R1'!L60)/ABS('20R1'!L60)*100,1)</f>
        <v>14.5</v>
      </c>
      <c r="M126" s="384">
        <f>ROUND((M60-'20R1'!M60)/ABS('20R1'!M60)*100,1)</f>
        <v>-13</v>
      </c>
      <c r="N126" s="384">
        <f>ROUND((N60-'20R1'!N60)/ABS('20R1'!N60)*100,1)</f>
        <v>-14</v>
      </c>
      <c r="O126" s="384">
        <f>ROUND((O60-'20R1'!O60)/ABS('20R1'!O60)*100,1)</f>
        <v>155.6</v>
      </c>
      <c r="R126" s="383"/>
      <c r="S126" s="383"/>
    </row>
    <row r="127" spans="1:19">
      <c r="A127" s="293">
        <v>223</v>
      </c>
      <c r="B127" s="90" t="s">
        <v>223</v>
      </c>
      <c r="C127" s="384">
        <f>ROUND((C61-'20R1'!C61)/ABS('20R1'!C61)*100,1)</f>
        <v>-4.3</v>
      </c>
      <c r="D127" s="384">
        <f>ROUND((D61-'20R1'!D61)/ABS('20R1'!D61)*100,1)</f>
        <v>-7.9</v>
      </c>
      <c r="E127" s="384">
        <f>ROUND((E61-'20R1'!E61)/ABS('20R1'!E61)*100,1)</f>
        <v>-0.7</v>
      </c>
      <c r="F127" s="384">
        <f>ROUND((F61-'20R1'!F61)/ABS('20R1'!F61)*100,1)</f>
        <v>7.7</v>
      </c>
      <c r="G127" s="384">
        <f>ROUND((G61-'20R1'!G61)/ABS('20R1'!G61)*100,1)</f>
        <v>-17</v>
      </c>
      <c r="H127" s="384">
        <f>ROUND((H61-'20R1'!H61)/ABS('20R1'!H61)*100,1)</f>
        <v>20.9</v>
      </c>
      <c r="I127" s="384">
        <f>ROUND((I61-'20R1'!I61)/ABS('20R1'!I61)*100,1)</f>
        <v>-223.3</v>
      </c>
      <c r="J127" s="384">
        <f>ROUND((J61-'20R1'!J61)/ABS('20R1'!J61)*100,1)</f>
        <v>-41.4</v>
      </c>
      <c r="K127" s="384">
        <f>ROUND((K61-'20R1'!K61)/ABS('20R1'!K61)*100,1)</f>
        <v>-5.4</v>
      </c>
      <c r="L127" s="384">
        <f>ROUND((L61-'20R1'!L61)/ABS('20R1'!L61)*100,1)</f>
        <v>12.3</v>
      </c>
      <c r="M127" s="384">
        <f>ROUND((M61-'20R1'!M61)/ABS('20R1'!M61)*100,1)</f>
        <v>-12.7</v>
      </c>
      <c r="N127" s="384">
        <f>ROUND((N61-'20R1'!N61)/ABS('20R1'!N61)*100,1)</f>
        <v>-8.6999999999999993</v>
      </c>
      <c r="O127" s="384">
        <f>ROUND((O61-'20R1'!O61)/ABS('20R1'!O61)*100,1)</f>
        <v>68.400000000000006</v>
      </c>
      <c r="R127" s="383"/>
      <c r="S127" s="383"/>
    </row>
    <row r="128" spans="1:19">
      <c r="A128" s="293">
        <v>9</v>
      </c>
      <c r="B128" s="94" t="s">
        <v>212</v>
      </c>
      <c r="C128" s="384">
        <f>ROUND((C62-'20R1'!C62)/ABS('20R1'!C62)*100,1)</f>
        <v>-5.8</v>
      </c>
      <c r="D128" s="384">
        <f>ROUND((D62-'20R1'!D62)/ABS('20R1'!D62)*100,1)</f>
        <v>-7.5</v>
      </c>
      <c r="E128" s="384">
        <f>ROUND((E62-'20R1'!E62)/ABS('20R1'!E62)*100,1)</f>
        <v>8.5</v>
      </c>
      <c r="F128" s="384">
        <f>ROUND((F62-'20R1'!F62)/ABS('20R1'!F62)*100,1)</f>
        <v>-23.7</v>
      </c>
      <c r="G128" s="384">
        <f>ROUND((G62-'20R1'!G62)/ABS('20R1'!G62)*100,1)</f>
        <v>-23</v>
      </c>
      <c r="H128" s="384">
        <f>ROUND((H62-'20R1'!H62)/ABS('20R1'!H62)*100,1)</f>
        <v>-14.6</v>
      </c>
      <c r="I128" s="384">
        <f>ROUND((I62-'20R1'!I62)/ABS('20R1'!I62)*100,1)</f>
        <v>-220.1</v>
      </c>
      <c r="J128" s="384">
        <f>ROUND((J62-'20R1'!J62)/ABS('20R1'!J62)*100,1)</f>
        <v>-15.7</v>
      </c>
      <c r="K128" s="384">
        <f>ROUND((K62-'20R1'!K62)/ABS('20R1'!K62)*100,1)</f>
        <v>-7.9</v>
      </c>
      <c r="L128" s="384">
        <f>ROUND((L62-'20R1'!L62)/ABS('20R1'!L62)*100,1)</f>
        <v>248</v>
      </c>
      <c r="M128" s="384">
        <f>ROUND((M62-'20R1'!M62)/ABS('20R1'!M62)*100,1)</f>
        <v>-12.9</v>
      </c>
      <c r="N128" s="384">
        <f>ROUND((N62-'20R1'!N62)/ABS('20R1'!N62)*100,1)</f>
        <v>-11.1</v>
      </c>
      <c r="O128" s="384">
        <f>ROUND((O62-'20R1'!O62)/ABS('20R1'!O62)*100,1)</f>
        <v>43</v>
      </c>
      <c r="R128" s="383"/>
      <c r="S128" s="383"/>
    </row>
    <row r="129" spans="1:19">
      <c r="A129" s="293">
        <v>205</v>
      </c>
      <c r="B129" s="92" t="s">
        <v>241</v>
      </c>
      <c r="C129" s="384">
        <f>ROUND((C63-'20R1'!C63)/ABS('20R1'!C63)*100,1)</f>
        <v>-5.7</v>
      </c>
      <c r="D129" s="384">
        <f>ROUND((D63-'20R1'!D63)/ABS('20R1'!D63)*100,1)</f>
        <v>-7.6</v>
      </c>
      <c r="E129" s="384">
        <f>ROUND((E63-'20R1'!E63)/ABS('20R1'!E63)*100,1)</f>
        <v>20.8</v>
      </c>
      <c r="F129" s="384">
        <f>ROUND((F63-'20R1'!F63)/ABS('20R1'!F63)*100,1)</f>
        <v>-32.6</v>
      </c>
      <c r="G129" s="384">
        <f>ROUND((G63-'20R1'!G63)/ABS('20R1'!G63)*100,1)</f>
        <v>-42.7</v>
      </c>
      <c r="H129" s="384">
        <f>ROUND((H63-'20R1'!H63)/ABS('20R1'!H63)*100,1)</f>
        <v>-23.5</v>
      </c>
      <c r="I129" s="384">
        <f>ROUND((I63-'20R1'!I63)/ABS('20R1'!I63)*100,1)</f>
        <v>-221.9</v>
      </c>
      <c r="J129" s="384">
        <f>ROUND((J63-'20R1'!J63)/ABS('20R1'!J63)*100,1)</f>
        <v>18.3</v>
      </c>
      <c r="K129" s="384">
        <f>ROUND((K63-'20R1'!K63)/ABS('20R1'!K63)*100,1)</f>
        <v>-6.5</v>
      </c>
      <c r="L129" s="384">
        <f>ROUND((L63-'20R1'!L63)/ABS('20R1'!L63)*100,1)</f>
        <v>55.8</v>
      </c>
      <c r="M129" s="384">
        <f>ROUND((M63-'20R1'!M63)/ABS('20R1'!M63)*100,1)</f>
        <v>-11.8</v>
      </c>
      <c r="N129" s="384">
        <f>ROUND((N63-'20R1'!N63)/ABS('20R1'!N63)*100,1)</f>
        <v>-9.8000000000000007</v>
      </c>
      <c r="O129" s="384">
        <f>ROUND((O63-'20R1'!O63)/ABS('20R1'!O63)*100,1)</f>
        <v>32.700000000000003</v>
      </c>
      <c r="R129" s="383"/>
      <c r="S129" s="383"/>
    </row>
    <row r="130" spans="1:19">
      <c r="A130" s="293">
        <v>224</v>
      </c>
      <c r="B130" s="90" t="s">
        <v>224</v>
      </c>
      <c r="C130" s="384">
        <f>ROUND((C64-'20R1'!C64)/ABS('20R1'!C64)*100,1)</f>
        <v>-7</v>
      </c>
      <c r="D130" s="384">
        <f>ROUND((D64-'20R1'!D64)/ABS('20R1'!D64)*100,1)</f>
        <v>-7.5</v>
      </c>
      <c r="E130" s="384">
        <f>ROUND((E64-'20R1'!E64)/ABS('20R1'!E64)*100,1)</f>
        <v>2.5</v>
      </c>
      <c r="F130" s="384">
        <f>ROUND((F64-'20R1'!F64)/ABS('20R1'!F64)*100,1)</f>
        <v>-21.6</v>
      </c>
      <c r="G130" s="384">
        <f>ROUND((G64-'20R1'!G64)/ABS('20R1'!G64)*100,1)</f>
        <v>-10.4</v>
      </c>
      <c r="H130" s="384">
        <f>ROUND((H64-'20R1'!H64)/ABS('20R1'!H64)*100,1)</f>
        <v>-13</v>
      </c>
      <c r="I130" s="384">
        <f>ROUND((I64-'20R1'!I64)/ABS('20R1'!I64)*100,1)</f>
        <v>-218.7</v>
      </c>
      <c r="J130" s="384">
        <f>ROUND((J64-'20R1'!J64)/ABS('20R1'!J64)*100,1)</f>
        <v>-26.3</v>
      </c>
      <c r="K130" s="384">
        <f>ROUND((K64-'20R1'!K64)/ABS('20R1'!K64)*100,1)</f>
        <v>-9</v>
      </c>
      <c r="L130" s="384">
        <f>ROUND((L64-'20R1'!L64)/ABS('20R1'!L64)*100,1)</f>
        <v>23</v>
      </c>
      <c r="M130" s="384">
        <f>ROUND((M64-'20R1'!M64)/ABS('20R1'!M64)*100,1)</f>
        <v>-14.4</v>
      </c>
      <c r="N130" s="384">
        <f>ROUND((N64-'20R1'!N64)/ABS('20R1'!N64)*100,1)</f>
        <v>-12.2</v>
      </c>
      <c r="O130" s="384">
        <f>ROUND((O64-'20R1'!O64)/ABS('20R1'!O64)*100,1)</f>
        <v>55.6</v>
      </c>
      <c r="R130" s="383"/>
      <c r="S130" s="383"/>
    </row>
    <row r="131" spans="1:19">
      <c r="A131" s="396">
        <v>226</v>
      </c>
      <c r="B131" s="201" t="s">
        <v>225</v>
      </c>
      <c r="C131" s="384">
        <f>ROUND((C65-'20R1'!C65)/ABS('20R1'!C65)*100,1)</f>
        <v>-4.8</v>
      </c>
      <c r="D131" s="384">
        <f>ROUND((D65-'20R1'!D65)/ABS('20R1'!D65)*100,1)</f>
        <v>-7.4</v>
      </c>
      <c r="E131" s="384">
        <f>ROUND((E65-'20R1'!E65)/ABS('20R1'!E65)*100,1)</f>
        <v>2.9</v>
      </c>
      <c r="F131" s="384">
        <f>ROUND((F65-'20R1'!F65)/ABS('20R1'!F65)*100,1)</f>
        <v>-15</v>
      </c>
      <c r="G131" s="384">
        <f>ROUND((G65-'20R1'!G65)/ABS('20R1'!G65)*100,1)</f>
        <v>-13.1</v>
      </c>
      <c r="H131" s="384">
        <f>ROUND((H65-'20R1'!H65)/ABS('20R1'!H65)*100,1)</f>
        <v>-5</v>
      </c>
      <c r="I131" s="384">
        <f>ROUND((I65-'20R1'!I65)/ABS('20R1'!I65)*100,1)</f>
        <v>-219.7</v>
      </c>
      <c r="J131" s="384">
        <f>ROUND((J65-'20R1'!J65)/ABS('20R1'!J65)*100,1)</f>
        <v>-25</v>
      </c>
      <c r="K131" s="384">
        <f>ROUND((K65-'20R1'!K65)/ABS('20R1'!K65)*100,1)</f>
        <v>-8.1999999999999993</v>
      </c>
      <c r="L131" s="384">
        <f>ROUND((L65-'20R1'!L65)/ABS('20R1'!L65)*100,1)</f>
        <v>51.5</v>
      </c>
      <c r="M131" s="384">
        <f>ROUND((M65-'20R1'!M65)/ABS('20R1'!M65)*100,1)</f>
        <v>-12.4</v>
      </c>
      <c r="N131" s="384">
        <f>ROUND((N65-'20R1'!N65)/ABS('20R1'!N65)*100,1)</f>
        <v>-11.4</v>
      </c>
      <c r="O131" s="384">
        <f>ROUND((O65-'20R1'!O65)/ABS('20R1'!O65)*100,1)</f>
        <v>42</v>
      </c>
      <c r="R131" s="383"/>
      <c r="S131" s="383"/>
    </row>
  </sheetData>
  <mergeCells count="1">
    <mergeCell ref="L2:M2"/>
  </mergeCells>
  <phoneticPr fontId="13"/>
  <pageMargins left="0.7" right="0.7" top="0.75" bottom="0.75" header="0.3" footer="0.3"/>
  <pageSetup paperSize="8" scale="5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theme="9" tint="0.59999389629810485"/>
  </sheetPr>
  <dimension ref="A1:U131"/>
  <sheetViews>
    <sheetView workbookViewId="0">
      <pane xSplit="2" ySplit="3" topLeftCell="C4" activePane="bottomRight" state="frozen"/>
      <selection pane="topRight" activeCell="C1" sqref="C1"/>
      <selection pane="bottomLeft" activeCell="A4" sqref="A4"/>
      <selection pane="bottomRight" activeCell="F2" sqref="F2"/>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5" t="s">
        <v>1183</v>
      </c>
      <c r="C1" s="239"/>
      <c r="D1" s="239"/>
      <c r="E1" s="239"/>
      <c r="F1" s="1878" t="str">
        <f>'24R5'!F1</f>
        <v>市町民経済計算試算(2026.3)</v>
      </c>
      <c r="G1" s="682"/>
      <c r="H1" s="239"/>
      <c r="I1" s="239"/>
      <c r="J1" s="239"/>
      <c r="K1" s="239"/>
      <c r="L1" s="239"/>
      <c r="M1" s="239" t="s">
        <v>1587</v>
      </c>
      <c r="N1" s="239" t="s">
        <v>818</v>
      </c>
      <c r="O1" s="1393">
        <f>名目県内総支出!W43</f>
        <v>-441186</v>
      </c>
    </row>
    <row r="2" spans="1:21" ht="26.25" customHeight="1">
      <c r="A2" s="294"/>
      <c r="B2" s="296" t="s">
        <v>930</v>
      </c>
      <c r="C2" s="312" t="s">
        <v>817</v>
      </c>
      <c r="D2" s="275" t="s">
        <v>68</v>
      </c>
      <c r="E2" s="291" t="s">
        <v>1289</v>
      </c>
      <c r="F2" s="297" t="s">
        <v>69</v>
      </c>
      <c r="G2" s="291"/>
      <c r="H2" s="291"/>
      <c r="I2" s="291"/>
      <c r="J2" s="275" t="s">
        <v>70</v>
      </c>
      <c r="K2" s="283" t="s">
        <v>671</v>
      </c>
      <c r="L2" s="2306" t="s">
        <v>71</v>
      </c>
      <c r="M2" s="2312"/>
      <c r="N2" s="282"/>
      <c r="O2" s="283"/>
      <c r="P2" s="92"/>
      <c r="Q2" s="313" t="s">
        <v>949</v>
      </c>
      <c r="U2" s="49" t="s">
        <v>671</v>
      </c>
    </row>
    <row r="3" spans="1:21" ht="37.5" customHeight="1">
      <c r="A3" s="295"/>
      <c r="B3" s="131" t="s">
        <v>931</v>
      </c>
      <c r="C3" s="1681" t="s">
        <v>82</v>
      </c>
      <c r="D3" s="820"/>
      <c r="E3" s="352"/>
      <c r="F3" s="351" t="s">
        <v>83</v>
      </c>
      <c r="G3" s="297" t="s">
        <v>72</v>
      </c>
      <c r="H3" s="275" t="s">
        <v>73</v>
      </c>
      <c r="I3" s="291" t="s">
        <v>74</v>
      </c>
      <c r="J3" s="353"/>
      <c r="K3" s="474" t="s">
        <v>75</v>
      </c>
      <c r="L3" s="406" t="s">
        <v>76</v>
      </c>
      <c r="M3" s="284" t="s">
        <v>77</v>
      </c>
      <c r="N3" s="282" t="s">
        <v>78</v>
      </c>
      <c r="O3" s="1098" t="s">
        <v>81</v>
      </c>
      <c r="P3" s="92"/>
      <c r="Q3" s="355" t="s">
        <v>1188</v>
      </c>
      <c r="R3" s="49" t="s">
        <v>287</v>
      </c>
      <c r="T3" s="344" t="s">
        <v>956</v>
      </c>
      <c r="U3" s="345" t="s">
        <v>958</v>
      </c>
    </row>
    <row r="4" spans="1:21">
      <c r="A4" s="298"/>
      <c r="B4" s="87" t="s">
        <v>166</v>
      </c>
      <c r="C4" s="408">
        <v>22596893</v>
      </c>
      <c r="D4" s="558">
        <v>13082778</v>
      </c>
      <c r="E4" s="544">
        <v>2978623</v>
      </c>
      <c r="F4" s="438">
        <v>4426015</v>
      </c>
      <c r="G4" s="544">
        <v>761641</v>
      </c>
      <c r="H4" s="547">
        <v>3725623</v>
      </c>
      <c r="I4" s="544">
        <v>-61249</v>
      </c>
      <c r="J4" s="547">
        <v>992608</v>
      </c>
      <c r="K4" s="410">
        <v>21480024</v>
      </c>
      <c r="L4" s="412">
        <v>1116869</v>
      </c>
      <c r="M4" s="1401">
        <v>19728857</v>
      </c>
      <c r="N4" s="544">
        <v>18170800</v>
      </c>
      <c r="O4" s="438">
        <v>-441188</v>
      </c>
      <c r="P4" s="77"/>
      <c r="Q4" s="314">
        <f>(C4-'21R2'!C4)/'21R2'!C4*100</f>
        <v>3.2010046035346824</v>
      </c>
      <c r="R4" s="394">
        <f>D4+E4+F4+J4+L4</f>
        <v>22596893</v>
      </c>
      <c r="S4" s="394">
        <f>R4-C4</f>
        <v>0</v>
      </c>
      <c r="T4" s="49">
        <f>民間設備製造1!R6</f>
        <v>1217979</v>
      </c>
      <c r="U4" s="49">
        <v>20765633.174126696</v>
      </c>
    </row>
    <row r="5" spans="1:21">
      <c r="A5" s="298">
        <v>100</v>
      </c>
      <c r="B5" s="75" t="s">
        <v>172</v>
      </c>
      <c r="C5" s="408">
        <v>6947990</v>
      </c>
      <c r="D5" s="411">
        <v>4065484</v>
      </c>
      <c r="E5" s="408">
        <v>1055243</v>
      </c>
      <c r="F5" s="439">
        <v>1159561</v>
      </c>
      <c r="G5" s="408">
        <v>191227</v>
      </c>
      <c r="H5" s="439">
        <v>987268</v>
      </c>
      <c r="I5" s="408">
        <v>-18934</v>
      </c>
      <c r="J5" s="439">
        <v>360147</v>
      </c>
      <c r="K5" s="411">
        <v>6640435</v>
      </c>
      <c r="L5" s="413">
        <v>307555</v>
      </c>
      <c r="M5" s="439">
        <v>6127697</v>
      </c>
      <c r="N5" s="408">
        <v>5617408</v>
      </c>
      <c r="O5" s="439">
        <v>-202734</v>
      </c>
      <c r="P5" s="77">
        <v>100</v>
      </c>
      <c r="Q5" s="314">
        <f>(C5-'21R2'!C5)/'21R2'!C5*100</f>
        <v>1.7607654857684847</v>
      </c>
      <c r="R5" s="394">
        <f t="shared" ref="R5:R65" si="0">D5+E5+F5+J5+L5</f>
        <v>6947990</v>
      </c>
      <c r="S5" s="394">
        <f t="shared" ref="S5:S65" si="1">R5-C5</f>
        <v>0</v>
      </c>
      <c r="T5" s="49">
        <f>民間設備製造1!R7</f>
        <v>175087</v>
      </c>
      <c r="U5" s="49">
        <v>6079199.1741266968</v>
      </c>
    </row>
    <row r="6" spans="1:21">
      <c r="A6" s="298">
        <v>1</v>
      </c>
      <c r="B6" s="75" t="s">
        <v>323</v>
      </c>
      <c r="C6" s="408">
        <v>3696176</v>
      </c>
      <c r="D6" s="411">
        <v>2611271</v>
      </c>
      <c r="E6" s="408">
        <v>476372</v>
      </c>
      <c r="F6" s="439">
        <v>754459</v>
      </c>
      <c r="G6" s="408">
        <v>172877</v>
      </c>
      <c r="H6" s="439">
        <v>592900</v>
      </c>
      <c r="I6" s="408">
        <v>-11318</v>
      </c>
      <c r="J6" s="439">
        <v>127533</v>
      </c>
      <c r="K6" s="411">
        <v>3969635</v>
      </c>
      <c r="L6" s="413">
        <v>-273459</v>
      </c>
      <c r="M6" s="439">
        <v>3222263</v>
      </c>
      <c r="N6" s="408">
        <v>3358071</v>
      </c>
      <c r="O6" s="439">
        <v>-137651</v>
      </c>
      <c r="P6" s="77">
        <v>1</v>
      </c>
      <c r="Q6" s="314">
        <f>(C6-'21R2'!C6)/'21R2'!C6*100</f>
        <v>4.9003380717874672</v>
      </c>
      <c r="R6" s="394">
        <f t="shared" si="0"/>
        <v>3696176</v>
      </c>
      <c r="S6" s="394">
        <f t="shared" si="1"/>
        <v>0</v>
      </c>
      <c r="T6" s="49">
        <f>民間設備製造1!R8</f>
        <v>92759</v>
      </c>
      <c r="U6" s="49">
        <v>3706563</v>
      </c>
    </row>
    <row r="7" spans="1:21">
      <c r="A7" s="298">
        <v>2</v>
      </c>
      <c r="B7" s="75" t="s">
        <v>324</v>
      </c>
      <c r="C7" s="408">
        <v>2206039</v>
      </c>
      <c r="D7" s="411">
        <v>1612522</v>
      </c>
      <c r="E7" s="408">
        <v>315253</v>
      </c>
      <c r="F7" s="439">
        <v>448524</v>
      </c>
      <c r="G7" s="408">
        <v>80237</v>
      </c>
      <c r="H7" s="439">
        <v>375338</v>
      </c>
      <c r="I7" s="408">
        <v>-7051</v>
      </c>
      <c r="J7" s="439">
        <v>96224</v>
      </c>
      <c r="K7" s="411">
        <v>2472523</v>
      </c>
      <c r="L7" s="413">
        <v>-266484</v>
      </c>
      <c r="M7" s="439">
        <v>1936849</v>
      </c>
      <c r="N7" s="408">
        <v>2091605</v>
      </c>
      <c r="O7" s="439">
        <v>-111728</v>
      </c>
      <c r="P7" s="77">
        <v>2</v>
      </c>
      <c r="Q7" s="314">
        <f>(C7-'21R2'!C7)/'21R2'!C7*100</f>
        <v>7.7576833386901853</v>
      </c>
      <c r="R7" s="394">
        <f t="shared" si="0"/>
        <v>2206039</v>
      </c>
      <c r="S7" s="394">
        <f t="shared" si="1"/>
        <v>0</v>
      </c>
      <c r="T7" s="49">
        <f>民間設備製造1!R9</f>
        <v>104671</v>
      </c>
      <c r="U7" s="49">
        <v>2438375</v>
      </c>
    </row>
    <row r="8" spans="1:21">
      <c r="A8" s="298">
        <v>3</v>
      </c>
      <c r="B8" s="75" t="s">
        <v>192</v>
      </c>
      <c r="C8" s="408">
        <v>2960193</v>
      </c>
      <c r="D8" s="411">
        <v>1647849</v>
      </c>
      <c r="E8" s="408">
        <v>308976</v>
      </c>
      <c r="F8" s="439">
        <v>741100</v>
      </c>
      <c r="G8" s="408">
        <v>112444</v>
      </c>
      <c r="H8" s="439">
        <v>636727</v>
      </c>
      <c r="I8" s="408">
        <v>-8071</v>
      </c>
      <c r="J8" s="439">
        <v>132504</v>
      </c>
      <c r="K8" s="411">
        <v>2830429</v>
      </c>
      <c r="L8" s="413">
        <v>129764</v>
      </c>
      <c r="M8" s="439">
        <v>2548609</v>
      </c>
      <c r="N8" s="408">
        <v>2394372</v>
      </c>
      <c r="O8" s="439">
        <v>-24473</v>
      </c>
      <c r="P8" s="77">
        <v>3</v>
      </c>
      <c r="Q8" s="314">
        <f>(C8-'21R2'!C8)/'21R2'!C8*100</f>
        <v>-0.37588822903436203</v>
      </c>
      <c r="R8" s="394">
        <f t="shared" si="0"/>
        <v>2960193</v>
      </c>
      <c r="S8" s="394">
        <f t="shared" si="1"/>
        <v>0</v>
      </c>
      <c r="T8" s="49">
        <f>民間設備製造1!R10</f>
        <v>339834</v>
      </c>
      <c r="U8" s="49">
        <v>2806665</v>
      </c>
    </row>
    <row r="9" spans="1:21">
      <c r="A9" s="298">
        <v>4</v>
      </c>
      <c r="B9" s="75" t="s">
        <v>325</v>
      </c>
      <c r="C9" s="408">
        <v>1319932</v>
      </c>
      <c r="D9" s="411">
        <v>536478</v>
      </c>
      <c r="E9" s="408">
        <v>141690</v>
      </c>
      <c r="F9" s="439">
        <v>216875</v>
      </c>
      <c r="G9" s="408">
        <v>29962</v>
      </c>
      <c r="H9" s="439">
        <v>189610</v>
      </c>
      <c r="I9" s="408">
        <v>-2697</v>
      </c>
      <c r="J9" s="439">
        <v>50904</v>
      </c>
      <c r="K9" s="411">
        <v>945947</v>
      </c>
      <c r="L9" s="413">
        <v>373985</v>
      </c>
      <c r="M9" s="439">
        <v>1138139</v>
      </c>
      <c r="N9" s="408">
        <v>800213</v>
      </c>
      <c r="O9" s="439">
        <v>36059</v>
      </c>
      <c r="P9" s="77">
        <v>4</v>
      </c>
      <c r="Q9" s="314">
        <f>(C9-'21R2'!C9)/'21R2'!C9*100</f>
        <v>1.5705774892614359</v>
      </c>
      <c r="R9" s="394">
        <f t="shared" si="0"/>
        <v>1319932</v>
      </c>
      <c r="S9" s="394">
        <f t="shared" si="1"/>
        <v>0</v>
      </c>
      <c r="T9" s="49">
        <f>民間設備製造1!R11</f>
        <v>90864</v>
      </c>
      <c r="U9" s="49">
        <v>1017821</v>
      </c>
    </row>
    <row r="10" spans="1:21">
      <c r="A10" s="298">
        <v>5</v>
      </c>
      <c r="B10" s="75" t="s">
        <v>326</v>
      </c>
      <c r="C10" s="408">
        <v>2822650</v>
      </c>
      <c r="D10" s="411">
        <v>1298736</v>
      </c>
      <c r="E10" s="408">
        <v>257067</v>
      </c>
      <c r="F10" s="439">
        <v>637878</v>
      </c>
      <c r="G10" s="408">
        <v>107724</v>
      </c>
      <c r="H10" s="439">
        <v>536694</v>
      </c>
      <c r="I10" s="408">
        <v>-6540</v>
      </c>
      <c r="J10" s="439">
        <v>99821</v>
      </c>
      <c r="K10" s="411">
        <v>2293502</v>
      </c>
      <c r="L10" s="413">
        <v>529148</v>
      </c>
      <c r="M10" s="439">
        <v>2413605</v>
      </c>
      <c r="N10" s="408">
        <v>1940163</v>
      </c>
      <c r="O10" s="439">
        <v>55706</v>
      </c>
      <c r="P10" s="77">
        <v>5</v>
      </c>
      <c r="Q10" s="314">
        <f>(C10-'21R2'!C10)/'21R2'!C10*100</f>
        <v>8.8856373878556827</v>
      </c>
      <c r="R10" s="394">
        <f t="shared" si="0"/>
        <v>2822650</v>
      </c>
      <c r="S10" s="394">
        <f t="shared" si="1"/>
        <v>0</v>
      </c>
      <c r="T10" s="49">
        <f>民間設備製造1!R12</f>
        <v>274497</v>
      </c>
      <c r="U10" s="49">
        <v>2220496</v>
      </c>
    </row>
    <row r="11" spans="1:21">
      <c r="A11" s="298">
        <v>6</v>
      </c>
      <c r="B11" s="75" t="s">
        <v>327</v>
      </c>
      <c r="C11" s="408">
        <v>1127246</v>
      </c>
      <c r="D11" s="411">
        <v>497143</v>
      </c>
      <c r="E11" s="408">
        <v>127230</v>
      </c>
      <c r="F11" s="439">
        <v>189457</v>
      </c>
      <c r="G11" s="408">
        <v>27358</v>
      </c>
      <c r="H11" s="439">
        <v>164526</v>
      </c>
      <c r="I11" s="408">
        <v>-2427</v>
      </c>
      <c r="J11" s="439">
        <v>37244</v>
      </c>
      <c r="K11" s="411">
        <v>851074</v>
      </c>
      <c r="L11" s="413">
        <v>276172</v>
      </c>
      <c r="M11" s="439">
        <v>974741</v>
      </c>
      <c r="N11" s="408">
        <v>719957</v>
      </c>
      <c r="O11" s="439">
        <v>21388</v>
      </c>
      <c r="P11" s="77">
        <v>6</v>
      </c>
      <c r="Q11" s="314">
        <f>(C11-'21R2'!C11)/'21R2'!C11*100</f>
        <v>2.4330491216942565</v>
      </c>
      <c r="R11" s="394">
        <f>D11+E11+F11+J11+L11</f>
        <v>1127246</v>
      </c>
      <c r="S11" s="394">
        <f t="shared" si="1"/>
        <v>0</v>
      </c>
      <c r="T11" s="49">
        <f>民間設備製造1!R13</f>
        <v>78975</v>
      </c>
      <c r="U11" s="49">
        <v>944742</v>
      </c>
    </row>
    <row r="12" spans="1:21">
      <c r="A12" s="298">
        <v>7</v>
      </c>
      <c r="B12" s="75" t="s">
        <v>210</v>
      </c>
      <c r="C12" s="408">
        <v>604482</v>
      </c>
      <c r="D12" s="411">
        <v>341660</v>
      </c>
      <c r="E12" s="408">
        <v>122677</v>
      </c>
      <c r="F12" s="439">
        <v>100841</v>
      </c>
      <c r="G12" s="408">
        <v>11867</v>
      </c>
      <c r="H12" s="439">
        <v>90699</v>
      </c>
      <c r="I12" s="408">
        <v>-1725</v>
      </c>
      <c r="J12" s="439">
        <v>39681</v>
      </c>
      <c r="K12" s="411">
        <v>604859</v>
      </c>
      <c r="L12" s="413">
        <v>-377</v>
      </c>
      <c r="M12" s="439">
        <v>546749</v>
      </c>
      <c r="N12" s="408">
        <v>511674</v>
      </c>
      <c r="O12" s="439">
        <v>-35452</v>
      </c>
      <c r="P12" s="77">
        <v>7</v>
      </c>
      <c r="Q12" s="314">
        <f>(C12-'21R2'!C12)/'21R2'!C12*100</f>
        <v>-5.4258544782074027</v>
      </c>
      <c r="R12" s="394">
        <f t="shared" si="0"/>
        <v>604482</v>
      </c>
      <c r="S12" s="394">
        <f t="shared" si="1"/>
        <v>0</v>
      </c>
      <c r="T12" s="49">
        <f>民間設備製造1!R14</f>
        <v>29378</v>
      </c>
      <c r="U12" s="49">
        <v>653410</v>
      </c>
    </row>
    <row r="13" spans="1:21">
      <c r="A13" s="298">
        <v>8</v>
      </c>
      <c r="B13" s="75" t="s">
        <v>211</v>
      </c>
      <c r="C13" s="408">
        <v>460054</v>
      </c>
      <c r="D13" s="411">
        <v>217302</v>
      </c>
      <c r="E13" s="408">
        <v>67683</v>
      </c>
      <c r="F13" s="439">
        <v>87123</v>
      </c>
      <c r="G13" s="408">
        <v>11152</v>
      </c>
      <c r="H13" s="439">
        <v>77070</v>
      </c>
      <c r="I13" s="408">
        <v>-1099</v>
      </c>
      <c r="J13" s="439">
        <v>13133</v>
      </c>
      <c r="K13" s="411">
        <v>385241</v>
      </c>
      <c r="L13" s="413">
        <v>74813</v>
      </c>
      <c r="M13" s="439">
        <v>404774</v>
      </c>
      <c r="N13" s="408">
        <v>325890</v>
      </c>
      <c r="O13" s="439">
        <v>-4071</v>
      </c>
      <c r="P13" s="77">
        <v>8</v>
      </c>
      <c r="Q13" s="314">
        <f>(C13-'21R2'!C13)/'21R2'!C13*100</f>
        <v>1.5392425178776374</v>
      </c>
      <c r="R13" s="394">
        <f t="shared" si="0"/>
        <v>460054</v>
      </c>
      <c r="S13" s="394">
        <f t="shared" si="1"/>
        <v>0</v>
      </c>
      <c r="T13" s="49">
        <f>民間設備製造1!R15</f>
        <v>19033</v>
      </c>
      <c r="U13" s="49">
        <v>408860</v>
      </c>
    </row>
    <row r="14" spans="1:21">
      <c r="A14" s="298">
        <v>9</v>
      </c>
      <c r="B14" s="75" t="s">
        <v>212</v>
      </c>
      <c r="C14" s="408">
        <v>452131</v>
      </c>
      <c r="D14" s="411">
        <v>254333</v>
      </c>
      <c r="E14" s="408">
        <v>106432</v>
      </c>
      <c r="F14" s="439">
        <v>90197</v>
      </c>
      <c r="G14" s="408">
        <v>16793</v>
      </c>
      <c r="H14" s="439">
        <v>74791</v>
      </c>
      <c r="I14" s="408">
        <v>-1387</v>
      </c>
      <c r="J14" s="439">
        <v>35417</v>
      </c>
      <c r="K14" s="411">
        <v>486379</v>
      </c>
      <c r="L14" s="413">
        <v>-34248</v>
      </c>
      <c r="M14" s="439">
        <v>415431</v>
      </c>
      <c r="N14" s="408">
        <v>411447</v>
      </c>
      <c r="O14" s="439">
        <v>-38232</v>
      </c>
      <c r="P14" s="77">
        <v>9</v>
      </c>
      <c r="Q14" s="314">
        <f>(C14-'21R2'!C14)/'21R2'!C14*100</f>
        <v>2.3861284347160514</v>
      </c>
      <c r="R14" s="394">
        <f t="shared" si="0"/>
        <v>452131</v>
      </c>
      <c r="S14" s="394">
        <f t="shared" si="1"/>
        <v>0</v>
      </c>
      <c r="T14" s="49">
        <f>民間設備製造1!R16</f>
        <v>12881</v>
      </c>
      <c r="U14" s="49">
        <v>489502</v>
      </c>
    </row>
    <row r="15" spans="1:21">
      <c r="A15" s="541"/>
      <c r="B15" s="540"/>
      <c r="C15" s="408"/>
      <c r="D15" s="411"/>
      <c r="E15" s="408"/>
      <c r="F15" s="549"/>
      <c r="G15" s="408"/>
      <c r="H15" s="439"/>
      <c r="I15" s="408"/>
      <c r="J15" s="439"/>
      <c r="K15" s="440"/>
      <c r="L15" s="308"/>
      <c r="M15" s="1094"/>
      <c r="N15" s="281"/>
      <c r="O15" s="1094"/>
      <c r="P15" s="77" t="s">
        <v>11</v>
      </c>
      <c r="Q15" s="314" t="s">
        <v>1189</v>
      </c>
      <c r="R15" s="394" t="s">
        <v>11</v>
      </c>
      <c r="S15" s="394" t="s">
        <v>11</v>
      </c>
      <c r="T15" s="49" t="s">
        <v>1187</v>
      </c>
      <c r="U15" s="49" t="s">
        <v>106</v>
      </c>
    </row>
    <row r="16" spans="1:21">
      <c r="A16" s="300">
        <v>100</v>
      </c>
      <c r="B16" s="87" t="s">
        <v>172</v>
      </c>
      <c r="C16" s="1359">
        <v>6947990</v>
      </c>
      <c r="D16" s="627">
        <v>4065484</v>
      </c>
      <c r="E16" s="627">
        <v>1055243</v>
      </c>
      <c r="F16" s="572">
        <v>1159561</v>
      </c>
      <c r="G16" s="560">
        <v>191227</v>
      </c>
      <c r="H16" s="547">
        <v>987268</v>
      </c>
      <c r="I16" s="544">
        <v>-18934</v>
      </c>
      <c r="J16" s="547">
        <v>360147</v>
      </c>
      <c r="K16" s="408">
        <v>6640435</v>
      </c>
      <c r="L16" s="1102">
        <v>307555</v>
      </c>
      <c r="M16" s="1130">
        <v>6127697</v>
      </c>
      <c r="N16" s="1106">
        <v>5617408</v>
      </c>
      <c r="O16" s="829">
        <v>-202734</v>
      </c>
      <c r="P16" s="293">
        <v>100</v>
      </c>
      <c r="Q16" s="314">
        <f>(C16-'21R2'!C16)/'21R2'!C16*100</f>
        <v>1.7607654857684847</v>
      </c>
      <c r="R16" s="394">
        <f t="shared" si="0"/>
        <v>6947990</v>
      </c>
      <c r="S16" s="394">
        <f t="shared" si="1"/>
        <v>0</v>
      </c>
      <c r="T16" s="49">
        <f>民間設備製造1!R18</f>
        <v>175087</v>
      </c>
      <c r="U16" s="49">
        <v>6079199.1741266968</v>
      </c>
    </row>
    <row r="17" spans="1:21">
      <c r="A17" s="301">
        <v>1</v>
      </c>
      <c r="B17" s="128" t="s">
        <v>182</v>
      </c>
      <c r="C17" s="408">
        <v>3696176</v>
      </c>
      <c r="D17" s="558">
        <v>2611271</v>
      </c>
      <c r="E17" s="558">
        <v>476372</v>
      </c>
      <c r="F17" s="407">
        <v>754459</v>
      </c>
      <c r="G17" s="560">
        <v>172877</v>
      </c>
      <c r="H17" s="547">
        <v>592900</v>
      </c>
      <c r="I17" s="544">
        <v>-11318</v>
      </c>
      <c r="J17" s="547">
        <v>127533</v>
      </c>
      <c r="K17" s="407">
        <v>3969635</v>
      </c>
      <c r="L17" s="1102">
        <v>-273459</v>
      </c>
      <c r="M17" s="1096">
        <v>3222263</v>
      </c>
      <c r="N17" s="539">
        <v>3358071</v>
      </c>
      <c r="O17" s="826">
        <v>-137651</v>
      </c>
      <c r="P17" s="293">
        <v>1</v>
      </c>
      <c r="Q17" s="314">
        <f>(C17-'21R2'!C17)/'21R2'!C17*100</f>
        <v>4.9003380717874672</v>
      </c>
      <c r="R17" s="394">
        <f t="shared" si="0"/>
        <v>3696176</v>
      </c>
      <c r="S17" s="394">
        <f t="shared" si="1"/>
        <v>0</v>
      </c>
      <c r="T17" s="49">
        <f>民間設備製造1!R19</f>
        <v>92759</v>
      </c>
      <c r="U17" s="49">
        <v>3706563</v>
      </c>
    </row>
    <row r="18" spans="1:21">
      <c r="A18" s="300">
        <v>202</v>
      </c>
      <c r="B18" s="90" t="s">
        <v>183</v>
      </c>
      <c r="C18" s="408">
        <v>2011734</v>
      </c>
      <c r="D18" s="558">
        <v>1208642</v>
      </c>
      <c r="E18" s="558">
        <v>184034</v>
      </c>
      <c r="F18" s="572">
        <v>404066</v>
      </c>
      <c r="G18" s="561">
        <v>89450</v>
      </c>
      <c r="H18" s="546">
        <v>319886</v>
      </c>
      <c r="I18" s="538">
        <v>-5270</v>
      </c>
      <c r="J18" s="546">
        <v>51594</v>
      </c>
      <c r="K18" s="408">
        <v>1848336</v>
      </c>
      <c r="L18" s="1103">
        <v>163398</v>
      </c>
      <c r="M18" s="1096">
        <v>1720564</v>
      </c>
      <c r="N18" s="539">
        <v>1563580</v>
      </c>
      <c r="O18" s="829">
        <v>6414</v>
      </c>
      <c r="P18" s="293">
        <v>202</v>
      </c>
      <c r="Q18" s="314">
        <f>(C18-'21R2'!C18)/'21R2'!C18*100</f>
        <v>7.0768985109978573</v>
      </c>
      <c r="R18" s="394">
        <f t="shared" si="0"/>
        <v>2011734</v>
      </c>
      <c r="S18" s="394">
        <f t="shared" si="1"/>
        <v>0</v>
      </c>
      <c r="T18" s="49">
        <f>民間設備製造1!R20</f>
        <v>79209</v>
      </c>
      <c r="U18" s="49">
        <v>1702168</v>
      </c>
    </row>
    <row r="19" spans="1:21">
      <c r="A19" s="300">
        <v>204</v>
      </c>
      <c r="B19" s="90" t="s">
        <v>184</v>
      </c>
      <c r="C19" s="408">
        <v>1451238</v>
      </c>
      <c r="D19" s="558">
        <v>1178697</v>
      </c>
      <c r="E19" s="558">
        <v>238377</v>
      </c>
      <c r="F19" s="572">
        <v>299872</v>
      </c>
      <c r="G19" s="561">
        <v>75465</v>
      </c>
      <c r="H19" s="546">
        <v>229466</v>
      </c>
      <c r="I19" s="538">
        <v>-5059</v>
      </c>
      <c r="J19" s="546">
        <v>57385</v>
      </c>
      <c r="K19" s="408">
        <v>1774331</v>
      </c>
      <c r="L19" s="1103">
        <v>-323093</v>
      </c>
      <c r="M19" s="1096">
        <v>1287838</v>
      </c>
      <c r="N19" s="539">
        <v>1500977</v>
      </c>
      <c r="O19" s="829">
        <v>-109954</v>
      </c>
      <c r="P19" s="293">
        <v>204</v>
      </c>
      <c r="Q19" s="314">
        <f>(C19-'21R2'!C19)/'21R2'!C19*100</f>
        <v>2.4465967329766056</v>
      </c>
      <c r="R19" s="394">
        <f t="shared" si="0"/>
        <v>1451238</v>
      </c>
      <c r="S19" s="394">
        <f t="shared" si="1"/>
        <v>0</v>
      </c>
      <c r="T19" s="49">
        <f>民間設備製造1!R21</f>
        <v>13509</v>
      </c>
      <c r="U19" s="49">
        <v>1635855</v>
      </c>
    </row>
    <row r="20" spans="1:21">
      <c r="A20" s="302">
        <v>206</v>
      </c>
      <c r="B20" s="201" t="s">
        <v>185</v>
      </c>
      <c r="C20" s="408">
        <v>233204</v>
      </c>
      <c r="D20" s="558">
        <v>223932</v>
      </c>
      <c r="E20" s="558">
        <v>53961</v>
      </c>
      <c r="F20" s="573">
        <v>50521</v>
      </c>
      <c r="G20" s="562">
        <v>7962</v>
      </c>
      <c r="H20" s="548">
        <v>43548</v>
      </c>
      <c r="I20" s="542">
        <v>-989</v>
      </c>
      <c r="J20" s="548">
        <v>18554</v>
      </c>
      <c r="K20" s="409">
        <v>346968</v>
      </c>
      <c r="L20" s="1104">
        <v>-113764</v>
      </c>
      <c r="M20" s="1096">
        <v>213861</v>
      </c>
      <c r="N20" s="539">
        <v>293514</v>
      </c>
      <c r="O20" s="836">
        <v>-34111</v>
      </c>
      <c r="P20" s="293">
        <v>206</v>
      </c>
      <c r="Q20" s="314">
        <f>(C20-'21R2'!C20)/'21R2'!C20*100</f>
        <v>2.2120732653392183</v>
      </c>
      <c r="R20" s="394">
        <f t="shared" si="0"/>
        <v>233204</v>
      </c>
      <c r="S20" s="394">
        <f t="shared" si="1"/>
        <v>0</v>
      </c>
      <c r="T20" s="49">
        <f>民間設備製造1!R22</f>
        <v>41</v>
      </c>
      <c r="U20" s="49">
        <v>368540</v>
      </c>
    </row>
    <row r="21" spans="1:21">
      <c r="A21" s="300">
        <v>2</v>
      </c>
      <c r="B21" s="65" t="s">
        <v>186</v>
      </c>
      <c r="C21" s="407">
        <v>2206039</v>
      </c>
      <c r="D21" s="557">
        <v>1612522</v>
      </c>
      <c r="E21" s="557">
        <v>315253</v>
      </c>
      <c r="F21" s="281">
        <v>448524</v>
      </c>
      <c r="G21" s="561">
        <v>80237</v>
      </c>
      <c r="H21" s="546">
        <v>375338</v>
      </c>
      <c r="I21" s="538">
        <v>-7051</v>
      </c>
      <c r="J21" s="546">
        <v>96224</v>
      </c>
      <c r="K21" s="281">
        <v>2472523</v>
      </c>
      <c r="L21" s="1103">
        <v>-266484</v>
      </c>
      <c r="M21" s="1095">
        <v>1936849</v>
      </c>
      <c r="N21" s="545">
        <v>2091605</v>
      </c>
      <c r="O21" s="829">
        <v>-111728</v>
      </c>
      <c r="P21" s="293">
        <v>2</v>
      </c>
      <c r="Q21" s="314">
        <f>(C21-'21R2'!C21)/'21R2'!C21*100</f>
        <v>7.7576833386901853</v>
      </c>
      <c r="R21" s="394">
        <f t="shared" si="0"/>
        <v>2206039</v>
      </c>
      <c r="S21" s="394">
        <f t="shared" si="1"/>
        <v>0</v>
      </c>
      <c r="T21" s="49">
        <f>民間設備製造1!R23</f>
        <v>104671</v>
      </c>
      <c r="U21" s="49">
        <v>2438375</v>
      </c>
    </row>
    <row r="22" spans="1:21">
      <c r="A22" s="300">
        <v>207</v>
      </c>
      <c r="B22" s="90" t="s">
        <v>187</v>
      </c>
      <c r="C22" s="408">
        <v>779947</v>
      </c>
      <c r="D22" s="558">
        <v>455297</v>
      </c>
      <c r="E22" s="558">
        <v>83934</v>
      </c>
      <c r="F22" s="572">
        <v>160047</v>
      </c>
      <c r="G22" s="561">
        <v>25750</v>
      </c>
      <c r="H22" s="546">
        <v>136404</v>
      </c>
      <c r="I22" s="538">
        <v>-2107</v>
      </c>
      <c r="J22" s="546">
        <v>39732</v>
      </c>
      <c r="K22" s="408">
        <v>739010</v>
      </c>
      <c r="L22" s="1103">
        <v>40937</v>
      </c>
      <c r="M22" s="1096">
        <v>672619</v>
      </c>
      <c r="N22" s="539">
        <v>625158</v>
      </c>
      <c r="O22" s="829">
        <v>-6524</v>
      </c>
      <c r="P22" s="293">
        <v>207</v>
      </c>
      <c r="Q22" s="314">
        <f>(C22-'21R2'!C22)/'21R2'!C22*100</f>
        <v>10.071523126469483</v>
      </c>
      <c r="R22" s="394">
        <f t="shared" si="0"/>
        <v>779947</v>
      </c>
      <c r="S22" s="394">
        <f t="shared" si="1"/>
        <v>0</v>
      </c>
      <c r="T22" s="49">
        <f>民間設備製造1!R24</f>
        <v>57445</v>
      </c>
      <c r="U22" s="49">
        <v>708018</v>
      </c>
    </row>
    <row r="23" spans="1:21">
      <c r="A23" s="300">
        <v>214</v>
      </c>
      <c r="B23" s="90" t="s">
        <v>188</v>
      </c>
      <c r="C23" s="408">
        <v>497227</v>
      </c>
      <c r="D23" s="558">
        <v>526199</v>
      </c>
      <c r="E23" s="558">
        <v>100123</v>
      </c>
      <c r="F23" s="572">
        <v>121911</v>
      </c>
      <c r="G23" s="561">
        <v>27384</v>
      </c>
      <c r="H23" s="546">
        <v>96731</v>
      </c>
      <c r="I23" s="538">
        <v>-2204</v>
      </c>
      <c r="J23" s="546">
        <v>24689</v>
      </c>
      <c r="K23" s="408">
        <v>772922</v>
      </c>
      <c r="L23" s="1103">
        <v>-275695</v>
      </c>
      <c r="M23" s="1096">
        <v>449390</v>
      </c>
      <c r="N23" s="539">
        <v>653845</v>
      </c>
      <c r="O23" s="829">
        <v>-71240</v>
      </c>
      <c r="P23" s="293">
        <v>214</v>
      </c>
      <c r="Q23" s="314">
        <f>(C23-'21R2'!C23)/'21R2'!C23*100</f>
        <v>3.5945697058590671</v>
      </c>
      <c r="R23" s="394">
        <f t="shared" si="0"/>
        <v>497227</v>
      </c>
      <c r="S23" s="394">
        <f t="shared" si="1"/>
        <v>0</v>
      </c>
      <c r="T23" s="49">
        <f>民間設備製造1!R25</f>
        <v>4184</v>
      </c>
      <c r="U23" s="49">
        <v>743312</v>
      </c>
    </row>
    <row r="24" spans="1:21">
      <c r="A24" s="300">
        <v>217</v>
      </c>
      <c r="B24" s="90" t="s">
        <v>189</v>
      </c>
      <c r="C24" s="408">
        <v>353632</v>
      </c>
      <c r="D24" s="558">
        <v>349943</v>
      </c>
      <c r="E24" s="558">
        <v>62910</v>
      </c>
      <c r="F24" s="572">
        <v>80797</v>
      </c>
      <c r="G24" s="561">
        <v>17303</v>
      </c>
      <c r="H24" s="546">
        <v>64953</v>
      </c>
      <c r="I24" s="538">
        <v>-1459</v>
      </c>
      <c r="J24" s="546">
        <v>17891</v>
      </c>
      <c r="K24" s="408">
        <v>511541</v>
      </c>
      <c r="L24" s="1103">
        <v>-157909</v>
      </c>
      <c r="M24" s="1096">
        <v>315945</v>
      </c>
      <c r="N24" s="539">
        <v>432733</v>
      </c>
      <c r="O24" s="829">
        <v>-41121</v>
      </c>
      <c r="P24" s="293">
        <v>217</v>
      </c>
      <c r="Q24" s="314">
        <f>(C24-'21R2'!C24)/'21R2'!C24*100</f>
        <v>2.3077924520113986</v>
      </c>
      <c r="R24" s="394">
        <f t="shared" si="0"/>
        <v>353632</v>
      </c>
      <c r="S24" s="394">
        <f t="shared" si="1"/>
        <v>0</v>
      </c>
      <c r="T24" s="49">
        <f>民間設備製造1!R26</f>
        <v>3892</v>
      </c>
      <c r="U24" s="49">
        <v>494334</v>
      </c>
    </row>
    <row r="25" spans="1:21">
      <c r="A25" s="300">
        <v>219</v>
      </c>
      <c r="B25" s="90" t="s">
        <v>190</v>
      </c>
      <c r="C25" s="408">
        <v>510967</v>
      </c>
      <c r="D25" s="558">
        <v>223538</v>
      </c>
      <c r="E25" s="558">
        <v>50528</v>
      </c>
      <c r="F25" s="572">
        <v>73509</v>
      </c>
      <c r="G25" s="561">
        <v>8983</v>
      </c>
      <c r="H25" s="546">
        <v>65549</v>
      </c>
      <c r="I25" s="538">
        <v>-1023</v>
      </c>
      <c r="J25" s="546">
        <v>11117</v>
      </c>
      <c r="K25" s="408">
        <v>358692</v>
      </c>
      <c r="L25" s="1103">
        <v>152275</v>
      </c>
      <c r="M25" s="1096">
        <v>438684</v>
      </c>
      <c r="N25" s="539">
        <v>303432</v>
      </c>
      <c r="O25" s="829">
        <v>17023</v>
      </c>
      <c r="P25" s="293">
        <v>219</v>
      </c>
      <c r="Q25" s="314">
        <f>(C25-'21R2'!C25)/'21R2'!C25*100</f>
        <v>13.487695451314854</v>
      </c>
      <c r="R25" s="394">
        <f t="shared" si="0"/>
        <v>510967</v>
      </c>
      <c r="S25" s="394">
        <f t="shared" si="1"/>
        <v>0</v>
      </c>
      <c r="T25" s="49">
        <f>民間設備製造1!R27</f>
        <v>38557</v>
      </c>
      <c r="U25" s="49">
        <v>395089</v>
      </c>
    </row>
    <row r="26" spans="1:21">
      <c r="A26" s="300">
        <v>301</v>
      </c>
      <c r="B26" s="90" t="s">
        <v>191</v>
      </c>
      <c r="C26" s="409">
        <v>64266</v>
      </c>
      <c r="D26" s="559">
        <v>57545</v>
      </c>
      <c r="E26" s="559">
        <v>17758</v>
      </c>
      <c r="F26" s="572">
        <v>12260</v>
      </c>
      <c r="G26" s="561">
        <v>817</v>
      </c>
      <c r="H26" s="546">
        <v>11701</v>
      </c>
      <c r="I26" s="538">
        <v>-258</v>
      </c>
      <c r="J26" s="546">
        <v>2795</v>
      </c>
      <c r="K26" s="408">
        <v>90358</v>
      </c>
      <c r="L26" s="1103">
        <v>-26092</v>
      </c>
      <c r="M26" s="1097">
        <v>60211</v>
      </c>
      <c r="N26" s="543">
        <v>76437</v>
      </c>
      <c r="O26" s="829">
        <v>-9866</v>
      </c>
      <c r="P26" s="293">
        <v>301</v>
      </c>
      <c r="Q26" s="314">
        <f>(C26-'21R2'!C26)/'21R2'!C26*100</f>
        <v>2.3816730655876124</v>
      </c>
      <c r="R26" s="394">
        <f t="shared" si="0"/>
        <v>64266</v>
      </c>
      <c r="S26" s="394">
        <f t="shared" si="1"/>
        <v>0</v>
      </c>
      <c r="T26" s="49">
        <f>民間設備製造1!R28</f>
        <v>593</v>
      </c>
      <c r="U26" s="49">
        <v>97622</v>
      </c>
    </row>
    <row r="27" spans="1:21">
      <c r="A27" s="301">
        <v>3</v>
      </c>
      <c r="B27" s="128" t="s">
        <v>192</v>
      </c>
      <c r="C27" s="408">
        <v>2960193</v>
      </c>
      <c r="D27" s="558">
        <v>1647849</v>
      </c>
      <c r="E27" s="558">
        <v>308976</v>
      </c>
      <c r="F27" s="292">
        <v>741100</v>
      </c>
      <c r="G27" s="560">
        <v>112444</v>
      </c>
      <c r="H27" s="547">
        <v>636727</v>
      </c>
      <c r="I27" s="544">
        <v>-8071</v>
      </c>
      <c r="J27" s="547">
        <v>132504</v>
      </c>
      <c r="K27" s="292">
        <v>2830429</v>
      </c>
      <c r="L27" s="1102">
        <v>129764</v>
      </c>
      <c r="M27" s="1096">
        <v>2548609</v>
      </c>
      <c r="N27" s="539">
        <v>2394372</v>
      </c>
      <c r="O27" s="826">
        <v>-24473</v>
      </c>
      <c r="P27" s="293">
        <v>3</v>
      </c>
      <c r="Q27" s="314">
        <f>(C27-'21R2'!C27)/'21R2'!C27*100</f>
        <v>-0.37588822903436203</v>
      </c>
      <c r="R27" s="394">
        <f t="shared" si="0"/>
        <v>2960193</v>
      </c>
      <c r="S27" s="394">
        <f t="shared" si="1"/>
        <v>0</v>
      </c>
      <c r="T27" s="49">
        <f>民間設備製造1!R29</f>
        <v>339834</v>
      </c>
      <c r="U27" s="49">
        <v>2806665</v>
      </c>
    </row>
    <row r="28" spans="1:21">
      <c r="A28" s="300">
        <v>203</v>
      </c>
      <c r="B28" s="90" t="s">
        <v>193</v>
      </c>
      <c r="C28" s="408">
        <v>1145352</v>
      </c>
      <c r="D28" s="558">
        <v>733857</v>
      </c>
      <c r="E28" s="558">
        <v>135264</v>
      </c>
      <c r="F28" s="572">
        <v>272921</v>
      </c>
      <c r="G28" s="561">
        <v>50939</v>
      </c>
      <c r="H28" s="546">
        <v>225314</v>
      </c>
      <c r="I28" s="538">
        <v>-3332</v>
      </c>
      <c r="J28" s="546">
        <v>26447</v>
      </c>
      <c r="K28" s="408">
        <v>1168489</v>
      </c>
      <c r="L28" s="1103">
        <v>-23137</v>
      </c>
      <c r="M28" s="1096">
        <v>993043</v>
      </c>
      <c r="N28" s="539">
        <v>988471</v>
      </c>
      <c r="O28" s="829">
        <v>-27709</v>
      </c>
      <c r="P28" s="293">
        <v>203</v>
      </c>
      <c r="Q28" s="314">
        <f>(C28-'21R2'!C28)/'21R2'!C28*100</f>
        <v>-1.8858679404163388</v>
      </c>
      <c r="R28" s="394">
        <f t="shared" si="0"/>
        <v>1145352</v>
      </c>
      <c r="S28" s="394">
        <f t="shared" si="1"/>
        <v>0</v>
      </c>
      <c r="T28" s="49">
        <f>民間設備製造1!R30</f>
        <v>84286</v>
      </c>
      <c r="U28" s="49">
        <v>1133101</v>
      </c>
    </row>
    <row r="29" spans="1:21">
      <c r="A29" s="300">
        <v>210</v>
      </c>
      <c r="B29" s="90" t="s">
        <v>194</v>
      </c>
      <c r="C29" s="408">
        <v>844748</v>
      </c>
      <c r="D29" s="558">
        <v>589596</v>
      </c>
      <c r="E29" s="558">
        <v>107611</v>
      </c>
      <c r="F29" s="572">
        <v>186607</v>
      </c>
      <c r="G29" s="561">
        <v>38613</v>
      </c>
      <c r="H29" s="546">
        <v>150643</v>
      </c>
      <c r="I29" s="538">
        <v>-2649</v>
      </c>
      <c r="J29" s="546">
        <v>45166</v>
      </c>
      <c r="K29" s="408">
        <v>928980</v>
      </c>
      <c r="L29" s="1103">
        <v>-84232</v>
      </c>
      <c r="M29" s="1096">
        <v>735880</v>
      </c>
      <c r="N29" s="539">
        <v>785861</v>
      </c>
      <c r="O29" s="829">
        <v>-34251</v>
      </c>
      <c r="P29" s="293">
        <v>210</v>
      </c>
      <c r="Q29" s="314">
        <f>(C29-'21R2'!C29)/'21R2'!C29*100</f>
        <v>-1.3499815486950957</v>
      </c>
      <c r="R29" s="394">
        <f t="shared" si="0"/>
        <v>844748</v>
      </c>
      <c r="S29" s="394">
        <f t="shared" si="1"/>
        <v>0</v>
      </c>
      <c r="T29" s="49">
        <f>民間設備製造1!R31</f>
        <v>104523</v>
      </c>
      <c r="U29" s="49">
        <v>957230</v>
      </c>
    </row>
    <row r="30" spans="1:21">
      <c r="A30" s="300">
        <v>216</v>
      </c>
      <c r="B30" s="90" t="s">
        <v>195</v>
      </c>
      <c r="C30" s="408">
        <v>551596</v>
      </c>
      <c r="D30" s="558">
        <v>192295</v>
      </c>
      <c r="E30" s="558">
        <v>38877</v>
      </c>
      <c r="F30" s="572">
        <v>165117</v>
      </c>
      <c r="G30" s="561">
        <v>10897</v>
      </c>
      <c r="H30" s="546">
        <v>155479</v>
      </c>
      <c r="I30" s="538">
        <v>-1259</v>
      </c>
      <c r="J30" s="546">
        <v>45204</v>
      </c>
      <c r="K30" s="408">
        <v>441493</v>
      </c>
      <c r="L30" s="1103">
        <v>110103</v>
      </c>
      <c r="M30" s="1096">
        <v>466645</v>
      </c>
      <c r="N30" s="539">
        <v>373476</v>
      </c>
      <c r="O30" s="829">
        <v>16934</v>
      </c>
      <c r="P30" s="293">
        <v>216</v>
      </c>
      <c r="Q30" s="314">
        <f>(C30-'21R2'!C30)/'21R2'!C30*100</f>
        <v>-6.1793491017577047</v>
      </c>
      <c r="R30" s="394">
        <f t="shared" si="0"/>
        <v>551596</v>
      </c>
      <c r="S30" s="394">
        <f t="shared" si="1"/>
        <v>0</v>
      </c>
      <c r="T30" s="49">
        <f>民間設備製造1!R32</f>
        <v>114532</v>
      </c>
      <c r="U30" s="49">
        <v>453421</v>
      </c>
    </row>
    <row r="31" spans="1:21">
      <c r="A31" s="300">
        <v>381</v>
      </c>
      <c r="B31" s="90" t="s">
        <v>196</v>
      </c>
      <c r="C31" s="408">
        <v>169263</v>
      </c>
      <c r="D31" s="558">
        <v>59629</v>
      </c>
      <c r="E31" s="558">
        <v>12095</v>
      </c>
      <c r="F31" s="572">
        <v>72749</v>
      </c>
      <c r="G31" s="561">
        <v>4390</v>
      </c>
      <c r="H31" s="546">
        <v>68789</v>
      </c>
      <c r="I31" s="538">
        <v>-430</v>
      </c>
      <c r="J31" s="546">
        <v>6366</v>
      </c>
      <c r="K31" s="408">
        <v>150839</v>
      </c>
      <c r="L31" s="1103">
        <v>18424</v>
      </c>
      <c r="M31" s="1096">
        <v>143268</v>
      </c>
      <c r="N31" s="539">
        <v>127601</v>
      </c>
      <c r="O31" s="829">
        <v>2757</v>
      </c>
      <c r="P31" s="293">
        <v>381</v>
      </c>
      <c r="Q31" s="314">
        <f>(C31-'21R2'!C31)/'21R2'!C31*100</f>
        <v>12.0442449757725</v>
      </c>
      <c r="R31" s="394">
        <f t="shared" si="0"/>
        <v>169263</v>
      </c>
      <c r="S31" s="394">
        <f t="shared" si="1"/>
        <v>0</v>
      </c>
      <c r="T31" s="49">
        <f>民間設備製造1!R33</f>
        <v>12001</v>
      </c>
      <c r="U31" s="49">
        <v>111756</v>
      </c>
    </row>
    <row r="32" spans="1:21">
      <c r="A32" s="302">
        <v>382</v>
      </c>
      <c r="B32" s="201" t="s">
        <v>197</v>
      </c>
      <c r="C32" s="408">
        <v>249234</v>
      </c>
      <c r="D32" s="558">
        <v>72472</v>
      </c>
      <c r="E32" s="558">
        <v>15129</v>
      </c>
      <c r="F32" s="573">
        <v>43706</v>
      </c>
      <c r="G32" s="562">
        <v>7605</v>
      </c>
      <c r="H32" s="548">
        <v>36502</v>
      </c>
      <c r="I32" s="542">
        <v>-401</v>
      </c>
      <c r="J32" s="548">
        <v>9321</v>
      </c>
      <c r="K32" s="409">
        <v>140628</v>
      </c>
      <c r="L32" s="1104">
        <v>108606</v>
      </c>
      <c r="M32" s="1096">
        <v>209773</v>
      </c>
      <c r="N32" s="539">
        <v>118963</v>
      </c>
      <c r="O32" s="836">
        <v>17796</v>
      </c>
      <c r="P32" s="293">
        <v>382</v>
      </c>
      <c r="Q32" s="314">
        <f>(C32-'21R2'!C32)/'21R2'!C32*100</f>
        <v>19.426142707230238</v>
      </c>
      <c r="R32" s="394">
        <f t="shared" si="0"/>
        <v>249234</v>
      </c>
      <c r="S32" s="394">
        <f t="shared" si="1"/>
        <v>0</v>
      </c>
      <c r="T32" s="49">
        <f>民間設備製造1!R34</f>
        <v>24492</v>
      </c>
      <c r="U32" s="49">
        <v>151157</v>
      </c>
    </row>
    <row r="33" spans="1:21">
      <c r="A33" s="300">
        <v>4</v>
      </c>
      <c r="B33" s="91" t="s">
        <v>198</v>
      </c>
      <c r="C33" s="407">
        <v>1319932</v>
      </c>
      <c r="D33" s="557">
        <v>536478</v>
      </c>
      <c r="E33" s="557">
        <v>141690</v>
      </c>
      <c r="F33" s="281">
        <v>216875</v>
      </c>
      <c r="G33" s="561">
        <v>29962</v>
      </c>
      <c r="H33" s="546">
        <v>189610</v>
      </c>
      <c r="I33" s="538">
        <v>-2697</v>
      </c>
      <c r="J33" s="546">
        <v>50904</v>
      </c>
      <c r="K33" s="281">
        <v>945947</v>
      </c>
      <c r="L33" s="1103">
        <v>373985</v>
      </c>
      <c r="M33" s="1095">
        <v>1138139</v>
      </c>
      <c r="N33" s="545">
        <v>800213</v>
      </c>
      <c r="O33" s="829">
        <v>36059</v>
      </c>
      <c r="P33" s="293">
        <v>4</v>
      </c>
      <c r="Q33" s="314">
        <f>(C33-'21R2'!C33)/'21R2'!C33*100</f>
        <v>1.5705774892614359</v>
      </c>
      <c r="R33" s="394">
        <f t="shared" si="0"/>
        <v>1319932</v>
      </c>
      <c r="S33" s="394">
        <f t="shared" si="1"/>
        <v>0</v>
      </c>
      <c r="T33" s="49">
        <f>民間設備製造1!R35</f>
        <v>90864</v>
      </c>
      <c r="U33" s="49">
        <v>1017821</v>
      </c>
    </row>
    <row r="34" spans="1:21">
      <c r="A34" s="300">
        <v>213</v>
      </c>
      <c r="B34" s="92" t="s">
        <v>231</v>
      </c>
      <c r="C34" s="408">
        <v>147171</v>
      </c>
      <c r="D34" s="558">
        <v>78024</v>
      </c>
      <c r="E34" s="558">
        <v>18300</v>
      </c>
      <c r="F34" s="572">
        <v>19799</v>
      </c>
      <c r="G34" s="561">
        <v>3675</v>
      </c>
      <c r="H34" s="546">
        <v>16468</v>
      </c>
      <c r="I34" s="538">
        <v>-344</v>
      </c>
      <c r="J34" s="546">
        <v>4405</v>
      </c>
      <c r="K34" s="408">
        <v>120528</v>
      </c>
      <c r="L34" s="1103">
        <v>26643</v>
      </c>
      <c r="M34" s="1096">
        <v>128006</v>
      </c>
      <c r="N34" s="539">
        <v>101959</v>
      </c>
      <c r="O34" s="829">
        <v>596</v>
      </c>
      <c r="P34" s="293">
        <v>213</v>
      </c>
      <c r="Q34" s="314">
        <f>(C34-'21R2'!C34)/'21R2'!C34*100</f>
        <v>1.0033697300784441</v>
      </c>
      <c r="R34" s="394">
        <f t="shared" si="0"/>
        <v>147171</v>
      </c>
      <c r="S34" s="394">
        <f t="shared" si="1"/>
        <v>0</v>
      </c>
      <c r="T34" s="49">
        <f>民間設備製造1!R36</f>
        <v>3930</v>
      </c>
      <c r="U34" s="49">
        <v>138993</v>
      </c>
    </row>
    <row r="35" spans="1:21">
      <c r="A35" s="300">
        <v>215</v>
      </c>
      <c r="B35" s="92" t="s">
        <v>232</v>
      </c>
      <c r="C35" s="408">
        <v>321348</v>
      </c>
      <c r="D35" s="558">
        <v>159057</v>
      </c>
      <c r="E35" s="558">
        <v>39445</v>
      </c>
      <c r="F35" s="572">
        <v>47715</v>
      </c>
      <c r="G35" s="561">
        <v>6942</v>
      </c>
      <c r="H35" s="546">
        <v>41498</v>
      </c>
      <c r="I35" s="538">
        <v>-725</v>
      </c>
      <c r="J35" s="546">
        <v>7988</v>
      </c>
      <c r="K35" s="408">
        <v>254205</v>
      </c>
      <c r="L35" s="1103">
        <v>67143</v>
      </c>
      <c r="M35" s="1096">
        <v>279275</v>
      </c>
      <c r="N35" s="539">
        <v>215042</v>
      </c>
      <c r="O35" s="829">
        <v>2910</v>
      </c>
      <c r="P35" s="293">
        <v>215</v>
      </c>
      <c r="Q35" s="314">
        <f>(C35-'21R2'!C35)/'21R2'!C35*100</f>
        <v>1.5230928167265352</v>
      </c>
      <c r="R35" s="394">
        <f t="shared" si="0"/>
        <v>321348</v>
      </c>
      <c r="S35" s="394">
        <f t="shared" si="1"/>
        <v>0</v>
      </c>
      <c r="T35" s="49">
        <f>民間設備製造1!R37</f>
        <v>15653</v>
      </c>
      <c r="U35" s="49">
        <v>273089</v>
      </c>
    </row>
    <row r="36" spans="1:21">
      <c r="A36" s="300">
        <v>218</v>
      </c>
      <c r="B36" s="90" t="s">
        <v>200</v>
      </c>
      <c r="C36" s="408">
        <v>259802</v>
      </c>
      <c r="D36" s="558">
        <v>93320</v>
      </c>
      <c r="E36" s="558">
        <v>21098</v>
      </c>
      <c r="F36" s="572">
        <v>47902</v>
      </c>
      <c r="G36" s="561">
        <v>5053</v>
      </c>
      <c r="H36" s="546">
        <v>43343</v>
      </c>
      <c r="I36" s="538">
        <v>-494</v>
      </c>
      <c r="J36" s="546">
        <v>11018</v>
      </c>
      <c r="K36" s="408">
        <v>173338</v>
      </c>
      <c r="L36" s="1103">
        <v>86464</v>
      </c>
      <c r="M36" s="1096">
        <v>221021</v>
      </c>
      <c r="N36" s="539">
        <v>146633</v>
      </c>
      <c r="O36" s="829">
        <v>12076</v>
      </c>
      <c r="P36" s="293">
        <v>218</v>
      </c>
      <c r="Q36" s="314">
        <f>(C36-'21R2'!C36)/'21R2'!C36*100</f>
        <v>2.7470180656183758</v>
      </c>
      <c r="R36" s="394">
        <f t="shared" si="0"/>
        <v>259802</v>
      </c>
      <c r="S36" s="394">
        <f t="shared" si="1"/>
        <v>0</v>
      </c>
      <c r="T36" s="49">
        <f>民間設備製造1!R38</f>
        <v>21376</v>
      </c>
      <c r="U36" s="49">
        <v>187152</v>
      </c>
    </row>
    <row r="37" spans="1:21">
      <c r="A37" s="300">
        <v>220</v>
      </c>
      <c r="B37" s="90" t="s">
        <v>201</v>
      </c>
      <c r="C37" s="408">
        <v>254100</v>
      </c>
      <c r="D37" s="558">
        <v>83845</v>
      </c>
      <c r="E37" s="558">
        <v>26000</v>
      </c>
      <c r="F37" s="572">
        <v>37820</v>
      </c>
      <c r="G37" s="561">
        <v>4441</v>
      </c>
      <c r="H37" s="546">
        <v>33816</v>
      </c>
      <c r="I37" s="538">
        <v>-437</v>
      </c>
      <c r="J37" s="546">
        <v>5752</v>
      </c>
      <c r="K37" s="408">
        <v>153417</v>
      </c>
      <c r="L37" s="1103">
        <v>100683</v>
      </c>
      <c r="M37" s="1096">
        <v>218539</v>
      </c>
      <c r="N37" s="539">
        <v>129781</v>
      </c>
      <c r="O37" s="829">
        <v>11925</v>
      </c>
      <c r="P37" s="293">
        <v>220</v>
      </c>
      <c r="Q37" s="314">
        <f>(C37-'21R2'!C37)/'21R2'!C37*100</f>
        <v>8.2672552269521979</v>
      </c>
      <c r="R37" s="394">
        <f t="shared" si="0"/>
        <v>254100</v>
      </c>
      <c r="S37" s="394">
        <f t="shared" si="1"/>
        <v>0</v>
      </c>
      <c r="T37" s="49">
        <f>民間設備製造1!R39</f>
        <v>23130</v>
      </c>
      <c r="U37" s="49">
        <v>170216</v>
      </c>
    </row>
    <row r="38" spans="1:21">
      <c r="A38" s="300">
        <v>228</v>
      </c>
      <c r="B38" s="90" t="s">
        <v>239</v>
      </c>
      <c r="C38" s="408">
        <v>268493</v>
      </c>
      <c r="D38" s="558">
        <v>88277</v>
      </c>
      <c r="E38" s="558">
        <v>23328</v>
      </c>
      <c r="F38" s="572">
        <v>51666</v>
      </c>
      <c r="G38" s="561">
        <v>9213</v>
      </c>
      <c r="H38" s="546">
        <v>42975</v>
      </c>
      <c r="I38" s="538">
        <v>-522</v>
      </c>
      <c r="J38" s="546">
        <v>19736</v>
      </c>
      <c r="K38" s="408">
        <v>183007</v>
      </c>
      <c r="L38" s="1103">
        <v>85486</v>
      </c>
      <c r="M38" s="1096">
        <v>229087</v>
      </c>
      <c r="N38" s="539">
        <v>154813</v>
      </c>
      <c r="O38" s="829">
        <v>11212</v>
      </c>
      <c r="P38" s="293">
        <v>228</v>
      </c>
      <c r="Q38" s="314">
        <f>(C38-'21R2'!C38)/'21R2'!C38*100</f>
        <v>-5.2316326350528559</v>
      </c>
      <c r="R38" s="394">
        <f t="shared" si="0"/>
        <v>268493</v>
      </c>
      <c r="S38" s="394">
        <f t="shared" si="1"/>
        <v>0</v>
      </c>
      <c r="T38" s="49">
        <f>民間設備製造1!R40</f>
        <v>22883</v>
      </c>
      <c r="U38" s="49">
        <v>181077</v>
      </c>
    </row>
    <row r="39" spans="1:21">
      <c r="A39" s="300">
        <v>365</v>
      </c>
      <c r="B39" s="90" t="s">
        <v>233</v>
      </c>
      <c r="C39" s="409">
        <v>69018</v>
      </c>
      <c r="D39" s="559">
        <v>33955</v>
      </c>
      <c r="E39" s="559">
        <v>13519</v>
      </c>
      <c r="F39" s="572">
        <v>11973</v>
      </c>
      <c r="G39" s="561">
        <v>638</v>
      </c>
      <c r="H39" s="546">
        <v>11510</v>
      </c>
      <c r="I39" s="538">
        <v>-175</v>
      </c>
      <c r="J39" s="546">
        <v>2005</v>
      </c>
      <c r="K39" s="408">
        <v>61452</v>
      </c>
      <c r="L39" s="1103">
        <v>7566</v>
      </c>
      <c r="M39" s="1097">
        <v>62211</v>
      </c>
      <c r="N39" s="543">
        <v>51985</v>
      </c>
      <c r="O39" s="829">
        <v>-2660</v>
      </c>
      <c r="P39" s="293">
        <v>365</v>
      </c>
      <c r="Q39" s="314">
        <f>(C39-'21R2'!C39)/'21R2'!C39*100</f>
        <v>3.914601463458701</v>
      </c>
      <c r="R39" s="394">
        <f t="shared" si="0"/>
        <v>69018</v>
      </c>
      <c r="S39" s="394">
        <f t="shared" si="1"/>
        <v>0</v>
      </c>
      <c r="T39" s="49">
        <f>民間設備製造1!R41</f>
        <v>3892</v>
      </c>
      <c r="U39" s="49">
        <v>67294</v>
      </c>
    </row>
    <row r="40" spans="1:21">
      <c r="A40" s="301">
        <v>5</v>
      </c>
      <c r="B40" s="306" t="s">
        <v>202</v>
      </c>
      <c r="C40" s="408">
        <v>2822650</v>
      </c>
      <c r="D40" s="558">
        <v>1298736</v>
      </c>
      <c r="E40" s="558">
        <v>257067</v>
      </c>
      <c r="F40" s="292">
        <v>637878</v>
      </c>
      <c r="G40" s="560">
        <v>107724</v>
      </c>
      <c r="H40" s="547">
        <v>536694</v>
      </c>
      <c r="I40" s="544">
        <v>-6540</v>
      </c>
      <c r="J40" s="547">
        <v>99821</v>
      </c>
      <c r="K40" s="292">
        <v>2293502</v>
      </c>
      <c r="L40" s="1102">
        <v>529148</v>
      </c>
      <c r="M40" s="1096">
        <v>2413605</v>
      </c>
      <c r="N40" s="539">
        <v>1940163</v>
      </c>
      <c r="O40" s="826">
        <v>55706</v>
      </c>
      <c r="P40" s="293">
        <v>5</v>
      </c>
      <c r="Q40" s="314">
        <f>(C40-'21R2'!C40)/'21R2'!C40*100</f>
        <v>8.8856373878556827</v>
      </c>
      <c r="R40" s="394">
        <f t="shared" si="0"/>
        <v>2822650</v>
      </c>
      <c r="S40" s="394">
        <f t="shared" si="1"/>
        <v>0</v>
      </c>
      <c r="T40" s="49">
        <f>民間設備製造1!R42</f>
        <v>274497</v>
      </c>
      <c r="U40" s="49">
        <v>2220496</v>
      </c>
    </row>
    <row r="41" spans="1:21">
      <c r="A41" s="300">
        <v>201</v>
      </c>
      <c r="B41" s="92" t="s">
        <v>240</v>
      </c>
      <c r="C41" s="408">
        <v>2570060</v>
      </c>
      <c r="D41" s="558">
        <v>1216379</v>
      </c>
      <c r="E41" s="558">
        <v>228582</v>
      </c>
      <c r="F41" s="572">
        <v>600568</v>
      </c>
      <c r="G41" s="561">
        <v>104712</v>
      </c>
      <c r="H41" s="546">
        <v>501954</v>
      </c>
      <c r="I41" s="538">
        <v>-6098</v>
      </c>
      <c r="J41" s="546">
        <v>93167</v>
      </c>
      <c r="K41" s="408">
        <v>2138696</v>
      </c>
      <c r="L41" s="1103">
        <v>431364</v>
      </c>
      <c r="M41" s="1096">
        <v>2195198</v>
      </c>
      <c r="N41" s="539">
        <v>1809207</v>
      </c>
      <c r="O41" s="829">
        <v>45373</v>
      </c>
      <c r="P41" s="293">
        <v>201</v>
      </c>
      <c r="Q41" s="314">
        <f>(C41-'21R2'!C41)/'21R2'!C41*100</f>
        <v>9.5059140334730881</v>
      </c>
      <c r="R41" s="394">
        <f t="shared" si="0"/>
        <v>2570060</v>
      </c>
      <c r="S41" s="394">
        <f t="shared" si="1"/>
        <v>0</v>
      </c>
      <c r="T41" s="49">
        <f>民間設備製造1!R43</f>
        <v>249742</v>
      </c>
      <c r="U41" s="49">
        <v>2039427</v>
      </c>
    </row>
    <row r="42" spans="1:21">
      <c r="A42" s="300">
        <v>442</v>
      </c>
      <c r="B42" s="90" t="s">
        <v>203</v>
      </c>
      <c r="C42" s="408">
        <v>41972</v>
      </c>
      <c r="D42" s="558">
        <v>22307</v>
      </c>
      <c r="E42" s="558">
        <v>8395</v>
      </c>
      <c r="F42" s="572">
        <v>7124</v>
      </c>
      <c r="G42" s="561">
        <v>459</v>
      </c>
      <c r="H42" s="546">
        <v>6779</v>
      </c>
      <c r="I42" s="538">
        <v>-114</v>
      </c>
      <c r="J42" s="546">
        <v>2063</v>
      </c>
      <c r="K42" s="408">
        <v>39889</v>
      </c>
      <c r="L42" s="1103">
        <v>2083</v>
      </c>
      <c r="M42" s="1096">
        <v>37909</v>
      </c>
      <c r="N42" s="539">
        <v>33744</v>
      </c>
      <c r="O42" s="829">
        <v>-2082</v>
      </c>
      <c r="P42" s="293">
        <v>442</v>
      </c>
      <c r="Q42" s="314">
        <f>(C42-'21R2'!C42)/'21R2'!C42*100</f>
        <v>9.8513400335008363</v>
      </c>
      <c r="R42" s="394">
        <f t="shared" si="0"/>
        <v>41972</v>
      </c>
      <c r="S42" s="394">
        <f t="shared" si="1"/>
        <v>0</v>
      </c>
      <c r="T42" s="49">
        <f>民間設備製造1!R44</f>
        <v>3391</v>
      </c>
      <c r="U42" s="49">
        <v>45235</v>
      </c>
    </row>
    <row r="43" spans="1:21">
      <c r="A43" s="300">
        <v>443</v>
      </c>
      <c r="B43" s="90" t="s">
        <v>204</v>
      </c>
      <c r="C43" s="408">
        <v>177503</v>
      </c>
      <c r="D43" s="558">
        <v>40327</v>
      </c>
      <c r="E43" s="558">
        <v>10563</v>
      </c>
      <c r="F43" s="572">
        <v>21629</v>
      </c>
      <c r="G43" s="561">
        <v>1889</v>
      </c>
      <c r="H43" s="546">
        <v>19954</v>
      </c>
      <c r="I43" s="538">
        <v>-214</v>
      </c>
      <c r="J43" s="546">
        <v>2397</v>
      </c>
      <c r="K43" s="408">
        <v>74916</v>
      </c>
      <c r="L43" s="1103">
        <v>102587</v>
      </c>
      <c r="M43" s="1096">
        <v>149306</v>
      </c>
      <c r="N43" s="539">
        <v>63374</v>
      </c>
      <c r="O43" s="829">
        <v>16655</v>
      </c>
      <c r="P43" s="293">
        <v>443</v>
      </c>
      <c r="Q43" s="314">
        <f>(C43-'21R2'!C43)/'21R2'!C43*100</f>
        <v>1.1960890510532767</v>
      </c>
      <c r="R43" s="394">
        <f t="shared" si="0"/>
        <v>177503</v>
      </c>
      <c r="S43" s="394">
        <f t="shared" si="1"/>
        <v>0</v>
      </c>
      <c r="T43" s="49">
        <f>民間設備製造1!R45</f>
        <v>14646</v>
      </c>
      <c r="U43" s="49">
        <v>86474</v>
      </c>
    </row>
    <row r="44" spans="1:21">
      <c r="A44" s="302">
        <v>446</v>
      </c>
      <c r="B44" s="201" t="s">
        <v>234</v>
      </c>
      <c r="C44" s="408">
        <v>33115</v>
      </c>
      <c r="D44" s="558">
        <v>19723</v>
      </c>
      <c r="E44" s="558">
        <v>9527</v>
      </c>
      <c r="F44" s="573">
        <v>8557</v>
      </c>
      <c r="G44" s="562">
        <v>664</v>
      </c>
      <c r="H44" s="548">
        <v>8007</v>
      </c>
      <c r="I44" s="542">
        <v>-114</v>
      </c>
      <c r="J44" s="548">
        <v>2194</v>
      </c>
      <c r="K44" s="409">
        <v>40001</v>
      </c>
      <c r="L44" s="1104">
        <v>-6886</v>
      </c>
      <c r="M44" s="1096">
        <v>31192</v>
      </c>
      <c r="N44" s="539">
        <v>33838</v>
      </c>
      <c r="O44" s="836">
        <v>-4240</v>
      </c>
      <c r="P44" s="293">
        <v>446</v>
      </c>
      <c r="Q44" s="314">
        <f>(C44-'21R2'!C44)/'21R2'!C44*100</f>
        <v>4.3517993319468085</v>
      </c>
      <c r="R44" s="394">
        <f t="shared" si="0"/>
        <v>33115</v>
      </c>
      <c r="S44" s="394">
        <f t="shared" si="1"/>
        <v>0</v>
      </c>
      <c r="T44" s="49">
        <f>民間設備製造1!R46</f>
        <v>6718</v>
      </c>
      <c r="U44" s="49">
        <v>49360</v>
      </c>
    </row>
    <row r="45" spans="1:21">
      <c r="A45" s="300">
        <v>6</v>
      </c>
      <c r="B45" s="91" t="s">
        <v>205</v>
      </c>
      <c r="C45" s="407">
        <v>1127246</v>
      </c>
      <c r="D45" s="557">
        <v>497143</v>
      </c>
      <c r="E45" s="557">
        <v>127230</v>
      </c>
      <c r="F45" s="281">
        <v>189457</v>
      </c>
      <c r="G45" s="561">
        <v>27358</v>
      </c>
      <c r="H45" s="546">
        <v>164526</v>
      </c>
      <c r="I45" s="538">
        <v>-2427</v>
      </c>
      <c r="J45" s="546">
        <v>37244</v>
      </c>
      <c r="K45" s="281">
        <v>851074</v>
      </c>
      <c r="L45" s="1103">
        <v>276172</v>
      </c>
      <c r="M45" s="1095">
        <v>974741</v>
      </c>
      <c r="N45" s="545">
        <v>719957</v>
      </c>
      <c r="O45" s="829">
        <v>21388</v>
      </c>
      <c r="P45" s="293">
        <v>6</v>
      </c>
      <c r="Q45" s="314">
        <f>(C45-'21R2'!C45)/'21R2'!C45*100</f>
        <v>2.4330491216942565</v>
      </c>
      <c r="R45" s="394">
        <f t="shared" si="0"/>
        <v>1127246</v>
      </c>
      <c r="S45" s="394">
        <f t="shared" si="1"/>
        <v>0</v>
      </c>
      <c r="T45" s="49">
        <f>民間設備製造1!R47</f>
        <v>78975</v>
      </c>
      <c r="U45" s="49">
        <v>944742</v>
      </c>
    </row>
    <row r="46" spans="1:21">
      <c r="A46" s="300">
        <v>208</v>
      </c>
      <c r="B46" s="90" t="s">
        <v>206</v>
      </c>
      <c r="C46" s="408">
        <v>181199</v>
      </c>
      <c r="D46" s="558">
        <v>60854</v>
      </c>
      <c r="E46" s="558">
        <v>14036</v>
      </c>
      <c r="F46" s="572">
        <v>21146</v>
      </c>
      <c r="G46" s="561">
        <v>2578</v>
      </c>
      <c r="H46" s="546">
        <v>18850</v>
      </c>
      <c r="I46" s="538">
        <v>-282</v>
      </c>
      <c r="J46" s="546">
        <v>2821</v>
      </c>
      <c r="K46" s="408">
        <v>98857</v>
      </c>
      <c r="L46" s="1103">
        <v>82342</v>
      </c>
      <c r="M46" s="1096">
        <v>153851</v>
      </c>
      <c r="N46" s="539">
        <v>83627</v>
      </c>
      <c r="O46" s="829">
        <v>12118</v>
      </c>
      <c r="P46" s="293">
        <v>208</v>
      </c>
      <c r="Q46" s="314">
        <f>(C46-'21R2'!C46)/'21R2'!C46*100</f>
        <v>4.6546147626198451</v>
      </c>
      <c r="R46" s="394">
        <f t="shared" si="0"/>
        <v>181199</v>
      </c>
      <c r="S46" s="394">
        <f t="shared" si="1"/>
        <v>0</v>
      </c>
      <c r="T46" s="49">
        <f>民間設備製造1!R48</f>
        <v>5024</v>
      </c>
      <c r="U46" s="49">
        <v>105046</v>
      </c>
    </row>
    <row r="47" spans="1:21">
      <c r="A47" s="300">
        <v>212</v>
      </c>
      <c r="B47" s="90" t="s">
        <v>207</v>
      </c>
      <c r="C47" s="408">
        <v>232306</v>
      </c>
      <c r="D47" s="558">
        <v>97995</v>
      </c>
      <c r="E47" s="558">
        <v>25561</v>
      </c>
      <c r="F47" s="572">
        <v>50793</v>
      </c>
      <c r="G47" s="561">
        <v>6635</v>
      </c>
      <c r="H47" s="546">
        <v>44673</v>
      </c>
      <c r="I47" s="538">
        <v>-515</v>
      </c>
      <c r="J47" s="546">
        <v>6291</v>
      </c>
      <c r="K47" s="408">
        <v>180640</v>
      </c>
      <c r="L47" s="1103">
        <v>51666</v>
      </c>
      <c r="M47" s="1096">
        <v>200586</v>
      </c>
      <c r="N47" s="539">
        <v>152811</v>
      </c>
      <c r="O47" s="829">
        <v>3891</v>
      </c>
      <c r="P47" s="293">
        <v>212</v>
      </c>
      <c r="Q47" s="314">
        <f>(C47-'21R2'!C47)/'21R2'!C47*100</f>
        <v>-3.9470419926235878</v>
      </c>
      <c r="R47" s="394">
        <f t="shared" si="0"/>
        <v>232306</v>
      </c>
      <c r="S47" s="394">
        <f t="shared" si="1"/>
        <v>0</v>
      </c>
      <c r="T47" s="49">
        <f>民間設備製造1!R49</f>
        <v>25722</v>
      </c>
      <c r="U47" s="49">
        <v>198729</v>
      </c>
    </row>
    <row r="48" spans="1:21">
      <c r="A48" s="300">
        <v>227</v>
      </c>
      <c r="B48" s="90" t="s">
        <v>219</v>
      </c>
      <c r="C48" s="408">
        <v>117995</v>
      </c>
      <c r="D48" s="558">
        <v>66748</v>
      </c>
      <c r="E48" s="558">
        <v>24450</v>
      </c>
      <c r="F48" s="572">
        <v>18421</v>
      </c>
      <c r="G48" s="561">
        <v>2322</v>
      </c>
      <c r="H48" s="546">
        <v>16431</v>
      </c>
      <c r="I48" s="538">
        <v>-332</v>
      </c>
      <c r="J48" s="546">
        <v>6808</v>
      </c>
      <c r="K48" s="408">
        <v>116427</v>
      </c>
      <c r="L48" s="1103">
        <v>1568</v>
      </c>
      <c r="M48" s="1096">
        <v>106948</v>
      </c>
      <c r="N48" s="539">
        <v>98490</v>
      </c>
      <c r="O48" s="829">
        <v>-6890</v>
      </c>
      <c r="P48" s="293">
        <v>227</v>
      </c>
      <c r="Q48" s="314">
        <f>(C48-'21R2'!C48)/'21R2'!C48*100</f>
        <v>5.433636542345015</v>
      </c>
      <c r="R48" s="394">
        <f t="shared" si="0"/>
        <v>117995</v>
      </c>
      <c r="S48" s="394">
        <f t="shared" si="1"/>
        <v>0</v>
      </c>
      <c r="T48" s="49">
        <f>民間設備製造1!R50</f>
        <v>4315</v>
      </c>
      <c r="U48" s="49">
        <v>130684</v>
      </c>
    </row>
    <row r="49" spans="1:21">
      <c r="A49" s="300">
        <v>229</v>
      </c>
      <c r="B49" s="90" t="s">
        <v>235</v>
      </c>
      <c r="C49" s="408">
        <v>346247</v>
      </c>
      <c r="D49" s="558">
        <v>145517</v>
      </c>
      <c r="E49" s="558">
        <v>30133</v>
      </c>
      <c r="F49" s="572">
        <v>64299</v>
      </c>
      <c r="G49" s="561">
        <v>8345</v>
      </c>
      <c r="H49" s="546">
        <v>56673</v>
      </c>
      <c r="I49" s="538">
        <v>-719</v>
      </c>
      <c r="J49" s="546">
        <v>12153</v>
      </c>
      <c r="K49" s="408">
        <v>252102</v>
      </c>
      <c r="L49" s="1103">
        <v>94145</v>
      </c>
      <c r="M49" s="1096">
        <v>295451</v>
      </c>
      <c r="N49" s="539">
        <v>213263</v>
      </c>
      <c r="O49" s="829">
        <v>11957</v>
      </c>
      <c r="P49" s="293">
        <v>229</v>
      </c>
      <c r="Q49" s="314">
        <f>(C49-'21R2'!C49)/'21R2'!C49*100</f>
        <v>-1.0601302445729048</v>
      </c>
      <c r="R49" s="394">
        <f t="shared" si="0"/>
        <v>346247</v>
      </c>
      <c r="S49" s="394">
        <f t="shared" si="1"/>
        <v>0</v>
      </c>
      <c r="T49" s="49">
        <f>民間設備製造1!R51</f>
        <v>29150</v>
      </c>
      <c r="U49" s="49">
        <v>271400</v>
      </c>
    </row>
    <row r="50" spans="1:21">
      <c r="A50" s="300">
        <v>464</v>
      </c>
      <c r="B50" s="90" t="s">
        <v>208</v>
      </c>
      <c r="C50" s="408">
        <v>132980</v>
      </c>
      <c r="D50" s="558">
        <v>66805</v>
      </c>
      <c r="E50" s="558">
        <v>10761</v>
      </c>
      <c r="F50" s="572">
        <v>17185</v>
      </c>
      <c r="G50" s="561">
        <v>5002</v>
      </c>
      <c r="H50" s="546">
        <v>12460</v>
      </c>
      <c r="I50" s="538">
        <v>-277</v>
      </c>
      <c r="J50" s="546">
        <v>2387</v>
      </c>
      <c r="K50" s="408">
        <v>97138</v>
      </c>
      <c r="L50" s="1103">
        <v>35842</v>
      </c>
      <c r="M50" s="1096">
        <v>113114</v>
      </c>
      <c r="N50" s="539">
        <v>82173</v>
      </c>
      <c r="O50" s="829">
        <v>4901</v>
      </c>
      <c r="P50" s="293">
        <v>464</v>
      </c>
      <c r="Q50" s="314">
        <f>(C50-'21R2'!C50)/'21R2'!C50*100</f>
        <v>16.149882085771683</v>
      </c>
      <c r="R50" s="394">
        <f t="shared" si="0"/>
        <v>132980</v>
      </c>
      <c r="S50" s="394">
        <f t="shared" si="1"/>
        <v>0</v>
      </c>
      <c r="T50" s="49">
        <f>民間設備製造1!R52</f>
        <v>9970</v>
      </c>
      <c r="U50" s="49">
        <v>119525</v>
      </c>
    </row>
    <row r="51" spans="1:21">
      <c r="A51" s="300">
        <v>481</v>
      </c>
      <c r="B51" s="90" t="s">
        <v>209</v>
      </c>
      <c r="C51" s="408">
        <v>54604</v>
      </c>
      <c r="D51" s="558">
        <v>28621</v>
      </c>
      <c r="E51" s="558">
        <v>8986</v>
      </c>
      <c r="F51" s="572">
        <v>8665</v>
      </c>
      <c r="G51" s="561">
        <v>919</v>
      </c>
      <c r="H51" s="546">
        <v>7887</v>
      </c>
      <c r="I51" s="538">
        <v>-141</v>
      </c>
      <c r="J51" s="546">
        <v>3265</v>
      </c>
      <c r="K51" s="408">
        <v>49537</v>
      </c>
      <c r="L51" s="1103">
        <v>5067</v>
      </c>
      <c r="M51" s="1096">
        <v>48464</v>
      </c>
      <c r="N51" s="539">
        <v>41905</v>
      </c>
      <c r="O51" s="829">
        <v>-1492</v>
      </c>
      <c r="P51" s="293">
        <v>481</v>
      </c>
      <c r="Q51" s="314">
        <f>(C51-'21R2'!C51)/'21R2'!C51*100</f>
        <v>9.1752474257722678</v>
      </c>
      <c r="R51" s="394">
        <f t="shared" si="0"/>
        <v>54604</v>
      </c>
      <c r="S51" s="394">
        <f t="shared" si="1"/>
        <v>0</v>
      </c>
      <c r="T51" s="49">
        <f>民間設備製造1!R53</f>
        <v>3604</v>
      </c>
      <c r="U51" s="49">
        <v>54626</v>
      </c>
    </row>
    <row r="52" spans="1:21">
      <c r="A52" s="300">
        <v>501</v>
      </c>
      <c r="B52" s="90" t="s">
        <v>236</v>
      </c>
      <c r="C52" s="409">
        <v>61915</v>
      </c>
      <c r="D52" s="559">
        <v>30603</v>
      </c>
      <c r="E52" s="559">
        <v>13303</v>
      </c>
      <c r="F52" s="572">
        <v>8948</v>
      </c>
      <c r="G52" s="561">
        <v>1557</v>
      </c>
      <c r="H52" s="546">
        <v>7552</v>
      </c>
      <c r="I52" s="538">
        <v>-161</v>
      </c>
      <c r="J52" s="546">
        <v>3519</v>
      </c>
      <c r="K52" s="408">
        <v>56373</v>
      </c>
      <c r="L52" s="1103">
        <v>5542</v>
      </c>
      <c r="M52" s="1097">
        <v>56327</v>
      </c>
      <c r="N52" s="543">
        <v>47688</v>
      </c>
      <c r="O52" s="829">
        <v>-3097</v>
      </c>
      <c r="P52" s="293">
        <v>501</v>
      </c>
      <c r="Q52" s="314">
        <f>(C52-'21R2'!C52)/'21R2'!C52*100</f>
        <v>4.7577957125695818</v>
      </c>
      <c r="R52" s="394">
        <f t="shared" si="0"/>
        <v>61915</v>
      </c>
      <c r="S52" s="394">
        <f t="shared" si="1"/>
        <v>0</v>
      </c>
      <c r="T52" s="49">
        <f>民間設備製造1!R54</f>
        <v>1190</v>
      </c>
      <c r="U52" s="49">
        <v>64732</v>
      </c>
    </row>
    <row r="53" spans="1:21">
      <c r="A53" s="301">
        <v>7</v>
      </c>
      <c r="B53" s="347" t="s">
        <v>210</v>
      </c>
      <c r="C53" s="408">
        <v>604482</v>
      </c>
      <c r="D53" s="558">
        <v>341660</v>
      </c>
      <c r="E53" s="558">
        <v>122677</v>
      </c>
      <c r="F53" s="292">
        <v>100841</v>
      </c>
      <c r="G53" s="560">
        <v>11867</v>
      </c>
      <c r="H53" s="547">
        <v>90699</v>
      </c>
      <c r="I53" s="544">
        <v>-1725</v>
      </c>
      <c r="J53" s="547">
        <v>39681</v>
      </c>
      <c r="K53" s="292">
        <v>604859</v>
      </c>
      <c r="L53" s="1102">
        <v>-377</v>
      </c>
      <c r="M53" s="1096">
        <v>546749</v>
      </c>
      <c r="N53" s="539">
        <v>511674</v>
      </c>
      <c r="O53" s="826">
        <v>-35452</v>
      </c>
      <c r="P53" s="293">
        <v>7</v>
      </c>
      <c r="Q53" s="314">
        <f>(C53-'21R2'!C53)/'21R2'!C53*100</f>
        <v>-5.4258544782074027</v>
      </c>
      <c r="R53" s="394">
        <f t="shared" si="0"/>
        <v>604482</v>
      </c>
      <c r="S53" s="394">
        <f t="shared" si="1"/>
        <v>0</v>
      </c>
      <c r="T53" s="49">
        <f>民間設備製造1!R55</f>
        <v>29378</v>
      </c>
      <c r="U53" s="49">
        <v>653410</v>
      </c>
    </row>
    <row r="54" spans="1:21">
      <c r="A54" s="300">
        <v>209</v>
      </c>
      <c r="B54" s="90" t="s">
        <v>221</v>
      </c>
      <c r="C54" s="408">
        <v>298834</v>
      </c>
      <c r="D54" s="558">
        <v>171240</v>
      </c>
      <c r="E54" s="558">
        <v>52427</v>
      </c>
      <c r="F54" s="572">
        <v>48028</v>
      </c>
      <c r="G54" s="561">
        <v>7401</v>
      </c>
      <c r="H54" s="546">
        <v>41448</v>
      </c>
      <c r="I54" s="538">
        <v>-821</v>
      </c>
      <c r="J54" s="546">
        <v>16055</v>
      </c>
      <c r="K54" s="408">
        <v>287750</v>
      </c>
      <c r="L54" s="1103">
        <v>11084</v>
      </c>
      <c r="M54" s="1096">
        <v>266662</v>
      </c>
      <c r="N54" s="539">
        <v>243419</v>
      </c>
      <c r="O54" s="829">
        <v>-12159</v>
      </c>
      <c r="P54" s="293">
        <v>209</v>
      </c>
      <c r="Q54" s="314">
        <f>(C54-'21R2'!C54)/'21R2'!C54*100</f>
        <v>0.61039455122701758</v>
      </c>
      <c r="R54" s="394">
        <f t="shared" si="0"/>
        <v>298834</v>
      </c>
      <c r="S54" s="394">
        <f t="shared" si="1"/>
        <v>0</v>
      </c>
      <c r="T54" s="49">
        <f>民間設備製造1!R56</f>
        <v>8778</v>
      </c>
      <c r="U54" s="49">
        <v>302937</v>
      </c>
    </row>
    <row r="55" spans="1:21">
      <c r="A55" s="300">
        <v>222</v>
      </c>
      <c r="B55" s="90" t="s">
        <v>218</v>
      </c>
      <c r="C55" s="408">
        <v>82546</v>
      </c>
      <c r="D55" s="558">
        <v>46668</v>
      </c>
      <c r="E55" s="558">
        <v>19796</v>
      </c>
      <c r="F55" s="572">
        <v>13688</v>
      </c>
      <c r="G55" s="561">
        <v>1021</v>
      </c>
      <c r="H55" s="546">
        <v>12920</v>
      </c>
      <c r="I55" s="538">
        <v>-253</v>
      </c>
      <c r="J55" s="546">
        <v>8618</v>
      </c>
      <c r="K55" s="408">
        <v>88770</v>
      </c>
      <c r="L55" s="1103">
        <v>-6224</v>
      </c>
      <c r="M55" s="1096">
        <v>76007</v>
      </c>
      <c r="N55" s="539">
        <v>75094</v>
      </c>
      <c r="O55" s="829">
        <v>-7137</v>
      </c>
      <c r="P55" s="293">
        <v>222</v>
      </c>
      <c r="Q55" s="314">
        <f>(C55-'21R2'!C55)/'21R2'!C55*100</f>
        <v>6.395648587337595</v>
      </c>
      <c r="R55" s="394">
        <f t="shared" si="0"/>
        <v>82546</v>
      </c>
      <c r="S55" s="394">
        <f t="shared" si="1"/>
        <v>0</v>
      </c>
      <c r="T55" s="49">
        <f>民間設備製造1!R57</f>
        <v>4290</v>
      </c>
      <c r="U55" s="49">
        <v>93979</v>
      </c>
    </row>
    <row r="56" spans="1:21">
      <c r="A56" s="300">
        <v>225</v>
      </c>
      <c r="B56" s="90" t="s">
        <v>222</v>
      </c>
      <c r="C56" s="408">
        <v>126362</v>
      </c>
      <c r="D56" s="558">
        <v>63506</v>
      </c>
      <c r="E56" s="558">
        <v>21906</v>
      </c>
      <c r="F56" s="572">
        <v>22521</v>
      </c>
      <c r="G56" s="561">
        <v>2169</v>
      </c>
      <c r="H56" s="546">
        <v>20675</v>
      </c>
      <c r="I56" s="538">
        <v>-323</v>
      </c>
      <c r="J56" s="546">
        <v>5291</v>
      </c>
      <c r="K56" s="408">
        <v>113224</v>
      </c>
      <c r="L56" s="1103">
        <v>13138</v>
      </c>
      <c r="M56" s="1096">
        <v>112643</v>
      </c>
      <c r="N56" s="539">
        <v>95781</v>
      </c>
      <c r="O56" s="829">
        <v>-3724</v>
      </c>
      <c r="P56" s="293">
        <v>225</v>
      </c>
      <c r="Q56" s="314">
        <f>(C56-'21R2'!C56)/'21R2'!C56*100</f>
        <v>-24.465299778827188</v>
      </c>
      <c r="R56" s="394">
        <f t="shared" si="0"/>
        <v>126362</v>
      </c>
      <c r="S56" s="394">
        <f t="shared" si="1"/>
        <v>0</v>
      </c>
      <c r="T56" s="49">
        <f>民間設備製造1!R58</f>
        <v>14532</v>
      </c>
      <c r="U56" s="49">
        <v>132224</v>
      </c>
    </row>
    <row r="57" spans="1:21">
      <c r="A57" s="300">
        <v>585</v>
      </c>
      <c r="B57" s="90" t="s">
        <v>220</v>
      </c>
      <c r="C57" s="408">
        <v>52162</v>
      </c>
      <c r="D57" s="558">
        <v>32838</v>
      </c>
      <c r="E57" s="558">
        <v>15553</v>
      </c>
      <c r="F57" s="572">
        <v>9569</v>
      </c>
      <c r="G57" s="561">
        <v>434</v>
      </c>
      <c r="H57" s="546">
        <v>9318</v>
      </c>
      <c r="I57" s="538">
        <v>-183</v>
      </c>
      <c r="J57" s="546">
        <v>6208</v>
      </c>
      <c r="K57" s="408">
        <v>64168</v>
      </c>
      <c r="L57" s="1103">
        <v>-12006</v>
      </c>
      <c r="M57" s="1096">
        <v>49374</v>
      </c>
      <c r="N57" s="539">
        <v>54282</v>
      </c>
      <c r="O57" s="829">
        <v>-7098</v>
      </c>
      <c r="P57" s="293">
        <v>585</v>
      </c>
      <c r="Q57" s="314">
        <f>(C57-'21R2'!C57)/'21R2'!C57*100</f>
        <v>-1.1858755777828296</v>
      </c>
      <c r="R57" s="394">
        <f t="shared" si="0"/>
        <v>52162</v>
      </c>
      <c r="S57" s="394">
        <f t="shared" si="1"/>
        <v>0</v>
      </c>
      <c r="T57" s="49">
        <f>民間設備製造1!R59</f>
        <v>1228</v>
      </c>
      <c r="U57" s="49">
        <v>68081</v>
      </c>
    </row>
    <row r="58" spans="1:21">
      <c r="A58" s="302">
        <v>586</v>
      </c>
      <c r="B58" s="201" t="s">
        <v>237</v>
      </c>
      <c r="C58" s="408">
        <v>44578</v>
      </c>
      <c r="D58" s="558">
        <v>27408</v>
      </c>
      <c r="E58" s="558">
        <v>12995</v>
      </c>
      <c r="F58" s="573">
        <v>7035</v>
      </c>
      <c r="G58" s="562">
        <v>842</v>
      </c>
      <c r="H58" s="548">
        <v>6338</v>
      </c>
      <c r="I58" s="542">
        <v>-145</v>
      </c>
      <c r="J58" s="548">
        <v>3509</v>
      </c>
      <c r="K58" s="409">
        <v>50947</v>
      </c>
      <c r="L58" s="1104">
        <v>-6369</v>
      </c>
      <c r="M58" s="1096">
        <v>42063</v>
      </c>
      <c r="N58" s="539">
        <v>43098</v>
      </c>
      <c r="O58" s="836">
        <v>-5334</v>
      </c>
      <c r="P58" s="293">
        <v>586</v>
      </c>
      <c r="Q58" s="314">
        <f>(C58-'21R2'!C58)/'21R2'!C58*100</f>
        <v>0.22257694642415521</v>
      </c>
      <c r="R58" s="394">
        <f t="shared" si="0"/>
        <v>44578</v>
      </c>
      <c r="S58" s="394">
        <f t="shared" si="1"/>
        <v>0</v>
      </c>
      <c r="T58" s="49">
        <f>民間設備製造1!R60</f>
        <v>550</v>
      </c>
      <c r="U58" s="49">
        <v>56189</v>
      </c>
    </row>
    <row r="59" spans="1:21">
      <c r="A59" s="300">
        <v>8</v>
      </c>
      <c r="B59" s="86" t="s">
        <v>211</v>
      </c>
      <c r="C59" s="407">
        <v>460054</v>
      </c>
      <c r="D59" s="557">
        <v>217302</v>
      </c>
      <c r="E59" s="557">
        <v>67683</v>
      </c>
      <c r="F59" s="281">
        <v>87123</v>
      </c>
      <c r="G59" s="561">
        <v>11152</v>
      </c>
      <c r="H59" s="546">
        <v>77070</v>
      </c>
      <c r="I59" s="538">
        <v>-1099</v>
      </c>
      <c r="J59" s="546">
        <v>13133</v>
      </c>
      <c r="K59" s="281">
        <v>385241</v>
      </c>
      <c r="L59" s="1103">
        <v>74813</v>
      </c>
      <c r="M59" s="1095">
        <v>404774</v>
      </c>
      <c r="N59" s="545">
        <v>325890</v>
      </c>
      <c r="O59" s="829">
        <v>-4071</v>
      </c>
      <c r="P59" s="293">
        <v>8</v>
      </c>
      <c r="Q59" s="314">
        <f>(C59-'21R2'!C59)/'21R2'!C59*100</f>
        <v>1.5392425178776374</v>
      </c>
      <c r="R59" s="394">
        <f t="shared" si="0"/>
        <v>460054</v>
      </c>
      <c r="S59" s="394">
        <f t="shared" si="1"/>
        <v>0</v>
      </c>
      <c r="T59" s="49">
        <f>民間設備製造1!R61</f>
        <v>19033</v>
      </c>
      <c r="U59" s="49">
        <v>408860</v>
      </c>
    </row>
    <row r="60" spans="1:21">
      <c r="A60" s="300">
        <v>221</v>
      </c>
      <c r="B60" s="492" t="s">
        <v>1144</v>
      </c>
      <c r="C60" s="408">
        <v>199933</v>
      </c>
      <c r="D60" s="558">
        <v>87436</v>
      </c>
      <c r="E60" s="558">
        <v>29808</v>
      </c>
      <c r="F60" s="572">
        <v>32888</v>
      </c>
      <c r="G60" s="561">
        <v>3547</v>
      </c>
      <c r="H60" s="546">
        <v>29781</v>
      </c>
      <c r="I60" s="538">
        <v>-440</v>
      </c>
      <c r="J60" s="546">
        <v>4156</v>
      </c>
      <c r="K60" s="408">
        <v>154288</v>
      </c>
      <c r="L60" s="1103">
        <v>45645</v>
      </c>
      <c r="M60" s="1096">
        <v>176083</v>
      </c>
      <c r="N60" s="539">
        <v>130518</v>
      </c>
      <c r="O60" s="829">
        <v>80</v>
      </c>
      <c r="P60" s="293">
        <v>221</v>
      </c>
      <c r="Q60" s="314">
        <f>(C60-'21R2'!C60)/'21R2'!C60*100</f>
        <v>-2.8918775833345478</v>
      </c>
      <c r="R60" s="394">
        <f t="shared" si="0"/>
        <v>199933</v>
      </c>
      <c r="S60" s="394">
        <f t="shared" si="1"/>
        <v>0</v>
      </c>
      <c r="T60" s="49">
        <f>民間設備製造1!R62</f>
        <v>7041</v>
      </c>
      <c r="U60" s="49">
        <v>165739</v>
      </c>
    </row>
    <row r="61" spans="1:21">
      <c r="A61" s="300">
        <v>223</v>
      </c>
      <c r="B61" s="90" t="s">
        <v>223</v>
      </c>
      <c r="C61" s="409">
        <v>260121</v>
      </c>
      <c r="D61" s="559">
        <v>129866</v>
      </c>
      <c r="E61" s="559">
        <v>37875</v>
      </c>
      <c r="F61" s="572">
        <v>54235</v>
      </c>
      <c r="G61" s="561">
        <v>7605</v>
      </c>
      <c r="H61" s="546">
        <v>47289</v>
      </c>
      <c r="I61" s="538">
        <v>-659</v>
      </c>
      <c r="J61" s="546">
        <v>8977</v>
      </c>
      <c r="K61" s="408">
        <v>230953</v>
      </c>
      <c r="L61" s="1103">
        <v>29168</v>
      </c>
      <c r="M61" s="1097">
        <v>228691</v>
      </c>
      <c r="N61" s="543">
        <v>195372</v>
      </c>
      <c r="O61" s="829">
        <v>-4151</v>
      </c>
      <c r="P61" s="293">
        <v>223</v>
      </c>
      <c r="Q61" s="314">
        <f>(C61-'21R2'!C61)/'21R2'!C61*100</f>
        <v>5.2299215592674555</v>
      </c>
      <c r="R61" s="394">
        <f t="shared" si="0"/>
        <v>260121</v>
      </c>
      <c r="S61" s="394">
        <f t="shared" si="1"/>
        <v>0</v>
      </c>
      <c r="T61" s="49">
        <f>民間設備製造1!R63</f>
        <v>11992</v>
      </c>
      <c r="U61" s="49">
        <v>243121</v>
      </c>
    </row>
    <row r="62" spans="1:21">
      <c r="A62" s="301">
        <v>9</v>
      </c>
      <c r="B62" s="346" t="s">
        <v>212</v>
      </c>
      <c r="C62" s="407">
        <v>452131</v>
      </c>
      <c r="D62" s="558">
        <v>254333</v>
      </c>
      <c r="E62" s="558">
        <v>106432</v>
      </c>
      <c r="F62" s="292">
        <v>90197</v>
      </c>
      <c r="G62" s="560">
        <v>16793</v>
      </c>
      <c r="H62" s="547">
        <v>74791</v>
      </c>
      <c r="I62" s="544">
        <v>-1387</v>
      </c>
      <c r="J62" s="547">
        <v>35417</v>
      </c>
      <c r="K62" s="292">
        <v>486379</v>
      </c>
      <c r="L62" s="1102">
        <v>-34248</v>
      </c>
      <c r="M62" s="1096">
        <v>415431</v>
      </c>
      <c r="N62" s="539">
        <v>411447</v>
      </c>
      <c r="O62" s="826">
        <v>-38232</v>
      </c>
      <c r="P62" s="293">
        <v>9</v>
      </c>
      <c r="Q62" s="314">
        <f>(C62-'21R2'!C62)/'21R2'!C62*100</f>
        <v>2.3861284347160514</v>
      </c>
      <c r="R62" s="394">
        <f t="shared" si="0"/>
        <v>452131</v>
      </c>
      <c r="S62" s="394">
        <f t="shared" si="1"/>
        <v>0</v>
      </c>
      <c r="T62" s="49">
        <f>民間設備製造1!R64</f>
        <v>12881</v>
      </c>
      <c r="U62" s="49">
        <v>489502</v>
      </c>
    </row>
    <row r="63" spans="1:21">
      <c r="A63" s="300">
        <v>205</v>
      </c>
      <c r="B63" s="92" t="s">
        <v>241</v>
      </c>
      <c r="C63" s="408">
        <v>154199</v>
      </c>
      <c r="D63" s="558">
        <v>86495</v>
      </c>
      <c r="E63" s="558">
        <v>43418</v>
      </c>
      <c r="F63" s="572">
        <v>35105</v>
      </c>
      <c r="G63" s="561">
        <v>4594</v>
      </c>
      <c r="H63" s="546">
        <v>31012</v>
      </c>
      <c r="I63" s="538">
        <v>-501</v>
      </c>
      <c r="J63" s="546">
        <v>10582</v>
      </c>
      <c r="K63" s="408">
        <v>175600</v>
      </c>
      <c r="L63" s="1103">
        <v>-21401</v>
      </c>
      <c r="M63" s="1096">
        <v>144827</v>
      </c>
      <c r="N63" s="539">
        <v>148547</v>
      </c>
      <c r="O63" s="829">
        <v>-17681</v>
      </c>
      <c r="P63" s="293">
        <v>205</v>
      </c>
      <c r="Q63" s="314">
        <f>(C63-'21R2'!C63)/'21R2'!C63*100</f>
        <v>3.8230283932911844</v>
      </c>
      <c r="R63" s="394">
        <f t="shared" si="0"/>
        <v>154199</v>
      </c>
      <c r="S63" s="394">
        <f t="shared" si="1"/>
        <v>0</v>
      </c>
      <c r="T63" s="49">
        <f>民間設備製造1!R65</f>
        <v>7736</v>
      </c>
      <c r="U63" s="49">
        <v>166909</v>
      </c>
    </row>
    <row r="64" spans="1:21">
      <c r="A64" s="300">
        <v>224</v>
      </c>
      <c r="B64" s="90" t="s">
        <v>224</v>
      </c>
      <c r="C64" s="408">
        <v>148754</v>
      </c>
      <c r="D64" s="558">
        <v>83025</v>
      </c>
      <c r="E64" s="558">
        <v>31303</v>
      </c>
      <c r="F64" s="572">
        <v>22375</v>
      </c>
      <c r="G64" s="561">
        <v>4134</v>
      </c>
      <c r="H64" s="546">
        <v>18669</v>
      </c>
      <c r="I64" s="538">
        <v>-428</v>
      </c>
      <c r="J64" s="546">
        <v>13522</v>
      </c>
      <c r="K64" s="408">
        <v>150225</v>
      </c>
      <c r="L64" s="1103">
        <v>-1471</v>
      </c>
      <c r="M64" s="1096">
        <v>135039</v>
      </c>
      <c r="N64" s="539">
        <v>127081</v>
      </c>
      <c r="O64" s="829">
        <v>-9429</v>
      </c>
      <c r="P64" s="293">
        <v>224</v>
      </c>
      <c r="Q64" s="314">
        <f>(C64-'21R2'!C64)/'21R2'!C64*100</f>
        <v>-1.3855373763623346</v>
      </c>
      <c r="R64" s="394">
        <f t="shared" si="0"/>
        <v>148754</v>
      </c>
      <c r="S64" s="394">
        <f t="shared" si="1"/>
        <v>0</v>
      </c>
      <c r="T64" s="49">
        <f>民間設備製造1!R66</f>
        <v>2476</v>
      </c>
      <c r="U64" s="49">
        <v>156696</v>
      </c>
    </row>
    <row r="65" spans="1:21">
      <c r="A65" s="302">
        <v>226</v>
      </c>
      <c r="B65" s="201" t="s">
        <v>225</v>
      </c>
      <c r="C65" s="409">
        <v>149178</v>
      </c>
      <c r="D65" s="559">
        <v>84813</v>
      </c>
      <c r="E65" s="559">
        <v>31711</v>
      </c>
      <c r="F65" s="573">
        <v>32717</v>
      </c>
      <c r="G65" s="562">
        <v>8065</v>
      </c>
      <c r="H65" s="548">
        <v>25110</v>
      </c>
      <c r="I65" s="542">
        <v>-458</v>
      </c>
      <c r="J65" s="548">
        <v>11313</v>
      </c>
      <c r="K65" s="409">
        <v>160554</v>
      </c>
      <c r="L65" s="1104">
        <v>-11376</v>
      </c>
      <c r="M65" s="1097">
        <v>135565</v>
      </c>
      <c r="N65" s="543">
        <v>135819</v>
      </c>
      <c r="O65" s="836">
        <v>-11122</v>
      </c>
      <c r="P65" s="293">
        <v>226</v>
      </c>
      <c r="Q65" s="314">
        <f>(C65-'21R2'!C65)/'21R2'!C65*100</f>
        <v>4.8857827869140618</v>
      </c>
      <c r="R65" s="394">
        <f t="shared" si="0"/>
        <v>149178</v>
      </c>
      <c r="S65" s="394">
        <f t="shared" si="1"/>
        <v>0</v>
      </c>
      <c r="T65" s="49">
        <f>民間設備製造1!R67</f>
        <v>2669</v>
      </c>
      <c r="U65" s="49">
        <v>165897</v>
      </c>
    </row>
    <row r="66" spans="1:21">
      <c r="A66" s="75"/>
      <c r="B66" s="75"/>
      <c r="C66" s="75"/>
      <c r="D66" s="75"/>
      <c r="E66" s="75"/>
      <c r="F66" s="75"/>
      <c r="G66" s="75"/>
      <c r="H66" s="75"/>
      <c r="I66" s="75"/>
      <c r="J66" s="75"/>
      <c r="K66" s="75"/>
      <c r="L66" s="75"/>
      <c r="M66" s="75"/>
      <c r="N66" s="75"/>
      <c r="O66" s="75"/>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3.2</v>
      </c>
      <c r="D70" s="384">
        <f>ROUND((D4-'21R2'!D4)/ABS('21R2'!D4)*100,1)</f>
        <v>3.3</v>
      </c>
      <c r="E70" s="384">
        <f>ROUND((E4-'21R2'!E4)/ABS('21R2'!E4)*100,1)</f>
        <v>7.2</v>
      </c>
      <c r="F70" s="384">
        <f>ROUND((F4-'21R2'!F4)/ABS('21R2'!F4)*100,1)</f>
        <v>8.4</v>
      </c>
      <c r="G70" s="384">
        <f>ROUND((G4-'21R2'!G4)/ABS('21R2'!G4)*100,1)</f>
        <v>13.9</v>
      </c>
      <c r="H70" s="384">
        <f>ROUND((H4-'21R2'!H4)/ABS('21R2'!H4)*100,1)</f>
        <v>3.6</v>
      </c>
      <c r="I70" s="384">
        <f>ROUND((I4-'21R2'!I4)/ABS('21R2'!I4)*100,1)</f>
        <v>66.2</v>
      </c>
      <c r="J70" s="384">
        <f>ROUND((J4-'21R2'!J4)/ABS('21R2'!J4)*100,1)</f>
        <v>1.8</v>
      </c>
      <c r="K70" s="384">
        <f>ROUND((K4-'21R2'!K4)/ABS('21R2'!K4)*100,1)</f>
        <v>4.8</v>
      </c>
      <c r="L70" s="384">
        <f>ROUND((L4-'21R2'!L4)/ABS('21R2'!L4)*100,1)</f>
        <v>-20</v>
      </c>
      <c r="M70" s="384">
        <f>ROUND((M4-'21R2'!M4)/ABS('21R2'!M4)*100,1)</f>
        <v>10.4</v>
      </c>
      <c r="N70" s="384">
        <f>ROUND((N4-'21R2'!N4)/ABS('21R2'!N4)*100,1)</f>
        <v>13</v>
      </c>
      <c r="O70" s="384">
        <f>ROUND((O4-'21R2'!O4)/ABS('21R2'!O4)*100,1)</f>
        <v>-10</v>
      </c>
    </row>
    <row r="71" spans="1:21">
      <c r="A71" s="77">
        <v>100</v>
      </c>
      <c r="B71" s="75" t="s">
        <v>172</v>
      </c>
      <c r="C71" s="384">
        <f>ROUND((C5-'21R2'!C5)/ABS('21R2'!C5)*100,1)</f>
        <v>1.8</v>
      </c>
      <c r="D71" s="384">
        <f>ROUND((D5-'21R2'!D5)/ABS('21R2'!D5)*100,1)</f>
        <v>3.3</v>
      </c>
      <c r="E71" s="384">
        <f>ROUND((E5-'21R2'!E5)/ABS('21R2'!E5)*100,1)</f>
        <v>10</v>
      </c>
      <c r="F71" s="384">
        <f>ROUND((F5-'21R2'!F5)/ABS('21R2'!F5)*100,1)</f>
        <v>14.5</v>
      </c>
      <c r="G71" s="384">
        <f>ROUND((G5-'21R2'!G5)/ABS('21R2'!G5)*100,1)</f>
        <v>3.7</v>
      </c>
      <c r="H71" s="384">
        <f>ROUND((H5-'21R2'!H5)/ABS('21R2'!H5)*100,1)</f>
        <v>11.7</v>
      </c>
      <c r="I71" s="384">
        <f>ROUND((I5-'21R2'!I5)/ABS('21R2'!I5)*100,1)</f>
        <v>65.599999999999994</v>
      </c>
      <c r="J71" s="384">
        <f>ROUND((J5-'21R2'!J5)/ABS('21R2'!J5)*100,1)</f>
        <v>9.6</v>
      </c>
      <c r="K71" s="384">
        <f>ROUND((K5-'21R2'!K5)/ABS('21R2'!K5)*100,1)</f>
        <v>6.5</v>
      </c>
      <c r="L71" s="384">
        <f>ROUND((L5-'21R2'!L5)/ABS('21R2'!L5)*100,1)</f>
        <v>-48</v>
      </c>
      <c r="M71" s="384">
        <f>ROUND((M5-'21R2'!M5)/ABS('21R2'!M5)*100,1)</f>
        <v>9.1</v>
      </c>
      <c r="N71" s="384">
        <f>ROUND((N5-'21R2'!N5)/ABS('21R2'!N5)*100,1)</f>
        <v>14.9</v>
      </c>
      <c r="O71" s="384">
        <f>ROUND((O5-'21R2'!O5)/ABS('21R2'!O5)*100,1)</f>
        <v>-52</v>
      </c>
    </row>
    <row r="72" spans="1:21">
      <c r="A72" s="77">
        <v>1</v>
      </c>
      <c r="B72" s="75" t="s">
        <v>323</v>
      </c>
      <c r="C72" s="384">
        <f>ROUND((C6-'21R2'!C6)/ABS('21R2'!C6)*100,1)</f>
        <v>4.9000000000000004</v>
      </c>
      <c r="D72" s="384">
        <f>ROUND((D6-'21R2'!D6)/ABS('21R2'!D6)*100,1)</f>
        <v>3.3</v>
      </c>
      <c r="E72" s="384">
        <f>ROUND((E6-'21R2'!E6)/ABS('21R2'!E6)*100,1)</f>
        <v>5.9</v>
      </c>
      <c r="F72" s="384">
        <f>ROUND((F6-'21R2'!F6)/ABS('21R2'!F6)*100,1)</f>
        <v>14.1</v>
      </c>
      <c r="G72" s="384">
        <f>ROUND((G6-'21R2'!G6)/ABS('21R2'!G6)*100,1)</f>
        <v>6.9</v>
      </c>
      <c r="H72" s="384">
        <f>ROUND((H6-'21R2'!H6)/ABS('21R2'!H6)*100,1)</f>
        <v>11.3</v>
      </c>
      <c r="I72" s="384">
        <f>ROUND((I6-'21R2'!I6)/ABS('21R2'!I6)*100,1)</f>
        <v>66.099999999999994</v>
      </c>
      <c r="J72" s="384">
        <f>ROUND((J6-'21R2'!J6)/ABS('21R2'!J6)*100,1)</f>
        <v>-6.8</v>
      </c>
      <c r="K72" s="384">
        <f>ROUND((K6-'21R2'!K6)/ABS('21R2'!K6)*100,1)</f>
        <v>5.0999999999999996</v>
      </c>
      <c r="L72" s="384">
        <f>ROUND((L6-'21R2'!L6)/ABS('21R2'!L6)*100,1)</f>
        <v>-8.1999999999999993</v>
      </c>
      <c r="M72" s="384">
        <f>ROUND((M6-'21R2'!M6)/ABS('21R2'!M6)*100,1)</f>
        <v>12</v>
      </c>
      <c r="N72" s="384">
        <f>ROUND((N6-'21R2'!N6)/ABS('21R2'!N6)*100,1)</f>
        <v>13.4</v>
      </c>
      <c r="O72" s="384">
        <f>ROUND((O6-'21R2'!O6)/ABS('21R2'!O6)*100,1)</f>
        <v>18.5</v>
      </c>
    </row>
    <row r="73" spans="1:21">
      <c r="A73" s="77">
        <v>2</v>
      </c>
      <c r="B73" s="75" t="s">
        <v>324</v>
      </c>
      <c r="C73" s="384">
        <f>ROUND((C7-'21R2'!C7)/ABS('21R2'!C7)*100,1)</f>
        <v>7.8</v>
      </c>
      <c r="D73" s="384">
        <f>ROUND((D7-'21R2'!D7)/ABS('21R2'!D7)*100,1)</f>
        <v>4.9000000000000004</v>
      </c>
      <c r="E73" s="384">
        <f>ROUND((E7-'21R2'!E7)/ABS('21R2'!E7)*100,1)</f>
        <v>4.5999999999999996</v>
      </c>
      <c r="F73" s="384">
        <f>ROUND((F7-'21R2'!F7)/ABS('21R2'!F7)*100,1)</f>
        <v>-0.7</v>
      </c>
      <c r="G73" s="384">
        <f>ROUND((G7-'21R2'!G7)/ABS('21R2'!G7)*100,1)</f>
        <v>10</v>
      </c>
      <c r="H73" s="384">
        <f>ROUND((H7-'21R2'!H7)/ABS('21R2'!H7)*100,1)</f>
        <v>-6</v>
      </c>
      <c r="I73" s="384">
        <f>ROUND((I7-'21R2'!I7)/ABS('21R2'!I7)*100,1)</f>
        <v>66.099999999999994</v>
      </c>
      <c r="J73" s="384">
        <f>ROUND((J7-'21R2'!J7)/ABS('21R2'!J7)*100,1)</f>
        <v>53.2</v>
      </c>
      <c r="K73" s="384">
        <f>ROUND((K7-'21R2'!K7)/ABS('21R2'!K7)*100,1)</f>
        <v>5.0999999999999996</v>
      </c>
      <c r="L73" s="384">
        <f>ROUND((L7-'21R2'!L7)/ABS('21R2'!L7)*100,1)</f>
        <v>12.8</v>
      </c>
      <c r="M73" s="384">
        <f>ROUND((M7-'21R2'!M7)/ABS('21R2'!M7)*100,1)</f>
        <v>14.6</v>
      </c>
      <c r="N73" s="384">
        <f>ROUND((N7-'21R2'!N7)/ABS('21R2'!N7)*100,1)</f>
        <v>13.3</v>
      </c>
      <c r="O73" s="384">
        <f>ROUND((O7-'21R2'!O7)/ABS('21R2'!O7)*100,1)</f>
        <v>25.8</v>
      </c>
    </row>
    <row r="74" spans="1:21">
      <c r="A74" s="77">
        <v>3</v>
      </c>
      <c r="B74" s="75" t="s">
        <v>192</v>
      </c>
      <c r="C74" s="384">
        <f>ROUND((C8-'21R2'!C8)/ABS('21R2'!C8)*100,1)</f>
        <v>-0.4</v>
      </c>
      <c r="D74" s="384">
        <f>ROUND((D8-'21R2'!D8)/ABS('21R2'!D8)*100,1)</f>
        <v>5</v>
      </c>
      <c r="E74" s="384">
        <f>ROUND((E8-'21R2'!E8)/ABS('21R2'!E8)*100,1)</f>
        <v>9.4</v>
      </c>
      <c r="F74" s="384">
        <f>ROUND((F8-'21R2'!F8)/ABS('21R2'!F8)*100,1)</f>
        <v>4.2</v>
      </c>
      <c r="G74" s="384">
        <f>ROUND((G8-'21R2'!G8)/ABS('21R2'!G8)*100,1)</f>
        <v>11.6</v>
      </c>
      <c r="H74" s="384">
        <f>ROUND((H8-'21R2'!H8)/ABS('21R2'!H8)*100,1)</f>
        <v>0.4</v>
      </c>
      <c r="I74" s="384">
        <f>ROUND((I8-'21R2'!I8)/ABS('21R2'!I8)*100,1)</f>
        <v>65.900000000000006</v>
      </c>
      <c r="J74" s="384">
        <f>ROUND((J8-'21R2'!J8)/ABS('21R2'!J8)*100,1)</f>
        <v>12.3</v>
      </c>
      <c r="K74" s="384">
        <f>ROUND((K8-'21R2'!K8)/ABS('21R2'!K8)*100,1)</f>
        <v>5.5</v>
      </c>
      <c r="L74" s="384">
        <f>ROUND((L8-'21R2'!L8)/ABS('21R2'!L8)*100,1)</f>
        <v>-55.2</v>
      </c>
      <c r="M74" s="384">
        <f>ROUND((M8-'21R2'!M8)/ABS('21R2'!M8)*100,1)</f>
        <v>7</v>
      </c>
      <c r="N74" s="384">
        <f>ROUND((N8-'21R2'!N8)/ABS('21R2'!N8)*100,1)</f>
        <v>13.8</v>
      </c>
      <c r="O74" s="384">
        <f>ROUND((O8-'21R2'!O8)/ABS('21R2'!O8)*100,1)</f>
        <v>-339.6</v>
      </c>
    </row>
    <row r="75" spans="1:21">
      <c r="A75" s="77">
        <v>4</v>
      </c>
      <c r="B75" s="75" t="s">
        <v>325</v>
      </c>
      <c r="C75" s="384">
        <f>ROUND((C9-'21R2'!C9)/ABS('21R2'!C9)*100,1)</f>
        <v>1.6</v>
      </c>
      <c r="D75" s="384">
        <f>ROUND((D9-'21R2'!D9)/ABS('21R2'!D9)*100,1)</f>
        <v>0.5</v>
      </c>
      <c r="E75" s="384">
        <f>ROUND((E9-'21R2'!E9)/ABS('21R2'!E9)*100,1)</f>
        <v>3.2</v>
      </c>
      <c r="F75" s="384">
        <f>ROUND((F9-'21R2'!F9)/ABS('21R2'!F9)*100,1)</f>
        <v>12.4</v>
      </c>
      <c r="G75" s="384">
        <f>ROUND((G9-'21R2'!G9)/ABS('21R2'!G9)*100,1)</f>
        <v>27</v>
      </c>
      <c r="H75" s="384">
        <f>ROUND((H9-'21R2'!H9)/ABS('21R2'!H9)*100,1)</f>
        <v>6.9</v>
      </c>
      <c r="I75" s="384">
        <f>ROUND((I9-'21R2'!I9)/ABS('21R2'!I9)*100,1)</f>
        <v>66.5</v>
      </c>
      <c r="J75" s="384">
        <f>ROUND((J9-'21R2'!J9)/ABS('21R2'!J9)*100,1)</f>
        <v>4.0999999999999996</v>
      </c>
      <c r="K75" s="384">
        <f>ROUND((K9-'21R2'!K9)/ABS('21R2'!K9)*100,1)</f>
        <v>3.6</v>
      </c>
      <c r="L75" s="384">
        <f>ROUND((L9-'21R2'!L9)/ABS('21R2'!L9)*100,1)</f>
        <v>-3.2</v>
      </c>
      <c r="M75" s="384">
        <f>ROUND((M9-'21R2'!M9)/ABS('21R2'!M9)*100,1)</f>
        <v>8.6</v>
      </c>
      <c r="N75" s="384">
        <f>ROUND((N9-'21R2'!N9)/ABS('21R2'!N9)*100,1)</f>
        <v>11.7</v>
      </c>
      <c r="O75" s="384">
        <f>ROUND((O9-'21R2'!O9)/ABS('21R2'!O9)*100,1)</f>
        <v>-33.5</v>
      </c>
      <c r="R75" s="383"/>
      <c r="S75" s="383"/>
    </row>
    <row r="76" spans="1:21">
      <c r="A76" s="77">
        <v>5</v>
      </c>
      <c r="B76" s="75" t="s">
        <v>326</v>
      </c>
      <c r="C76" s="384">
        <f>ROUND((C10-'21R2'!C10)/ABS('21R2'!C10)*100,1)</f>
        <v>8.9</v>
      </c>
      <c r="D76" s="384">
        <f>ROUND((D10-'21R2'!D10)/ABS('21R2'!D10)*100,1)</f>
        <v>3.2</v>
      </c>
      <c r="E76" s="384">
        <f>ROUND((E10-'21R2'!E10)/ABS('21R2'!E10)*100,1)</f>
        <v>7.2</v>
      </c>
      <c r="F76" s="384">
        <f>ROUND((F10-'21R2'!F10)/ABS('21R2'!F10)*100,1)</f>
        <v>-0.2</v>
      </c>
      <c r="G76" s="384">
        <f>ROUND((G10-'21R2'!G10)/ABS('21R2'!G10)*100,1)</f>
        <v>33</v>
      </c>
      <c r="H76" s="384">
        <f>ROUND((H10-'21R2'!H10)/ABS('21R2'!H10)*100,1)</f>
        <v>-7.2</v>
      </c>
      <c r="I76" s="384">
        <f>ROUND((I10-'21R2'!I10)/ABS('21R2'!I10)*100,1)</f>
        <v>67.599999999999994</v>
      </c>
      <c r="J76" s="384">
        <f>ROUND((J10-'21R2'!J10)/ABS('21R2'!J10)*100,1)</f>
        <v>-31.2</v>
      </c>
      <c r="K76" s="384">
        <f>ROUND((K10-'21R2'!K10)/ABS('21R2'!K10)*100,1)</f>
        <v>0.5</v>
      </c>
      <c r="L76" s="384">
        <f>ROUND((L10-'21R2'!L10)/ABS('21R2'!L10)*100,1)</f>
        <v>71.099999999999994</v>
      </c>
      <c r="M76" s="384">
        <f>ROUND((M10-'21R2'!M10)/ABS('21R2'!M10)*100,1)</f>
        <v>16.3</v>
      </c>
      <c r="N76" s="384">
        <f>ROUND((N10-'21R2'!N10)/ABS('21R2'!N10)*100,1)</f>
        <v>8.4</v>
      </c>
      <c r="O76" s="384">
        <f>ROUND((O10-'21R2'!O10)/ABS('21R2'!O10)*100,1)</f>
        <v>131.80000000000001</v>
      </c>
      <c r="R76" s="383"/>
      <c r="S76" s="383"/>
    </row>
    <row r="77" spans="1:21">
      <c r="A77" s="77">
        <v>6</v>
      </c>
      <c r="B77" s="75" t="s">
        <v>327</v>
      </c>
      <c r="C77" s="384">
        <f>ROUND((C11-'21R2'!C11)/ABS('21R2'!C11)*100,1)</f>
        <v>2.4</v>
      </c>
      <c r="D77" s="384">
        <f>ROUND((D11-'21R2'!D11)/ABS('21R2'!D11)*100,1)</f>
        <v>0.5</v>
      </c>
      <c r="E77" s="384">
        <f>ROUND((E11-'21R2'!E11)/ABS('21R2'!E11)*100,1)</f>
        <v>0.7</v>
      </c>
      <c r="F77" s="384">
        <f>ROUND((F11-'21R2'!F11)/ABS('21R2'!F11)*100,1)</f>
        <v>2</v>
      </c>
      <c r="G77" s="384">
        <f>ROUND((G11-'21R2'!G11)/ABS('21R2'!G11)*100,1)</f>
        <v>58.5</v>
      </c>
      <c r="H77" s="384">
        <f>ROUND((H11-'21R2'!H11)/ABS('21R2'!H11)*100,1)</f>
        <v>-6.6</v>
      </c>
      <c r="I77" s="384">
        <f>ROUND((I11-'21R2'!I11)/ABS('21R2'!I11)*100,1)</f>
        <v>68</v>
      </c>
      <c r="J77" s="384">
        <f>ROUND((J11-'21R2'!J11)/ABS('21R2'!J11)*100,1)</f>
        <v>-28.2</v>
      </c>
      <c r="K77" s="384">
        <f>ROUND((K11-'21R2'!K11)/ABS('21R2'!K11)*100,1)</f>
        <v>-0.9</v>
      </c>
      <c r="L77" s="384">
        <f>ROUND((L11-'21R2'!L11)/ABS('21R2'!L11)*100,1)</f>
        <v>14.2</v>
      </c>
      <c r="M77" s="384">
        <f>ROUND((M11-'21R2'!M11)/ABS('21R2'!M11)*100,1)</f>
        <v>9.1999999999999993</v>
      </c>
      <c r="N77" s="384">
        <f>ROUND((N11-'21R2'!N11)/ABS('21R2'!N11)*100,1)</f>
        <v>6.9</v>
      </c>
      <c r="O77" s="384">
        <f>ROUND((O11-'21R2'!O11)/ABS('21R2'!O11)*100,1)</f>
        <v>-6.6</v>
      </c>
      <c r="R77" s="383"/>
      <c r="S77" s="383"/>
    </row>
    <row r="78" spans="1:21">
      <c r="A78" s="77">
        <v>7</v>
      </c>
      <c r="B78" s="75" t="s">
        <v>210</v>
      </c>
      <c r="C78" s="384">
        <f>ROUND((C12-'21R2'!C12)/ABS('21R2'!C12)*100,1)</f>
        <v>-5.4</v>
      </c>
      <c r="D78" s="384">
        <f>ROUND((D12-'21R2'!D12)/ABS('21R2'!D12)*100,1)</f>
        <v>1</v>
      </c>
      <c r="E78" s="384">
        <f>ROUND((E12-'21R2'!E12)/ABS('21R2'!E12)*100,1)</f>
        <v>2.4</v>
      </c>
      <c r="F78" s="384">
        <f>ROUND((F12-'21R2'!F12)/ABS('21R2'!F12)*100,1)</f>
        <v>18.100000000000001</v>
      </c>
      <c r="G78" s="384">
        <f>ROUND((G12-'21R2'!G12)/ABS('21R2'!G12)*100,1)</f>
        <v>20</v>
      </c>
      <c r="H78" s="384">
        <f>ROUND((H12-'21R2'!H12)/ABS('21R2'!H12)*100,1)</f>
        <v>12.4</v>
      </c>
      <c r="I78" s="384">
        <f>ROUND((I12-'21R2'!I12)/ABS('21R2'!I12)*100,1)</f>
        <v>66.7</v>
      </c>
      <c r="J78" s="384">
        <f>ROUND((J12-'21R2'!J12)/ABS('21R2'!J12)*100,1)</f>
        <v>-8.1</v>
      </c>
      <c r="K78" s="384">
        <f>ROUND((K12-'21R2'!K12)/ABS('21R2'!K12)*100,1)</f>
        <v>3.1</v>
      </c>
      <c r="L78" s="384">
        <f>ROUND((L12-'21R2'!L12)/ABS('21R2'!L12)*100,1)</f>
        <v>-100.7</v>
      </c>
      <c r="M78" s="384">
        <f>ROUND((M12-'21R2'!M12)/ABS('21R2'!M12)*100,1)</f>
        <v>1.4</v>
      </c>
      <c r="N78" s="384">
        <f>ROUND((N12-'21R2'!N12)/ABS('21R2'!N12)*100,1)</f>
        <v>11.2</v>
      </c>
      <c r="O78" s="384">
        <f>ROUND((O12-'21R2'!O12)/ABS('21R2'!O12)*100,1)</f>
        <v>-32.4</v>
      </c>
      <c r="R78" s="383"/>
      <c r="S78" s="383"/>
    </row>
    <row r="79" spans="1:21">
      <c r="A79" s="77">
        <v>8</v>
      </c>
      <c r="B79" s="75" t="s">
        <v>211</v>
      </c>
      <c r="C79" s="384">
        <f>ROUND((C13-'21R2'!C13)/ABS('21R2'!C13)*100,1)</f>
        <v>1.5</v>
      </c>
      <c r="D79" s="384">
        <f>ROUND((D13-'21R2'!D13)/ABS('21R2'!D13)*100,1)</f>
        <v>1.2</v>
      </c>
      <c r="E79" s="384">
        <f>ROUND((E13-'21R2'!E13)/ABS('21R2'!E13)*100,1)</f>
        <v>2.5</v>
      </c>
      <c r="F79" s="384">
        <f>ROUND((F13-'21R2'!F13)/ABS('21R2'!F13)*100,1)</f>
        <v>8.5</v>
      </c>
      <c r="G79" s="384">
        <f>ROUND((G13-'21R2'!G13)/ABS('21R2'!G13)*100,1)</f>
        <v>31.3</v>
      </c>
      <c r="H79" s="384">
        <f>ROUND((H13-'21R2'!H13)/ABS('21R2'!H13)*100,1)</f>
        <v>2.6</v>
      </c>
      <c r="I79" s="384">
        <f>ROUND((I13-'21R2'!I13)/ABS('21R2'!I13)*100,1)</f>
        <v>66.900000000000006</v>
      </c>
      <c r="J79" s="384">
        <f>ROUND((J13-'21R2'!J13)/ABS('21R2'!J13)*100,1)</f>
        <v>-12.4</v>
      </c>
      <c r="K79" s="384">
        <f>ROUND((K13-'21R2'!K13)/ABS('21R2'!K13)*100,1)</f>
        <v>2.5</v>
      </c>
      <c r="L79" s="384">
        <f>ROUND((L13-'21R2'!L13)/ABS('21R2'!L13)*100,1)</f>
        <v>-2.9</v>
      </c>
      <c r="M79" s="384">
        <f>ROUND((M13-'21R2'!M13)/ABS('21R2'!M13)*100,1)</f>
        <v>8.3000000000000007</v>
      </c>
      <c r="N79" s="384">
        <f>ROUND((N13-'21R2'!N13)/ABS('21R2'!N13)*100,1)</f>
        <v>10.5</v>
      </c>
      <c r="O79" s="384">
        <f>ROUND((O13-'21R2'!O13)/ABS('21R2'!O13)*100,1)</f>
        <v>-126.2</v>
      </c>
      <c r="R79" s="383"/>
      <c r="S79" s="383"/>
    </row>
    <row r="80" spans="1:21">
      <c r="A80" s="77">
        <v>9</v>
      </c>
      <c r="B80" s="75" t="s">
        <v>212</v>
      </c>
      <c r="C80" s="384">
        <f>ROUND((C14-'21R2'!C14)/ABS('21R2'!C14)*100,1)</f>
        <v>2.4</v>
      </c>
      <c r="D80" s="384">
        <f>ROUND((D14-'21R2'!D14)/ABS('21R2'!D14)*100,1)</f>
        <v>0.8</v>
      </c>
      <c r="E80" s="384">
        <f>ROUND((E14-'21R2'!E14)/ABS('21R2'!E14)*100,1)</f>
        <v>11.3</v>
      </c>
      <c r="F80" s="384">
        <f>ROUND((F14-'21R2'!F14)/ABS('21R2'!F14)*100,1)</f>
        <v>43.5</v>
      </c>
      <c r="G80" s="384">
        <f>ROUND((G14-'21R2'!G14)/ABS('21R2'!G14)*100,1)</f>
        <v>97.3</v>
      </c>
      <c r="H80" s="384">
        <f>ROUND((H14-'21R2'!H14)/ABS('21R2'!H14)*100,1)</f>
        <v>28.5</v>
      </c>
      <c r="I80" s="384">
        <f>ROUND((I14-'21R2'!I14)/ABS('21R2'!I14)*100,1)</f>
        <v>63.9</v>
      </c>
      <c r="J80" s="384">
        <f>ROUND((J14-'21R2'!J14)/ABS('21R2'!J14)*100,1)</f>
        <v>41.9</v>
      </c>
      <c r="K80" s="384">
        <f>ROUND((K14-'21R2'!K14)/ABS('21R2'!K14)*100,1)</f>
        <v>11.6</v>
      </c>
      <c r="L80" s="384">
        <f>ROUND((L14-'21R2'!L14)/ABS('21R2'!L14)*100,1)</f>
        <v>-685.1</v>
      </c>
      <c r="M80" s="384">
        <f>ROUND((M14-'21R2'!M14)/ABS('21R2'!M14)*100,1)</f>
        <v>9.8000000000000007</v>
      </c>
      <c r="N80" s="384">
        <f>ROUND((N14-'21R2'!N14)/ABS('21R2'!N14)*100,1)</f>
        <v>20.399999999999999</v>
      </c>
      <c r="O80" s="384">
        <f>ROUND((O14-'21R2'!O14)/ABS('21R2'!O14)*100,1)</f>
        <v>-23.8</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1.8</v>
      </c>
      <c r="D82" s="384">
        <f>ROUND((D16-'21R2'!D16)/ABS('21R2'!D16)*100,1)</f>
        <v>3.3</v>
      </c>
      <c r="E82" s="384">
        <f>ROUND((E16-'21R2'!E16)/ABS('21R2'!E16)*100,1)</f>
        <v>10</v>
      </c>
      <c r="F82" s="384">
        <f>ROUND((F16-'21R2'!F16)/ABS('21R2'!F16)*100,1)</f>
        <v>14.5</v>
      </c>
      <c r="G82" s="384">
        <f>ROUND((G16-'21R2'!G16)/ABS('21R2'!G16)*100,1)</f>
        <v>3.7</v>
      </c>
      <c r="H82" s="384">
        <f>ROUND((H16-'21R2'!H16)/ABS('21R2'!H16)*100,1)</f>
        <v>11.7</v>
      </c>
      <c r="I82" s="384">
        <f>ROUND((I16-'21R2'!I16)/ABS('21R2'!I16)*100,1)</f>
        <v>65.599999999999994</v>
      </c>
      <c r="J82" s="384">
        <f>ROUND((J16-'21R2'!J16)/ABS('21R2'!J16)*100,1)</f>
        <v>9.6</v>
      </c>
      <c r="K82" s="384">
        <f>ROUND((K16-'21R2'!K16)/ABS('21R2'!K16)*100,1)</f>
        <v>6.5</v>
      </c>
      <c r="L82" s="384">
        <f>ROUND((L16-'21R2'!L16)/ABS('21R2'!L16)*100,1)</f>
        <v>-48</v>
      </c>
      <c r="M82" s="384">
        <f>ROUND((M16-'21R2'!M16)/ABS('21R2'!M16)*100,1)</f>
        <v>9.1</v>
      </c>
      <c r="N82" s="384">
        <f>ROUND((N16-'21R2'!N16)/ABS('21R2'!N16)*100,1)</f>
        <v>14.9</v>
      </c>
      <c r="O82" s="384">
        <f>ROUND((O16-'21R2'!O16)/ABS('21R2'!O16)*100,1)</f>
        <v>-52</v>
      </c>
      <c r="R82" s="383"/>
      <c r="S82" s="383"/>
    </row>
    <row r="83" spans="1:19">
      <c r="A83" s="293">
        <v>1</v>
      </c>
      <c r="B83" s="65" t="s">
        <v>182</v>
      </c>
      <c r="C83" s="384">
        <f>ROUND((C17-'21R2'!C17)/ABS('21R2'!C17)*100,1)</f>
        <v>4.9000000000000004</v>
      </c>
      <c r="D83" s="384">
        <f>ROUND((D17-'21R2'!D17)/ABS('21R2'!D17)*100,1)</f>
        <v>3.3</v>
      </c>
      <c r="E83" s="384">
        <f>ROUND((E17-'21R2'!E17)/ABS('21R2'!E17)*100,1)</f>
        <v>5.9</v>
      </c>
      <c r="F83" s="384">
        <f>ROUND((F17-'21R2'!F17)/ABS('21R2'!F17)*100,1)</f>
        <v>14.1</v>
      </c>
      <c r="G83" s="384">
        <f>ROUND((G17-'21R2'!G17)/ABS('21R2'!G17)*100,1)</f>
        <v>6.9</v>
      </c>
      <c r="H83" s="384">
        <f>ROUND((H17-'21R2'!H17)/ABS('21R2'!H17)*100,1)</f>
        <v>11.3</v>
      </c>
      <c r="I83" s="384">
        <f>ROUND((I17-'21R2'!I17)/ABS('21R2'!I17)*100,1)</f>
        <v>66.099999999999994</v>
      </c>
      <c r="J83" s="384">
        <f>ROUND((J17-'21R2'!J17)/ABS('21R2'!J17)*100,1)</f>
        <v>-6.8</v>
      </c>
      <c r="K83" s="384">
        <f>ROUND((K17-'21R2'!K17)/ABS('21R2'!K17)*100,1)</f>
        <v>5.0999999999999996</v>
      </c>
      <c r="L83" s="384">
        <f>ROUND((L17-'21R2'!L17)/ABS('21R2'!L17)*100,1)</f>
        <v>-8.1999999999999993</v>
      </c>
      <c r="M83" s="384">
        <f>ROUND((M17-'21R2'!M17)/ABS('21R2'!M17)*100,1)</f>
        <v>12</v>
      </c>
      <c r="N83" s="384">
        <f>ROUND((N17-'21R2'!N17)/ABS('21R2'!N17)*100,1)</f>
        <v>13.4</v>
      </c>
      <c r="O83" s="384">
        <f>ROUND((O17-'21R2'!O17)/ABS('21R2'!O17)*100,1)</f>
        <v>18.5</v>
      </c>
      <c r="R83" s="383"/>
      <c r="S83" s="383"/>
    </row>
    <row r="84" spans="1:19">
      <c r="A84" s="293">
        <v>202</v>
      </c>
      <c r="B84" s="90" t="s">
        <v>183</v>
      </c>
      <c r="C84" s="384">
        <f>ROUND((C18-'21R2'!C18)/ABS('21R2'!C18)*100,1)</f>
        <v>7.1</v>
      </c>
      <c r="D84" s="384">
        <f>ROUND((D18-'21R2'!D18)/ABS('21R2'!D18)*100,1)</f>
        <v>3.4</v>
      </c>
      <c r="E84" s="384">
        <f>ROUND((E18-'21R2'!E18)/ABS('21R2'!E18)*100,1)</f>
        <v>4</v>
      </c>
      <c r="F84" s="384">
        <f>ROUND((F18-'21R2'!F18)/ABS('21R2'!F18)*100,1)</f>
        <v>20.3</v>
      </c>
      <c r="G84" s="384">
        <f>ROUND((G18-'21R2'!G18)/ABS('21R2'!G18)*100,1)</f>
        <v>23</v>
      </c>
      <c r="H84" s="384">
        <f>ROUND((H18-'21R2'!H18)/ABS('21R2'!H18)*100,1)</f>
        <v>14.8</v>
      </c>
      <c r="I84" s="384">
        <f>ROUND((I18-'21R2'!I18)/ABS('21R2'!I18)*100,1)</f>
        <v>65.599999999999994</v>
      </c>
      <c r="J84" s="384">
        <f>ROUND((J18-'21R2'!J18)/ABS('21R2'!J18)*100,1)</f>
        <v>-1.9</v>
      </c>
      <c r="K84" s="384">
        <f>ROUND((K18-'21R2'!K18)/ABS('21R2'!K18)*100,1)</f>
        <v>6.5</v>
      </c>
      <c r="L84" s="384">
        <f>ROUND((L18-'21R2'!L18)/ABS('21R2'!L18)*100,1)</f>
        <v>13.7</v>
      </c>
      <c r="M84" s="384">
        <f>ROUND((M18-'21R2'!M18)/ABS('21R2'!M18)*100,1)</f>
        <v>14.3</v>
      </c>
      <c r="N84" s="384">
        <f>ROUND((N18-'21R2'!N18)/ABS('21R2'!N18)*100,1)</f>
        <v>14.9</v>
      </c>
      <c r="O84" s="384">
        <f>ROUND((O18-'21R2'!O18)/ABS('21R2'!O18)*100,1)</f>
        <v>570.9</v>
      </c>
      <c r="R84" s="383"/>
      <c r="S84" s="383"/>
    </row>
    <row r="85" spans="1:19">
      <c r="A85" s="293">
        <v>204</v>
      </c>
      <c r="B85" s="90" t="s">
        <v>184</v>
      </c>
      <c r="C85" s="384">
        <f>ROUND((C19-'21R2'!C19)/ABS('21R2'!C19)*100,1)</f>
        <v>2.4</v>
      </c>
      <c r="D85" s="384">
        <f>ROUND((D19-'21R2'!D19)/ABS('21R2'!D19)*100,1)</f>
        <v>3.5</v>
      </c>
      <c r="E85" s="384">
        <f>ROUND((E19-'21R2'!E19)/ABS('21R2'!E19)*100,1)</f>
        <v>7.8</v>
      </c>
      <c r="F85" s="384">
        <f>ROUND((F19-'21R2'!F19)/ABS('21R2'!F19)*100,1)</f>
        <v>7.3</v>
      </c>
      <c r="G85" s="384">
        <f>ROUND((G19-'21R2'!G19)/ABS('21R2'!G19)*100,1)</f>
        <v>-6.8</v>
      </c>
      <c r="H85" s="384">
        <f>ROUND((H19-'21R2'!H19)/ABS('21R2'!H19)*100,1)</f>
        <v>7.5</v>
      </c>
      <c r="I85" s="384">
        <f>ROUND((I19-'21R2'!I19)/ABS('21R2'!I19)*100,1)</f>
        <v>66.3</v>
      </c>
      <c r="J85" s="384">
        <f>ROUND((J19-'21R2'!J19)/ABS('21R2'!J19)*100,1)</f>
        <v>-2.8</v>
      </c>
      <c r="K85" s="384">
        <f>ROUND((K19-'21R2'!K19)/ABS('21R2'!K19)*100,1)</f>
        <v>4.5</v>
      </c>
      <c r="L85" s="384">
        <f>ROUND((L19-'21R2'!L19)/ABS('21R2'!L19)*100,1)</f>
        <v>-14.6</v>
      </c>
      <c r="M85" s="384">
        <f>ROUND((M19-'21R2'!M19)/ABS('21R2'!M19)*100,1)</f>
        <v>9.6</v>
      </c>
      <c r="N85" s="384">
        <f>ROUND((N19-'21R2'!N19)/ABS('21R2'!N19)*100,1)</f>
        <v>12.7</v>
      </c>
      <c r="O85" s="384">
        <f>ROUND((O19-'21R2'!O19)/ABS('21R2'!O19)*100,1)</f>
        <v>12</v>
      </c>
      <c r="R85" s="383"/>
      <c r="S85" s="383"/>
    </row>
    <row r="86" spans="1:19">
      <c r="A86" s="293">
        <v>206</v>
      </c>
      <c r="B86" s="90" t="s">
        <v>185</v>
      </c>
      <c r="C86" s="384">
        <f>ROUND((C20-'21R2'!C20)/ABS('21R2'!C20)*100,1)</f>
        <v>2.2000000000000002</v>
      </c>
      <c r="D86" s="384">
        <f>ROUND((D20-'21R2'!D20)/ABS('21R2'!D20)*100,1)</f>
        <v>2</v>
      </c>
      <c r="E86" s="384">
        <f>ROUND((E20-'21R2'!E20)/ABS('21R2'!E20)*100,1)</f>
        <v>3.8</v>
      </c>
      <c r="F86" s="384">
        <f>ROUND((F20-'21R2'!F20)/ABS('21R2'!F20)*100,1)</f>
        <v>10.3</v>
      </c>
      <c r="G86" s="384">
        <f>ROUND((G20-'21R2'!G20)/ABS('21R2'!G20)*100,1)</f>
        <v>-0.3</v>
      </c>
      <c r="H86" s="384">
        <f>ROUND((H20-'21R2'!H20)/ABS('21R2'!H20)*100,1)</f>
        <v>6.7</v>
      </c>
      <c r="I86" s="384">
        <f>ROUND((I20-'21R2'!I20)/ABS('21R2'!I20)*100,1)</f>
        <v>67.3</v>
      </c>
      <c r="J86" s="384">
        <f>ROUND((J20-'21R2'!J20)/ABS('21R2'!J20)*100,1)</f>
        <v>-26.4</v>
      </c>
      <c r="K86" s="384">
        <f>ROUND((K20-'21R2'!K20)/ABS('21R2'!K20)*100,1)</f>
        <v>1.3</v>
      </c>
      <c r="L86" s="384">
        <f>ROUND((L20-'21R2'!L20)/ABS('21R2'!L20)*100,1)</f>
        <v>0.6</v>
      </c>
      <c r="M86" s="384">
        <f>ROUND((M20-'21R2'!M20)/ABS('21R2'!M20)*100,1)</f>
        <v>8.6999999999999993</v>
      </c>
      <c r="N86" s="384">
        <f>ROUND((N20-'21R2'!N20)/ABS('21R2'!N20)*100,1)</f>
        <v>9.1999999999999993</v>
      </c>
      <c r="O86" s="384">
        <f>ROUND((O20-'21R2'!O20)/ABS('21R2'!O20)*100,1)</f>
        <v>19.7</v>
      </c>
      <c r="R86" s="383"/>
      <c r="S86" s="383"/>
    </row>
    <row r="87" spans="1:19">
      <c r="A87" s="293">
        <v>2</v>
      </c>
      <c r="B87" s="65" t="s">
        <v>186</v>
      </c>
      <c r="C87" s="384">
        <f>ROUND((C21-'21R2'!C21)/ABS('21R2'!C21)*100,1)</f>
        <v>7.8</v>
      </c>
      <c r="D87" s="384">
        <f>ROUND((D21-'21R2'!D21)/ABS('21R2'!D21)*100,1)</f>
        <v>4.9000000000000004</v>
      </c>
      <c r="E87" s="384">
        <f>ROUND((E21-'21R2'!E21)/ABS('21R2'!E21)*100,1)</f>
        <v>4.5999999999999996</v>
      </c>
      <c r="F87" s="384">
        <f>ROUND((F21-'21R2'!F21)/ABS('21R2'!F21)*100,1)</f>
        <v>-0.7</v>
      </c>
      <c r="G87" s="384">
        <f>ROUND((G21-'21R2'!G21)/ABS('21R2'!G21)*100,1)</f>
        <v>10</v>
      </c>
      <c r="H87" s="384">
        <f>ROUND((H21-'21R2'!H21)/ABS('21R2'!H21)*100,1)</f>
        <v>-6</v>
      </c>
      <c r="I87" s="384">
        <f>ROUND((I21-'21R2'!I21)/ABS('21R2'!I21)*100,1)</f>
        <v>66.099999999999994</v>
      </c>
      <c r="J87" s="384">
        <f>ROUND((J21-'21R2'!J21)/ABS('21R2'!J21)*100,1)</f>
        <v>53.2</v>
      </c>
      <c r="K87" s="384">
        <f>ROUND((K21-'21R2'!K21)/ABS('21R2'!K21)*100,1)</f>
        <v>5.0999999999999996</v>
      </c>
      <c r="L87" s="384">
        <f>ROUND((L21-'21R2'!L21)/ABS('21R2'!L21)*100,1)</f>
        <v>12.8</v>
      </c>
      <c r="M87" s="384">
        <f>ROUND((M21-'21R2'!M21)/ABS('21R2'!M21)*100,1)</f>
        <v>14.6</v>
      </c>
      <c r="N87" s="384">
        <f>ROUND((N21-'21R2'!N21)/ABS('21R2'!N21)*100,1)</f>
        <v>13.3</v>
      </c>
      <c r="O87" s="384">
        <f>ROUND((O21-'21R2'!O21)/ABS('21R2'!O21)*100,1)</f>
        <v>25.8</v>
      </c>
      <c r="R87" s="383"/>
      <c r="S87" s="383"/>
    </row>
    <row r="88" spans="1:19">
      <c r="A88" s="293">
        <v>207</v>
      </c>
      <c r="B88" s="90" t="s">
        <v>187</v>
      </c>
      <c r="C88" s="384">
        <f>ROUND((C22-'21R2'!C22)/ABS('21R2'!C22)*100,1)</f>
        <v>10.1</v>
      </c>
      <c r="D88" s="384">
        <f>ROUND((D22-'21R2'!D22)/ABS('21R2'!D22)*100,1)</f>
        <v>5.6</v>
      </c>
      <c r="E88" s="384">
        <f>ROUND((E22-'21R2'!E22)/ABS('21R2'!E22)*100,1)</f>
        <v>3.8</v>
      </c>
      <c r="F88" s="384">
        <f>ROUND((F22-'21R2'!F22)/ABS('21R2'!F22)*100,1)</f>
        <v>5.5</v>
      </c>
      <c r="G88" s="384">
        <f>ROUND((G22-'21R2'!G22)/ABS('21R2'!G22)*100,1)</f>
        <v>1.4</v>
      </c>
      <c r="H88" s="384">
        <f>ROUND((H22-'21R2'!H22)/ABS('21R2'!H22)*100,1)</f>
        <v>3.1</v>
      </c>
      <c r="I88" s="384">
        <f>ROUND((I22-'21R2'!I22)/ABS('21R2'!I22)*100,1)</f>
        <v>65.2</v>
      </c>
      <c r="J88" s="384">
        <f>ROUND((J22-'21R2'!J22)/ABS('21R2'!J22)*100,1)</f>
        <v>71.8</v>
      </c>
      <c r="K88" s="384">
        <f>ROUND((K22-'21R2'!K22)/ABS('21R2'!K22)*100,1)</f>
        <v>7.6</v>
      </c>
      <c r="L88" s="384">
        <f>ROUND((L22-'21R2'!L22)/ABS('21R2'!L22)*100,1)</f>
        <v>86.8</v>
      </c>
      <c r="M88" s="384">
        <f>ROUND((M22-'21R2'!M22)/ABS('21R2'!M22)*100,1)</f>
        <v>17.100000000000001</v>
      </c>
      <c r="N88" s="384">
        <f>ROUND((N22-'21R2'!N22)/ABS('21R2'!N22)*100,1)</f>
        <v>16.100000000000001</v>
      </c>
      <c r="O88" s="384">
        <f>ROUND((O22-'21R2'!O22)/ABS('21R2'!O22)*100,1)</f>
        <v>53.1</v>
      </c>
      <c r="R88" s="383"/>
      <c r="S88" s="383"/>
    </row>
    <row r="89" spans="1:19">
      <c r="A89" s="293">
        <v>214</v>
      </c>
      <c r="B89" s="90" t="s">
        <v>188</v>
      </c>
      <c r="C89" s="384">
        <f>ROUND((C23-'21R2'!C23)/ABS('21R2'!C23)*100,1)</f>
        <v>3.6</v>
      </c>
      <c r="D89" s="384">
        <f>ROUND((D23-'21R2'!D23)/ABS('21R2'!D23)*100,1)</f>
        <v>5.5</v>
      </c>
      <c r="E89" s="384">
        <f>ROUND((E23-'21R2'!E23)/ABS('21R2'!E23)*100,1)</f>
        <v>5.0999999999999996</v>
      </c>
      <c r="F89" s="384">
        <f>ROUND((F23-'21R2'!F23)/ABS('21R2'!F23)*100,1)</f>
        <v>21.5</v>
      </c>
      <c r="G89" s="384">
        <f>ROUND((G23-'21R2'!G23)/ABS('21R2'!G23)*100,1)</f>
        <v>41.6</v>
      </c>
      <c r="H89" s="384">
        <f>ROUND((H23-'21R2'!H23)/ABS('21R2'!H23)*100,1)</f>
        <v>10.8</v>
      </c>
      <c r="I89" s="384">
        <f>ROUND((I23-'21R2'!I23)/ABS('21R2'!I23)*100,1)</f>
        <v>64.8</v>
      </c>
      <c r="J89" s="384">
        <f>ROUND((J23-'21R2'!J23)/ABS('21R2'!J23)*100,1)</f>
        <v>75.5</v>
      </c>
      <c r="K89" s="384">
        <f>ROUND((K23-'21R2'!K23)/ABS('21R2'!K23)*100,1)</f>
        <v>9.1</v>
      </c>
      <c r="L89" s="384">
        <f>ROUND((L23-'21R2'!L23)/ABS('21R2'!L23)*100,1)</f>
        <v>-20.6</v>
      </c>
      <c r="M89" s="384">
        <f>ROUND((M23-'21R2'!M23)/ABS('21R2'!M23)*100,1)</f>
        <v>10.3</v>
      </c>
      <c r="N89" s="384">
        <f>ROUND((N23-'21R2'!N23)/ABS('21R2'!N23)*100,1)</f>
        <v>17.7</v>
      </c>
      <c r="O89" s="384">
        <f>ROUND((O23-'21R2'!O23)/ABS('21R2'!O23)*100,1)</f>
        <v>11.3</v>
      </c>
      <c r="R89" s="383"/>
      <c r="S89" s="383"/>
    </row>
    <row r="90" spans="1:19">
      <c r="A90" s="293">
        <v>217</v>
      </c>
      <c r="B90" s="90" t="s">
        <v>189</v>
      </c>
      <c r="C90" s="384">
        <f>ROUND((C24-'21R2'!C24)/ABS('21R2'!C24)*100,1)</f>
        <v>2.2999999999999998</v>
      </c>
      <c r="D90" s="384">
        <f>ROUND((D24-'21R2'!D24)/ABS('21R2'!D24)*100,1)</f>
        <v>5.7</v>
      </c>
      <c r="E90" s="384">
        <f>ROUND((E24-'21R2'!E24)/ABS('21R2'!E24)*100,1)</f>
        <v>3.4</v>
      </c>
      <c r="F90" s="384">
        <f>ROUND((F24-'21R2'!F24)/ABS('21R2'!F24)*100,1)</f>
        <v>-12.1</v>
      </c>
      <c r="G90" s="384">
        <f>ROUND((G24-'21R2'!G24)/ABS('21R2'!G24)*100,1)</f>
        <v>-17.7</v>
      </c>
      <c r="H90" s="384">
        <f>ROUND((H24-'21R2'!H24)/ABS('21R2'!H24)*100,1)</f>
        <v>-13.7</v>
      </c>
      <c r="I90" s="384">
        <f>ROUND((I24-'21R2'!I24)/ABS('21R2'!I24)*100,1)</f>
        <v>66.8</v>
      </c>
      <c r="J90" s="384">
        <f>ROUND((J24-'21R2'!J24)/ABS('21R2'!J24)*100,1)</f>
        <v>30.2</v>
      </c>
      <c r="K90" s="384">
        <f>ROUND((K24-'21R2'!K24)/ABS('21R2'!K24)*100,1)</f>
        <v>2.8</v>
      </c>
      <c r="L90" s="384">
        <f>ROUND((L24-'21R2'!L24)/ABS('21R2'!L24)*100,1)</f>
        <v>-4</v>
      </c>
      <c r="M90" s="384">
        <f>ROUND((M24-'21R2'!M24)/ABS('21R2'!M24)*100,1)</f>
        <v>9</v>
      </c>
      <c r="N90" s="384">
        <f>ROUND((N24-'21R2'!N24)/ABS('21R2'!N24)*100,1)</f>
        <v>10.9</v>
      </c>
      <c r="O90" s="384">
        <f>ROUND((O24-'21R2'!O24)/ABS('21R2'!O24)*100,1)</f>
        <v>20.3</v>
      </c>
      <c r="R90" s="383"/>
      <c r="S90" s="383"/>
    </row>
    <row r="91" spans="1:19">
      <c r="A91" s="293">
        <v>219</v>
      </c>
      <c r="B91" s="90" t="s">
        <v>190</v>
      </c>
      <c r="C91" s="384">
        <f>ROUND((C25-'21R2'!C25)/ABS('21R2'!C25)*100,1)</f>
        <v>13.5</v>
      </c>
      <c r="D91" s="384">
        <f>ROUND((D25-'21R2'!D25)/ABS('21R2'!D25)*100,1)</f>
        <v>2.1</v>
      </c>
      <c r="E91" s="384">
        <f>ROUND((E25-'21R2'!E25)/ABS('21R2'!E25)*100,1)</f>
        <v>4.5</v>
      </c>
      <c r="F91" s="384">
        <f>ROUND((F25-'21R2'!F25)/ABS('21R2'!F25)*100,1)</f>
        <v>-23.6</v>
      </c>
      <c r="G91" s="384">
        <f>ROUND((G25-'21R2'!G25)/ABS('21R2'!G25)*100,1)</f>
        <v>35.5</v>
      </c>
      <c r="H91" s="384">
        <f>ROUND((H25-'21R2'!H25)/ABS('21R2'!H25)*100,1)</f>
        <v>-29.4</v>
      </c>
      <c r="I91" s="384">
        <f>ROUND((I25-'21R2'!I25)/ABS('21R2'!I25)*100,1)</f>
        <v>68.8</v>
      </c>
      <c r="J91" s="384">
        <f>ROUND((J25-'21R2'!J25)/ABS('21R2'!J25)*100,1)</f>
        <v>37.9</v>
      </c>
      <c r="K91" s="384">
        <f>ROUND((K25-'21R2'!K25)/ABS('21R2'!K25)*100,1)</f>
        <v>-3.5</v>
      </c>
      <c r="L91" s="384">
        <f>ROUND((L25-'21R2'!L25)/ABS('21R2'!L25)*100,1)</f>
        <v>93.7</v>
      </c>
      <c r="M91" s="384">
        <f>ROUND((M25-'21R2'!M25)/ABS('21R2'!M25)*100,1)</f>
        <v>20.7</v>
      </c>
      <c r="N91" s="384">
        <f>ROUND((N25-'21R2'!N25)/ABS('21R2'!N25)*100,1)</f>
        <v>4.0999999999999996</v>
      </c>
      <c r="O91" s="384">
        <f>ROUND((O25-'21R2'!O25)/ABS('21R2'!O25)*100,1)</f>
        <v>161.69999999999999</v>
      </c>
      <c r="R91" s="383"/>
      <c r="S91" s="383"/>
    </row>
    <row r="92" spans="1:19">
      <c r="A92" s="293">
        <v>301</v>
      </c>
      <c r="B92" s="90" t="s">
        <v>191</v>
      </c>
      <c r="C92" s="384">
        <f>ROUND((C26-'21R2'!C26)/ABS('21R2'!C26)*100,1)</f>
        <v>2.4</v>
      </c>
      <c r="D92" s="384">
        <f>ROUND((D26-'21R2'!D26)/ABS('21R2'!D26)*100,1)</f>
        <v>0.2</v>
      </c>
      <c r="E92" s="384">
        <f>ROUND((E26-'21R2'!E26)/ABS('21R2'!E26)*100,1)</f>
        <v>9.9</v>
      </c>
      <c r="F92" s="384">
        <f>ROUND((F26-'21R2'!F26)/ABS('21R2'!F26)*100,1)</f>
        <v>8.1</v>
      </c>
      <c r="G92" s="384">
        <f>ROUND((G26-'21R2'!G26)/ABS('21R2'!G26)*100,1)</f>
        <v>49.4</v>
      </c>
      <c r="H92" s="384">
        <f>ROUND((H26-'21R2'!H26)/ABS('21R2'!H26)*100,1)</f>
        <v>1.1000000000000001</v>
      </c>
      <c r="I92" s="384">
        <f>ROUND((I26-'21R2'!I26)/ABS('21R2'!I26)*100,1)</f>
        <v>67</v>
      </c>
      <c r="J92" s="384">
        <f>ROUND((J26-'21R2'!J26)/ABS('21R2'!J26)*100,1)</f>
        <v>-26.2</v>
      </c>
      <c r="K92" s="384">
        <f>ROUND((K26-'21R2'!K26)/ABS('21R2'!K26)*100,1)</f>
        <v>1.9</v>
      </c>
      <c r="L92" s="384">
        <f>ROUND((L26-'21R2'!L26)/ABS('21R2'!L26)*100,1)</f>
        <v>-0.6</v>
      </c>
      <c r="M92" s="384">
        <f>ROUND((M26-'21R2'!M26)/ABS('21R2'!M26)*100,1)</f>
        <v>9.5</v>
      </c>
      <c r="N92" s="384">
        <f>ROUND((N26-'21R2'!N26)/ABS('21R2'!N26)*100,1)</f>
        <v>9.9</v>
      </c>
      <c r="O92" s="384">
        <f>ROUND((O26-'21R2'!O26)/ABS('21R2'!O26)*100,1)</f>
        <v>12.9</v>
      </c>
      <c r="R92" s="383"/>
      <c r="S92" s="383"/>
    </row>
    <row r="93" spans="1:19">
      <c r="A93" s="293">
        <v>3</v>
      </c>
      <c r="B93" s="65" t="s">
        <v>192</v>
      </c>
      <c r="C93" s="384">
        <f>ROUND((C27-'21R2'!C27)/ABS('21R2'!C27)*100,1)</f>
        <v>-0.4</v>
      </c>
      <c r="D93" s="384">
        <f>ROUND((D27-'21R2'!D27)/ABS('21R2'!D27)*100,1)</f>
        <v>5</v>
      </c>
      <c r="E93" s="384">
        <f>ROUND((E27-'21R2'!E27)/ABS('21R2'!E27)*100,1)</f>
        <v>9.4</v>
      </c>
      <c r="F93" s="384">
        <f>ROUND((F27-'21R2'!F27)/ABS('21R2'!F27)*100,1)</f>
        <v>4.2</v>
      </c>
      <c r="G93" s="384">
        <f>ROUND((G27-'21R2'!G27)/ABS('21R2'!G27)*100,1)</f>
        <v>11.6</v>
      </c>
      <c r="H93" s="384">
        <f>ROUND((H27-'21R2'!H27)/ABS('21R2'!H27)*100,1)</f>
        <v>0.4</v>
      </c>
      <c r="I93" s="384">
        <f>ROUND((I27-'21R2'!I27)/ABS('21R2'!I27)*100,1)</f>
        <v>65.900000000000006</v>
      </c>
      <c r="J93" s="384">
        <f>ROUND((J27-'21R2'!J27)/ABS('21R2'!J27)*100,1)</f>
        <v>12.3</v>
      </c>
      <c r="K93" s="384">
        <f>ROUND((K27-'21R2'!K27)/ABS('21R2'!K27)*100,1)</f>
        <v>5.5</v>
      </c>
      <c r="L93" s="384">
        <f>ROUND((L27-'21R2'!L27)/ABS('21R2'!L27)*100,1)</f>
        <v>-55.2</v>
      </c>
      <c r="M93" s="384">
        <f>ROUND((M27-'21R2'!M27)/ABS('21R2'!M27)*100,1)</f>
        <v>7</v>
      </c>
      <c r="N93" s="384">
        <f>ROUND((N27-'21R2'!N27)/ABS('21R2'!N27)*100,1)</f>
        <v>13.8</v>
      </c>
      <c r="O93" s="384">
        <f>ROUND((O27-'21R2'!O27)/ABS('21R2'!O27)*100,1)</f>
        <v>-339.6</v>
      </c>
      <c r="R93" s="383"/>
      <c r="S93" s="383"/>
    </row>
    <row r="94" spans="1:19">
      <c r="A94" s="293">
        <v>203</v>
      </c>
      <c r="B94" s="90" t="s">
        <v>193</v>
      </c>
      <c r="C94" s="384">
        <f>ROUND((C28-'21R2'!C28)/ABS('21R2'!C28)*100,1)</f>
        <v>-1.9</v>
      </c>
      <c r="D94" s="384">
        <f>ROUND((D28-'21R2'!D28)/ABS('21R2'!D28)*100,1)</f>
        <v>5.7</v>
      </c>
      <c r="E94" s="384">
        <f>ROUND((E28-'21R2'!E28)/ABS('21R2'!E28)*100,1)</f>
        <v>9.5</v>
      </c>
      <c r="F94" s="384">
        <f>ROUND((F28-'21R2'!F28)/ABS('21R2'!F28)*100,1)</f>
        <v>22</v>
      </c>
      <c r="G94" s="384">
        <f>ROUND((G28-'21R2'!G28)/ABS('21R2'!G28)*100,1)</f>
        <v>-1.4</v>
      </c>
      <c r="H94" s="384">
        <f>ROUND((H28-'21R2'!H28)/ABS('21R2'!H28)*100,1)</f>
        <v>24.2</v>
      </c>
      <c r="I94" s="384">
        <f>ROUND((I28-'21R2'!I28)/ABS('21R2'!I28)*100,1)</f>
        <v>64.7</v>
      </c>
      <c r="J94" s="384">
        <f>ROUND((J28-'21R2'!J28)/ABS('21R2'!J28)*100,1)</f>
        <v>-4.2</v>
      </c>
      <c r="K94" s="384">
        <f>ROUND((K28-'21R2'!K28)/ABS('21R2'!K28)*100,1)</f>
        <v>9.3000000000000007</v>
      </c>
      <c r="L94" s="384">
        <f>ROUND((L28-'21R2'!L28)/ABS('21R2'!L28)*100,1)</f>
        <v>-123.5</v>
      </c>
      <c r="M94" s="384">
        <f>ROUND((M28-'21R2'!M28)/ABS('21R2'!M28)*100,1)</f>
        <v>5.4</v>
      </c>
      <c r="N94" s="384">
        <f>ROUND((N28-'21R2'!N28)/ABS('21R2'!N28)*100,1)</f>
        <v>17.899999999999999</v>
      </c>
      <c r="O94" s="384">
        <f>ROUND((O28-'21R2'!O28)/ABS('21R2'!O28)*100,1)</f>
        <v>-455.8</v>
      </c>
      <c r="R94" s="383"/>
      <c r="S94" s="383"/>
    </row>
    <row r="95" spans="1:19">
      <c r="A95" s="293">
        <v>210</v>
      </c>
      <c r="B95" s="90" t="s">
        <v>194</v>
      </c>
      <c r="C95" s="384">
        <f>ROUND((C29-'21R2'!C29)/ABS('21R2'!C29)*100,1)</f>
        <v>-1.3</v>
      </c>
      <c r="D95" s="384">
        <f>ROUND((D29-'21R2'!D29)/ABS('21R2'!D29)*100,1)</f>
        <v>5.9</v>
      </c>
      <c r="E95" s="384">
        <f>ROUND((E29-'21R2'!E29)/ABS('21R2'!E29)*100,1)</f>
        <v>9.3000000000000007</v>
      </c>
      <c r="F95" s="384">
        <f>ROUND((F29-'21R2'!F29)/ABS('21R2'!F29)*100,1)</f>
        <v>-35.9</v>
      </c>
      <c r="G95" s="384">
        <f>ROUND((G29-'21R2'!G29)/ABS('21R2'!G29)*100,1)</f>
        <v>30.7</v>
      </c>
      <c r="H95" s="384">
        <f>ROUND((H29-'21R2'!H29)/ABS('21R2'!H29)*100,1)</f>
        <v>-44.3</v>
      </c>
      <c r="I95" s="384">
        <f>ROUND((I29-'21R2'!I29)/ABS('21R2'!I29)*100,1)</f>
        <v>69.400000000000006</v>
      </c>
      <c r="J95" s="384">
        <f>ROUND((J29-'21R2'!J29)/ABS('21R2'!J29)*100,1)</f>
        <v>26.7</v>
      </c>
      <c r="K95" s="384">
        <f>ROUND((K29-'21R2'!K29)/ABS('21R2'!K29)*100,1)</f>
        <v>-5.4</v>
      </c>
      <c r="L95" s="384">
        <f>ROUND((L29-'21R2'!L29)/ABS('21R2'!L29)*100,1)</f>
        <v>32.9</v>
      </c>
      <c r="M95" s="384">
        <f>ROUND((M29-'21R2'!M29)/ABS('21R2'!M29)*100,1)</f>
        <v>6</v>
      </c>
      <c r="N95" s="384">
        <f>ROUND((N29-'21R2'!N29)/ABS('21R2'!N29)*100,1)</f>
        <v>2.1</v>
      </c>
      <c r="O95" s="384">
        <f>ROUND((O29-'21R2'!O29)/ABS('21R2'!O29)*100,1)</f>
        <v>31.4</v>
      </c>
      <c r="R95" s="383"/>
      <c r="S95" s="383"/>
    </row>
    <row r="96" spans="1:19">
      <c r="A96" s="293">
        <v>216</v>
      </c>
      <c r="B96" s="90" t="s">
        <v>195</v>
      </c>
      <c r="C96" s="384">
        <f>ROUND((C30-'21R2'!C30)/ABS('21R2'!C30)*100,1)</f>
        <v>-6.2</v>
      </c>
      <c r="D96" s="384">
        <f>ROUND((D30-'21R2'!D30)/ABS('21R2'!D30)*100,1)</f>
        <v>2.1</v>
      </c>
      <c r="E96" s="384">
        <f>ROUND((E30-'21R2'!E30)/ABS('21R2'!E30)*100,1)</f>
        <v>6.9</v>
      </c>
      <c r="F96" s="384">
        <f>ROUND((F30-'21R2'!F30)/ABS('21R2'!F30)*100,1)</f>
        <v>14.7</v>
      </c>
      <c r="G96" s="384">
        <f>ROUND((G30-'21R2'!G30)/ABS('21R2'!G30)*100,1)</f>
        <v>21.8</v>
      </c>
      <c r="H96" s="384">
        <f>ROUND((H30-'21R2'!H30)/ABS('21R2'!H30)*100,1)</f>
        <v>12.1</v>
      </c>
      <c r="I96" s="384">
        <f>ROUND((I30-'21R2'!I30)/ABS('21R2'!I30)*100,1)</f>
        <v>65.3</v>
      </c>
      <c r="J96" s="384">
        <f>ROUND((J30-'21R2'!J30)/ABS('21R2'!J30)*100,1)</f>
        <v>6.7</v>
      </c>
      <c r="K96" s="384">
        <f>ROUND((K30-'21R2'!K30)/ABS('21R2'!K30)*100,1)</f>
        <v>7.4</v>
      </c>
      <c r="L96" s="384">
        <f>ROUND((L30-'21R2'!L30)/ABS('21R2'!L30)*100,1)</f>
        <v>-37.700000000000003</v>
      </c>
      <c r="M96" s="384">
        <f>ROUND((M30-'21R2'!M30)/ABS('21R2'!M30)*100,1)</f>
        <v>0.9</v>
      </c>
      <c r="N96" s="384">
        <f>ROUND((N30-'21R2'!N30)/ABS('21R2'!N30)*100,1)</f>
        <v>15.8</v>
      </c>
      <c r="O96" s="384">
        <f>ROUND((O30-'21R2'!O30)/ABS('21R2'!O30)*100,1)</f>
        <v>-53.8</v>
      </c>
      <c r="R96" s="383"/>
      <c r="S96" s="383"/>
    </row>
    <row r="97" spans="1:19">
      <c r="A97" s="293">
        <v>381</v>
      </c>
      <c r="B97" s="90" t="s">
        <v>196</v>
      </c>
      <c r="C97" s="384">
        <f>ROUND((C31-'21R2'!C31)/ABS('21R2'!C31)*100,1)</f>
        <v>12</v>
      </c>
      <c r="D97" s="384">
        <f>ROUND((D31-'21R2'!D31)/ABS('21R2'!D31)*100,1)</f>
        <v>0.9</v>
      </c>
      <c r="E97" s="384">
        <f>ROUND((E31-'21R2'!E31)/ABS('21R2'!E31)*100,1)</f>
        <v>14.2</v>
      </c>
      <c r="F97" s="384">
        <f>ROUND((F31-'21R2'!F31)/ABS('21R2'!F31)*100,1)</f>
        <v>270.5</v>
      </c>
      <c r="G97" s="384">
        <f>ROUND((G31-'21R2'!G31)/ABS('21R2'!G31)*100,1)</f>
        <v>26.2</v>
      </c>
      <c r="H97" s="384">
        <f>ROUND((H31-'21R2'!H31)/ABS('21R2'!H31)*100,1)</f>
        <v>304.89999999999998</v>
      </c>
      <c r="I97" s="384">
        <f>ROUND((I31-'21R2'!I31)/ABS('21R2'!I31)*100,1)</f>
        <v>48.4</v>
      </c>
      <c r="J97" s="384">
        <f>ROUND((J31-'21R2'!J31)/ABS('21R2'!J31)*100,1)</f>
        <v>24.4</v>
      </c>
      <c r="K97" s="384">
        <f>ROUND((K31-'21R2'!K31)/ABS('21R2'!K31)*100,1)</f>
        <v>59.7</v>
      </c>
      <c r="L97" s="384">
        <f>ROUND((L31-'21R2'!L31)/ABS('21R2'!L31)*100,1)</f>
        <v>-67.5</v>
      </c>
      <c r="M97" s="384">
        <f>ROUND((M31-'21R2'!M31)/ABS('21R2'!M31)*100,1)</f>
        <v>20</v>
      </c>
      <c r="N97" s="384">
        <f>ROUND((N31-'21R2'!N31)/ABS('21R2'!N31)*100,1)</f>
        <v>72.3</v>
      </c>
      <c r="O97" s="384">
        <f>ROUND((O31-'21R2'!O31)/ABS('21R2'!O31)*100,1)</f>
        <v>-75.5</v>
      </c>
      <c r="R97" s="383"/>
      <c r="S97" s="383"/>
    </row>
    <row r="98" spans="1:19">
      <c r="A98" s="293">
        <v>382</v>
      </c>
      <c r="B98" s="90" t="s">
        <v>197</v>
      </c>
      <c r="C98" s="384">
        <f>ROUND((C32-'21R2'!C32)/ABS('21R2'!C32)*100,1)</f>
        <v>19.399999999999999</v>
      </c>
      <c r="D98" s="384">
        <f>ROUND((D32-'21R2'!D32)/ABS('21R2'!D32)*100,1)</f>
        <v>1.2</v>
      </c>
      <c r="E98" s="384">
        <f>ROUND((E32-'21R2'!E32)/ABS('21R2'!E32)*100,1)</f>
        <v>12.3</v>
      </c>
      <c r="F98" s="384">
        <f>ROUND((F32-'21R2'!F32)/ABS('21R2'!F32)*100,1)</f>
        <v>32.4</v>
      </c>
      <c r="G98" s="384">
        <f>ROUND((G32-'21R2'!G32)/ABS('21R2'!G32)*100,1)</f>
        <v>6.6</v>
      </c>
      <c r="H98" s="384">
        <f>ROUND((H32-'21R2'!H32)/ABS('21R2'!H32)*100,1)</f>
        <v>35.299999999999997</v>
      </c>
      <c r="I98" s="384">
        <f>ROUND((I32-'21R2'!I32)/ABS('21R2'!I32)*100,1)</f>
        <v>63.8</v>
      </c>
      <c r="J98" s="384">
        <f>ROUND((J32-'21R2'!J32)/ABS('21R2'!J32)*100,1)</f>
        <v>27.8</v>
      </c>
      <c r="K98" s="384">
        <f>ROUND((K32-'21R2'!K32)/ABS('21R2'!K32)*100,1)</f>
        <v>12.2</v>
      </c>
      <c r="L98" s="384">
        <f>ROUND((L32-'21R2'!L32)/ABS('21R2'!L32)*100,1)</f>
        <v>30.3</v>
      </c>
      <c r="M98" s="384">
        <f>ROUND((M32-'21R2'!M32)/ABS('21R2'!M32)*100,1)</f>
        <v>27.6</v>
      </c>
      <c r="N98" s="384">
        <f>ROUND((N32-'21R2'!N32)/ABS('21R2'!N32)*100,1)</f>
        <v>21</v>
      </c>
      <c r="O98" s="384">
        <f>ROUND((O32-'21R2'!O32)/ABS('21R2'!O32)*100,1)</f>
        <v>3.5</v>
      </c>
      <c r="R98" s="383"/>
      <c r="S98" s="383"/>
    </row>
    <row r="99" spans="1:19">
      <c r="A99" s="293">
        <v>4</v>
      </c>
      <c r="B99" s="91" t="s">
        <v>198</v>
      </c>
      <c r="C99" s="384">
        <f>ROUND((C33-'21R2'!C33)/ABS('21R2'!C33)*100,1)</f>
        <v>1.6</v>
      </c>
      <c r="D99" s="384">
        <f>ROUND((D33-'21R2'!D33)/ABS('21R2'!D33)*100,1)</f>
        <v>0.5</v>
      </c>
      <c r="E99" s="384">
        <f>ROUND((E33-'21R2'!E33)/ABS('21R2'!E33)*100,1)</f>
        <v>3.2</v>
      </c>
      <c r="F99" s="384">
        <f>ROUND((F33-'21R2'!F33)/ABS('21R2'!F33)*100,1)</f>
        <v>12.4</v>
      </c>
      <c r="G99" s="384">
        <f>ROUND((G33-'21R2'!G33)/ABS('21R2'!G33)*100,1)</f>
        <v>27</v>
      </c>
      <c r="H99" s="384">
        <f>ROUND((H33-'21R2'!H33)/ABS('21R2'!H33)*100,1)</f>
        <v>6.9</v>
      </c>
      <c r="I99" s="384">
        <f>ROUND((I33-'21R2'!I33)/ABS('21R2'!I33)*100,1)</f>
        <v>66.5</v>
      </c>
      <c r="J99" s="384">
        <f>ROUND((J33-'21R2'!J33)/ABS('21R2'!J33)*100,1)</f>
        <v>4.0999999999999996</v>
      </c>
      <c r="K99" s="384">
        <f>ROUND((K33-'21R2'!K33)/ABS('21R2'!K33)*100,1)</f>
        <v>3.6</v>
      </c>
      <c r="L99" s="384">
        <f>ROUND((L33-'21R2'!L33)/ABS('21R2'!L33)*100,1)</f>
        <v>-3.2</v>
      </c>
      <c r="M99" s="384">
        <f>ROUND((M33-'21R2'!M33)/ABS('21R2'!M33)*100,1)</f>
        <v>8.6</v>
      </c>
      <c r="N99" s="384">
        <f>ROUND((N33-'21R2'!N33)/ABS('21R2'!N33)*100,1)</f>
        <v>11.7</v>
      </c>
      <c r="O99" s="384">
        <f>ROUND((O33-'21R2'!O33)/ABS('21R2'!O33)*100,1)</f>
        <v>-33.5</v>
      </c>
      <c r="R99" s="383"/>
      <c r="S99" s="383"/>
    </row>
    <row r="100" spans="1:19">
      <c r="A100" s="293">
        <v>213</v>
      </c>
      <c r="B100" s="92" t="s">
        <v>231</v>
      </c>
      <c r="C100" s="384">
        <f>ROUND((C34-'21R2'!C34)/ABS('21R2'!C34)*100,1)</f>
        <v>1</v>
      </c>
      <c r="D100" s="384">
        <f>ROUND((D34-'21R2'!D34)/ABS('21R2'!D34)*100,1)</f>
        <v>-0.9</v>
      </c>
      <c r="E100" s="384">
        <f>ROUND((E34-'21R2'!E34)/ABS('21R2'!E34)*100,1)</f>
        <v>9.5</v>
      </c>
      <c r="F100" s="384">
        <f>ROUND((F34-'21R2'!F34)/ABS('21R2'!F34)*100,1)</f>
        <v>-0.9</v>
      </c>
      <c r="G100" s="384">
        <f>ROUND((G34-'21R2'!G34)/ABS('21R2'!G34)*100,1)</f>
        <v>30.2</v>
      </c>
      <c r="H100" s="384">
        <f>ROUND((H34-'21R2'!H34)/ABS('21R2'!H34)*100,1)</f>
        <v>-10.3</v>
      </c>
      <c r="I100" s="384">
        <f>ROUND((I34-'21R2'!I34)/ABS('21R2'!I34)*100,1)</f>
        <v>71.3</v>
      </c>
      <c r="J100" s="384">
        <f>ROUND((J34-'21R2'!J34)/ABS('21R2'!J34)*100,1)</f>
        <v>-78.400000000000006</v>
      </c>
      <c r="K100" s="384">
        <f>ROUND((K34-'21R2'!K34)/ABS('21R2'!K34)*100,1)</f>
        <v>-11.3</v>
      </c>
      <c r="L100" s="384">
        <f>ROUND((L34-'21R2'!L34)/ABS('21R2'!L34)*100,1)</f>
        <v>169.4</v>
      </c>
      <c r="M100" s="384">
        <f>ROUND((M34-'21R2'!M34)/ABS('21R2'!M34)*100,1)</f>
        <v>8.4</v>
      </c>
      <c r="N100" s="384">
        <f>ROUND((N34-'21R2'!N34)/ABS('21R2'!N34)*100,1)</f>
        <v>-4.3</v>
      </c>
      <c r="O100" s="384">
        <f>ROUND((O34-'21R2'!O34)/ABS('21R2'!O34)*100,1)</f>
        <v>134.5</v>
      </c>
      <c r="R100" s="383"/>
      <c r="S100" s="383"/>
    </row>
    <row r="101" spans="1:19">
      <c r="A101" s="293">
        <v>215</v>
      </c>
      <c r="B101" s="92" t="s">
        <v>232</v>
      </c>
      <c r="C101" s="384">
        <f>ROUND((C35-'21R2'!C35)/ABS('21R2'!C35)*100,1)</f>
        <v>1.5</v>
      </c>
      <c r="D101" s="384">
        <f>ROUND((D35-'21R2'!D35)/ABS('21R2'!D35)*100,1)</f>
        <v>2</v>
      </c>
      <c r="E101" s="384">
        <f>ROUND((E35-'21R2'!E35)/ABS('21R2'!E35)*100,1)</f>
        <v>0.2</v>
      </c>
      <c r="F101" s="384">
        <f>ROUND((F35-'21R2'!F35)/ABS('21R2'!F35)*100,1)</f>
        <v>3.9</v>
      </c>
      <c r="G101" s="384">
        <f>ROUND((G35-'21R2'!G35)/ABS('21R2'!G35)*100,1)</f>
        <v>2</v>
      </c>
      <c r="H101" s="384">
        <f>ROUND((H35-'21R2'!H35)/ABS('21R2'!H35)*100,1)</f>
        <v>0.4</v>
      </c>
      <c r="I101" s="384">
        <f>ROUND((I35-'21R2'!I35)/ABS('21R2'!I35)*100,1)</f>
        <v>66.900000000000006</v>
      </c>
      <c r="J101" s="384">
        <f>ROUND((J35-'21R2'!J35)/ABS('21R2'!J35)*100,1)</f>
        <v>11.9</v>
      </c>
      <c r="K101" s="384">
        <f>ROUND((K35-'21R2'!K35)/ABS('21R2'!K35)*100,1)</f>
        <v>2.4</v>
      </c>
      <c r="L101" s="384">
        <f>ROUND((L35-'21R2'!L35)/ABS('21R2'!L35)*100,1)</f>
        <v>-1.6</v>
      </c>
      <c r="M101" s="384">
        <f>ROUND((M35-'21R2'!M35)/ABS('21R2'!M35)*100,1)</f>
        <v>8.1999999999999993</v>
      </c>
      <c r="N101" s="384">
        <f>ROUND((N35-'21R2'!N35)/ABS('21R2'!N35)*100,1)</f>
        <v>10.4</v>
      </c>
      <c r="O101" s="384">
        <f>ROUND((O35-'21R2'!O35)/ABS('21R2'!O35)*100,1)</f>
        <v>-41</v>
      </c>
      <c r="R101" s="383"/>
      <c r="S101" s="383"/>
    </row>
    <row r="102" spans="1:19">
      <c r="A102" s="293">
        <v>218</v>
      </c>
      <c r="B102" s="90" t="s">
        <v>200</v>
      </c>
      <c r="C102" s="384">
        <f>ROUND((C36-'21R2'!C36)/ABS('21R2'!C36)*100,1)</f>
        <v>2.7</v>
      </c>
      <c r="D102" s="384">
        <f>ROUND((D36-'21R2'!D36)/ABS('21R2'!D36)*100,1)</f>
        <v>0.9</v>
      </c>
      <c r="E102" s="384">
        <f>ROUND((E36-'21R2'!E36)/ABS('21R2'!E36)*100,1)</f>
        <v>-2.6</v>
      </c>
      <c r="F102" s="384">
        <f>ROUND((F36-'21R2'!F36)/ABS('21R2'!F36)*100,1)</f>
        <v>23</v>
      </c>
      <c r="G102" s="384">
        <f>ROUND((G36-'21R2'!G36)/ABS('21R2'!G36)*100,1)</f>
        <v>-1.3</v>
      </c>
      <c r="H102" s="384">
        <f>ROUND((H36-'21R2'!H36)/ABS('21R2'!H36)*100,1)</f>
        <v>23.1</v>
      </c>
      <c r="I102" s="384">
        <f>ROUND((I36-'21R2'!I36)/ABS('21R2'!I36)*100,1)</f>
        <v>64.900000000000006</v>
      </c>
      <c r="J102" s="384">
        <f>ROUND((J36-'21R2'!J36)/ABS('21R2'!J36)*100,1)</f>
        <v>67.2</v>
      </c>
      <c r="K102" s="384">
        <f>ROUND((K36-'21R2'!K36)/ABS('21R2'!K36)*100,1)</f>
        <v>8.6</v>
      </c>
      <c r="L102" s="384">
        <f>ROUND((L36-'21R2'!L36)/ABS('21R2'!L36)*100,1)</f>
        <v>-7.3</v>
      </c>
      <c r="M102" s="384">
        <f>ROUND((M36-'21R2'!M36)/ABS('21R2'!M36)*100,1)</f>
        <v>9.6</v>
      </c>
      <c r="N102" s="384">
        <f>ROUND((N36-'21R2'!N36)/ABS('21R2'!N36)*100,1)</f>
        <v>17.100000000000001</v>
      </c>
      <c r="O102" s="384">
        <f>ROUND((O36-'21R2'!O36)/ABS('21R2'!O36)*100,1)</f>
        <v>-27.9</v>
      </c>
      <c r="R102" s="383"/>
      <c r="S102" s="383"/>
    </row>
    <row r="103" spans="1:19">
      <c r="A103" s="293">
        <v>220</v>
      </c>
      <c r="B103" s="90" t="s">
        <v>201</v>
      </c>
      <c r="C103" s="384">
        <f>ROUND((C37-'21R2'!C37)/ABS('21R2'!C37)*100,1)</f>
        <v>8.3000000000000007</v>
      </c>
      <c r="D103" s="384">
        <f>ROUND((D37-'21R2'!D37)/ABS('21R2'!D37)*100,1)</f>
        <v>-0.6</v>
      </c>
      <c r="E103" s="384">
        <f>ROUND((E37-'21R2'!E37)/ABS('21R2'!E37)*100,1)</f>
        <v>7</v>
      </c>
      <c r="F103" s="384">
        <f>ROUND((F37-'21R2'!F37)/ABS('21R2'!F37)*100,1)</f>
        <v>19.8</v>
      </c>
      <c r="G103" s="384">
        <f>ROUND((G37-'21R2'!G37)/ABS('21R2'!G37)*100,1)</f>
        <v>41.9</v>
      </c>
      <c r="H103" s="384">
        <f>ROUND((H37-'21R2'!H37)/ABS('21R2'!H37)*100,1)</f>
        <v>13.7</v>
      </c>
      <c r="I103" s="384">
        <f>ROUND((I37-'21R2'!I37)/ABS('21R2'!I37)*100,1)</f>
        <v>66.2</v>
      </c>
      <c r="J103" s="384">
        <f>ROUND((J37-'21R2'!J37)/ABS('21R2'!J37)*100,1)</f>
        <v>-8.6999999999999993</v>
      </c>
      <c r="K103" s="384">
        <f>ROUND((K37-'21R2'!K37)/ABS('21R2'!K37)*100,1)</f>
        <v>4.7</v>
      </c>
      <c r="L103" s="384">
        <f>ROUND((L37-'21R2'!L37)/ABS('21R2'!L37)*100,1)</f>
        <v>14.1</v>
      </c>
      <c r="M103" s="384">
        <f>ROUND((M37-'21R2'!M37)/ABS('21R2'!M37)*100,1)</f>
        <v>15.6</v>
      </c>
      <c r="N103" s="384">
        <f>ROUND((N37-'21R2'!N37)/ABS('21R2'!N37)*100,1)</f>
        <v>13</v>
      </c>
      <c r="O103" s="384">
        <f>ROUND((O37-'21R2'!O37)/ABS('21R2'!O37)*100,1)</f>
        <v>-14.8</v>
      </c>
      <c r="R103" s="383"/>
      <c r="S103" s="383"/>
    </row>
    <row r="104" spans="1:19">
      <c r="A104" s="293">
        <v>228</v>
      </c>
      <c r="B104" s="90" t="s">
        <v>239</v>
      </c>
      <c r="C104" s="384">
        <f>ROUND((C38-'21R2'!C38)/ABS('21R2'!C38)*100,1)</f>
        <v>-5.2</v>
      </c>
      <c r="D104" s="384">
        <f>ROUND((D38-'21R2'!D38)/ABS('21R2'!D38)*100,1)</f>
        <v>-0.4</v>
      </c>
      <c r="E104" s="384">
        <f>ROUND((E38-'21R2'!E38)/ABS('21R2'!E38)*100,1)</f>
        <v>3.9</v>
      </c>
      <c r="F104" s="384">
        <f>ROUND((F38-'21R2'!F38)/ABS('21R2'!F38)*100,1)</f>
        <v>10.6</v>
      </c>
      <c r="G104" s="384">
        <f>ROUND((G38-'21R2'!G38)/ABS('21R2'!G38)*100,1)</f>
        <v>83.1</v>
      </c>
      <c r="H104" s="384">
        <f>ROUND((H38-'21R2'!H38)/ABS('21R2'!H38)*100,1)</f>
        <v>-0.3</v>
      </c>
      <c r="I104" s="384">
        <f>ROUND((I38-'21R2'!I38)/ABS('21R2'!I38)*100,1)</f>
        <v>64</v>
      </c>
      <c r="J104" s="384">
        <f>ROUND((J38-'21R2'!J38)/ABS('21R2'!J38)*100,1)</f>
        <v>211.3</v>
      </c>
      <c r="K104" s="384">
        <f>ROUND((K38-'21R2'!K38)/ABS('21R2'!K38)*100,1)</f>
        <v>11.5</v>
      </c>
      <c r="L104" s="384">
        <f>ROUND((L38-'21R2'!L38)/ABS('21R2'!L38)*100,1)</f>
        <v>-28.3</v>
      </c>
      <c r="M104" s="384">
        <f>ROUND((M38-'21R2'!M38)/ABS('21R2'!M38)*100,1)</f>
        <v>1.8</v>
      </c>
      <c r="N104" s="384">
        <f>ROUND((N38-'21R2'!N38)/ABS('21R2'!N38)*100,1)</f>
        <v>20.3</v>
      </c>
      <c r="O104" s="384">
        <f>ROUND((O38-'21R2'!O38)/ABS('21R2'!O38)*100,1)</f>
        <v>-50.8</v>
      </c>
      <c r="R104" s="383"/>
      <c r="S104" s="383"/>
    </row>
    <row r="105" spans="1:19">
      <c r="A105" s="293">
        <v>365</v>
      </c>
      <c r="B105" s="90" t="s">
        <v>233</v>
      </c>
      <c r="C105" s="384">
        <f>ROUND((C39-'21R2'!C39)/ABS('21R2'!C39)*100,1)</f>
        <v>3.9</v>
      </c>
      <c r="D105" s="384">
        <f>ROUND((D39-'21R2'!D39)/ABS('21R2'!D39)*100,1)</f>
        <v>-0.3</v>
      </c>
      <c r="E105" s="384">
        <f>ROUND((E39-'21R2'!E39)/ABS('21R2'!E39)*100,1)</f>
        <v>5.8</v>
      </c>
      <c r="F105" s="384">
        <f>ROUND((F39-'21R2'!F39)/ABS('21R2'!F39)*100,1)</f>
        <v>21.4</v>
      </c>
      <c r="G105" s="384">
        <f>ROUND((G39-'21R2'!G39)/ABS('21R2'!G39)*100,1)</f>
        <v>-5.9</v>
      </c>
      <c r="H105" s="384">
        <f>ROUND((H39-'21R2'!H39)/ABS('21R2'!H39)*100,1)</f>
        <v>18.600000000000001</v>
      </c>
      <c r="I105" s="384">
        <f>ROUND((I39-'21R2'!I39)/ABS('21R2'!I39)*100,1)</f>
        <v>66.3</v>
      </c>
      <c r="J105" s="384">
        <f>ROUND((J39-'21R2'!J39)/ABS('21R2'!J39)*100,1)</f>
        <v>-6.1</v>
      </c>
      <c r="K105" s="384">
        <f>ROUND((K39-'21R2'!K39)/ABS('21R2'!K39)*100,1)</f>
        <v>4.4000000000000004</v>
      </c>
      <c r="L105" s="384">
        <f>ROUND((L39-'21R2'!L39)/ABS('21R2'!L39)*100,1)</f>
        <v>-0.2</v>
      </c>
      <c r="M105" s="384">
        <f>ROUND((M39-'21R2'!M39)/ABS('21R2'!M39)*100,1)</f>
        <v>10.7</v>
      </c>
      <c r="N105" s="384">
        <f>ROUND((N39-'21R2'!N39)/ABS('21R2'!N39)*100,1)</f>
        <v>12.7</v>
      </c>
      <c r="O105" s="384">
        <f>ROUND((O39-'21R2'!O39)/ABS('21R2'!O39)*100,1)</f>
        <v>-7.5</v>
      </c>
      <c r="R105" s="383"/>
      <c r="S105" s="383"/>
    </row>
    <row r="106" spans="1:19">
      <c r="A106" s="293">
        <v>5</v>
      </c>
      <c r="B106" s="91" t="s">
        <v>202</v>
      </c>
      <c r="C106" s="384">
        <f>ROUND((C40-'21R2'!C40)/ABS('21R2'!C40)*100,1)</f>
        <v>8.9</v>
      </c>
      <c r="D106" s="384">
        <f>ROUND((D40-'21R2'!D40)/ABS('21R2'!D40)*100,1)</f>
        <v>3.2</v>
      </c>
      <c r="E106" s="384">
        <f>ROUND((E40-'21R2'!E40)/ABS('21R2'!E40)*100,1)</f>
        <v>7.2</v>
      </c>
      <c r="F106" s="384">
        <f>ROUND((F40-'21R2'!F40)/ABS('21R2'!F40)*100,1)</f>
        <v>-0.2</v>
      </c>
      <c r="G106" s="384">
        <f>ROUND((G40-'21R2'!G40)/ABS('21R2'!G40)*100,1)</f>
        <v>33</v>
      </c>
      <c r="H106" s="384">
        <f>ROUND((H40-'21R2'!H40)/ABS('21R2'!H40)*100,1)</f>
        <v>-7.2</v>
      </c>
      <c r="I106" s="384">
        <f>ROUND((I40-'21R2'!I40)/ABS('21R2'!I40)*100,1)</f>
        <v>67.599999999999994</v>
      </c>
      <c r="J106" s="384">
        <f>ROUND((J40-'21R2'!J40)/ABS('21R2'!J40)*100,1)</f>
        <v>-31.2</v>
      </c>
      <c r="K106" s="384">
        <f>ROUND((K40-'21R2'!K40)/ABS('21R2'!K40)*100,1)</f>
        <v>0.5</v>
      </c>
      <c r="L106" s="384">
        <f>ROUND((L40-'21R2'!L40)/ABS('21R2'!L40)*100,1)</f>
        <v>71.099999999999994</v>
      </c>
      <c r="M106" s="384">
        <f>ROUND((M40-'21R2'!M40)/ABS('21R2'!M40)*100,1)</f>
        <v>16.3</v>
      </c>
      <c r="N106" s="384">
        <f>ROUND((N40-'21R2'!N40)/ABS('21R2'!N40)*100,1)</f>
        <v>8.4</v>
      </c>
      <c r="O106" s="384">
        <f>ROUND((O40-'21R2'!O40)/ABS('21R2'!O40)*100,1)</f>
        <v>131.80000000000001</v>
      </c>
      <c r="R106" s="383"/>
      <c r="S106" s="383"/>
    </row>
    <row r="107" spans="1:19">
      <c r="A107" s="293">
        <v>201</v>
      </c>
      <c r="B107" s="92" t="s">
        <v>240</v>
      </c>
      <c r="C107" s="384">
        <f>ROUND((C41-'21R2'!C41)/ABS('21R2'!C41)*100,1)</f>
        <v>9.5</v>
      </c>
      <c r="D107" s="384">
        <f>ROUND((D41-'21R2'!D41)/ABS('21R2'!D41)*100,1)</f>
        <v>3.4</v>
      </c>
      <c r="E107" s="384">
        <f>ROUND((E41-'21R2'!E41)/ABS('21R2'!E41)*100,1)</f>
        <v>7.8</v>
      </c>
      <c r="F107" s="384">
        <f>ROUND((F41-'21R2'!F41)/ABS('21R2'!F41)*100,1)</f>
        <v>5.6</v>
      </c>
      <c r="G107" s="384">
        <f>ROUND((G41-'21R2'!G41)/ABS('21R2'!G41)*100,1)</f>
        <v>33.5</v>
      </c>
      <c r="H107" s="384">
        <f>ROUND((H41-'21R2'!H41)/ABS('21R2'!H41)*100,1)</f>
        <v>-1.4</v>
      </c>
      <c r="I107" s="384">
        <f>ROUND((I41-'21R2'!I41)/ABS('21R2'!I41)*100,1)</f>
        <v>67</v>
      </c>
      <c r="J107" s="384">
        <f>ROUND((J41-'21R2'!J41)/ABS('21R2'!J41)*100,1)</f>
        <v>-32</v>
      </c>
      <c r="K107" s="384">
        <f>ROUND((K41-'21R2'!K41)/ABS('21R2'!K41)*100,1)</f>
        <v>2.1</v>
      </c>
      <c r="L107" s="384">
        <f>ROUND((L41-'21R2'!L41)/ABS('21R2'!L41)*100,1)</f>
        <v>70.7</v>
      </c>
      <c r="M107" s="384">
        <f>ROUND((M41-'21R2'!M41)/ABS('21R2'!M41)*100,1)</f>
        <v>17</v>
      </c>
      <c r="N107" s="384">
        <f>ROUND((N41-'21R2'!N41)/ABS('21R2'!N41)*100,1)</f>
        <v>10.199999999999999</v>
      </c>
      <c r="O107" s="384">
        <f>ROUND((O41-'21R2'!O41)/ABS('21R2'!O41)*100,1)</f>
        <v>149.4</v>
      </c>
      <c r="R107" s="383"/>
      <c r="S107" s="383"/>
    </row>
    <row r="108" spans="1:19">
      <c r="A108" s="293">
        <v>442</v>
      </c>
      <c r="B108" s="90" t="s">
        <v>203</v>
      </c>
      <c r="C108" s="384">
        <f>ROUND((C42-'21R2'!C42)/ABS('21R2'!C42)*100,1)</f>
        <v>9.9</v>
      </c>
      <c r="D108" s="384">
        <f>ROUND((D42-'21R2'!D42)/ABS('21R2'!D42)*100,1)</f>
        <v>-0.6</v>
      </c>
      <c r="E108" s="384">
        <f>ROUND((E42-'21R2'!E42)/ABS('21R2'!E42)*100,1)</f>
        <v>4.0999999999999996</v>
      </c>
      <c r="F108" s="384">
        <f>ROUND((F42-'21R2'!F42)/ABS('21R2'!F42)*100,1)</f>
        <v>8.8000000000000007</v>
      </c>
      <c r="G108" s="384">
        <f>ROUND((G42-'21R2'!G42)/ABS('21R2'!G42)*100,1)</f>
        <v>50</v>
      </c>
      <c r="H108" s="384">
        <f>ROUND((H42-'21R2'!H42)/ABS('21R2'!H42)*100,1)</f>
        <v>2.9</v>
      </c>
      <c r="I108" s="384">
        <f>ROUND((I42-'21R2'!I42)/ABS('21R2'!I42)*100,1)</f>
        <v>67.400000000000006</v>
      </c>
      <c r="J108" s="384">
        <f>ROUND((J42-'21R2'!J42)/ABS('21R2'!J42)*100,1)</f>
        <v>-21</v>
      </c>
      <c r="K108" s="384">
        <f>ROUND((K42-'21R2'!K42)/ABS('21R2'!K42)*100,1)</f>
        <v>0.6</v>
      </c>
      <c r="L108" s="384">
        <f>ROUND((L42-'21R2'!L42)/ABS('21R2'!L42)*100,1)</f>
        <v>243.1</v>
      </c>
      <c r="M108" s="384">
        <f>ROUND((M42-'21R2'!M42)/ABS('21R2'!M42)*100,1)</f>
        <v>16.100000000000001</v>
      </c>
      <c r="N108" s="384">
        <f>ROUND((N42-'21R2'!N42)/ABS('21R2'!N42)*100,1)</f>
        <v>8.5</v>
      </c>
      <c r="O108" s="384">
        <f>ROUND((O42-'21R2'!O42)/ABS('21R2'!O42)*100,1)</f>
        <v>30.6</v>
      </c>
      <c r="R108" s="383"/>
      <c r="S108" s="383"/>
    </row>
    <row r="109" spans="1:19">
      <c r="A109" s="293">
        <v>443</v>
      </c>
      <c r="B109" s="90" t="s">
        <v>204</v>
      </c>
      <c r="C109" s="384">
        <f>ROUND((C43-'21R2'!C43)/ABS('21R2'!C43)*100,1)</f>
        <v>1.2</v>
      </c>
      <c r="D109" s="384">
        <f>ROUND((D43-'21R2'!D43)/ABS('21R2'!D43)*100,1)</f>
        <v>-0.3</v>
      </c>
      <c r="E109" s="384">
        <f>ROUND((E43-'21R2'!E43)/ABS('21R2'!E43)*100,1)</f>
        <v>5.2</v>
      </c>
      <c r="F109" s="384">
        <f>ROUND((F43-'21R2'!F43)/ABS('21R2'!F43)*100,1)</f>
        <v>-59.7</v>
      </c>
      <c r="G109" s="384">
        <f>ROUND((G43-'21R2'!G43)/ABS('21R2'!G43)*100,1)</f>
        <v>1.6</v>
      </c>
      <c r="H109" s="384">
        <f>ROUND((H43-'21R2'!H43)/ABS('21R2'!H43)*100,1)</f>
        <v>-62.2</v>
      </c>
      <c r="I109" s="384">
        <f>ROUND((I43-'21R2'!I43)/ABS('21R2'!I43)*100,1)</f>
        <v>77.3</v>
      </c>
      <c r="J109" s="384">
        <f>ROUND((J43-'21R2'!J43)/ABS('21R2'!J43)*100,1)</f>
        <v>-1.7</v>
      </c>
      <c r="K109" s="384">
        <f>ROUND((K43-'21R2'!K43)/ABS('21R2'!K43)*100,1)</f>
        <v>-29.8</v>
      </c>
      <c r="L109" s="384">
        <f>ROUND((L43-'21R2'!L43)/ABS('21R2'!L43)*100,1)</f>
        <v>49.2</v>
      </c>
      <c r="M109" s="384">
        <f>ROUND((M43-'21R2'!M43)/ABS('21R2'!M43)*100,1)</f>
        <v>8.5</v>
      </c>
      <c r="N109" s="384">
        <f>ROUND((N43-'21R2'!N43)/ABS('21R2'!N43)*100,1)</f>
        <v>-24.2</v>
      </c>
      <c r="O109" s="384">
        <f>ROUND((O43-'21R2'!O43)/ABS('21R2'!O43)*100,1)</f>
        <v>12.9</v>
      </c>
      <c r="R109" s="383"/>
      <c r="S109" s="383"/>
    </row>
    <row r="110" spans="1:19">
      <c r="A110" s="293">
        <v>446</v>
      </c>
      <c r="B110" s="90" t="s">
        <v>234</v>
      </c>
      <c r="C110" s="384">
        <f>ROUND((C44-'21R2'!C44)/ABS('21R2'!C44)*100,1)</f>
        <v>4.4000000000000004</v>
      </c>
      <c r="D110" s="384">
        <f>ROUND((D44-'21R2'!D44)/ABS('21R2'!D44)*100,1)</f>
        <v>0.6</v>
      </c>
      <c r="E110" s="384">
        <f>ROUND((E44-'21R2'!E44)/ABS('21R2'!E44)*100,1)</f>
        <v>-1.8</v>
      </c>
      <c r="F110" s="384">
        <f>ROUND((F44-'21R2'!F44)/ABS('21R2'!F44)*100,1)</f>
        <v>-14.9</v>
      </c>
      <c r="G110" s="384">
        <f>ROUND((G44-'21R2'!G44)/ABS('21R2'!G44)*100,1)</f>
        <v>68.5</v>
      </c>
      <c r="H110" s="384">
        <f>ROUND((H44-'21R2'!H44)/ABS('21R2'!H44)*100,1)</f>
        <v>-20.2</v>
      </c>
      <c r="I110" s="384">
        <f>ROUND((I44-'21R2'!I44)/ABS('21R2'!I44)*100,1)</f>
        <v>69.599999999999994</v>
      </c>
      <c r="J110" s="384">
        <f>ROUND((J44-'21R2'!J44)/ABS('21R2'!J44)*100,1)</f>
        <v>-29.5</v>
      </c>
      <c r="K110" s="384">
        <f>ROUND((K44-'21R2'!K44)/ABS('21R2'!K44)*100,1)</f>
        <v>-5.8</v>
      </c>
      <c r="L110" s="384">
        <f>ROUND((L44-'21R2'!L44)/ABS('21R2'!L44)*100,1)</f>
        <v>36</v>
      </c>
      <c r="M110" s="384">
        <f>ROUND((M44-'21R2'!M44)/ABS('21R2'!M44)*100,1)</f>
        <v>9.5</v>
      </c>
      <c r="N110" s="384">
        <f>ROUND((N44-'21R2'!N44)/ABS('21R2'!N44)*100,1)</f>
        <v>1.6</v>
      </c>
      <c r="O110" s="384">
        <f>ROUND((O44-'21R2'!O44)/ABS('21R2'!O44)*100,1)</f>
        <v>28.3</v>
      </c>
      <c r="R110" s="383"/>
      <c r="S110" s="383"/>
    </row>
    <row r="111" spans="1:19">
      <c r="A111" s="293">
        <v>6</v>
      </c>
      <c r="B111" s="91" t="s">
        <v>205</v>
      </c>
      <c r="C111" s="384">
        <f>ROUND((C45-'21R2'!C45)/ABS('21R2'!C45)*100,1)</f>
        <v>2.4</v>
      </c>
      <c r="D111" s="384">
        <f>ROUND((D45-'21R2'!D45)/ABS('21R2'!D45)*100,1)</f>
        <v>0.5</v>
      </c>
      <c r="E111" s="384">
        <f>ROUND((E45-'21R2'!E45)/ABS('21R2'!E45)*100,1)</f>
        <v>0.7</v>
      </c>
      <c r="F111" s="384">
        <f>ROUND((F45-'21R2'!F45)/ABS('21R2'!F45)*100,1)</f>
        <v>2</v>
      </c>
      <c r="G111" s="384">
        <f>ROUND((G45-'21R2'!G45)/ABS('21R2'!G45)*100,1)</f>
        <v>58.5</v>
      </c>
      <c r="H111" s="384">
        <f>ROUND((H45-'21R2'!H45)/ABS('21R2'!H45)*100,1)</f>
        <v>-6.6</v>
      </c>
      <c r="I111" s="384">
        <f>ROUND((I45-'21R2'!I45)/ABS('21R2'!I45)*100,1)</f>
        <v>68</v>
      </c>
      <c r="J111" s="384">
        <f>ROUND((J45-'21R2'!J45)/ABS('21R2'!J45)*100,1)</f>
        <v>-28.2</v>
      </c>
      <c r="K111" s="384">
        <f>ROUND((K45-'21R2'!K45)/ABS('21R2'!K45)*100,1)</f>
        <v>-0.9</v>
      </c>
      <c r="L111" s="384">
        <f>ROUND((L45-'21R2'!L45)/ABS('21R2'!L45)*100,1)</f>
        <v>14.2</v>
      </c>
      <c r="M111" s="384">
        <f>ROUND((M45-'21R2'!M45)/ABS('21R2'!M45)*100,1)</f>
        <v>9.1999999999999993</v>
      </c>
      <c r="N111" s="384">
        <f>ROUND((N45-'21R2'!N45)/ABS('21R2'!N45)*100,1)</f>
        <v>6.9</v>
      </c>
      <c r="O111" s="384">
        <f>ROUND((O45-'21R2'!O45)/ABS('21R2'!O45)*100,1)</f>
        <v>-6.6</v>
      </c>
      <c r="R111" s="383"/>
      <c r="S111" s="383"/>
    </row>
    <row r="112" spans="1:19">
      <c r="A112" s="293">
        <v>208</v>
      </c>
      <c r="B112" s="90" t="s">
        <v>206</v>
      </c>
      <c r="C112" s="384">
        <f>ROUND((C46-'21R2'!C46)/ABS('21R2'!C46)*100,1)</f>
        <v>4.7</v>
      </c>
      <c r="D112" s="384">
        <f>ROUND((D46-'21R2'!D46)/ABS('21R2'!D46)*100,1)</f>
        <v>-0.7</v>
      </c>
      <c r="E112" s="384">
        <f>ROUND((E46-'21R2'!E46)/ABS('21R2'!E46)*100,1)</f>
        <v>1.6</v>
      </c>
      <c r="F112" s="384">
        <f>ROUND((F46-'21R2'!F46)/ABS('21R2'!F46)*100,1)</f>
        <v>3.3</v>
      </c>
      <c r="G112" s="384">
        <f>ROUND((G46-'21R2'!G46)/ABS('21R2'!G46)*100,1)</f>
        <v>65.900000000000006</v>
      </c>
      <c r="H112" s="384">
        <f>ROUND((H46-'21R2'!H46)/ABS('21R2'!H46)*100,1)</f>
        <v>-4.7</v>
      </c>
      <c r="I112" s="384">
        <f>ROUND((I46-'21R2'!I46)/ABS('21R2'!I46)*100,1)</f>
        <v>67.400000000000006</v>
      </c>
      <c r="J112" s="384">
        <f>ROUND((J46-'21R2'!J46)/ABS('21R2'!J46)*100,1)</f>
        <v>22.5</v>
      </c>
      <c r="K112" s="384">
        <f>ROUND((K46-'21R2'!K46)/ABS('21R2'!K46)*100,1)</f>
        <v>1</v>
      </c>
      <c r="L112" s="384">
        <f>ROUND((L46-'21R2'!L46)/ABS('21R2'!L46)*100,1)</f>
        <v>9.4</v>
      </c>
      <c r="M112" s="384">
        <f>ROUND((M46-'21R2'!M46)/ABS('21R2'!M46)*100,1)</f>
        <v>11.8</v>
      </c>
      <c r="N112" s="384">
        <f>ROUND((N46-'21R2'!N46)/ABS('21R2'!N46)*100,1)</f>
        <v>9</v>
      </c>
      <c r="O112" s="384">
        <f>ROUND((O46-'21R2'!O46)/ABS('21R2'!O46)*100,1)</f>
        <v>-15.8</v>
      </c>
      <c r="R112" s="383"/>
      <c r="S112" s="383"/>
    </row>
    <row r="113" spans="1:19">
      <c r="A113" s="293">
        <v>212</v>
      </c>
      <c r="B113" s="90" t="s">
        <v>207</v>
      </c>
      <c r="C113" s="384">
        <f>ROUND((C47-'21R2'!C47)/ABS('21R2'!C47)*100,1)</f>
        <v>-3.9</v>
      </c>
      <c r="D113" s="384">
        <f>ROUND((D47-'21R2'!D47)/ABS('21R2'!D47)*100,1)</f>
        <v>-0.2</v>
      </c>
      <c r="E113" s="384">
        <f>ROUND((E47-'21R2'!E47)/ABS('21R2'!E47)*100,1)</f>
        <v>4.5999999999999996</v>
      </c>
      <c r="F113" s="384">
        <f>ROUND((F47-'21R2'!F47)/ABS('21R2'!F47)*100,1)</f>
        <v>-11.1</v>
      </c>
      <c r="G113" s="384">
        <f>ROUND((G47-'21R2'!G47)/ABS('21R2'!G47)*100,1)</f>
        <v>18.399999999999999</v>
      </c>
      <c r="H113" s="384">
        <f>ROUND((H47-'21R2'!H47)/ABS('21R2'!H47)*100,1)</f>
        <v>-16</v>
      </c>
      <c r="I113" s="384">
        <f>ROUND((I47-'21R2'!I47)/ABS('21R2'!I47)*100,1)</f>
        <v>68.400000000000006</v>
      </c>
      <c r="J113" s="384">
        <f>ROUND((J47-'21R2'!J47)/ABS('21R2'!J47)*100,1)</f>
        <v>23.8</v>
      </c>
      <c r="K113" s="384">
        <f>ROUND((K47-'21R2'!K47)/ABS('21R2'!K47)*100,1)</f>
        <v>-2.2999999999999998</v>
      </c>
      <c r="L113" s="384">
        <f>ROUND((L47-'21R2'!L47)/ABS('21R2'!L47)*100,1)</f>
        <v>-9.4</v>
      </c>
      <c r="M113" s="384">
        <f>ROUND((M47-'21R2'!M47)/ABS('21R2'!M47)*100,1)</f>
        <v>3.1</v>
      </c>
      <c r="N113" s="384">
        <f>ROUND((N47-'21R2'!N47)/ABS('21R2'!N47)*100,1)</f>
        <v>5.4</v>
      </c>
      <c r="O113" s="384">
        <f>ROUND((O47-'21R2'!O47)/ABS('21R2'!O47)*100,1)</f>
        <v>-47.3</v>
      </c>
      <c r="R113" s="383"/>
      <c r="S113" s="383"/>
    </row>
    <row r="114" spans="1:19">
      <c r="A114" s="293">
        <v>227</v>
      </c>
      <c r="B114" s="90" t="s">
        <v>219</v>
      </c>
      <c r="C114" s="384">
        <f>ROUND((C48-'21R2'!C48)/ABS('21R2'!C48)*100,1)</f>
        <v>5.4</v>
      </c>
      <c r="D114" s="384">
        <f>ROUND((D48-'21R2'!D48)/ABS('21R2'!D48)*100,1)</f>
        <v>-0.2</v>
      </c>
      <c r="E114" s="384">
        <f>ROUND((E48-'21R2'!E48)/ABS('21R2'!E48)*100,1)</f>
        <v>3</v>
      </c>
      <c r="F114" s="384">
        <f>ROUND((F48-'21R2'!F48)/ABS('21R2'!F48)*100,1)</f>
        <v>9.9</v>
      </c>
      <c r="G114" s="384">
        <f>ROUND((G48-'21R2'!G48)/ABS('21R2'!G48)*100,1)</f>
        <v>37.799999999999997</v>
      </c>
      <c r="H114" s="384">
        <f>ROUND((H48-'21R2'!H48)/ABS('21R2'!H48)*100,1)</f>
        <v>2</v>
      </c>
      <c r="I114" s="384">
        <f>ROUND((I48-'21R2'!I48)/ABS('21R2'!I48)*100,1)</f>
        <v>67.5</v>
      </c>
      <c r="J114" s="384">
        <f>ROUND((J48-'21R2'!J48)/ABS('21R2'!J48)*100,1)</f>
        <v>-19.399999999999999</v>
      </c>
      <c r="K114" s="384">
        <f>ROUND((K48-'21R2'!K48)/ABS('21R2'!K48)*100,1)</f>
        <v>0.5</v>
      </c>
      <c r="L114" s="384">
        <f>ROUND((L48-'21R2'!L48)/ABS('21R2'!L48)*100,1)</f>
        <v>140.19999999999999</v>
      </c>
      <c r="M114" s="384">
        <f>ROUND((M48-'21R2'!M48)/ABS('21R2'!M48)*100,1)</f>
        <v>11.8</v>
      </c>
      <c r="N114" s="384">
        <f>ROUND((N48-'21R2'!N48)/ABS('21R2'!N48)*100,1)</f>
        <v>8.4</v>
      </c>
      <c r="O114" s="384">
        <f>ROUND((O48-'21R2'!O48)/ABS('21R2'!O48)*100,1)</f>
        <v>21.4</v>
      </c>
      <c r="R114" s="383"/>
      <c r="S114" s="383"/>
    </row>
    <row r="115" spans="1:19">
      <c r="A115" s="293">
        <v>229</v>
      </c>
      <c r="B115" s="90" t="s">
        <v>235</v>
      </c>
      <c r="C115" s="384">
        <f>ROUND((C49-'21R2'!C49)/ABS('21R2'!C49)*100,1)</f>
        <v>-1.1000000000000001</v>
      </c>
      <c r="D115" s="384">
        <f>ROUND((D49-'21R2'!D49)/ABS('21R2'!D49)*100,1)</f>
        <v>2.1</v>
      </c>
      <c r="E115" s="384">
        <f>ROUND((E49-'21R2'!E49)/ABS('21R2'!E49)*100,1)</f>
        <v>-1.9</v>
      </c>
      <c r="F115" s="384">
        <f>ROUND((F49-'21R2'!F49)/ABS('21R2'!F49)*100,1)</f>
        <v>5.2</v>
      </c>
      <c r="G115" s="384">
        <f>ROUND((G49-'21R2'!G49)/ABS('21R2'!G49)*100,1)</f>
        <v>93.6</v>
      </c>
      <c r="H115" s="384">
        <f>ROUND((H49-'21R2'!H49)/ABS('21R2'!H49)*100,1)</f>
        <v>-4</v>
      </c>
      <c r="I115" s="384">
        <f>ROUND((I49-'21R2'!I49)/ABS('21R2'!I49)*100,1)</f>
        <v>67.900000000000006</v>
      </c>
      <c r="J115" s="384">
        <f>ROUND((J49-'21R2'!J49)/ABS('21R2'!J49)*100,1)</f>
        <v>-38.5</v>
      </c>
      <c r="K115" s="384">
        <f>ROUND((K49-'21R2'!K49)/ABS('21R2'!K49)*100,1)</f>
        <v>-0.8</v>
      </c>
      <c r="L115" s="384">
        <f>ROUND((L49-'21R2'!L49)/ABS('21R2'!L49)*100,1)</f>
        <v>-1.9</v>
      </c>
      <c r="M115" s="384">
        <f>ROUND((M49-'21R2'!M49)/ABS('21R2'!M49)*100,1)</f>
        <v>5.7</v>
      </c>
      <c r="N115" s="384">
        <f>ROUND((N49-'21R2'!N49)/ABS('21R2'!N49)*100,1)</f>
        <v>7</v>
      </c>
      <c r="O115" s="384">
        <f>ROUND((O49-'21R2'!O49)/ABS('21R2'!O49)*100,1)</f>
        <v>-23.8</v>
      </c>
      <c r="R115" s="383"/>
      <c r="S115" s="383"/>
    </row>
    <row r="116" spans="1:19">
      <c r="A116" s="293">
        <v>464</v>
      </c>
      <c r="B116" s="90" t="s">
        <v>208</v>
      </c>
      <c r="C116" s="384">
        <f>ROUND((C50-'21R2'!C50)/ABS('21R2'!C50)*100,1)</f>
        <v>16.100000000000001</v>
      </c>
      <c r="D116" s="384">
        <f>ROUND((D50-'21R2'!D50)/ABS('21R2'!D50)*100,1)</f>
        <v>0.9</v>
      </c>
      <c r="E116" s="384">
        <f>ROUND((E50-'21R2'!E50)/ABS('21R2'!E50)*100,1)</f>
        <v>-1.7</v>
      </c>
      <c r="F116" s="384">
        <f>ROUND((F50-'21R2'!F50)/ABS('21R2'!F50)*100,1)</f>
        <v>17.899999999999999</v>
      </c>
      <c r="G116" s="384">
        <f>ROUND((G50-'21R2'!G50)/ABS('21R2'!G50)*100,1)</f>
        <v>62.1</v>
      </c>
      <c r="H116" s="384">
        <f>ROUND((H50-'21R2'!H50)/ABS('21R2'!H50)*100,1)</f>
        <v>0.8</v>
      </c>
      <c r="I116" s="384">
        <f>ROUND((I50-'21R2'!I50)/ABS('21R2'!I50)*100,1)</f>
        <v>67.900000000000006</v>
      </c>
      <c r="J116" s="384">
        <f>ROUND((J50-'21R2'!J50)/ABS('21R2'!J50)*100,1)</f>
        <v>-59.9</v>
      </c>
      <c r="K116" s="384">
        <f>ROUND((K50-'21R2'!K50)/ABS('21R2'!K50)*100,1)</f>
        <v>-0.6</v>
      </c>
      <c r="L116" s="384">
        <f>ROUND((L50-'21R2'!L50)/ABS('21R2'!L50)*100,1)</f>
        <v>113.4</v>
      </c>
      <c r="M116" s="384">
        <f>ROUND((M50-'21R2'!M50)/ABS('21R2'!M50)*100,1)</f>
        <v>23.2</v>
      </c>
      <c r="N116" s="384">
        <f>ROUND((N50-'21R2'!N50)/ABS('21R2'!N50)*100,1)</f>
        <v>7.2</v>
      </c>
      <c r="O116" s="384">
        <f>ROUND((O50-'21R2'!O50)/ABS('21R2'!O50)*100,1)</f>
        <v>210.2</v>
      </c>
      <c r="R116" s="383"/>
      <c r="S116" s="383"/>
    </row>
    <row r="117" spans="1:19">
      <c r="A117" s="293">
        <v>481</v>
      </c>
      <c r="B117" s="90" t="s">
        <v>209</v>
      </c>
      <c r="C117" s="384">
        <f>ROUND((C51-'21R2'!C51)/ABS('21R2'!C51)*100,1)</f>
        <v>9.1999999999999993</v>
      </c>
      <c r="D117" s="384">
        <f>ROUND((D51-'21R2'!D51)/ABS('21R2'!D51)*100,1)</f>
        <v>-0.4</v>
      </c>
      <c r="E117" s="384">
        <f>ROUND((E51-'21R2'!E51)/ABS('21R2'!E51)*100,1)</f>
        <v>6.2</v>
      </c>
      <c r="F117" s="384">
        <f>ROUND((F51-'21R2'!F51)/ABS('21R2'!F51)*100,1)</f>
        <v>7.5</v>
      </c>
      <c r="G117" s="384">
        <f>ROUND((G51-'21R2'!G51)/ABS('21R2'!G51)*100,1)</f>
        <v>44.7</v>
      </c>
      <c r="H117" s="384">
        <f>ROUND((H51-'21R2'!H51)/ABS('21R2'!H51)*100,1)</f>
        <v>0.3</v>
      </c>
      <c r="I117" s="384">
        <f>ROUND((I51-'21R2'!I51)/ABS('21R2'!I51)*100,1)</f>
        <v>67.400000000000006</v>
      </c>
      <c r="J117" s="384">
        <f>ROUND((J51-'21R2'!J51)/ABS('21R2'!J51)*100,1)</f>
        <v>-10.8</v>
      </c>
      <c r="K117" s="384">
        <f>ROUND((K51-'21R2'!K51)/ABS('21R2'!K51)*100,1)</f>
        <v>1.3</v>
      </c>
      <c r="L117" s="384">
        <f>ROUND((L51-'21R2'!L51)/ABS('21R2'!L51)*100,1)</f>
        <v>363.6</v>
      </c>
      <c r="M117" s="384">
        <f>ROUND((M51-'21R2'!M51)/ABS('21R2'!M51)*100,1)</f>
        <v>16</v>
      </c>
      <c r="N117" s="384">
        <f>ROUND((N51-'21R2'!N51)/ABS('21R2'!N51)*100,1)</f>
        <v>9.1999999999999993</v>
      </c>
      <c r="O117" s="384">
        <f>ROUND((O51-'21R2'!O51)/ABS('21R2'!O51)*100,1)</f>
        <v>35.9</v>
      </c>
      <c r="R117" s="383"/>
      <c r="S117" s="383"/>
    </row>
    <row r="118" spans="1:19">
      <c r="A118" s="293">
        <v>501</v>
      </c>
      <c r="B118" s="90" t="s">
        <v>236</v>
      </c>
      <c r="C118" s="384">
        <f>ROUND((C52-'21R2'!C52)/ABS('21R2'!C52)*100,1)</f>
        <v>4.8</v>
      </c>
      <c r="D118" s="384">
        <f>ROUND((D52-'21R2'!D52)/ABS('21R2'!D52)*100,1)</f>
        <v>-0.5</v>
      </c>
      <c r="E118" s="384">
        <f>ROUND((E52-'21R2'!E52)/ABS('21R2'!E52)*100,1)</f>
        <v>-6.9</v>
      </c>
      <c r="F118" s="384">
        <f>ROUND((F52-'21R2'!F52)/ABS('21R2'!F52)*100,1)</f>
        <v>16.3</v>
      </c>
      <c r="G118" s="384">
        <f>ROUND((G52-'21R2'!G52)/ABS('21R2'!G52)*100,1)</f>
        <v>295.2</v>
      </c>
      <c r="H118" s="384">
        <f>ROUND((H52-'21R2'!H52)/ABS('21R2'!H52)*100,1)</f>
        <v>-3.5</v>
      </c>
      <c r="I118" s="384">
        <f>ROUND((I52-'21R2'!I52)/ABS('21R2'!I52)*100,1)</f>
        <v>69.3</v>
      </c>
      <c r="J118" s="384">
        <f>ROUND((J52-'21R2'!J52)/ABS('21R2'!J52)*100,1)</f>
        <v>-47.3</v>
      </c>
      <c r="K118" s="384">
        <f>ROUND((K52-'21R2'!K52)/ABS('21R2'!K52)*100,1)</f>
        <v>-5.0999999999999996</v>
      </c>
      <c r="L118" s="384">
        <f>ROUND((L52-'21R2'!L52)/ABS('21R2'!L52)*100,1)</f>
        <v>1779.4</v>
      </c>
      <c r="M118" s="384">
        <f>ROUND((M52-'21R2'!M52)/ABS('21R2'!M52)*100,1)</f>
        <v>9.6999999999999993</v>
      </c>
      <c r="N118" s="384">
        <f>ROUND((N52-'21R2'!N52)/ABS('21R2'!N52)*100,1)</f>
        <v>2.2999999999999998</v>
      </c>
      <c r="O118" s="384">
        <f>ROUND((O52-'21R2'!O52)/ABS('21R2'!O52)*100,1)</f>
        <v>38.700000000000003</v>
      </c>
      <c r="R118" s="383"/>
      <c r="S118" s="383"/>
    </row>
    <row r="119" spans="1:19">
      <c r="A119" s="293">
        <v>7</v>
      </c>
      <c r="B119" s="93" t="s">
        <v>210</v>
      </c>
      <c r="C119" s="384">
        <f>ROUND((C53-'21R2'!C53)/ABS('21R2'!C53)*100,1)</f>
        <v>-5.4</v>
      </c>
      <c r="D119" s="384">
        <f>ROUND((D53-'21R2'!D53)/ABS('21R2'!D53)*100,1)</f>
        <v>1</v>
      </c>
      <c r="E119" s="384">
        <f>ROUND((E53-'21R2'!E53)/ABS('21R2'!E53)*100,1)</f>
        <v>2.4</v>
      </c>
      <c r="F119" s="384">
        <f>ROUND((F53-'21R2'!F53)/ABS('21R2'!F53)*100,1)</f>
        <v>18.100000000000001</v>
      </c>
      <c r="G119" s="384">
        <f>ROUND((G53-'21R2'!G53)/ABS('21R2'!G53)*100,1)</f>
        <v>20</v>
      </c>
      <c r="H119" s="384">
        <f>ROUND((H53-'21R2'!H53)/ABS('21R2'!H53)*100,1)</f>
        <v>12.4</v>
      </c>
      <c r="I119" s="384">
        <f>ROUND((I53-'21R2'!I53)/ABS('21R2'!I53)*100,1)</f>
        <v>66.7</v>
      </c>
      <c r="J119" s="384">
        <f>ROUND((J53-'21R2'!J53)/ABS('21R2'!J53)*100,1)</f>
        <v>-8.1</v>
      </c>
      <c r="K119" s="384">
        <f>ROUND((K53-'21R2'!K53)/ABS('21R2'!K53)*100,1)</f>
        <v>3.1</v>
      </c>
      <c r="L119" s="384">
        <f>ROUND((L53-'21R2'!L53)/ABS('21R2'!L53)*100,1)</f>
        <v>-100.7</v>
      </c>
      <c r="M119" s="384">
        <f>ROUND((M53-'21R2'!M53)/ABS('21R2'!M53)*100,1)</f>
        <v>1.4</v>
      </c>
      <c r="N119" s="384">
        <f>ROUND((N53-'21R2'!N53)/ABS('21R2'!N53)*100,1)</f>
        <v>11.2</v>
      </c>
      <c r="O119" s="384">
        <f>ROUND((O53-'21R2'!O53)/ABS('21R2'!O53)*100,1)</f>
        <v>-32.4</v>
      </c>
      <c r="R119" s="383"/>
      <c r="S119" s="383"/>
    </row>
    <row r="120" spans="1:19">
      <c r="A120" s="293">
        <v>209</v>
      </c>
      <c r="B120" s="90" t="s">
        <v>221</v>
      </c>
      <c r="C120" s="384">
        <f>ROUND((C54-'21R2'!C54)/ABS('21R2'!C54)*100,1)</f>
        <v>0.6</v>
      </c>
      <c r="D120" s="384">
        <f>ROUND((D54-'21R2'!D54)/ABS('21R2'!D54)*100,1)</f>
        <v>2.6</v>
      </c>
      <c r="E120" s="384">
        <f>ROUND((E54-'21R2'!E54)/ABS('21R2'!E54)*100,1)</f>
        <v>2.8</v>
      </c>
      <c r="F120" s="384">
        <f>ROUND((F54-'21R2'!F54)/ABS('21R2'!F54)*100,1)</f>
        <v>14.6</v>
      </c>
      <c r="G120" s="384">
        <f>ROUND((G54-'21R2'!G54)/ABS('21R2'!G54)*100,1)</f>
        <v>22.1</v>
      </c>
      <c r="H120" s="384">
        <f>ROUND((H54-'21R2'!H54)/ABS('21R2'!H54)*100,1)</f>
        <v>8.3000000000000007</v>
      </c>
      <c r="I120" s="384">
        <f>ROUND((I54-'21R2'!I54)/ABS('21R2'!I54)*100,1)</f>
        <v>66.099999999999994</v>
      </c>
      <c r="J120" s="384">
        <f>ROUND((J54-'21R2'!J54)/ABS('21R2'!J54)*100,1)</f>
        <v>8.6</v>
      </c>
      <c r="K120" s="384">
        <f>ROUND((K54-'21R2'!K54)/ABS('21R2'!K54)*100,1)</f>
        <v>4.8</v>
      </c>
      <c r="L120" s="384">
        <f>ROUND((L54-'21R2'!L54)/ABS('21R2'!L54)*100,1)</f>
        <v>-50.4</v>
      </c>
      <c r="M120" s="384">
        <f>ROUND((M54-'21R2'!M54)/ABS('21R2'!M54)*100,1)</f>
        <v>7.3</v>
      </c>
      <c r="N120" s="384">
        <f>ROUND((N54-'21R2'!N54)/ABS('21R2'!N54)*100,1)</f>
        <v>13</v>
      </c>
      <c r="O120" s="384">
        <f>ROUND((O54-'21R2'!O54)/ABS('21R2'!O54)*100,1)</f>
        <v>-13</v>
      </c>
      <c r="R120" s="383"/>
      <c r="S120" s="383"/>
    </row>
    <row r="121" spans="1:19">
      <c r="A121" s="293">
        <v>222</v>
      </c>
      <c r="B121" s="90" t="s">
        <v>218</v>
      </c>
      <c r="C121" s="384">
        <f>ROUND((C55-'21R2'!C55)/ABS('21R2'!C55)*100,1)</f>
        <v>6.4</v>
      </c>
      <c r="D121" s="384">
        <f>ROUND((D55-'21R2'!D55)/ABS('21R2'!D55)*100,1)</f>
        <v>-0.5</v>
      </c>
      <c r="E121" s="384">
        <f>ROUND((E55-'21R2'!E55)/ABS('21R2'!E55)*100,1)</f>
        <v>4.7</v>
      </c>
      <c r="F121" s="384">
        <f>ROUND((F55-'21R2'!F55)/ABS('21R2'!F55)*100,1)</f>
        <v>15.9</v>
      </c>
      <c r="G121" s="384">
        <f>ROUND((G55-'21R2'!G55)/ABS('21R2'!G55)*100,1)</f>
        <v>-8.5</v>
      </c>
      <c r="H121" s="384">
        <f>ROUND((H55-'21R2'!H55)/ABS('21R2'!H55)*100,1)</f>
        <v>12.7</v>
      </c>
      <c r="I121" s="384">
        <f>ROUND((I55-'21R2'!I55)/ABS('21R2'!I55)*100,1)</f>
        <v>67.3</v>
      </c>
      <c r="J121" s="384">
        <f>ROUND((J55-'21R2'!J55)/ABS('21R2'!J55)*100,1)</f>
        <v>-13.2</v>
      </c>
      <c r="K121" s="384">
        <f>ROUND((K55-'21R2'!K55)/ABS('21R2'!K55)*100,1)</f>
        <v>1.4</v>
      </c>
      <c r="L121" s="384">
        <f>ROUND((L55-'21R2'!L55)/ABS('21R2'!L55)*100,1)</f>
        <v>37.700000000000003</v>
      </c>
      <c r="M121" s="384">
        <f>ROUND((M55-'21R2'!M55)/ABS('21R2'!M55)*100,1)</f>
        <v>12.7</v>
      </c>
      <c r="N121" s="384">
        <f>ROUND((N55-'21R2'!N55)/ABS('21R2'!N55)*100,1)</f>
        <v>9.3000000000000007</v>
      </c>
      <c r="O121" s="384">
        <f>ROUND((O55-'21R2'!O55)/ABS('21R2'!O55)*100,1)</f>
        <v>18.5</v>
      </c>
      <c r="R121" s="383"/>
      <c r="S121" s="383"/>
    </row>
    <row r="122" spans="1:19">
      <c r="A122" s="293">
        <v>225</v>
      </c>
      <c r="B122" s="90" t="s">
        <v>222</v>
      </c>
      <c r="C122" s="384">
        <f>ROUND((C56-'21R2'!C56)/ABS('21R2'!C56)*100,1)</f>
        <v>-24.5</v>
      </c>
      <c r="D122" s="384">
        <f>ROUND((D56-'21R2'!D56)/ABS('21R2'!D56)*100,1)</f>
        <v>-0.4</v>
      </c>
      <c r="E122" s="384">
        <f>ROUND((E56-'21R2'!E56)/ABS('21R2'!E56)*100,1)</f>
        <v>2.2999999999999998</v>
      </c>
      <c r="F122" s="384">
        <f>ROUND((F56-'21R2'!F56)/ABS('21R2'!F56)*100,1)</f>
        <v>29.8</v>
      </c>
      <c r="G122" s="384">
        <f>ROUND((G56-'21R2'!G56)/ABS('21R2'!G56)*100,1)</f>
        <v>4.3</v>
      </c>
      <c r="H122" s="384">
        <f>ROUND((H56-'21R2'!H56)/ABS('21R2'!H56)*100,1)</f>
        <v>27.4</v>
      </c>
      <c r="I122" s="384">
        <f>ROUND((I56-'21R2'!I56)/ABS('21R2'!I56)*100,1)</f>
        <v>66.2</v>
      </c>
      <c r="J122" s="384">
        <f>ROUND((J56-'21R2'!J56)/ABS('21R2'!J56)*100,1)</f>
        <v>-5.9</v>
      </c>
      <c r="K122" s="384">
        <f>ROUND((K56-'21R2'!K56)/ABS('21R2'!K56)*100,1)</f>
        <v>4.7</v>
      </c>
      <c r="L122" s="384">
        <f>ROUND((L56-'21R2'!L56)/ABS('21R2'!L56)*100,1)</f>
        <v>-77.8</v>
      </c>
      <c r="M122" s="384">
        <f>ROUND((M56-'21R2'!M56)/ABS('21R2'!M56)*100,1)</f>
        <v>-17.600000000000001</v>
      </c>
      <c r="N122" s="384">
        <f>ROUND((N56-'21R2'!N56)/ABS('21R2'!N56)*100,1)</f>
        <v>12.9</v>
      </c>
      <c r="O122" s="384">
        <f>ROUND((O56-'21R2'!O56)/ABS('21R2'!O56)*100,1)</f>
        <v>-151</v>
      </c>
      <c r="R122" s="383"/>
      <c r="S122" s="383"/>
    </row>
    <row r="123" spans="1:19">
      <c r="A123" s="293">
        <v>585</v>
      </c>
      <c r="B123" s="90" t="s">
        <v>220</v>
      </c>
      <c r="C123" s="384">
        <f>ROUND((C57-'21R2'!C57)/ABS('21R2'!C57)*100,1)</f>
        <v>-1.2</v>
      </c>
      <c r="D123" s="384">
        <f>ROUND((D57-'21R2'!D57)/ABS('21R2'!D57)*100,1)</f>
        <v>-0.7</v>
      </c>
      <c r="E123" s="384">
        <f>ROUND((E57-'21R2'!E57)/ABS('21R2'!E57)*100,1)</f>
        <v>-3</v>
      </c>
      <c r="F123" s="384">
        <f>ROUND((F57-'21R2'!F57)/ABS('21R2'!F57)*100,1)</f>
        <v>26.8</v>
      </c>
      <c r="G123" s="384">
        <f>ROUND((G57-'21R2'!G57)/ABS('21R2'!G57)*100,1)</f>
        <v>65</v>
      </c>
      <c r="H123" s="384">
        <f>ROUND((H57-'21R2'!H57)/ABS('21R2'!H57)*100,1)</f>
        <v>18.8</v>
      </c>
      <c r="I123" s="384">
        <f>ROUND((I57-'21R2'!I57)/ABS('21R2'!I57)*100,1)</f>
        <v>67.099999999999994</v>
      </c>
      <c r="J123" s="384">
        <f>ROUND((J57-'21R2'!J57)/ABS('21R2'!J57)*100,1)</f>
        <v>-3.3</v>
      </c>
      <c r="K123" s="384">
        <f>ROUND((K57-'21R2'!K57)/ABS('21R2'!K57)*100,1)</f>
        <v>1.7</v>
      </c>
      <c r="L123" s="384">
        <f>ROUND((L57-'21R2'!L57)/ABS('21R2'!L57)*100,1)</f>
        <v>-16.7</v>
      </c>
      <c r="M123" s="384">
        <f>ROUND((M57-'21R2'!M57)/ABS('21R2'!M57)*100,1)</f>
        <v>4.3</v>
      </c>
      <c r="N123" s="384">
        <f>ROUND((N57-'21R2'!N57)/ABS('21R2'!N57)*100,1)</f>
        <v>9.6999999999999993</v>
      </c>
      <c r="O123" s="384">
        <f>ROUND((O57-'21R2'!O57)/ABS('21R2'!O57)*100,1)</f>
        <v>12.9</v>
      </c>
      <c r="R123" s="383"/>
      <c r="S123" s="383"/>
    </row>
    <row r="124" spans="1:19">
      <c r="A124" s="293">
        <v>586</v>
      </c>
      <c r="B124" s="90" t="s">
        <v>237</v>
      </c>
      <c r="C124" s="384">
        <f>ROUND((C58-'21R2'!C58)/ABS('21R2'!C58)*100,1)</f>
        <v>0.2</v>
      </c>
      <c r="D124" s="384">
        <f>ROUND((D58-'21R2'!D58)/ABS('21R2'!D58)*100,1)</f>
        <v>-0.6</v>
      </c>
      <c r="E124" s="384">
        <f>ROUND((E58-'21R2'!E58)/ABS('21R2'!E58)*100,1)</f>
        <v>4.4000000000000004</v>
      </c>
      <c r="F124" s="384">
        <f>ROUND((F58-'21R2'!F58)/ABS('21R2'!F58)*100,1)</f>
        <v>3.6</v>
      </c>
      <c r="G124" s="384">
        <f>ROUND((G58-'21R2'!G58)/ABS('21R2'!G58)*100,1)</f>
        <v>126.3</v>
      </c>
      <c r="H124" s="384">
        <f>ROUND((H58-'21R2'!H58)/ABS('21R2'!H58)*100,1)</f>
        <v>-8</v>
      </c>
      <c r="I124" s="384">
        <f>ROUND((I58-'21R2'!I58)/ABS('21R2'!I58)*100,1)</f>
        <v>69.099999999999994</v>
      </c>
      <c r="J124" s="384">
        <f>ROUND((J58-'21R2'!J58)/ABS('21R2'!J58)*100,1)</f>
        <v>-45.4</v>
      </c>
      <c r="K124" s="384">
        <f>ROUND((K58-'21R2'!K58)/ABS('21R2'!K58)*100,1)</f>
        <v>-4.3</v>
      </c>
      <c r="L124" s="384">
        <f>ROUND((L58-'21R2'!L58)/ABS('21R2'!L58)*100,1)</f>
        <v>27.3</v>
      </c>
      <c r="M124" s="384">
        <f>ROUND((M58-'21R2'!M58)/ABS('21R2'!M58)*100,1)</f>
        <v>6.7</v>
      </c>
      <c r="N124" s="384">
        <f>ROUND((N58-'21R2'!N58)/ABS('21R2'!N58)*100,1)</f>
        <v>3.2</v>
      </c>
      <c r="O124" s="384">
        <f>ROUND((O58-'21R2'!O58)/ABS('21R2'!O58)*100,1)</f>
        <v>16.8</v>
      </c>
      <c r="R124" s="383"/>
      <c r="S124" s="383"/>
    </row>
    <row r="125" spans="1:19">
      <c r="A125" s="293">
        <v>8</v>
      </c>
      <c r="B125" s="86" t="s">
        <v>211</v>
      </c>
      <c r="C125" s="384">
        <f>ROUND((C59-'21R2'!C59)/ABS('21R2'!C59)*100,1)</f>
        <v>1.5</v>
      </c>
      <c r="D125" s="384">
        <f>ROUND((D59-'21R2'!D59)/ABS('21R2'!D59)*100,1)</f>
        <v>1.2</v>
      </c>
      <c r="E125" s="384">
        <f>ROUND((E59-'21R2'!E59)/ABS('21R2'!E59)*100,1)</f>
        <v>2.5</v>
      </c>
      <c r="F125" s="384">
        <f>ROUND((F59-'21R2'!F59)/ABS('21R2'!F59)*100,1)</f>
        <v>8.5</v>
      </c>
      <c r="G125" s="384">
        <f>ROUND((G59-'21R2'!G59)/ABS('21R2'!G59)*100,1)</f>
        <v>31.3</v>
      </c>
      <c r="H125" s="384">
        <f>ROUND((H59-'21R2'!H59)/ABS('21R2'!H59)*100,1)</f>
        <v>2.6</v>
      </c>
      <c r="I125" s="384">
        <f>ROUND((I59-'21R2'!I59)/ABS('21R2'!I59)*100,1)</f>
        <v>66.900000000000006</v>
      </c>
      <c r="J125" s="384">
        <f>ROUND((J59-'21R2'!J59)/ABS('21R2'!J59)*100,1)</f>
        <v>-12.4</v>
      </c>
      <c r="K125" s="384">
        <f>ROUND((K59-'21R2'!K59)/ABS('21R2'!K59)*100,1)</f>
        <v>2.5</v>
      </c>
      <c r="L125" s="384">
        <f>ROUND((L59-'21R2'!L59)/ABS('21R2'!L59)*100,1)</f>
        <v>-2.9</v>
      </c>
      <c r="M125" s="384">
        <f>ROUND((M59-'21R2'!M59)/ABS('21R2'!M59)*100,1)</f>
        <v>8.3000000000000007</v>
      </c>
      <c r="N125" s="384">
        <f>ROUND((N59-'21R2'!N59)/ABS('21R2'!N59)*100,1)</f>
        <v>10.5</v>
      </c>
      <c r="O125" s="384">
        <f>ROUND((O59-'21R2'!O59)/ABS('21R2'!O59)*100,1)</f>
        <v>-126.2</v>
      </c>
      <c r="R125" s="383"/>
      <c r="S125" s="383"/>
    </row>
    <row r="126" spans="1:19">
      <c r="A126" s="293">
        <v>221</v>
      </c>
      <c r="B126" s="90" t="s">
        <v>1144</v>
      </c>
      <c r="C126" s="384">
        <f>ROUND((C60-'21R2'!C60)/ABS('21R2'!C60)*100,1)</f>
        <v>-2.9</v>
      </c>
      <c r="D126" s="384">
        <f>ROUND((D60-'21R2'!D60)/ABS('21R2'!D60)*100,1)</f>
        <v>0.2</v>
      </c>
      <c r="E126" s="384">
        <f>ROUND((E60-'21R2'!E60)/ABS('21R2'!E60)*100,1)</f>
        <v>4.5999999999999996</v>
      </c>
      <c r="F126" s="384">
        <f>ROUND((F60-'21R2'!F60)/ABS('21R2'!F60)*100,1)</f>
        <v>34.200000000000003</v>
      </c>
      <c r="G126" s="384">
        <f>ROUND((G60-'21R2'!G60)/ABS('21R2'!G60)*100,1)</f>
        <v>57.4</v>
      </c>
      <c r="H126" s="384">
        <f>ROUND((H60-'21R2'!H60)/ABS('21R2'!H60)*100,1)</f>
        <v>26.4</v>
      </c>
      <c r="I126" s="384">
        <f>ROUND((I60-'21R2'!I60)/ABS('21R2'!I60)*100,1)</f>
        <v>66.099999999999994</v>
      </c>
      <c r="J126" s="384">
        <f>ROUND((J60-'21R2'!J60)/ABS('21R2'!J60)*100,1)</f>
        <v>-39.5</v>
      </c>
      <c r="K126" s="384">
        <f>ROUND((K60-'21R2'!K60)/ABS('21R2'!K60)*100,1)</f>
        <v>4.8</v>
      </c>
      <c r="L126" s="384">
        <f>ROUND((L60-'21R2'!L60)/ABS('21R2'!L60)*100,1)</f>
        <v>-22.3</v>
      </c>
      <c r="M126" s="384">
        <f>ROUND((M60-'21R2'!M60)/ABS('21R2'!M60)*100,1)</f>
        <v>4.0999999999999996</v>
      </c>
      <c r="N126" s="384">
        <f>ROUND((N60-'21R2'!N60)/ABS('21R2'!N60)*100,1)</f>
        <v>13.1</v>
      </c>
      <c r="O126" s="384">
        <f>ROUND((O60-'21R2'!O60)/ABS('21R2'!O60)*100,1)</f>
        <v>-98.4</v>
      </c>
      <c r="R126" s="383"/>
      <c r="S126" s="383"/>
    </row>
    <row r="127" spans="1:19">
      <c r="A127" s="293">
        <v>223</v>
      </c>
      <c r="B127" s="90" t="s">
        <v>223</v>
      </c>
      <c r="C127" s="384">
        <f>ROUND((C61-'21R2'!C61)/ABS('21R2'!C61)*100,1)</f>
        <v>5.2</v>
      </c>
      <c r="D127" s="384">
        <f>ROUND((D61-'21R2'!D61)/ABS('21R2'!D61)*100,1)</f>
        <v>1.9</v>
      </c>
      <c r="E127" s="384">
        <f>ROUND((E61-'21R2'!E61)/ABS('21R2'!E61)*100,1)</f>
        <v>0.8</v>
      </c>
      <c r="F127" s="384">
        <f>ROUND((F61-'21R2'!F61)/ABS('21R2'!F61)*100,1)</f>
        <v>-2.7</v>
      </c>
      <c r="G127" s="384">
        <f>ROUND((G61-'21R2'!G61)/ABS('21R2'!G61)*100,1)</f>
        <v>21.9</v>
      </c>
      <c r="H127" s="384">
        <f>ROUND((H61-'21R2'!H61)/ABS('21R2'!H61)*100,1)</f>
        <v>-8.1999999999999993</v>
      </c>
      <c r="I127" s="384">
        <f>ROUND((I61-'21R2'!I61)/ABS('21R2'!I61)*100,1)</f>
        <v>67.400000000000006</v>
      </c>
      <c r="J127" s="384">
        <f>ROUND((J61-'21R2'!J61)/ABS('21R2'!J61)*100,1)</f>
        <v>10.6</v>
      </c>
      <c r="K127" s="384">
        <f>ROUND((K61-'21R2'!K61)/ABS('21R2'!K61)*100,1)</f>
        <v>0.9</v>
      </c>
      <c r="L127" s="384">
        <f>ROUND((L61-'21R2'!L61)/ABS('21R2'!L61)*100,1)</f>
        <v>58.9</v>
      </c>
      <c r="M127" s="384">
        <f>ROUND((M61-'21R2'!M61)/ABS('21R2'!M61)*100,1)</f>
        <v>11.8</v>
      </c>
      <c r="N127" s="384">
        <f>ROUND((N61-'21R2'!N61)/ABS('21R2'!N61)*100,1)</f>
        <v>8.9</v>
      </c>
      <c r="O127" s="384">
        <f>ROUND((O61-'21R2'!O61)/ABS('21R2'!O61)*100,1)</f>
        <v>38.799999999999997</v>
      </c>
      <c r="R127" s="383"/>
      <c r="S127" s="383"/>
    </row>
    <row r="128" spans="1:19">
      <c r="A128" s="293">
        <v>9</v>
      </c>
      <c r="B128" s="94" t="s">
        <v>212</v>
      </c>
      <c r="C128" s="384">
        <f>ROUND((C62-'21R2'!C62)/ABS('21R2'!C62)*100,1)</f>
        <v>2.4</v>
      </c>
      <c r="D128" s="384">
        <f>ROUND((D62-'21R2'!D62)/ABS('21R2'!D62)*100,1)</f>
        <v>0.8</v>
      </c>
      <c r="E128" s="384">
        <f>ROUND((E62-'21R2'!E62)/ABS('21R2'!E62)*100,1)</f>
        <v>11.3</v>
      </c>
      <c r="F128" s="384">
        <f>ROUND((F62-'21R2'!F62)/ABS('21R2'!F62)*100,1)</f>
        <v>43.5</v>
      </c>
      <c r="G128" s="384">
        <f>ROUND((G62-'21R2'!G62)/ABS('21R2'!G62)*100,1)</f>
        <v>97.3</v>
      </c>
      <c r="H128" s="384">
        <f>ROUND((H62-'21R2'!H62)/ABS('21R2'!H62)*100,1)</f>
        <v>28.5</v>
      </c>
      <c r="I128" s="384">
        <f>ROUND((I62-'21R2'!I62)/ABS('21R2'!I62)*100,1)</f>
        <v>63.9</v>
      </c>
      <c r="J128" s="384">
        <f>ROUND((J62-'21R2'!J62)/ABS('21R2'!J62)*100,1)</f>
        <v>41.9</v>
      </c>
      <c r="K128" s="384">
        <f>ROUND((K62-'21R2'!K62)/ABS('21R2'!K62)*100,1)</f>
        <v>11.6</v>
      </c>
      <c r="L128" s="384">
        <f>ROUND((L62-'21R2'!L62)/ABS('21R2'!L62)*100,1)</f>
        <v>-685.1</v>
      </c>
      <c r="M128" s="384">
        <f>ROUND((M62-'21R2'!M62)/ABS('21R2'!M62)*100,1)</f>
        <v>9.8000000000000007</v>
      </c>
      <c r="N128" s="384">
        <f>ROUND((N62-'21R2'!N62)/ABS('21R2'!N62)*100,1)</f>
        <v>20.399999999999999</v>
      </c>
      <c r="O128" s="384">
        <f>ROUND((O62-'21R2'!O62)/ABS('21R2'!O62)*100,1)</f>
        <v>-23.8</v>
      </c>
      <c r="R128" s="383"/>
      <c r="S128" s="383"/>
    </row>
    <row r="129" spans="1:19">
      <c r="A129" s="293">
        <v>205</v>
      </c>
      <c r="B129" s="92" t="s">
        <v>241</v>
      </c>
      <c r="C129" s="384">
        <f>ROUND((C63-'21R2'!C63)/ABS('21R2'!C63)*100,1)</f>
        <v>3.8</v>
      </c>
      <c r="D129" s="384">
        <f>ROUND((D63-'21R2'!D63)/ABS('21R2'!D63)*100,1)</f>
        <v>0.8</v>
      </c>
      <c r="E129" s="384">
        <f>ROUND((E63-'21R2'!E63)/ABS('21R2'!E63)*100,1)</f>
        <v>26.5</v>
      </c>
      <c r="F129" s="384">
        <f>ROUND((F63-'21R2'!F63)/ABS('21R2'!F63)*100,1)</f>
        <v>61.8</v>
      </c>
      <c r="G129" s="384">
        <f>ROUND((G63-'21R2'!G63)/ABS('21R2'!G63)*100,1)</f>
        <v>101.8</v>
      </c>
      <c r="H129" s="384">
        <f>ROUND((H63-'21R2'!H63)/ABS('21R2'!H63)*100,1)</f>
        <v>49.6</v>
      </c>
      <c r="I129" s="384">
        <f>ROUND((I63-'21R2'!I63)/ABS('21R2'!I63)*100,1)</f>
        <v>62.1</v>
      </c>
      <c r="J129" s="384">
        <f>ROUND((J63-'21R2'!J63)/ABS('21R2'!J63)*100,1)</f>
        <v>34.700000000000003</v>
      </c>
      <c r="K129" s="384">
        <f>ROUND((K63-'21R2'!K63)/ABS('21R2'!K63)*100,1)</f>
        <v>17.3</v>
      </c>
      <c r="L129" s="384">
        <f>ROUND((L63-'21R2'!L63)/ABS('21R2'!L63)*100,1)</f>
        <v>-1795.6</v>
      </c>
      <c r="M129" s="384">
        <f>ROUND((M63-'21R2'!M63)/ABS('21R2'!M63)*100,1)</f>
        <v>12.9</v>
      </c>
      <c r="N129" s="384">
        <f>ROUND((N63-'21R2'!N63)/ABS('21R2'!N63)*100,1)</f>
        <v>26.6</v>
      </c>
      <c r="O129" s="384">
        <f>ROUND((O63-'21R2'!O63)/ABS('21R2'!O63)*100,1)</f>
        <v>-46.8</v>
      </c>
      <c r="R129" s="383"/>
      <c r="S129" s="383"/>
    </row>
    <row r="130" spans="1:19">
      <c r="A130" s="293">
        <v>224</v>
      </c>
      <c r="B130" s="90" t="s">
        <v>224</v>
      </c>
      <c r="C130" s="384">
        <f>ROUND((C64-'21R2'!C64)/ABS('21R2'!C64)*100,1)</f>
        <v>-1.4</v>
      </c>
      <c r="D130" s="384">
        <f>ROUND((D64-'21R2'!D64)/ABS('21R2'!D64)*100,1)</f>
        <v>1</v>
      </c>
      <c r="E130" s="384">
        <f>ROUND((E64-'21R2'!E64)/ABS('21R2'!E64)*100,1)</f>
        <v>3.6</v>
      </c>
      <c r="F130" s="384">
        <f>ROUND((F64-'21R2'!F64)/ABS('21R2'!F64)*100,1)</f>
        <v>21.5</v>
      </c>
      <c r="G130" s="384">
        <f>ROUND((G64-'21R2'!G64)/ABS('21R2'!G64)*100,1)</f>
        <v>46.4</v>
      </c>
      <c r="H130" s="384">
        <f>ROUND((H64-'21R2'!H64)/ABS('21R2'!H64)*100,1)</f>
        <v>11</v>
      </c>
      <c r="I130" s="384">
        <f>ROUND((I64-'21R2'!I64)/ABS('21R2'!I64)*100,1)</f>
        <v>64.900000000000006</v>
      </c>
      <c r="J130" s="384">
        <f>ROUND((J64-'21R2'!J64)/ABS('21R2'!J64)*100,1)</f>
        <v>83.4</v>
      </c>
      <c r="K130" s="384">
        <f>ROUND((K64-'21R2'!K64)/ABS('21R2'!K64)*100,1)</f>
        <v>8.6999999999999993</v>
      </c>
      <c r="L130" s="384">
        <f>ROUND((L64-'21R2'!L64)/ABS('21R2'!L64)*100,1)</f>
        <v>-111.6</v>
      </c>
      <c r="M130" s="384">
        <f>ROUND((M64-'21R2'!M64)/ABS('21R2'!M64)*100,1)</f>
        <v>5.4</v>
      </c>
      <c r="N130" s="384">
        <f>ROUND((N64-'21R2'!N64)/ABS('21R2'!N64)*100,1)</f>
        <v>17.3</v>
      </c>
      <c r="O130" s="384">
        <f>ROUND((O64-'21R2'!O64)/ABS('21R2'!O64)*100,1)</f>
        <v>-32</v>
      </c>
      <c r="R130" s="383"/>
      <c r="S130" s="383"/>
    </row>
    <row r="131" spans="1:19">
      <c r="A131" s="396">
        <v>226</v>
      </c>
      <c r="B131" s="201" t="s">
        <v>225</v>
      </c>
      <c r="C131" s="384">
        <f>ROUND((C65-'21R2'!C65)/ABS('21R2'!C65)*100,1)</f>
        <v>4.9000000000000004</v>
      </c>
      <c r="D131" s="384">
        <f>ROUND((D65-'21R2'!D65)/ABS('21R2'!D65)*100,1)</f>
        <v>0.6</v>
      </c>
      <c r="E131" s="384">
        <f>ROUND((E65-'21R2'!E65)/ABS('21R2'!E65)*100,1)</f>
        <v>2.1</v>
      </c>
      <c r="F131" s="384">
        <f>ROUND((F65-'21R2'!F65)/ABS('21R2'!F65)*100,1)</f>
        <v>43.8</v>
      </c>
      <c r="G131" s="384">
        <f>ROUND((G65-'21R2'!G65)/ABS('21R2'!G65)*100,1)</f>
        <v>136.19999999999999</v>
      </c>
      <c r="H131" s="384">
        <f>ROUND((H65-'21R2'!H65)/ABS('21R2'!H65)*100,1)</f>
        <v>21.6</v>
      </c>
      <c r="I131" s="384">
        <f>ROUND((I65-'21R2'!I65)/ABS('21R2'!I65)*100,1)</f>
        <v>64.900000000000006</v>
      </c>
      <c r="J131" s="384">
        <f>ROUND((J65-'21R2'!J65)/ABS('21R2'!J65)*100,1)</f>
        <v>16.3</v>
      </c>
      <c r="K131" s="384">
        <f>ROUND((K65-'21R2'!K65)/ABS('21R2'!K65)*100,1)</f>
        <v>8.6</v>
      </c>
      <c r="L131" s="384">
        <f>ROUND((L65-'21R2'!L65)/ABS('21R2'!L65)*100,1)</f>
        <v>-100.8</v>
      </c>
      <c r="M131" s="384">
        <f>ROUND((M65-'21R2'!M65)/ABS('21R2'!M65)*100,1)</f>
        <v>11.1</v>
      </c>
      <c r="N131" s="384">
        <f>ROUND((N65-'21R2'!N65)/ABS('21R2'!N65)*100,1)</f>
        <v>17.100000000000001</v>
      </c>
      <c r="O131" s="384">
        <f>ROUND((O65-'21R2'!O65)/ABS('21R2'!O65)*100,1)</f>
        <v>5</v>
      </c>
      <c r="R131" s="383"/>
      <c r="S131" s="383"/>
    </row>
  </sheetData>
  <mergeCells count="1">
    <mergeCell ref="L2:M2"/>
  </mergeCells>
  <phoneticPr fontId="13"/>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F1A86-C46D-48A9-8B56-40AED7EF93D5}">
  <sheetPr codeName="Sheet26">
    <tabColor theme="9" tint="0.59999389629810485"/>
  </sheetPr>
  <dimension ref="A1:U131"/>
  <sheetViews>
    <sheetView workbookViewId="0">
      <pane xSplit="2" ySplit="3" topLeftCell="C4" activePane="bottomRight" state="frozen"/>
      <selection pane="topRight" activeCell="C1" sqref="C1"/>
      <selection pane="bottomLeft" activeCell="A4" sqref="A4"/>
      <selection pane="bottomRight" activeCell="M15" sqref="M15"/>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1222</v>
      </c>
      <c r="C1" s="682"/>
      <c r="D1" s="682"/>
      <c r="E1" s="239"/>
      <c r="F1" s="1878" t="str">
        <f>'24R5'!F1</f>
        <v>市町民経済計算試算(2026.3)</v>
      </c>
      <c r="G1" s="682"/>
      <c r="H1" s="239"/>
      <c r="I1" s="239"/>
      <c r="J1" s="239"/>
      <c r="K1" s="239"/>
      <c r="L1" s="239"/>
      <c r="M1" s="239"/>
      <c r="N1" s="239" t="s">
        <v>818</v>
      </c>
      <c r="O1" s="446">
        <f>名目県内総支出!X43</f>
        <v>-720687</v>
      </c>
    </row>
    <row r="2" spans="1:21" ht="26.25" customHeight="1">
      <c r="A2" s="294"/>
      <c r="B2" s="296" t="s">
        <v>930</v>
      </c>
      <c r="C2" s="312" t="s">
        <v>817</v>
      </c>
      <c r="D2" s="275" t="s">
        <v>68</v>
      </c>
      <c r="E2" s="291" t="s">
        <v>1289</v>
      </c>
      <c r="F2" s="297" t="s">
        <v>69</v>
      </c>
      <c r="G2" s="291"/>
      <c r="H2" s="291"/>
      <c r="I2" s="291"/>
      <c r="J2" s="275" t="s">
        <v>70</v>
      </c>
      <c r="K2" s="283" t="s">
        <v>671</v>
      </c>
      <c r="L2" s="2306" t="s">
        <v>71</v>
      </c>
      <c r="M2" s="2312"/>
      <c r="N2" s="282"/>
      <c r="O2" s="283"/>
      <c r="P2" s="92"/>
      <c r="Q2" s="313" t="s">
        <v>949</v>
      </c>
      <c r="R2" s="683" t="s">
        <v>1223</v>
      </c>
      <c r="U2" s="49" t="s">
        <v>671</v>
      </c>
    </row>
    <row r="3" spans="1:21" ht="37.5" customHeight="1">
      <c r="A3" s="357"/>
      <c r="B3" s="92" t="s">
        <v>931</v>
      </c>
      <c r="C3" s="406" t="s">
        <v>82</v>
      </c>
      <c r="D3" s="353"/>
      <c r="E3" s="352"/>
      <c r="F3" s="351" t="s">
        <v>83</v>
      </c>
      <c r="G3" s="297" t="s">
        <v>72</v>
      </c>
      <c r="H3" s="275" t="s">
        <v>73</v>
      </c>
      <c r="I3" s="291" t="s">
        <v>74</v>
      </c>
      <c r="J3" s="353"/>
      <c r="K3" s="474" t="s">
        <v>75</v>
      </c>
      <c r="L3" s="406" t="s">
        <v>76</v>
      </c>
      <c r="M3" s="284" t="s">
        <v>77</v>
      </c>
      <c r="N3" s="282" t="s">
        <v>78</v>
      </c>
      <c r="O3" s="1098" t="s">
        <v>81</v>
      </c>
      <c r="P3" s="92"/>
      <c r="Q3" s="684" t="s">
        <v>1227</v>
      </c>
      <c r="R3" s="49" t="s">
        <v>287</v>
      </c>
      <c r="T3" s="344" t="s">
        <v>956</v>
      </c>
      <c r="U3" s="345" t="s">
        <v>958</v>
      </c>
    </row>
    <row r="4" spans="1:21">
      <c r="A4" s="303"/>
      <c r="B4" s="203" t="s">
        <v>166</v>
      </c>
      <c r="C4" s="438">
        <v>23362116</v>
      </c>
      <c r="D4" s="557">
        <v>13825263</v>
      </c>
      <c r="E4" s="544">
        <v>3013270</v>
      </c>
      <c r="F4" s="438">
        <v>5219536</v>
      </c>
      <c r="G4" s="544">
        <v>745739</v>
      </c>
      <c r="H4" s="547">
        <v>4221035</v>
      </c>
      <c r="I4" s="544">
        <v>252762</v>
      </c>
      <c r="J4" s="547">
        <v>959307</v>
      </c>
      <c r="K4" s="410">
        <v>23017376</v>
      </c>
      <c r="L4" s="412">
        <v>344740</v>
      </c>
      <c r="M4" s="1401">
        <v>21991993</v>
      </c>
      <c r="N4" s="544">
        <v>20926566</v>
      </c>
      <c r="O4" s="438">
        <v>-720687</v>
      </c>
      <c r="P4" s="77"/>
      <c r="Q4" s="314">
        <f>(C4-'22R3'!C4)/'22R3'!C4*100</f>
        <v>3.386408034060258</v>
      </c>
      <c r="R4" s="394">
        <f>D4+E4+F4+J4+L4</f>
        <v>23362116</v>
      </c>
      <c r="S4" s="394">
        <f>R4-C4</f>
        <v>0</v>
      </c>
      <c r="T4" s="49">
        <f>民間設備製造1!S6</f>
        <v>1379939</v>
      </c>
      <c r="U4" s="49">
        <v>22059305.317901988</v>
      </c>
    </row>
    <row r="5" spans="1:21">
      <c r="A5" s="298">
        <v>100</v>
      </c>
      <c r="B5" s="75" t="s">
        <v>172</v>
      </c>
      <c r="C5" s="439">
        <v>7287424</v>
      </c>
      <c r="D5" s="411">
        <v>4258487</v>
      </c>
      <c r="E5" s="408">
        <v>1064443</v>
      </c>
      <c r="F5" s="439">
        <v>1361325</v>
      </c>
      <c r="G5" s="408">
        <v>198500</v>
      </c>
      <c r="H5" s="439">
        <v>1085124</v>
      </c>
      <c r="I5" s="408">
        <v>77701</v>
      </c>
      <c r="J5" s="439">
        <v>391419</v>
      </c>
      <c r="K5" s="411">
        <v>7075674</v>
      </c>
      <c r="L5" s="413">
        <v>211750</v>
      </c>
      <c r="M5" s="439">
        <v>6916833</v>
      </c>
      <c r="N5" s="408">
        <v>6432945</v>
      </c>
      <c r="O5" s="439">
        <v>-272138</v>
      </c>
      <c r="P5" s="77">
        <v>100</v>
      </c>
      <c r="Q5" s="314">
        <f>(C5-'22R3'!C5)/'22R3'!C5*100</f>
        <v>4.8853553329811925</v>
      </c>
      <c r="R5" s="394">
        <f t="shared" ref="R5:R65" si="0">D5+E5+F5+J5+L5</f>
        <v>7287424</v>
      </c>
      <c r="S5" s="394">
        <f t="shared" ref="S5:S65" si="1">R5-C5</f>
        <v>0</v>
      </c>
      <c r="T5" s="49">
        <f>民間設備製造1!S7</f>
        <v>202112</v>
      </c>
      <c r="U5" s="49">
        <v>6475241.3179019867</v>
      </c>
    </row>
    <row r="6" spans="1:21">
      <c r="A6" s="298">
        <v>1</v>
      </c>
      <c r="B6" s="75" t="s">
        <v>323</v>
      </c>
      <c r="C6" s="439">
        <v>3765146</v>
      </c>
      <c r="D6" s="411">
        <v>2742846</v>
      </c>
      <c r="E6" s="408">
        <v>483896</v>
      </c>
      <c r="F6" s="439">
        <v>823172</v>
      </c>
      <c r="G6" s="408">
        <v>158677</v>
      </c>
      <c r="H6" s="439">
        <v>618782</v>
      </c>
      <c r="I6" s="408">
        <v>45713</v>
      </c>
      <c r="J6" s="439">
        <v>112923</v>
      </c>
      <c r="K6" s="411">
        <v>4162837</v>
      </c>
      <c r="L6" s="413">
        <v>-397691</v>
      </c>
      <c r="M6" s="439">
        <v>3543539</v>
      </c>
      <c r="N6" s="408">
        <v>3784702</v>
      </c>
      <c r="O6" s="439">
        <v>-156528</v>
      </c>
      <c r="P6" s="77">
        <v>1</v>
      </c>
      <c r="Q6" s="314">
        <f>(C6-'22R3'!C6)/'22R3'!C6*100</f>
        <v>1.865982572258464</v>
      </c>
      <c r="R6" s="394">
        <f t="shared" si="0"/>
        <v>3765146</v>
      </c>
      <c r="S6" s="394">
        <f t="shared" si="1"/>
        <v>0</v>
      </c>
      <c r="T6" s="49">
        <f>民間設備製造1!S8</f>
        <v>103127</v>
      </c>
      <c r="U6" s="49">
        <v>3904936</v>
      </c>
    </row>
    <row r="7" spans="1:21">
      <c r="A7" s="298">
        <v>2</v>
      </c>
      <c r="B7" s="75" t="s">
        <v>324</v>
      </c>
      <c r="C7" s="439">
        <v>2267467</v>
      </c>
      <c r="D7" s="411">
        <v>1717513</v>
      </c>
      <c r="E7" s="408">
        <v>319106</v>
      </c>
      <c r="F7" s="439">
        <v>562575</v>
      </c>
      <c r="G7" s="408">
        <v>106260</v>
      </c>
      <c r="H7" s="439">
        <v>426686</v>
      </c>
      <c r="I7" s="408">
        <v>29629</v>
      </c>
      <c r="J7" s="439">
        <v>98977</v>
      </c>
      <c r="K7" s="411">
        <v>2698171</v>
      </c>
      <c r="L7" s="413">
        <v>-430704</v>
      </c>
      <c r="M7" s="439">
        <v>2146642</v>
      </c>
      <c r="N7" s="408">
        <v>2453079</v>
      </c>
      <c r="O7" s="439">
        <v>-124267</v>
      </c>
      <c r="P7" s="77">
        <v>2</v>
      </c>
      <c r="Q7" s="314">
        <f>(C7-'22R3'!C7)/'22R3'!C7*100</f>
        <v>2.7845382606563165</v>
      </c>
      <c r="R7" s="394">
        <f t="shared" si="0"/>
        <v>2267467</v>
      </c>
      <c r="S7" s="394">
        <f t="shared" si="1"/>
        <v>0</v>
      </c>
      <c r="T7" s="49">
        <f>民間設備製造1!S9</f>
        <v>117843</v>
      </c>
      <c r="U7" s="49">
        <v>2611884</v>
      </c>
    </row>
    <row r="8" spans="1:21">
      <c r="A8" s="298">
        <v>3</v>
      </c>
      <c r="B8" s="75" t="s">
        <v>192</v>
      </c>
      <c r="C8" s="439">
        <v>3191504</v>
      </c>
      <c r="D8" s="411">
        <v>1758501</v>
      </c>
      <c r="E8" s="408">
        <v>307507</v>
      </c>
      <c r="F8" s="439">
        <v>810297</v>
      </c>
      <c r="G8" s="408">
        <v>107452</v>
      </c>
      <c r="H8" s="439">
        <v>670385</v>
      </c>
      <c r="I8" s="408">
        <v>32460</v>
      </c>
      <c r="J8" s="439">
        <v>79579</v>
      </c>
      <c r="K8" s="411">
        <v>2955884</v>
      </c>
      <c r="L8" s="413">
        <v>235620</v>
      </c>
      <c r="M8" s="439">
        <v>2956829</v>
      </c>
      <c r="N8" s="408">
        <v>2687383</v>
      </c>
      <c r="O8" s="439">
        <v>-33826</v>
      </c>
      <c r="P8" s="77">
        <v>3</v>
      </c>
      <c r="Q8" s="314">
        <f>(C8-'22R3'!C8)/'22R3'!C8*100</f>
        <v>7.8140513135461092</v>
      </c>
      <c r="R8" s="394">
        <f t="shared" si="0"/>
        <v>3191504</v>
      </c>
      <c r="S8" s="394">
        <f t="shared" si="1"/>
        <v>0</v>
      </c>
      <c r="T8" s="49">
        <f>民間設備製造1!S10</f>
        <v>392618</v>
      </c>
      <c r="U8" s="49">
        <v>2994256</v>
      </c>
    </row>
    <row r="9" spans="1:21">
      <c r="A9" s="298">
        <v>4</v>
      </c>
      <c r="B9" s="75" t="s">
        <v>325</v>
      </c>
      <c r="C9" s="439">
        <v>1305298</v>
      </c>
      <c r="D9" s="411">
        <v>576516</v>
      </c>
      <c r="E9" s="408">
        <v>142959</v>
      </c>
      <c r="F9" s="439">
        <v>259608</v>
      </c>
      <c r="G9" s="408">
        <v>25963</v>
      </c>
      <c r="H9" s="439">
        <v>222434</v>
      </c>
      <c r="I9" s="408">
        <v>11211</v>
      </c>
      <c r="J9" s="439">
        <v>41851</v>
      </c>
      <c r="K9" s="411">
        <v>1020934</v>
      </c>
      <c r="L9" s="413">
        <v>284364</v>
      </c>
      <c r="M9" s="439">
        <v>1217161</v>
      </c>
      <c r="N9" s="408">
        <v>928196</v>
      </c>
      <c r="O9" s="439">
        <v>-4601</v>
      </c>
      <c r="P9" s="77">
        <v>4</v>
      </c>
      <c r="Q9" s="314">
        <f>(C9-'22R3'!C9)/'22R3'!C9*100</f>
        <v>-1.1086934781488744</v>
      </c>
      <c r="R9" s="394">
        <f t="shared" si="0"/>
        <v>1305298</v>
      </c>
      <c r="S9" s="394">
        <f t="shared" si="1"/>
        <v>0</v>
      </c>
      <c r="T9" s="49">
        <f>民間設備製造1!S11</f>
        <v>105029</v>
      </c>
      <c r="U9" s="49">
        <v>1083820</v>
      </c>
    </row>
    <row r="10" spans="1:21">
      <c r="A10" s="298">
        <v>5</v>
      </c>
      <c r="B10" s="75" t="s">
        <v>326</v>
      </c>
      <c r="C10" s="439">
        <v>2901482</v>
      </c>
      <c r="D10" s="411">
        <v>1366615</v>
      </c>
      <c r="E10" s="408">
        <v>269614</v>
      </c>
      <c r="F10" s="439">
        <v>793146</v>
      </c>
      <c r="G10" s="408">
        <v>94295</v>
      </c>
      <c r="H10" s="439">
        <v>671194</v>
      </c>
      <c r="I10" s="408">
        <v>27657</v>
      </c>
      <c r="J10" s="439">
        <v>89227</v>
      </c>
      <c r="K10" s="411">
        <v>2518602</v>
      </c>
      <c r="L10" s="413">
        <v>382880</v>
      </c>
      <c r="M10" s="439">
        <v>2683592</v>
      </c>
      <c r="N10" s="408">
        <v>2289822</v>
      </c>
      <c r="O10" s="439">
        <v>-10890</v>
      </c>
      <c r="P10" s="77">
        <v>5</v>
      </c>
      <c r="Q10" s="314">
        <f>(C10-'22R3'!C10)/'22R3'!C10*100</f>
        <v>2.7928365188741076</v>
      </c>
      <c r="R10" s="394">
        <f t="shared" si="0"/>
        <v>2901482</v>
      </c>
      <c r="S10" s="394">
        <f t="shared" si="1"/>
        <v>0</v>
      </c>
      <c r="T10" s="49">
        <f>民間設備製造1!S12</f>
        <v>297837</v>
      </c>
      <c r="U10" s="49">
        <v>2348248</v>
      </c>
    </row>
    <row r="11" spans="1:21">
      <c r="A11" s="298">
        <v>6</v>
      </c>
      <c r="B11" s="75" t="s">
        <v>327</v>
      </c>
      <c r="C11" s="439">
        <v>1110408</v>
      </c>
      <c r="D11" s="411">
        <v>532726</v>
      </c>
      <c r="E11" s="408">
        <v>131189</v>
      </c>
      <c r="F11" s="439">
        <v>293802</v>
      </c>
      <c r="G11" s="408">
        <v>19327</v>
      </c>
      <c r="H11" s="439">
        <v>263519</v>
      </c>
      <c r="I11" s="408">
        <v>10956</v>
      </c>
      <c r="J11" s="439">
        <v>39909</v>
      </c>
      <c r="K11" s="411">
        <v>997626</v>
      </c>
      <c r="L11" s="413">
        <v>112782</v>
      </c>
      <c r="M11" s="439">
        <v>1039795</v>
      </c>
      <c r="N11" s="408">
        <v>907006</v>
      </c>
      <c r="O11" s="439">
        <v>-20007</v>
      </c>
      <c r="P11" s="77">
        <v>6</v>
      </c>
      <c r="Q11" s="314">
        <f>(C11-'22R3'!C11)/'22R3'!C11*100</f>
        <v>-1.4937289642189904</v>
      </c>
      <c r="R11" s="394">
        <f>D11+E11+F11+J11+L11</f>
        <v>1110408</v>
      </c>
      <c r="S11" s="394">
        <f t="shared" si="1"/>
        <v>0</v>
      </c>
      <c r="T11" s="49">
        <f>民間設備製造1!S13</f>
        <v>90149</v>
      </c>
      <c r="U11" s="49">
        <v>997106</v>
      </c>
    </row>
    <row r="12" spans="1:21">
      <c r="A12" s="298">
        <v>7</v>
      </c>
      <c r="B12" s="75" t="s">
        <v>210</v>
      </c>
      <c r="C12" s="439">
        <v>593538</v>
      </c>
      <c r="D12" s="411">
        <v>365067</v>
      </c>
      <c r="E12" s="408">
        <v>127567</v>
      </c>
      <c r="F12" s="439">
        <v>129097</v>
      </c>
      <c r="G12" s="408">
        <v>12152</v>
      </c>
      <c r="H12" s="439">
        <v>109740</v>
      </c>
      <c r="I12" s="408">
        <v>7205</v>
      </c>
      <c r="J12" s="439">
        <v>34378</v>
      </c>
      <c r="K12" s="411">
        <v>656109</v>
      </c>
      <c r="L12" s="413">
        <v>-62571</v>
      </c>
      <c r="M12" s="439">
        <v>581996</v>
      </c>
      <c r="N12" s="408">
        <v>596511</v>
      </c>
      <c r="O12" s="439">
        <v>-48056</v>
      </c>
      <c r="P12" s="77">
        <v>7</v>
      </c>
      <c r="Q12" s="314">
        <f>(C12-'22R3'!C12)/'22R3'!C12*100</f>
        <v>-1.810475746176065</v>
      </c>
      <c r="R12" s="394">
        <f t="shared" si="0"/>
        <v>593538</v>
      </c>
      <c r="S12" s="394">
        <f t="shared" si="1"/>
        <v>0</v>
      </c>
      <c r="T12" s="49">
        <f>民間設備製造1!S14</f>
        <v>34544</v>
      </c>
      <c r="U12" s="49">
        <v>695778</v>
      </c>
    </row>
    <row r="13" spans="1:21">
      <c r="A13" s="298">
        <v>8</v>
      </c>
      <c r="B13" s="75" t="s">
        <v>211</v>
      </c>
      <c r="C13" s="439">
        <v>464432</v>
      </c>
      <c r="D13" s="411">
        <v>234028</v>
      </c>
      <c r="E13" s="408">
        <v>68592</v>
      </c>
      <c r="F13" s="439">
        <v>97406</v>
      </c>
      <c r="G13" s="408">
        <v>10166</v>
      </c>
      <c r="H13" s="439">
        <v>82575</v>
      </c>
      <c r="I13" s="408">
        <v>4665</v>
      </c>
      <c r="J13" s="439">
        <v>24770</v>
      </c>
      <c r="K13" s="411">
        <v>424796</v>
      </c>
      <c r="L13" s="413">
        <v>39636</v>
      </c>
      <c r="M13" s="439">
        <v>441158</v>
      </c>
      <c r="N13" s="408">
        <v>386209</v>
      </c>
      <c r="O13" s="439">
        <v>-15313</v>
      </c>
      <c r="P13" s="77">
        <v>8</v>
      </c>
      <c r="Q13" s="314">
        <f>(C13-'22R3'!C13)/'22R3'!C13*100</f>
        <v>0.95162741765097147</v>
      </c>
      <c r="R13" s="394">
        <f t="shared" si="0"/>
        <v>464432</v>
      </c>
      <c r="S13" s="394">
        <f t="shared" si="1"/>
        <v>0</v>
      </c>
      <c r="T13" s="49">
        <f>民間設備製造1!S15</f>
        <v>21533</v>
      </c>
      <c r="U13" s="49">
        <v>430838</v>
      </c>
    </row>
    <row r="14" spans="1:21">
      <c r="A14" s="298">
        <v>9</v>
      </c>
      <c r="B14" s="75" t="s">
        <v>212</v>
      </c>
      <c r="C14" s="439">
        <v>475417</v>
      </c>
      <c r="D14" s="411">
        <v>272964</v>
      </c>
      <c r="E14" s="408">
        <v>98397</v>
      </c>
      <c r="F14" s="439">
        <v>89108</v>
      </c>
      <c r="G14" s="408">
        <v>12947</v>
      </c>
      <c r="H14" s="439">
        <v>70596</v>
      </c>
      <c r="I14" s="408">
        <v>5565</v>
      </c>
      <c r="J14" s="439">
        <v>46274</v>
      </c>
      <c r="K14" s="411">
        <v>506743</v>
      </c>
      <c r="L14" s="413">
        <v>-31326</v>
      </c>
      <c r="M14" s="439">
        <v>464448</v>
      </c>
      <c r="N14" s="408">
        <v>460713</v>
      </c>
      <c r="O14" s="439">
        <v>-35061</v>
      </c>
      <c r="P14" s="77">
        <v>9</v>
      </c>
      <c r="Q14" s="314">
        <f>(C14-'22R3'!C14)/'22R3'!C14*100</f>
        <v>5.1502772426575483</v>
      </c>
      <c r="R14" s="394">
        <f t="shared" si="0"/>
        <v>475417</v>
      </c>
      <c r="S14" s="394">
        <f t="shared" si="1"/>
        <v>0</v>
      </c>
      <c r="T14" s="49">
        <f>民間設備製造1!S16</f>
        <v>15147</v>
      </c>
      <c r="U14" s="49">
        <v>517198</v>
      </c>
    </row>
    <row r="15" spans="1:21">
      <c r="A15" s="541"/>
      <c r="B15" s="540"/>
      <c r="C15" s="439"/>
      <c r="D15" s="411"/>
      <c r="E15" s="408"/>
      <c r="F15" s="549"/>
      <c r="G15" s="408"/>
      <c r="H15" s="439"/>
      <c r="I15" s="408"/>
      <c r="J15" s="439"/>
      <c r="K15" s="440"/>
      <c r="L15" s="308"/>
      <c r="M15" s="1094"/>
      <c r="N15" s="281"/>
      <c r="O15" s="1094"/>
      <c r="P15" s="77" t="s">
        <v>11</v>
      </c>
      <c r="Q15" s="314" t="s">
        <v>1225</v>
      </c>
      <c r="R15" s="394" t="s">
        <v>11</v>
      </c>
      <c r="S15" s="394" t="s">
        <v>11</v>
      </c>
      <c r="T15" s="49" t="s">
        <v>1229</v>
      </c>
      <c r="U15" s="49" t="s">
        <v>106</v>
      </c>
    </row>
    <row r="16" spans="1:21">
      <c r="A16" s="300">
        <v>100</v>
      </c>
      <c r="B16" s="87" t="s">
        <v>172</v>
      </c>
      <c r="C16" s="439">
        <v>7287424</v>
      </c>
      <c r="D16" s="544">
        <v>4258487</v>
      </c>
      <c r="E16" s="547">
        <v>1064443</v>
      </c>
      <c r="F16" s="572">
        <v>1361325</v>
      </c>
      <c r="G16" s="560">
        <v>198500</v>
      </c>
      <c r="H16" s="560">
        <v>1085124</v>
      </c>
      <c r="I16" s="560">
        <v>77701</v>
      </c>
      <c r="J16" s="547">
        <v>391419</v>
      </c>
      <c r="K16" s="408">
        <v>7075674</v>
      </c>
      <c r="L16" s="1105">
        <v>211750</v>
      </c>
      <c r="M16" s="1130">
        <v>6916833</v>
      </c>
      <c r="N16" s="1106">
        <v>6432945</v>
      </c>
      <c r="O16" s="1099">
        <v>-272138</v>
      </c>
      <c r="P16" s="293">
        <v>100</v>
      </c>
      <c r="Q16" s="314">
        <f>(C16-'22R3'!C16)/'22R3'!C16*100</f>
        <v>4.8853553329811925</v>
      </c>
      <c r="R16" s="394">
        <f t="shared" si="0"/>
        <v>7287424</v>
      </c>
      <c r="S16" s="394">
        <f t="shared" si="1"/>
        <v>0</v>
      </c>
      <c r="T16" s="49">
        <f>民間設備製造1!S18</f>
        <v>202112</v>
      </c>
      <c r="U16" s="49">
        <v>6475241.3179019867</v>
      </c>
    </row>
    <row r="17" spans="1:21">
      <c r="A17" s="301">
        <v>1</v>
      </c>
      <c r="B17" s="128" t="s">
        <v>182</v>
      </c>
      <c r="C17" s="439">
        <v>3765146</v>
      </c>
      <c r="D17" s="544">
        <v>2742846</v>
      </c>
      <c r="E17" s="547">
        <v>483896</v>
      </c>
      <c r="F17" s="407">
        <v>823172</v>
      </c>
      <c r="G17" s="1712">
        <v>158677</v>
      </c>
      <c r="H17" s="560">
        <v>618782</v>
      </c>
      <c r="I17" s="560">
        <v>45713</v>
      </c>
      <c r="J17" s="547">
        <v>112923</v>
      </c>
      <c r="K17" s="407">
        <v>4162837</v>
      </c>
      <c r="L17" s="1103">
        <v>-397691</v>
      </c>
      <c r="M17" s="1096">
        <v>3543539</v>
      </c>
      <c r="N17" s="539">
        <v>3784702</v>
      </c>
      <c r="O17" s="1100">
        <v>-156528</v>
      </c>
      <c r="P17" s="293">
        <v>1</v>
      </c>
      <c r="Q17" s="314">
        <f>(C17-'22R3'!C17)/'22R3'!C17*100</f>
        <v>1.865982572258464</v>
      </c>
      <c r="R17" s="394">
        <f t="shared" si="0"/>
        <v>3765146</v>
      </c>
      <c r="S17" s="394">
        <f t="shared" si="1"/>
        <v>0</v>
      </c>
      <c r="T17" s="49">
        <f>民間設備製造1!S19</f>
        <v>103127</v>
      </c>
      <c r="U17" s="49">
        <v>3904936</v>
      </c>
    </row>
    <row r="18" spans="1:21">
      <c r="A18" s="300">
        <v>202</v>
      </c>
      <c r="B18" s="90" t="s">
        <v>183</v>
      </c>
      <c r="C18" s="439">
        <v>2057005</v>
      </c>
      <c r="D18" s="538">
        <v>1264601</v>
      </c>
      <c r="E18" s="546">
        <v>189046</v>
      </c>
      <c r="F18" s="572">
        <v>431417</v>
      </c>
      <c r="G18" s="561">
        <v>77282</v>
      </c>
      <c r="H18" s="561">
        <v>332948</v>
      </c>
      <c r="I18" s="561">
        <v>21187</v>
      </c>
      <c r="J18" s="546">
        <v>44283</v>
      </c>
      <c r="K18" s="408">
        <v>1929347</v>
      </c>
      <c r="L18" s="1103">
        <v>127658</v>
      </c>
      <c r="M18" s="1096">
        <v>1901577</v>
      </c>
      <c r="N18" s="539">
        <v>1754093</v>
      </c>
      <c r="O18" s="1100">
        <v>-19826</v>
      </c>
      <c r="P18" s="293">
        <v>202</v>
      </c>
      <c r="Q18" s="314">
        <f>(C18-'22R3'!C18)/'22R3'!C18*100</f>
        <v>2.2503472129019046</v>
      </c>
      <c r="R18" s="394">
        <f t="shared" si="0"/>
        <v>2057005</v>
      </c>
      <c r="S18" s="394">
        <f t="shared" si="1"/>
        <v>0</v>
      </c>
      <c r="T18" s="49">
        <f>民間設備製造1!S20</f>
        <v>88650</v>
      </c>
      <c r="U18" s="49">
        <v>1784793</v>
      </c>
    </row>
    <row r="19" spans="1:21">
      <c r="A19" s="300">
        <v>204</v>
      </c>
      <c r="B19" s="90" t="s">
        <v>184</v>
      </c>
      <c r="C19" s="439">
        <v>1470374</v>
      </c>
      <c r="D19" s="538">
        <v>1237806</v>
      </c>
      <c r="E19" s="546">
        <v>240171</v>
      </c>
      <c r="F19" s="572">
        <v>335193</v>
      </c>
      <c r="G19" s="561">
        <v>73613</v>
      </c>
      <c r="H19" s="561">
        <v>241091</v>
      </c>
      <c r="I19" s="561">
        <v>20489</v>
      </c>
      <c r="J19" s="546">
        <v>52656</v>
      </c>
      <c r="K19" s="408">
        <v>1865826</v>
      </c>
      <c r="L19" s="1103">
        <v>-395452</v>
      </c>
      <c r="M19" s="1096">
        <v>1407187</v>
      </c>
      <c r="N19" s="539">
        <v>1696342</v>
      </c>
      <c r="O19" s="1100">
        <v>-106297</v>
      </c>
      <c r="P19" s="293">
        <v>204</v>
      </c>
      <c r="Q19" s="314">
        <f>(C19-'22R3'!C19)/'22R3'!C19*100</f>
        <v>1.3185983277725637</v>
      </c>
      <c r="R19" s="394">
        <f t="shared" si="0"/>
        <v>1470374</v>
      </c>
      <c r="S19" s="394">
        <f t="shared" si="1"/>
        <v>0</v>
      </c>
      <c r="T19" s="49">
        <f>民間設備製造1!S21</f>
        <v>14438</v>
      </c>
      <c r="U19" s="49">
        <v>1730076</v>
      </c>
    </row>
    <row r="20" spans="1:21">
      <c r="A20" s="302">
        <v>206</v>
      </c>
      <c r="B20" s="201" t="s">
        <v>185</v>
      </c>
      <c r="C20" s="439">
        <v>237767</v>
      </c>
      <c r="D20" s="542">
        <v>240439</v>
      </c>
      <c r="E20" s="548">
        <v>54679</v>
      </c>
      <c r="F20" s="573">
        <v>56562</v>
      </c>
      <c r="G20" s="562">
        <v>7782</v>
      </c>
      <c r="H20" s="562">
        <v>44743</v>
      </c>
      <c r="I20" s="562">
        <v>4037</v>
      </c>
      <c r="J20" s="548">
        <v>15984</v>
      </c>
      <c r="K20" s="409">
        <v>367664</v>
      </c>
      <c r="L20" s="1103">
        <v>-129897</v>
      </c>
      <c r="M20" s="1096">
        <v>234775</v>
      </c>
      <c r="N20" s="539">
        <v>334267</v>
      </c>
      <c r="O20" s="1100">
        <v>-30405</v>
      </c>
      <c r="P20" s="293">
        <v>206</v>
      </c>
      <c r="Q20" s="314">
        <f>(C20-'22R3'!C20)/'22R3'!C20*100</f>
        <v>1.9566559750261572</v>
      </c>
      <c r="R20" s="394">
        <f t="shared" si="0"/>
        <v>237767</v>
      </c>
      <c r="S20" s="394">
        <f t="shared" si="1"/>
        <v>0</v>
      </c>
      <c r="T20" s="49">
        <f>民間設備製造1!S22</f>
        <v>39</v>
      </c>
      <c r="U20" s="49">
        <v>390067</v>
      </c>
    </row>
    <row r="21" spans="1:21">
      <c r="A21" s="300">
        <v>2</v>
      </c>
      <c r="B21" s="65" t="s">
        <v>186</v>
      </c>
      <c r="C21" s="439">
        <v>2267467</v>
      </c>
      <c r="D21" s="538">
        <v>1717513</v>
      </c>
      <c r="E21" s="546">
        <v>319106</v>
      </c>
      <c r="F21" s="281">
        <v>562575</v>
      </c>
      <c r="G21" s="561">
        <v>106260</v>
      </c>
      <c r="H21" s="561">
        <v>426686</v>
      </c>
      <c r="I21" s="561">
        <v>29629</v>
      </c>
      <c r="J21" s="546">
        <v>98977</v>
      </c>
      <c r="K21" s="281">
        <v>2698171</v>
      </c>
      <c r="L21" s="1102">
        <v>-430704</v>
      </c>
      <c r="M21" s="1095">
        <v>2146642</v>
      </c>
      <c r="N21" s="545">
        <v>2453079</v>
      </c>
      <c r="O21" s="1100">
        <v>-124267</v>
      </c>
      <c r="P21" s="293">
        <v>2</v>
      </c>
      <c r="Q21" s="314">
        <f>(C21-'22R3'!C21)/'22R3'!C21*100</f>
        <v>2.7845382606563165</v>
      </c>
      <c r="R21" s="394">
        <f t="shared" si="0"/>
        <v>2267467</v>
      </c>
      <c r="S21" s="394">
        <f t="shared" si="1"/>
        <v>0</v>
      </c>
      <c r="T21" s="49">
        <f>民間設備製造1!S23</f>
        <v>117843</v>
      </c>
      <c r="U21" s="49">
        <v>2611884</v>
      </c>
    </row>
    <row r="22" spans="1:21">
      <c r="A22" s="300">
        <v>207</v>
      </c>
      <c r="B22" s="90" t="s">
        <v>187</v>
      </c>
      <c r="C22" s="439">
        <v>783875</v>
      </c>
      <c r="D22" s="538">
        <v>484763</v>
      </c>
      <c r="E22" s="546">
        <v>85697</v>
      </c>
      <c r="F22" s="572">
        <v>197844</v>
      </c>
      <c r="G22" s="561">
        <v>35895</v>
      </c>
      <c r="H22" s="561">
        <v>153086</v>
      </c>
      <c r="I22" s="561">
        <v>8863</v>
      </c>
      <c r="J22" s="546">
        <v>38784</v>
      </c>
      <c r="K22" s="408">
        <v>807088</v>
      </c>
      <c r="L22" s="1103">
        <v>-23213</v>
      </c>
      <c r="M22" s="1096">
        <v>730875</v>
      </c>
      <c r="N22" s="539">
        <v>733775</v>
      </c>
      <c r="O22" s="1100">
        <v>-20313</v>
      </c>
      <c r="P22" s="293">
        <v>207</v>
      </c>
      <c r="Q22" s="314">
        <f>(C22-'22R3'!C22)/'22R3'!C22*100</f>
        <v>0.50362396419243871</v>
      </c>
      <c r="R22" s="394">
        <f t="shared" si="0"/>
        <v>783875</v>
      </c>
      <c r="S22" s="394">
        <f t="shared" si="1"/>
        <v>0</v>
      </c>
      <c r="T22" s="49">
        <f>民間設備製造1!S24</f>
        <v>65698</v>
      </c>
      <c r="U22" s="49">
        <v>766673</v>
      </c>
    </row>
    <row r="23" spans="1:21">
      <c r="A23" s="300">
        <v>214</v>
      </c>
      <c r="B23" s="90" t="s">
        <v>188</v>
      </c>
      <c r="C23" s="439">
        <v>507141</v>
      </c>
      <c r="D23" s="538">
        <v>559465</v>
      </c>
      <c r="E23" s="546">
        <v>98235</v>
      </c>
      <c r="F23" s="572">
        <v>153894</v>
      </c>
      <c r="G23" s="561">
        <v>38069</v>
      </c>
      <c r="H23" s="561">
        <v>106632</v>
      </c>
      <c r="I23" s="561">
        <v>9193</v>
      </c>
      <c r="J23" s="546">
        <v>25580</v>
      </c>
      <c r="K23" s="408">
        <v>837174</v>
      </c>
      <c r="L23" s="1103">
        <v>-330033</v>
      </c>
      <c r="M23" s="1096">
        <v>492371</v>
      </c>
      <c r="N23" s="539">
        <v>761128</v>
      </c>
      <c r="O23" s="1100">
        <v>-61276</v>
      </c>
      <c r="P23" s="293">
        <v>214</v>
      </c>
      <c r="Q23" s="314">
        <f>(C23-'22R3'!C23)/'22R3'!C23*100</f>
        <v>1.9938579361136866</v>
      </c>
      <c r="R23" s="394">
        <f t="shared" si="0"/>
        <v>507141</v>
      </c>
      <c r="S23" s="394">
        <f t="shared" si="1"/>
        <v>0</v>
      </c>
      <c r="T23" s="49">
        <f>民間設備製造1!S25</f>
        <v>5148</v>
      </c>
      <c r="U23" s="49">
        <v>797177</v>
      </c>
    </row>
    <row r="24" spans="1:21">
      <c r="A24" s="300">
        <v>217</v>
      </c>
      <c r="B24" s="90" t="s">
        <v>189</v>
      </c>
      <c r="C24" s="439">
        <v>361724</v>
      </c>
      <c r="D24" s="538">
        <v>372774</v>
      </c>
      <c r="E24" s="546">
        <v>64512</v>
      </c>
      <c r="F24" s="572">
        <v>104113</v>
      </c>
      <c r="G24" s="561">
        <v>21687</v>
      </c>
      <c r="H24" s="561">
        <v>76245</v>
      </c>
      <c r="I24" s="561">
        <v>6181</v>
      </c>
      <c r="J24" s="546">
        <v>21490</v>
      </c>
      <c r="K24" s="408">
        <v>562889</v>
      </c>
      <c r="L24" s="1103">
        <v>-201165</v>
      </c>
      <c r="M24" s="1096">
        <v>348655</v>
      </c>
      <c r="N24" s="539">
        <v>511758</v>
      </c>
      <c r="O24" s="1100">
        <v>-38062</v>
      </c>
      <c r="P24" s="293">
        <v>217</v>
      </c>
      <c r="Q24" s="314">
        <f>(C24-'22R3'!C24)/'22R3'!C24*100</f>
        <v>2.2882544566102614</v>
      </c>
      <c r="R24" s="394">
        <f t="shared" si="0"/>
        <v>361724</v>
      </c>
      <c r="S24" s="394">
        <f t="shared" si="1"/>
        <v>0</v>
      </c>
      <c r="T24" s="49">
        <f>民間設備製造1!S26</f>
        <v>4112</v>
      </c>
      <c r="U24" s="49">
        <v>527767</v>
      </c>
    </row>
    <row r="25" spans="1:21">
      <c r="A25" s="300">
        <v>219</v>
      </c>
      <c r="B25" s="90" t="s">
        <v>190</v>
      </c>
      <c r="C25" s="439">
        <v>550341</v>
      </c>
      <c r="D25" s="538">
        <v>238994</v>
      </c>
      <c r="E25" s="546">
        <v>52404</v>
      </c>
      <c r="F25" s="572">
        <v>93110</v>
      </c>
      <c r="G25" s="561">
        <v>9768</v>
      </c>
      <c r="H25" s="561">
        <v>79001</v>
      </c>
      <c r="I25" s="561">
        <v>4341</v>
      </c>
      <c r="J25" s="546">
        <v>10778</v>
      </c>
      <c r="K25" s="408">
        <v>395286</v>
      </c>
      <c r="L25" s="1103">
        <v>155055</v>
      </c>
      <c r="M25" s="1096">
        <v>509590</v>
      </c>
      <c r="N25" s="539">
        <v>359380</v>
      </c>
      <c r="O25" s="1100">
        <v>4845</v>
      </c>
      <c r="P25" s="293">
        <v>219</v>
      </c>
      <c r="Q25" s="314">
        <f>(C25-'22R3'!C25)/'22R3'!C25*100</f>
        <v>7.7057813909704533</v>
      </c>
      <c r="R25" s="394">
        <f t="shared" si="0"/>
        <v>550341</v>
      </c>
      <c r="S25" s="394">
        <f t="shared" si="1"/>
        <v>0</v>
      </c>
      <c r="T25" s="49">
        <f>民間設備製造1!S27</f>
        <v>42260</v>
      </c>
      <c r="U25" s="49">
        <v>416743</v>
      </c>
    </row>
    <row r="26" spans="1:21">
      <c r="A26" s="300">
        <v>301</v>
      </c>
      <c r="B26" s="90" t="s">
        <v>191</v>
      </c>
      <c r="C26" s="439">
        <v>64386</v>
      </c>
      <c r="D26" s="538">
        <v>61517</v>
      </c>
      <c r="E26" s="546">
        <v>18258</v>
      </c>
      <c r="F26" s="572">
        <v>13614</v>
      </c>
      <c r="G26" s="561">
        <v>841</v>
      </c>
      <c r="H26" s="561">
        <v>11722</v>
      </c>
      <c r="I26" s="561">
        <v>1051</v>
      </c>
      <c r="J26" s="546">
        <v>2345</v>
      </c>
      <c r="K26" s="408">
        <v>95734</v>
      </c>
      <c r="L26" s="1104">
        <v>-31348</v>
      </c>
      <c r="M26" s="1097">
        <v>65151</v>
      </c>
      <c r="N26" s="543">
        <v>87038</v>
      </c>
      <c r="O26" s="1100">
        <v>-9461</v>
      </c>
      <c r="P26" s="293">
        <v>301</v>
      </c>
      <c r="Q26" s="314">
        <f>(C26-'22R3'!C26)/'22R3'!C26*100</f>
        <v>0.18672392867145926</v>
      </c>
      <c r="R26" s="394">
        <f t="shared" si="0"/>
        <v>64386</v>
      </c>
      <c r="S26" s="394">
        <f t="shared" si="1"/>
        <v>0</v>
      </c>
      <c r="T26" s="49">
        <f>民間設備製造1!S28</f>
        <v>625</v>
      </c>
      <c r="U26" s="49">
        <v>103524</v>
      </c>
    </row>
    <row r="27" spans="1:21">
      <c r="A27" s="301">
        <v>3</v>
      </c>
      <c r="B27" s="128" t="s">
        <v>192</v>
      </c>
      <c r="C27" s="439">
        <v>3191504</v>
      </c>
      <c r="D27" s="544">
        <v>1758501</v>
      </c>
      <c r="E27" s="547">
        <v>307507</v>
      </c>
      <c r="F27" s="292">
        <v>810297</v>
      </c>
      <c r="G27" s="560">
        <v>107452</v>
      </c>
      <c r="H27" s="560">
        <v>670385</v>
      </c>
      <c r="I27" s="560">
        <v>32460</v>
      </c>
      <c r="J27" s="547">
        <v>79579</v>
      </c>
      <c r="K27" s="292">
        <v>2955884</v>
      </c>
      <c r="L27" s="1103">
        <v>235620</v>
      </c>
      <c r="M27" s="1096">
        <v>2956829</v>
      </c>
      <c r="N27" s="539">
        <v>2687383</v>
      </c>
      <c r="O27" s="1100">
        <v>-33826</v>
      </c>
      <c r="P27" s="293">
        <v>3</v>
      </c>
      <c r="Q27" s="314">
        <f>(C27-'22R3'!C27)/'22R3'!C27*100</f>
        <v>7.8140513135461092</v>
      </c>
      <c r="R27" s="394">
        <f t="shared" si="0"/>
        <v>3191504</v>
      </c>
      <c r="S27" s="394">
        <f t="shared" si="1"/>
        <v>0</v>
      </c>
      <c r="T27" s="49">
        <f>民間設備製造1!S29</f>
        <v>392618</v>
      </c>
      <c r="U27" s="49">
        <v>2994256</v>
      </c>
    </row>
    <row r="28" spans="1:21">
      <c r="A28" s="300">
        <v>203</v>
      </c>
      <c r="B28" s="90" t="s">
        <v>193</v>
      </c>
      <c r="C28" s="439">
        <v>1271090</v>
      </c>
      <c r="D28" s="538">
        <v>782636</v>
      </c>
      <c r="E28" s="546">
        <v>136628</v>
      </c>
      <c r="F28" s="572">
        <v>289999</v>
      </c>
      <c r="G28" s="561">
        <v>48842</v>
      </c>
      <c r="H28" s="561">
        <v>227552</v>
      </c>
      <c r="I28" s="561">
        <v>13605</v>
      </c>
      <c r="J28" s="546">
        <v>29655</v>
      </c>
      <c r="K28" s="408">
        <v>1238918</v>
      </c>
      <c r="L28" s="1103">
        <v>32172</v>
      </c>
      <c r="M28" s="1096">
        <v>1184082</v>
      </c>
      <c r="N28" s="539">
        <v>1126379</v>
      </c>
      <c r="O28" s="1100">
        <v>-25531</v>
      </c>
      <c r="P28" s="293">
        <v>203</v>
      </c>
      <c r="Q28" s="314">
        <f>(C28-'22R3'!C28)/'22R3'!C28*100</f>
        <v>10.978109786336427</v>
      </c>
      <c r="R28" s="394">
        <f t="shared" si="0"/>
        <v>1271090</v>
      </c>
      <c r="S28" s="394">
        <f t="shared" si="1"/>
        <v>0</v>
      </c>
      <c r="T28" s="49">
        <f>民間設備製造1!S30</f>
        <v>96260</v>
      </c>
      <c r="U28" s="49">
        <v>1197806</v>
      </c>
    </row>
    <row r="29" spans="1:21">
      <c r="A29" s="300">
        <v>210</v>
      </c>
      <c r="B29" s="90" t="s">
        <v>194</v>
      </c>
      <c r="C29" s="439">
        <v>855033</v>
      </c>
      <c r="D29" s="538">
        <v>627035</v>
      </c>
      <c r="E29" s="546">
        <v>103941</v>
      </c>
      <c r="F29" s="572">
        <v>271846</v>
      </c>
      <c r="G29" s="561">
        <v>38022</v>
      </c>
      <c r="H29" s="561">
        <v>222559</v>
      </c>
      <c r="I29" s="561">
        <v>11265</v>
      </c>
      <c r="J29" s="546">
        <v>22979</v>
      </c>
      <c r="K29" s="408">
        <v>1025801</v>
      </c>
      <c r="L29" s="1103">
        <v>-170768</v>
      </c>
      <c r="M29" s="1096">
        <v>801995</v>
      </c>
      <c r="N29" s="539">
        <v>932621</v>
      </c>
      <c r="O29" s="1100">
        <v>-40142</v>
      </c>
      <c r="P29" s="293">
        <v>210</v>
      </c>
      <c r="Q29" s="314">
        <f>(C29-'22R3'!C29)/'22R3'!C29*100</f>
        <v>1.2175228588880944</v>
      </c>
      <c r="R29" s="394">
        <f t="shared" si="0"/>
        <v>855033</v>
      </c>
      <c r="S29" s="394">
        <f t="shared" si="1"/>
        <v>0</v>
      </c>
      <c r="T29" s="49">
        <f>民間設備製造1!S31</f>
        <v>119582</v>
      </c>
      <c r="U29" s="49">
        <v>1019671</v>
      </c>
    </row>
    <row r="30" spans="1:21">
      <c r="A30" s="300">
        <v>216</v>
      </c>
      <c r="B30" s="90" t="s">
        <v>195</v>
      </c>
      <c r="C30" s="439">
        <v>609404</v>
      </c>
      <c r="D30" s="538">
        <v>206155</v>
      </c>
      <c r="E30" s="546">
        <v>40728</v>
      </c>
      <c r="F30" s="572">
        <v>167326</v>
      </c>
      <c r="G30" s="561">
        <v>10025</v>
      </c>
      <c r="H30" s="561">
        <v>152566</v>
      </c>
      <c r="I30" s="561">
        <v>4735</v>
      </c>
      <c r="J30" s="546">
        <v>17009</v>
      </c>
      <c r="K30" s="408">
        <v>431218</v>
      </c>
      <c r="L30" s="1103">
        <v>178186</v>
      </c>
      <c r="M30" s="1096">
        <v>556388</v>
      </c>
      <c r="N30" s="539">
        <v>392048</v>
      </c>
      <c r="O30" s="1100">
        <v>13846</v>
      </c>
      <c r="P30" s="293">
        <v>216</v>
      </c>
      <c r="Q30" s="314">
        <f>(C30-'22R3'!C30)/'22R3'!C30*100</f>
        <v>10.480134011124083</v>
      </c>
      <c r="R30" s="394">
        <f t="shared" si="0"/>
        <v>609404</v>
      </c>
      <c r="S30" s="394">
        <f t="shared" si="1"/>
        <v>0</v>
      </c>
      <c r="T30" s="49">
        <f>民間設備製造1!S32</f>
        <v>137373</v>
      </c>
      <c r="U30" s="49">
        <v>499166</v>
      </c>
    </row>
    <row r="31" spans="1:21">
      <c r="A31" s="300">
        <v>381</v>
      </c>
      <c r="B31" s="90" t="s">
        <v>196</v>
      </c>
      <c r="C31" s="439">
        <v>171319</v>
      </c>
      <c r="D31" s="538">
        <v>64461</v>
      </c>
      <c r="E31" s="546">
        <v>12087</v>
      </c>
      <c r="F31" s="572">
        <v>39507</v>
      </c>
      <c r="G31" s="561">
        <v>4557</v>
      </c>
      <c r="H31" s="561">
        <v>33637</v>
      </c>
      <c r="I31" s="561">
        <v>1313</v>
      </c>
      <c r="J31" s="546">
        <v>3515</v>
      </c>
      <c r="K31" s="408">
        <v>119570</v>
      </c>
      <c r="L31" s="1103">
        <v>51749</v>
      </c>
      <c r="M31" s="1096">
        <v>156706</v>
      </c>
      <c r="N31" s="539">
        <v>108709</v>
      </c>
      <c r="O31" s="1100">
        <v>3752</v>
      </c>
      <c r="P31" s="293">
        <v>381</v>
      </c>
      <c r="Q31" s="314">
        <f>(C31-'22R3'!C31)/'22R3'!C31*100</f>
        <v>1.214677750010339</v>
      </c>
      <c r="R31" s="394">
        <f t="shared" si="0"/>
        <v>171319</v>
      </c>
      <c r="S31" s="394">
        <f t="shared" si="1"/>
        <v>0</v>
      </c>
      <c r="T31" s="49">
        <f>民間設備製造1!S33</f>
        <v>12809</v>
      </c>
      <c r="U31" s="49">
        <v>119162</v>
      </c>
    </row>
    <row r="32" spans="1:21">
      <c r="A32" s="302">
        <v>382</v>
      </c>
      <c r="B32" s="201" t="s">
        <v>197</v>
      </c>
      <c r="C32" s="439">
        <v>284658</v>
      </c>
      <c r="D32" s="542">
        <v>78214</v>
      </c>
      <c r="E32" s="548">
        <v>14123</v>
      </c>
      <c r="F32" s="573">
        <v>41619</v>
      </c>
      <c r="G32" s="562">
        <v>6006</v>
      </c>
      <c r="H32" s="562">
        <v>34071</v>
      </c>
      <c r="I32" s="562">
        <v>1542</v>
      </c>
      <c r="J32" s="548">
        <v>6421</v>
      </c>
      <c r="K32" s="409">
        <v>140377</v>
      </c>
      <c r="L32" s="1103">
        <v>144281</v>
      </c>
      <c r="M32" s="1096">
        <v>257658</v>
      </c>
      <c r="N32" s="539">
        <v>127626</v>
      </c>
      <c r="O32" s="1100">
        <v>14249</v>
      </c>
      <c r="P32" s="293">
        <v>382</v>
      </c>
      <c r="Q32" s="314">
        <f>(C32-'22R3'!C32)/'22R3'!C32*100</f>
        <v>14.213149088808109</v>
      </c>
      <c r="R32" s="394">
        <f t="shared" si="0"/>
        <v>284658</v>
      </c>
      <c r="S32" s="394">
        <f t="shared" si="1"/>
        <v>0</v>
      </c>
      <c r="T32" s="49">
        <f>民間設備製造1!S34</f>
        <v>26594</v>
      </c>
      <c r="U32" s="49">
        <v>158451</v>
      </c>
    </row>
    <row r="33" spans="1:21">
      <c r="A33" s="300">
        <v>4</v>
      </c>
      <c r="B33" s="91" t="s">
        <v>198</v>
      </c>
      <c r="C33" s="439">
        <v>1305298</v>
      </c>
      <c r="D33" s="538">
        <v>576516</v>
      </c>
      <c r="E33" s="546">
        <v>142959</v>
      </c>
      <c r="F33" s="281">
        <v>259608</v>
      </c>
      <c r="G33" s="561">
        <v>25963</v>
      </c>
      <c r="H33" s="561">
        <v>222434</v>
      </c>
      <c r="I33" s="561">
        <v>11211</v>
      </c>
      <c r="J33" s="546">
        <v>41851</v>
      </c>
      <c r="K33" s="281">
        <v>1020934</v>
      </c>
      <c r="L33" s="1102">
        <v>284364</v>
      </c>
      <c r="M33" s="1095">
        <v>1217161</v>
      </c>
      <c r="N33" s="545">
        <v>928196</v>
      </c>
      <c r="O33" s="1099">
        <v>-4601</v>
      </c>
      <c r="P33" s="293">
        <v>4</v>
      </c>
      <c r="Q33" s="314">
        <f>(C33-'22R3'!C33)/'22R3'!C33*100</f>
        <v>-1.1086934781488744</v>
      </c>
      <c r="R33" s="394">
        <f t="shared" si="0"/>
        <v>1305298</v>
      </c>
      <c r="S33" s="394">
        <f t="shared" si="1"/>
        <v>0</v>
      </c>
      <c r="T33" s="49">
        <f>民間設備製造1!S35</f>
        <v>105029</v>
      </c>
      <c r="U33" s="49">
        <v>1083820</v>
      </c>
    </row>
    <row r="34" spans="1:21">
      <c r="A34" s="300">
        <v>213</v>
      </c>
      <c r="B34" s="92" t="s">
        <v>231</v>
      </c>
      <c r="C34" s="439">
        <v>151172</v>
      </c>
      <c r="D34" s="538">
        <v>83570</v>
      </c>
      <c r="E34" s="546">
        <v>17605</v>
      </c>
      <c r="F34" s="572">
        <v>25427</v>
      </c>
      <c r="G34" s="561">
        <v>4627</v>
      </c>
      <c r="H34" s="561">
        <v>19378</v>
      </c>
      <c r="I34" s="561">
        <v>1422</v>
      </c>
      <c r="J34" s="546">
        <v>2904</v>
      </c>
      <c r="K34" s="408">
        <v>129506</v>
      </c>
      <c r="L34" s="1103">
        <v>21666</v>
      </c>
      <c r="M34" s="1096">
        <v>141443</v>
      </c>
      <c r="N34" s="539">
        <v>117742</v>
      </c>
      <c r="O34" s="1100">
        <v>-2035</v>
      </c>
      <c r="P34" s="293">
        <v>213</v>
      </c>
      <c r="Q34" s="314">
        <f>(C34-'22R3'!C34)/'22R3'!C34*100</f>
        <v>2.7186062471546704</v>
      </c>
      <c r="R34" s="394">
        <f t="shared" si="0"/>
        <v>151172</v>
      </c>
      <c r="S34" s="394">
        <f t="shared" si="1"/>
        <v>0</v>
      </c>
      <c r="T34" s="49">
        <f>民間設備製造1!S36</f>
        <v>4739</v>
      </c>
      <c r="U34" s="49">
        <v>152052</v>
      </c>
    </row>
    <row r="35" spans="1:21">
      <c r="A35" s="300">
        <v>215</v>
      </c>
      <c r="B35" s="92" t="s">
        <v>232</v>
      </c>
      <c r="C35" s="439">
        <v>323795</v>
      </c>
      <c r="D35" s="538">
        <v>170421</v>
      </c>
      <c r="E35" s="546">
        <v>40093</v>
      </c>
      <c r="F35" s="572">
        <v>58743</v>
      </c>
      <c r="G35" s="561">
        <v>6263</v>
      </c>
      <c r="H35" s="561">
        <v>49440</v>
      </c>
      <c r="I35" s="561">
        <v>3040</v>
      </c>
      <c r="J35" s="546">
        <v>7605</v>
      </c>
      <c r="K35" s="408">
        <v>276862</v>
      </c>
      <c r="L35" s="1103">
        <v>46933</v>
      </c>
      <c r="M35" s="1096">
        <v>304044</v>
      </c>
      <c r="N35" s="539">
        <v>251713</v>
      </c>
      <c r="O35" s="1100">
        <v>-5398</v>
      </c>
      <c r="P35" s="293">
        <v>215</v>
      </c>
      <c r="Q35" s="314">
        <f>(C35-'22R3'!C35)/'22R3'!C35*100</f>
        <v>0.76147976648368743</v>
      </c>
      <c r="R35" s="394">
        <f t="shared" si="0"/>
        <v>323795</v>
      </c>
      <c r="S35" s="394">
        <f t="shared" si="1"/>
        <v>0</v>
      </c>
      <c r="T35" s="49">
        <f>民間設備製造1!S37</f>
        <v>17795</v>
      </c>
      <c r="U35" s="49">
        <v>288547</v>
      </c>
    </row>
    <row r="36" spans="1:21">
      <c r="A36" s="300">
        <v>218</v>
      </c>
      <c r="B36" s="90" t="s">
        <v>200</v>
      </c>
      <c r="C36" s="439">
        <v>263214</v>
      </c>
      <c r="D36" s="538">
        <v>100495</v>
      </c>
      <c r="E36" s="546">
        <v>22467</v>
      </c>
      <c r="F36" s="572">
        <v>53702</v>
      </c>
      <c r="G36" s="561">
        <v>5048</v>
      </c>
      <c r="H36" s="561">
        <v>46601</v>
      </c>
      <c r="I36" s="561">
        <v>2053</v>
      </c>
      <c r="J36" s="546">
        <v>10273</v>
      </c>
      <c r="K36" s="408">
        <v>186937</v>
      </c>
      <c r="L36" s="1103">
        <v>76277</v>
      </c>
      <c r="M36" s="1096">
        <v>242540</v>
      </c>
      <c r="N36" s="539">
        <v>169956</v>
      </c>
      <c r="O36" s="1100">
        <v>3693</v>
      </c>
      <c r="P36" s="293">
        <v>218</v>
      </c>
      <c r="Q36" s="314">
        <f>(C36-'22R3'!C36)/'22R3'!C36*100</f>
        <v>1.3133078267295863</v>
      </c>
      <c r="R36" s="394">
        <f t="shared" si="0"/>
        <v>263214</v>
      </c>
      <c r="S36" s="394">
        <f t="shared" si="1"/>
        <v>0</v>
      </c>
      <c r="T36" s="49">
        <f>民間設備製造1!S38</f>
        <v>24156</v>
      </c>
      <c r="U36" s="49">
        <v>201052</v>
      </c>
    </row>
    <row r="37" spans="1:21">
      <c r="A37" s="300">
        <v>220</v>
      </c>
      <c r="B37" s="90" t="s">
        <v>201</v>
      </c>
      <c r="C37" s="439">
        <v>245023</v>
      </c>
      <c r="D37" s="538">
        <v>90153</v>
      </c>
      <c r="E37" s="546">
        <v>27809</v>
      </c>
      <c r="F37" s="572">
        <v>53672</v>
      </c>
      <c r="G37" s="561">
        <v>3622</v>
      </c>
      <c r="H37" s="561">
        <v>48092</v>
      </c>
      <c r="I37" s="561">
        <v>1958</v>
      </c>
      <c r="J37" s="546">
        <v>6698</v>
      </c>
      <c r="K37" s="408">
        <v>178332</v>
      </c>
      <c r="L37" s="1103">
        <v>66691</v>
      </c>
      <c r="M37" s="1096">
        <v>228922</v>
      </c>
      <c r="N37" s="539">
        <v>162133</v>
      </c>
      <c r="O37" s="1100">
        <v>-98</v>
      </c>
      <c r="P37" s="293">
        <v>220</v>
      </c>
      <c r="Q37" s="314">
        <f>(C37-'22R3'!C37)/'22R3'!C37*100</f>
        <v>-3.5722156631247537</v>
      </c>
      <c r="R37" s="394">
        <f t="shared" si="0"/>
        <v>245023</v>
      </c>
      <c r="S37" s="394">
        <f t="shared" si="1"/>
        <v>0</v>
      </c>
      <c r="T37" s="49">
        <f>民間設備製造1!S39</f>
        <v>26130</v>
      </c>
      <c r="U37" s="49">
        <v>181268</v>
      </c>
    </row>
    <row r="38" spans="1:21">
      <c r="A38" s="300">
        <v>228</v>
      </c>
      <c r="B38" s="90" t="s">
        <v>239</v>
      </c>
      <c r="C38" s="439">
        <v>248836</v>
      </c>
      <c r="D38" s="538">
        <v>95338</v>
      </c>
      <c r="E38" s="546">
        <v>22700</v>
      </c>
      <c r="F38" s="572">
        <v>44368</v>
      </c>
      <c r="G38" s="561">
        <v>5515</v>
      </c>
      <c r="H38" s="561">
        <v>36943</v>
      </c>
      <c r="I38" s="561">
        <v>1910</v>
      </c>
      <c r="J38" s="546">
        <v>11521</v>
      </c>
      <c r="K38" s="408">
        <v>173927</v>
      </c>
      <c r="L38" s="1103">
        <v>74909</v>
      </c>
      <c r="M38" s="1096">
        <v>229957</v>
      </c>
      <c r="N38" s="539">
        <v>158128</v>
      </c>
      <c r="O38" s="1100">
        <v>3080</v>
      </c>
      <c r="P38" s="293">
        <v>228</v>
      </c>
      <c r="Q38" s="314">
        <f>(C38-'22R3'!C38)/'22R3'!C38*100</f>
        <v>-7.3212337006923827</v>
      </c>
      <c r="R38" s="394">
        <f t="shared" si="0"/>
        <v>248836</v>
      </c>
      <c r="S38" s="394">
        <f t="shared" si="1"/>
        <v>0</v>
      </c>
      <c r="T38" s="49">
        <f>民間設備製造1!S40</f>
        <v>28092</v>
      </c>
      <c r="U38" s="49">
        <v>190937</v>
      </c>
    </row>
    <row r="39" spans="1:21">
      <c r="A39" s="300">
        <v>365</v>
      </c>
      <c r="B39" s="90" t="s">
        <v>233</v>
      </c>
      <c r="C39" s="439">
        <v>73258</v>
      </c>
      <c r="D39" s="538">
        <v>36539</v>
      </c>
      <c r="E39" s="546">
        <v>12285</v>
      </c>
      <c r="F39" s="572">
        <v>23696</v>
      </c>
      <c r="G39" s="561">
        <v>888</v>
      </c>
      <c r="H39" s="561">
        <v>21980</v>
      </c>
      <c r="I39" s="561">
        <v>828</v>
      </c>
      <c r="J39" s="546">
        <v>2850</v>
      </c>
      <c r="K39" s="408">
        <v>75370</v>
      </c>
      <c r="L39" s="1104">
        <v>-2112</v>
      </c>
      <c r="M39" s="1097">
        <v>70255</v>
      </c>
      <c r="N39" s="543">
        <v>68524</v>
      </c>
      <c r="O39" s="1101">
        <v>-3843</v>
      </c>
      <c r="P39" s="293">
        <v>365</v>
      </c>
      <c r="Q39" s="314">
        <f>(C39-'22R3'!C39)/'22R3'!C39*100</f>
        <v>6.1433249297284771</v>
      </c>
      <c r="R39" s="394">
        <f t="shared" si="0"/>
        <v>73258</v>
      </c>
      <c r="S39" s="394">
        <f t="shared" si="1"/>
        <v>0</v>
      </c>
      <c r="T39" s="49">
        <f>民間設備製造1!S41</f>
        <v>4117</v>
      </c>
      <c r="U39" s="49">
        <v>69964</v>
      </c>
    </row>
    <row r="40" spans="1:21">
      <c r="A40" s="301">
        <v>5</v>
      </c>
      <c r="B40" s="306" t="s">
        <v>202</v>
      </c>
      <c r="C40" s="439">
        <v>2901482</v>
      </c>
      <c r="D40" s="544">
        <v>1366615</v>
      </c>
      <c r="E40" s="547">
        <v>269614</v>
      </c>
      <c r="F40" s="292">
        <v>793146</v>
      </c>
      <c r="G40" s="560">
        <v>94295</v>
      </c>
      <c r="H40" s="560">
        <v>671194</v>
      </c>
      <c r="I40" s="560">
        <v>27657</v>
      </c>
      <c r="J40" s="547">
        <v>89227</v>
      </c>
      <c r="K40" s="292">
        <v>2518602</v>
      </c>
      <c r="L40" s="1103">
        <v>382880</v>
      </c>
      <c r="M40" s="1096">
        <v>2683592</v>
      </c>
      <c r="N40" s="539">
        <v>2289822</v>
      </c>
      <c r="O40" s="1100">
        <v>-10890</v>
      </c>
      <c r="P40" s="293">
        <v>5</v>
      </c>
      <c r="Q40" s="314">
        <f>(C40-'22R3'!C40)/'22R3'!C40*100</f>
        <v>2.7928365188741076</v>
      </c>
      <c r="R40" s="394">
        <f t="shared" si="0"/>
        <v>2901482</v>
      </c>
      <c r="S40" s="394">
        <f t="shared" si="1"/>
        <v>0</v>
      </c>
      <c r="T40" s="49">
        <f>民間設備製造1!S42</f>
        <v>297837</v>
      </c>
      <c r="U40" s="49">
        <v>2348248</v>
      </c>
    </row>
    <row r="41" spans="1:21">
      <c r="A41" s="300">
        <v>201</v>
      </c>
      <c r="B41" s="92" t="s">
        <v>240</v>
      </c>
      <c r="C41" s="439">
        <v>2634961</v>
      </c>
      <c r="D41" s="538">
        <v>1278331</v>
      </c>
      <c r="E41" s="546">
        <v>241380</v>
      </c>
      <c r="F41" s="572">
        <v>752493</v>
      </c>
      <c r="G41" s="561">
        <v>91374</v>
      </c>
      <c r="H41" s="561">
        <v>635263</v>
      </c>
      <c r="I41" s="561">
        <v>25856</v>
      </c>
      <c r="J41" s="546">
        <v>82364</v>
      </c>
      <c r="K41" s="408">
        <v>2354568</v>
      </c>
      <c r="L41" s="1103">
        <v>280393</v>
      </c>
      <c r="M41" s="1096">
        <v>2435504</v>
      </c>
      <c r="N41" s="539">
        <v>2140688</v>
      </c>
      <c r="O41" s="1100">
        <v>-14423</v>
      </c>
      <c r="P41" s="293">
        <v>201</v>
      </c>
      <c r="Q41" s="314">
        <f>(C41-'22R3'!C41)/'22R3'!C41*100</f>
        <v>2.5252717835381278</v>
      </c>
      <c r="R41" s="394">
        <f t="shared" si="0"/>
        <v>2634961</v>
      </c>
      <c r="S41" s="394">
        <f t="shared" si="1"/>
        <v>0</v>
      </c>
      <c r="T41" s="49">
        <f>民間設備製造1!S43</f>
        <v>269591</v>
      </c>
      <c r="U41" s="49">
        <v>2157252</v>
      </c>
    </row>
    <row r="42" spans="1:21">
      <c r="A42" s="300">
        <v>442</v>
      </c>
      <c r="B42" s="90" t="s">
        <v>203</v>
      </c>
      <c r="C42" s="439">
        <v>42237</v>
      </c>
      <c r="D42" s="538">
        <v>23718</v>
      </c>
      <c r="E42" s="546">
        <v>8048</v>
      </c>
      <c r="F42" s="572">
        <v>10565</v>
      </c>
      <c r="G42" s="561">
        <v>397</v>
      </c>
      <c r="H42" s="561">
        <v>9682</v>
      </c>
      <c r="I42" s="561">
        <v>486</v>
      </c>
      <c r="J42" s="546">
        <v>1962</v>
      </c>
      <c r="K42" s="408">
        <v>44293</v>
      </c>
      <c r="L42" s="1103">
        <v>-2056</v>
      </c>
      <c r="M42" s="1096">
        <v>40946</v>
      </c>
      <c r="N42" s="539">
        <v>40270</v>
      </c>
      <c r="O42" s="1100">
        <v>-2732</v>
      </c>
      <c r="P42" s="293">
        <v>442</v>
      </c>
      <c r="Q42" s="314">
        <f>(C42-'22R3'!C42)/'22R3'!C42*100</f>
        <v>0.63137329648336993</v>
      </c>
      <c r="R42" s="394">
        <f t="shared" si="0"/>
        <v>42237</v>
      </c>
      <c r="S42" s="394">
        <f t="shared" si="1"/>
        <v>0</v>
      </c>
      <c r="T42" s="49">
        <f>民間設備製造1!S44</f>
        <v>3913</v>
      </c>
      <c r="U42" s="49">
        <v>47116</v>
      </c>
    </row>
    <row r="43" spans="1:21">
      <c r="A43" s="300">
        <v>443</v>
      </c>
      <c r="B43" s="90" t="s">
        <v>204</v>
      </c>
      <c r="C43" s="439">
        <v>188148</v>
      </c>
      <c r="D43" s="538">
        <v>43521</v>
      </c>
      <c r="E43" s="546">
        <v>10357</v>
      </c>
      <c r="F43" s="572">
        <v>23689</v>
      </c>
      <c r="G43" s="561">
        <v>1963</v>
      </c>
      <c r="H43" s="561">
        <v>20843</v>
      </c>
      <c r="I43" s="561">
        <v>883</v>
      </c>
      <c r="J43" s="546">
        <v>2848</v>
      </c>
      <c r="K43" s="408">
        <v>80415</v>
      </c>
      <c r="L43" s="1103">
        <v>107733</v>
      </c>
      <c r="M43" s="1096">
        <v>170767</v>
      </c>
      <c r="N43" s="539">
        <v>73110</v>
      </c>
      <c r="O43" s="1100">
        <v>10076</v>
      </c>
      <c r="P43" s="293">
        <v>443</v>
      </c>
      <c r="Q43" s="314">
        <f>(C43-'22R3'!C43)/'22R3'!C43*100</f>
        <v>5.9970817394635585</v>
      </c>
      <c r="R43" s="394">
        <f t="shared" si="0"/>
        <v>188148</v>
      </c>
      <c r="S43" s="394">
        <f t="shared" si="1"/>
        <v>0</v>
      </c>
      <c r="T43" s="49">
        <f>民間設備製造1!S45</f>
        <v>16623</v>
      </c>
      <c r="U43" s="49">
        <v>92028</v>
      </c>
    </row>
    <row r="44" spans="1:21">
      <c r="A44" s="302">
        <v>446</v>
      </c>
      <c r="B44" s="201" t="s">
        <v>234</v>
      </c>
      <c r="C44" s="439">
        <v>36136</v>
      </c>
      <c r="D44" s="542">
        <v>21045</v>
      </c>
      <c r="E44" s="548">
        <v>9829</v>
      </c>
      <c r="F44" s="573">
        <v>6399</v>
      </c>
      <c r="G44" s="562">
        <v>561</v>
      </c>
      <c r="H44" s="562">
        <v>5406</v>
      </c>
      <c r="I44" s="562">
        <v>432</v>
      </c>
      <c r="J44" s="548">
        <v>2053</v>
      </c>
      <c r="K44" s="409">
        <v>39326</v>
      </c>
      <c r="L44" s="1103">
        <v>-3190</v>
      </c>
      <c r="M44" s="1096">
        <v>36375</v>
      </c>
      <c r="N44" s="539">
        <v>35754</v>
      </c>
      <c r="O44" s="1100">
        <v>-3811</v>
      </c>
      <c r="P44" s="293">
        <v>446</v>
      </c>
      <c r="Q44" s="314">
        <f>(C44-'22R3'!C44)/'22R3'!C44*100</f>
        <v>9.122754038955156</v>
      </c>
      <c r="R44" s="394">
        <f t="shared" si="0"/>
        <v>36136</v>
      </c>
      <c r="S44" s="394">
        <f t="shared" si="1"/>
        <v>0</v>
      </c>
      <c r="T44" s="49">
        <f>民間設備製造1!S46</f>
        <v>7710</v>
      </c>
      <c r="U44" s="49">
        <v>51852</v>
      </c>
    </row>
    <row r="45" spans="1:21">
      <c r="A45" s="300">
        <v>6</v>
      </c>
      <c r="B45" s="91" t="s">
        <v>205</v>
      </c>
      <c r="C45" s="439">
        <v>1110408</v>
      </c>
      <c r="D45" s="538">
        <v>532726</v>
      </c>
      <c r="E45" s="546">
        <v>131189</v>
      </c>
      <c r="F45" s="281">
        <v>293802</v>
      </c>
      <c r="G45" s="561">
        <v>19327</v>
      </c>
      <c r="H45" s="561">
        <v>263519</v>
      </c>
      <c r="I45" s="561">
        <v>10956</v>
      </c>
      <c r="J45" s="546">
        <v>39909</v>
      </c>
      <c r="K45" s="281">
        <v>997626</v>
      </c>
      <c r="L45" s="1102">
        <v>112782</v>
      </c>
      <c r="M45" s="1095">
        <v>1039795</v>
      </c>
      <c r="N45" s="545">
        <v>907006</v>
      </c>
      <c r="O45" s="1099">
        <v>-20007</v>
      </c>
      <c r="P45" s="293">
        <v>6</v>
      </c>
      <c r="Q45" s="314">
        <f>(C45-'22R3'!C45)/'22R3'!C45*100</f>
        <v>-1.4937289642189904</v>
      </c>
      <c r="R45" s="394">
        <f t="shared" si="0"/>
        <v>1110408</v>
      </c>
      <c r="S45" s="394">
        <f t="shared" si="1"/>
        <v>0</v>
      </c>
      <c r="T45" s="49">
        <f>民間設備製造1!S47</f>
        <v>90149</v>
      </c>
      <c r="U45" s="49">
        <v>997106</v>
      </c>
    </row>
    <row r="46" spans="1:21">
      <c r="A46" s="300">
        <v>208</v>
      </c>
      <c r="B46" s="90" t="s">
        <v>206</v>
      </c>
      <c r="C46" s="439">
        <v>192319</v>
      </c>
      <c r="D46" s="538">
        <v>64616</v>
      </c>
      <c r="E46" s="546">
        <v>14761</v>
      </c>
      <c r="F46" s="572">
        <v>22719</v>
      </c>
      <c r="G46" s="561">
        <v>3015</v>
      </c>
      <c r="H46" s="561">
        <v>18548</v>
      </c>
      <c r="I46" s="561">
        <v>1156</v>
      </c>
      <c r="J46" s="546">
        <v>3141</v>
      </c>
      <c r="K46" s="408">
        <v>105237</v>
      </c>
      <c r="L46" s="1103">
        <v>87082</v>
      </c>
      <c r="M46" s="1096">
        <v>176458</v>
      </c>
      <c r="N46" s="539">
        <v>95678</v>
      </c>
      <c r="O46" s="1100">
        <v>6302</v>
      </c>
      <c r="P46" s="293">
        <v>208</v>
      </c>
      <c r="Q46" s="314">
        <f>(C46-'22R3'!C46)/'22R3'!C46*100</f>
        <v>6.136899210260542</v>
      </c>
      <c r="R46" s="394">
        <f t="shared" si="0"/>
        <v>192319</v>
      </c>
      <c r="S46" s="394">
        <f t="shared" si="1"/>
        <v>0</v>
      </c>
      <c r="T46" s="49">
        <f>民間設備製造1!S48</f>
        <v>5472</v>
      </c>
      <c r="U46" s="49">
        <v>110417</v>
      </c>
    </row>
    <row r="47" spans="1:21">
      <c r="A47" s="300">
        <v>212</v>
      </c>
      <c r="B47" s="90" t="s">
        <v>207</v>
      </c>
      <c r="C47" s="439">
        <v>237715</v>
      </c>
      <c r="D47" s="538">
        <v>104871</v>
      </c>
      <c r="E47" s="546">
        <v>26218</v>
      </c>
      <c r="F47" s="572">
        <v>68596</v>
      </c>
      <c r="G47" s="561">
        <v>4113</v>
      </c>
      <c r="H47" s="561">
        <v>62225</v>
      </c>
      <c r="I47" s="561">
        <v>2258</v>
      </c>
      <c r="J47" s="546">
        <v>5967</v>
      </c>
      <c r="K47" s="408">
        <v>205652</v>
      </c>
      <c r="L47" s="1103">
        <v>32063</v>
      </c>
      <c r="M47" s="1096">
        <v>221747</v>
      </c>
      <c r="N47" s="539">
        <v>186971</v>
      </c>
      <c r="O47" s="1100">
        <v>-2713</v>
      </c>
      <c r="P47" s="293">
        <v>212</v>
      </c>
      <c r="Q47" s="314">
        <f>(C47-'22R3'!C47)/'22R3'!C47*100</f>
        <v>2.328394445257548</v>
      </c>
      <c r="R47" s="394">
        <f t="shared" si="0"/>
        <v>237715</v>
      </c>
      <c r="S47" s="394">
        <f t="shared" si="1"/>
        <v>0</v>
      </c>
      <c r="T47" s="49">
        <f>民間設備製造1!S49</f>
        <v>30879</v>
      </c>
      <c r="U47" s="49">
        <v>208770</v>
      </c>
    </row>
    <row r="48" spans="1:21">
      <c r="A48" s="300">
        <v>227</v>
      </c>
      <c r="B48" s="90" t="s">
        <v>219</v>
      </c>
      <c r="C48" s="439">
        <v>120614</v>
      </c>
      <c r="D48" s="538">
        <v>71398</v>
      </c>
      <c r="E48" s="546">
        <v>24753</v>
      </c>
      <c r="F48" s="572">
        <v>25431</v>
      </c>
      <c r="G48" s="561">
        <v>1589</v>
      </c>
      <c r="H48" s="561">
        <v>22426</v>
      </c>
      <c r="I48" s="561">
        <v>1416</v>
      </c>
      <c r="J48" s="546">
        <v>7355</v>
      </c>
      <c r="K48" s="408">
        <v>128937</v>
      </c>
      <c r="L48" s="1103">
        <v>-8323</v>
      </c>
      <c r="M48" s="1096">
        <v>117735</v>
      </c>
      <c r="N48" s="539">
        <v>117225</v>
      </c>
      <c r="O48" s="1100">
        <v>-8833</v>
      </c>
      <c r="P48" s="293">
        <v>227</v>
      </c>
      <c r="Q48" s="314">
        <f>(C48-'22R3'!C48)/'22R3'!C48*100</f>
        <v>2.2195855756599858</v>
      </c>
      <c r="R48" s="394">
        <f t="shared" si="0"/>
        <v>120614</v>
      </c>
      <c r="S48" s="394">
        <f t="shared" si="1"/>
        <v>0</v>
      </c>
      <c r="T48" s="49">
        <f>民間設備製造1!S50</f>
        <v>4551</v>
      </c>
      <c r="U48" s="49">
        <v>137235</v>
      </c>
    </row>
    <row r="49" spans="1:21">
      <c r="A49" s="300">
        <v>229</v>
      </c>
      <c r="B49" s="90" t="s">
        <v>235</v>
      </c>
      <c r="C49" s="439">
        <v>342314</v>
      </c>
      <c r="D49" s="538">
        <v>156642</v>
      </c>
      <c r="E49" s="546">
        <v>30570</v>
      </c>
      <c r="F49" s="572">
        <v>80390</v>
      </c>
      <c r="G49" s="561">
        <v>5819</v>
      </c>
      <c r="H49" s="561">
        <v>71463</v>
      </c>
      <c r="I49" s="561">
        <v>3108</v>
      </c>
      <c r="J49" s="546">
        <v>15394</v>
      </c>
      <c r="K49" s="408">
        <v>282996</v>
      </c>
      <c r="L49" s="1103">
        <v>59318</v>
      </c>
      <c r="M49" s="1096">
        <v>316042</v>
      </c>
      <c r="N49" s="539">
        <v>257290</v>
      </c>
      <c r="O49" s="1100">
        <v>566</v>
      </c>
      <c r="P49" s="293">
        <v>229</v>
      </c>
      <c r="Q49" s="314">
        <f>(C49-'22R3'!C49)/'22R3'!C49*100</f>
        <v>-1.1358943182179195</v>
      </c>
      <c r="R49" s="394">
        <f t="shared" si="0"/>
        <v>342314</v>
      </c>
      <c r="S49" s="394">
        <f t="shared" si="1"/>
        <v>0</v>
      </c>
      <c r="T49" s="49">
        <f>民間設備製造1!S51</f>
        <v>32447</v>
      </c>
      <c r="U49" s="49">
        <v>288101</v>
      </c>
    </row>
    <row r="50" spans="1:21">
      <c r="A50" s="300">
        <v>464</v>
      </c>
      <c r="B50" s="90" t="s">
        <v>208</v>
      </c>
      <c r="C50" s="439">
        <v>103176</v>
      </c>
      <c r="D50" s="538">
        <v>72025</v>
      </c>
      <c r="E50" s="546">
        <v>11748</v>
      </c>
      <c r="F50" s="572">
        <v>79684</v>
      </c>
      <c r="G50" s="561">
        <v>4183</v>
      </c>
      <c r="H50" s="561">
        <v>73682</v>
      </c>
      <c r="I50" s="561">
        <v>1819</v>
      </c>
      <c r="J50" s="546">
        <v>2207</v>
      </c>
      <c r="K50" s="408">
        <v>165664</v>
      </c>
      <c r="L50" s="1103">
        <v>-62488</v>
      </c>
      <c r="M50" s="1096">
        <v>96413</v>
      </c>
      <c r="N50" s="539">
        <v>150616</v>
      </c>
      <c r="O50" s="1100">
        <v>-8285</v>
      </c>
      <c r="P50" s="293">
        <v>464</v>
      </c>
      <c r="Q50" s="314">
        <f>(C50-'22R3'!C50)/'22R3'!C50*100</f>
        <v>-22.412392841028726</v>
      </c>
      <c r="R50" s="394">
        <f t="shared" si="0"/>
        <v>103176</v>
      </c>
      <c r="S50" s="394">
        <f t="shared" si="1"/>
        <v>0</v>
      </c>
      <c r="T50" s="49">
        <f>民間設備製造1!S52</f>
        <v>11240</v>
      </c>
      <c r="U50" s="49">
        <v>127460</v>
      </c>
    </row>
    <row r="51" spans="1:21">
      <c r="A51" s="300">
        <v>481</v>
      </c>
      <c r="B51" s="90" t="s">
        <v>209</v>
      </c>
      <c r="C51" s="439">
        <v>52225</v>
      </c>
      <c r="D51" s="538">
        <v>30511</v>
      </c>
      <c r="E51" s="546">
        <v>8701</v>
      </c>
      <c r="F51" s="572">
        <v>8372</v>
      </c>
      <c r="G51" s="561">
        <v>351</v>
      </c>
      <c r="H51" s="561">
        <v>7472</v>
      </c>
      <c r="I51" s="561">
        <v>549</v>
      </c>
      <c r="J51" s="546">
        <v>2406</v>
      </c>
      <c r="K51" s="408">
        <v>49990</v>
      </c>
      <c r="L51" s="1103">
        <v>2235</v>
      </c>
      <c r="M51" s="1096">
        <v>50058</v>
      </c>
      <c r="N51" s="539">
        <v>45449</v>
      </c>
      <c r="O51" s="1100">
        <v>-2374</v>
      </c>
      <c r="P51" s="293">
        <v>481</v>
      </c>
      <c r="Q51" s="314">
        <f>(C51-'22R3'!C51)/'22R3'!C51*100</f>
        <v>-4.356823675921178</v>
      </c>
      <c r="R51" s="394">
        <f t="shared" si="0"/>
        <v>52225</v>
      </c>
      <c r="S51" s="394">
        <f t="shared" si="1"/>
        <v>0</v>
      </c>
      <c r="T51" s="49">
        <f>民間設備製造1!S53</f>
        <v>4244</v>
      </c>
      <c r="U51" s="49">
        <v>57623</v>
      </c>
    </row>
    <row r="52" spans="1:21">
      <c r="A52" s="300">
        <v>501</v>
      </c>
      <c r="B52" s="90" t="s">
        <v>236</v>
      </c>
      <c r="C52" s="439">
        <v>62045</v>
      </c>
      <c r="D52" s="538">
        <v>32663</v>
      </c>
      <c r="E52" s="546">
        <v>14438</v>
      </c>
      <c r="F52" s="572">
        <v>8610</v>
      </c>
      <c r="G52" s="561">
        <v>257</v>
      </c>
      <c r="H52" s="561">
        <v>7703</v>
      </c>
      <c r="I52" s="561">
        <v>650</v>
      </c>
      <c r="J52" s="546">
        <v>3439</v>
      </c>
      <c r="K52" s="408">
        <v>59150</v>
      </c>
      <c r="L52" s="1104">
        <v>2895</v>
      </c>
      <c r="M52" s="1097">
        <v>61342</v>
      </c>
      <c r="N52" s="543">
        <v>53777</v>
      </c>
      <c r="O52" s="1101">
        <v>-4670</v>
      </c>
      <c r="P52" s="293">
        <v>501</v>
      </c>
      <c r="Q52" s="314">
        <f>(C52-'22R3'!C52)/'22R3'!C52*100</f>
        <v>0.20996527497375433</v>
      </c>
      <c r="R52" s="394">
        <f t="shared" si="0"/>
        <v>62045</v>
      </c>
      <c r="S52" s="394">
        <f t="shared" si="1"/>
        <v>0</v>
      </c>
      <c r="T52" s="49">
        <f>民間設備製造1!S54</f>
        <v>1316</v>
      </c>
      <c r="U52" s="49">
        <v>67500</v>
      </c>
    </row>
    <row r="53" spans="1:21">
      <c r="A53" s="301">
        <v>7</v>
      </c>
      <c r="B53" s="347" t="s">
        <v>210</v>
      </c>
      <c r="C53" s="439">
        <v>593538</v>
      </c>
      <c r="D53" s="544">
        <v>365067</v>
      </c>
      <c r="E53" s="547">
        <v>127567</v>
      </c>
      <c r="F53" s="292">
        <v>129097</v>
      </c>
      <c r="G53" s="560">
        <v>12152</v>
      </c>
      <c r="H53" s="560">
        <v>109740</v>
      </c>
      <c r="I53" s="560">
        <v>7205</v>
      </c>
      <c r="J53" s="547">
        <v>34378</v>
      </c>
      <c r="K53" s="292">
        <v>656109</v>
      </c>
      <c r="L53" s="1103">
        <v>-62571</v>
      </c>
      <c r="M53" s="1096">
        <v>581996</v>
      </c>
      <c r="N53" s="539">
        <v>596511</v>
      </c>
      <c r="O53" s="1100">
        <v>-48056</v>
      </c>
      <c r="P53" s="293">
        <v>7</v>
      </c>
      <c r="Q53" s="314">
        <f>(C53-'22R3'!C53)/'22R3'!C53*100</f>
        <v>-1.810475746176065</v>
      </c>
      <c r="R53" s="394">
        <f t="shared" si="0"/>
        <v>593538</v>
      </c>
      <c r="S53" s="394">
        <f t="shared" si="1"/>
        <v>0</v>
      </c>
      <c r="T53" s="49">
        <f>民間設備製造1!S55</f>
        <v>34544</v>
      </c>
      <c r="U53" s="49">
        <v>695778</v>
      </c>
    </row>
    <row r="54" spans="1:21">
      <c r="A54" s="300">
        <v>209</v>
      </c>
      <c r="B54" s="90" t="s">
        <v>221</v>
      </c>
      <c r="C54" s="439">
        <v>297701</v>
      </c>
      <c r="D54" s="538">
        <v>183272</v>
      </c>
      <c r="E54" s="546">
        <v>56176</v>
      </c>
      <c r="F54" s="572">
        <v>63175</v>
      </c>
      <c r="G54" s="561">
        <v>7548</v>
      </c>
      <c r="H54" s="561">
        <v>52137</v>
      </c>
      <c r="I54" s="561">
        <v>3490</v>
      </c>
      <c r="J54" s="546">
        <v>15194</v>
      </c>
      <c r="K54" s="408">
        <v>317817</v>
      </c>
      <c r="L54" s="1103">
        <v>-20116</v>
      </c>
      <c r="M54" s="1096">
        <v>288351</v>
      </c>
      <c r="N54" s="539">
        <v>288948</v>
      </c>
      <c r="O54" s="1100">
        <v>-19519</v>
      </c>
      <c r="P54" s="293">
        <v>209</v>
      </c>
      <c r="Q54" s="314">
        <f>(C54-'22R3'!C54)/'22R3'!C54*100</f>
        <v>-0.37914025847125826</v>
      </c>
      <c r="R54" s="394">
        <f t="shared" si="0"/>
        <v>297701</v>
      </c>
      <c r="S54" s="394">
        <f t="shared" si="1"/>
        <v>0</v>
      </c>
      <c r="T54" s="49">
        <f>民間設備製造1!S56</f>
        <v>9770</v>
      </c>
      <c r="U54" s="49">
        <v>321468</v>
      </c>
    </row>
    <row r="55" spans="1:21">
      <c r="A55" s="300">
        <v>222</v>
      </c>
      <c r="B55" s="90" t="s">
        <v>218</v>
      </c>
      <c r="C55" s="439">
        <v>82721</v>
      </c>
      <c r="D55" s="538">
        <v>49577</v>
      </c>
      <c r="E55" s="546">
        <v>19357</v>
      </c>
      <c r="F55" s="572">
        <v>15185</v>
      </c>
      <c r="G55" s="561">
        <v>1192</v>
      </c>
      <c r="H55" s="561">
        <v>13017</v>
      </c>
      <c r="I55" s="561">
        <v>976</v>
      </c>
      <c r="J55" s="546">
        <v>4788</v>
      </c>
      <c r="K55" s="408">
        <v>88907</v>
      </c>
      <c r="L55" s="1103">
        <v>-6186</v>
      </c>
      <c r="M55" s="1096">
        <v>81832</v>
      </c>
      <c r="N55" s="539">
        <v>80831</v>
      </c>
      <c r="O55" s="1100">
        <v>-7187</v>
      </c>
      <c r="P55" s="293">
        <v>222</v>
      </c>
      <c r="Q55" s="314">
        <f>(C55-'22R3'!C55)/'22R3'!C55*100</f>
        <v>0.21200300438543357</v>
      </c>
      <c r="R55" s="394">
        <f t="shared" si="0"/>
        <v>82721</v>
      </c>
      <c r="S55" s="394">
        <f t="shared" si="1"/>
        <v>0</v>
      </c>
      <c r="T55" s="49">
        <f>民間設備製造1!S57</f>
        <v>4367</v>
      </c>
      <c r="U55" s="49">
        <v>99585</v>
      </c>
    </row>
    <row r="56" spans="1:21">
      <c r="A56" s="300">
        <v>225</v>
      </c>
      <c r="B56" s="90" t="s">
        <v>222</v>
      </c>
      <c r="C56" s="439">
        <v>116519</v>
      </c>
      <c r="D56" s="538">
        <v>68141</v>
      </c>
      <c r="E56" s="546">
        <v>23262</v>
      </c>
      <c r="F56" s="572">
        <v>31099</v>
      </c>
      <c r="G56" s="561">
        <v>2501</v>
      </c>
      <c r="H56" s="561">
        <v>27193</v>
      </c>
      <c r="I56" s="561">
        <v>1405</v>
      </c>
      <c r="J56" s="546">
        <v>5402</v>
      </c>
      <c r="K56" s="408">
        <v>127904</v>
      </c>
      <c r="L56" s="1103">
        <v>-11385</v>
      </c>
      <c r="M56" s="1096">
        <v>113441</v>
      </c>
      <c r="N56" s="539">
        <v>116286</v>
      </c>
      <c r="O56" s="1100">
        <v>-8540</v>
      </c>
      <c r="P56" s="293">
        <v>225</v>
      </c>
      <c r="Q56" s="314">
        <f>(C56-'22R3'!C56)/'22R3'!C56*100</f>
        <v>-7.7895253319827162</v>
      </c>
      <c r="R56" s="394">
        <f t="shared" si="0"/>
        <v>116519</v>
      </c>
      <c r="S56" s="394">
        <f t="shared" si="1"/>
        <v>0</v>
      </c>
      <c r="T56" s="49">
        <f>民間設備製造1!S58</f>
        <v>18711</v>
      </c>
      <c r="U56" s="49">
        <v>142995</v>
      </c>
    </row>
    <row r="57" spans="1:21">
      <c r="A57" s="300">
        <v>585</v>
      </c>
      <c r="B57" s="90" t="s">
        <v>220</v>
      </c>
      <c r="C57" s="439">
        <v>52921</v>
      </c>
      <c r="D57" s="538">
        <v>34815</v>
      </c>
      <c r="E57" s="546">
        <v>15181</v>
      </c>
      <c r="F57" s="572">
        <v>11317</v>
      </c>
      <c r="G57" s="561">
        <v>327</v>
      </c>
      <c r="H57" s="561">
        <v>10265</v>
      </c>
      <c r="I57" s="561">
        <v>725</v>
      </c>
      <c r="J57" s="546">
        <v>4740</v>
      </c>
      <c r="K57" s="408">
        <v>66053</v>
      </c>
      <c r="L57" s="1103">
        <v>-13132</v>
      </c>
      <c r="M57" s="1096">
        <v>53628</v>
      </c>
      <c r="N57" s="539">
        <v>60053</v>
      </c>
      <c r="O57" s="1100">
        <v>-6707</v>
      </c>
      <c r="P57" s="293">
        <v>585</v>
      </c>
      <c r="Q57" s="314">
        <f>(C57-'22R3'!C57)/'22R3'!C57*100</f>
        <v>1.4550822437789961</v>
      </c>
      <c r="R57" s="394">
        <f t="shared" si="0"/>
        <v>52921</v>
      </c>
      <c r="S57" s="394">
        <f t="shared" si="1"/>
        <v>0</v>
      </c>
      <c r="T57" s="49">
        <f>民間設備製造1!S59</f>
        <v>1115</v>
      </c>
      <c r="U57" s="49">
        <v>71371</v>
      </c>
    </row>
    <row r="58" spans="1:21">
      <c r="A58" s="302">
        <v>586</v>
      </c>
      <c r="B58" s="201" t="s">
        <v>237</v>
      </c>
      <c r="C58" s="439">
        <v>43676</v>
      </c>
      <c r="D58" s="542">
        <v>29262</v>
      </c>
      <c r="E58" s="548">
        <v>13591</v>
      </c>
      <c r="F58" s="573">
        <v>8321</v>
      </c>
      <c r="G58" s="562">
        <v>584</v>
      </c>
      <c r="H58" s="562">
        <v>7128</v>
      </c>
      <c r="I58" s="562">
        <v>609</v>
      </c>
      <c r="J58" s="548">
        <v>4254</v>
      </c>
      <c r="K58" s="409">
        <v>55428</v>
      </c>
      <c r="L58" s="1103">
        <v>-11752</v>
      </c>
      <c r="M58" s="1096">
        <v>44744</v>
      </c>
      <c r="N58" s="539">
        <v>50393</v>
      </c>
      <c r="O58" s="1100">
        <v>-6103</v>
      </c>
      <c r="P58" s="293">
        <v>586</v>
      </c>
      <c r="Q58" s="314">
        <f>(C58-'22R3'!C58)/'22R3'!C58*100</f>
        <v>-2.0234196240297906</v>
      </c>
      <c r="R58" s="394">
        <f t="shared" si="0"/>
        <v>43676</v>
      </c>
      <c r="S58" s="394">
        <f t="shared" si="1"/>
        <v>0</v>
      </c>
      <c r="T58" s="49">
        <f>民間設備製造1!S60</f>
        <v>581</v>
      </c>
      <c r="U58" s="49">
        <v>60359</v>
      </c>
    </row>
    <row r="59" spans="1:21">
      <c r="A59" s="300">
        <v>8</v>
      </c>
      <c r="B59" s="86" t="s">
        <v>211</v>
      </c>
      <c r="C59" s="439">
        <v>464432</v>
      </c>
      <c r="D59" s="538">
        <v>234028</v>
      </c>
      <c r="E59" s="546">
        <v>68592</v>
      </c>
      <c r="F59" s="281">
        <v>97406</v>
      </c>
      <c r="G59" s="561">
        <v>10166</v>
      </c>
      <c r="H59" s="561">
        <v>82575</v>
      </c>
      <c r="I59" s="561">
        <v>4665</v>
      </c>
      <c r="J59" s="546">
        <v>24770</v>
      </c>
      <c r="K59" s="281">
        <v>424796</v>
      </c>
      <c r="L59" s="1102">
        <v>39636</v>
      </c>
      <c r="M59" s="1095">
        <v>441158</v>
      </c>
      <c r="N59" s="545">
        <v>386209</v>
      </c>
      <c r="O59" s="1099">
        <v>-15313</v>
      </c>
      <c r="P59" s="293">
        <v>8</v>
      </c>
      <c r="Q59" s="314">
        <f>(C59-'22R3'!C59)/'22R3'!C59*100</f>
        <v>0.95162741765097147</v>
      </c>
      <c r="R59" s="394">
        <f t="shared" si="0"/>
        <v>464432</v>
      </c>
      <c r="S59" s="394">
        <f t="shared" si="1"/>
        <v>0</v>
      </c>
      <c r="T59" s="49">
        <f>民間設備製造1!S61</f>
        <v>21533</v>
      </c>
      <c r="U59" s="49">
        <v>430838</v>
      </c>
    </row>
    <row r="60" spans="1:21">
      <c r="A60" s="300">
        <v>221</v>
      </c>
      <c r="B60" s="492" t="s">
        <v>1144</v>
      </c>
      <c r="C60" s="439">
        <v>203897</v>
      </c>
      <c r="D60" s="538">
        <v>94373</v>
      </c>
      <c r="E60" s="546">
        <v>30972</v>
      </c>
      <c r="F60" s="572">
        <v>33641</v>
      </c>
      <c r="G60" s="561">
        <v>4908</v>
      </c>
      <c r="H60" s="561">
        <v>26932</v>
      </c>
      <c r="I60" s="561">
        <v>1801</v>
      </c>
      <c r="J60" s="546">
        <v>4989</v>
      </c>
      <c r="K60" s="408">
        <v>163975</v>
      </c>
      <c r="L60" s="1103">
        <v>39922</v>
      </c>
      <c r="M60" s="1096">
        <v>194071</v>
      </c>
      <c r="N60" s="539">
        <v>149080</v>
      </c>
      <c r="O60" s="1100">
        <v>-5069</v>
      </c>
      <c r="P60" s="293">
        <v>221</v>
      </c>
      <c r="Q60" s="314">
        <f>(C60-'22R3'!C60)/'22R3'!C60*100</f>
        <v>1.982664192504489</v>
      </c>
      <c r="R60" s="394">
        <f t="shared" si="0"/>
        <v>203897</v>
      </c>
      <c r="S60" s="394">
        <f t="shared" si="1"/>
        <v>0</v>
      </c>
      <c r="T60" s="49">
        <f>民間設備製造1!S62</f>
        <v>7452</v>
      </c>
      <c r="U60" s="49">
        <v>177586</v>
      </c>
    </row>
    <row r="61" spans="1:21">
      <c r="A61" s="300">
        <v>223</v>
      </c>
      <c r="B61" s="90" t="s">
        <v>223</v>
      </c>
      <c r="C61" s="439">
        <v>260535</v>
      </c>
      <c r="D61" s="538">
        <v>139655</v>
      </c>
      <c r="E61" s="546">
        <v>37620</v>
      </c>
      <c r="F61" s="572">
        <v>63765</v>
      </c>
      <c r="G61" s="561">
        <v>5258</v>
      </c>
      <c r="H61" s="561">
        <v>55643</v>
      </c>
      <c r="I61" s="561">
        <v>2864</v>
      </c>
      <c r="J61" s="546">
        <v>19781</v>
      </c>
      <c r="K61" s="408">
        <v>260821</v>
      </c>
      <c r="L61" s="1104">
        <v>-286</v>
      </c>
      <c r="M61" s="1097">
        <v>247087</v>
      </c>
      <c r="N61" s="543">
        <v>237129</v>
      </c>
      <c r="O61" s="1101">
        <v>-10244</v>
      </c>
      <c r="P61" s="293">
        <v>223</v>
      </c>
      <c r="Q61" s="314">
        <f>(C61-'22R3'!C61)/'22R3'!C61*100</f>
        <v>0.15915670015108355</v>
      </c>
      <c r="R61" s="394">
        <f t="shared" si="0"/>
        <v>260535</v>
      </c>
      <c r="S61" s="394">
        <f t="shared" si="1"/>
        <v>0</v>
      </c>
      <c r="T61" s="49">
        <f>民間設備製造1!S63</f>
        <v>14081</v>
      </c>
      <c r="U61" s="49">
        <v>253252</v>
      </c>
    </row>
    <row r="62" spans="1:21">
      <c r="A62" s="301">
        <v>9</v>
      </c>
      <c r="B62" s="346" t="s">
        <v>212</v>
      </c>
      <c r="C62" s="439">
        <v>475417</v>
      </c>
      <c r="D62" s="544">
        <v>272964</v>
      </c>
      <c r="E62" s="547">
        <v>98397</v>
      </c>
      <c r="F62" s="292">
        <v>89108</v>
      </c>
      <c r="G62" s="560">
        <v>12947</v>
      </c>
      <c r="H62" s="560">
        <v>70596</v>
      </c>
      <c r="I62" s="560">
        <v>5565</v>
      </c>
      <c r="J62" s="547">
        <v>46274</v>
      </c>
      <c r="K62" s="292">
        <v>506743</v>
      </c>
      <c r="L62" s="1103">
        <v>-31326</v>
      </c>
      <c r="M62" s="1096">
        <v>464448</v>
      </c>
      <c r="N62" s="539">
        <v>460713</v>
      </c>
      <c r="O62" s="1100">
        <v>-35061</v>
      </c>
      <c r="P62" s="293">
        <v>9</v>
      </c>
      <c r="Q62" s="314">
        <f>(C62-'22R3'!C62)/'22R3'!C62*100</f>
        <v>5.1502772426575483</v>
      </c>
      <c r="R62" s="394">
        <f t="shared" si="0"/>
        <v>475417</v>
      </c>
      <c r="S62" s="394">
        <f t="shared" si="1"/>
        <v>0</v>
      </c>
      <c r="T62" s="49">
        <f>民間設備製造1!S64</f>
        <v>15147</v>
      </c>
      <c r="U62" s="49">
        <v>517198</v>
      </c>
    </row>
    <row r="63" spans="1:21">
      <c r="A63" s="300">
        <v>205</v>
      </c>
      <c r="B63" s="92" t="s">
        <v>241</v>
      </c>
      <c r="C63" s="439">
        <v>167515</v>
      </c>
      <c r="D63" s="538">
        <v>92698</v>
      </c>
      <c r="E63" s="546">
        <v>31459</v>
      </c>
      <c r="F63" s="572">
        <v>31070</v>
      </c>
      <c r="G63" s="561">
        <v>4791</v>
      </c>
      <c r="H63" s="561">
        <v>24452</v>
      </c>
      <c r="I63" s="561">
        <v>1827</v>
      </c>
      <c r="J63" s="546">
        <v>11174</v>
      </c>
      <c r="K63" s="408">
        <v>166401</v>
      </c>
      <c r="L63" s="1103">
        <v>1114</v>
      </c>
      <c r="M63" s="1096">
        <v>162185</v>
      </c>
      <c r="N63" s="539">
        <v>151286</v>
      </c>
      <c r="O63" s="1100">
        <v>-9785</v>
      </c>
      <c r="P63" s="293">
        <v>205</v>
      </c>
      <c r="Q63" s="314">
        <f>(C63-'22R3'!C63)/'22R3'!C63*100</f>
        <v>8.6355942645542445</v>
      </c>
      <c r="R63" s="394">
        <f t="shared" si="0"/>
        <v>167515</v>
      </c>
      <c r="S63" s="394">
        <f t="shared" si="1"/>
        <v>0</v>
      </c>
      <c r="T63" s="49">
        <f>民間設備製造1!S65</f>
        <v>9673</v>
      </c>
      <c r="U63" s="49">
        <v>178796</v>
      </c>
    </row>
    <row r="64" spans="1:21">
      <c r="A64" s="300">
        <v>224</v>
      </c>
      <c r="B64" s="90" t="s">
        <v>224</v>
      </c>
      <c r="C64" s="439">
        <v>153571</v>
      </c>
      <c r="D64" s="538">
        <v>88840</v>
      </c>
      <c r="E64" s="546">
        <v>32671</v>
      </c>
      <c r="F64" s="572">
        <v>27951</v>
      </c>
      <c r="G64" s="561">
        <v>3529</v>
      </c>
      <c r="H64" s="561">
        <v>22552</v>
      </c>
      <c r="I64" s="561">
        <v>1870</v>
      </c>
      <c r="J64" s="546">
        <v>20794</v>
      </c>
      <c r="K64" s="408">
        <v>170256</v>
      </c>
      <c r="L64" s="1103">
        <v>-16685</v>
      </c>
      <c r="M64" s="1096">
        <v>150432</v>
      </c>
      <c r="N64" s="539">
        <v>154791</v>
      </c>
      <c r="O64" s="1100">
        <v>-12326</v>
      </c>
      <c r="P64" s="293">
        <v>224</v>
      </c>
      <c r="Q64" s="314">
        <f>(C64-'22R3'!C64)/'22R3'!C64*100</f>
        <v>3.2382322492168276</v>
      </c>
      <c r="R64" s="394">
        <f t="shared" si="0"/>
        <v>153571</v>
      </c>
      <c r="S64" s="394">
        <f t="shared" si="1"/>
        <v>0</v>
      </c>
      <c r="T64" s="49">
        <f>民間設備製造1!S66</f>
        <v>2481</v>
      </c>
      <c r="U64" s="49">
        <v>164724</v>
      </c>
    </row>
    <row r="65" spans="1:21">
      <c r="A65" s="302">
        <v>226</v>
      </c>
      <c r="B65" s="201" t="s">
        <v>225</v>
      </c>
      <c r="C65" s="1843">
        <v>154331</v>
      </c>
      <c r="D65" s="542">
        <v>91426</v>
      </c>
      <c r="E65" s="548">
        <v>34267</v>
      </c>
      <c r="F65" s="573">
        <v>30087</v>
      </c>
      <c r="G65" s="562">
        <v>4627</v>
      </c>
      <c r="H65" s="562">
        <v>23592</v>
      </c>
      <c r="I65" s="562">
        <v>1868</v>
      </c>
      <c r="J65" s="548">
        <v>14306</v>
      </c>
      <c r="K65" s="409">
        <v>170086</v>
      </c>
      <c r="L65" s="1104">
        <v>-15755</v>
      </c>
      <c r="M65" s="1097">
        <v>151831</v>
      </c>
      <c r="N65" s="543">
        <v>154636</v>
      </c>
      <c r="O65" s="1101">
        <v>-12950</v>
      </c>
      <c r="P65" s="293">
        <v>226</v>
      </c>
      <c r="Q65" s="314">
        <f>(C65-'22R3'!C65)/'22R3'!C65*100</f>
        <v>3.4542626928903726</v>
      </c>
      <c r="R65" s="394">
        <f t="shared" si="0"/>
        <v>154331</v>
      </c>
      <c r="S65" s="394">
        <f t="shared" si="1"/>
        <v>0</v>
      </c>
      <c r="T65" s="49">
        <f>民間設備製造1!S67</f>
        <v>2993</v>
      </c>
      <c r="U65" s="49">
        <v>173678</v>
      </c>
    </row>
    <row r="66" spans="1:21">
      <c r="A66" s="75"/>
      <c r="B66" s="75"/>
      <c r="C66" s="75"/>
      <c r="D66" s="75"/>
      <c r="E66" s="75"/>
      <c r="F66" s="75"/>
      <c r="G66" s="75"/>
      <c r="H66" s="75"/>
      <c r="I66" s="75"/>
      <c r="J66" s="75"/>
      <c r="K66" s="75"/>
      <c r="L66" s="75"/>
      <c r="M66" s="75"/>
      <c r="N66" s="75"/>
      <c r="O66" s="75"/>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6.7</v>
      </c>
      <c r="D70" s="384">
        <f>ROUND((D4-'21R2'!D4)/ABS('21R2'!D4)*100,1)</f>
        <v>9.1999999999999993</v>
      </c>
      <c r="E70" s="384">
        <f>ROUND((E4-'21R2'!E4)/ABS('21R2'!E4)*100,1)</f>
        <v>8.5</v>
      </c>
      <c r="F70" s="384">
        <f>ROUND((F4-'21R2'!F4)/ABS('21R2'!F4)*100,1)</f>
        <v>27.8</v>
      </c>
      <c r="G70" s="384">
        <f>ROUND((G4-'21R2'!G4)/ABS('21R2'!G4)*100,1)</f>
        <v>11.5</v>
      </c>
      <c r="H70" s="384">
        <f>ROUND((H4-'21R2'!H4)/ABS('21R2'!H4)*100,1)</f>
        <v>17.399999999999999</v>
      </c>
      <c r="I70" s="384">
        <f>ROUND((I4-'21R2'!I4)/ABS('21R2'!I4)*100,1)</f>
        <v>239.6</v>
      </c>
      <c r="J70" s="384">
        <f>ROUND((J4-'21R2'!J4)/ABS('21R2'!J4)*100,1)</f>
        <v>-1.6</v>
      </c>
      <c r="K70" s="384">
        <f>ROUND((K4-'21R2'!K4)/ABS('21R2'!K4)*100,1)</f>
        <v>12.3</v>
      </c>
      <c r="L70" s="384">
        <f>ROUND((L4-'21R2'!L4)/ABS('21R2'!L4)*100,1)</f>
        <v>-75.3</v>
      </c>
      <c r="M70" s="384">
        <f>ROUND((M4-'21R2'!M4)/ABS('21R2'!M4)*100,1)</f>
        <v>23</v>
      </c>
      <c r="N70" s="384">
        <f>ROUND((N4-'21R2'!N4)/ABS('21R2'!N4)*100,1)</f>
        <v>30.2</v>
      </c>
      <c r="O70" s="384">
        <f>ROUND((O4-'21R2'!O4)/ABS('21R2'!O4)*100,1)</f>
        <v>-79.8</v>
      </c>
    </row>
    <row r="71" spans="1:21">
      <c r="A71" s="77">
        <v>100</v>
      </c>
      <c r="B71" s="75" t="s">
        <v>172</v>
      </c>
      <c r="C71" s="384">
        <f>ROUND((C5-'21R2'!C5)/ABS('21R2'!C5)*100,1)</f>
        <v>6.7</v>
      </c>
      <c r="D71" s="384">
        <f>ROUND((D5-'21R2'!D5)/ABS('21R2'!D5)*100,1)</f>
        <v>8.1999999999999993</v>
      </c>
      <c r="E71" s="384">
        <f>ROUND((E5-'21R2'!E5)/ABS('21R2'!E5)*100,1)</f>
        <v>11</v>
      </c>
      <c r="F71" s="384">
        <f>ROUND((F5-'21R2'!F5)/ABS('21R2'!F5)*100,1)</f>
        <v>34.4</v>
      </c>
      <c r="G71" s="384">
        <f>ROUND((G5-'21R2'!G5)/ABS('21R2'!G5)*100,1)</f>
        <v>7.7</v>
      </c>
      <c r="H71" s="384">
        <f>ROUND((H5-'21R2'!H5)/ABS('21R2'!H5)*100,1)</f>
        <v>22.8</v>
      </c>
      <c r="I71" s="384">
        <f>ROUND((I5-'21R2'!I5)/ABS('21R2'!I5)*100,1)</f>
        <v>241.1</v>
      </c>
      <c r="J71" s="384">
        <f>ROUND((J5-'21R2'!J5)/ABS('21R2'!J5)*100,1)</f>
        <v>19.100000000000001</v>
      </c>
      <c r="K71" s="384">
        <f>ROUND((K5-'21R2'!K5)/ABS('21R2'!K5)*100,1)</f>
        <v>13.5</v>
      </c>
      <c r="L71" s="384">
        <f>ROUND((L5-'21R2'!L5)/ABS('21R2'!L5)*100,1)</f>
        <v>-64.2</v>
      </c>
      <c r="M71" s="384">
        <f>ROUND((M5-'21R2'!M5)/ABS('21R2'!M5)*100,1)</f>
        <v>23.2</v>
      </c>
      <c r="N71" s="384">
        <f>ROUND((N5-'21R2'!N5)/ABS('21R2'!N5)*100,1)</f>
        <v>31.5</v>
      </c>
      <c r="O71" s="384">
        <f>ROUND((O5-'21R2'!O5)/ABS('21R2'!O5)*100,1)</f>
        <v>-104</v>
      </c>
    </row>
    <row r="72" spans="1:21">
      <c r="A72" s="77">
        <v>1</v>
      </c>
      <c r="B72" s="75" t="s">
        <v>323</v>
      </c>
      <c r="C72" s="384">
        <f>ROUND((C6-'21R2'!C6)/ABS('21R2'!C6)*100,1)</f>
        <v>6.9</v>
      </c>
      <c r="D72" s="384">
        <f>ROUND((D6-'21R2'!D6)/ABS('21R2'!D6)*100,1)</f>
        <v>8.5</v>
      </c>
      <c r="E72" s="384">
        <f>ROUND((E6-'21R2'!E6)/ABS('21R2'!E6)*100,1)</f>
        <v>7.5</v>
      </c>
      <c r="F72" s="384">
        <f>ROUND((F6-'21R2'!F6)/ABS('21R2'!F6)*100,1)</f>
        <v>24.5</v>
      </c>
      <c r="G72" s="384">
        <f>ROUND((G6-'21R2'!G6)/ABS('21R2'!G6)*100,1)</f>
        <v>-1.9</v>
      </c>
      <c r="H72" s="384">
        <f>ROUND((H6-'21R2'!H6)/ABS('21R2'!H6)*100,1)</f>
        <v>16.100000000000001</v>
      </c>
      <c r="I72" s="384">
        <f>ROUND((I6-'21R2'!I6)/ABS('21R2'!I6)*100,1)</f>
        <v>237.1</v>
      </c>
      <c r="J72" s="384">
        <f>ROUND((J6-'21R2'!J6)/ABS('21R2'!J6)*100,1)</f>
        <v>-17.5</v>
      </c>
      <c r="K72" s="384">
        <f>ROUND((K6-'21R2'!K6)/ABS('21R2'!K6)*100,1)</f>
        <v>10.199999999999999</v>
      </c>
      <c r="L72" s="384">
        <f>ROUND((L6-'21R2'!L6)/ABS('21R2'!L6)*100,1)</f>
        <v>-57.4</v>
      </c>
      <c r="M72" s="384">
        <f>ROUND((M6-'21R2'!M6)/ABS('21R2'!M6)*100,1)</f>
        <v>23.1</v>
      </c>
      <c r="N72" s="384">
        <f>ROUND((N6-'21R2'!N6)/ABS('21R2'!N6)*100,1)</f>
        <v>27.8</v>
      </c>
      <c r="O72" s="384">
        <f>ROUND((O6-'21R2'!O6)/ABS('21R2'!O6)*100,1)</f>
        <v>7.3</v>
      </c>
    </row>
    <row r="73" spans="1:21">
      <c r="A73" s="77">
        <v>2</v>
      </c>
      <c r="B73" s="75" t="s">
        <v>324</v>
      </c>
      <c r="C73" s="384">
        <f>ROUND((C7-'21R2'!C7)/ABS('21R2'!C7)*100,1)</f>
        <v>10.8</v>
      </c>
      <c r="D73" s="384">
        <f>ROUND((D7-'21R2'!D7)/ABS('21R2'!D7)*100,1)</f>
        <v>11.7</v>
      </c>
      <c r="E73" s="384">
        <f>ROUND((E7-'21R2'!E7)/ABS('21R2'!E7)*100,1)</f>
        <v>5.8</v>
      </c>
      <c r="F73" s="384">
        <f>ROUND((F7-'21R2'!F7)/ABS('21R2'!F7)*100,1)</f>
        <v>24.6</v>
      </c>
      <c r="G73" s="384">
        <f>ROUND((G7-'21R2'!G7)/ABS('21R2'!G7)*100,1)</f>
        <v>45.6</v>
      </c>
      <c r="H73" s="384">
        <f>ROUND((H7-'21R2'!H7)/ABS('21R2'!H7)*100,1)</f>
        <v>6.9</v>
      </c>
      <c r="I73" s="384">
        <f>ROUND((I7-'21R2'!I7)/ABS('21R2'!I7)*100,1)</f>
        <v>242.6</v>
      </c>
      <c r="J73" s="384">
        <f>ROUND((J7-'21R2'!J7)/ABS('21R2'!J7)*100,1)</f>
        <v>57.6</v>
      </c>
      <c r="K73" s="384">
        <f>ROUND((K7-'21R2'!K7)/ABS('21R2'!K7)*100,1)</f>
        <v>14.7</v>
      </c>
      <c r="L73" s="384">
        <f>ROUND((L7-'21R2'!L7)/ABS('21R2'!L7)*100,1)</f>
        <v>-40.9</v>
      </c>
      <c r="M73" s="384">
        <f>ROUND((M7-'21R2'!M7)/ABS('21R2'!M7)*100,1)</f>
        <v>27</v>
      </c>
      <c r="N73" s="384">
        <f>ROUND((N7-'21R2'!N7)/ABS('21R2'!N7)*100,1)</f>
        <v>32.9</v>
      </c>
      <c r="O73" s="384">
        <f>ROUND((O7-'21R2'!O7)/ABS('21R2'!O7)*100,1)</f>
        <v>17.5</v>
      </c>
    </row>
    <row r="74" spans="1:21">
      <c r="A74" s="77">
        <v>3</v>
      </c>
      <c r="B74" s="75" t="s">
        <v>192</v>
      </c>
      <c r="C74" s="384">
        <f>ROUND((C8-'21R2'!C8)/ABS('21R2'!C8)*100,1)</f>
        <v>7.4</v>
      </c>
      <c r="D74" s="384">
        <f>ROUND((D8-'21R2'!D8)/ABS('21R2'!D8)*100,1)</f>
        <v>12</v>
      </c>
      <c r="E74" s="384">
        <f>ROUND((E8-'21R2'!E8)/ABS('21R2'!E8)*100,1)</f>
        <v>8.9</v>
      </c>
      <c r="F74" s="384">
        <f>ROUND((F8-'21R2'!F8)/ABS('21R2'!F8)*100,1)</f>
        <v>13.9</v>
      </c>
      <c r="G74" s="384">
        <f>ROUND((G8-'21R2'!G8)/ABS('21R2'!G8)*100,1)</f>
        <v>6.6</v>
      </c>
      <c r="H74" s="384">
        <f>ROUND((H8-'21R2'!H8)/ABS('21R2'!H8)*100,1)</f>
        <v>5.7</v>
      </c>
      <c r="I74" s="384">
        <f>ROUND((I8-'21R2'!I8)/ABS('21R2'!I8)*100,1)</f>
        <v>237.1</v>
      </c>
      <c r="J74" s="384">
        <f>ROUND((J8-'21R2'!J8)/ABS('21R2'!J8)*100,1)</f>
        <v>-32.6</v>
      </c>
      <c r="K74" s="384">
        <f>ROUND((K8-'21R2'!K8)/ABS('21R2'!K8)*100,1)</f>
        <v>10.199999999999999</v>
      </c>
      <c r="L74" s="384">
        <f>ROUND((L8-'21R2'!L8)/ABS('21R2'!L8)*100,1)</f>
        <v>-18.7</v>
      </c>
      <c r="M74" s="384">
        <f>ROUND((M8-'21R2'!M8)/ABS('21R2'!M8)*100,1)</f>
        <v>24.1</v>
      </c>
      <c r="N74" s="384">
        <f>ROUND((N8-'21R2'!N8)/ABS('21R2'!N8)*100,1)</f>
        <v>27.8</v>
      </c>
      <c r="O74" s="384">
        <f>ROUND((O8-'21R2'!O8)/ABS('21R2'!O8)*100,1)</f>
        <v>-431.2</v>
      </c>
    </row>
    <row r="75" spans="1:21">
      <c r="A75" s="77">
        <v>4</v>
      </c>
      <c r="B75" s="75" t="s">
        <v>325</v>
      </c>
      <c r="C75" s="384">
        <f>ROUND((C9-'21R2'!C9)/ABS('21R2'!C9)*100,1)</f>
        <v>0.4</v>
      </c>
      <c r="D75" s="384">
        <f>ROUND((D9-'21R2'!D9)/ABS('21R2'!D9)*100,1)</f>
        <v>8</v>
      </c>
      <c r="E75" s="384">
        <f>ROUND((E9-'21R2'!E9)/ABS('21R2'!E9)*100,1)</f>
        <v>4.2</v>
      </c>
      <c r="F75" s="384">
        <f>ROUND((F9-'21R2'!F9)/ABS('21R2'!F9)*100,1)</f>
        <v>34.5</v>
      </c>
      <c r="G75" s="384">
        <f>ROUND((G9-'21R2'!G9)/ABS('21R2'!G9)*100,1)</f>
        <v>10.1</v>
      </c>
      <c r="H75" s="384">
        <f>ROUND((H9-'21R2'!H9)/ABS('21R2'!H9)*100,1)</f>
        <v>25.4</v>
      </c>
      <c r="I75" s="384">
        <f>ROUND((I9-'21R2'!I9)/ABS('21R2'!I9)*100,1)</f>
        <v>239.1</v>
      </c>
      <c r="J75" s="384">
        <f>ROUND((J9-'21R2'!J9)/ABS('21R2'!J9)*100,1)</f>
        <v>-14.4</v>
      </c>
      <c r="K75" s="384">
        <f>ROUND((K9-'21R2'!K9)/ABS('21R2'!K9)*100,1)</f>
        <v>11.8</v>
      </c>
      <c r="L75" s="384">
        <f>ROUND((L9-'21R2'!L9)/ABS('21R2'!L9)*100,1)</f>
        <v>-26.4</v>
      </c>
      <c r="M75" s="384">
        <f>ROUND((M9-'21R2'!M9)/ABS('21R2'!M9)*100,1)</f>
        <v>16.100000000000001</v>
      </c>
      <c r="N75" s="384">
        <f>ROUND((N9-'21R2'!N9)/ABS('21R2'!N9)*100,1)</f>
        <v>29.6</v>
      </c>
      <c r="O75" s="384">
        <f>ROUND((O9-'21R2'!O9)/ABS('21R2'!O9)*100,1)</f>
        <v>-108.5</v>
      </c>
      <c r="R75" s="383"/>
      <c r="S75" s="383"/>
    </row>
    <row r="76" spans="1:21">
      <c r="A76" s="77">
        <v>5</v>
      </c>
      <c r="B76" s="75" t="s">
        <v>326</v>
      </c>
      <c r="C76" s="384">
        <f>ROUND((C10-'21R2'!C10)/ABS('21R2'!C10)*100,1)</f>
        <v>11.9</v>
      </c>
      <c r="D76" s="384">
        <f>ROUND((D10-'21R2'!D10)/ABS('21R2'!D10)*100,1)</f>
        <v>8.6</v>
      </c>
      <c r="E76" s="384">
        <f>ROUND((E10-'21R2'!E10)/ABS('21R2'!E10)*100,1)</f>
        <v>12.4</v>
      </c>
      <c r="F76" s="384">
        <f>ROUND((F10-'21R2'!F10)/ABS('21R2'!F10)*100,1)</f>
        <v>24.1</v>
      </c>
      <c r="G76" s="384">
        <f>ROUND((G10-'21R2'!G10)/ABS('21R2'!G10)*100,1)</f>
        <v>16.399999999999999</v>
      </c>
      <c r="H76" s="384">
        <f>ROUND((H10-'21R2'!H10)/ABS('21R2'!H10)*100,1)</f>
        <v>16</v>
      </c>
      <c r="I76" s="384">
        <f>ROUND((I10-'21R2'!I10)/ABS('21R2'!I10)*100,1)</f>
        <v>237.2</v>
      </c>
      <c r="J76" s="384">
        <f>ROUND((J10-'21R2'!J10)/ABS('21R2'!J10)*100,1)</f>
        <v>-38.5</v>
      </c>
      <c r="K76" s="384">
        <f>ROUND((K10-'21R2'!K10)/ABS('21R2'!K10)*100,1)</f>
        <v>10.3</v>
      </c>
      <c r="L76" s="384">
        <f>ROUND((L10-'21R2'!L10)/ABS('21R2'!L10)*100,1)</f>
        <v>23.8</v>
      </c>
      <c r="M76" s="384">
        <f>ROUND((M10-'21R2'!M10)/ABS('21R2'!M10)*100,1)</f>
        <v>29.3</v>
      </c>
      <c r="N76" s="384">
        <f>ROUND((N10-'21R2'!N10)/ABS('21R2'!N10)*100,1)</f>
        <v>27.9</v>
      </c>
      <c r="O76" s="384">
        <f>ROUND((O10-'21R2'!O10)/ABS('21R2'!O10)*100,1)</f>
        <v>-145.30000000000001</v>
      </c>
      <c r="R76" s="383"/>
      <c r="S76" s="383"/>
    </row>
    <row r="77" spans="1:21">
      <c r="A77" s="77">
        <v>6</v>
      </c>
      <c r="B77" s="75" t="s">
        <v>327</v>
      </c>
      <c r="C77" s="384">
        <f>ROUND((C11-'21R2'!C11)/ABS('21R2'!C11)*100,1)</f>
        <v>0.9</v>
      </c>
      <c r="D77" s="384">
        <f>ROUND((D11-'21R2'!D11)/ABS('21R2'!D11)*100,1)</f>
        <v>7.7</v>
      </c>
      <c r="E77" s="384">
        <f>ROUND((E11-'21R2'!E11)/ABS('21R2'!E11)*100,1)</f>
        <v>3.8</v>
      </c>
      <c r="F77" s="384">
        <f>ROUND((F11-'21R2'!F11)/ABS('21R2'!F11)*100,1)</f>
        <v>58.1</v>
      </c>
      <c r="G77" s="384">
        <f>ROUND((G11-'21R2'!G11)/ABS('21R2'!G11)*100,1)</f>
        <v>11.9</v>
      </c>
      <c r="H77" s="384">
        <f>ROUND((H11-'21R2'!H11)/ABS('21R2'!H11)*100,1)</f>
        <v>49.6</v>
      </c>
      <c r="I77" s="384">
        <f>ROUND((I11-'21R2'!I11)/ABS('21R2'!I11)*100,1)</f>
        <v>244.5</v>
      </c>
      <c r="J77" s="384">
        <f>ROUND((J11-'21R2'!J11)/ABS('21R2'!J11)*100,1)</f>
        <v>-23.1</v>
      </c>
      <c r="K77" s="384">
        <f>ROUND((K11-'21R2'!K11)/ABS('21R2'!K11)*100,1)</f>
        <v>16.2</v>
      </c>
      <c r="L77" s="384">
        <f>ROUND((L11-'21R2'!L11)/ABS('21R2'!L11)*100,1)</f>
        <v>-53.4</v>
      </c>
      <c r="M77" s="384">
        <f>ROUND((M11-'21R2'!M11)/ABS('21R2'!M11)*100,1)</f>
        <v>16.5</v>
      </c>
      <c r="N77" s="384">
        <f>ROUND((N11-'21R2'!N11)/ABS('21R2'!N11)*100,1)</f>
        <v>34.700000000000003</v>
      </c>
      <c r="O77" s="384">
        <f>ROUND((O11-'21R2'!O11)/ABS('21R2'!O11)*100,1)</f>
        <v>-187.4</v>
      </c>
      <c r="R77" s="383"/>
      <c r="S77" s="383"/>
    </row>
    <row r="78" spans="1:21">
      <c r="A78" s="77">
        <v>7</v>
      </c>
      <c r="B78" s="75" t="s">
        <v>210</v>
      </c>
      <c r="C78" s="384">
        <f>ROUND((C12-'21R2'!C12)/ABS('21R2'!C12)*100,1)</f>
        <v>-7.1</v>
      </c>
      <c r="D78" s="384">
        <f>ROUND((D12-'21R2'!D12)/ABS('21R2'!D12)*100,1)</f>
        <v>7.9</v>
      </c>
      <c r="E78" s="384">
        <f>ROUND((E12-'21R2'!E12)/ABS('21R2'!E12)*100,1)</f>
        <v>6.5</v>
      </c>
      <c r="F78" s="384">
        <f>ROUND((F12-'21R2'!F12)/ABS('21R2'!F12)*100,1)</f>
        <v>51.1</v>
      </c>
      <c r="G78" s="384">
        <f>ROUND((G12-'21R2'!G12)/ABS('21R2'!G12)*100,1)</f>
        <v>22.9</v>
      </c>
      <c r="H78" s="384">
        <f>ROUND((H12-'21R2'!H12)/ABS('21R2'!H12)*100,1)</f>
        <v>36</v>
      </c>
      <c r="I78" s="384">
        <f>ROUND((I12-'21R2'!I12)/ABS('21R2'!I12)*100,1)</f>
        <v>239.1</v>
      </c>
      <c r="J78" s="384">
        <f>ROUND((J12-'21R2'!J12)/ABS('21R2'!J12)*100,1)</f>
        <v>-20.399999999999999</v>
      </c>
      <c r="K78" s="384">
        <f>ROUND((K12-'21R2'!K12)/ABS('21R2'!K12)*100,1)</f>
        <v>11.8</v>
      </c>
      <c r="L78" s="384">
        <f>ROUND((L12-'21R2'!L12)/ABS('21R2'!L12)*100,1)</f>
        <v>-219.2</v>
      </c>
      <c r="M78" s="384">
        <f>ROUND((M12-'21R2'!M12)/ABS('21R2'!M12)*100,1)</f>
        <v>7.9</v>
      </c>
      <c r="N78" s="384">
        <f>ROUND((N12-'21R2'!N12)/ABS('21R2'!N12)*100,1)</f>
        <v>29.6</v>
      </c>
      <c r="O78" s="384">
        <f>ROUND((O12-'21R2'!O12)/ABS('21R2'!O12)*100,1)</f>
        <v>-79.5</v>
      </c>
      <c r="R78" s="383"/>
      <c r="S78" s="383"/>
    </row>
    <row r="79" spans="1:21">
      <c r="A79" s="77">
        <v>8</v>
      </c>
      <c r="B79" s="75" t="s">
        <v>211</v>
      </c>
      <c r="C79" s="384">
        <f>ROUND((C13-'21R2'!C13)/ABS('21R2'!C13)*100,1)</f>
        <v>2.5</v>
      </c>
      <c r="D79" s="384">
        <f>ROUND((D13-'21R2'!D13)/ABS('21R2'!D13)*100,1)</f>
        <v>9</v>
      </c>
      <c r="E79" s="384">
        <f>ROUND((E13-'21R2'!E13)/ABS('21R2'!E13)*100,1)</f>
        <v>3.8</v>
      </c>
      <c r="F79" s="384">
        <f>ROUND((F13-'21R2'!F13)/ABS('21R2'!F13)*100,1)</f>
        <v>21.3</v>
      </c>
      <c r="G79" s="384">
        <f>ROUND((G13-'21R2'!G13)/ABS('21R2'!G13)*100,1)</f>
        <v>19.7</v>
      </c>
      <c r="H79" s="384">
        <f>ROUND((H13-'21R2'!H13)/ABS('21R2'!H13)*100,1)</f>
        <v>10</v>
      </c>
      <c r="I79" s="384">
        <f>ROUND((I13-'21R2'!I13)/ABS('21R2'!I13)*100,1)</f>
        <v>240.6</v>
      </c>
      <c r="J79" s="384">
        <f>ROUND((J13-'21R2'!J13)/ABS('21R2'!J13)*100,1)</f>
        <v>65.3</v>
      </c>
      <c r="K79" s="384">
        <f>ROUND((K13-'21R2'!K13)/ABS('21R2'!K13)*100,1)</f>
        <v>13</v>
      </c>
      <c r="L79" s="384">
        <f>ROUND((L13-'21R2'!L13)/ABS('21R2'!L13)*100,1)</f>
        <v>-48.6</v>
      </c>
      <c r="M79" s="384">
        <f>ROUND((M13-'21R2'!M13)/ABS('21R2'!M13)*100,1)</f>
        <v>18</v>
      </c>
      <c r="N79" s="384">
        <f>ROUND((N13-'21R2'!N13)/ABS('21R2'!N13)*100,1)</f>
        <v>31</v>
      </c>
      <c r="O79" s="384">
        <f>ROUND((O13-'21R2'!O13)/ABS('21R2'!O13)*100,1)</f>
        <v>-750.7</v>
      </c>
      <c r="R79" s="383"/>
      <c r="S79" s="383"/>
    </row>
    <row r="80" spans="1:21">
      <c r="A80" s="77">
        <v>9</v>
      </c>
      <c r="B80" s="75" t="s">
        <v>212</v>
      </c>
      <c r="C80" s="384">
        <f>ROUND((C14-'21R2'!C14)/ABS('21R2'!C14)*100,1)</f>
        <v>7.7</v>
      </c>
      <c r="D80" s="384">
        <f>ROUND((D14-'21R2'!D14)/ABS('21R2'!D14)*100,1)</f>
        <v>8.1999999999999993</v>
      </c>
      <c r="E80" s="384">
        <f>ROUND((E14-'21R2'!E14)/ABS('21R2'!E14)*100,1)</f>
        <v>2.9</v>
      </c>
      <c r="F80" s="384">
        <f>ROUND((F14-'21R2'!F14)/ABS('21R2'!F14)*100,1)</f>
        <v>41.7</v>
      </c>
      <c r="G80" s="384">
        <f>ROUND((G14-'21R2'!G14)/ABS('21R2'!G14)*100,1)</f>
        <v>52.1</v>
      </c>
      <c r="H80" s="384">
        <f>ROUND((H14-'21R2'!H14)/ABS('21R2'!H14)*100,1)</f>
        <v>21.3</v>
      </c>
      <c r="I80" s="384">
        <f>ROUND((I14-'21R2'!I14)/ABS('21R2'!I14)*100,1)</f>
        <v>244.7</v>
      </c>
      <c r="J80" s="384">
        <f>ROUND((J14-'21R2'!J14)/ABS('21R2'!J14)*100,1)</f>
        <v>85.4</v>
      </c>
      <c r="K80" s="384">
        <f>ROUND((K14-'21R2'!K14)/ABS('21R2'!K14)*100,1)</f>
        <v>16.3</v>
      </c>
      <c r="L80" s="384">
        <f>ROUND((L14-'21R2'!L14)/ABS('21R2'!L14)*100,1)</f>
        <v>-635.20000000000005</v>
      </c>
      <c r="M80" s="384">
        <f>ROUND((M14-'21R2'!M14)/ABS('21R2'!M14)*100,1)</f>
        <v>22.7</v>
      </c>
      <c r="N80" s="384">
        <f>ROUND((N14-'21R2'!N14)/ABS('21R2'!N14)*100,1)</f>
        <v>34.799999999999997</v>
      </c>
      <c r="O80" s="384">
        <f>ROUND((O14-'21R2'!O14)/ABS('21R2'!O14)*100,1)</f>
        <v>-13.5</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6.7</v>
      </c>
      <c r="D82" s="384">
        <f>ROUND((D16-'21R2'!D16)/ABS('21R2'!D16)*100,1)</f>
        <v>8.1999999999999993</v>
      </c>
      <c r="E82" s="384">
        <f>ROUND((E16-'21R2'!E16)/ABS('21R2'!E16)*100,1)</f>
        <v>11</v>
      </c>
      <c r="F82" s="384">
        <f>ROUND((F16-'21R2'!F16)/ABS('21R2'!F16)*100,1)</f>
        <v>34.4</v>
      </c>
      <c r="G82" s="384">
        <f>ROUND((G16-'21R2'!G16)/ABS('21R2'!G16)*100,1)</f>
        <v>7.7</v>
      </c>
      <c r="H82" s="384">
        <f>ROUND((H16-'21R2'!H16)/ABS('21R2'!H16)*100,1)</f>
        <v>22.8</v>
      </c>
      <c r="I82" s="384">
        <f>ROUND((I16-'21R2'!I16)/ABS('21R2'!I16)*100,1)</f>
        <v>241.1</v>
      </c>
      <c r="J82" s="384">
        <f>ROUND((J16-'21R2'!J16)/ABS('21R2'!J16)*100,1)</f>
        <v>19.100000000000001</v>
      </c>
      <c r="K82" s="384">
        <f>ROUND((K16-'21R2'!K16)/ABS('21R2'!K16)*100,1)</f>
        <v>13.5</v>
      </c>
      <c r="L82" s="384">
        <f>ROUND((L16-'21R2'!L16)/ABS('21R2'!L16)*100,1)</f>
        <v>-64.2</v>
      </c>
      <c r="M82" s="384">
        <f>ROUND((M16-'21R2'!M16)/ABS('21R2'!M16)*100,1)</f>
        <v>23.2</v>
      </c>
      <c r="N82" s="384">
        <f>ROUND((N16-'21R2'!N16)/ABS('21R2'!N16)*100,1)</f>
        <v>31.5</v>
      </c>
      <c r="O82" s="384">
        <f>ROUND((O16-'21R2'!O16)/ABS('21R2'!O16)*100,1)</f>
        <v>-104</v>
      </c>
      <c r="R82" s="383"/>
      <c r="S82" s="383"/>
    </row>
    <row r="83" spans="1:19">
      <c r="A83" s="293">
        <v>1</v>
      </c>
      <c r="B83" s="65" t="s">
        <v>182</v>
      </c>
      <c r="C83" s="384">
        <f>ROUND((C17-'21R2'!C17)/ABS('21R2'!C17)*100,1)</f>
        <v>6.9</v>
      </c>
      <c r="D83" s="384">
        <f>ROUND((D17-'21R2'!D17)/ABS('21R2'!D17)*100,1)</f>
        <v>8.5</v>
      </c>
      <c r="E83" s="384">
        <f>ROUND((E17-'21R2'!E17)/ABS('21R2'!E17)*100,1)</f>
        <v>7.5</v>
      </c>
      <c r="F83" s="384">
        <f>ROUND((F17-'21R2'!F17)/ABS('21R2'!F17)*100,1)</f>
        <v>24.5</v>
      </c>
      <c r="G83" s="384">
        <f>ROUND((G17-'21R2'!G17)/ABS('21R2'!G17)*100,1)</f>
        <v>-1.9</v>
      </c>
      <c r="H83" s="384">
        <f>ROUND((H17-'21R2'!H17)/ABS('21R2'!H17)*100,1)</f>
        <v>16.100000000000001</v>
      </c>
      <c r="I83" s="384">
        <f>ROUND((I17-'21R2'!I17)/ABS('21R2'!I17)*100,1)</f>
        <v>237.1</v>
      </c>
      <c r="J83" s="384">
        <f>ROUND((J17-'21R2'!J17)/ABS('21R2'!J17)*100,1)</f>
        <v>-17.5</v>
      </c>
      <c r="K83" s="384">
        <f>ROUND((K17-'21R2'!K17)/ABS('21R2'!K17)*100,1)</f>
        <v>10.199999999999999</v>
      </c>
      <c r="L83" s="384">
        <f>ROUND((L17-'21R2'!L17)/ABS('21R2'!L17)*100,1)</f>
        <v>-57.4</v>
      </c>
      <c r="M83" s="384">
        <f>ROUND((M17-'21R2'!M17)/ABS('21R2'!M17)*100,1)</f>
        <v>23.1</v>
      </c>
      <c r="N83" s="384">
        <f>ROUND((N17-'21R2'!N17)/ABS('21R2'!N17)*100,1)</f>
        <v>27.8</v>
      </c>
      <c r="O83" s="384">
        <f>ROUND((O17-'21R2'!O17)/ABS('21R2'!O17)*100,1)</f>
        <v>7.3</v>
      </c>
      <c r="R83" s="383"/>
      <c r="S83" s="383"/>
    </row>
    <row r="84" spans="1:19">
      <c r="A84" s="293">
        <v>202</v>
      </c>
      <c r="B84" s="90" t="s">
        <v>183</v>
      </c>
      <c r="C84" s="384">
        <f>ROUND((C18-'21R2'!C18)/ABS('21R2'!C18)*100,1)</f>
        <v>9.5</v>
      </c>
      <c r="D84" s="384">
        <f>ROUND((D18-'21R2'!D18)/ABS('21R2'!D18)*100,1)</f>
        <v>8.1</v>
      </c>
      <c r="E84" s="384">
        <f>ROUND((E18-'21R2'!E18)/ABS('21R2'!E18)*100,1)</f>
        <v>6.8</v>
      </c>
      <c r="F84" s="384">
        <f>ROUND((F18-'21R2'!F18)/ABS('21R2'!F18)*100,1)</f>
        <v>28.4</v>
      </c>
      <c r="G84" s="384">
        <f>ROUND((G18-'21R2'!G18)/ABS('21R2'!G18)*100,1)</f>
        <v>6.3</v>
      </c>
      <c r="H84" s="384">
        <f>ROUND((H18-'21R2'!H18)/ABS('21R2'!H18)*100,1)</f>
        <v>19.5</v>
      </c>
      <c r="I84" s="384">
        <f>ROUND((I18-'21R2'!I18)/ABS('21R2'!I18)*100,1)</f>
        <v>238.3</v>
      </c>
      <c r="J84" s="384">
        <f>ROUND((J18-'21R2'!J18)/ABS('21R2'!J18)*100,1)</f>
        <v>-15.8</v>
      </c>
      <c r="K84" s="384">
        <f>ROUND((K18-'21R2'!K18)/ABS('21R2'!K18)*100,1)</f>
        <v>11.2</v>
      </c>
      <c r="L84" s="384">
        <f>ROUND((L18-'21R2'!L18)/ABS('21R2'!L18)*100,1)</f>
        <v>-11.2</v>
      </c>
      <c r="M84" s="384">
        <f>ROUND((M18-'21R2'!M18)/ABS('21R2'!M18)*100,1)</f>
        <v>26.3</v>
      </c>
      <c r="N84" s="384">
        <f>ROUND((N18-'21R2'!N18)/ABS('21R2'!N18)*100,1)</f>
        <v>28.9</v>
      </c>
      <c r="O84" s="384">
        <f>ROUND((O18-'21R2'!O18)/ABS('21R2'!O18)*100,1)</f>
        <v>-1355.7</v>
      </c>
      <c r="R84" s="383"/>
      <c r="S84" s="383"/>
    </row>
    <row r="85" spans="1:19">
      <c r="A85" s="293">
        <v>204</v>
      </c>
      <c r="B85" s="90" t="s">
        <v>184</v>
      </c>
      <c r="C85" s="384">
        <f>ROUND((C19-'21R2'!C19)/ABS('21R2'!C19)*100,1)</f>
        <v>3.8</v>
      </c>
      <c r="D85" s="384">
        <f>ROUND((D19-'21R2'!D19)/ABS('21R2'!D19)*100,1)</f>
        <v>8.6999999999999993</v>
      </c>
      <c r="E85" s="384">
        <f>ROUND((E19-'21R2'!E19)/ABS('21R2'!E19)*100,1)</f>
        <v>8.6999999999999993</v>
      </c>
      <c r="F85" s="384">
        <f>ROUND((F19-'21R2'!F19)/ABS('21R2'!F19)*100,1)</f>
        <v>20</v>
      </c>
      <c r="G85" s="384">
        <f>ROUND((G19-'21R2'!G19)/ABS('21R2'!G19)*100,1)</f>
        <v>-9.1</v>
      </c>
      <c r="H85" s="384">
        <f>ROUND((H19-'21R2'!H19)/ABS('21R2'!H19)*100,1)</f>
        <v>13</v>
      </c>
      <c r="I85" s="384">
        <f>ROUND((I19-'21R2'!I19)/ABS('21R2'!I19)*100,1)</f>
        <v>236.6</v>
      </c>
      <c r="J85" s="384">
        <f>ROUND((J19-'21R2'!J19)/ABS('21R2'!J19)*100,1)</f>
        <v>-10.8</v>
      </c>
      <c r="K85" s="384">
        <f>ROUND((K19-'21R2'!K19)/ABS('21R2'!K19)*100,1)</f>
        <v>9.9</v>
      </c>
      <c r="L85" s="384">
        <f>ROUND((L19-'21R2'!L19)/ABS('21R2'!L19)*100,1)</f>
        <v>-40.299999999999997</v>
      </c>
      <c r="M85" s="384">
        <f>ROUND((M19-'21R2'!M19)/ABS('21R2'!M19)*100,1)</f>
        <v>19.7</v>
      </c>
      <c r="N85" s="384">
        <f>ROUND((N19-'21R2'!N19)/ABS('21R2'!N19)*100,1)</f>
        <v>27.3</v>
      </c>
      <c r="O85" s="384">
        <f>ROUND((O19-'21R2'!O19)/ABS('21R2'!O19)*100,1)</f>
        <v>15</v>
      </c>
      <c r="R85" s="383"/>
      <c r="S85" s="383"/>
    </row>
    <row r="86" spans="1:19">
      <c r="A86" s="293">
        <v>206</v>
      </c>
      <c r="B86" s="90" t="s">
        <v>185</v>
      </c>
      <c r="C86" s="384">
        <f>ROUND((C20-'21R2'!C20)/ABS('21R2'!C20)*100,1)</f>
        <v>4.2</v>
      </c>
      <c r="D86" s="384">
        <f>ROUND((D20-'21R2'!D20)/ABS('21R2'!D20)*100,1)</f>
        <v>9.5</v>
      </c>
      <c r="E86" s="384">
        <f>ROUND((E20-'21R2'!E20)/ABS('21R2'!E20)*100,1)</f>
        <v>5.2</v>
      </c>
      <c r="F86" s="384">
        <f>ROUND((F20-'21R2'!F20)/ABS('21R2'!F20)*100,1)</f>
        <v>23.5</v>
      </c>
      <c r="G86" s="384">
        <f>ROUND((G20-'21R2'!G20)/ABS('21R2'!G20)*100,1)</f>
        <v>-2.6</v>
      </c>
      <c r="H86" s="384">
        <f>ROUND((H20-'21R2'!H20)/ABS('21R2'!H20)*100,1)</f>
        <v>9.6</v>
      </c>
      <c r="I86" s="384">
        <f>ROUND((I20-'21R2'!I20)/ABS('21R2'!I20)*100,1)</f>
        <v>233.5</v>
      </c>
      <c r="J86" s="384">
        <f>ROUND((J20-'21R2'!J20)/ABS('21R2'!J20)*100,1)</f>
        <v>-36.6</v>
      </c>
      <c r="K86" s="384">
        <f>ROUND((K20-'21R2'!K20)/ABS('21R2'!K20)*100,1)</f>
        <v>7.3</v>
      </c>
      <c r="L86" s="384">
        <f>ROUND((L20-'21R2'!L20)/ABS('21R2'!L20)*100,1)</f>
        <v>-13.5</v>
      </c>
      <c r="M86" s="384">
        <f>ROUND((M20-'21R2'!M20)/ABS('21R2'!M20)*100,1)</f>
        <v>19.3</v>
      </c>
      <c r="N86" s="384">
        <f>ROUND((N20-'21R2'!N20)/ABS('21R2'!N20)*100,1)</f>
        <v>24.4</v>
      </c>
      <c r="O86" s="384">
        <f>ROUND((O20-'21R2'!O20)/ABS('21R2'!O20)*100,1)</f>
        <v>28.4</v>
      </c>
      <c r="R86" s="383"/>
      <c r="S86" s="383"/>
    </row>
    <row r="87" spans="1:19">
      <c r="A87" s="293">
        <v>2</v>
      </c>
      <c r="B87" s="65" t="s">
        <v>186</v>
      </c>
      <c r="C87" s="384">
        <f>ROUND((C21-'21R2'!C21)/ABS('21R2'!C21)*100,1)</f>
        <v>10.8</v>
      </c>
      <c r="D87" s="384">
        <f>ROUND((D21-'21R2'!D21)/ABS('21R2'!D21)*100,1)</f>
        <v>11.7</v>
      </c>
      <c r="E87" s="384">
        <f>ROUND((E21-'21R2'!E21)/ABS('21R2'!E21)*100,1)</f>
        <v>5.8</v>
      </c>
      <c r="F87" s="384">
        <f>ROUND((F21-'21R2'!F21)/ABS('21R2'!F21)*100,1)</f>
        <v>24.6</v>
      </c>
      <c r="G87" s="384">
        <f>ROUND((G21-'21R2'!G21)/ABS('21R2'!G21)*100,1)</f>
        <v>45.6</v>
      </c>
      <c r="H87" s="384">
        <f>ROUND((H21-'21R2'!H21)/ABS('21R2'!H21)*100,1)</f>
        <v>6.9</v>
      </c>
      <c r="I87" s="384">
        <f>ROUND((I21-'21R2'!I21)/ABS('21R2'!I21)*100,1)</f>
        <v>242.6</v>
      </c>
      <c r="J87" s="384">
        <f>ROUND((J21-'21R2'!J21)/ABS('21R2'!J21)*100,1)</f>
        <v>57.6</v>
      </c>
      <c r="K87" s="384">
        <f>ROUND((K21-'21R2'!K21)/ABS('21R2'!K21)*100,1)</f>
        <v>14.7</v>
      </c>
      <c r="L87" s="384">
        <f>ROUND((L21-'21R2'!L21)/ABS('21R2'!L21)*100,1)</f>
        <v>-40.9</v>
      </c>
      <c r="M87" s="384">
        <f>ROUND((M21-'21R2'!M21)/ABS('21R2'!M21)*100,1)</f>
        <v>27</v>
      </c>
      <c r="N87" s="384">
        <f>ROUND((N21-'21R2'!N21)/ABS('21R2'!N21)*100,1)</f>
        <v>32.9</v>
      </c>
      <c r="O87" s="384">
        <f>ROUND((O21-'21R2'!O21)/ABS('21R2'!O21)*100,1)</f>
        <v>17.5</v>
      </c>
      <c r="R87" s="383"/>
      <c r="S87" s="383"/>
    </row>
    <row r="88" spans="1:19">
      <c r="A88" s="293">
        <v>207</v>
      </c>
      <c r="B88" s="90" t="s">
        <v>187</v>
      </c>
      <c r="C88" s="384">
        <f>ROUND((C22-'21R2'!C22)/ABS('21R2'!C22)*100,1)</f>
        <v>10.6</v>
      </c>
      <c r="D88" s="384">
        <f>ROUND((D22-'21R2'!D22)/ABS('21R2'!D22)*100,1)</f>
        <v>12.5</v>
      </c>
      <c r="E88" s="384">
        <f>ROUND((E22-'21R2'!E22)/ABS('21R2'!E22)*100,1)</f>
        <v>5.9</v>
      </c>
      <c r="F88" s="384">
        <f>ROUND((F22-'21R2'!F22)/ABS('21R2'!F22)*100,1)</f>
        <v>30.5</v>
      </c>
      <c r="G88" s="384">
        <f>ROUND((G22-'21R2'!G22)/ABS('21R2'!G22)*100,1)</f>
        <v>41.3</v>
      </c>
      <c r="H88" s="384">
        <f>ROUND((H22-'21R2'!H22)/ABS('21R2'!H22)*100,1)</f>
        <v>15.7</v>
      </c>
      <c r="I88" s="384">
        <f>ROUND((I22-'21R2'!I22)/ABS('21R2'!I22)*100,1)</f>
        <v>246.2</v>
      </c>
      <c r="J88" s="384">
        <f>ROUND((J22-'21R2'!J22)/ABS('21R2'!J22)*100,1)</f>
        <v>67.7</v>
      </c>
      <c r="K88" s="384">
        <f>ROUND((K22-'21R2'!K22)/ABS('21R2'!K22)*100,1)</f>
        <v>17.5</v>
      </c>
      <c r="L88" s="384">
        <f>ROUND((L22-'21R2'!L22)/ABS('21R2'!L22)*100,1)</f>
        <v>-205.9</v>
      </c>
      <c r="M88" s="384">
        <f>ROUND((M22-'21R2'!M22)/ABS('21R2'!M22)*100,1)</f>
        <v>27.3</v>
      </c>
      <c r="N88" s="384">
        <f>ROUND((N22-'21R2'!N22)/ABS('21R2'!N22)*100,1)</f>
        <v>36.299999999999997</v>
      </c>
      <c r="O88" s="384">
        <f>ROUND((O22-'21R2'!O22)/ABS('21R2'!O22)*100,1)</f>
        <v>-46.1</v>
      </c>
      <c r="R88" s="383"/>
      <c r="S88" s="383"/>
    </row>
    <row r="89" spans="1:19">
      <c r="A89" s="293">
        <v>214</v>
      </c>
      <c r="B89" s="90" t="s">
        <v>188</v>
      </c>
      <c r="C89" s="384">
        <f>ROUND((C23-'21R2'!C23)/ABS('21R2'!C23)*100,1)</f>
        <v>5.7</v>
      </c>
      <c r="D89" s="384">
        <f>ROUND((D23-'21R2'!D23)/ABS('21R2'!D23)*100,1)</f>
        <v>12.2</v>
      </c>
      <c r="E89" s="384">
        <f>ROUND((E23-'21R2'!E23)/ABS('21R2'!E23)*100,1)</f>
        <v>3.1</v>
      </c>
      <c r="F89" s="384">
        <f>ROUND((F23-'21R2'!F23)/ABS('21R2'!F23)*100,1)</f>
        <v>53.3</v>
      </c>
      <c r="G89" s="384">
        <f>ROUND((G23-'21R2'!G23)/ABS('21R2'!G23)*100,1)</f>
        <v>96.8</v>
      </c>
      <c r="H89" s="384">
        <f>ROUND((H23-'21R2'!H23)/ABS('21R2'!H23)*100,1)</f>
        <v>22.2</v>
      </c>
      <c r="I89" s="384">
        <f>ROUND((I23-'21R2'!I23)/ABS('21R2'!I23)*100,1)</f>
        <v>246.9</v>
      </c>
      <c r="J89" s="384">
        <f>ROUND((J23-'21R2'!J23)/ABS('21R2'!J23)*100,1)</f>
        <v>81.900000000000006</v>
      </c>
      <c r="K89" s="384">
        <f>ROUND((K23-'21R2'!K23)/ABS('21R2'!K23)*100,1)</f>
        <v>18.2</v>
      </c>
      <c r="L89" s="384">
        <f>ROUND((L23-'21R2'!L23)/ABS('21R2'!L23)*100,1)</f>
        <v>-44.4</v>
      </c>
      <c r="M89" s="384">
        <f>ROUND((M23-'21R2'!M23)/ABS('21R2'!M23)*100,1)</f>
        <v>20.8</v>
      </c>
      <c r="N89" s="384">
        <f>ROUND((N23-'21R2'!N23)/ABS('21R2'!N23)*100,1)</f>
        <v>37</v>
      </c>
      <c r="O89" s="384">
        <f>ROUND((O23-'21R2'!O23)/ABS('21R2'!O23)*100,1)</f>
        <v>23.7</v>
      </c>
      <c r="R89" s="383"/>
      <c r="S89" s="383"/>
    </row>
    <row r="90" spans="1:19">
      <c r="A90" s="293">
        <v>217</v>
      </c>
      <c r="B90" s="90" t="s">
        <v>189</v>
      </c>
      <c r="C90" s="384">
        <f>ROUND((C24-'21R2'!C24)/ABS('21R2'!C24)*100,1)</f>
        <v>4.5999999999999996</v>
      </c>
      <c r="D90" s="384">
        <f>ROUND((D24-'21R2'!D24)/ABS('21R2'!D24)*100,1)</f>
        <v>12.6</v>
      </c>
      <c r="E90" s="384">
        <f>ROUND((E24-'21R2'!E24)/ABS('21R2'!E24)*100,1)</f>
        <v>6</v>
      </c>
      <c r="F90" s="384">
        <f>ROUND((F24-'21R2'!F24)/ABS('21R2'!F24)*100,1)</f>
        <v>13.3</v>
      </c>
      <c r="G90" s="384">
        <f>ROUND((G24-'21R2'!G24)/ABS('21R2'!G24)*100,1)</f>
        <v>3.1</v>
      </c>
      <c r="H90" s="384">
        <f>ROUND((H24-'21R2'!H24)/ABS('21R2'!H24)*100,1)</f>
        <v>1.3</v>
      </c>
      <c r="I90" s="384">
        <f>ROUND((I24-'21R2'!I24)/ABS('21R2'!I24)*100,1)</f>
        <v>240.7</v>
      </c>
      <c r="J90" s="384">
        <f>ROUND((J24-'21R2'!J24)/ABS('21R2'!J24)*100,1)</f>
        <v>56.4</v>
      </c>
      <c r="K90" s="384">
        <f>ROUND((K24-'21R2'!K24)/ABS('21R2'!K24)*100,1)</f>
        <v>13.2</v>
      </c>
      <c r="L90" s="384">
        <f>ROUND((L24-'21R2'!L24)/ABS('21R2'!L24)*100,1)</f>
        <v>-32.5</v>
      </c>
      <c r="M90" s="384">
        <f>ROUND((M24-'21R2'!M24)/ABS('21R2'!M24)*100,1)</f>
        <v>20.3</v>
      </c>
      <c r="N90" s="384">
        <f>ROUND((N24-'21R2'!N24)/ABS('21R2'!N24)*100,1)</f>
        <v>31.2</v>
      </c>
      <c r="O90" s="384">
        <f>ROUND((O24-'21R2'!O24)/ABS('21R2'!O24)*100,1)</f>
        <v>26.2</v>
      </c>
      <c r="R90" s="383"/>
      <c r="S90" s="383"/>
    </row>
    <row r="91" spans="1:19">
      <c r="A91" s="293">
        <v>219</v>
      </c>
      <c r="B91" s="90" t="s">
        <v>190</v>
      </c>
      <c r="C91" s="384">
        <f>ROUND((C25-'21R2'!C25)/ABS('21R2'!C25)*100,1)</f>
        <v>22.2</v>
      </c>
      <c r="D91" s="384">
        <f>ROUND((D25-'21R2'!D25)/ABS('21R2'!D25)*100,1)</f>
        <v>9.1</v>
      </c>
      <c r="E91" s="384">
        <f>ROUND((E25-'21R2'!E25)/ABS('21R2'!E25)*100,1)</f>
        <v>8.4</v>
      </c>
      <c r="F91" s="384">
        <f>ROUND((F25-'21R2'!F25)/ABS('21R2'!F25)*100,1)</f>
        <v>-3.2</v>
      </c>
      <c r="G91" s="384">
        <f>ROUND((G25-'21R2'!G25)/ABS('21R2'!G25)*100,1)</f>
        <v>47.3</v>
      </c>
      <c r="H91" s="384">
        <f>ROUND((H25-'21R2'!H25)/ABS('21R2'!H25)*100,1)</f>
        <v>-14.9</v>
      </c>
      <c r="I91" s="384">
        <f>ROUND((I25-'21R2'!I25)/ABS('21R2'!I25)*100,1)</f>
        <v>232.3</v>
      </c>
      <c r="J91" s="384">
        <f>ROUND((J25-'21R2'!J25)/ABS('21R2'!J25)*100,1)</f>
        <v>33.700000000000003</v>
      </c>
      <c r="K91" s="384">
        <f>ROUND((K25-'21R2'!K25)/ABS('21R2'!K25)*100,1)</f>
        <v>6.4</v>
      </c>
      <c r="L91" s="384">
        <f>ROUND((L25-'21R2'!L25)/ABS('21R2'!L25)*100,1)</f>
        <v>97.2</v>
      </c>
      <c r="M91" s="384">
        <f>ROUND((M25-'21R2'!M25)/ABS('21R2'!M25)*100,1)</f>
        <v>40.200000000000003</v>
      </c>
      <c r="N91" s="384">
        <f>ROUND((N25-'21R2'!N25)/ABS('21R2'!N25)*100,1)</f>
        <v>23.3</v>
      </c>
      <c r="O91" s="384">
        <f>ROUND((O25-'21R2'!O25)/ABS('21R2'!O25)*100,1)</f>
        <v>-25.5</v>
      </c>
      <c r="R91" s="383"/>
      <c r="S91" s="383"/>
    </row>
    <row r="92" spans="1:19">
      <c r="A92" s="293">
        <v>301</v>
      </c>
      <c r="B92" s="90" t="s">
        <v>191</v>
      </c>
      <c r="C92" s="384">
        <f>ROUND((C26-'21R2'!C26)/ABS('21R2'!C26)*100,1)</f>
        <v>2.6</v>
      </c>
      <c r="D92" s="384">
        <f>ROUND((D26-'21R2'!D26)/ABS('21R2'!D26)*100,1)</f>
        <v>7.1</v>
      </c>
      <c r="E92" s="384">
        <f>ROUND((E26-'21R2'!E26)/ABS('21R2'!E26)*100,1)</f>
        <v>13</v>
      </c>
      <c r="F92" s="384">
        <f>ROUND((F26-'21R2'!F26)/ABS('21R2'!F26)*100,1)</f>
        <v>20.100000000000001</v>
      </c>
      <c r="G92" s="384">
        <f>ROUND((G26-'21R2'!G26)/ABS('21R2'!G26)*100,1)</f>
        <v>53.7</v>
      </c>
      <c r="H92" s="384">
        <f>ROUND((H26-'21R2'!H26)/ABS('21R2'!H26)*100,1)</f>
        <v>1.3</v>
      </c>
      <c r="I92" s="384">
        <f>ROUND((I26-'21R2'!I26)/ABS('21R2'!I26)*100,1)</f>
        <v>234.2</v>
      </c>
      <c r="J92" s="384">
        <f>ROUND((J26-'21R2'!J26)/ABS('21R2'!J26)*100,1)</f>
        <v>-38.1</v>
      </c>
      <c r="K92" s="384">
        <f>ROUND((K26-'21R2'!K26)/ABS('21R2'!K26)*100,1)</f>
        <v>7.9</v>
      </c>
      <c r="L92" s="384">
        <f>ROUND((L26-'21R2'!L26)/ABS('21R2'!L26)*100,1)</f>
        <v>-20.9</v>
      </c>
      <c r="M92" s="384">
        <f>ROUND((M26-'21R2'!M26)/ABS('21R2'!M26)*100,1)</f>
        <v>18.5</v>
      </c>
      <c r="N92" s="384">
        <f>ROUND((N26-'21R2'!N26)/ABS('21R2'!N26)*100,1)</f>
        <v>25.1</v>
      </c>
      <c r="O92" s="384">
        <f>ROUND((O26-'21R2'!O26)/ABS('21R2'!O26)*100,1)</f>
        <v>16.5</v>
      </c>
      <c r="R92" s="383"/>
      <c r="S92" s="383"/>
    </row>
    <row r="93" spans="1:19">
      <c r="A93" s="293">
        <v>3</v>
      </c>
      <c r="B93" s="65" t="s">
        <v>192</v>
      </c>
      <c r="C93" s="384">
        <f>ROUND((C27-'21R2'!C27)/ABS('21R2'!C27)*100,1)</f>
        <v>7.4</v>
      </c>
      <c r="D93" s="384">
        <f>ROUND((D27-'21R2'!D27)/ABS('21R2'!D27)*100,1)</f>
        <v>12</v>
      </c>
      <c r="E93" s="384">
        <f>ROUND((E27-'21R2'!E27)/ABS('21R2'!E27)*100,1)</f>
        <v>8.9</v>
      </c>
      <c r="F93" s="384">
        <f>ROUND((F27-'21R2'!F27)/ABS('21R2'!F27)*100,1)</f>
        <v>13.9</v>
      </c>
      <c r="G93" s="384">
        <f>ROUND((G27-'21R2'!G27)/ABS('21R2'!G27)*100,1)</f>
        <v>6.6</v>
      </c>
      <c r="H93" s="384">
        <f>ROUND((H27-'21R2'!H27)/ABS('21R2'!H27)*100,1)</f>
        <v>5.7</v>
      </c>
      <c r="I93" s="384">
        <f>ROUND((I27-'21R2'!I27)/ABS('21R2'!I27)*100,1)</f>
        <v>237.1</v>
      </c>
      <c r="J93" s="384">
        <f>ROUND((J27-'21R2'!J27)/ABS('21R2'!J27)*100,1)</f>
        <v>-32.6</v>
      </c>
      <c r="K93" s="384">
        <f>ROUND((K27-'21R2'!K27)/ABS('21R2'!K27)*100,1)</f>
        <v>10.199999999999999</v>
      </c>
      <c r="L93" s="384">
        <f>ROUND((L27-'21R2'!L27)/ABS('21R2'!L27)*100,1)</f>
        <v>-18.7</v>
      </c>
      <c r="M93" s="384">
        <f>ROUND((M27-'21R2'!M27)/ABS('21R2'!M27)*100,1)</f>
        <v>24.1</v>
      </c>
      <c r="N93" s="384">
        <f>ROUND((N27-'21R2'!N27)/ABS('21R2'!N27)*100,1)</f>
        <v>27.8</v>
      </c>
      <c r="O93" s="384">
        <f>ROUND((O27-'21R2'!O27)/ABS('21R2'!O27)*100,1)</f>
        <v>-431.2</v>
      </c>
      <c r="R93" s="383"/>
      <c r="S93" s="383"/>
    </row>
    <row r="94" spans="1:19">
      <c r="A94" s="293">
        <v>203</v>
      </c>
      <c r="B94" s="90" t="s">
        <v>193</v>
      </c>
      <c r="C94" s="384">
        <f>ROUND((C28-'21R2'!C28)/ABS('21R2'!C28)*100,1)</f>
        <v>8.9</v>
      </c>
      <c r="D94" s="384">
        <f>ROUND((D28-'21R2'!D28)/ABS('21R2'!D28)*100,1)</f>
        <v>12.8</v>
      </c>
      <c r="E94" s="384">
        <f>ROUND((E28-'21R2'!E28)/ABS('21R2'!E28)*100,1)</f>
        <v>10.6</v>
      </c>
      <c r="F94" s="384">
        <f>ROUND((F28-'21R2'!F28)/ABS('21R2'!F28)*100,1)</f>
        <v>29.6</v>
      </c>
      <c r="G94" s="384">
        <f>ROUND((G28-'21R2'!G28)/ABS('21R2'!G28)*100,1)</f>
        <v>-5.5</v>
      </c>
      <c r="H94" s="384">
        <f>ROUND((H28-'21R2'!H28)/ABS('21R2'!H28)*100,1)</f>
        <v>25.4</v>
      </c>
      <c r="I94" s="384">
        <f>ROUND((I28-'21R2'!I28)/ABS('21R2'!I28)*100,1)</f>
        <v>244.2</v>
      </c>
      <c r="J94" s="384">
        <f>ROUND((J28-'21R2'!J28)/ABS('21R2'!J28)*100,1)</f>
        <v>7.4</v>
      </c>
      <c r="K94" s="384">
        <f>ROUND((K28-'21R2'!K28)/ABS('21R2'!K28)*100,1)</f>
        <v>15.9</v>
      </c>
      <c r="L94" s="384">
        <f>ROUND((L28-'21R2'!L28)/ABS('21R2'!L28)*100,1)</f>
        <v>-67.400000000000006</v>
      </c>
      <c r="M94" s="384">
        <f>ROUND((M28-'21R2'!M28)/ABS('21R2'!M28)*100,1)</f>
        <v>25.7</v>
      </c>
      <c r="N94" s="384">
        <f>ROUND((N28-'21R2'!N28)/ABS('21R2'!N28)*100,1)</f>
        <v>34.4</v>
      </c>
      <c r="O94" s="384">
        <f>ROUND((O28-'21R2'!O28)/ABS('21R2'!O28)*100,1)</f>
        <v>-412.2</v>
      </c>
      <c r="R94" s="383"/>
      <c r="S94" s="383"/>
    </row>
    <row r="95" spans="1:19">
      <c r="A95" s="293">
        <v>210</v>
      </c>
      <c r="B95" s="90" t="s">
        <v>194</v>
      </c>
      <c r="C95" s="384">
        <f>ROUND((C29-'21R2'!C29)/ABS('21R2'!C29)*100,1)</f>
        <v>-0.1</v>
      </c>
      <c r="D95" s="384">
        <f>ROUND((D29-'21R2'!D29)/ABS('21R2'!D29)*100,1)</f>
        <v>12.6</v>
      </c>
      <c r="E95" s="384">
        <f>ROUND((E29-'21R2'!E29)/ABS('21R2'!E29)*100,1)</f>
        <v>5.6</v>
      </c>
      <c r="F95" s="384">
        <f>ROUND((F29-'21R2'!F29)/ABS('21R2'!F29)*100,1)</f>
        <v>-6.6</v>
      </c>
      <c r="G95" s="384">
        <f>ROUND((G29-'21R2'!G29)/ABS('21R2'!G29)*100,1)</f>
        <v>28.7</v>
      </c>
      <c r="H95" s="384">
        <f>ROUND((H29-'21R2'!H29)/ABS('21R2'!H29)*100,1)</f>
        <v>-17.600000000000001</v>
      </c>
      <c r="I95" s="384">
        <f>ROUND((I29-'21R2'!I29)/ABS('21R2'!I29)*100,1)</f>
        <v>229.9</v>
      </c>
      <c r="J95" s="384">
        <f>ROUND((J29-'21R2'!J29)/ABS('21R2'!J29)*100,1)</f>
        <v>-35.6</v>
      </c>
      <c r="K95" s="384">
        <f>ROUND((K29-'21R2'!K29)/ABS('21R2'!K29)*100,1)</f>
        <v>4.5</v>
      </c>
      <c r="L95" s="384">
        <f>ROUND((L29-'21R2'!L29)/ABS('21R2'!L29)*100,1)</f>
        <v>-36</v>
      </c>
      <c r="M95" s="384">
        <f>ROUND((M29-'21R2'!M29)/ABS('21R2'!M29)*100,1)</f>
        <v>15.5</v>
      </c>
      <c r="N95" s="384">
        <f>ROUND((N29-'21R2'!N29)/ABS('21R2'!N29)*100,1)</f>
        <v>21.1</v>
      </c>
      <c r="O95" s="384">
        <f>ROUND((O29-'21R2'!O29)/ABS('21R2'!O29)*100,1)</f>
        <v>19.600000000000001</v>
      </c>
      <c r="R95" s="383"/>
      <c r="S95" s="383"/>
    </row>
    <row r="96" spans="1:19">
      <c r="A96" s="293">
        <v>216</v>
      </c>
      <c r="B96" s="90" t="s">
        <v>195</v>
      </c>
      <c r="C96" s="384">
        <f>ROUND((C30-'21R2'!C30)/ABS('21R2'!C30)*100,1)</f>
        <v>3.7</v>
      </c>
      <c r="D96" s="384">
        <f>ROUND((D30-'21R2'!D30)/ABS('21R2'!D30)*100,1)</f>
        <v>9.4</v>
      </c>
      <c r="E96" s="384">
        <f>ROUND((E30-'21R2'!E30)/ABS('21R2'!E30)*100,1)</f>
        <v>11.9</v>
      </c>
      <c r="F96" s="384">
        <f>ROUND((F30-'21R2'!F30)/ABS('21R2'!F30)*100,1)</f>
        <v>16.2</v>
      </c>
      <c r="G96" s="384">
        <f>ROUND((G30-'21R2'!G30)/ABS('21R2'!G30)*100,1)</f>
        <v>12</v>
      </c>
      <c r="H96" s="384">
        <f>ROUND((H30-'21R2'!H30)/ABS('21R2'!H30)*100,1)</f>
        <v>10</v>
      </c>
      <c r="I96" s="384">
        <f>ROUND((I30-'21R2'!I30)/ABS('21R2'!I30)*100,1)</f>
        <v>230.4</v>
      </c>
      <c r="J96" s="384">
        <f>ROUND((J30-'21R2'!J30)/ABS('21R2'!J30)*100,1)</f>
        <v>-59.8</v>
      </c>
      <c r="K96" s="384">
        <f>ROUND((K30-'21R2'!K30)/ABS('21R2'!K30)*100,1)</f>
        <v>4.9000000000000004</v>
      </c>
      <c r="L96" s="384">
        <f>ROUND((L30-'21R2'!L30)/ABS('21R2'!L30)*100,1)</f>
        <v>0.8</v>
      </c>
      <c r="M96" s="384">
        <f>ROUND((M30-'21R2'!M30)/ABS('21R2'!M30)*100,1)</f>
        <v>20.3</v>
      </c>
      <c r="N96" s="384">
        <f>ROUND((N30-'21R2'!N30)/ABS('21R2'!N30)*100,1)</f>
        <v>21.6</v>
      </c>
      <c r="O96" s="384">
        <f>ROUND((O30-'21R2'!O30)/ABS('21R2'!O30)*100,1)</f>
        <v>-62.2</v>
      </c>
      <c r="R96" s="383"/>
      <c r="S96" s="383"/>
    </row>
    <row r="97" spans="1:19">
      <c r="A97" s="293">
        <v>381</v>
      </c>
      <c r="B97" s="90" t="s">
        <v>196</v>
      </c>
      <c r="C97" s="384">
        <f>ROUND((C31-'21R2'!C31)/ABS('21R2'!C31)*100,1)</f>
        <v>13.4</v>
      </c>
      <c r="D97" s="384">
        <f>ROUND((D31-'21R2'!D31)/ABS('21R2'!D31)*100,1)</f>
        <v>9.1</v>
      </c>
      <c r="E97" s="384">
        <f>ROUND((E31-'21R2'!E31)/ABS('21R2'!E31)*100,1)</f>
        <v>14.1</v>
      </c>
      <c r="F97" s="384">
        <f>ROUND((F31-'21R2'!F31)/ABS('21R2'!F31)*100,1)</f>
        <v>101.2</v>
      </c>
      <c r="G97" s="384">
        <f>ROUND((G31-'21R2'!G31)/ABS('21R2'!G31)*100,1)</f>
        <v>31</v>
      </c>
      <c r="H97" s="384">
        <f>ROUND((H31-'21R2'!H31)/ABS('21R2'!H31)*100,1)</f>
        <v>98</v>
      </c>
      <c r="I97" s="384">
        <f>ROUND((I31-'21R2'!I31)/ABS('21R2'!I31)*100,1)</f>
        <v>257.39999999999998</v>
      </c>
      <c r="J97" s="384">
        <f>ROUND((J31-'21R2'!J31)/ABS('21R2'!J31)*100,1)</f>
        <v>-31.3</v>
      </c>
      <c r="K97" s="384">
        <f>ROUND((K31-'21R2'!K31)/ABS('21R2'!K31)*100,1)</f>
        <v>26.6</v>
      </c>
      <c r="L97" s="384">
        <f>ROUND((L31-'21R2'!L31)/ABS('21R2'!L31)*100,1)</f>
        <v>-8.6</v>
      </c>
      <c r="M97" s="384">
        <f>ROUND((M31-'21R2'!M31)/ABS('21R2'!M31)*100,1)</f>
        <v>31.2</v>
      </c>
      <c r="N97" s="384">
        <f>ROUND((N31-'21R2'!N31)/ABS('21R2'!N31)*100,1)</f>
        <v>46.8</v>
      </c>
      <c r="O97" s="384">
        <f>ROUND((O31-'21R2'!O31)/ABS('21R2'!O31)*100,1)</f>
        <v>-66.7</v>
      </c>
      <c r="R97" s="383"/>
      <c r="S97" s="383"/>
    </row>
    <row r="98" spans="1:19">
      <c r="A98" s="293">
        <v>382</v>
      </c>
      <c r="B98" s="90" t="s">
        <v>197</v>
      </c>
      <c r="C98" s="384">
        <f>ROUND((C32-'21R2'!C32)/ABS('21R2'!C32)*100,1)</f>
        <v>36.4</v>
      </c>
      <c r="D98" s="384">
        <f>ROUND((D32-'21R2'!D32)/ABS('21R2'!D32)*100,1)</f>
        <v>9.3000000000000007</v>
      </c>
      <c r="E98" s="384">
        <f>ROUND((E32-'21R2'!E32)/ABS('21R2'!E32)*100,1)</f>
        <v>4.8</v>
      </c>
      <c r="F98" s="384">
        <f>ROUND((F32-'21R2'!F32)/ABS('21R2'!F32)*100,1)</f>
        <v>26.1</v>
      </c>
      <c r="G98" s="384">
        <f>ROUND((G32-'21R2'!G32)/ABS('21R2'!G32)*100,1)</f>
        <v>-15.8</v>
      </c>
      <c r="H98" s="384">
        <f>ROUND((H32-'21R2'!H32)/ABS('21R2'!H32)*100,1)</f>
        <v>26.3</v>
      </c>
      <c r="I98" s="384">
        <f>ROUND((I32-'21R2'!I32)/ABS('21R2'!I32)*100,1)</f>
        <v>239.3</v>
      </c>
      <c r="J98" s="384">
        <f>ROUND((J32-'21R2'!J32)/ABS('21R2'!J32)*100,1)</f>
        <v>-11.9</v>
      </c>
      <c r="K98" s="384">
        <f>ROUND((K32-'21R2'!K32)/ABS('21R2'!K32)*100,1)</f>
        <v>12</v>
      </c>
      <c r="L98" s="384">
        <f>ROUND((L32-'21R2'!L32)/ABS('21R2'!L32)*100,1)</f>
        <v>73.099999999999994</v>
      </c>
      <c r="M98" s="384">
        <f>ROUND((M32-'21R2'!M32)/ABS('21R2'!M32)*100,1)</f>
        <v>56.7</v>
      </c>
      <c r="N98" s="384">
        <f>ROUND((N32-'21R2'!N32)/ABS('21R2'!N32)*100,1)</f>
        <v>29.8</v>
      </c>
      <c r="O98" s="384">
        <f>ROUND((O32-'21R2'!O32)/ABS('21R2'!O32)*100,1)</f>
        <v>-17.2</v>
      </c>
      <c r="R98" s="383"/>
      <c r="S98" s="383"/>
    </row>
    <row r="99" spans="1:19">
      <c r="A99" s="293">
        <v>4</v>
      </c>
      <c r="B99" s="91" t="s">
        <v>198</v>
      </c>
      <c r="C99" s="384">
        <f>ROUND((C33-'21R2'!C33)/ABS('21R2'!C33)*100,1)</f>
        <v>0.4</v>
      </c>
      <c r="D99" s="384">
        <f>ROUND((D33-'21R2'!D33)/ABS('21R2'!D33)*100,1)</f>
        <v>8</v>
      </c>
      <c r="E99" s="384">
        <f>ROUND((E33-'21R2'!E33)/ABS('21R2'!E33)*100,1)</f>
        <v>4.2</v>
      </c>
      <c r="F99" s="384">
        <f>ROUND((F33-'21R2'!F33)/ABS('21R2'!F33)*100,1)</f>
        <v>34.5</v>
      </c>
      <c r="G99" s="384">
        <f>ROUND((G33-'21R2'!G33)/ABS('21R2'!G33)*100,1)</f>
        <v>10.1</v>
      </c>
      <c r="H99" s="384">
        <f>ROUND((H33-'21R2'!H33)/ABS('21R2'!H33)*100,1)</f>
        <v>25.4</v>
      </c>
      <c r="I99" s="384">
        <f>ROUND((I33-'21R2'!I33)/ABS('21R2'!I33)*100,1)</f>
        <v>239.1</v>
      </c>
      <c r="J99" s="384">
        <f>ROUND((J33-'21R2'!J33)/ABS('21R2'!J33)*100,1)</f>
        <v>-14.4</v>
      </c>
      <c r="K99" s="384">
        <f>ROUND((K33-'21R2'!K33)/ABS('21R2'!K33)*100,1)</f>
        <v>11.8</v>
      </c>
      <c r="L99" s="384">
        <f>ROUND((L33-'21R2'!L33)/ABS('21R2'!L33)*100,1)</f>
        <v>-26.4</v>
      </c>
      <c r="M99" s="384">
        <f>ROUND((M33-'21R2'!M33)/ABS('21R2'!M33)*100,1)</f>
        <v>16.100000000000001</v>
      </c>
      <c r="N99" s="384">
        <f>ROUND((N33-'21R2'!N33)/ABS('21R2'!N33)*100,1)</f>
        <v>29.6</v>
      </c>
      <c r="O99" s="384">
        <f>ROUND((O33-'21R2'!O33)/ABS('21R2'!O33)*100,1)</f>
        <v>-108.5</v>
      </c>
      <c r="R99" s="383"/>
      <c r="S99" s="383"/>
    </row>
    <row r="100" spans="1:19">
      <c r="A100" s="293">
        <v>213</v>
      </c>
      <c r="B100" s="92" t="s">
        <v>231</v>
      </c>
      <c r="C100" s="384">
        <f>ROUND((C34-'21R2'!C34)/ABS('21R2'!C34)*100,1)</f>
        <v>3.7</v>
      </c>
      <c r="D100" s="384">
        <f>ROUND((D34-'21R2'!D34)/ABS('21R2'!D34)*100,1)</f>
        <v>6.2</v>
      </c>
      <c r="E100" s="384">
        <f>ROUND((E34-'21R2'!E34)/ABS('21R2'!E34)*100,1)</f>
        <v>5.4</v>
      </c>
      <c r="F100" s="384">
        <f>ROUND((F34-'21R2'!F34)/ABS('21R2'!F34)*100,1)</f>
        <v>27.2</v>
      </c>
      <c r="G100" s="384">
        <f>ROUND((G34-'21R2'!G34)/ABS('21R2'!G34)*100,1)</f>
        <v>63.9</v>
      </c>
      <c r="H100" s="384">
        <f>ROUND((H34-'21R2'!H34)/ABS('21R2'!H34)*100,1)</f>
        <v>5.5</v>
      </c>
      <c r="I100" s="384">
        <f>ROUND((I34-'21R2'!I34)/ABS('21R2'!I34)*100,1)</f>
        <v>218.6</v>
      </c>
      <c r="J100" s="384">
        <f>ROUND((J34-'21R2'!J34)/ABS('21R2'!J34)*100,1)</f>
        <v>-85.8</v>
      </c>
      <c r="K100" s="384">
        <f>ROUND((K34-'21R2'!K34)/ABS('21R2'!K34)*100,1)</f>
        <v>-4.5999999999999996</v>
      </c>
      <c r="L100" s="384">
        <f>ROUND((L34-'21R2'!L34)/ABS('21R2'!L34)*100,1)</f>
        <v>119.1</v>
      </c>
      <c r="M100" s="384">
        <f>ROUND((M34-'21R2'!M34)/ABS('21R2'!M34)*100,1)</f>
        <v>19.7</v>
      </c>
      <c r="N100" s="384">
        <f>ROUND((N34-'21R2'!N34)/ABS('21R2'!N34)*100,1)</f>
        <v>10.5</v>
      </c>
      <c r="O100" s="384">
        <f>ROUND((O34-'21R2'!O34)/ABS('21R2'!O34)*100,1)</f>
        <v>-17.600000000000001</v>
      </c>
      <c r="R100" s="383"/>
      <c r="S100" s="383"/>
    </row>
    <row r="101" spans="1:19">
      <c r="A101" s="293">
        <v>215</v>
      </c>
      <c r="B101" s="92" t="s">
        <v>232</v>
      </c>
      <c r="C101" s="384">
        <f>ROUND((C35-'21R2'!C35)/ABS('21R2'!C35)*100,1)</f>
        <v>2.2999999999999998</v>
      </c>
      <c r="D101" s="384">
        <f>ROUND((D35-'21R2'!D35)/ABS('21R2'!D35)*100,1)</f>
        <v>9.3000000000000007</v>
      </c>
      <c r="E101" s="384">
        <f>ROUND((E35-'21R2'!E35)/ABS('21R2'!E35)*100,1)</f>
        <v>1.9</v>
      </c>
      <c r="F101" s="384">
        <f>ROUND((F35-'21R2'!F35)/ABS('21R2'!F35)*100,1)</f>
        <v>27.9</v>
      </c>
      <c r="G101" s="384">
        <f>ROUND((G35-'21R2'!G35)/ABS('21R2'!G35)*100,1)</f>
        <v>-8</v>
      </c>
      <c r="H101" s="384">
        <f>ROUND((H35-'21R2'!H35)/ABS('21R2'!H35)*100,1)</f>
        <v>19.7</v>
      </c>
      <c r="I101" s="384">
        <f>ROUND((I35-'21R2'!I35)/ABS('21R2'!I35)*100,1)</f>
        <v>238.7</v>
      </c>
      <c r="J101" s="384">
        <f>ROUND((J35-'21R2'!J35)/ABS('21R2'!J35)*100,1)</f>
        <v>6.6</v>
      </c>
      <c r="K101" s="384">
        <f>ROUND((K35-'21R2'!K35)/ABS('21R2'!K35)*100,1)</f>
        <v>11.5</v>
      </c>
      <c r="L101" s="384">
        <f>ROUND((L35-'21R2'!L35)/ABS('21R2'!L35)*100,1)</f>
        <v>-31.2</v>
      </c>
      <c r="M101" s="384">
        <f>ROUND((M35-'21R2'!M35)/ABS('21R2'!M35)*100,1)</f>
        <v>17.8</v>
      </c>
      <c r="N101" s="384">
        <f>ROUND((N35-'21R2'!N35)/ABS('21R2'!N35)*100,1)</f>
        <v>29.3</v>
      </c>
      <c r="O101" s="384">
        <f>ROUND((O35-'21R2'!O35)/ABS('21R2'!O35)*100,1)</f>
        <v>-209.5</v>
      </c>
      <c r="R101" s="383"/>
      <c r="S101" s="383"/>
    </row>
    <row r="102" spans="1:19">
      <c r="A102" s="293">
        <v>218</v>
      </c>
      <c r="B102" s="90" t="s">
        <v>200</v>
      </c>
      <c r="C102" s="384">
        <f>ROUND((C36-'21R2'!C36)/ABS('21R2'!C36)*100,1)</f>
        <v>4.0999999999999996</v>
      </c>
      <c r="D102" s="384">
        <f>ROUND((D36-'21R2'!D36)/ABS('21R2'!D36)*100,1)</f>
        <v>8.6999999999999993</v>
      </c>
      <c r="E102" s="384">
        <f>ROUND((E36-'21R2'!E36)/ABS('21R2'!E36)*100,1)</f>
        <v>3.8</v>
      </c>
      <c r="F102" s="384">
        <f>ROUND((F36-'21R2'!F36)/ABS('21R2'!F36)*100,1)</f>
        <v>37.9</v>
      </c>
      <c r="G102" s="384">
        <f>ROUND((G36-'21R2'!G36)/ABS('21R2'!G36)*100,1)</f>
        <v>-1.4</v>
      </c>
      <c r="H102" s="384">
        <f>ROUND((H36-'21R2'!H36)/ABS('21R2'!H36)*100,1)</f>
        <v>32.299999999999997</v>
      </c>
      <c r="I102" s="384">
        <f>ROUND((I36-'21R2'!I36)/ABS('21R2'!I36)*100,1)</f>
        <v>245.7</v>
      </c>
      <c r="J102" s="384">
        <f>ROUND((J36-'21R2'!J36)/ABS('21R2'!J36)*100,1)</f>
        <v>55.9</v>
      </c>
      <c r="K102" s="384">
        <f>ROUND((K36-'21R2'!K36)/ABS('21R2'!K36)*100,1)</f>
        <v>17.100000000000001</v>
      </c>
      <c r="L102" s="384">
        <f>ROUND((L36-'21R2'!L36)/ABS('21R2'!L36)*100,1)</f>
        <v>-18.2</v>
      </c>
      <c r="M102" s="384">
        <f>ROUND((M36-'21R2'!M36)/ABS('21R2'!M36)*100,1)</f>
        <v>20.3</v>
      </c>
      <c r="N102" s="384">
        <f>ROUND((N36-'21R2'!N36)/ABS('21R2'!N36)*100,1)</f>
        <v>35.799999999999997</v>
      </c>
      <c r="O102" s="384">
        <f>ROUND((O36-'21R2'!O36)/ABS('21R2'!O36)*100,1)</f>
        <v>-77.900000000000006</v>
      </c>
      <c r="R102" s="383"/>
      <c r="S102" s="383"/>
    </row>
    <row r="103" spans="1:19">
      <c r="A103" s="293">
        <v>220</v>
      </c>
      <c r="B103" s="90" t="s">
        <v>201</v>
      </c>
      <c r="C103" s="384">
        <f>ROUND((C37-'21R2'!C37)/ABS('21R2'!C37)*100,1)</f>
        <v>4.4000000000000004</v>
      </c>
      <c r="D103" s="384">
        <f>ROUND((D37-'21R2'!D37)/ABS('21R2'!D37)*100,1)</f>
        <v>6.9</v>
      </c>
      <c r="E103" s="384">
        <f>ROUND((E37-'21R2'!E37)/ABS('21R2'!E37)*100,1)</f>
        <v>14.5</v>
      </c>
      <c r="F103" s="384">
        <f>ROUND((F37-'21R2'!F37)/ABS('21R2'!F37)*100,1)</f>
        <v>70</v>
      </c>
      <c r="G103" s="384">
        <f>ROUND((G37-'21R2'!G37)/ABS('21R2'!G37)*100,1)</f>
        <v>15.8</v>
      </c>
      <c r="H103" s="384">
        <f>ROUND((H37-'21R2'!H37)/ABS('21R2'!H37)*100,1)</f>
        <v>61.7</v>
      </c>
      <c r="I103" s="384">
        <f>ROUND((I37-'21R2'!I37)/ABS('21R2'!I37)*100,1)</f>
        <v>251.4</v>
      </c>
      <c r="J103" s="384">
        <f>ROUND((J37-'21R2'!J37)/ABS('21R2'!J37)*100,1)</f>
        <v>6.3</v>
      </c>
      <c r="K103" s="384">
        <f>ROUND((K37-'21R2'!K37)/ABS('21R2'!K37)*100,1)</f>
        <v>21.7</v>
      </c>
      <c r="L103" s="384">
        <f>ROUND((L37-'21R2'!L37)/ABS('21R2'!L37)*100,1)</f>
        <v>-24.4</v>
      </c>
      <c r="M103" s="384">
        <f>ROUND((M37-'21R2'!M37)/ABS('21R2'!M37)*100,1)</f>
        <v>21.1</v>
      </c>
      <c r="N103" s="384">
        <f>ROUND((N37-'21R2'!N37)/ABS('21R2'!N37)*100,1)</f>
        <v>41.1</v>
      </c>
      <c r="O103" s="384">
        <f>ROUND((O37-'21R2'!O37)/ABS('21R2'!O37)*100,1)</f>
        <v>-100.7</v>
      </c>
      <c r="R103" s="383"/>
      <c r="S103" s="383"/>
    </row>
    <row r="104" spans="1:19">
      <c r="A104" s="293">
        <v>228</v>
      </c>
      <c r="B104" s="90" t="s">
        <v>239</v>
      </c>
      <c r="C104" s="384">
        <f>ROUND((C38-'21R2'!C38)/ABS('21R2'!C38)*100,1)</f>
        <v>-12.2</v>
      </c>
      <c r="D104" s="384">
        <f>ROUND((D38-'21R2'!D38)/ABS('21R2'!D38)*100,1)</f>
        <v>7.6</v>
      </c>
      <c r="E104" s="384">
        <f>ROUND((E38-'21R2'!E38)/ABS('21R2'!E38)*100,1)</f>
        <v>1.1000000000000001</v>
      </c>
      <c r="F104" s="384">
        <f>ROUND((F38-'21R2'!F38)/ABS('21R2'!F38)*100,1)</f>
        <v>-5</v>
      </c>
      <c r="G104" s="384">
        <f>ROUND((G38-'21R2'!G38)/ABS('21R2'!G38)*100,1)</f>
        <v>9.6</v>
      </c>
      <c r="H104" s="384">
        <f>ROUND((H38-'21R2'!H38)/ABS('21R2'!H38)*100,1)</f>
        <v>-14.3</v>
      </c>
      <c r="I104" s="384">
        <f>ROUND((I38-'21R2'!I38)/ABS('21R2'!I38)*100,1)</f>
        <v>231.8</v>
      </c>
      <c r="J104" s="384">
        <f>ROUND((J38-'21R2'!J38)/ABS('21R2'!J38)*100,1)</f>
        <v>81.7</v>
      </c>
      <c r="K104" s="384">
        <f>ROUND((K38-'21R2'!K38)/ABS('21R2'!K38)*100,1)</f>
        <v>6</v>
      </c>
      <c r="L104" s="384">
        <f>ROUND((L38-'21R2'!L38)/ABS('21R2'!L38)*100,1)</f>
        <v>-37.200000000000003</v>
      </c>
      <c r="M104" s="384">
        <f>ROUND((M38-'21R2'!M38)/ABS('21R2'!M38)*100,1)</f>
        <v>2.1</v>
      </c>
      <c r="N104" s="384">
        <f>ROUND((N38-'21R2'!N38)/ABS('21R2'!N38)*100,1)</f>
        <v>22.9</v>
      </c>
      <c r="O104" s="384">
        <f>ROUND((O38-'21R2'!O38)/ABS('21R2'!O38)*100,1)</f>
        <v>-86.5</v>
      </c>
      <c r="R104" s="383"/>
      <c r="S104" s="383"/>
    </row>
    <row r="105" spans="1:19">
      <c r="A105" s="293">
        <v>365</v>
      </c>
      <c r="B105" s="90" t="s">
        <v>233</v>
      </c>
      <c r="C105" s="384">
        <f>ROUND((C39-'21R2'!C39)/ABS('21R2'!C39)*100,1)</f>
        <v>10.3</v>
      </c>
      <c r="D105" s="384">
        <f>ROUND((D39-'21R2'!D39)/ABS('21R2'!D39)*100,1)</f>
        <v>7.3</v>
      </c>
      <c r="E105" s="384">
        <f>ROUND((E39-'21R2'!E39)/ABS('21R2'!E39)*100,1)</f>
        <v>-3.9</v>
      </c>
      <c r="F105" s="384">
        <f>ROUND((F39-'21R2'!F39)/ABS('21R2'!F39)*100,1)</f>
        <v>140.30000000000001</v>
      </c>
      <c r="G105" s="384">
        <f>ROUND((G39-'21R2'!G39)/ABS('21R2'!G39)*100,1)</f>
        <v>31</v>
      </c>
      <c r="H105" s="384">
        <f>ROUND((H39-'21R2'!H39)/ABS('21R2'!H39)*100,1)</f>
        <v>126.6</v>
      </c>
      <c r="I105" s="384">
        <f>ROUND((I39-'21R2'!I39)/ABS('21R2'!I39)*100,1)</f>
        <v>259.5</v>
      </c>
      <c r="J105" s="384">
        <f>ROUND((J39-'21R2'!J39)/ABS('21R2'!J39)*100,1)</f>
        <v>33.5</v>
      </c>
      <c r="K105" s="384">
        <f>ROUND((K39-'21R2'!K39)/ABS('21R2'!K39)*100,1)</f>
        <v>28.1</v>
      </c>
      <c r="L105" s="384">
        <f>ROUND((L39-'21R2'!L39)/ABS('21R2'!L39)*100,1)</f>
        <v>-127.9</v>
      </c>
      <c r="M105" s="384">
        <f>ROUND((M39-'21R2'!M39)/ABS('21R2'!M39)*100,1)</f>
        <v>25</v>
      </c>
      <c r="N105" s="384">
        <f>ROUND((N39-'21R2'!N39)/ABS('21R2'!N39)*100,1)</f>
        <v>48.5</v>
      </c>
      <c r="O105" s="384">
        <f>ROUND((O39-'21R2'!O39)/ABS('21R2'!O39)*100,1)</f>
        <v>-55.3</v>
      </c>
      <c r="R105" s="383"/>
      <c r="S105" s="383"/>
    </row>
    <row r="106" spans="1:19">
      <c r="A106" s="293">
        <v>5</v>
      </c>
      <c r="B106" s="91" t="s">
        <v>202</v>
      </c>
      <c r="C106" s="384">
        <f>ROUND((C40-'21R2'!C40)/ABS('21R2'!C40)*100,1)</f>
        <v>11.9</v>
      </c>
      <c r="D106" s="384">
        <f>ROUND((D40-'21R2'!D40)/ABS('21R2'!D40)*100,1)</f>
        <v>8.6</v>
      </c>
      <c r="E106" s="384">
        <f>ROUND((E40-'21R2'!E40)/ABS('21R2'!E40)*100,1)</f>
        <v>12.4</v>
      </c>
      <c r="F106" s="384">
        <f>ROUND((F40-'21R2'!F40)/ABS('21R2'!F40)*100,1)</f>
        <v>24.1</v>
      </c>
      <c r="G106" s="384">
        <f>ROUND((G40-'21R2'!G40)/ABS('21R2'!G40)*100,1)</f>
        <v>16.399999999999999</v>
      </c>
      <c r="H106" s="384">
        <f>ROUND((H40-'21R2'!H40)/ABS('21R2'!H40)*100,1)</f>
        <v>16</v>
      </c>
      <c r="I106" s="384">
        <f>ROUND((I40-'21R2'!I40)/ABS('21R2'!I40)*100,1)</f>
        <v>237.2</v>
      </c>
      <c r="J106" s="384">
        <f>ROUND((J40-'21R2'!J40)/ABS('21R2'!J40)*100,1)</f>
        <v>-38.5</v>
      </c>
      <c r="K106" s="384">
        <f>ROUND((K40-'21R2'!K40)/ABS('21R2'!K40)*100,1)</f>
        <v>10.3</v>
      </c>
      <c r="L106" s="384">
        <f>ROUND((L40-'21R2'!L40)/ABS('21R2'!L40)*100,1)</f>
        <v>23.8</v>
      </c>
      <c r="M106" s="384">
        <f>ROUND((M40-'21R2'!M40)/ABS('21R2'!M40)*100,1)</f>
        <v>29.3</v>
      </c>
      <c r="N106" s="384">
        <f>ROUND((N40-'21R2'!N40)/ABS('21R2'!N40)*100,1)</f>
        <v>27.9</v>
      </c>
      <c r="O106" s="384">
        <f>ROUND((O40-'21R2'!O40)/ABS('21R2'!O40)*100,1)</f>
        <v>-145.30000000000001</v>
      </c>
      <c r="R106" s="383"/>
      <c r="S106" s="383"/>
    </row>
    <row r="107" spans="1:19">
      <c r="A107" s="293">
        <v>201</v>
      </c>
      <c r="B107" s="92" t="s">
        <v>240</v>
      </c>
      <c r="C107" s="384">
        <f>ROUND((C41-'21R2'!C41)/ABS('21R2'!C41)*100,1)</f>
        <v>12.3</v>
      </c>
      <c r="D107" s="384">
        <f>ROUND((D41-'21R2'!D41)/ABS('21R2'!D41)*100,1)</f>
        <v>8.6999999999999993</v>
      </c>
      <c r="E107" s="384">
        <f>ROUND((E41-'21R2'!E41)/ABS('21R2'!E41)*100,1)</f>
        <v>13.8</v>
      </c>
      <c r="F107" s="384">
        <f>ROUND((F41-'21R2'!F41)/ABS('21R2'!F41)*100,1)</f>
        <v>32.299999999999997</v>
      </c>
      <c r="G107" s="384">
        <f>ROUND((G41-'21R2'!G41)/ABS('21R2'!G41)*100,1)</f>
        <v>16.5</v>
      </c>
      <c r="H107" s="384">
        <f>ROUND((H41-'21R2'!H41)/ABS('21R2'!H41)*100,1)</f>
        <v>24.8</v>
      </c>
      <c r="I107" s="384">
        <f>ROUND((I41-'21R2'!I41)/ABS('21R2'!I41)*100,1)</f>
        <v>239.8</v>
      </c>
      <c r="J107" s="384">
        <f>ROUND((J41-'21R2'!J41)/ABS('21R2'!J41)*100,1)</f>
        <v>-39.9</v>
      </c>
      <c r="K107" s="384">
        <f>ROUND((K41-'21R2'!K41)/ABS('21R2'!K41)*100,1)</f>
        <v>12.4</v>
      </c>
      <c r="L107" s="384">
        <f>ROUND((L41-'21R2'!L41)/ABS('21R2'!L41)*100,1)</f>
        <v>11</v>
      </c>
      <c r="M107" s="384">
        <f>ROUND((M41-'21R2'!M41)/ABS('21R2'!M41)*100,1)</f>
        <v>29.8</v>
      </c>
      <c r="N107" s="384">
        <f>ROUND((N41-'21R2'!N41)/ABS('21R2'!N41)*100,1)</f>
        <v>30.3</v>
      </c>
      <c r="O107" s="384">
        <f>ROUND((O41-'21R2'!O41)/ABS('21R2'!O41)*100,1)</f>
        <v>-179.3</v>
      </c>
      <c r="R107" s="383"/>
      <c r="S107" s="383"/>
    </row>
    <row r="108" spans="1:19">
      <c r="A108" s="293">
        <v>442</v>
      </c>
      <c r="B108" s="90" t="s">
        <v>203</v>
      </c>
      <c r="C108" s="384">
        <f>ROUND((C42-'21R2'!C42)/ABS('21R2'!C42)*100,1)</f>
        <v>10.5</v>
      </c>
      <c r="D108" s="384">
        <f>ROUND((D42-'21R2'!D42)/ABS('21R2'!D42)*100,1)</f>
        <v>5.7</v>
      </c>
      <c r="E108" s="384">
        <f>ROUND((E42-'21R2'!E42)/ABS('21R2'!E42)*100,1)</f>
        <v>-0.2</v>
      </c>
      <c r="F108" s="384">
        <f>ROUND((F42-'21R2'!F42)/ABS('21R2'!F42)*100,1)</f>
        <v>61.4</v>
      </c>
      <c r="G108" s="384">
        <f>ROUND((G42-'21R2'!G42)/ABS('21R2'!G42)*100,1)</f>
        <v>29.7</v>
      </c>
      <c r="H108" s="384">
        <f>ROUND((H42-'21R2'!H42)/ABS('21R2'!H42)*100,1)</f>
        <v>46.9</v>
      </c>
      <c r="I108" s="384">
        <f>ROUND((I42-'21R2'!I42)/ABS('21R2'!I42)*100,1)</f>
        <v>238.9</v>
      </c>
      <c r="J108" s="384">
        <f>ROUND((J42-'21R2'!J42)/ABS('21R2'!J42)*100,1)</f>
        <v>-24.9</v>
      </c>
      <c r="K108" s="384">
        <f>ROUND((K42-'21R2'!K42)/ABS('21R2'!K42)*100,1)</f>
        <v>11.7</v>
      </c>
      <c r="L108" s="384">
        <f>ROUND((L42-'21R2'!L42)/ABS('21R2'!L42)*100,1)</f>
        <v>-41.2</v>
      </c>
      <c r="M108" s="384">
        <f>ROUND((M42-'21R2'!M42)/ABS('21R2'!M42)*100,1)</f>
        <v>25.4</v>
      </c>
      <c r="N108" s="384">
        <f>ROUND((N42-'21R2'!N42)/ABS('21R2'!N42)*100,1)</f>
        <v>29.5</v>
      </c>
      <c r="O108" s="384">
        <f>ROUND((O42-'21R2'!O42)/ABS('21R2'!O42)*100,1)</f>
        <v>9</v>
      </c>
      <c r="R108" s="383"/>
      <c r="S108" s="383"/>
    </row>
    <row r="109" spans="1:19">
      <c r="A109" s="293">
        <v>443</v>
      </c>
      <c r="B109" s="90" t="s">
        <v>204</v>
      </c>
      <c r="C109" s="384">
        <f>ROUND((C43-'21R2'!C43)/ABS('21R2'!C43)*100,1)</f>
        <v>7.3</v>
      </c>
      <c r="D109" s="384">
        <f>ROUND((D43-'21R2'!D43)/ABS('21R2'!D43)*100,1)</f>
        <v>7.6</v>
      </c>
      <c r="E109" s="384">
        <f>ROUND((E43-'21R2'!E43)/ABS('21R2'!E43)*100,1)</f>
        <v>3.2</v>
      </c>
      <c r="F109" s="384">
        <f>ROUND((F43-'21R2'!F43)/ABS('21R2'!F43)*100,1)</f>
        <v>-55.9</v>
      </c>
      <c r="G109" s="384">
        <f>ROUND((G43-'21R2'!G43)/ABS('21R2'!G43)*100,1)</f>
        <v>5.5</v>
      </c>
      <c r="H109" s="384">
        <f>ROUND((H43-'21R2'!H43)/ABS('21R2'!H43)*100,1)</f>
        <v>-60.5</v>
      </c>
      <c r="I109" s="384">
        <f>ROUND((I43-'21R2'!I43)/ABS('21R2'!I43)*100,1)</f>
        <v>193.7</v>
      </c>
      <c r="J109" s="384">
        <f>ROUND((J43-'21R2'!J43)/ABS('21R2'!J43)*100,1)</f>
        <v>16.8</v>
      </c>
      <c r="K109" s="384">
        <f>ROUND((K43-'21R2'!K43)/ABS('21R2'!K43)*100,1)</f>
        <v>-24.6</v>
      </c>
      <c r="L109" s="384">
        <f>ROUND((L43-'21R2'!L43)/ABS('21R2'!L43)*100,1)</f>
        <v>56.7</v>
      </c>
      <c r="M109" s="384">
        <f>ROUND((M43-'21R2'!M43)/ABS('21R2'!M43)*100,1)</f>
        <v>24.1</v>
      </c>
      <c r="N109" s="384">
        <f>ROUND((N43-'21R2'!N43)/ABS('21R2'!N43)*100,1)</f>
        <v>-12.6</v>
      </c>
      <c r="O109" s="384">
        <f>ROUND((O43-'21R2'!O43)/ABS('21R2'!O43)*100,1)</f>
        <v>-31.7</v>
      </c>
      <c r="R109" s="383"/>
      <c r="S109" s="383"/>
    </row>
    <row r="110" spans="1:19">
      <c r="A110" s="293">
        <v>446</v>
      </c>
      <c r="B110" s="90" t="s">
        <v>234</v>
      </c>
      <c r="C110" s="384">
        <f>ROUND((C44-'21R2'!C44)/ABS('21R2'!C44)*100,1)</f>
        <v>13.9</v>
      </c>
      <c r="D110" s="384">
        <f>ROUND((D44-'21R2'!D44)/ABS('21R2'!D44)*100,1)</f>
        <v>7.3</v>
      </c>
      <c r="E110" s="384">
        <f>ROUND((E44-'21R2'!E44)/ABS('21R2'!E44)*100,1)</f>
        <v>1.3</v>
      </c>
      <c r="F110" s="384">
        <f>ROUND((F44-'21R2'!F44)/ABS('21R2'!F44)*100,1)</f>
        <v>-36.4</v>
      </c>
      <c r="G110" s="384">
        <f>ROUND((G44-'21R2'!G44)/ABS('21R2'!G44)*100,1)</f>
        <v>42.4</v>
      </c>
      <c r="H110" s="384">
        <f>ROUND((H44-'21R2'!H44)/ABS('21R2'!H44)*100,1)</f>
        <v>-46.1</v>
      </c>
      <c r="I110" s="384">
        <f>ROUND((I44-'21R2'!I44)/ABS('21R2'!I44)*100,1)</f>
        <v>215.2</v>
      </c>
      <c r="J110" s="384">
        <f>ROUND((J44-'21R2'!J44)/ABS('21R2'!J44)*100,1)</f>
        <v>-34</v>
      </c>
      <c r="K110" s="384">
        <f>ROUND((K44-'21R2'!K44)/ABS('21R2'!K44)*100,1)</f>
        <v>-7.4</v>
      </c>
      <c r="L110" s="384">
        <f>ROUND((L44-'21R2'!L44)/ABS('21R2'!L44)*100,1)</f>
        <v>70.3</v>
      </c>
      <c r="M110" s="384">
        <f>ROUND((M44-'21R2'!M44)/ABS('21R2'!M44)*100,1)</f>
        <v>27.7</v>
      </c>
      <c r="N110" s="384">
        <f>ROUND((N44-'21R2'!N44)/ABS('21R2'!N44)*100,1)</f>
        <v>7.3</v>
      </c>
      <c r="O110" s="384">
        <f>ROUND((O44-'21R2'!O44)/ABS('21R2'!O44)*100,1)</f>
        <v>35.6</v>
      </c>
      <c r="R110" s="383"/>
      <c r="S110" s="383"/>
    </row>
    <row r="111" spans="1:19">
      <c r="A111" s="293">
        <v>6</v>
      </c>
      <c r="B111" s="91" t="s">
        <v>205</v>
      </c>
      <c r="C111" s="384">
        <f>ROUND((C45-'21R2'!C45)/ABS('21R2'!C45)*100,1)</f>
        <v>0.9</v>
      </c>
      <c r="D111" s="384">
        <f>ROUND((D45-'21R2'!D45)/ABS('21R2'!D45)*100,1)</f>
        <v>7.7</v>
      </c>
      <c r="E111" s="384">
        <f>ROUND((E45-'21R2'!E45)/ABS('21R2'!E45)*100,1)</f>
        <v>3.8</v>
      </c>
      <c r="F111" s="384">
        <f>ROUND((F45-'21R2'!F45)/ABS('21R2'!F45)*100,1)</f>
        <v>58.1</v>
      </c>
      <c r="G111" s="384">
        <f>ROUND((G45-'21R2'!G45)/ABS('21R2'!G45)*100,1)</f>
        <v>11.9</v>
      </c>
      <c r="H111" s="384">
        <f>ROUND((H45-'21R2'!H45)/ABS('21R2'!H45)*100,1)</f>
        <v>49.6</v>
      </c>
      <c r="I111" s="384">
        <f>ROUND((I45-'21R2'!I45)/ABS('21R2'!I45)*100,1)</f>
        <v>244.5</v>
      </c>
      <c r="J111" s="384">
        <f>ROUND((J45-'21R2'!J45)/ABS('21R2'!J45)*100,1)</f>
        <v>-23.1</v>
      </c>
      <c r="K111" s="384">
        <f>ROUND((K45-'21R2'!K45)/ABS('21R2'!K45)*100,1)</f>
        <v>16.2</v>
      </c>
      <c r="L111" s="384">
        <f>ROUND((L45-'21R2'!L45)/ABS('21R2'!L45)*100,1)</f>
        <v>-53.4</v>
      </c>
      <c r="M111" s="384">
        <f>ROUND((M45-'21R2'!M45)/ABS('21R2'!M45)*100,1)</f>
        <v>16.5</v>
      </c>
      <c r="N111" s="384">
        <f>ROUND((N45-'21R2'!N45)/ABS('21R2'!N45)*100,1)</f>
        <v>34.700000000000003</v>
      </c>
      <c r="O111" s="384">
        <f>ROUND((O45-'21R2'!O45)/ABS('21R2'!O45)*100,1)</f>
        <v>-187.4</v>
      </c>
      <c r="R111" s="383"/>
      <c r="S111" s="383"/>
    </row>
    <row r="112" spans="1:19">
      <c r="A112" s="293">
        <v>208</v>
      </c>
      <c r="B112" s="90" t="s">
        <v>206</v>
      </c>
      <c r="C112" s="384">
        <f>ROUND((C46-'21R2'!C46)/ABS('21R2'!C46)*100,1)</f>
        <v>11.1</v>
      </c>
      <c r="D112" s="384">
        <f>ROUND((D46-'21R2'!D46)/ABS('21R2'!D46)*100,1)</f>
        <v>5.4</v>
      </c>
      <c r="E112" s="384">
        <f>ROUND((E46-'21R2'!E46)/ABS('21R2'!E46)*100,1)</f>
        <v>6.9</v>
      </c>
      <c r="F112" s="384">
        <f>ROUND((F46-'21R2'!F46)/ABS('21R2'!F46)*100,1)</f>
        <v>11</v>
      </c>
      <c r="G112" s="384">
        <f>ROUND((G46-'21R2'!G46)/ABS('21R2'!G46)*100,1)</f>
        <v>94</v>
      </c>
      <c r="H112" s="384">
        <f>ROUND((H46-'21R2'!H46)/ABS('21R2'!H46)*100,1)</f>
        <v>-6.2</v>
      </c>
      <c r="I112" s="384">
        <f>ROUND((I46-'21R2'!I46)/ABS('21R2'!I46)*100,1)</f>
        <v>233.8</v>
      </c>
      <c r="J112" s="384">
        <f>ROUND((J46-'21R2'!J46)/ABS('21R2'!J46)*100,1)</f>
        <v>36.4</v>
      </c>
      <c r="K112" s="384">
        <f>ROUND((K46-'21R2'!K46)/ABS('21R2'!K46)*100,1)</f>
        <v>7.5</v>
      </c>
      <c r="L112" s="384">
        <f>ROUND((L46-'21R2'!L46)/ABS('21R2'!L46)*100,1)</f>
        <v>15.7</v>
      </c>
      <c r="M112" s="384">
        <f>ROUND((M46-'21R2'!M46)/ABS('21R2'!M46)*100,1)</f>
        <v>28.2</v>
      </c>
      <c r="N112" s="384">
        <f>ROUND((N46-'21R2'!N46)/ABS('21R2'!N46)*100,1)</f>
        <v>24.7</v>
      </c>
      <c r="O112" s="384">
        <f>ROUND((O46-'21R2'!O46)/ABS('21R2'!O46)*100,1)</f>
        <v>-56.2</v>
      </c>
      <c r="R112" s="383"/>
      <c r="S112" s="383"/>
    </row>
    <row r="113" spans="1:19">
      <c r="A113" s="293">
        <v>212</v>
      </c>
      <c r="B113" s="90" t="s">
        <v>207</v>
      </c>
      <c r="C113" s="384">
        <f>ROUND((C47-'21R2'!C47)/ABS('21R2'!C47)*100,1)</f>
        <v>-1.7</v>
      </c>
      <c r="D113" s="384">
        <f>ROUND((D47-'21R2'!D47)/ABS('21R2'!D47)*100,1)</f>
        <v>6.8</v>
      </c>
      <c r="E113" s="384">
        <f>ROUND((E47-'21R2'!E47)/ABS('21R2'!E47)*100,1)</f>
        <v>7.2</v>
      </c>
      <c r="F113" s="384">
        <f>ROUND((F47-'21R2'!F47)/ABS('21R2'!F47)*100,1)</f>
        <v>20.100000000000001</v>
      </c>
      <c r="G113" s="384">
        <f>ROUND((G47-'21R2'!G47)/ABS('21R2'!G47)*100,1)</f>
        <v>-26.6</v>
      </c>
      <c r="H113" s="384">
        <f>ROUND((H47-'21R2'!H47)/ABS('21R2'!H47)*100,1)</f>
        <v>17.100000000000001</v>
      </c>
      <c r="I113" s="384">
        <f>ROUND((I47-'21R2'!I47)/ABS('21R2'!I47)*100,1)</f>
        <v>238.4</v>
      </c>
      <c r="J113" s="384">
        <f>ROUND((J47-'21R2'!J47)/ABS('21R2'!J47)*100,1)</f>
        <v>17.5</v>
      </c>
      <c r="K113" s="384">
        <f>ROUND((K47-'21R2'!K47)/ABS('21R2'!K47)*100,1)</f>
        <v>11.3</v>
      </c>
      <c r="L113" s="384">
        <f>ROUND((L47-'21R2'!L47)/ABS('21R2'!L47)*100,1)</f>
        <v>-43.8</v>
      </c>
      <c r="M113" s="384">
        <f>ROUND((M47-'21R2'!M47)/ABS('21R2'!M47)*100,1)</f>
        <v>14</v>
      </c>
      <c r="N113" s="384">
        <f>ROUND((N47-'21R2'!N47)/ABS('21R2'!N47)*100,1)</f>
        <v>29</v>
      </c>
      <c r="O113" s="384">
        <f>ROUND((O47-'21R2'!O47)/ABS('21R2'!O47)*100,1)</f>
        <v>-136.69999999999999</v>
      </c>
      <c r="R113" s="383"/>
      <c r="S113" s="383"/>
    </row>
    <row r="114" spans="1:19">
      <c r="A114" s="293">
        <v>227</v>
      </c>
      <c r="B114" s="90" t="s">
        <v>219</v>
      </c>
      <c r="C114" s="384">
        <f>ROUND((C48-'21R2'!C48)/ABS('21R2'!C48)*100,1)</f>
        <v>7.8</v>
      </c>
      <c r="D114" s="384">
        <f>ROUND((D48-'21R2'!D48)/ABS('21R2'!D48)*100,1)</f>
        <v>6.8</v>
      </c>
      <c r="E114" s="384">
        <f>ROUND((E48-'21R2'!E48)/ABS('21R2'!E48)*100,1)</f>
        <v>4.3</v>
      </c>
      <c r="F114" s="384">
        <f>ROUND((F48-'21R2'!F48)/ABS('21R2'!F48)*100,1)</f>
        <v>51.7</v>
      </c>
      <c r="G114" s="384">
        <f>ROUND((G48-'21R2'!G48)/ABS('21R2'!G48)*100,1)</f>
        <v>-5.7</v>
      </c>
      <c r="H114" s="384">
        <f>ROUND((H48-'21R2'!H48)/ABS('21R2'!H48)*100,1)</f>
        <v>39.299999999999997</v>
      </c>
      <c r="I114" s="384">
        <f>ROUND((I48-'21R2'!I48)/ABS('21R2'!I48)*100,1)</f>
        <v>238.4</v>
      </c>
      <c r="J114" s="384">
        <f>ROUND((J48-'21R2'!J48)/ABS('21R2'!J48)*100,1)</f>
        <v>-13</v>
      </c>
      <c r="K114" s="384">
        <f>ROUND((K48-'21R2'!K48)/ABS('21R2'!K48)*100,1)</f>
        <v>11.3</v>
      </c>
      <c r="L114" s="384">
        <f>ROUND((L48-'21R2'!L48)/ABS('21R2'!L48)*100,1)</f>
        <v>-113.5</v>
      </c>
      <c r="M114" s="384">
        <f>ROUND((M48-'21R2'!M48)/ABS('21R2'!M48)*100,1)</f>
        <v>23</v>
      </c>
      <c r="N114" s="384">
        <f>ROUND((N48-'21R2'!N48)/ABS('21R2'!N48)*100,1)</f>
        <v>29.1</v>
      </c>
      <c r="O114" s="384">
        <f>ROUND((O48-'21R2'!O48)/ABS('21R2'!O48)*100,1)</f>
        <v>-0.8</v>
      </c>
      <c r="R114" s="383"/>
      <c r="S114" s="383"/>
    </row>
    <row r="115" spans="1:19">
      <c r="A115" s="293">
        <v>229</v>
      </c>
      <c r="B115" s="90" t="s">
        <v>235</v>
      </c>
      <c r="C115" s="384">
        <f>ROUND((C49-'21R2'!C49)/ABS('21R2'!C49)*100,1)</f>
        <v>-2.2000000000000002</v>
      </c>
      <c r="D115" s="384">
        <f>ROUND((D49-'21R2'!D49)/ABS('21R2'!D49)*100,1)</f>
        <v>10</v>
      </c>
      <c r="E115" s="384">
        <f>ROUND((E49-'21R2'!E49)/ABS('21R2'!E49)*100,1)</f>
        <v>-0.4</v>
      </c>
      <c r="F115" s="384">
        <f>ROUND((F49-'21R2'!F49)/ABS('21R2'!F49)*100,1)</f>
        <v>31.6</v>
      </c>
      <c r="G115" s="384">
        <f>ROUND((G49-'21R2'!G49)/ABS('21R2'!G49)*100,1)</f>
        <v>35</v>
      </c>
      <c r="H115" s="384">
        <f>ROUND((H49-'21R2'!H49)/ABS('21R2'!H49)*100,1)</f>
        <v>21.1</v>
      </c>
      <c r="I115" s="384">
        <f>ROUND((I49-'21R2'!I49)/ABS('21R2'!I49)*100,1)</f>
        <v>238.6</v>
      </c>
      <c r="J115" s="384">
        <f>ROUND((J49-'21R2'!J49)/ABS('21R2'!J49)*100,1)</f>
        <v>-22.2</v>
      </c>
      <c r="K115" s="384">
        <f>ROUND((K49-'21R2'!K49)/ABS('21R2'!K49)*100,1)</f>
        <v>11.4</v>
      </c>
      <c r="L115" s="384">
        <f>ROUND((L49-'21R2'!L49)/ABS('21R2'!L49)*100,1)</f>
        <v>-38.200000000000003</v>
      </c>
      <c r="M115" s="384">
        <f>ROUND((M49-'21R2'!M49)/ABS('21R2'!M49)*100,1)</f>
        <v>13.1</v>
      </c>
      <c r="N115" s="384">
        <f>ROUND((N49-'21R2'!N49)/ABS('21R2'!N49)*100,1)</f>
        <v>29.1</v>
      </c>
      <c r="O115" s="384">
        <f>ROUND((O49-'21R2'!O49)/ABS('21R2'!O49)*100,1)</f>
        <v>-96.4</v>
      </c>
      <c r="R115" s="383"/>
      <c r="S115" s="383"/>
    </row>
    <row r="116" spans="1:19">
      <c r="A116" s="293">
        <v>464</v>
      </c>
      <c r="B116" s="90" t="s">
        <v>208</v>
      </c>
      <c r="C116" s="384">
        <f>ROUND((C50-'21R2'!C50)/ABS('21R2'!C50)*100,1)</f>
        <v>-9.9</v>
      </c>
      <c r="D116" s="384">
        <f>ROUND((D50-'21R2'!D50)/ABS('21R2'!D50)*100,1)</f>
        <v>8.8000000000000007</v>
      </c>
      <c r="E116" s="384">
        <f>ROUND((E50-'21R2'!E50)/ABS('21R2'!E50)*100,1)</f>
        <v>7.4</v>
      </c>
      <c r="F116" s="384">
        <f>ROUND((F50-'21R2'!F50)/ABS('21R2'!F50)*100,1)</f>
        <v>446.6</v>
      </c>
      <c r="G116" s="384">
        <f>ROUND((G50-'21R2'!G50)/ABS('21R2'!G50)*100,1)</f>
        <v>35.6</v>
      </c>
      <c r="H116" s="384">
        <f>ROUND((H50-'21R2'!H50)/ABS('21R2'!H50)*100,1)</f>
        <v>496.3</v>
      </c>
      <c r="I116" s="384">
        <f>ROUND((I50-'21R2'!I50)/ABS('21R2'!I50)*100,1)</f>
        <v>310.8</v>
      </c>
      <c r="J116" s="384">
        <f>ROUND((J50-'21R2'!J50)/ABS('21R2'!J50)*100,1)</f>
        <v>-63</v>
      </c>
      <c r="K116" s="384">
        <f>ROUND((K50-'21R2'!K50)/ABS('21R2'!K50)*100,1)</f>
        <v>69.599999999999994</v>
      </c>
      <c r="L116" s="384">
        <f>ROUND((L50-'21R2'!L50)/ABS('21R2'!L50)*100,1)</f>
        <v>-472.1</v>
      </c>
      <c r="M116" s="384">
        <f>ROUND((M50-'21R2'!M50)/ABS('21R2'!M50)*100,1)</f>
        <v>5</v>
      </c>
      <c r="N116" s="384">
        <f>ROUND((N50-'21R2'!N50)/ABS('21R2'!N50)*100,1)</f>
        <v>96.6</v>
      </c>
      <c r="O116" s="384">
        <f>ROUND((O50-'21R2'!O50)/ABS('21R2'!O50)*100,1)</f>
        <v>-624.4</v>
      </c>
      <c r="R116" s="383"/>
      <c r="S116" s="383"/>
    </row>
    <row r="117" spans="1:19">
      <c r="A117" s="293">
        <v>481</v>
      </c>
      <c r="B117" s="90" t="s">
        <v>209</v>
      </c>
      <c r="C117" s="384">
        <f>ROUND((C51-'21R2'!C51)/ABS('21R2'!C51)*100,1)</f>
        <v>4.4000000000000004</v>
      </c>
      <c r="D117" s="384">
        <f>ROUND((D51-'21R2'!D51)/ABS('21R2'!D51)*100,1)</f>
        <v>6.2</v>
      </c>
      <c r="E117" s="384">
        <f>ROUND((E51-'21R2'!E51)/ABS('21R2'!E51)*100,1)</f>
        <v>2.9</v>
      </c>
      <c r="F117" s="384">
        <f>ROUND((F51-'21R2'!F51)/ABS('21R2'!F51)*100,1)</f>
        <v>3.8</v>
      </c>
      <c r="G117" s="384">
        <f>ROUND((G51-'21R2'!G51)/ABS('21R2'!G51)*100,1)</f>
        <v>-44.7</v>
      </c>
      <c r="H117" s="384">
        <f>ROUND((H51-'21R2'!H51)/ABS('21R2'!H51)*100,1)</f>
        <v>-4.9000000000000004</v>
      </c>
      <c r="I117" s="384">
        <f>ROUND((I51-'21R2'!I51)/ABS('21R2'!I51)*100,1)</f>
        <v>227.1</v>
      </c>
      <c r="J117" s="384">
        <f>ROUND((J51-'21R2'!J51)/ABS('21R2'!J51)*100,1)</f>
        <v>-34.200000000000003</v>
      </c>
      <c r="K117" s="384">
        <f>ROUND((K51-'21R2'!K51)/ABS('21R2'!K51)*100,1)</f>
        <v>2.2000000000000002</v>
      </c>
      <c r="L117" s="384">
        <f>ROUND((L51-'21R2'!L51)/ABS('21R2'!L51)*100,1)</f>
        <v>104.5</v>
      </c>
      <c r="M117" s="384">
        <f>ROUND((M51-'21R2'!M51)/ABS('21R2'!M51)*100,1)</f>
        <v>19.8</v>
      </c>
      <c r="N117" s="384">
        <f>ROUND((N51-'21R2'!N51)/ABS('21R2'!N51)*100,1)</f>
        <v>18.5</v>
      </c>
      <c r="O117" s="384">
        <f>ROUND((O51-'21R2'!O51)/ABS('21R2'!O51)*100,1)</f>
        <v>-1.9</v>
      </c>
      <c r="R117" s="383"/>
      <c r="S117" s="383"/>
    </row>
    <row r="118" spans="1:19">
      <c r="A118" s="293">
        <v>501</v>
      </c>
      <c r="B118" s="90" t="s">
        <v>236</v>
      </c>
      <c r="C118" s="384">
        <f>ROUND((C52-'21R2'!C52)/ABS('21R2'!C52)*100,1)</f>
        <v>5</v>
      </c>
      <c r="D118" s="384">
        <f>ROUND((D52-'21R2'!D52)/ABS('21R2'!D52)*100,1)</f>
        <v>6.2</v>
      </c>
      <c r="E118" s="384">
        <f>ROUND((E52-'21R2'!E52)/ABS('21R2'!E52)*100,1)</f>
        <v>1</v>
      </c>
      <c r="F118" s="384">
        <f>ROUND((F52-'21R2'!F52)/ABS('21R2'!F52)*100,1)</f>
        <v>11.9</v>
      </c>
      <c r="G118" s="384">
        <f>ROUND((G52-'21R2'!G52)/ABS('21R2'!G52)*100,1)</f>
        <v>-34.799999999999997</v>
      </c>
      <c r="H118" s="384">
        <f>ROUND((H52-'21R2'!H52)/ABS('21R2'!H52)*100,1)</f>
        <v>-1.5</v>
      </c>
      <c r="I118" s="384">
        <f>ROUND((I52-'21R2'!I52)/ABS('21R2'!I52)*100,1)</f>
        <v>223.8</v>
      </c>
      <c r="J118" s="384">
        <f>ROUND((J52-'21R2'!J52)/ABS('21R2'!J52)*100,1)</f>
        <v>-48.5</v>
      </c>
      <c r="K118" s="384">
        <f>ROUND((K52-'21R2'!K52)/ABS('21R2'!K52)*100,1)</f>
        <v>-0.5</v>
      </c>
      <c r="L118" s="384">
        <f>ROUND((L52-'21R2'!L52)/ABS('21R2'!L52)*100,1)</f>
        <v>977.3</v>
      </c>
      <c r="M118" s="384">
        <f>ROUND((M52-'21R2'!M52)/ABS('21R2'!M52)*100,1)</f>
        <v>19.5</v>
      </c>
      <c r="N118" s="384">
        <f>ROUND((N52-'21R2'!N52)/ABS('21R2'!N52)*100,1)</f>
        <v>15.4</v>
      </c>
      <c r="O118" s="384">
        <f>ROUND((O52-'21R2'!O52)/ABS('21R2'!O52)*100,1)</f>
        <v>7.6</v>
      </c>
      <c r="R118" s="383"/>
      <c r="S118" s="383"/>
    </row>
    <row r="119" spans="1:19">
      <c r="A119" s="293">
        <v>7</v>
      </c>
      <c r="B119" s="93" t="s">
        <v>210</v>
      </c>
      <c r="C119" s="384">
        <f>ROUND((C53-'21R2'!C53)/ABS('21R2'!C53)*100,1)</f>
        <v>-7.1</v>
      </c>
      <c r="D119" s="384">
        <f>ROUND((D53-'21R2'!D53)/ABS('21R2'!D53)*100,1)</f>
        <v>7.9</v>
      </c>
      <c r="E119" s="384">
        <f>ROUND((E53-'21R2'!E53)/ABS('21R2'!E53)*100,1)</f>
        <v>6.5</v>
      </c>
      <c r="F119" s="384">
        <f>ROUND((F53-'21R2'!F53)/ABS('21R2'!F53)*100,1)</f>
        <v>51.1</v>
      </c>
      <c r="G119" s="384">
        <f>ROUND((G53-'21R2'!G53)/ABS('21R2'!G53)*100,1)</f>
        <v>22.9</v>
      </c>
      <c r="H119" s="384">
        <f>ROUND((H53-'21R2'!H53)/ABS('21R2'!H53)*100,1)</f>
        <v>36</v>
      </c>
      <c r="I119" s="384">
        <f>ROUND((I53-'21R2'!I53)/ABS('21R2'!I53)*100,1)</f>
        <v>239.1</v>
      </c>
      <c r="J119" s="384">
        <f>ROUND((J53-'21R2'!J53)/ABS('21R2'!J53)*100,1)</f>
        <v>-20.399999999999999</v>
      </c>
      <c r="K119" s="384">
        <f>ROUND((K53-'21R2'!K53)/ABS('21R2'!K53)*100,1)</f>
        <v>11.8</v>
      </c>
      <c r="L119" s="384">
        <f>ROUND((L53-'21R2'!L53)/ABS('21R2'!L53)*100,1)</f>
        <v>-219.2</v>
      </c>
      <c r="M119" s="384">
        <f>ROUND((M53-'21R2'!M53)/ABS('21R2'!M53)*100,1)</f>
        <v>7.9</v>
      </c>
      <c r="N119" s="384">
        <f>ROUND((N53-'21R2'!N53)/ABS('21R2'!N53)*100,1)</f>
        <v>29.6</v>
      </c>
      <c r="O119" s="384">
        <f>ROUND((O53-'21R2'!O53)/ABS('21R2'!O53)*100,1)</f>
        <v>-79.5</v>
      </c>
      <c r="R119" s="383"/>
      <c r="S119" s="383"/>
    </row>
    <row r="120" spans="1:19">
      <c r="A120" s="293">
        <v>209</v>
      </c>
      <c r="B120" s="90" t="s">
        <v>221</v>
      </c>
      <c r="C120" s="384">
        <f>ROUND((C54-'21R2'!C54)/ABS('21R2'!C54)*100,1)</f>
        <v>0.2</v>
      </c>
      <c r="D120" s="384">
        <f>ROUND((D54-'21R2'!D54)/ABS('21R2'!D54)*100,1)</f>
        <v>9.8000000000000007</v>
      </c>
      <c r="E120" s="384">
        <f>ROUND((E54-'21R2'!E54)/ABS('21R2'!E54)*100,1)</f>
        <v>10.1</v>
      </c>
      <c r="F120" s="384">
        <f>ROUND((F54-'21R2'!F54)/ABS('21R2'!F54)*100,1)</f>
        <v>50.7</v>
      </c>
      <c r="G120" s="384">
        <f>ROUND((G54-'21R2'!G54)/ABS('21R2'!G54)*100,1)</f>
        <v>24.5</v>
      </c>
      <c r="H120" s="384">
        <f>ROUND((H54-'21R2'!H54)/ABS('21R2'!H54)*100,1)</f>
        <v>36.200000000000003</v>
      </c>
      <c r="I120" s="384">
        <f>ROUND((I54-'21R2'!I54)/ABS('21R2'!I54)*100,1)</f>
        <v>243.9</v>
      </c>
      <c r="J120" s="384">
        <f>ROUND((J54-'21R2'!J54)/ABS('21R2'!J54)*100,1)</f>
        <v>2.8</v>
      </c>
      <c r="K120" s="384">
        <f>ROUND((K54-'21R2'!K54)/ABS('21R2'!K54)*100,1)</f>
        <v>15.7</v>
      </c>
      <c r="L120" s="384">
        <f>ROUND((L54-'21R2'!L54)/ABS('21R2'!L54)*100,1)</f>
        <v>-189.9</v>
      </c>
      <c r="M120" s="384">
        <f>ROUND((M54-'21R2'!M54)/ABS('21R2'!M54)*100,1)</f>
        <v>16</v>
      </c>
      <c r="N120" s="384">
        <f>ROUND((N54-'21R2'!N54)/ABS('21R2'!N54)*100,1)</f>
        <v>34.1</v>
      </c>
      <c r="O120" s="384">
        <f>ROUND((O54-'21R2'!O54)/ABS('21R2'!O54)*100,1)</f>
        <v>-81.400000000000006</v>
      </c>
      <c r="R120" s="383"/>
      <c r="S120" s="383"/>
    </row>
    <row r="121" spans="1:19">
      <c r="A121" s="293">
        <v>222</v>
      </c>
      <c r="B121" s="90" t="s">
        <v>218</v>
      </c>
      <c r="C121" s="384">
        <f>ROUND((C55-'21R2'!C55)/ABS('21R2'!C55)*100,1)</f>
        <v>6.6</v>
      </c>
      <c r="D121" s="384">
        <f>ROUND((D55-'21R2'!D55)/ABS('21R2'!D55)*100,1)</f>
        <v>5.7</v>
      </c>
      <c r="E121" s="384">
        <f>ROUND((E55-'21R2'!E55)/ABS('21R2'!E55)*100,1)</f>
        <v>2.4</v>
      </c>
      <c r="F121" s="384">
        <f>ROUND((F55-'21R2'!F55)/ABS('21R2'!F55)*100,1)</f>
        <v>28.6</v>
      </c>
      <c r="G121" s="384">
        <f>ROUND((G55-'21R2'!G55)/ABS('21R2'!G55)*100,1)</f>
        <v>6.8</v>
      </c>
      <c r="H121" s="384">
        <f>ROUND((H55-'21R2'!H55)/ABS('21R2'!H55)*100,1)</f>
        <v>13.5</v>
      </c>
      <c r="I121" s="384">
        <f>ROUND((I55-'21R2'!I55)/ABS('21R2'!I55)*100,1)</f>
        <v>226.3</v>
      </c>
      <c r="J121" s="384">
        <f>ROUND((J55-'21R2'!J55)/ABS('21R2'!J55)*100,1)</f>
        <v>-51.8</v>
      </c>
      <c r="K121" s="384">
        <f>ROUND((K55-'21R2'!K55)/ABS('21R2'!K55)*100,1)</f>
        <v>1.5</v>
      </c>
      <c r="L121" s="384">
        <f>ROUND((L55-'21R2'!L55)/ABS('21R2'!L55)*100,1)</f>
        <v>38</v>
      </c>
      <c r="M121" s="384">
        <f>ROUND((M55-'21R2'!M55)/ABS('21R2'!M55)*100,1)</f>
        <v>21.3</v>
      </c>
      <c r="N121" s="384">
        <f>ROUND((N55-'21R2'!N55)/ABS('21R2'!N55)*100,1)</f>
        <v>17.7</v>
      </c>
      <c r="O121" s="384">
        <f>ROUND((O55-'21R2'!O55)/ABS('21R2'!O55)*100,1)</f>
        <v>18</v>
      </c>
      <c r="R121" s="383"/>
      <c r="S121" s="383"/>
    </row>
    <row r="122" spans="1:19">
      <c r="A122" s="293">
        <v>225</v>
      </c>
      <c r="B122" s="90" t="s">
        <v>222</v>
      </c>
      <c r="C122" s="384">
        <f>ROUND((C56-'21R2'!C56)/ABS('21R2'!C56)*100,1)</f>
        <v>-30.3</v>
      </c>
      <c r="D122" s="384">
        <f>ROUND((D56-'21R2'!D56)/ABS('21R2'!D56)*100,1)</f>
        <v>6.9</v>
      </c>
      <c r="E122" s="384">
        <f>ROUND((E56-'21R2'!E56)/ABS('21R2'!E56)*100,1)</f>
        <v>8.6</v>
      </c>
      <c r="F122" s="384">
        <f>ROUND((F56-'21R2'!F56)/ABS('21R2'!F56)*100,1)</f>
        <v>79.3</v>
      </c>
      <c r="G122" s="384">
        <f>ROUND((G56-'21R2'!G56)/ABS('21R2'!G56)*100,1)</f>
        <v>20.3</v>
      </c>
      <c r="H122" s="384">
        <f>ROUND((H56-'21R2'!H56)/ABS('21R2'!H56)*100,1)</f>
        <v>67.599999999999994</v>
      </c>
      <c r="I122" s="384">
        <f>ROUND((I56-'21R2'!I56)/ABS('21R2'!I56)*100,1)</f>
        <v>247.1</v>
      </c>
      <c r="J122" s="384">
        <f>ROUND((J56-'21R2'!J56)/ABS('21R2'!J56)*100,1)</f>
        <v>-4</v>
      </c>
      <c r="K122" s="384">
        <f>ROUND((K56-'21R2'!K56)/ABS('21R2'!K56)*100,1)</f>
        <v>18.3</v>
      </c>
      <c r="L122" s="384">
        <f>ROUND((L56-'21R2'!L56)/ABS('21R2'!L56)*100,1)</f>
        <v>-119.3</v>
      </c>
      <c r="M122" s="384">
        <f>ROUND((M56-'21R2'!M56)/ABS('21R2'!M56)*100,1)</f>
        <v>-17</v>
      </c>
      <c r="N122" s="384">
        <f>ROUND((N56-'21R2'!N56)/ABS('21R2'!N56)*100,1)</f>
        <v>37.1</v>
      </c>
      <c r="O122" s="384">
        <f>ROUND((O56-'21R2'!O56)/ABS('21R2'!O56)*100,1)</f>
        <v>-216.9</v>
      </c>
      <c r="R122" s="383"/>
      <c r="S122" s="383"/>
    </row>
    <row r="123" spans="1:19">
      <c r="A123" s="293">
        <v>585</v>
      </c>
      <c r="B123" s="90" t="s">
        <v>220</v>
      </c>
      <c r="C123" s="384">
        <f>ROUND((C57-'21R2'!C57)/ABS('21R2'!C57)*100,1)</f>
        <v>0.3</v>
      </c>
      <c r="D123" s="384">
        <f>ROUND((D57-'21R2'!D57)/ABS('21R2'!D57)*100,1)</f>
        <v>5.3</v>
      </c>
      <c r="E123" s="384">
        <f>ROUND((E57-'21R2'!E57)/ABS('21R2'!E57)*100,1)</f>
        <v>-5.3</v>
      </c>
      <c r="F123" s="384">
        <f>ROUND((F57-'21R2'!F57)/ABS('21R2'!F57)*100,1)</f>
        <v>49.9</v>
      </c>
      <c r="G123" s="384">
        <f>ROUND((G57-'21R2'!G57)/ABS('21R2'!G57)*100,1)</f>
        <v>24.3</v>
      </c>
      <c r="H123" s="384">
        <f>ROUND((H57-'21R2'!H57)/ABS('21R2'!H57)*100,1)</f>
        <v>30.9</v>
      </c>
      <c r="I123" s="384">
        <f>ROUND((I57-'21R2'!I57)/ABS('21R2'!I57)*100,1)</f>
        <v>230.2</v>
      </c>
      <c r="J123" s="384">
        <f>ROUND((J57-'21R2'!J57)/ABS('21R2'!J57)*100,1)</f>
        <v>-26.2</v>
      </c>
      <c r="K123" s="384">
        <f>ROUND((K57-'21R2'!K57)/ABS('21R2'!K57)*100,1)</f>
        <v>4.7</v>
      </c>
      <c r="L123" s="384">
        <f>ROUND((L57-'21R2'!L57)/ABS('21R2'!L57)*100,1)</f>
        <v>-27.7</v>
      </c>
      <c r="M123" s="384">
        <f>ROUND((M57-'21R2'!M57)/ABS('21R2'!M57)*100,1)</f>
        <v>13.3</v>
      </c>
      <c r="N123" s="384">
        <f>ROUND((N57-'21R2'!N57)/ABS('21R2'!N57)*100,1)</f>
        <v>21.4</v>
      </c>
      <c r="O123" s="384">
        <f>ROUND((O57-'21R2'!O57)/ABS('21R2'!O57)*100,1)</f>
        <v>17.7</v>
      </c>
      <c r="R123" s="383"/>
      <c r="S123" s="383"/>
    </row>
    <row r="124" spans="1:19">
      <c r="A124" s="293">
        <v>586</v>
      </c>
      <c r="B124" s="90" t="s">
        <v>237</v>
      </c>
      <c r="C124" s="384">
        <f>ROUND((C58-'21R2'!C58)/ABS('21R2'!C58)*100,1)</f>
        <v>-1.8</v>
      </c>
      <c r="D124" s="384">
        <f>ROUND((D58-'21R2'!D58)/ABS('21R2'!D58)*100,1)</f>
        <v>6.1</v>
      </c>
      <c r="E124" s="384">
        <f>ROUND((E58-'21R2'!E58)/ABS('21R2'!E58)*100,1)</f>
        <v>9.1</v>
      </c>
      <c r="F124" s="384">
        <f>ROUND((F58-'21R2'!F58)/ABS('21R2'!F58)*100,1)</f>
        <v>22.6</v>
      </c>
      <c r="G124" s="384">
        <f>ROUND((G58-'21R2'!G58)/ABS('21R2'!G58)*100,1)</f>
        <v>57</v>
      </c>
      <c r="H124" s="384">
        <f>ROUND((H58-'21R2'!H58)/ABS('21R2'!H58)*100,1)</f>
        <v>3.5</v>
      </c>
      <c r="I124" s="384">
        <f>ROUND((I58-'21R2'!I58)/ABS('21R2'!I58)*100,1)</f>
        <v>229.6</v>
      </c>
      <c r="J124" s="384">
        <f>ROUND((J58-'21R2'!J58)/ABS('21R2'!J58)*100,1)</f>
        <v>-33.799999999999997</v>
      </c>
      <c r="K124" s="384">
        <f>ROUND((K58-'21R2'!K58)/ABS('21R2'!K58)*100,1)</f>
        <v>4.0999999999999996</v>
      </c>
      <c r="L124" s="384">
        <f>ROUND((L58-'21R2'!L58)/ABS('21R2'!L58)*100,1)</f>
        <v>-34.200000000000003</v>
      </c>
      <c r="M124" s="384">
        <f>ROUND((M58-'21R2'!M58)/ABS('21R2'!M58)*100,1)</f>
        <v>13.6</v>
      </c>
      <c r="N124" s="384">
        <f>ROUND((N58-'21R2'!N58)/ABS('21R2'!N58)*100,1)</f>
        <v>20.7</v>
      </c>
      <c r="O124" s="384">
        <f>ROUND((O58-'21R2'!O58)/ABS('21R2'!O58)*100,1)</f>
        <v>4.8</v>
      </c>
      <c r="R124" s="383"/>
      <c r="S124" s="383"/>
    </row>
    <row r="125" spans="1:19">
      <c r="A125" s="293">
        <v>8</v>
      </c>
      <c r="B125" s="86" t="s">
        <v>211</v>
      </c>
      <c r="C125" s="384">
        <f>ROUND((C59-'21R2'!C59)/ABS('21R2'!C59)*100,1)</f>
        <v>2.5</v>
      </c>
      <c r="D125" s="384">
        <f>ROUND((D59-'21R2'!D59)/ABS('21R2'!D59)*100,1)</f>
        <v>9</v>
      </c>
      <c r="E125" s="384">
        <f>ROUND((E59-'21R2'!E59)/ABS('21R2'!E59)*100,1)</f>
        <v>3.8</v>
      </c>
      <c r="F125" s="384">
        <f>ROUND((F59-'21R2'!F59)/ABS('21R2'!F59)*100,1)</f>
        <v>21.3</v>
      </c>
      <c r="G125" s="384">
        <f>ROUND((G59-'21R2'!G59)/ABS('21R2'!G59)*100,1)</f>
        <v>19.7</v>
      </c>
      <c r="H125" s="384">
        <f>ROUND((H59-'21R2'!H59)/ABS('21R2'!H59)*100,1)</f>
        <v>10</v>
      </c>
      <c r="I125" s="384">
        <f>ROUND((I59-'21R2'!I59)/ABS('21R2'!I59)*100,1)</f>
        <v>240.6</v>
      </c>
      <c r="J125" s="384">
        <f>ROUND((J59-'21R2'!J59)/ABS('21R2'!J59)*100,1)</f>
        <v>65.3</v>
      </c>
      <c r="K125" s="384">
        <f>ROUND((K59-'21R2'!K59)/ABS('21R2'!K59)*100,1)</f>
        <v>13</v>
      </c>
      <c r="L125" s="384">
        <f>ROUND((L59-'21R2'!L59)/ABS('21R2'!L59)*100,1)</f>
        <v>-48.6</v>
      </c>
      <c r="M125" s="384">
        <f>ROUND((M59-'21R2'!M59)/ABS('21R2'!M59)*100,1)</f>
        <v>18</v>
      </c>
      <c r="N125" s="384">
        <f>ROUND((N59-'21R2'!N59)/ABS('21R2'!N59)*100,1)</f>
        <v>31</v>
      </c>
      <c r="O125" s="384">
        <f>ROUND((O59-'21R2'!O59)/ABS('21R2'!O59)*100,1)</f>
        <v>-750.7</v>
      </c>
      <c r="R125" s="383"/>
      <c r="S125" s="383"/>
    </row>
    <row r="126" spans="1:19">
      <c r="A126" s="293">
        <v>221</v>
      </c>
      <c r="B126" s="90" t="s">
        <v>1144</v>
      </c>
      <c r="C126" s="384">
        <f>ROUND((C60-'21R2'!C60)/ABS('21R2'!C60)*100,1)</f>
        <v>-1</v>
      </c>
      <c r="D126" s="384">
        <f>ROUND((D60-'21R2'!D60)/ABS('21R2'!D60)*100,1)</f>
        <v>8.1</v>
      </c>
      <c r="E126" s="384">
        <f>ROUND((E60-'21R2'!E60)/ABS('21R2'!E60)*100,1)</f>
        <v>8.6999999999999993</v>
      </c>
      <c r="F126" s="384">
        <f>ROUND((F60-'21R2'!F60)/ABS('21R2'!F60)*100,1)</f>
        <v>37.200000000000003</v>
      </c>
      <c r="G126" s="384">
        <f>ROUND((G60-'21R2'!G60)/ABS('21R2'!G60)*100,1)</f>
        <v>117.7</v>
      </c>
      <c r="H126" s="384">
        <f>ROUND((H60-'21R2'!H60)/ABS('21R2'!H60)*100,1)</f>
        <v>14.3</v>
      </c>
      <c r="I126" s="384">
        <f>ROUND((I60-'21R2'!I60)/ABS('21R2'!I60)*100,1)</f>
        <v>238.6</v>
      </c>
      <c r="J126" s="384">
        <f>ROUND((J60-'21R2'!J60)/ABS('21R2'!J60)*100,1)</f>
        <v>-27.4</v>
      </c>
      <c r="K126" s="384">
        <f>ROUND((K60-'21R2'!K60)/ABS('21R2'!K60)*100,1)</f>
        <v>11.4</v>
      </c>
      <c r="L126" s="384">
        <f>ROUND((L60-'21R2'!L60)/ABS('21R2'!L60)*100,1)</f>
        <v>-32</v>
      </c>
      <c r="M126" s="384">
        <f>ROUND((M60-'21R2'!M60)/ABS('21R2'!M60)*100,1)</f>
        <v>14.7</v>
      </c>
      <c r="N126" s="384">
        <f>ROUND((N60-'21R2'!N60)/ABS('21R2'!N60)*100,1)</f>
        <v>29.2</v>
      </c>
      <c r="O126" s="384">
        <f>ROUND((O60-'21R2'!O60)/ABS('21R2'!O60)*100,1)</f>
        <v>-201.7</v>
      </c>
      <c r="R126" s="383"/>
      <c r="S126" s="383"/>
    </row>
    <row r="127" spans="1:19">
      <c r="A127" s="293">
        <v>223</v>
      </c>
      <c r="B127" s="90" t="s">
        <v>223</v>
      </c>
      <c r="C127" s="384">
        <f>ROUND((C61-'21R2'!C61)/ABS('21R2'!C61)*100,1)</f>
        <v>5.4</v>
      </c>
      <c r="D127" s="384">
        <f>ROUND((D61-'21R2'!D61)/ABS('21R2'!D61)*100,1)</f>
        <v>9.6</v>
      </c>
      <c r="E127" s="384">
        <f>ROUND((E61-'21R2'!E61)/ABS('21R2'!E61)*100,1)</f>
        <v>0.2</v>
      </c>
      <c r="F127" s="384">
        <f>ROUND((F61-'21R2'!F61)/ABS('21R2'!F61)*100,1)</f>
        <v>14.4</v>
      </c>
      <c r="G127" s="384">
        <f>ROUND((G61-'21R2'!G61)/ABS('21R2'!G61)*100,1)</f>
        <v>-15.7</v>
      </c>
      <c r="H127" s="384">
        <f>ROUND((H61-'21R2'!H61)/ABS('21R2'!H61)*100,1)</f>
        <v>8</v>
      </c>
      <c r="I127" s="384">
        <f>ROUND((I61-'21R2'!I61)/ABS('21R2'!I61)*100,1)</f>
        <v>241.8</v>
      </c>
      <c r="J127" s="384">
        <f>ROUND((J61-'21R2'!J61)/ABS('21R2'!J61)*100,1)</f>
        <v>143.80000000000001</v>
      </c>
      <c r="K127" s="384">
        <f>ROUND((K61-'21R2'!K61)/ABS('21R2'!K61)*100,1)</f>
        <v>14</v>
      </c>
      <c r="L127" s="384">
        <f>ROUND((L61-'21R2'!L61)/ABS('21R2'!L61)*100,1)</f>
        <v>-101.6</v>
      </c>
      <c r="M127" s="384">
        <f>ROUND((M61-'21R2'!M61)/ABS('21R2'!M61)*100,1)</f>
        <v>20.8</v>
      </c>
      <c r="N127" s="384">
        <f>ROUND((N61-'21R2'!N61)/ABS('21R2'!N61)*100,1)</f>
        <v>32.1</v>
      </c>
      <c r="O127" s="384">
        <f>ROUND((O61-'21R2'!O61)/ABS('21R2'!O61)*100,1)</f>
        <v>-51</v>
      </c>
      <c r="R127" s="383"/>
      <c r="S127" s="383"/>
    </row>
    <row r="128" spans="1:19">
      <c r="A128" s="293">
        <v>9</v>
      </c>
      <c r="B128" s="94" t="s">
        <v>212</v>
      </c>
      <c r="C128" s="384">
        <f>ROUND((C62-'21R2'!C62)/ABS('21R2'!C62)*100,1)</f>
        <v>7.7</v>
      </c>
      <c r="D128" s="384">
        <f>ROUND((D62-'21R2'!D62)/ABS('21R2'!D62)*100,1)</f>
        <v>8.1999999999999993</v>
      </c>
      <c r="E128" s="384">
        <f>ROUND((E62-'21R2'!E62)/ABS('21R2'!E62)*100,1)</f>
        <v>2.9</v>
      </c>
      <c r="F128" s="384">
        <f>ROUND((F62-'21R2'!F62)/ABS('21R2'!F62)*100,1)</f>
        <v>41.7</v>
      </c>
      <c r="G128" s="384">
        <f>ROUND((G62-'21R2'!G62)/ABS('21R2'!G62)*100,1)</f>
        <v>52.1</v>
      </c>
      <c r="H128" s="384">
        <f>ROUND((H62-'21R2'!H62)/ABS('21R2'!H62)*100,1)</f>
        <v>21.3</v>
      </c>
      <c r="I128" s="384">
        <f>ROUND((I62-'21R2'!I62)/ABS('21R2'!I62)*100,1)</f>
        <v>244.7</v>
      </c>
      <c r="J128" s="384">
        <f>ROUND((J62-'21R2'!J62)/ABS('21R2'!J62)*100,1)</f>
        <v>85.4</v>
      </c>
      <c r="K128" s="384">
        <f>ROUND((K62-'21R2'!K62)/ABS('21R2'!K62)*100,1)</f>
        <v>16.3</v>
      </c>
      <c r="L128" s="384">
        <f>ROUND((L62-'21R2'!L62)/ABS('21R2'!L62)*100,1)</f>
        <v>-635.20000000000005</v>
      </c>
      <c r="M128" s="384">
        <f>ROUND((M62-'21R2'!M62)/ABS('21R2'!M62)*100,1)</f>
        <v>22.7</v>
      </c>
      <c r="N128" s="384">
        <f>ROUND((N62-'21R2'!N62)/ABS('21R2'!N62)*100,1)</f>
        <v>34.799999999999997</v>
      </c>
      <c r="O128" s="384">
        <f>ROUND((O62-'21R2'!O62)/ABS('21R2'!O62)*100,1)</f>
        <v>-13.5</v>
      </c>
      <c r="R128" s="383"/>
      <c r="S128" s="383"/>
    </row>
    <row r="129" spans="1:19">
      <c r="A129" s="293">
        <v>205</v>
      </c>
      <c r="B129" s="92" t="s">
        <v>241</v>
      </c>
      <c r="C129" s="384">
        <f>ROUND((C63-'21R2'!C63)/ABS('21R2'!C63)*100,1)</f>
        <v>12.8</v>
      </c>
      <c r="D129" s="384">
        <f>ROUND((D63-'21R2'!D63)/ABS('21R2'!D63)*100,1)</f>
        <v>8.1</v>
      </c>
      <c r="E129" s="384">
        <f>ROUND((E63-'21R2'!E63)/ABS('21R2'!E63)*100,1)</f>
        <v>-8.3000000000000007</v>
      </c>
      <c r="F129" s="384">
        <f>ROUND((F63-'21R2'!F63)/ABS('21R2'!F63)*100,1)</f>
        <v>43.2</v>
      </c>
      <c r="G129" s="384">
        <f>ROUND((G63-'21R2'!G63)/ABS('21R2'!G63)*100,1)</f>
        <v>110.5</v>
      </c>
      <c r="H129" s="384">
        <f>ROUND((H63-'21R2'!H63)/ABS('21R2'!H63)*100,1)</f>
        <v>17.899999999999999</v>
      </c>
      <c r="I129" s="384">
        <f>ROUND((I63-'21R2'!I63)/ABS('21R2'!I63)*100,1)</f>
        <v>238.3</v>
      </c>
      <c r="J129" s="384">
        <f>ROUND((J63-'21R2'!J63)/ABS('21R2'!J63)*100,1)</f>
        <v>42.2</v>
      </c>
      <c r="K129" s="384">
        <f>ROUND((K63-'21R2'!K63)/ABS('21R2'!K63)*100,1)</f>
        <v>11.2</v>
      </c>
      <c r="L129" s="384">
        <f>ROUND((L63-'21R2'!L63)/ABS('21R2'!L63)*100,1)</f>
        <v>198.7</v>
      </c>
      <c r="M129" s="384">
        <f>ROUND((M63-'21R2'!M63)/ABS('21R2'!M63)*100,1)</f>
        <v>26.4</v>
      </c>
      <c r="N129" s="384">
        <f>ROUND((N63-'21R2'!N63)/ABS('21R2'!N63)*100,1)</f>
        <v>28.9</v>
      </c>
      <c r="O129" s="384">
        <f>ROUND((O63-'21R2'!O63)/ABS('21R2'!O63)*100,1)</f>
        <v>18.7</v>
      </c>
      <c r="R129" s="383"/>
      <c r="S129" s="383"/>
    </row>
    <row r="130" spans="1:19">
      <c r="A130" s="293">
        <v>224</v>
      </c>
      <c r="B130" s="90" t="s">
        <v>224</v>
      </c>
      <c r="C130" s="384">
        <f>ROUND((C64-'21R2'!C64)/ABS('21R2'!C64)*100,1)</f>
        <v>1.8</v>
      </c>
      <c r="D130" s="384">
        <f>ROUND((D64-'21R2'!D64)/ABS('21R2'!D64)*100,1)</f>
        <v>8.1</v>
      </c>
      <c r="E130" s="384">
        <f>ROUND((E64-'21R2'!E64)/ABS('21R2'!E64)*100,1)</f>
        <v>8.1</v>
      </c>
      <c r="F130" s="384">
        <f>ROUND((F64-'21R2'!F64)/ABS('21R2'!F64)*100,1)</f>
        <v>51.7</v>
      </c>
      <c r="G130" s="384">
        <f>ROUND((G64-'21R2'!G64)/ABS('21R2'!G64)*100,1)</f>
        <v>25</v>
      </c>
      <c r="H130" s="384">
        <f>ROUND((H64-'21R2'!H64)/ABS('21R2'!H64)*100,1)</f>
        <v>34.1</v>
      </c>
      <c r="I130" s="384">
        <f>ROUND((I64-'21R2'!I64)/ABS('21R2'!I64)*100,1)</f>
        <v>253.3</v>
      </c>
      <c r="J130" s="384">
        <f>ROUND((J64-'21R2'!J64)/ABS('21R2'!J64)*100,1)</f>
        <v>182.1</v>
      </c>
      <c r="K130" s="384">
        <f>ROUND((K64-'21R2'!K64)/ABS('21R2'!K64)*100,1)</f>
        <v>23.2</v>
      </c>
      <c r="L130" s="384">
        <f>ROUND((L64-'21R2'!L64)/ABS('21R2'!L64)*100,1)</f>
        <v>-231.9</v>
      </c>
      <c r="M130" s="384">
        <f>ROUND((M64-'21R2'!M64)/ABS('21R2'!M64)*100,1)</f>
        <v>17.399999999999999</v>
      </c>
      <c r="N130" s="384">
        <f>ROUND((N64-'21R2'!N64)/ABS('21R2'!N64)*100,1)</f>
        <v>42.8</v>
      </c>
      <c r="O130" s="384">
        <f>ROUND((O64-'21R2'!O64)/ABS('21R2'!O64)*100,1)</f>
        <v>-72.599999999999994</v>
      </c>
      <c r="R130" s="383"/>
      <c r="S130" s="383"/>
    </row>
    <row r="131" spans="1:19">
      <c r="A131" s="396">
        <v>226</v>
      </c>
      <c r="B131" s="201" t="s">
        <v>225</v>
      </c>
      <c r="C131" s="384">
        <f>ROUND((C65-'21R2'!C65)/ABS('21R2'!C65)*100,1)</f>
        <v>8.5</v>
      </c>
      <c r="D131" s="384">
        <f>ROUND((D65-'21R2'!D65)/ABS('21R2'!D65)*100,1)</f>
        <v>8.4</v>
      </c>
      <c r="E131" s="384">
        <f>ROUND((E65-'21R2'!E65)/ABS('21R2'!E65)*100,1)</f>
        <v>10.3</v>
      </c>
      <c r="F131" s="384">
        <f>ROUND((F65-'21R2'!F65)/ABS('21R2'!F65)*100,1)</f>
        <v>32.200000000000003</v>
      </c>
      <c r="G131" s="384">
        <f>ROUND((G65-'21R2'!G65)/ABS('21R2'!G65)*100,1)</f>
        <v>35.5</v>
      </c>
      <c r="H131" s="384">
        <f>ROUND((H65-'21R2'!H65)/ABS('21R2'!H65)*100,1)</f>
        <v>14.3</v>
      </c>
      <c r="I131" s="384">
        <f>ROUND((I65-'21R2'!I65)/ABS('21R2'!I65)*100,1)</f>
        <v>243</v>
      </c>
      <c r="J131" s="384">
        <f>ROUND((J65-'21R2'!J65)/ABS('21R2'!J65)*100,1)</f>
        <v>47.1</v>
      </c>
      <c r="K131" s="384">
        <f>ROUND((K65-'21R2'!K65)/ABS('21R2'!K65)*100,1)</f>
        <v>15</v>
      </c>
      <c r="L131" s="384">
        <f>ROUND((L65-'21R2'!L65)/ABS('21R2'!L65)*100,1)</f>
        <v>-178.1</v>
      </c>
      <c r="M131" s="384">
        <f>ROUND((M65-'21R2'!M65)/ABS('21R2'!M65)*100,1)</f>
        <v>24.4</v>
      </c>
      <c r="N131" s="384">
        <f>ROUND((N65-'21R2'!N65)/ABS('21R2'!N65)*100,1)</f>
        <v>33.299999999999997</v>
      </c>
      <c r="O131" s="384">
        <f>ROUND((O65-'21R2'!O65)/ABS('21R2'!O65)*100,1)</f>
        <v>-10.7</v>
      </c>
      <c r="R131" s="383"/>
      <c r="S131" s="383"/>
    </row>
  </sheetData>
  <mergeCells count="1">
    <mergeCell ref="L2:M2"/>
  </mergeCells>
  <phoneticPr fontId="13"/>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A1881-B735-424B-B939-52833AA6E9E0}">
  <sheetPr codeName="Sheet27">
    <tabColor theme="9" tint="0.59999389629810485"/>
  </sheetPr>
  <dimension ref="A1:U131"/>
  <sheetViews>
    <sheetView workbookViewId="0">
      <pane xSplit="2" ySplit="3" topLeftCell="C4" activePane="bottomRight" state="frozen"/>
      <selection pane="topRight" activeCell="C1" sqref="C1"/>
      <selection pane="bottomLeft" activeCell="A4" sqref="A4"/>
      <selection pane="bottomRight" activeCell="F1" sqref="F1:G1"/>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1544</v>
      </c>
      <c r="C1" s="682"/>
      <c r="D1" s="682"/>
      <c r="E1" s="239"/>
      <c r="F1" s="1878" t="s">
        <v>1808</v>
      </c>
      <c r="G1" s="682"/>
      <c r="H1" s="239"/>
      <c r="I1" s="239"/>
      <c r="J1" s="239"/>
      <c r="K1" s="239"/>
      <c r="L1" s="239" t="s">
        <v>11</v>
      </c>
      <c r="M1" s="239">
        <f>M4-名目県内総支出!Y45</f>
        <v>20675003</v>
      </c>
      <c r="N1" s="239" t="s">
        <v>818</v>
      </c>
      <c r="O1" s="446">
        <f>名目県内総支出!Y43</f>
        <v>-726292</v>
      </c>
    </row>
    <row r="2" spans="1:21" ht="26.25" customHeight="1">
      <c r="A2" s="294"/>
      <c r="B2" s="296" t="s">
        <v>930</v>
      </c>
      <c r="C2" s="312" t="s">
        <v>817</v>
      </c>
      <c r="D2" s="275" t="s">
        <v>68</v>
      </c>
      <c r="E2" s="291" t="s">
        <v>1289</v>
      </c>
      <c r="F2" s="297" t="s">
        <v>69</v>
      </c>
      <c r="G2" s="291"/>
      <c r="H2" s="291"/>
      <c r="I2" s="291"/>
      <c r="J2" s="275" t="s">
        <v>70</v>
      </c>
      <c r="K2" s="282" t="s">
        <v>671</v>
      </c>
      <c r="L2" s="2306" t="s">
        <v>71</v>
      </c>
      <c r="M2" s="2312"/>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291" t="s">
        <v>74</v>
      </c>
      <c r="J3" s="353"/>
      <c r="K3" s="1354" t="s">
        <v>75</v>
      </c>
      <c r="L3" s="406" t="s">
        <v>76</v>
      </c>
      <c r="M3" s="284" t="s">
        <v>77</v>
      </c>
      <c r="N3" s="282" t="s">
        <v>78</v>
      </c>
      <c r="O3" s="1098" t="s">
        <v>81</v>
      </c>
      <c r="P3" s="92"/>
      <c r="Q3" s="684" t="s">
        <v>1227</v>
      </c>
      <c r="R3" s="49" t="s">
        <v>287</v>
      </c>
      <c r="T3" s="344" t="s">
        <v>956</v>
      </c>
      <c r="U3" s="345" t="s">
        <v>958</v>
      </c>
    </row>
    <row r="4" spans="1:21">
      <c r="A4" s="303"/>
      <c r="B4" s="203" t="s">
        <v>166</v>
      </c>
      <c r="C4" s="412">
        <v>23989541</v>
      </c>
      <c r="D4" s="547">
        <v>14024566</v>
      </c>
      <c r="E4" s="544">
        <v>2996589</v>
      </c>
      <c r="F4" s="438">
        <v>5416280</v>
      </c>
      <c r="G4" s="544">
        <v>777461</v>
      </c>
      <c r="H4" s="547">
        <v>4641804</v>
      </c>
      <c r="I4" s="544">
        <v>-2985</v>
      </c>
      <c r="J4" s="547">
        <v>884533</v>
      </c>
      <c r="K4" s="407">
        <v>23321968</v>
      </c>
      <c r="L4" s="412">
        <v>667573</v>
      </c>
      <c r="M4" s="1401">
        <v>22117281</v>
      </c>
      <c r="N4" s="544">
        <v>20723416</v>
      </c>
      <c r="O4" s="438">
        <v>-726292</v>
      </c>
      <c r="P4" s="77"/>
      <c r="Q4" s="314">
        <f>(C4-'22R3'!C4)/'22R3'!C4*100</f>
        <v>6.1630065690889451</v>
      </c>
      <c r="R4" s="394">
        <f>D4+E4+F4+J4+L4</f>
        <v>23989541</v>
      </c>
      <c r="S4" s="394">
        <f>R4-C4</f>
        <v>0</v>
      </c>
      <c r="T4" s="49">
        <f>民間設備製造1!S6</f>
        <v>1379939</v>
      </c>
      <c r="U4" s="49">
        <v>23229962.042749591</v>
      </c>
    </row>
    <row r="5" spans="1:21">
      <c r="A5" s="298">
        <v>100</v>
      </c>
      <c r="B5" s="75" t="s">
        <v>172</v>
      </c>
      <c r="C5" s="413">
        <v>7529880</v>
      </c>
      <c r="D5" s="439">
        <v>4454481</v>
      </c>
      <c r="E5" s="408">
        <v>1009028</v>
      </c>
      <c r="F5" s="439">
        <v>1236045</v>
      </c>
      <c r="G5" s="408">
        <v>211657</v>
      </c>
      <c r="H5" s="439">
        <v>1025292</v>
      </c>
      <c r="I5" s="408">
        <v>-904</v>
      </c>
      <c r="J5" s="439">
        <v>350318</v>
      </c>
      <c r="K5" s="408">
        <v>7049872</v>
      </c>
      <c r="L5" s="413">
        <v>480008</v>
      </c>
      <c r="M5" s="439">
        <v>6973817</v>
      </c>
      <c r="N5" s="408">
        <v>6264372</v>
      </c>
      <c r="O5" s="439">
        <v>-229437</v>
      </c>
      <c r="P5" s="77">
        <v>100</v>
      </c>
      <c r="Q5" s="314">
        <f>(C5-'22R3'!C5)/'22R3'!C5*100</f>
        <v>8.3749400905873497</v>
      </c>
      <c r="R5" s="394">
        <f t="shared" ref="R5:R65" si="0">D5+E5+F5+J5+L5</f>
        <v>7529880</v>
      </c>
      <c r="S5" s="394">
        <f t="shared" ref="S5:S65" si="1">R5-C5</f>
        <v>0</v>
      </c>
      <c r="T5" s="49">
        <f>民間設備製造1!S7</f>
        <v>202112</v>
      </c>
      <c r="U5" s="49">
        <v>6857274.042749593</v>
      </c>
    </row>
    <row r="6" spans="1:21">
      <c r="A6" s="298">
        <v>1</v>
      </c>
      <c r="B6" s="75" t="s">
        <v>323</v>
      </c>
      <c r="C6" s="413">
        <v>3908745</v>
      </c>
      <c r="D6" s="439">
        <v>2855253</v>
      </c>
      <c r="E6" s="408">
        <v>492474</v>
      </c>
      <c r="F6" s="439">
        <v>793543</v>
      </c>
      <c r="G6" s="408">
        <v>181521</v>
      </c>
      <c r="H6" s="439">
        <v>612564</v>
      </c>
      <c r="I6" s="408">
        <v>-542</v>
      </c>
      <c r="J6" s="439">
        <v>96450</v>
      </c>
      <c r="K6" s="408">
        <v>4237720</v>
      </c>
      <c r="L6" s="413">
        <v>-328975</v>
      </c>
      <c r="M6" s="439">
        <v>3605638</v>
      </c>
      <c r="N6" s="408">
        <v>3765550</v>
      </c>
      <c r="O6" s="439">
        <v>-169063</v>
      </c>
      <c r="P6" s="77">
        <v>1</v>
      </c>
      <c r="Q6" s="314">
        <f>(C6-'22R3'!C6)/'22R3'!C6*100</f>
        <v>5.7510518979615695</v>
      </c>
      <c r="R6" s="394">
        <f t="shared" si="0"/>
        <v>3908745</v>
      </c>
      <c r="S6" s="394">
        <f t="shared" si="1"/>
        <v>0</v>
      </c>
      <c r="T6" s="49">
        <f>民間設備製造1!S8</f>
        <v>103127</v>
      </c>
      <c r="U6" s="49">
        <v>4143678</v>
      </c>
    </row>
    <row r="7" spans="1:21">
      <c r="A7" s="298">
        <v>2</v>
      </c>
      <c r="B7" s="75" t="s">
        <v>324</v>
      </c>
      <c r="C7" s="413">
        <v>2397898</v>
      </c>
      <c r="D7" s="439">
        <v>1671230</v>
      </c>
      <c r="E7" s="408">
        <v>328471</v>
      </c>
      <c r="F7" s="439">
        <v>489212</v>
      </c>
      <c r="G7" s="408">
        <v>89160</v>
      </c>
      <c r="H7" s="439">
        <v>400381</v>
      </c>
      <c r="I7" s="408">
        <v>-329</v>
      </c>
      <c r="J7" s="439">
        <v>78569</v>
      </c>
      <c r="K7" s="408">
        <v>2567482</v>
      </c>
      <c r="L7" s="413">
        <v>-169584</v>
      </c>
      <c r="M7" s="439">
        <v>2224114</v>
      </c>
      <c r="N7" s="408">
        <v>2281410</v>
      </c>
      <c r="O7" s="439">
        <v>-112288</v>
      </c>
      <c r="P7" s="77">
        <v>2</v>
      </c>
      <c r="Q7" s="314">
        <f>(C7-'22R3'!C7)/'22R3'!C7*100</f>
        <v>8.6969903977218905</v>
      </c>
      <c r="R7" s="394">
        <f t="shared" si="0"/>
        <v>2397898</v>
      </c>
      <c r="S7" s="394">
        <f t="shared" si="1"/>
        <v>0</v>
      </c>
      <c r="T7" s="49">
        <f>民間設備製造1!S9</f>
        <v>117843</v>
      </c>
      <c r="U7" s="49">
        <v>2737243</v>
      </c>
    </row>
    <row r="8" spans="1:21">
      <c r="A8" s="298">
        <v>3</v>
      </c>
      <c r="B8" s="75" t="s">
        <v>192</v>
      </c>
      <c r="C8" s="413">
        <v>3149681</v>
      </c>
      <c r="D8" s="439">
        <v>1720068</v>
      </c>
      <c r="E8" s="408">
        <v>311956</v>
      </c>
      <c r="F8" s="439">
        <v>1293628</v>
      </c>
      <c r="G8" s="408">
        <v>103022</v>
      </c>
      <c r="H8" s="439">
        <v>1191043</v>
      </c>
      <c r="I8" s="408">
        <v>-437</v>
      </c>
      <c r="J8" s="439">
        <v>88843</v>
      </c>
      <c r="K8" s="408">
        <v>3414495</v>
      </c>
      <c r="L8" s="413">
        <v>-264814</v>
      </c>
      <c r="M8" s="439">
        <v>2866251</v>
      </c>
      <c r="N8" s="408">
        <v>3034050</v>
      </c>
      <c r="O8" s="439">
        <v>-97015</v>
      </c>
      <c r="P8" s="77">
        <v>3</v>
      </c>
      <c r="Q8" s="314">
        <f>(C8-'22R3'!C8)/'22R3'!C8*100</f>
        <v>6.4012042458042426</v>
      </c>
      <c r="R8" s="394">
        <f t="shared" si="0"/>
        <v>3149681</v>
      </c>
      <c r="S8" s="394">
        <f t="shared" si="1"/>
        <v>0</v>
      </c>
      <c r="T8" s="49">
        <f>民間設備製造1!S10</f>
        <v>392618</v>
      </c>
      <c r="U8" s="49">
        <v>3142881</v>
      </c>
    </row>
    <row r="9" spans="1:21">
      <c r="A9" s="298">
        <v>4</v>
      </c>
      <c r="B9" s="75" t="s">
        <v>325</v>
      </c>
      <c r="C9" s="413">
        <v>1356148</v>
      </c>
      <c r="D9" s="439">
        <v>553099</v>
      </c>
      <c r="E9" s="408">
        <v>146835</v>
      </c>
      <c r="F9" s="439">
        <v>230591</v>
      </c>
      <c r="G9" s="408">
        <v>28563</v>
      </c>
      <c r="H9" s="439">
        <v>202153</v>
      </c>
      <c r="I9" s="408">
        <v>-125</v>
      </c>
      <c r="J9" s="439">
        <v>47190</v>
      </c>
      <c r="K9" s="408">
        <v>977715</v>
      </c>
      <c r="L9" s="413">
        <v>378433</v>
      </c>
      <c r="M9" s="439">
        <v>1239891</v>
      </c>
      <c r="N9" s="408">
        <v>868777</v>
      </c>
      <c r="O9" s="439">
        <v>7319</v>
      </c>
      <c r="P9" s="77">
        <v>4</v>
      </c>
      <c r="Q9" s="314">
        <f>(C9-'22R3'!C9)/'22R3'!C9*100</f>
        <v>2.7437777097608058</v>
      </c>
      <c r="R9" s="394">
        <f t="shared" si="0"/>
        <v>1356148</v>
      </c>
      <c r="S9" s="394">
        <f t="shared" si="1"/>
        <v>0</v>
      </c>
      <c r="T9" s="49">
        <f>民間設備製造1!S11</f>
        <v>105029</v>
      </c>
      <c r="U9" s="49">
        <v>1136262</v>
      </c>
    </row>
    <row r="10" spans="1:21">
      <c r="A10" s="298">
        <v>5</v>
      </c>
      <c r="B10" s="75" t="s">
        <v>326</v>
      </c>
      <c r="C10" s="413">
        <v>2930515</v>
      </c>
      <c r="D10" s="439">
        <v>1428956</v>
      </c>
      <c r="E10" s="408">
        <v>272757</v>
      </c>
      <c r="F10" s="439">
        <v>846323</v>
      </c>
      <c r="G10" s="408">
        <v>105978</v>
      </c>
      <c r="H10" s="439">
        <v>740683</v>
      </c>
      <c r="I10" s="408">
        <v>-338</v>
      </c>
      <c r="J10" s="439">
        <v>96011</v>
      </c>
      <c r="K10" s="408">
        <v>2644047</v>
      </c>
      <c r="L10" s="413">
        <v>286468</v>
      </c>
      <c r="M10" s="439">
        <v>2658731</v>
      </c>
      <c r="N10" s="408">
        <v>2349445</v>
      </c>
      <c r="O10" s="439">
        <v>-22818</v>
      </c>
      <c r="P10" s="77">
        <v>5</v>
      </c>
      <c r="Q10" s="314">
        <f>(C10-'22R3'!C10)/'22R3'!C10*100</f>
        <v>3.8214089596655629</v>
      </c>
      <c r="R10" s="394">
        <f t="shared" si="0"/>
        <v>2930515</v>
      </c>
      <c r="S10" s="394">
        <f t="shared" si="1"/>
        <v>0</v>
      </c>
      <c r="T10" s="49">
        <f>民間設備製造1!S12</f>
        <v>297837</v>
      </c>
      <c r="U10" s="49">
        <v>2446343</v>
      </c>
    </row>
    <row r="11" spans="1:21">
      <c r="A11" s="298">
        <v>6</v>
      </c>
      <c r="B11" s="75" t="s">
        <v>327</v>
      </c>
      <c r="C11" s="413">
        <v>1129678</v>
      </c>
      <c r="D11" s="439">
        <v>508778</v>
      </c>
      <c r="E11" s="408">
        <v>134294</v>
      </c>
      <c r="F11" s="439">
        <v>247192</v>
      </c>
      <c r="G11" s="408">
        <v>21456</v>
      </c>
      <c r="H11" s="439">
        <v>225854</v>
      </c>
      <c r="I11" s="408">
        <v>-118</v>
      </c>
      <c r="J11" s="439">
        <v>36862</v>
      </c>
      <c r="K11" s="408">
        <v>927126</v>
      </c>
      <c r="L11" s="413">
        <v>202552</v>
      </c>
      <c r="M11" s="439">
        <v>1038367</v>
      </c>
      <c r="N11" s="408">
        <v>823825</v>
      </c>
      <c r="O11" s="439">
        <v>-11990</v>
      </c>
      <c r="P11" s="77">
        <v>6</v>
      </c>
      <c r="Q11" s="314">
        <f>(C11-'22R3'!C11)/'22R3'!C11*100</f>
        <v>0.21574705077684908</v>
      </c>
      <c r="R11" s="394">
        <f>D11+E11+F11+J11+L11</f>
        <v>1129678</v>
      </c>
      <c r="S11" s="394">
        <f t="shared" si="1"/>
        <v>0</v>
      </c>
      <c r="T11" s="49">
        <f>民間設備製造1!S13</f>
        <v>90149</v>
      </c>
      <c r="U11" s="49">
        <v>1035020</v>
      </c>
    </row>
    <row r="12" spans="1:21">
      <c r="A12" s="298">
        <v>7</v>
      </c>
      <c r="B12" s="75" t="s">
        <v>210</v>
      </c>
      <c r="C12" s="413">
        <v>604135</v>
      </c>
      <c r="D12" s="439">
        <v>346358</v>
      </c>
      <c r="E12" s="408">
        <v>126039</v>
      </c>
      <c r="F12" s="439">
        <v>105670</v>
      </c>
      <c r="G12" s="408">
        <v>10985</v>
      </c>
      <c r="H12" s="439">
        <v>94763</v>
      </c>
      <c r="I12" s="408">
        <v>-78</v>
      </c>
      <c r="J12" s="439">
        <v>37414</v>
      </c>
      <c r="K12" s="408">
        <v>615481</v>
      </c>
      <c r="L12" s="413">
        <v>-11346</v>
      </c>
      <c r="M12" s="439">
        <v>580332</v>
      </c>
      <c r="N12" s="408">
        <v>546903</v>
      </c>
      <c r="O12" s="439">
        <v>-44775</v>
      </c>
      <c r="P12" s="77">
        <v>7</v>
      </c>
      <c r="Q12" s="314">
        <f>(C12-'22R3'!C12)/'22R3'!C12*100</f>
        <v>-5.7404521557300303E-2</v>
      </c>
      <c r="R12" s="394">
        <f t="shared" si="0"/>
        <v>604135</v>
      </c>
      <c r="S12" s="394">
        <f t="shared" si="1"/>
        <v>0</v>
      </c>
      <c r="T12" s="49">
        <f>民間設備製造1!S14</f>
        <v>34544</v>
      </c>
      <c r="U12" s="49">
        <v>726350</v>
      </c>
    </row>
    <row r="13" spans="1:21">
      <c r="A13" s="298">
        <v>8</v>
      </c>
      <c r="B13" s="75" t="s">
        <v>211</v>
      </c>
      <c r="C13" s="413">
        <v>481731</v>
      </c>
      <c r="D13" s="439">
        <v>223660</v>
      </c>
      <c r="E13" s="408">
        <v>73245</v>
      </c>
      <c r="F13" s="439">
        <v>79916</v>
      </c>
      <c r="G13" s="408">
        <v>9033</v>
      </c>
      <c r="H13" s="439">
        <v>70933</v>
      </c>
      <c r="I13" s="408">
        <v>-50</v>
      </c>
      <c r="J13" s="439">
        <v>11924</v>
      </c>
      <c r="K13" s="408">
        <v>388745</v>
      </c>
      <c r="L13" s="413">
        <v>92986</v>
      </c>
      <c r="M13" s="439">
        <v>450168</v>
      </c>
      <c r="N13" s="408">
        <v>345430</v>
      </c>
      <c r="O13" s="439">
        <v>-11752</v>
      </c>
      <c r="P13" s="77">
        <v>8</v>
      </c>
      <c r="Q13" s="314">
        <f>(C13-'22R3'!C13)/'22R3'!C13*100</f>
        <v>4.7118381755185261</v>
      </c>
      <c r="R13" s="394">
        <f t="shared" si="0"/>
        <v>481731</v>
      </c>
      <c r="S13" s="394">
        <f t="shared" si="1"/>
        <v>0</v>
      </c>
      <c r="T13" s="49">
        <f>民間設備製造1!S15</f>
        <v>21533</v>
      </c>
      <c r="U13" s="49">
        <v>445072</v>
      </c>
    </row>
    <row r="14" spans="1:21">
      <c r="A14" s="298">
        <v>9</v>
      </c>
      <c r="B14" s="75" t="s">
        <v>212</v>
      </c>
      <c r="C14" s="413">
        <v>501130</v>
      </c>
      <c r="D14" s="439">
        <v>262683</v>
      </c>
      <c r="E14" s="408">
        <v>101490</v>
      </c>
      <c r="F14" s="439">
        <v>94160</v>
      </c>
      <c r="G14" s="408">
        <v>16086</v>
      </c>
      <c r="H14" s="439">
        <v>78138</v>
      </c>
      <c r="I14" s="408">
        <v>-64</v>
      </c>
      <c r="J14" s="439">
        <v>40952</v>
      </c>
      <c r="K14" s="408">
        <v>499285</v>
      </c>
      <c r="L14" s="413">
        <v>1845</v>
      </c>
      <c r="M14" s="439">
        <v>479972</v>
      </c>
      <c r="N14" s="408">
        <v>443654</v>
      </c>
      <c r="O14" s="439">
        <v>-34473</v>
      </c>
      <c r="P14" s="77">
        <v>9</v>
      </c>
      <c r="Q14" s="314">
        <f>(C14-'22R3'!C14)/'22R3'!C14*100</f>
        <v>10.837345813492108</v>
      </c>
      <c r="R14" s="394">
        <f t="shared" si="0"/>
        <v>501130</v>
      </c>
      <c r="S14" s="394">
        <f t="shared" si="1"/>
        <v>0</v>
      </c>
      <c r="T14" s="49">
        <f>民間設備製造1!S16</f>
        <v>15147</v>
      </c>
      <c r="U14" s="49">
        <v>559839</v>
      </c>
    </row>
    <row r="15" spans="1:21">
      <c r="A15" s="298"/>
      <c r="B15" s="87"/>
      <c r="C15" s="413"/>
      <c r="D15" s="439"/>
      <c r="E15" s="408"/>
      <c r="F15" s="1355"/>
      <c r="G15" s="408"/>
      <c r="H15" s="439"/>
      <c r="I15" s="408"/>
      <c r="J15" s="439"/>
      <c r="K15" s="408"/>
      <c r="L15" s="308"/>
      <c r="M15" s="1094"/>
      <c r="N15" s="281"/>
      <c r="O15" s="1094"/>
      <c r="P15" s="77" t="s">
        <v>11</v>
      </c>
      <c r="Q15" s="314" t="s">
        <v>11</v>
      </c>
      <c r="R15" s="394" t="s">
        <v>11</v>
      </c>
      <c r="S15" s="394" t="s">
        <v>11</v>
      </c>
      <c r="T15" s="49" t="s">
        <v>11</v>
      </c>
      <c r="U15" s="49" t="s">
        <v>106</v>
      </c>
    </row>
    <row r="16" spans="1:21">
      <c r="A16" s="299">
        <v>100</v>
      </c>
      <c r="B16" s="305" t="s">
        <v>172</v>
      </c>
      <c r="C16" s="1356">
        <v>7529880</v>
      </c>
      <c r="D16" s="1357">
        <v>4454481</v>
      </c>
      <c r="E16" s="1357">
        <v>1009028</v>
      </c>
      <c r="F16" s="1358">
        <v>1236045</v>
      </c>
      <c r="G16" s="1357">
        <v>211657</v>
      </c>
      <c r="H16" s="1357">
        <v>1025292</v>
      </c>
      <c r="I16" s="1357">
        <v>-904</v>
      </c>
      <c r="J16" s="1357">
        <v>350318</v>
      </c>
      <c r="K16" s="1359">
        <v>7049872</v>
      </c>
      <c r="L16" s="1102">
        <v>480008</v>
      </c>
      <c r="M16" s="1095">
        <v>6973817</v>
      </c>
      <c r="N16" s="545">
        <v>6264372</v>
      </c>
      <c r="O16" s="1095">
        <v>-229437</v>
      </c>
      <c r="P16" s="293">
        <v>100</v>
      </c>
      <c r="Q16" s="314">
        <f>(C16-'22R3'!C16)/'22R3'!C16*100</f>
        <v>8.3749400905873497</v>
      </c>
      <c r="R16" s="394">
        <f t="shared" si="0"/>
        <v>7529880</v>
      </c>
      <c r="S16" s="394">
        <f t="shared" si="1"/>
        <v>0</v>
      </c>
      <c r="T16" s="49">
        <f>民間設備製造1!S18</f>
        <v>202112</v>
      </c>
      <c r="U16" s="49">
        <v>6857274.042749593</v>
      </c>
    </row>
    <row r="17" spans="1:21">
      <c r="A17" s="300">
        <v>1</v>
      </c>
      <c r="B17" s="65" t="s">
        <v>182</v>
      </c>
      <c r="C17" s="413">
        <v>3908745</v>
      </c>
      <c r="D17" s="538">
        <v>2855253</v>
      </c>
      <c r="E17" s="538">
        <v>492474</v>
      </c>
      <c r="F17" s="408">
        <v>793543</v>
      </c>
      <c r="G17" s="538">
        <v>181521</v>
      </c>
      <c r="H17" s="538">
        <v>612564</v>
      </c>
      <c r="I17" s="538">
        <v>-542</v>
      </c>
      <c r="J17" s="538">
        <v>96450</v>
      </c>
      <c r="K17" s="408">
        <v>4237720</v>
      </c>
      <c r="L17" s="412">
        <v>-328975</v>
      </c>
      <c r="M17" s="1095">
        <v>3605638</v>
      </c>
      <c r="N17" s="545">
        <v>3765550</v>
      </c>
      <c r="O17" s="1095">
        <v>-169063</v>
      </c>
      <c r="P17" s="293">
        <v>1</v>
      </c>
      <c r="Q17" s="314">
        <f>(C17-'22R3'!C17)/'22R3'!C17*100</f>
        <v>5.7510518979615695</v>
      </c>
      <c r="R17" s="394">
        <f t="shared" si="0"/>
        <v>3908745</v>
      </c>
      <c r="S17" s="394">
        <f t="shared" si="1"/>
        <v>0</v>
      </c>
      <c r="T17" s="49">
        <f>民間設備製造1!S19</f>
        <v>103127</v>
      </c>
      <c r="U17" s="49">
        <v>4143678</v>
      </c>
    </row>
    <row r="18" spans="1:21">
      <c r="A18" s="300">
        <v>202</v>
      </c>
      <c r="B18" s="90" t="s">
        <v>183</v>
      </c>
      <c r="C18" s="413">
        <v>2136572</v>
      </c>
      <c r="D18" s="538">
        <v>1329499</v>
      </c>
      <c r="E18" s="538">
        <v>191128</v>
      </c>
      <c r="F18" s="572">
        <v>433669</v>
      </c>
      <c r="G18" s="538">
        <v>97325</v>
      </c>
      <c r="H18" s="538">
        <v>336599</v>
      </c>
      <c r="I18" s="538">
        <v>-255</v>
      </c>
      <c r="J18" s="538">
        <v>39544</v>
      </c>
      <c r="K18" s="408">
        <v>1993840</v>
      </c>
      <c r="L18" s="1103">
        <v>142732</v>
      </c>
      <c r="M18" s="1096">
        <v>1934852</v>
      </c>
      <c r="N18" s="539">
        <v>1771685</v>
      </c>
      <c r="O18" s="1096">
        <v>-20435</v>
      </c>
      <c r="P18" s="293">
        <v>202</v>
      </c>
      <c r="Q18" s="314">
        <f>(C18-'22R3'!C18)/'22R3'!C18*100</f>
        <v>6.2054923762286665</v>
      </c>
      <c r="R18" s="394">
        <f t="shared" si="0"/>
        <v>2136572</v>
      </c>
      <c r="S18" s="394">
        <f t="shared" si="1"/>
        <v>0</v>
      </c>
      <c r="T18" s="49">
        <f>民間設備製造1!S20</f>
        <v>88650</v>
      </c>
      <c r="U18" s="49">
        <v>1901910</v>
      </c>
    </row>
    <row r="19" spans="1:21">
      <c r="A19" s="300">
        <v>204</v>
      </c>
      <c r="B19" s="90" t="s">
        <v>184</v>
      </c>
      <c r="C19" s="413">
        <v>1519935</v>
      </c>
      <c r="D19" s="538">
        <v>1298669</v>
      </c>
      <c r="E19" s="538">
        <v>246952</v>
      </c>
      <c r="F19" s="572">
        <v>312364</v>
      </c>
      <c r="G19" s="538">
        <v>76520</v>
      </c>
      <c r="H19" s="538">
        <v>236087</v>
      </c>
      <c r="I19" s="538">
        <v>-243</v>
      </c>
      <c r="J19" s="538">
        <v>44129</v>
      </c>
      <c r="K19" s="408">
        <v>1902114</v>
      </c>
      <c r="L19" s="1103">
        <v>-382179</v>
      </c>
      <c r="M19" s="1096">
        <v>1427669</v>
      </c>
      <c r="N19" s="539">
        <v>1690179</v>
      </c>
      <c r="O19" s="1096">
        <v>-119669</v>
      </c>
      <c r="P19" s="293">
        <v>204</v>
      </c>
      <c r="Q19" s="314">
        <f>(C19-'22R3'!C19)/'22R3'!C19*100</f>
        <v>4.7336825524138701</v>
      </c>
      <c r="R19" s="394">
        <f t="shared" si="0"/>
        <v>1519935</v>
      </c>
      <c r="S19" s="394">
        <f t="shared" si="1"/>
        <v>0</v>
      </c>
      <c r="T19" s="49">
        <f>民間設備製造1!S21</f>
        <v>14438</v>
      </c>
      <c r="U19" s="49">
        <v>1833617</v>
      </c>
    </row>
    <row r="20" spans="1:21">
      <c r="A20" s="300">
        <v>206</v>
      </c>
      <c r="B20" s="90" t="s">
        <v>185</v>
      </c>
      <c r="C20" s="413">
        <v>252238</v>
      </c>
      <c r="D20" s="538">
        <v>227085</v>
      </c>
      <c r="E20" s="538">
        <v>54394</v>
      </c>
      <c r="F20" s="572">
        <v>47510</v>
      </c>
      <c r="G20" s="538">
        <v>7676</v>
      </c>
      <c r="H20" s="538">
        <v>39878</v>
      </c>
      <c r="I20" s="538">
        <v>-44</v>
      </c>
      <c r="J20" s="538">
        <v>12777</v>
      </c>
      <c r="K20" s="408">
        <v>341766</v>
      </c>
      <c r="L20" s="1104">
        <v>-89528</v>
      </c>
      <c r="M20" s="1097">
        <v>243117</v>
      </c>
      <c r="N20" s="543">
        <v>303686</v>
      </c>
      <c r="O20" s="1097">
        <v>-28959</v>
      </c>
      <c r="P20" s="293">
        <v>206</v>
      </c>
      <c r="Q20" s="314">
        <f>(C20-'22R3'!C20)/'22R3'!C20*100</f>
        <v>8.1619526251693806</v>
      </c>
      <c r="R20" s="394">
        <f t="shared" si="0"/>
        <v>252238</v>
      </c>
      <c r="S20" s="394">
        <f t="shared" si="1"/>
        <v>0</v>
      </c>
      <c r="T20" s="49">
        <f>民間設備製造1!S22</f>
        <v>39</v>
      </c>
      <c r="U20" s="49">
        <v>408151</v>
      </c>
    </row>
    <row r="21" spans="1:21">
      <c r="A21" s="301">
        <v>2</v>
      </c>
      <c r="B21" s="128" t="s">
        <v>186</v>
      </c>
      <c r="C21" s="307">
        <v>2397898</v>
      </c>
      <c r="D21" s="544">
        <v>1671230</v>
      </c>
      <c r="E21" s="544">
        <v>328471</v>
      </c>
      <c r="F21" s="292">
        <v>489212</v>
      </c>
      <c r="G21" s="544">
        <v>89160</v>
      </c>
      <c r="H21" s="544">
        <v>400381</v>
      </c>
      <c r="I21" s="544">
        <v>-329</v>
      </c>
      <c r="J21" s="544">
        <v>78569</v>
      </c>
      <c r="K21" s="292">
        <v>2567482</v>
      </c>
      <c r="L21" s="308">
        <v>-169584</v>
      </c>
      <c r="M21" s="1096">
        <v>2224114</v>
      </c>
      <c r="N21" s="539">
        <v>2281410</v>
      </c>
      <c r="O21" s="1096">
        <v>-112288</v>
      </c>
      <c r="P21" s="293">
        <v>2</v>
      </c>
      <c r="Q21" s="314">
        <f>(C21-'22R3'!C21)/'22R3'!C21*100</f>
        <v>8.6969903977218905</v>
      </c>
      <c r="R21" s="394">
        <f t="shared" si="0"/>
        <v>2397898</v>
      </c>
      <c r="S21" s="394">
        <f t="shared" si="1"/>
        <v>0</v>
      </c>
      <c r="T21" s="49">
        <f>民間設備製造1!S23</f>
        <v>117843</v>
      </c>
      <c r="U21" s="49">
        <v>2737243</v>
      </c>
    </row>
    <row r="22" spans="1:21">
      <c r="A22" s="300">
        <v>207</v>
      </c>
      <c r="B22" s="90" t="s">
        <v>187</v>
      </c>
      <c r="C22" s="413">
        <v>808108</v>
      </c>
      <c r="D22" s="538">
        <v>475082</v>
      </c>
      <c r="E22" s="538">
        <v>84943</v>
      </c>
      <c r="F22" s="572">
        <v>171751</v>
      </c>
      <c r="G22" s="538">
        <v>29566</v>
      </c>
      <c r="H22" s="538">
        <v>142281</v>
      </c>
      <c r="I22" s="538">
        <v>-96</v>
      </c>
      <c r="J22" s="538">
        <v>21413</v>
      </c>
      <c r="K22" s="408">
        <v>753189</v>
      </c>
      <c r="L22" s="1103">
        <v>54919</v>
      </c>
      <c r="M22" s="1096">
        <v>737653</v>
      </c>
      <c r="N22" s="539">
        <v>669268</v>
      </c>
      <c r="O22" s="1096">
        <v>-13466</v>
      </c>
      <c r="P22" s="293">
        <v>207</v>
      </c>
      <c r="Q22" s="314">
        <f>(C22-'22R3'!C22)/'22R3'!C22*100</f>
        <v>3.6106299530609136</v>
      </c>
      <c r="R22" s="394">
        <f t="shared" si="0"/>
        <v>808108</v>
      </c>
      <c r="S22" s="394">
        <f t="shared" si="1"/>
        <v>0</v>
      </c>
      <c r="T22" s="49">
        <f>民間設備製造1!S24</f>
        <v>65698</v>
      </c>
      <c r="U22" s="49">
        <v>807182</v>
      </c>
    </row>
    <row r="23" spans="1:21">
      <c r="A23" s="300">
        <v>214</v>
      </c>
      <c r="B23" s="90" t="s">
        <v>188</v>
      </c>
      <c r="C23" s="413">
        <v>524511</v>
      </c>
      <c r="D23" s="538">
        <v>546900</v>
      </c>
      <c r="E23" s="538">
        <v>101181</v>
      </c>
      <c r="F23" s="572">
        <v>122013</v>
      </c>
      <c r="G23" s="538">
        <v>25443</v>
      </c>
      <c r="H23" s="538">
        <v>96673</v>
      </c>
      <c r="I23" s="538">
        <v>-103</v>
      </c>
      <c r="J23" s="538">
        <v>31782</v>
      </c>
      <c r="K23" s="408">
        <v>801876</v>
      </c>
      <c r="L23" s="1103">
        <v>-277365</v>
      </c>
      <c r="M23" s="1096">
        <v>500038</v>
      </c>
      <c r="N23" s="539">
        <v>712530</v>
      </c>
      <c r="O23" s="1096">
        <v>-64873</v>
      </c>
      <c r="P23" s="293">
        <v>214</v>
      </c>
      <c r="Q23" s="314">
        <f>(C23-'22R3'!C23)/'22R3'!C23*100</f>
        <v>5.4872321897242102</v>
      </c>
      <c r="R23" s="394">
        <f t="shared" si="0"/>
        <v>524511</v>
      </c>
      <c r="S23" s="394">
        <f t="shared" si="1"/>
        <v>0</v>
      </c>
      <c r="T23" s="49">
        <f>民間設備製造1!S25</f>
        <v>5148</v>
      </c>
      <c r="U23" s="49">
        <v>825381</v>
      </c>
    </row>
    <row r="24" spans="1:21">
      <c r="A24" s="300">
        <v>217</v>
      </c>
      <c r="B24" s="90" t="s">
        <v>189</v>
      </c>
      <c r="C24" s="413">
        <v>376258</v>
      </c>
      <c r="D24" s="538">
        <v>364971</v>
      </c>
      <c r="E24" s="538">
        <v>68925</v>
      </c>
      <c r="F24" s="572">
        <v>82899</v>
      </c>
      <c r="G24" s="538">
        <v>18255</v>
      </c>
      <c r="H24" s="538">
        <v>64712</v>
      </c>
      <c r="I24" s="538">
        <v>-68</v>
      </c>
      <c r="J24" s="538">
        <v>11435</v>
      </c>
      <c r="K24" s="408">
        <v>528230</v>
      </c>
      <c r="L24" s="1103">
        <v>-151972</v>
      </c>
      <c r="M24" s="1096">
        <v>357015</v>
      </c>
      <c r="N24" s="539">
        <v>469374</v>
      </c>
      <c r="O24" s="1096">
        <v>-39613</v>
      </c>
      <c r="P24" s="293">
        <v>217</v>
      </c>
      <c r="Q24" s="314">
        <f>(C24-'22R3'!C24)/'22R3'!C24*100</f>
        <v>6.3981766355985892</v>
      </c>
      <c r="R24" s="394">
        <f t="shared" si="0"/>
        <v>376258</v>
      </c>
      <c r="S24" s="394">
        <f t="shared" si="1"/>
        <v>0</v>
      </c>
      <c r="T24" s="49">
        <f>民間設備製造1!S26</f>
        <v>4112</v>
      </c>
      <c r="U24" s="49">
        <v>554722</v>
      </c>
    </row>
    <row r="25" spans="1:21">
      <c r="A25" s="300">
        <v>219</v>
      </c>
      <c r="B25" s="90" t="s">
        <v>190</v>
      </c>
      <c r="C25" s="413">
        <v>621907</v>
      </c>
      <c r="D25" s="538">
        <v>225364</v>
      </c>
      <c r="E25" s="538">
        <v>55255</v>
      </c>
      <c r="F25" s="572">
        <v>100567</v>
      </c>
      <c r="G25" s="538">
        <v>14892</v>
      </c>
      <c r="H25" s="538">
        <v>85725</v>
      </c>
      <c r="I25" s="538">
        <v>-50</v>
      </c>
      <c r="J25" s="538">
        <v>11072</v>
      </c>
      <c r="K25" s="408">
        <v>392258</v>
      </c>
      <c r="L25" s="1103">
        <v>229649</v>
      </c>
      <c r="M25" s="1096">
        <v>563016</v>
      </c>
      <c r="N25" s="539">
        <v>348552</v>
      </c>
      <c r="O25" s="1096">
        <v>15185</v>
      </c>
      <c r="P25" s="293">
        <v>219</v>
      </c>
      <c r="Q25" s="314">
        <f>(C25-'22R3'!C25)/'22R3'!C25*100</f>
        <v>21.71177395017682</v>
      </c>
      <c r="R25" s="394">
        <f t="shared" si="0"/>
        <v>621907</v>
      </c>
      <c r="S25" s="394">
        <f t="shared" si="1"/>
        <v>0</v>
      </c>
      <c r="T25" s="49">
        <f>民間設備製造1!S27</f>
        <v>42260</v>
      </c>
      <c r="U25" s="49">
        <v>441579</v>
      </c>
    </row>
    <row r="26" spans="1:21">
      <c r="A26" s="302">
        <v>301</v>
      </c>
      <c r="B26" s="201" t="s">
        <v>191</v>
      </c>
      <c r="C26" s="445">
        <v>67114</v>
      </c>
      <c r="D26" s="542">
        <v>58913</v>
      </c>
      <c r="E26" s="542">
        <v>18167</v>
      </c>
      <c r="F26" s="573">
        <v>11982</v>
      </c>
      <c r="G26" s="542">
        <v>1004</v>
      </c>
      <c r="H26" s="542">
        <v>10990</v>
      </c>
      <c r="I26" s="542">
        <v>-12</v>
      </c>
      <c r="J26" s="542">
        <v>2867</v>
      </c>
      <c r="K26" s="409">
        <v>91929</v>
      </c>
      <c r="L26" s="1103">
        <v>-24815</v>
      </c>
      <c r="M26" s="1096">
        <v>66392</v>
      </c>
      <c r="N26" s="539">
        <v>81686</v>
      </c>
      <c r="O26" s="1096">
        <v>-9521</v>
      </c>
      <c r="P26" s="293">
        <v>301</v>
      </c>
      <c r="Q26" s="314">
        <f>(C26-'22R3'!C26)/'22R3'!C26*100</f>
        <v>4.4315812404693</v>
      </c>
      <c r="R26" s="394">
        <f t="shared" si="0"/>
        <v>67114</v>
      </c>
      <c r="S26" s="394">
        <f t="shared" si="1"/>
        <v>0</v>
      </c>
      <c r="T26" s="49">
        <f>民間設備製造1!S28</f>
        <v>625</v>
      </c>
      <c r="U26" s="49">
        <v>108379</v>
      </c>
    </row>
    <row r="27" spans="1:21">
      <c r="A27" s="300">
        <v>3</v>
      </c>
      <c r="B27" s="65" t="s">
        <v>192</v>
      </c>
      <c r="C27" s="308">
        <v>3149681</v>
      </c>
      <c r="D27" s="538">
        <v>1720068</v>
      </c>
      <c r="E27" s="538">
        <v>311956</v>
      </c>
      <c r="F27" s="281">
        <v>1293628</v>
      </c>
      <c r="G27" s="538">
        <v>103022</v>
      </c>
      <c r="H27" s="538">
        <v>1191043</v>
      </c>
      <c r="I27" s="538">
        <v>-437</v>
      </c>
      <c r="J27" s="538">
        <v>88843</v>
      </c>
      <c r="K27" s="281">
        <v>3414495</v>
      </c>
      <c r="L27" s="307">
        <v>-264814</v>
      </c>
      <c r="M27" s="1095">
        <v>2866251</v>
      </c>
      <c r="N27" s="545">
        <v>3034050</v>
      </c>
      <c r="O27" s="1095">
        <v>-97015</v>
      </c>
      <c r="P27" s="293">
        <v>3</v>
      </c>
      <c r="Q27" s="314">
        <f>(C27-'22R3'!C27)/'22R3'!C27*100</f>
        <v>6.4012042458042426</v>
      </c>
      <c r="R27" s="394">
        <f t="shared" si="0"/>
        <v>3149681</v>
      </c>
      <c r="S27" s="394">
        <f t="shared" si="1"/>
        <v>0</v>
      </c>
      <c r="T27" s="49">
        <f>民間設備製造1!S29</f>
        <v>392618</v>
      </c>
      <c r="U27" s="49">
        <v>3142881</v>
      </c>
    </row>
    <row r="28" spans="1:21">
      <c r="A28" s="300">
        <v>203</v>
      </c>
      <c r="B28" s="90" t="s">
        <v>193</v>
      </c>
      <c r="C28" s="413">
        <v>1305615</v>
      </c>
      <c r="D28" s="538">
        <v>770678</v>
      </c>
      <c r="E28" s="538">
        <v>135344</v>
      </c>
      <c r="F28" s="572">
        <v>804133</v>
      </c>
      <c r="G28" s="538">
        <v>51456</v>
      </c>
      <c r="H28" s="538">
        <v>752900</v>
      </c>
      <c r="I28" s="538">
        <v>-223</v>
      </c>
      <c r="J28" s="538">
        <v>32226</v>
      </c>
      <c r="K28" s="408">
        <v>1742381</v>
      </c>
      <c r="L28" s="1103">
        <v>-436766</v>
      </c>
      <c r="M28" s="1096">
        <v>1190912</v>
      </c>
      <c r="N28" s="539">
        <v>1548244</v>
      </c>
      <c r="O28" s="1096">
        <v>-79434</v>
      </c>
      <c r="P28" s="293">
        <v>203</v>
      </c>
      <c r="Q28" s="314">
        <f>(C28-'22R3'!C28)/'22R3'!C28*100</f>
        <v>13.992466944659807</v>
      </c>
      <c r="R28" s="394">
        <f t="shared" si="0"/>
        <v>1305615</v>
      </c>
      <c r="S28" s="394">
        <f t="shared" si="1"/>
        <v>0</v>
      </c>
      <c r="T28" s="49">
        <f>民間設備製造1!S30</f>
        <v>96260</v>
      </c>
      <c r="U28" s="49">
        <v>1268455</v>
      </c>
    </row>
    <row r="29" spans="1:21">
      <c r="A29" s="300">
        <v>210</v>
      </c>
      <c r="B29" s="90" t="s">
        <v>194</v>
      </c>
      <c r="C29" s="413">
        <v>871548</v>
      </c>
      <c r="D29" s="538">
        <v>615600</v>
      </c>
      <c r="E29" s="538">
        <v>105347</v>
      </c>
      <c r="F29" s="572">
        <v>233154</v>
      </c>
      <c r="G29" s="538">
        <v>33798</v>
      </c>
      <c r="H29" s="538">
        <v>199483</v>
      </c>
      <c r="I29" s="538">
        <v>-127</v>
      </c>
      <c r="J29" s="538">
        <v>38722</v>
      </c>
      <c r="K29" s="408">
        <v>992823</v>
      </c>
      <c r="L29" s="1103">
        <v>-121275</v>
      </c>
      <c r="M29" s="1096">
        <v>801902</v>
      </c>
      <c r="N29" s="539">
        <v>882202</v>
      </c>
      <c r="O29" s="1096">
        <v>-40975</v>
      </c>
      <c r="P29" s="293">
        <v>210</v>
      </c>
      <c r="Q29" s="314">
        <f>(C29-'22R3'!C29)/'22R3'!C29*100</f>
        <v>3.1725437645309604</v>
      </c>
      <c r="R29" s="394">
        <f t="shared" si="0"/>
        <v>871548</v>
      </c>
      <c r="S29" s="394">
        <f t="shared" si="1"/>
        <v>0</v>
      </c>
      <c r="T29" s="49">
        <f>民間設備製造1!S31</f>
        <v>119582</v>
      </c>
      <c r="U29" s="49">
        <v>1069491</v>
      </c>
    </row>
    <row r="30" spans="1:21">
      <c r="A30" s="300">
        <v>216</v>
      </c>
      <c r="B30" s="90" t="s">
        <v>195</v>
      </c>
      <c r="C30" s="413">
        <v>526778</v>
      </c>
      <c r="D30" s="538">
        <v>195347</v>
      </c>
      <c r="E30" s="538">
        <v>43840</v>
      </c>
      <c r="F30" s="572">
        <v>175152</v>
      </c>
      <c r="G30" s="538">
        <v>9223</v>
      </c>
      <c r="H30" s="538">
        <v>165984</v>
      </c>
      <c r="I30" s="538">
        <v>-55</v>
      </c>
      <c r="J30" s="538">
        <v>11954</v>
      </c>
      <c r="K30" s="408">
        <v>426293</v>
      </c>
      <c r="L30" s="1103">
        <v>100485</v>
      </c>
      <c r="M30" s="1096">
        <v>475528</v>
      </c>
      <c r="N30" s="539">
        <v>378795</v>
      </c>
      <c r="O30" s="1096">
        <v>3752</v>
      </c>
      <c r="P30" s="293">
        <v>216</v>
      </c>
      <c r="Q30" s="314">
        <f>(C30-'22R3'!C30)/'22R3'!C30*100</f>
        <v>-4.4993074641585507</v>
      </c>
      <c r="R30" s="394">
        <f t="shared" si="0"/>
        <v>526778</v>
      </c>
      <c r="S30" s="394">
        <f t="shared" si="1"/>
        <v>0</v>
      </c>
      <c r="T30" s="49">
        <f>民間設備製造1!S32</f>
        <v>137373</v>
      </c>
      <c r="U30" s="49">
        <v>510559</v>
      </c>
    </row>
    <row r="31" spans="1:21">
      <c r="A31" s="300">
        <v>381</v>
      </c>
      <c r="B31" s="90" t="s">
        <v>196</v>
      </c>
      <c r="C31" s="413">
        <v>174738</v>
      </c>
      <c r="D31" s="538">
        <v>62670</v>
      </c>
      <c r="E31" s="538">
        <v>11877</v>
      </c>
      <c r="F31" s="572">
        <v>34239</v>
      </c>
      <c r="G31" s="538">
        <v>3825</v>
      </c>
      <c r="H31" s="538">
        <v>30428</v>
      </c>
      <c r="I31" s="538">
        <v>-14</v>
      </c>
      <c r="J31" s="538">
        <v>3842</v>
      </c>
      <c r="K31" s="408">
        <v>112628</v>
      </c>
      <c r="L31" s="1103">
        <v>62110</v>
      </c>
      <c r="M31" s="1096">
        <v>156507</v>
      </c>
      <c r="N31" s="539">
        <v>100079</v>
      </c>
      <c r="O31" s="1096">
        <v>5682</v>
      </c>
      <c r="P31" s="293">
        <v>381</v>
      </c>
      <c r="Q31" s="314">
        <f>(C31-'22R3'!C31)/'22R3'!C31*100</f>
        <v>3.2346112263164426</v>
      </c>
      <c r="R31" s="394">
        <f t="shared" si="0"/>
        <v>174738</v>
      </c>
      <c r="S31" s="394">
        <f t="shared" si="1"/>
        <v>0</v>
      </c>
      <c r="T31" s="49">
        <f>民間設備製造1!S33</f>
        <v>12809</v>
      </c>
      <c r="U31" s="49">
        <v>125755</v>
      </c>
    </row>
    <row r="32" spans="1:21">
      <c r="A32" s="300">
        <v>382</v>
      </c>
      <c r="B32" s="90" t="s">
        <v>197</v>
      </c>
      <c r="C32" s="413">
        <v>271002</v>
      </c>
      <c r="D32" s="538">
        <v>75773</v>
      </c>
      <c r="E32" s="538">
        <v>15548</v>
      </c>
      <c r="F32" s="572">
        <v>46950</v>
      </c>
      <c r="G32" s="538">
        <v>4720</v>
      </c>
      <c r="H32" s="538">
        <v>42248</v>
      </c>
      <c r="I32" s="538">
        <v>-18</v>
      </c>
      <c r="J32" s="538">
        <v>2099</v>
      </c>
      <c r="K32" s="408">
        <v>140370</v>
      </c>
      <c r="L32" s="1104">
        <v>130632</v>
      </c>
      <c r="M32" s="1097">
        <v>241402</v>
      </c>
      <c r="N32" s="543">
        <v>124730</v>
      </c>
      <c r="O32" s="1097">
        <v>13960</v>
      </c>
      <c r="P32" s="293">
        <v>382</v>
      </c>
      <c r="Q32" s="314">
        <f>(C32-'22R3'!C32)/'22R3'!C32*100</f>
        <v>8.7339608560629767</v>
      </c>
      <c r="R32" s="394">
        <f t="shared" si="0"/>
        <v>271002</v>
      </c>
      <c r="S32" s="394">
        <f t="shared" si="1"/>
        <v>0</v>
      </c>
      <c r="T32" s="49">
        <f>民間設備製造1!S34</f>
        <v>26594</v>
      </c>
      <c r="U32" s="49">
        <v>168621</v>
      </c>
    </row>
    <row r="33" spans="1:21">
      <c r="A33" s="301">
        <v>4</v>
      </c>
      <c r="B33" s="306" t="s">
        <v>198</v>
      </c>
      <c r="C33" s="307">
        <v>1356148</v>
      </c>
      <c r="D33" s="544">
        <v>553099</v>
      </c>
      <c r="E33" s="544">
        <v>146835</v>
      </c>
      <c r="F33" s="292">
        <v>230591</v>
      </c>
      <c r="G33" s="544">
        <v>28563</v>
      </c>
      <c r="H33" s="544">
        <v>202153</v>
      </c>
      <c r="I33" s="544">
        <v>-125</v>
      </c>
      <c r="J33" s="544">
        <v>47190</v>
      </c>
      <c r="K33" s="292">
        <v>977715</v>
      </c>
      <c r="L33" s="308">
        <v>378433</v>
      </c>
      <c r="M33" s="1096">
        <v>1239891</v>
      </c>
      <c r="N33" s="539">
        <v>868777</v>
      </c>
      <c r="O33" s="1096">
        <v>7319</v>
      </c>
      <c r="P33" s="293">
        <v>4</v>
      </c>
      <c r="Q33" s="314">
        <f>(C33-'22R3'!C33)/'22R3'!C33*100</f>
        <v>2.7437777097608058</v>
      </c>
      <c r="R33" s="394">
        <f t="shared" si="0"/>
        <v>1356148</v>
      </c>
      <c r="S33" s="394">
        <f t="shared" si="1"/>
        <v>0</v>
      </c>
      <c r="T33" s="49">
        <f>民間設備製造1!S35</f>
        <v>105029</v>
      </c>
      <c r="U33" s="49">
        <v>1136262</v>
      </c>
    </row>
    <row r="34" spans="1:21">
      <c r="A34" s="300">
        <v>213</v>
      </c>
      <c r="B34" s="92" t="s">
        <v>231</v>
      </c>
      <c r="C34" s="413">
        <v>159346</v>
      </c>
      <c r="D34" s="538">
        <v>80222</v>
      </c>
      <c r="E34" s="538">
        <v>18507</v>
      </c>
      <c r="F34" s="572">
        <v>21981</v>
      </c>
      <c r="G34" s="538">
        <v>4042</v>
      </c>
      <c r="H34" s="538">
        <v>17955</v>
      </c>
      <c r="I34" s="538">
        <v>-16</v>
      </c>
      <c r="J34" s="538">
        <v>2293</v>
      </c>
      <c r="K34" s="408">
        <v>123003</v>
      </c>
      <c r="L34" s="1103">
        <v>36343</v>
      </c>
      <c r="M34" s="1096">
        <v>146265</v>
      </c>
      <c r="N34" s="539">
        <v>109298</v>
      </c>
      <c r="O34" s="1096">
        <v>-624</v>
      </c>
      <c r="P34" s="293">
        <v>213</v>
      </c>
      <c r="Q34" s="314">
        <f>(C34-'22R3'!C34)/'22R3'!C34*100</f>
        <v>8.2726895923789332</v>
      </c>
      <c r="R34" s="394">
        <f t="shared" si="0"/>
        <v>159346</v>
      </c>
      <c r="S34" s="394">
        <f t="shared" si="1"/>
        <v>0</v>
      </c>
      <c r="T34" s="49">
        <f>民間設備製造1!S36</f>
        <v>4739</v>
      </c>
      <c r="U34" s="49">
        <v>155426</v>
      </c>
    </row>
    <row r="35" spans="1:21">
      <c r="A35" s="300">
        <v>215</v>
      </c>
      <c r="B35" s="92" t="s">
        <v>232</v>
      </c>
      <c r="C35" s="413">
        <v>330552</v>
      </c>
      <c r="D35" s="538">
        <v>161657</v>
      </c>
      <c r="E35" s="538">
        <v>40501</v>
      </c>
      <c r="F35" s="572">
        <v>50726</v>
      </c>
      <c r="G35" s="538">
        <v>6917</v>
      </c>
      <c r="H35" s="538">
        <v>43842</v>
      </c>
      <c r="I35" s="538">
        <v>-33</v>
      </c>
      <c r="J35" s="538">
        <v>7145</v>
      </c>
      <c r="K35" s="408">
        <v>260029</v>
      </c>
      <c r="L35" s="1103">
        <v>70523</v>
      </c>
      <c r="M35" s="1096">
        <v>304389</v>
      </c>
      <c r="N35" s="539">
        <v>231056</v>
      </c>
      <c r="O35" s="1096">
        <v>-2810</v>
      </c>
      <c r="P35" s="293">
        <v>215</v>
      </c>
      <c r="Q35" s="314">
        <f>(C35-'22R3'!C35)/'22R3'!C35*100</f>
        <v>2.8641846222786516</v>
      </c>
      <c r="R35" s="394">
        <f t="shared" si="0"/>
        <v>330552</v>
      </c>
      <c r="S35" s="394">
        <f t="shared" si="1"/>
        <v>0</v>
      </c>
      <c r="T35" s="49">
        <f>民間設備製造1!S37</f>
        <v>17795</v>
      </c>
      <c r="U35" s="49">
        <v>303466</v>
      </c>
    </row>
    <row r="36" spans="1:21">
      <c r="A36" s="300">
        <v>218</v>
      </c>
      <c r="B36" s="90" t="s">
        <v>200</v>
      </c>
      <c r="C36" s="413">
        <v>296481</v>
      </c>
      <c r="D36" s="538">
        <v>97285</v>
      </c>
      <c r="E36" s="538">
        <v>23180</v>
      </c>
      <c r="F36" s="572">
        <v>51112</v>
      </c>
      <c r="G36" s="538">
        <v>7595</v>
      </c>
      <c r="H36" s="538">
        <v>43540</v>
      </c>
      <c r="I36" s="538">
        <v>-23</v>
      </c>
      <c r="J36" s="538">
        <v>6772</v>
      </c>
      <c r="K36" s="408">
        <v>178349</v>
      </c>
      <c r="L36" s="1103">
        <v>118132</v>
      </c>
      <c r="M36" s="1096">
        <v>266948</v>
      </c>
      <c r="N36" s="539">
        <v>158477</v>
      </c>
      <c r="O36" s="1096">
        <v>9661</v>
      </c>
      <c r="P36" s="293">
        <v>218</v>
      </c>
      <c r="Q36" s="314">
        <f>(C36-'22R3'!C36)/'22R3'!C36*100</f>
        <v>14.118059137343053</v>
      </c>
      <c r="R36" s="394">
        <f t="shared" si="0"/>
        <v>296481</v>
      </c>
      <c r="S36" s="394">
        <f t="shared" si="1"/>
        <v>0</v>
      </c>
      <c r="T36" s="49">
        <f>民間設備製造1!S38</f>
        <v>24156</v>
      </c>
      <c r="U36" s="49">
        <v>207278</v>
      </c>
    </row>
    <row r="37" spans="1:21">
      <c r="A37" s="300">
        <v>220</v>
      </c>
      <c r="B37" s="90" t="s">
        <v>201</v>
      </c>
      <c r="C37" s="413">
        <v>257009</v>
      </c>
      <c r="D37" s="538">
        <v>87042</v>
      </c>
      <c r="E37" s="538">
        <v>29295</v>
      </c>
      <c r="F37" s="572">
        <v>54097</v>
      </c>
      <c r="G37" s="538">
        <v>3228</v>
      </c>
      <c r="H37" s="538">
        <v>50892</v>
      </c>
      <c r="I37" s="538">
        <v>-23</v>
      </c>
      <c r="J37" s="538">
        <v>5512</v>
      </c>
      <c r="K37" s="408">
        <v>175946</v>
      </c>
      <c r="L37" s="1103">
        <v>81063</v>
      </c>
      <c r="M37" s="1096">
        <v>235653</v>
      </c>
      <c r="N37" s="539">
        <v>156342</v>
      </c>
      <c r="O37" s="1096">
        <v>1752</v>
      </c>
      <c r="P37" s="293">
        <v>220</v>
      </c>
      <c r="Q37" s="314">
        <f>(C37-'22R3'!C37)/'22R3'!C37*100</f>
        <v>1.1448248720975993</v>
      </c>
      <c r="R37" s="394">
        <f t="shared" si="0"/>
        <v>257009</v>
      </c>
      <c r="S37" s="394">
        <f t="shared" si="1"/>
        <v>0</v>
      </c>
      <c r="T37" s="49">
        <f>民間設備製造1!S39</f>
        <v>26130</v>
      </c>
      <c r="U37" s="49">
        <v>192011</v>
      </c>
    </row>
    <row r="38" spans="1:21">
      <c r="A38" s="300">
        <v>228</v>
      </c>
      <c r="B38" s="90" t="s">
        <v>239</v>
      </c>
      <c r="C38" s="413">
        <v>239288</v>
      </c>
      <c r="D38" s="538">
        <v>92246</v>
      </c>
      <c r="E38" s="538">
        <v>23135</v>
      </c>
      <c r="F38" s="572">
        <v>38554</v>
      </c>
      <c r="G38" s="538">
        <v>5506</v>
      </c>
      <c r="H38" s="538">
        <v>33070</v>
      </c>
      <c r="I38" s="538">
        <v>-22</v>
      </c>
      <c r="J38" s="538">
        <v>20970</v>
      </c>
      <c r="K38" s="408">
        <v>174905</v>
      </c>
      <c r="L38" s="1103">
        <v>64383</v>
      </c>
      <c r="M38" s="1096">
        <v>217495</v>
      </c>
      <c r="N38" s="539">
        <v>155417</v>
      </c>
      <c r="O38" s="1096">
        <v>2305</v>
      </c>
      <c r="P38" s="293">
        <v>228</v>
      </c>
      <c r="Q38" s="314">
        <f>(C38-'22R3'!C38)/'22R3'!C38*100</f>
        <v>-10.87737855363082</v>
      </c>
      <c r="R38" s="394">
        <f t="shared" si="0"/>
        <v>239288</v>
      </c>
      <c r="S38" s="394">
        <f t="shared" si="1"/>
        <v>0</v>
      </c>
      <c r="T38" s="49">
        <f>民間設備製造1!S40</f>
        <v>28092</v>
      </c>
      <c r="U38" s="49">
        <v>205764</v>
      </c>
    </row>
    <row r="39" spans="1:21">
      <c r="A39" s="302">
        <v>365</v>
      </c>
      <c r="B39" s="201" t="s">
        <v>233</v>
      </c>
      <c r="C39" s="445">
        <v>73472</v>
      </c>
      <c r="D39" s="542">
        <v>34647</v>
      </c>
      <c r="E39" s="542">
        <v>12217</v>
      </c>
      <c r="F39" s="573">
        <v>14121</v>
      </c>
      <c r="G39" s="542">
        <v>1275</v>
      </c>
      <c r="H39" s="542">
        <v>12854</v>
      </c>
      <c r="I39" s="542">
        <v>-8</v>
      </c>
      <c r="J39" s="542">
        <v>4498</v>
      </c>
      <c r="K39" s="409">
        <v>65483</v>
      </c>
      <c r="L39" s="1103">
        <v>7989</v>
      </c>
      <c r="M39" s="1096">
        <v>69141</v>
      </c>
      <c r="N39" s="539">
        <v>58187</v>
      </c>
      <c r="O39" s="1096">
        <v>-2965</v>
      </c>
      <c r="P39" s="293">
        <v>365</v>
      </c>
      <c r="Q39" s="314">
        <f>(C39-'22R3'!C39)/'22R3'!C39*100</f>
        <v>6.4533889709930738</v>
      </c>
      <c r="R39" s="394">
        <f t="shared" si="0"/>
        <v>73472</v>
      </c>
      <c r="S39" s="394">
        <f t="shared" si="1"/>
        <v>0</v>
      </c>
      <c r="T39" s="49">
        <f>民間設備製造1!S41</f>
        <v>4117</v>
      </c>
      <c r="U39" s="49">
        <v>72317</v>
      </c>
    </row>
    <row r="40" spans="1:21">
      <c r="A40" s="300">
        <v>5</v>
      </c>
      <c r="B40" s="91" t="s">
        <v>202</v>
      </c>
      <c r="C40" s="308">
        <v>2930515</v>
      </c>
      <c r="D40" s="538">
        <v>1428956</v>
      </c>
      <c r="E40" s="538">
        <v>272757</v>
      </c>
      <c r="F40" s="281">
        <v>846323</v>
      </c>
      <c r="G40" s="538">
        <v>105978</v>
      </c>
      <c r="H40" s="538">
        <v>740683</v>
      </c>
      <c r="I40" s="538">
        <v>-338</v>
      </c>
      <c r="J40" s="538">
        <v>96011</v>
      </c>
      <c r="K40" s="281">
        <v>2644047</v>
      </c>
      <c r="L40" s="307">
        <v>286468</v>
      </c>
      <c r="M40" s="1095">
        <v>2658731</v>
      </c>
      <c r="N40" s="545">
        <v>2349445</v>
      </c>
      <c r="O40" s="1095">
        <v>-22818</v>
      </c>
      <c r="P40" s="293">
        <v>5</v>
      </c>
      <c r="Q40" s="314">
        <f>(C40-'22R3'!C40)/'22R3'!C40*100</f>
        <v>3.8214089596655629</v>
      </c>
      <c r="R40" s="394">
        <f t="shared" si="0"/>
        <v>2930515</v>
      </c>
      <c r="S40" s="394">
        <f t="shared" si="1"/>
        <v>0</v>
      </c>
      <c r="T40" s="49">
        <f>民間設備製造1!S42</f>
        <v>297837</v>
      </c>
      <c r="U40" s="49">
        <v>2446343</v>
      </c>
    </row>
    <row r="41" spans="1:21">
      <c r="A41" s="300">
        <v>201</v>
      </c>
      <c r="B41" s="92" t="s">
        <v>240</v>
      </c>
      <c r="C41" s="413">
        <v>2656993</v>
      </c>
      <c r="D41" s="538">
        <v>1343227</v>
      </c>
      <c r="E41" s="538">
        <v>243098</v>
      </c>
      <c r="F41" s="572">
        <v>803683</v>
      </c>
      <c r="G41" s="538">
        <v>102289</v>
      </c>
      <c r="H41" s="538">
        <v>701711</v>
      </c>
      <c r="I41" s="538">
        <v>-317</v>
      </c>
      <c r="J41" s="538">
        <v>88812</v>
      </c>
      <c r="K41" s="408">
        <v>2478820</v>
      </c>
      <c r="L41" s="1103">
        <v>178173</v>
      </c>
      <c r="M41" s="1096">
        <v>2408638</v>
      </c>
      <c r="N41" s="539">
        <v>2202628</v>
      </c>
      <c r="O41" s="1096">
        <v>-27837</v>
      </c>
      <c r="P41" s="293">
        <v>201</v>
      </c>
      <c r="Q41" s="314">
        <f>(C41-'22R3'!C41)/'22R3'!C41*100</f>
        <v>3.3825280343649569</v>
      </c>
      <c r="R41" s="394">
        <f t="shared" si="0"/>
        <v>2656993</v>
      </c>
      <c r="S41" s="394">
        <f t="shared" si="1"/>
        <v>0</v>
      </c>
      <c r="T41" s="49">
        <f>民間設備製造1!S43</f>
        <v>269591</v>
      </c>
      <c r="U41" s="49">
        <v>2250546</v>
      </c>
    </row>
    <row r="42" spans="1:21">
      <c r="A42" s="300">
        <v>442</v>
      </c>
      <c r="B42" s="90" t="s">
        <v>203</v>
      </c>
      <c r="C42" s="413">
        <v>44652</v>
      </c>
      <c r="D42" s="538">
        <v>22665</v>
      </c>
      <c r="E42" s="538">
        <v>8435</v>
      </c>
      <c r="F42" s="572">
        <v>7025</v>
      </c>
      <c r="G42" s="538">
        <v>353</v>
      </c>
      <c r="H42" s="538">
        <v>6677</v>
      </c>
      <c r="I42" s="538">
        <v>-5</v>
      </c>
      <c r="J42" s="538">
        <v>2107</v>
      </c>
      <c r="K42" s="408">
        <v>40232</v>
      </c>
      <c r="L42" s="1103">
        <v>4420</v>
      </c>
      <c r="M42" s="1096">
        <v>42487</v>
      </c>
      <c r="N42" s="539">
        <v>35749</v>
      </c>
      <c r="O42" s="1096">
        <v>-2318</v>
      </c>
      <c r="P42" s="293">
        <v>442</v>
      </c>
      <c r="Q42" s="314">
        <f>(C42-'22R3'!C42)/'22R3'!C42*100</f>
        <v>6.3852091870770993</v>
      </c>
      <c r="R42" s="394">
        <f t="shared" si="0"/>
        <v>44652</v>
      </c>
      <c r="S42" s="394">
        <f t="shared" si="1"/>
        <v>0</v>
      </c>
      <c r="T42" s="49">
        <f>民間設備製造1!S44</f>
        <v>3913</v>
      </c>
      <c r="U42" s="49">
        <v>48569</v>
      </c>
    </row>
    <row r="43" spans="1:21">
      <c r="A43" s="300">
        <v>443</v>
      </c>
      <c r="B43" s="90" t="s">
        <v>204</v>
      </c>
      <c r="C43" s="413">
        <v>191258</v>
      </c>
      <c r="D43" s="538">
        <v>42902</v>
      </c>
      <c r="E43" s="538">
        <v>10873</v>
      </c>
      <c r="F43" s="572">
        <v>26496</v>
      </c>
      <c r="G43" s="538">
        <v>2902</v>
      </c>
      <c r="H43" s="538">
        <v>23605</v>
      </c>
      <c r="I43" s="538">
        <v>-11</v>
      </c>
      <c r="J43" s="538">
        <v>2817</v>
      </c>
      <c r="K43" s="408">
        <v>83088</v>
      </c>
      <c r="L43" s="1103">
        <v>108170</v>
      </c>
      <c r="M43" s="1096">
        <v>170321</v>
      </c>
      <c r="N43" s="539">
        <v>73830</v>
      </c>
      <c r="O43" s="1096">
        <v>11679</v>
      </c>
      <c r="P43" s="293">
        <v>443</v>
      </c>
      <c r="Q43" s="314">
        <f>(C43-'22R3'!C43)/'22R3'!C43*100</f>
        <v>7.7491648028484033</v>
      </c>
      <c r="R43" s="394">
        <f t="shared" si="0"/>
        <v>191258</v>
      </c>
      <c r="S43" s="394">
        <f t="shared" si="1"/>
        <v>0</v>
      </c>
      <c r="T43" s="49">
        <f>民間設備製造1!S45</f>
        <v>16623</v>
      </c>
      <c r="U43" s="49">
        <v>96158</v>
      </c>
    </row>
    <row r="44" spans="1:21">
      <c r="A44" s="300">
        <v>446</v>
      </c>
      <c r="B44" s="90" t="s">
        <v>234</v>
      </c>
      <c r="C44" s="413">
        <v>37612</v>
      </c>
      <c r="D44" s="538">
        <v>20162</v>
      </c>
      <c r="E44" s="538">
        <v>10351</v>
      </c>
      <c r="F44" s="572">
        <v>9119</v>
      </c>
      <c r="G44" s="538">
        <v>434</v>
      </c>
      <c r="H44" s="538">
        <v>8690</v>
      </c>
      <c r="I44" s="538">
        <v>-5</v>
      </c>
      <c r="J44" s="538">
        <v>2275</v>
      </c>
      <c r="K44" s="408">
        <v>41907</v>
      </c>
      <c r="L44" s="1104">
        <v>-4295</v>
      </c>
      <c r="M44" s="1097">
        <v>37285</v>
      </c>
      <c r="N44" s="543">
        <v>37238</v>
      </c>
      <c r="O44" s="1097">
        <v>-4342</v>
      </c>
      <c r="P44" s="293">
        <v>446</v>
      </c>
      <c r="Q44" s="314">
        <f>(C44-'22R3'!C44)/'22R3'!C44*100</f>
        <v>13.579948663747546</v>
      </c>
      <c r="R44" s="394">
        <f t="shared" si="0"/>
        <v>37612</v>
      </c>
      <c r="S44" s="394">
        <f t="shared" si="1"/>
        <v>0</v>
      </c>
      <c r="T44" s="49">
        <f>民間設備製造1!S46</f>
        <v>7710</v>
      </c>
      <c r="U44" s="49">
        <v>51070</v>
      </c>
    </row>
    <row r="45" spans="1:21">
      <c r="A45" s="301">
        <v>6</v>
      </c>
      <c r="B45" s="306" t="s">
        <v>205</v>
      </c>
      <c r="C45" s="307">
        <v>1129678</v>
      </c>
      <c r="D45" s="544">
        <v>508778</v>
      </c>
      <c r="E45" s="544">
        <v>134294</v>
      </c>
      <c r="F45" s="292">
        <v>247192</v>
      </c>
      <c r="G45" s="544">
        <v>21456</v>
      </c>
      <c r="H45" s="544">
        <v>225854</v>
      </c>
      <c r="I45" s="544">
        <v>-118</v>
      </c>
      <c r="J45" s="544">
        <v>36862</v>
      </c>
      <c r="K45" s="292">
        <v>927126</v>
      </c>
      <c r="L45" s="308">
        <v>202552</v>
      </c>
      <c r="M45" s="1096">
        <v>1038367</v>
      </c>
      <c r="N45" s="539">
        <v>823825</v>
      </c>
      <c r="O45" s="1096">
        <v>-11990</v>
      </c>
      <c r="P45" s="293">
        <v>6</v>
      </c>
      <c r="Q45" s="314">
        <f>(C45-'22R3'!C45)/'22R3'!C45*100</f>
        <v>0.21574705077684908</v>
      </c>
      <c r="R45" s="394">
        <f t="shared" si="0"/>
        <v>1129678</v>
      </c>
      <c r="S45" s="394">
        <f t="shared" si="1"/>
        <v>0</v>
      </c>
      <c r="T45" s="49">
        <f>民間設備製造1!S47</f>
        <v>90149</v>
      </c>
      <c r="U45" s="49">
        <v>1035020</v>
      </c>
    </row>
    <row r="46" spans="1:21">
      <c r="A46" s="300">
        <v>208</v>
      </c>
      <c r="B46" s="90" t="s">
        <v>206</v>
      </c>
      <c r="C46" s="413">
        <v>180506</v>
      </c>
      <c r="D46" s="538">
        <v>61554</v>
      </c>
      <c r="E46" s="538">
        <v>14717</v>
      </c>
      <c r="F46" s="572">
        <v>20668</v>
      </c>
      <c r="G46" s="538">
        <v>2007</v>
      </c>
      <c r="H46" s="538">
        <v>18674</v>
      </c>
      <c r="I46" s="538">
        <v>-13</v>
      </c>
      <c r="J46" s="538">
        <v>3465</v>
      </c>
      <c r="K46" s="408">
        <v>100404</v>
      </c>
      <c r="L46" s="1103">
        <v>80102</v>
      </c>
      <c r="M46" s="1096">
        <v>162804</v>
      </c>
      <c r="N46" s="539">
        <v>89217</v>
      </c>
      <c r="O46" s="1096">
        <v>6515</v>
      </c>
      <c r="P46" s="293">
        <v>208</v>
      </c>
      <c r="Q46" s="314">
        <f>(C46-'22R3'!C46)/'22R3'!C46*100</f>
        <v>-0.38245244179051757</v>
      </c>
      <c r="R46" s="394">
        <f t="shared" si="0"/>
        <v>180506</v>
      </c>
      <c r="S46" s="394">
        <f t="shared" si="1"/>
        <v>0</v>
      </c>
      <c r="T46" s="49">
        <f>民間設備製造1!S48</f>
        <v>5472</v>
      </c>
      <c r="U46" s="49">
        <v>114583</v>
      </c>
    </row>
    <row r="47" spans="1:21">
      <c r="A47" s="300">
        <v>212</v>
      </c>
      <c r="B47" s="90" t="s">
        <v>207</v>
      </c>
      <c r="C47" s="413">
        <v>246312</v>
      </c>
      <c r="D47" s="538">
        <v>100862</v>
      </c>
      <c r="E47" s="538">
        <v>25302</v>
      </c>
      <c r="F47" s="572">
        <v>67635</v>
      </c>
      <c r="G47" s="538">
        <v>4720</v>
      </c>
      <c r="H47" s="538">
        <v>62941</v>
      </c>
      <c r="I47" s="538">
        <v>-26</v>
      </c>
      <c r="J47" s="538">
        <v>7570</v>
      </c>
      <c r="K47" s="408">
        <v>201369</v>
      </c>
      <c r="L47" s="1103">
        <v>44943</v>
      </c>
      <c r="M47" s="1096">
        <v>224565</v>
      </c>
      <c r="N47" s="539">
        <v>178932</v>
      </c>
      <c r="O47" s="1096">
        <v>-690</v>
      </c>
      <c r="P47" s="293">
        <v>212</v>
      </c>
      <c r="Q47" s="314">
        <f>(C47-'22R3'!C47)/'22R3'!C47*100</f>
        <v>6.0291167684002991</v>
      </c>
      <c r="R47" s="394">
        <f t="shared" si="0"/>
        <v>246312</v>
      </c>
      <c r="S47" s="394">
        <f t="shared" si="1"/>
        <v>0</v>
      </c>
      <c r="T47" s="49">
        <f>民間設備製造1!S49</f>
        <v>30879</v>
      </c>
      <c r="U47" s="49">
        <v>215797</v>
      </c>
    </row>
    <row r="48" spans="1:21">
      <c r="A48" s="300">
        <v>227</v>
      </c>
      <c r="B48" s="90" t="s">
        <v>219</v>
      </c>
      <c r="C48" s="413">
        <v>122955</v>
      </c>
      <c r="D48" s="538">
        <v>68113</v>
      </c>
      <c r="E48" s="538">
        <v>26000</v>
      </c>
      <c r="F48" s="572">
        <v>20748</v>
      </c>
      <c r="G48" s="538">
        <v>1194</v>
      </c>
      <c r="H48" s="538">
        <v>19570</v>
      </c>
      <c r="I48" s="538">
        <v>-16</v>
      </c>
      <c r="J48" s="538">
        <v>6393</v>
      </c>
      <c r="K48" s="408">
        <v>121254</v>
      </c>
      <c r="L48" s="1103">
        <v>1701</v>
      </c>
      <c r="M48" s="1096">
        <v>118271</v>
      </c>
      <c r="N48" s="539">
        <v>107744</v>
      </c>
      <c r="O48" s="1096">
        <v>-8826</v>
      </c>
      <c r="P48" s="293">
        <v>227</v>
      </c>
      <c r="Q48" s="314">
        <f>(C48-'22R3'!C48)/'22R3'!C48*100</f>
        <v>4.2035679477943981</v>
      </c>
      <c r="R48" s="394">
        <f t="shared" si="0"/>
        <v>122955</v>
      </c>
      <c r="S48" s="394">
        <f t="shared" si="1"/>
        <v>0</v>
      </c>
      <c r="T48" s="49">
        <f>民間設備製造1!S50</f>
        <v>4551</v>
      </c>
      <c r="U48" s="49">
        <v>139772</v>
      </c>
    </row>
    <row r="49" spans="1:21">
      <c r="A49" s="300">
        <v>229</v>
      </c>
      <c r="B49" s="90" t="s">
        <v>235</v>
      </c>
      <c r="C49" s="413">
        <v>359200</v>
      </c>
      <c r="D49" s="538">
        <v>147833</v>
      </c>
      <c r="E49" s="538">
        <v>31995</v>
      </c>
      <c r="F49" s="572">
        <v>62778</v>
      </c>
      <c r="G49" s="538">
        <v>7459</v>
      </c>
      <c r="H49" s="538">
        <v>55351</v>
      </c>
      <c r="I49" s="538">
        <v>-32</v>
      </c>
      <c r="J49" s="538">
        <v>10830</v>
      </c>
      <c r="K49" s="408">
        <v>253436</v>
      </c>
      <c r="L49" s="1103">
        <v>105764</v>
      </c>
      <c r="M49" s="1096">
        <v>325224</v>
      </c>
      <c r="N49" s="539">
        <v>225198</v>
      </c>
      <c r="O49" s="1096">
        <v>5738</v>
      </c>
      <c r="P49" s="293">
        <v>229</v>
      </c>
      <c r="Q49" s="314">
        <f>(C49-'22R3'!C49)/'22R3'!C49*100</f>
        <v>3.7409710409043258</v>
      </c>
      <c r="R49" s="394">
        <f t="shared" si="0"/>
        <v>359200</v>
      </c>
      <c r="S49" s="394">
        <f t="shared" si="1"/>
        <v>0</v>
      </c>
      <c r="T49" s="49">
        <f>民間設備製造1!S51</f>
        <v>32447</v>
      </c>
      <c r="U49" s="49">
        <v>301692</v>
      </c>
    </row>
    <row r="50" spans="1:21">
      <c r="A50" s="300">
        <v>464</v>
      </c>
      <c r="B50" s="90" t="s">
        <v>208</v>
      </c>
      <c r="C50" s="413">
        <v>104256</v>
      </c>
      <c r="D50" s="538">
        <v>69766</v>
      </c>
      <c r="E50" s="538">
        <v>12327</v>
      </c>
      <c r="F50" s="572">
        <v>58670</v>
      </c>
      <c r="G50" s="538">
        <v>4991</v>
      </c>
      <c r="H50" s="538">
        <v>53697</v>
      </c>
      <c r="I50" s="538">
        <v>-18</v>
      </c>
      <c r="J50" s="538">
        <v>1415</v>
      </c>
      <c r="K50" s="408">
        <v>142178</v>
      </c>
      <c r="L50" s="1103">
        <v>-37922</v>
      </c>
      <c r="M50" s="1096">
        <v>95799</v>
      </c>
      <c r="N50" s="539">
        <v>126336</v>
      </c>
      <c r="O50" s="1096">
        <v>-7385</v>
      </c>
      <c r="P50" s="293">
        <v>464</v>
      </c>
      <c r="Q50" s="314">
        <f>(C50-'22R3'!C50)/'22R3'!C50*100</f>
        <v>-21.600240637689875</v>
      </c>
      <c r="R50" s="394">
        <f t="shared" si="0"/>
        <v>104256</v>
      </c>
      <c r="S50" s="394">
        <f t="shared" si="1"/>
        <v>0</v>
      </c>
      <c r="T50" s="49">
        <f>民間設備製造1!S52</f>
        <v>11240</v>
      </c>
      <c r="U50" s="49">
        <v>133033</v>
      </c>
    </row>
    <row r="51" spans="1:21">
      <c r="A51" s="300">
        <v>481</v>
      </c>
      <c r="B51" s="90" t="s">
        <v>209</v>
      </c>
      <c r="C51" s="413">
        <v>51988</v>
      </c>
      <c r="D51" s="538">
        <v>29400</v>
      </c>
      <c r="E51" s="538">
        <v>10220</v>
      </c>
      <c r="F51" s="572">
        <v>8682</v>
      </c>
      <c r="G51" s="538">
        <v>651</v>
      </c>
      <c r="H51" s="538">
        <v>8037</v>
      </c>
      <c r="I51" s="538">
        <v>-6</v>
      </c>
      <c r="J51" s="538">
        <v>2147</v>
      </c>
      <c r="K51" s="408">
        <v>50449</v>
      </c>
      <c r="L51" s="1103">
        <v>1539</v>
      </c>
      <c r="M51" s="1096">
        <v>49651</v>
      </c>
      <c r="N51" s="539">
        <v>44828</v>
      </c>
      <c r="O51" s="1096">
        <v>-3284</v>
      </c>
      <c r="P51" s="293">
        <v>481</v>
      </c>
      <c r="Q51" s="314">
        <f>(C51-'22R3'!C51)/'22R3'!C51*100</f>
        <v>-4.7908578126144601</v>
      </c>
      <c r="R51" s="394">
        <f t="shared" si="0"/>
        <v>51988</v>
      </c>
      <c r="S51" s="394">
        <f t="shared" si="1"/>
        <v>0</v>
      </c>
      <c r="T51" s="49">
        <f>民間設備製造1!S53</f>
        <v>4244</v>
      </c>
      <c r="U51" s="49">
        <v>60643</v>
      </c>
    </row>
    <row r="52" spans="1:21">
      <c r="A52" s="302">
        <v>501</v>
      </c>
      <c r="B52" s="201" t="s">
        <v>236</v>
      </c>
      <c r="C52" s="445">
        <v>64461</v>
      </c>
      <c r="D52" s="542">
        <v>31250</v>
      </c>
      <c r="E52" s="542">
        <v>13733</v>
      </c>
      <c r="F52" s="573">
        <v>8011</v>
      </c>
      <c r="G52" s="542">
        <v>434</v>
      </c>
      <c r="H52" s="542">
        <v>7584</v>
      </c>
      <c r="I52" s="542">
        <v>-7</v>
      </c>
      <c r="J52" s="542">
        <v>5042</v>
      </c>
      <c r="K52" s="409">
        <v>58036</v>
      </c>
      <c r="L52" s="1103">
        <v>6425</v>
      </c>
      <c r="M52" s="1096">
        <v>62053</v>
      </c>
      <c r="N52" s="539">
        <v>51570</v>
      </c>
      <c r="O52" s="1096">
        <v>-4058</v>
      </c>
      <c r="P52" s="293">
        <v>501</v>
      </c>
      <c r="Q52" s="314">
        <f>(C52-'22R3'!C52)/'22R3'!C52*100</f>
        <v>4.1120891544859886</v>
      </c>
      <c r="R52" s="394">
        <f t="shared" si="0"/>
        <v>64461</v>
      </c>
      <c r="S52" s="394">
        <f t="shared" si="1"/>
        <v>0</v>
      </c>
      <c r="T52" s="49">
        <f>民間設備製造1!S54</f>
        <v>1316</v>
      </c>
      <c r="U52" s="49">
        <v>69500</v>
      </c>
    </row>
    <row r="53" spans="1:21">
      <c r="A53" s="300">
        <v>7</v>
      </c>
      <c r="B53" s="93" t="s">
        <v>210</v>
      </c>
      <c r="C53" s="308">
        <v>604135</v>
      </c>
      <c r="D53" s="538">
        <v>346358</v>
      </c>
      <c r="E53" s="538">
        <v>126039</v>
      </c>
      <c r="F53" s="281">
        <v>105670</v>
      </c>
      <c r="G53" s="538">
        <v>10985</v>
      </c>
      <c r="H53" s="538">
        <v>94763</v>
      </c>
      <c r="I53" s="538">
        <v>-78</v>
      </c>
      <c r="J53" s="538">
        <v>37414</v>
      </c>
      <c r="K53" s="281">
        <v>615481</v>
      </c>
      <c r="L53" s="307">
        <v>-11346</v>
      </c>
      <c r="M53" s="1095">
        <v>580332</v>
      </c>
      <c r="N53" s="545">
        <v>546903</v>
      </c>
      <c r="O53" s="1096">
        <v>-44775</v>
      </c>
      <c r="P53" s="293">
        <v>7</v>
      </c>
      <c r="Q53" s="314">
        <f>(C53-'22R3'!C53)/'22R3'!C53*100</f>
        <v>-5.7404521557300303E-2</v>
      </c>
      <c r="R53" s="394">
        <f t="shared" si="0"/>
        <v>604135</v>
      </c>
      <c r="S53" s="394">
        <f t="shared" si="1"/>
        <v>0</v>
      </c>
      <c r="T53" s="49">
        <f>民間設備製造1!S55</f>
        <v>34544</v>
      </c>
      <c r="U53" s="49">
        <v>726350</v>
      </c>
    </row>
    <row r="54" spans="1:21">
      <c r="A54" s="300">
        <v>209</v>
      </c>
      <c r="B54" s="90" t="s">
        <v>221</v>
      </c>
      <c r="C54" s="413">
        <v>306664</v>
      </c>
      <c r="D54" s="538">
        <v>172961</v>
      </c>
      <c r="E54" s="538">
        <v>52131</v>
      </c>
      <c r="F54" s="572">
        <v>52043</v>
      </c>
      <c r="G54" s="538">
        <v>7161</v>
      </c>
      <c r="H54" s="538">
        <v>44919</v>
      </c>
      <c r="I54" s="538">
        <v>-37</v>
      </c>
      <c r="J54" s="538">
        <v>13722</v>
      </c>
      <c r="K54" s="408">
        <v>290857</v>
      </c>
      <c r="L54" s="1103">
        <v>15807</v>
      </c>
      <c r="M54" s="1096">
        <v>289112</v>
      </c>
      <c r="N54" s="539">
        <v>258449</v>
      </c>
      <c r="O54" s="1096">
        <v>-14856</v>
      </c>
      <c r="P54" s="293">
        <v>209</v>
      </c>
      <c r="Q54" s="314">
        <f>(C54-'22R3'!C54)/'22R3'!C54*100</f>
        <v>2.6201837809620057</v>
      </c>
      <c r="R54" s="394">
        <f t="shared" si="0"/>
        <v>306664</v>
      </c>
      <c r="S54" s="394">
        <f t="shared" si="1"/>
        <v>0</v>
      </c>
      <c r="T54" s="49">
        <f>民間設備製造1!S56</f>
        <v>9770</v>
      </c>
      <c r="U54" s="49">
        <v>336444</v>
      </c>
    </row>
    <row r="55" spans="1:21">
      <c r="A55" s="300">
        <v>222</v>
      </c>
      <c r="B55" s="90" t="s">
        <v>218</v>
      </c>
      <c r="C55" s="413">
        <v>77366</v>
      </c>
      <c r="D55" s="538">
        <v>47069</v>
      </c>
      <c r="E55" s="538">
        <v>20765</v>
      </c>
      <c r="F55" s="572">
        <v>12020</v>
      </c>
      <c r="G55" s="538">
        <v>895</v>
      </c>
      <c r="H55" s="538">
        <v>11136</v>
      </c>
      <c r="I55" s="538">
        <v>-11</v>
      </c>
      <c r="J55" s="538">
        <v>6343</v>
      </c>
      <c r="K55" s="408">
        <v>86197</v>
      </c>
      <c r="L55" s="1103">
        <v>-8831</v>
      </c>
      <c r="M55" s="1096">
        <v>76453</v>
      </c>
      <c r="N55" s="539">
        <v>76593</v>
      </c>
      <c r="O55" s="1096">
        <v>-8691</v>
      </c>
      <c r="P55" s="293">
        <v>222</v>
      </c>
      <c r="Q55" s="314">
        <f>(C55-'22R3'!C55)/'22R3'!C55*100</f>
        <v>-6.2752889298088341</v>
      </c>
      <c r="R55" s="394">
        <f t="shared" si="0"/>
        <v>77366</v>
      </c>
      <c r="S55" s="394">
        <f t="shared" si="1"/>
        <v>0</v>
      </c>
      <c r="T55" s="49">
        <f>民間設備製造1!S57</f>
        <v>4367</v>
      </c>
      <c r="U55" s="49">
        <v>104566</v>
      </c>
    </row>
    <row r="56" spans="1:21">
      <c r="A56" s="300">
        <v>225</v>
      </c>
      <c r="B56" s="90" t="s">
        <v>222</v>
      </c>
      <c r="C56" s="413">
        <v>118729</v>
      </c>
      <c r="D56" s="538">
        <v>65126</v>
      </c>
      <c r="E56" s="538">
        <v>23020</v>
      </c>
      <c r="F56" s="572">
        <v>24529</v>
      </c>
      <c r="G56" s="538">
        <v>1953</v>
      </c>
      <c r="H56" s="538">
        <v>22591</v>
      </c>
      <c r="I56" s="538">
        <v>-15</v>
      </c>
      <c r="J56" s="538">
        <v>5137</v>
      </c>
      <c r="K56" s="408">
        <v>117812</v>
      </c>
      <c r="L56" s="1103">
        <v>917</v>
      </c>
      <c r="M56" s="1096">
        <v>113243</v>
      </c>
      <c r="N56" s="539">
        <v>104685</v>
      </c>
      <c r="O56" s="1096">
        <v>-7641</v>
      </c>
      <c r="P56" s="293">
        <v>225</v>
      </c>
      <c r="Q56" s="314">
        <f>(C56-'22R3'!C56)/'22R3'!C56*100</f>
        <v>-6.0405818204840065</v>
      </c>
      <c r="R56" s="394">
        <f t="shared" si="0"/>
        <v>118729</v>
      </c>
      <c r="S56" s="394">
        <f t="shared" si="1"/>
        <v>0</v>
      </c>
      <c r="T56" s="49">
        <f>民間設備製造1!S58</f>
        <v>18711</v>
      </c>
      <c r="U56" s="49">
        <v>149728</v>
      </c>
    </row>
    <row r="57" spans="1:21">
      <c r="A57" s="300">
        <v>585</v>
      </c>
      <c r="B57" s="90" t="s">
        <v>220</v>
      </c>
      <c r="C57" s="413">
        <v>54653</v>
      </c>
      <c r="D57" s="538">
        <v>33256</v>
      </c>
      <c r="E57" s="538">
        <v>16003</v>
      </c>
      <c r="F57" s="572">
        <v>9788</v>
      </c>
      <c r="G57" s="538">
        <v>488</v>
      </c>
      <c r="H57" s="538">
        <v>9308</v>
      </c>
      <c r="I57" s="538">
        <v>-8</v>
      </c>
      <c r="J57" s="538">
        <v>4819</v>
      </c>
      <c r="K57" s="408">
        <v>63866</v>
      </c>
      <c r="L57" s="1103">
        <v>-9213</v>
      </c>
      <c r="M57" s="1096">
        <v>54624</v>
      </c>
      <c r="N57" s="539">
        <v>56750</v>
      </c>
      <c r="O57" s="1096">
        <v>-7087</v>
      </c>
      <c r="P57" s="293">
        <v>585</v>
      </c>
      <c r="Q57" s="314">
        <f>(C57-'22R3'!C57)/'22R3'!C57*100</f>
        <v>4.7755070741152563</v>
      </c>
      <c r="R57" s="394">
        <f t="shared" si="0"/>
        <v>54653</v>
      </c>
      <c r="S57" s="394">
        <f t="shared" si="1"/>
        <v>0</v>
      </c>
      <c r="T57" s="49">
        <f>民間設備製造1!S59</f>
        <v>1115</v>
      </c>
      <c r="U57" s="49">
        <v>73971</v>
      </c>
    </row>
    <row r="58" spans="1:21">
      <c r="A58" s="300">
        <v>586</v>
      </c>
      <c r="B58" s="90" t="s">
        <v>237</v>
      </c>
      <c r="C58" s="413">
        <v>46723</v>
      </c>
      <c r="D58" s="538">
        <v>27946</v>
      </c>
      <c r="E58" s="538">
        <v>14120</v>
      </c>
      <c r="F58" s="572">
        <v>7290</v>
      </c>
      <c r="G58" s="538">
        <v>488</v>
      </c>
      <c r="H58" s="538">
        <v>6809</v>
      </c>
      <c r="I58" s="538">
        <v>-7</v>
      </c>
      <c r="J58" s="538">
        <v>7393</v>
      </c>
      <c r="K58" s="408">
        <v>56749</v>
      </c>
      <c r="L58" s="1104">
        <v>-10026</v>
      </c>
      <c r="M58" s="1097">
        <v>46900</v>
      </c>
      <c r="N58" s="543">
        <v>50426</v>
      </c>
      <c r="O58" s="1096">
        <v>-6500</v>
      </c>
      <c r="P58" s="293">
        <v>586</v>
      </c>
      <c r="Q58" s="314">
        <f>(C58-'22R3'!C58)/'22R3'!C58*100</f>
        <v>4.8117905693391361</v>
      </c>
      <c r="R58" s="394">
        <f t="shared" si="0"/>
        <v>46723</v>
      </c>
      <c r="S58" s="394">
        <f t="shared" si="1"/>
        <v>0</v>
      </c>
      <c r="T58" s="49">
        <f>民間設備製造1!S60</f>
        <v>581</v>
      </c>
      <c r="U58" s="49">
        <v>61641</v>
      </c>
    </row>
    <row r="59" spans="1:21">
      <c r="A59" s="301">
        <v>8</v>
      </c>
      <c r="B59" s="127" t="s">
        <v>211</v>
      </c>
      <c r="C59" s="307">
        <v>481731</v>
      </c>
      <c r="D59" s="544">
        <v>223660</v>
      </c>
      <c r="E59" s="544">
        <v>73245</v>
      </c>
      <c r="F59" s="292">
        <v>79916</v>
      </c>
      <c r="G59" s="544">
        <v>9033</v>
      </c>
      <c r="H59" s="544">
        <v>70933</v>
      </c>
      <c r="I59" s="544">
        <v>-50</v>
      </c>
      <c r="J59" s="544">
        <v>11924</v>
      </c>
      <c r="K59" s="292">
        <v>388745</v>
      </c>
      <c r="L59" s="308">
        <v>92986</v>
      </c>
      <c r="M59" s="1096">
        <v>450168</v>
      </c>
      <c r="N59" s="539">
        <v>345430</v>
      </c>
      <c r="O59" s="1095">
        <v>-11752</v>
      </c>
      <c r="P59" s="293">
        <v>8</v>
      </c>
      <c r="Q59" s="314">
        <f>(C59-'22R3'!C59)/'22R3'!C59*100</f>
        <v>4.7118381755185261</v>
      </c>
      <c r="R59" s="394">
        <f t="shared" si="0"/>
        <v>481731</v>
      </c>
      <c r="S59" s="394">
        <f t="shared" si="1"/>
        <v>0</v>
      </c>
      <c r="T59" s="49">
        <f>民間設備製造1!S61</f>
        <v>21533</v>
      </c>
      <c r="U59" s="49">
        <v>445072</v>
      </c>
    </row>
    <row r="60" spans="1:21">
      <c r="A60" s="300">
        <v>221</v>
      </c>
      <c r="B60" s="492" t="s">
        <v>1144</v>
      </c>
      <c r="C60" s="413">
        <v>214565</v>
      </c>
      <c r="D60" s="538">
        <v>91153</v>
      </c>
      <c r="E60" s="538">
        <v>32322</v>
      </c>
      <c r="F60" s="572">
        <v>27716</v>
      </c>
      <c r="G60" s="538">
        <v>4557</v>
      </c>
      <c r="H60" s="538">
        <v>23179</v>
      </c>
      <c r="I60" s="538">
        <v>-20</v>
      </c>
      <c r="J60" s="538">
        <v>5106</v>
      </c>
      <c r="K60" s="408">
        <v>156297</v>
      </c>
      <c r="L60" s="1103">
        <v>58268</v>
      </c>
      <c r="M60" s="1096">
        <v>200368</v>
      </c>
      <c r="N60" s="539">
        <v>138882</v>
      </c>
      <c r="O60" s="1096">
        <v>-3218</v>
      </c>
      <c r="P60" s="293">
        <v>221</v>
      </c>
      <c r="Q60" s="314">
        <f>(C60-'22R3'!C60)/'22R3'!C60*100</f>
        <v>7.3184516813132401</v>
      </c>
      <c r="R60" s="394">
        <f t="shared" si="0"/>
        <v>214565</v>
      </c>
      <c r="S60" s="394">
        <f t="shared" si="1"/>
        <v>0</v>
      </c>
      <c r="T60" s="49">
        <f>民間設備製造1!S62</f>
        <v>7452</v>
      </c>
      <c r="U60" s="49">
        <v>182475</v>
      </c>
    </row>
    <row r="61" spans="1:21">
      <c r="A61" s="302">
        <v>223</v>
      </c>
      <c r="B61" s="201" t="s">
        <v>223</v>
      </c>
      <c r="C61" s="445">
        <v>267166</v>
      </c>
      <c r="D61" s="542">
        <v>132507</v>
      </c>
      <c r="E61" s="542">
        <v>40923</v>
      </c>
      <c r="F61" s="573">
        <v>52200</v>
      </c>
      <c r="G61" s="542">
        <v>4476</v>
      </c>
      <c r="H61" s="542">
        <v>47754</v>
      </c>
      <c r="I61" s="542">
        <v>-30</v>
      </c>
      <c r="J61" s="542">
        <v>6818</v>
      </c>
      <c r="K61" s="409">
        <v>232448</v>
      </c>
      <c r="L61" s="1103">
        <v>34718</v>
      </c>
      <c r="M61" s="1096">
        <v>249800</v>
      </c>
      <c r="N61" s="539">
        <v>206548</v>
      </c>
      <c r="O61" s="1097">
        <v>-8534</v>
      </c>
      <c r="P61" s="293">
        <v>223</v>
      </c>
      <c r="Q61" s="314">
        <f>(C61-'22R3'!C61)/'22R3'!C61*100</f>
        <v>2.7083549578849841</v>
      </c>
      <c r="R61" s="394">
        <f t="shared" si="0"/>
        <v>267166</v>
      </c>
      <c r="S61" s="394">
        <f t="shared" si="1"/>
        <v>0</v>
      </c>
      <c r="T61" s="49">
        <f>民間設備製造1!S63</f>
        <v>14081</v>
      </c>
      <c r="U61" s="49">
        <v>262597</v>
      </c>
    </row>
    <row r="62" spans="1:21">
      <c r="A62" s="301">
        <v>9</v>
      </c>
      <c r="B62" s="346" t="s">
        <v>212</v>
      </c>
      <c r="C62" s="307">
        <v>501130</v>
      </c>
      <c r="D62" s="544">
        <v>262683</v>
      </c>
      <c r="E62" s="544">
        <v>101490</v>
      </c>
      <c r="F62" s="292">
        <v>94160</v>
      </c>
      <c r="G62" s="544">
        <v>16086</v>
      </c>
      <c r="H62" s="544">
        <v>78138</v>
      </c>
      <c r="I62" s="544">
        <v>-64</v>
      </c>
      <c r="J62" s="544">
        <v>40952</v>
      </c>
      <c r="K62" s="292">
        <v>499285</v>
      </c>
      <c r="L62" s="307">
        <v>1845</v>
      </c>
      <c r="M62" s="1095">
        <v>479972</v>
      </c>
      <c r="N62" s="545">
        <v>443654</v>
      </c>
      <c r="O62" s="1096">
        <v>-34473</v>
      </c>
      <c r="P62" s="293">
        <v>9</v>
      </c>
      <c r="Q62" s="314">
        <f>(C62-'22R3'!C62)/'22R3'!C62*100</f>
        <v>10.837345813492108</v>
      </c>
      <c r="R62" s="394">
        <f t="shared" si="0"/>
        <v>501130</v>
      </c>
      <c r="S62" s="394">
        <f t="shared" si="1"/>
        <v>0</v>
      </c>
      <c r="T62" s="49">
        <f>民間設備製造1!S64</f>
        <v>15147</v>
      </c>
      <c r="U62" s="49">
        <v>559839</v>
      </c>
    </row>
    <row r="63" spans="1:21">
      <c r="A63" s="300">
        <v>205</v>
      </c>
      <c r="B63" s="92" t="s">
        <v>241</v>
      </c>
      <c r="C63" s="413">
        <v>175079</v>
      </c>
      <c r="D63" s="538">
        <v>88993</v>
      </c>
      <c r="E63" s="538">
        <v>28695</v>
      </c>
      <c r="F63" s="572">
        <v>28446</v>
      </c>
      <c r="G63" s="538">
        <v>4042</v>
      </c>
      <c r="H63" s="538">
        <v>24424</v>
      </c>
      <c r="I63" s="538">
        <v>-20</v>
      </c>
      <c r="J63" s="538">
        <v>7090</v>
      </c>
      <c r="K63" s="408">
        <v>153224</v>
      </c>
      <c r="L63" s="1103">
        <v>21855</v>
      </c>
      <c r="M63" s="1096">
        <v>164565</v>
      </c>
      <c r="N63" s="539">
        <v>136152</v>
      </c>
      <c r="O63" s="1096">
        <v>-6558</v>
      </c>
      <c r="P63" s="293">
        <v>205</v>
      </c>
      <c r="Q63" s="314">
        <f>(C63-'22R3'!C63)/'22R3'!C63*100</f>
        <v>13.540943845290826</v>
      </c>
      <c r="R63" s="394">
        <f t="shared" si="0"/>
        <v>175079</v>
      </c>
      <c r="S63" s="394">
        <f t="shared" si="1"/>
        <v>0</v>
      </c>
      <c r="T63" s="49">
        <f>民間設備製造1!S65</f>
        <v>9673</v>
      </c>
      <c r="U63" s="49">
        <v>193464</v>
      </c>
    </row>
    <row r="64" spans="1:21">
      <c r="A64" s="300">
        <v>224</v>
      </c>
      <c r="B64" s="90" t="s">
        <v>224</v>
      </c>
      <c r="C64" s="413">
        <v>162495</v>
      </c>
      <c r="D64" s="538">
        <v>85556</v>
      </c>
      <c r="E64" s="538">
        <v>34480</v>
      </c>
      <c r="F64" s="572">
        <v>26700</v>
      </c>
      <c r="G64" s="538">
        <v>2523</v>
      </c>
      <c r="H64" s="538">
        <v>24197</v>
      </c>
      <c r="I64" s="538">
        <v>-20</v>
      </c>
      <c r="J64" s="538">
        <v>12737</v>
      </c>
      <c r="K64" s="408">
        <v>159473</v>
      </c>
      <c r="L64" s="1103">
        <v>3022</v>
      </c>
      <c r="M64" s="1096">
        <v>156360</v>
      </c>
      <c r="N64" s="539">
        <v>141704</v>
      </c>
      <c r="O64" s="1096">
        <v>-11634</v>
      </c>
      <c r="P64" s="293">
        <v>224</v>
      </c>
      <c r="Q64" s="314">
        <f>(C64-'22R3'!C64)/'22R3'!C64*100</f>
        <v>9.2373986581873435</v>
      </c>
      <c r="R64" s="394">
        <f t="shared" si="0"/>
        <v>162495</v>
      </c>
      <c r="S64" s="394">
        <f t="shared" si="1"/>
        <v>0</v>
      </c>
      <c r="T64" s="49">
        <f>民間設備製造1!S66</f>
        <v>2481</v>
      </c>
      <c r="U64" s="49">
        <v>178101</v>
      </c>
    </row>
    <row r="65" spans="1:21">
      <c r="A65" s="302">
        <v>226</v>
      </c>
      <c r="B65" s="201" t="s">
        <v>225</v>
      </c>
      <c r="C65" s="445">
        <v>163556</v>
      </c>
      <c r="D65" s="542">
        <v>88134</v>
      </c>
      <c r="E65" s="542">
        <v>38315</v>
      </c>
      <c r="F65" s="573">
        <v>39014</v>
      </c>
      <c r="G65" s="542">
        <v>9521</v>
      </c>
      <c r="H65" s="542">
        <v>29517</v>
      </c>
      <c r="I65" s="542">
        <v>-24</v>
      </c>
      <c r="J65" s="542">
        <v>21125</v>
      </c>
      <c r="K65" s="409">
        <v>186588</v>
      </c>
      <c r="L65" s="1104">
        <v>-23032</v>
      </c>
      <c r="M65" s="1097">
        <v>159047</v>
      </c>
      <c r="N65" s="543">
        <v>165798</v>
      </c>
      <c r="O65" s="1097">
        <v>-16281</v>
      </c>
      <c r="P65" s="293">
        <v>226</v>
      </c>
      <c r="Q65" s="314">
        <f>(C65-'22R3'!C65)/'22R3'!C65*100</f>
        <v>9.6381503975116978</v>
      </c>
      <c r="R65" s="394">
        <f t="shared" si="0"/>
        <v>163556</v>
      </c>
      <c r="S65" s="394">
        <f t="shared" si="1"/>
        <v>0</v>
      </c>
      <c r="T65" s="49">
        <f>民間設備製造1!S67</f>
        <v>2993</v>
      </c>
      <c r="U65" s="49">
        <v>188274</v>
      </c>
    </row>
    <row r="66" spans="1:21">
      <c r="A66" s="75"/>
      <c r="B66" s="75"/>
      <c r="C66" s="75"/>
      <c r="D66" s="75"/>
      <c r="E66" s="75"/>
      <c r="F66" s="75"/>
      <c r="G66" s="75"/>
      <c r="H66" s="75"/>
      <c r="I66" s="75"/>
      <c r="J66" s="75"/>
      <c r="K66" s="75"/>
      <c r="L66" s="75"/>
      <c r="M66" s="75"/>
      <c r="N66" s="75"/>
      <c r="O66" s="75"/>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9.6</v>
      </c>
      <c r="D70" s="384">
        <f>ROUND((D4-'21R2'!D4)/ABS('21R2'!D4)*100,1)</f>
        <v>10.8</v>
      </c>
      <c r="E70" s="384">
        <f>ROUND((E4-'21R2'!E4)/ABS('21R2'!E4)*100,1)</f>
        <v>7.9</v>
      </c>
      <c r="F70" s="384">
        <f>ROUND((F4-'21R2'!F4)/ABS('21R2'!F4)*100,1)</f>
        <v>32.6</v>
      </c>
      <c r="G70" s="384">
        <f>ROUND((G4-'21R2'!G4)/ABS('21R2'!G4)*100,1)</f>
        <v>16.3</v>
      </c>
      <c r="H70" s="384">
        <f>ROUND((H4-'21R2'!H4)/ABS('21R2'!H4)*100,1)</f>
        <v>29.1</v>
      </c>
      <c r="I70" s="384">
        <f>ROUND((I4-'21R2'!I4)/ABS('21R2'!I4)*100,1)</f>
        <v>98.4</v>
      </c>
      <c r="J70" s="384">
        <f>ROUND((J4-'21R2'!J4)/ABS('21R2'!J4)*100,1)</f>
        <v>-9.3000000000000007</v>
      </c>
      <c r="K70" s="384">
        <f>ROUND((K4-'21R2'!K4)/ABS('21R2'!K4)*100,1)</f>
        <v>13.8</v>
      </c>
      <c r="L70" s="384">
        <f>ROUND((L4-'21R2'!L4)/ABS('21R2'!L4)*100,1)</f>
        <v>-52.2</v>
      </c>
      <c r="M70" s="384">
        <f>ROUND((M4-'21R2'!M4)/ABS('21R2'!M4)*100,1)</f>
        <v>23.7</v>
      </c>
      <c r="N70" s="384">
        <f>ROUND((N4-'21R2'!N4)/ABS('21R2'!N4)*100,1)</f>
        <v>28.9</v>
      </c>
      <c r="O70" s="384">
        <f>ROUND((O4-'21R2'!O4)/ABS('21R2'!O4)*100,1)</f>
        <v>-81.2</v>
      </c>
    </row>
    <row r="71" spans="1:21">
      <c r="A71" s="77">
        <v>100</v>
      </c>
      <c r="B71" s="75" t="s">
        <v>172</v>
      </c>
      <c r="C71" s="384">
        <f>ROUND((C5-'21R2'!C5)/ABS('21R2'!C5)*100,1)</f>
        <v>10.3</v>
      </c>
      <c r="D71" s="384">
        <f>ROUND((D5-'21R2'!D5)/ABS('21R2'!D5)*100,1)</f>
        <v>13.2</v>
      </c>
      <c r="E71" s="384">
        <f>ROUND((E5-'21R2'!E5)/ABS('21R2'!E5)*100,1)</f>
        <v>5.2</v>
      </c>
      <c r="F71" s="384">
        <f>ROUND((F5-'21R2'!F5)/ABS('21R2'!F5)*100,1)</f>
        <v>22</v>
      </c>
      <c r="G71" s="384">
        <f>ROUND((G5-'21R2'!G5)/ABS('21R2'!G5)*100,1)</f>
        <v>14.8</v>
      </c>
      <c r="H71" s="384">
        <f>ROUND((H5-'21R2'!H5)/ABS('21R2'!H5)*100,1)</f>
        <v>16</v>
      </c>
      <c r="I71" s="384">
        <f>ROUND((I5-'21R2'!I5)/ABS('21R2'!I5)*100,1)</f>
        <v>98.4</v>
      </c>
      <c r="J71" s="384">
        <f>ROUND((J5-'21R2'!J5)/ABS('21R2'!J5)*100,1)</f>
        <v>6.6</v>
      </c>
      <c r="K71" s="384">
        <f>ROUND((K5-'21R2'!K5)/ABS('21R2'!K5)*100,1)</f>
        <v>13.1</v>
      </c>
      <c r="L71" s="384">
        <f>ROUND((L5-'21R2'!L5)/ABS('21R2'!L5)*100,1)</f>
        <v>-18.899999999999999</v>
      </c>
      <c r="M71" s="384">
        <f>ROUND((M5-'21R2'!M5)/ABS('21R2'!M5)*100,1)</f>
        <v>24.2</v>
      </c>
      <c r="N71" s="384">
        <f>ROUND((N5-'21R2'!N5)/ABS('21R2'!N5)*100,1)</f>
        <v>28.1</v>
      </c>
      <c r="O71" s="384">
        <f>ROUND((O5-'21R2'!O5)/ABS('21R2'!O5)*100,1)</f>
        <v>-72</v>
      </c>
    </row>
    <row r="72" spans="1:21">
      <c r="A72" s="77">
        <v>1</v>
      </c>
      <c r="B72" s="75" t="s">
        <v>323</v>
      </c>
      <c r="C72" s="384">
        <f>ROUND((C6-'21R2'!C6)/ABS('21R2'!C6)*100,1)</f>
        <v>10.9</v>
      </c>
      <c r="D72" s="384">
        <f>ROUND((D6-'21R2'!D6)/ABS('21R2'!D6)*100,1)</f>
        <v>12.9</v>
      </c>
      <c r="E72" s="384">
        <f>ROUND((E6-'21R2'!E6)/ABS('21R2'!E6)*100,1)</f>
        <v>9.4</v>
      </c>
      <c r="F72" s="384">
        <f>ROUND((F6-'21R2'!F6)/ABS('21R2'!F6)*100,1)</f>
        <v>20</v>
      </c>
      <c r="G72" s="384">
        <f>ROUND((G6-'21R2'!G6)/ABS('21R2'!G6)*100,1)</f>
        <v>12.2</v>
      </c>
      <c r="H72" s="384">
        <f>ROUND((H6-'21R2'!H6)/ABS('21R2'!H6)*100,1)</f>
        <v>15</v>
      </c>
      <c r="I72" s="384">
        <f>ROUND((I6-'21R2'!I6)/ABS('21R2'!I6)*100,1)</f>
        <v>98.4</v>
      </c>
      <c r="J72" s="384">
        <f>ROUND((J6-'21R2'!J6)/ABS('21R2'!J6)*100,1)</f>
        <v>-29.5</v>
      </c>
      <c r="K72" s="384">
        <f>ROUND((K6-'21R2'!K6)/ABS('21R2'!K6)*100,1)</f>
        <v>12.2</v>
      </c>
      <c r="L72" s="384">
        <f>ROUND((L6-'21R2'!L6)/ABS('21R2'!L6)*100,1)</f>
        <v>-30.2</v>
      </c>
      <c r="M72" s="384">
        <f>ROUND((M6-'21R2'!M6)/ABS('21R2'!M6)*100,1)</f>
        <v>25.3</v>
      </c>
      <c r="N72" s="384">
        <f>ROUND((N6-'21R2'!N6)/ABS('21R2'!N6)*100,1)</f>
        <v>27.2</v>
      </c>
      <c r="O72" s="384">
        <f>ROUND((O6-'21R2'!O6)/ABS('21R2'!O6)*100,1)</f>
        <v>-0.1</v>
      </c>
    </row>
    <row r="73" spans="1:21">
      <c r="A73" s="77">
        <v>2</v>
      </c>
      <c r="B73" s="75" t="s">
        <v>324</v>
      </c>
      <c r="C73" s="384">
        <f>ROUND((C7-'21R2'!C7)/ABS('21R2'!C7)*100,1)</f>
        <v>17.100000000000001</v>
      </c>
      <c r="D73" s="384">
        <f>ROUND((D7-'21R2'!D7)/ABS('21R2'!D7)*100,1)</f>
        <v>8.6999999999999993</v>
      </c>
      <c r="E73" s="384">
        <f>ROUND((E7-'21R2'!E7)/ABS('21R2'!E7)*100,1)</f>
        <v>8.9</v>
      </c>
      <c r="F73" s="384">
        <f>ROUND((F7-'21R2'!F7)/ABS('21R2'!F7)*100,1)</f>
        <v>8.4</v>
      </c>
      <c r="G73" s="384">
        <f>ROUND((G7-'21R2'!G7)/ABS('21R2'!G7)*100,1)</f>
        <v>22.2</v>
      </c>
      <c r="H73" s="384">
        <f>ROUND((H7-'21R2'!H7)/ABS('21R2'!H7)*100,1)</f>
        <v>0.3</v>
      </c>
      <c r="I73" s="384">
        <f>ROUND((I7-'21R2'!I7)/ABS('21R2'!I7)*100,1)</f>
        <v>98.4</v>
      </c>
      <c r="J73" s="384">
        <f>ROUND((J7-'21R2'!J7)/ABS('21R2'!J7)*100,1)</f>
        <v>25.1</v>
      </c>
      <c r="K73" s="384">
        <f>ROUND((K7-'21R2'!K7)/ABS('21R2'!K7)*100,1)</f>
        <v>9.1</v>
      </c>
      <c r="L73" s="384">
        <f>ROUND((L7-'21R2'!L7)/ABS('21R2'!L7)*100,1)</f>
        <v>44.5</v>
      </c>
      <c r="M73" s="384">
        <f>ROUND((M7-'21R2'!M7)/ABS('21R2'!M7)*100,1)</f>
        <v>31.6</v>
      </c>
      <c r="N73" s="384">
        <f>ROUND((N7-'21R2'!N7)/ABS('21R2'!N7)*100,1)</f>
        <v>23.6</v>
      </c>
      <c r="O73" s="384">
        <f>ROUND((O7-'21R2'!O7)/ABS('21R2'!O7)*100,1)</f>
        <v>25.4</v>
      </c>
    </row>
    <row r="74" spans="1:21">
      <c r="A74" s="77">
        <v>3</v>
      </c>
      <c r="B74" s="75" t="s">
        <v>192</v>
      </c>
      <c r="C74" s="384">
        <f>ROUND((C8-'21R2'!C8)/ABS('21R2'!C8)*100,1)</f>
        <v>6</v>
      </c>
      <c r="D74" s="384">
        <f>ROUND((D8-'21R2'!D8)/ABS('21R2'!D8)*100,1)</f>
        <v>9.6</v>
      </c>
      <c r="E74" s="384">
        <f>ROUND((E8-'21R2'!E8)/ABS('21R2'!E8)*100,1)</f>
        <v>10.5</v>
      </c>
      <c r="F74" s="384">
        <f>ROUND((F8-'21R2'!F8)/ABS('21R2'!F8)*100,1)</f>
        <v>81.8</v>
      </c>
      <c r="G74" s="384">
        <f>ROUND((G8-'21R2'!G8)/ABS('21R2'!G8)*100,1)</f>
        <v>2.2000000000000002</v>
      </c>
      <c r="H74" s="384">
        <f>ROUND((H8-'21R2'!H8)/ABS('21R2'!H8)*100,1)</f>
        <v>87.8</v>
      </c>
      <c r="I74" s="384">
        <f>ROUND((I8-'21R2'!I8)/ABS('21R2'!I8)*100,1)</f>
        <v>98.2</v>
      </c>
      <c r="J74" s="384">
        <f>ROUND((J8-'21R2'!J8)/ABS('21R2'!J8)*100,1)</f>
        <v>-24.7</v>
      </c>
      <c r="K74" s="384">
        <f>ROUND((K8-'21R2'!K8)/ABS('21R2'!K8)*100,1)</f>
        <v>27.3</v>
      </c>
      <c r="L74" s="384">
        <f>ROUND((L8-'21R2'!L8)/ABS('21R2'!L8)*100,1)</f>
        <v>-191.4</v>
      </c>
      <c r="M74" s="384">
        <f>ROUND((M8-'21R2'!M8)/ABS('21R2'!M8)*100,1)</f>
        <v>20.3</v>
      </c>
      <c r="N74" s="384">
        <f>ROUND((N8-'21R2'!N8)/ABS('21R2'!N8)*100,1)</f>
        <v>44.3</v>
      </c>
      <c r="O74" s="384">
        <f>ROUND((O8-'21R2'!O8)/ABS('21R2'!O8)*100,1)</f>
        <v>-1049.8</v>
      </c>
    </row>
    <row r="75" spans="1:21">
      <c r="A75" s="77">
        <v>4</v>
      </c>
      <c r="B75" s="75" t="s">
        <v>325</v>
      </c>
      <c r="C75" s="384">
        <f>ROUND((C9-'21R2'!C9)/ABS('21R2'!C9)*100,1)</f>
        <v>4.4000000000000004</v>
      </c>
      <c r="D75" s="384">
        <f>ROUND((D9-'21R2'!D9)/ABS('21R2'!D9)*100,1)</f>
        <v>3.6</v>
      </c>
      <c r="E75" s="384">
        <f>ROUND((E9-'21R2'!E9)/ABS('21R2'!E9)*100,1)</f>
        <v>7</v>
      </c>
      <c r="F75" s="384">
        <f>ROUND((F9-'21R2'!F9)/ABS('21R2'!F9)*100,1)</f>
        <v>19.5</v>
      </c>
      <c r="G75" s="384">
        <f>ROUND((G9-'21R2'!G9)/ABS('21R2'!G9)*100,1)</f>
        <v>21.1</v>
      </c>
      <c r="H75" s="384">
        <f>ROUND((H9-'21R2'!H9)/ABS('21R2'!H9)*100,1)</f>
        <v>13.9</v>
      </c>
      <c r="I75" s="384">
        <f>ROUND((I9-'21R2'!I9)/ABS('21R2'!I9)*100,1)</f>
        <v>98.4</v>
      </c>
      <c r="J75" s="384">
        <f>ROUND((J9-'21R2'!J9)/ABS('21R2'!J9)*100,1)</f>
        <v>-3.5</v>
      </c>
      <c r="K75" s="384">
        <f>ROUND((K9-'21R2'!K9)/ABS('21R2'!K9)*100,1)</f>
        <v>7.1</v>
      </c>
      <c r="L75" s="384">
        <f>ROUND((L9-'21R2'!L9)/ABS('21R2'!L9)*100,1)</f>
        <v>-2.1</v>
      </c>
      <c r="M75" s="384">
        <f>ROUND((M9-'21R2'!M9)/ABS('21R2'!M9)*100,1)</f>
        <v>18.3</v>
      </c>
      <c r="N75" s="384">
        <f>ROUND((N9-'21R2'!N9)/ABS('21R2'!N9)*100,1)</f>
        <v>21.3</v>
      </c>
      <c r="O75" s="384">
        <f>ROUND((O9-'21R2'!O9)/ABS('21R2'!O9)*100,1)</f>
        <v>-86.5</v>
      </c>
      <c r="R75" s="383"/>
      <c r="S75" s="383"/>
    </row>
    <row r="76" spans="1:21">
      <c r="A76" s="77">
        <v>5</v>
      </c>
      <c r="B76" s="75" t="s">
        <v>326</v>
      </c>
      <c r="C76" s="384">
        <f>ROUND((C10-'21R2'!C10)/ABS('21R2'!C10)*100,1)</f>
        <v>13</v>
      </c>
      <c r="D76" s="384">
        <f>ROUND((D10-'21R2'!D10)/ABS('21R2'!D10)*100,1)</f>
        <v>13.5</v>
      </c>
      <c r="E76" s="384">
        <f>ROUND((E10-'21R2'!E10)/ABS('21R2'!E10)*100,1)</f>
        <v>13.7</v>
      </c>
      <c r="F76" s="384">
        <f>ROUND((F10-'21R2'!F10)/ABS('21R2'!F10)*100,1)</f>
        <v>32.4</v>
      </c>
      <c r="G76" s="384">
        <f>ROUND((G10-'21R2'!G10)/ABS('21R2'!G10)*100,1)</f>
        <v>30.9</v>
      </c>
      <c r="H76" s="384">
        <f>ROUND((H10-'21R2'!H10)/ABS('21R2'!H10)*100,1)</f>
        <v>28</v>
      </c>
      <c r="I76" s="384">
        <f>ROUND((I10-'21R2'!I10)/ABS('21R2'!I10)*100,1)</f>
        <v>98.3</v>
      </c>
      <c r="J76" s="384">
        <f>ROUND((J10-'21R2'!J10)/ABS('21R2'!J10)*100,1)</f>
        <v>-33.799999999999997</v>
      </c>
      <c r="K76" s="384">
        <f>ROUND((K10-'21R2'!K10)/ABS('21R2'!K10)*100,1)</f>
        <v>15.8</v>
      </c>
      <c r="L76" s="384">
        <f>ROUND((L10-'21R2'!L10)/ABS('21R2'!L10)*100,1)</f>
        <v>-7.4</v>
      </c>
      <c r="M76" s="384">
        <f>ROUND((M10-'21R2'!M10)/ABS('21R2'!M10)*100,1)</f>
        <v>28.1</v>
      </c>
      <c r="N76" s="384">
        <f>ROUND((N10-'21R2'!N10)/ABS('21R2'!N10)*100,1)</f>
        <v>31.2</v>
      </c>
      <c r="O76" s="384">
        <f>ROUND((O10-'21R2'!O10)/ABS('21R2'!O10)*100,1)</f>
        <v>-194.9</v>
      </c>
      <c r="R76" s="383"/>
      <c r="S76" s="383"/>
    </row>
    <row r="77" spans="1:21">
      <c r="A77" s="77">
        <v>6</v>
      </c>
      <c r="B77" s="75" t="s">
        <v>327</v>
      </c>
      <c r="C77" s="384">
        <f>ROUND((C11-'21R2'!C11)/ABS('21R2'!C11)*100,1)</f>
        <v>2.7</v>
      </c>
      <c r="D77" s="384">
        <f>ROUND((D11-'21R2'!D11)/ABS('21R2'!D11)*100,1)</f>
        <v>2.9</v>
      </c>
      <c r="E77" s="384">
        <f>ROUND((E11-'21R2'!E11)/ABS('21R2'!E11)*100,1)</f>
        <v>6.2</v>
      </c>
      <c r="F77" s="384">
        <f>ROUND((F11-'21R2'!F11)/ABS('21R2'!F11)*100,1)</f>
        <v>33.1</v>
      </c>
      <c r="G77" s="384">
        <f>ROUND((G11-'21R2'!G11)/ABS('21R2'!G11)*100,1)</f>
        <v>24.3</v>
      </c>
      <c r="H77" s="384">
        <f>ROUND((H11-'21R2'!H11)/ABS('21R2'!H11)*100,1)</f>
        <v>28.3</v>
      </c>
      <c r="I77" s="384">
        <f>ROUND((I11-'21R2'!I11)/ABS('21R2'!I11)*100,1)</f>
        <v>98.4</v>
      </c>
      <c r="J77" s="384">
        <f>ROUND((J11-'21R2'!J11)/ABS('21R2'!J11)*100,1)</f>
        <v>-29</v>
      </c>
      <c r="K77" s="384">
        <f>ROUND((K11-'21R2'!K11)/ABS('21R2'!K11)*100,1)</f>
        <v>8</v>
      </c>
      <c r="L77" s="384">
        <f>ROUND((L11-'21R2'!L11)/ABS('21R2'!L11)*100,1)</f>
        <v>-16.3</v>
      </c>
      <c r="M77" s="384">
        <f>ROUND((M11-'21R2'!M11)/ABS('21R2'!M11)*100,1)</f>
        <v>16.399999999999999</v>
      </c>
      <c r="N77" s="384">
        <f>ROUND((N11-'21R2'!N11)/ABS('21R2'!N11)*100,1)</f>
        <v>22.3</v>
      </c>
      <c r="O77" s="384">
        <f>ROUND((O11-'21R2'!O11)/ABS('21R2'!O11)*100,1)</f>
        <v>-152.4</v>
      </c>
      <c r="R77" s="383"/>
      <c r="S77" s="383"/>
    </row>
    <row r="78" spans="1:21">
      <c r="A78" s="77">
        <v>7</v>
      </c>
      <c r="B78" s="75" t="s">
        <v>210</v>
      </c>
      <c r="C78" s="384">
        <f>ROUND((C12-'21R2'!C12)/ABS('21R2'!C12)*100,1)</f>
        <v>-5.5</v>
      </c>
      <c r="D78" s="384">
        <f>ROUND((D12-'21R2'!D12)/ABS('21R2'!D12)*100,1)</f>
        <v>2.4</v>
      </c>
      <c r="E78" s="384">
        <f>ROUND((E12-'21R2'!E12)/ABS('21R2'!E12)*100,1)</f>
        <v>5.2</v>
      </c>
      <c r="F78" s="384">
        <f>ROUND((F12-'21R2'!F12)/ABS('21R2'!F12)*100,1)</f>
        <v>23.7</v>
      </c>
      <c r="G78" s="384">
        <f>ROUND((G12-'21R2'!G12)/ABS('21R2'!G12)*100,1)</f>
        <v>11.1</v>
      </c>
      <c r="H78" s="384">
        <f>ROUND((H12-'21R2'!H12)/ABS('21R2'!H12)*100,1)</f>
        <v>17.399999999999999</v>
      </c>
      <c r="I78" s="384">
        <f>ROUND((I12-'21R2'!I12)/ABS('21R2'!I12)*100,1)</f>
        <v>98.5</v>
      </c>
      <c r="J78" s="384">
        <f>ROUND((J12-'21R2'!J12)/ABS('21R2'!J12)*100,1)</f>
        <v>-13.3</v>
      </c>
      <c r="K78" s="384">
        <f>ROUND((K12-'21R2'!K12)/ABS('21R2'!K12)*100,1)</f>
        <v>4.9000000000000004</v>
      </c>
      <c r="L78" s="384">
        <f>ROUND((L12-'21R2'!L12)/ABS('21R2'!L12)*100,1)</f>
        <v>-121.6</v>
      </c>
      <c r="M78" s="384">
        <f>ROUND((M12-'21R2'!M12)/ABS('21R2'!M12)*100,1)</f>
        <v>7.6</v>
      </c>
      <c r="N78" s="384">
        <f>ROUND((N12-'21R2'!N12)/ABS('21R2'!N12)*100,1)</f>
        <v>18.899999999999999</v>
      </c>
      <c r="O78" s="384">
        <f>ROUND((O12-'21R2'!O12)/ABS('21R2'!O12)*100,1)</f>
        <v>-67.2</v>
      </c>
      <c r="R78" s="383"/>
      <c r="S78" s="383"/>
    </row>
    <row r="79" spans="1:21">
      <c r="A79" s="77">
        <v>8</v>
      </c>
      <c r="B79" s="75" t="s">
        <v>211</v>
      </c>
      <c r="C79" s="384">
        <f>ROUND((C13-'21R2'!C13)/ABS('21R2'!C13)*100,1)</f>
        <v>6.3</v>
      </c>
      <c r="D79" s="384">
        <f>ROUND((D13-'21R2'!D13)/ABS('21R2'!D13)*100,1)</f>
        <v>4.2</v>
      </c>
      <c r="E79" s="384">
        <f>ROUND((E13-'21R2'!E13)/ABS('21R2'!E13)*100,1)</f>
        <v>10.9</v>
      </c>
      <c r="F79" s="384">
        <f>ROUND((F13-'21R2'!F13)/ABS('21R2'!F13)*100,1)</f>
        <v>-0.4</v>
      </c>
      <c r="G79" s="384">
        <f>ROUND((G13-'21R2'!G13)/ABS('21R2'!G13)*100,1)</f>
        <v>6.4</v>
      </c>
      <c r="H79" s="384">
        <f>ROUND((H13-'21R2'!H13)/ABS('21R2'!H13)*100,1)</f>
        <v>-5.5</v>
      </c>
      <c r="I79" s="384">
        <f>ROUND((I13-'21R2'!I13)/ABS('21R2'!I13)*100,1)</f>
        <v>98.5</v>
      </c>
      <c r="J79" s="384">
        <f>ROUND((J13-'21R2'!J13)/ABS('21R2'!J13)*100,1)</f>
        <v>-20.399999999999999</v>
      </c>
      <c r="K79" s="384">
        <f>ROUND((K13-'21R2'!K13)/ABS('21R2'!K13)*100,1)</f>
        <v>3.4</v>
      </c>
      <c r="L79" s="384">
        <f>ROUND((L13-'21R2'!L13)/ABS('21R2'!L13)*100,1)</f>
        <v>20.7</v>
      </c>
      <c r="M79" s="384">
        <f>ROUND((M13-'21R2'!M13)/ABS('21R2'!M13)*100,1)</f>
        <v>20.399999999999999</v>
      </c>
      <c r="N79" s="384">
        <f>ROUND((N13-'21R2'!N13)/ABS('21R2'!N13)*100,1)</f>
        <v>17.100000000000001</v>
      </c>
      <c r="O79" s="384">
        <f>ROUND((O13-'21R2'!O13)/ABS('21R2'!O13)*100,1)</f>
        <v>-552.9</v>
      </c>
      <c r="R79" s="383"/>
      <c r="S79" s="383"/>
    </row>
    <row r="80" spans="1:21">
      <c r="A80" s="77">
        <v>9</v>
      </c>
      <c r="B80" s="75" t="s">
        <v>212</v>
      </c>
      <c r="C80" s="384">
        <f>ROUND((C14-'21R2'!C14)/ABS('21R2'!C14)*100,1)</f>
        <v>13.5</v>
      </c>
      <c r="D80" s="384">
        <f>ROUND((D14-'21R2'!D14)/ABS('21R2'!D14)*100,1)</f>
        <v>4.0999999999999996</v>
      </c>
      <c r="E80" s="384">
        <f>ROUND((E14-'21R2'!E14)/ABS('21R2'!E14)*100,1)</f>
        <v>6.2</v>
      </c>
      <c r="F80" s="384">
        <f>ROUND((F14-'21R2'!F14)/ABS('21R2'!F14)*100,1)</f>
        <v>49.8</v>
      </c>
      <c r="G80" s="384">
        <f>ROUND((G14-'21R2'!G14)/ABS('21R2'!G14)*100,1)</f>
        <v>89</v>
      </c>
      <c r="H80" s="384">
        <f>ROUND((H14-'21R2'!H14)/ABS('21R2'!H14)*100,1)</f>
        <v>34.299999999999997</v>
      </c>
      <c r="I80" s="384">
        <f>ROUND((I14-'21R2'!I14)/ABS('21R2'!I14)*100,1)</f>
        <v>98.3</v>
      </c>
      <c r="J80" s="384">
        <f>ROUND((J14-'21R2'!J14)/ABS('21R2'!J14)*100,1)</f>
        <v>64.099999999999994</v>
      </c>
      <c r="K80" s="384">
        <f>ROUND((K14-'21R2'!K14)/ABS('21R2'!K14)*100,1)</f>
        <v>14.6</v>
      </c>
      <c r="L80" s="384">
        <f>ROUND((L14-'21R2'!L14)/ABS('21R2'!L14)*100,1)</f>
        <v>-68.5</v>
      </c>
      <c r="M80" s="384">
        <f>ROUND((M14-'21R2'!M14)/ABS('21R2'!M14)*100,1)</f>
        <v>26.8</v>
      </c>
      <c r="N80" s="384">
        <f>ROUND((N14-'21R2'!N14)/ABS('21R2'!N14)*100,1)</f>
        <v>29.8</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10.3</v>
      </c>
      <c r="D82" s="384">
        <f>ROUND((D16-'21R2'!D16)/ABS('21R2'!D16)*100,1)</f>
        <v>13.2</v>
      </c>
      <c r="E82" s="384">
        <f>ROUND((E16-'21R2'!E16)/ABS('21R2'!E16)*100,1)</f>
        <v>5.2</v>
      </c>
      <c r="F82" s="384">
        <f>ROUND((F16-'21R2'!F16)/ABS('21R2'!F16)*100,1)</f>
        <v>22</v>
      </c>
      <c r="G82" s="384">
        <f>ROUND((G16-'21R2'!G16)/ABS('21R2'!G16)*100,1)</f>
        <v>14.8</v>
      </c>
      <c r="H82" s="384">
        <f>ROUND((H16-'21R2'!H16)/ABS('21R2'!H16)*100,1)</f>
        <v>16</v>
      </c>
      <c r="I82" s="384">
        <f>ROUND((I16-'21R2'!I16)/ABS('21R2'!I16)*100,1)</f>
        <v>98.4</v>
      </c>
      <c r="J82" s="384">
        <f>ROUND((J16-'21R2'!J16)/ABS('21R2'!J16)*100,1)</f>
        <v>6.6</v>
      </c>
      <c r="K82" s="384">
        <f>ROUND((K16-'21R2'!K16)/ABS('21R2'!K16)*100,1)</f>
        <v>13.1</v>
      </c>
      <c r="L82" s="384">
        <f>ROUND((L16-'21R2'!L16)/ABS('21R2'!L16)*100,1)</f>
        <v>-18.899999999999999</v>
      </c>
      <c r="M82" s="384">
        <f>ROUND((M16-'21R2'!M16)/ABS('21R2'!M16)*100,1)</f>
        <v>24.2</v>
      </c>
      <c r="N82" s="384">
        <f>ROUND((N16-'21R2'!N16)/ABS('21R2'!N16)*100,1)</f>
        <v>28.1</v>
      </c>
      <c r="O82" s="384">
        <f>ROUND((O16-'21R2'!O16)/ABS('21R2'!O16)*100,1)</f>
        <v>-72</v>
      </c>
      <c r="R82" s="383"/>
      <c r="S82" s="383"/>
    </row>
    <row r="83" spans="1:19">
      <c r="A83" s="293">
        <v>1</v>
      </c>
      <c r="B83" s="65" t="s">
        <v>182</v>
      </c>
      <c r="C83" s="384">
        <f>ROUND((C17-'21R2'!C17)/ABS('21R2'!C17)*100,1)</f>
        <v>10.9</v>
      </c>
      <c r="D83" s="384">
        <f>ROUND((D17-'21R2'!D17)/ABS('21R2'!D17)*100,1)</f>
        <v>12.9</v>
      </c>
      <c r="E83" s="384">
        <f>ROUND((E17-'21R2'!E17)/ABS('21R2'!E17)*100,1)</f>
        <v>9.4</v>
      </c>
      <c r="F83" s="384">
        <f>ROUND((F17-'21R2'!F17)/ABS('21R2'!F17)*100,1)</f>
        <v>20</v>
      </c>
      <c r="G83" s="384">
        <f>ROUND((G17-'21R2'!G17)/ABS('21R2'!G17)*100,1)</f>
        <v>12.2</v>
      </c>
      <c r="H83" s="384">
        <f>ROUND((H17-'21R2'!H17)/ABS('21R2'!H17)*100,1)</f>
        <v>15</v>
      </c>
      <c r="I83" s="384">
        <f>ROUND((I17-'21R2'!I17)/ABS('21R2'!I17)*100,1)</f>
        <v>98.4</v>
      </c>
      <c r="J83" s="384">
        <f>ROUND((J17-'21R2'!J17)/ABS('21R2'!J17)*100,1)</f>
        <v>-29.5</v>
      </c>
      <c r="K83" s="384">
        <f>ROUND((K17-'21R2'!K17)/ABS('21R2'!K17)*100,1)</f>
        <v>12.2</v>
      </c>
      <c r="L83" s="384">
        <f>ROUND((L17-'21R2'!L17)/ABS('21R2'!L17)*100,1)</f>
        <v>-30.2</v>
      </c>
      <c r="M83" s="384">
        <f>ROUND((M17-'21R2'!M17)/ABS('21R2'!M17)*100,1)</f>
        <v>25.3</v>
      </c>
      <c r="N83" s="384">
        <f>ROUND((N17-'21R2'!N17)/ABS('21R2'!N17)*100,1)</f>
        <v>27.2</v>
      </c>
      <c r="O83" s="384">
        <f>ROUND((O17-'21R2'!O17)/ABS('21R2'!O17)*100,1)</f>
        <v>-0.1</v>
      </c>
      <c r="R83" s="383"/>
      <c r="S83" s="383"/>
    </row>
    <row r="84" spans="1:19">
      <c r="A84" s="293">
        <v>202</v>
      </c>
      <c r="B84" s="90" t="s">
        <v>183</v>
      </c>
      <c r="C84" s="384">
        <f>ROUND((C18-'21R2'!C18)/ABS('21R2'!C18)*100,1)</f>
        <v>13.7</v>
      </c>
      <c r="D84" s="384">
        <f>ROUND((D18-'21R2'!D18)/ABS('21R2'!D18)*100,1)</f>
        <v>13.7</v>
      </c>
      <c r="E84" s="384">
        <f>ROUND((E18-'21R2'!E18)/ABS('21R2'!E18)*100,1)</f>
        <v>8</v>
      </c>
      <c r="F84" s="384">
        <f>ROUND((F18-'21R2'!F18)/ABS('21R2'!F18)*100,1)</f>
        <v>29.1</v>
      </c>
      <c r="G84" s="384">
        <f>ROUND((G18-'21R2'!G18)/ABS('21R2'!G18)*100,1)</f>
        <v>33.799999999999997</v>
      </c>
      <c r="H84" s="384">
        <f>ROUND((H18-'21R2'!H18)/ABS('21R2'!H18)*100,1)</f>
        <v>20.8</v>
      </c>
      <c r="I84" s="384">
        <f>ROUND((I18-'21R2'!I18)/ABS('21R2'!I18)*100,1)</f>
        <v>98.3</v>
      </c>
      <c r="J84" s="384">
        <f>ROUND((J18-'21R2'!J18)/ABS('21R2'!J18)*100,1)</f>
        <v>-24.8</v>
      </c>
      <c r="K84" s="384">
        <f>ROUND((K18-'21R2'!K18)/ABS('21R2'!K18)*100,1)</f>
        <v>14.9</v>
      </c>
      <c r="L84" s="384">
        <f>ROUND((L18-'21R2'!L18)/ABS('21R2'!L18)*100,1)</f>
        <v>-0.7</v>
      </c>
      <c r="M84" s="384">
        <f>ROUND((M18-'21R2'!M18)/ABS('21R2'!M18)*100,1)</f>
        <v>28.5</v>
      </c>
      <c r="N84" s="384">
        <f>ROUND((N18-'21R2'!N18)/ABS('21R2'!N18)*100,1)</f>
        <v>30.2</v>
      </c>
      <c r="O84" s="384">
        <f>ROUND((O18-'21R2'!O18)/ABS('21R2'!O18)*100,1)</f>
        <v>-1400.4</v>
      </c>
      <c r="R84" s="383"/>
      <c r="S84" s="383"/>
    </row>
    <row r="85" spans="1:19">
      <c r="A85" s="293">
        <v>204</v>
      </c>
      <c r="B85" s="90" t="s">
        <v>184</v>
      </c>
      <c r="C85" s="384">
        <f>ROUND((C19-'21R2'!C19)/ABS('21R2'!C19)*100,1)</f>
        <v>7.3</v>
      </c>
      <c r="D85" s="384">
        <f>ROUND((D19-'21R2'!D19)/ABS('21R2'!D19)*100,1)</f>
        <v>14</v>
      </c>
      <c r="E85" s="384">
        <f>ROUND((E19-'21R2'!E19)/ABS('21R2'!E19)*100,1)</f>
        <v>11.7</v>
      </c>
      <c r="F85" s="384">
        <f>ROUND((F19-'21R2'!F19)/ABS('21R2'!F19)*100,1)</f>
        <v>11.8</v>
      </c>
      <c r="G85" s="384">
        <f>ROUND((G19-'21R2'!G19)/ABS('21R2'!G19)*100,1)</f>
        <v>-5.5</v>
      </c>
      <c r="H85" s="384">
        <f>ROUND((H19-'21R2'!H19)/ABS('21R2'!H19)*100,1)</f>
        <v>10.6</v>
      </c>
      <c r="I85" s="384">
        <f>ROUND((I19-'21R2'!I19)/ABS('21R2'!I19)*100,1)</f>
        <v>98.4</v>
      </c>
      <c r="J85" s="384">
        <f>ROUND((J19-'21R2'!J19)/ABS('21R2'!J19)*100,1)</f>
        <v>-25.2</v>
      </c>
      <c r="K85" s="384">
        <f>ROUND((K19-'21R2'!K19)/ABS('21R2'!K19)*100,1)</f>
        <v>12</v>
      </c>
      <c r="L85" s="384">
        <f>ROUND((L19-'21R2'!L19)/ABS('21R2'!L19)*100,1)</f>
        <v>-35.6</v>
      </c>
      <c r="M85" s="384">
        <f>ROUND((M19-'21R2'!M19)/ABS('21R2'!M19)*100,1)</f>
        <v>21.5</v>
      </c>
      <c r="N85" s="384">
        <f>ROUND((N19-'21R2'!N19)/ABS('21R2'!N19)*100,1)</f>
        <v>26.9</v>
      </c>
      <c r="O85" s="384">
        <f>ROUND((O19-'21R2'!O19)/ABS('21R2'!O19)*100,1)</f>
        <v>4.3</v>
      </c>
      <c r="R85" s="383"/>
      <c r="S85" s="383"/>
    </row>
    <row r="86" spans="1:19">
      <c r="A86" s="293">
        <v>206</v>
      </c>
      <c r="B86" s="90" t="s">
        <v>185</v>
      </c>
      <c r="C86" s="384">
        <f>ROUND((C20-'21R2'!C20)/ABS('21R2'!C20)*100,1)</f>
        <v>10.6</v>
      </c>
      <c r="D86" s="384">
        <f>ROUND((D20-'21R2'!D20)/ABS('21R2'!D20)*100,1)</f>
        <v>3.4</v>
      </c>
      <c r="E86" s="384">
        <f>ROUND((E20-'21R2'!E20)/ABS('21R2'!E20)*100,1)</f>
        <v>4.5999999999999996</v>
      </c>
      <c r="F86" s="384">
        <f>ROUND((F20-'21R2'!F20)/ABS('21R2'!F20)*100,1)</f>
        <v>3.8</v>
      </c>
      <c r="G86" s="384">
        <f>ROUND((G20-'21R2'!G20)/ABS('21R2'!G20)*100,1)</f>
        <v>-3.9</v>
      </c>
      <c r="H86" s="384">
        <f>ROUND((H20-'21R2'!H20)/ABS('21R2'!H20)*100,1)</f>
        <v>-2.2999999999999998</v>
      </c>
      <c r="I86" s="384">
        <f>ROUND((I20-'21R2'!I20)/ABS('21R2'!I20)*100,1)</f>
        <v>98.5</v>
      </c>
      <c r="J86" s="384">
        <f>ROUND((J20-'21R2'!J20)/ABS('21R2'!J20)*100,1)</f>
        <v>-49.3</v>
      </c>
      <c r="K86" s="384">
        <f>ROUND((K20-'21R2'!K20)/ABS('21R2'!K20)*100,1)</f>
        <v>-0.2</v>
      </c>
      <c r="L86" s="384">
        <f>ROUND((L20-'21R2'!L20)/ABS('21R2'!L20)*100,1)</f>
        <v>21.8</v>
      </c>
      <c r="M86" s="384">
        <f>ROUND((M20-'21R2'!M20)/ABS('21R2'!M20)*100,1)</f>
        <v>23.6</v>
      </c>
      <c r="N86" s="384">
        <f>ROUND((N20-'21R2'!N20)/ABS('21R2'!N20)*100,1)</f>
        <v>13</v>
      </c>
      <c r="O86" s="384">
        <f>ROUND((O20-'21R2'!O20)/ABS('21R2'!O20)*100,1)</f>
        <v>31.8</v>
      </c>
      <c r="R86" s="383"/>
      <c r="S86" s="383"/>
    </row>
    <row r="87" spans="1:19">
      <c r="A87" s="293">
        <v>2</v>
      </c>
      <c r="B87" s="65" t="s">
        <v>186</v>
      </c>
      <c r="C87" s="384">
        <f>ROUND((C21-'21R2'!C21)/ABS('21R2'!C21)*100,1)</f>
        <v>17.100000000000001</v>
      </c>
      <c r="D87" s="384">
        <f>ROUND((D21-'21R2'!D21)/ABS('21R2'!D21)*100,1)</f>
        <v>8.6999999999999993</v>
      </c>
      <c r="E87" s="384">
        <f>ROUND((E21-'21R2'!E21)/ABS('21R2'!E21)*100,1)</f>
        <v>8.9</v>
      </c>
      <c r="F87" s="384">
        <f>ROUND((F21-'21R2'!F21)/ABS('21R2'!F21)*100,1)</f>
        <v>8.4</v>
      </c>
      <c r="G87" s="384">
        <f>ROUND((G21-'21R2'!G21)/ABS('21R2'!G21)*100,1)</f>
        <v>22.2</v>
      </c>
      <c r="H87" s="384">
        <f>ROUND((H21-'21R2'!H21)/ABS('21R2'!H21)*100,1)</f>
        <v>0.3</v>
      </c>
      <c r="I87" s="384">
        <f>ROUND((I21-'21R2'!I21)/ABS('21R2'!I21)*100,1)</f>
        <v>98.4</v>
      </c>
      <c r="J87" s="384">
        <f>ROUND((J21-'21R2'!J21)/ABS('21R2'!J21)*100,1)</f>
        <v>25.1</v>
      </c>
      <c r="K87" s="384">
        <f>ROUND((K21-'21R2'!K21)/ABS('21R2'!K21)*100,1)</f>
        <v>9.1</v>
      </c>
      <c r="L87" s="384">
        <f>ROUND((L21-'21R2'!L21)/ABS('21R2'!L21)*100,1)</f>
        <v>44.5</v>
      </c>
      <c r="M87" s="384">
        <f>ROUND((M21-'21R2'!M21)/ABS('21R2'!M21)*100,1)</f>
        <v>31.6</v>
      </c>
      <c r="N87" s="384">
        <f>ROUND((N21-'21R2'!N21)/ABS('21R2'!N21)*100,1)</f>
        <v>23.6</v>
      </c>
      <c r="O87" s="384">
        <f>ROUND((O21-'21R2'!O21)/ABS('21R2'!O21)*100,1)</f>
        <v>25.4</v>
      </c>
      <c r="R87" s="383"/>
      <c r="S87" s="383"/>
    </row>
    <row r="88" spans="1:19">
      <c r="A88" s="293">
        <v>207</v>
      </c>
      <c r="B88" s="90" t="s">
        <v>187</v>
      </c>
      <c r="C88" s="384">
        <f>ROUND((C22-'21R2'!C22)/ABS('21R2'!C22)*100,1)</f>
        <v>14</v>
      </c>
      <c r="D88" s="384">
        <f>ROUND((D22-'21R2'!D22)/ABS('21R2'!D22)*100,1)</f>
        <v>10.199999999999999</v>
      </c>
      <c r="E88" s="384">
        <f>ROUND((E22-'21R2'!E22)/ABS('21R2'!E22)*100,1)</f>
        <v>5</v>
      </c>
      <c r="F88" s="384">
        <f>ROUND((F22-'21R2'!F22)/ABS('21R2'!F22)*100,1)</f>
        <v>13.3</v>
      </c>
      <c r="G88" s="384">
        <f>ROUND((G22-'21R2'!G22)/ABS('21R2'!G22)*100,1)</f>
        <v>16.399999999999999</v>
      </c>
      <c r="H88" s="384">
        <f>ROUND((H22-'21R2'!H22)/ABS('21R2'!H22)*100,1)</f>
        <v>7.5</v>
      </c>
      <c r="I88" s="384">
        <f>ROUND((I22-'21R2'!I22)/ABS('21R2'!I22)*100,1)</f>
        <v>98.4</v>
      </c>
      <c r="J88" s="384">
        <f>ROUND((J22-'21R2'!J22)/ABS('21R2'!J22)*100,1)</f>
        <v>-7.4</v>
      </c>
      <c r="K88" s="384">
        <f>ROUND((K22-'21R2'!K22)/ABS('21R2'!K22)*100,1)</f>
        <v>9.6999999999999993</v>
      </c>
      <c r="L88" s="384">
        <f>ROUND((L22-'21R2'!L22)/ABS('21R2'!L22)*100,1)</f>
        <v>150.69999999999999</v>
      </c>
      <c r="M88" s="384">
        <f>ROUND((M22-'21R2'!M22)/ABS('21R2'!M22)*100,1)</f>
        <v>28.4</v>
      </c>
      <c r="N88" s="384">
        <f>ROUND((N22-'21R2'!N22)/ABS('21R2'!N22)*100,1)</f>
        <v>24.3</v>
      </c>
      <c r="O88" s="384">
        <f>ROUND((O22-'21R2'!O22)/ABS('21R2'!O22)*100,1)</f>
        <v>3.1</v>
      </c>
      <c r="R88" s="383"/>
      <c r="S88" s="383"/>
    </row>
    <row r="89" spans="1:19">
      <c r="A89" s="293">
        <v>214</v>
      </c>
      <c r="B89" s="90" t="s">
        <v>188</v>
      </c>
      <c r="C89" s="384">
        <f>ROUND((C23-'21R2'!C23)/ABS('21R2'!C23)*100,1)</f>
        <v>9.3000000000000007</v>
      </c>
      <c r="D89" s="384">
        <f>ROUND((D23-'21R2'!D23)/ABS('21R2'!D23)*100,1)</f>
        <v>9.6</v>
      </c>
      <c r="E89" s="384">
        <f>ROUND((E23-'21R2'!E23)/ABS('21R2'!E23)*100,1)</f>
        <v>6.2</v>
      </c>
      <c r="F89" s="384">
        <f>ROUND((F23-'21R2'!F23)/ABS('21R2'!F23)*100,1)</f>
        <v>21.6</v>
      </c>
      <c r="G89" s="384">
        <f>ROUND((G23-'21R2'!G23)/ABS('21R2'!G23)*100,1)</f>
        <v>31.5</v>
      </c>
      <c r="H89" s="384">
        <f>ROUND((H23-'21R2'!H23)/ABS('21R2'!H23)*100,1)</f>
        <v>10.8</v>
      </c>
      <c r="I89" s="384">
        <f>ROUND((I23-'21R2'!I23)/ABS('21R2'!I23)*100,1)</f>
        <v>98.4</v>
      </c>
      <c r="J89" s="384">
        <f>ROUND((J23-'21R2'!J23)/ABS('21R2'!J23)*100,1)</f>
        <v>126</v>
      </c>
      <c r="K89" s="384">
        <f>ROUND((K23-'21R2'!K23)/ABS('21R2'!K23)*100,1)</f>
        <v>13.2</v>
      </c>
      <c r="L89" s="384">
        <f>ROUND((L23-'21R2'!L23)/ABS('21R2'!L23)*100,1)</f>
        <v>-21.3</v>
      </c>
      <c r="M89" s="384">
        <f>ROUND((M23-'21R2'!M23)/ABS('21R2'!M23)*100,1)</f>
        <v>22.7</v>
      </c>
      <c r="N89" s="384">
        <f>ROUND((N23-'21R2'!N23)/ABS('21R2'!N23)*100,1)</f>
        <v>28.2</v>
      </c>
      <c r="O89" s="384">
        <f>ROUND((O23-'21R2'!O23)/ABS('21R2'!O23)*100,1)</f>
        <v>19.2</v>
      </c>
      <c r="R89" s="383"/>
      <c r="S89" s="383"/>
    </row>
    <row r="90" spans="1:19">
      <c r="A90" s="293">
        <v>217</v>
      </c>
      <c r="B90" s="90" t="s">
        <v>189</v>
      </c>
      <c r="C90" s="384">
        <f>ROUND((C24-'21R2'!C24)/ABS('21R2'!C24)*100,1)</f>
        <v>8.9</v>
      </c>
      <c r="D90" s="384">
        <f>ROUND((D24-'21R2'!D24)/ABS('21R2'!D24)*100,1)</f>
        <v>10.3</v>
      </c>
      <c r="E90" s="384">
        <f>ROUND((E24-'21R2'!E24)/ABS('21R2'!E24)*100,1)</f>
        <v>13.2</v>
      </c>
      <c r="F90" s="384">
        <f>ROUND((F24-'21R2'!F24)/ABS('21R2'!F24)*100,1)</f>
        <v>-9.8000000000000007</v>
      </c>
      <c r="G90" s="384">
        <f>ROUND((G24-'21R2'!G24)/ABS('21R2'!G24)*100,1)</f>
        <v>-13.2</v>
      </c>
      <c r="H90" s="384">
        <f>ROUND((H24-'21R2'!H24)/ABS('21R2'!H24)*100,1)</f>
        <v>-14</v>
      </c>
      <c r="I90" s="384">
        <f>ROUND((I24-'21R2'!I24)/ABS('21R2'!I24)*100,1)</f>
        <v>98.5</v>
      </c>
      <c r="J90" s="384">
        <f>ROUND((J24-'21R2'!J24)/ABS('21R2'!J24)*100,1)</f>
        <v>-16.8</v>
      </c>
      <c r="K90" s="384">
        <f>ROUND((K24-'21R2'!K24)/ABS('21R2'!K24)*100,1)</f>
        <v>6.2</v>
      </c>
      <c r="L90" s="384">
        <f>ROUND((L24-'21R2'!L24)/ABS('21R2'!L24)*100,1)</f>
        <v>-0.1</v>
      </c>
      <c r="M90" s="384">
        <f>ROUND((M24-'21R2'!M24)/ABS('21R2'!M24)*100,1)</f>
        <v>23.2</v>
      </c>
      <c r="N90" s="384">
        <f>ROUND((N24-'21R2'!N24)/ABS('21R2'!N24)*100,1)</f>
        <v>20.3</v>
      </c>
      <c r="O90" s="384">
        <f>ROUND((O24-'21R2'!O24)/ABS('21R2'!O24)*100,1)</f>
        <v>23.2</v>
      </c>
      <c r="R90" s="383"/>
      <c r="S90" s="383"/>
    </row>
    <row r="91" spans="1:19">
      <c r="A91" s="293">
        <v>219</v>
      </c>
      <c r="B91" s="90" t="s">
        <v>190</v>
      </c>
      <c r="C91" s="384">
        <f>ROUND((C25-'21R2'!C25)/ABS('21R2'!C25)*100,1)</f>
        <v>38.1</v>
      </c>
      <c r="D91" s="384">
        <f>ROUND((D25-'21R2'!D25)/ABS('21R2'!D25)*100,1)</f>
        <v>2.9</v>
      </c>
      <c r="E91" s="384">
        <f>ROUND((E25-'21R2'!E25)/ABS('21R2'!E25)*100,1)</f>
        <v>14.2</v>
      </c>
      <c r="F91" s="384">
        <f>ROUND((F25-'21R2'!F25)/ABS('21R2'!F25)*100,1)</f>
        <v>4.5</v>
      </c>
      <c r="G91" s="384">
        <f>ROUND((G25-'21R2'!G25)/ABS('21R2'!G25)*100,1)</f>
        <v>124.6</v>
      </c>
      <c r="H91" s="384">
        <f>ROUND((H25-'21R2'!H25)/ABS('21R2'!H25)*100,1)</f>
        <v>-7.7</v>
      </c>
      <c r="I91" s="384">
        <f>ROUND((I25-'21R2'!I25)/ABS('21R2'!I25)*100,1)</f>
        <v>98.5</v>
      </c>
      <c r="J91" s="384">
        <f>ROUND((J25-'21R2'!J25)/ABS('21R2'!J25)*100,1)</f>
        <v>37.299999999999997</v>
      </c>
      <c r="K91" s="384">
        <f>ROUND((K25-'21R2'!K25)/ABS('21R2'!K25)*100,1)</f>
        <v>5.6</v>
      </c>
      <c r="L91" s="384">
        <f>ROUND((L25-'21R2'!L25)/ABS('21R2'!L25)*100,1)</f>
        <v>192</v>
      </c>
      <c r="M91" s="384">
        <f>ROUND((M25-'21R2'!M25)/ABS('21R2'!M25)*100,1)</f>
        <v>54.9</v>
      </c>
      <c r="N91" s="384">
        <f>ROUND((N25-'21R2'!N25)/ABS('21R2'!N25)*100,1)</f>
        <v>19.600000000000001</v>
      </c>
      <c r="O91" s="384">
        <f>ROUND((O25-'21R2'!O25)/ABS('21R2'!O25)*100,1)</f>
        <v>133.4</v>
      </c>
      <c r="R91" s="383"/>
      <c r="S91" s="383"/>
    </row>
    <row r="92" spans="1:19">
      <c r="A92" s="293">
        <v>301</v>
      </c>
      <c r="B92" s="90" t="s">
        <v>191</v>
      </c>
      <c r="C92" s="384">
        <f>ROUND((C26-'21R2'!C26)/ABS('21R2'!C26)*100,1)</f>
        <v>6.9</v>
      </c>
      <c r="D92" s="384">
        <f>ROUND((D26-'21R2'!D26)/ABS('21R2'!D26)*100,1)</f>
        <v>2.6</v>
      </c>
      <c r="E92" s="384">
        <f>ROUND((E26-'21R2'!E26)/ABS('21R2'!E26)*100,1)</f>
        <v>12.4</v>
      </c>
      <c r="F92" s="384">
        <f>ROUND((F26-'21R2'!F26)/ABS('21R2'!F26)*100,1)</f>
        <v>5.7</v>
      </c>
      <c r="G92" s="384">
        <f>ROUND((G26-'21R2'!G26)/ABS('21R2'!G26)*100,1)</f>
        <v>83.5</v>
      </c>
      <c r="H92" s="384">
        <f>ROUND((H26-'21R2'!H26)/ABS('21R2'!H26)*100,1)</f>
        <v>-5.0999999999999996</v>
      </c>
      <c r="I92" s="384">
        <f>ROUND((I26-'21R2'!I26)/ABS('21R2'!I26)*100,1)</f>
        <v>98.5</v>
      </c>
      <c r="J92" s="384">
        <f>ROUND((J26-'21R2'!J26)/ABS('21R2'!J26)*100,1)</f>
        <v>-24.3</v>
      </c>
      <c r="K92" s="384">
        <f>ROUND((K26-'21R2'!K26)/ABS('21R2'!K26)*100,1)</f>
        <v>3.6</v>
      </c>
      <c r="L92" s="384">
        <f>ROUND((L26-'21R2'!L26)/ABS('21R2'!L26)*100,1)</f>
        <v>4.3</v>
      </c>
      <c r="M92" s="384">
        <f>ROUND((M26-'21R2'!M26)/ABS('21R2'!M26)*100,1)</f>
        <v>20.8</v>
      </c>
      <c r="N92" s="384">
        <f>ROUND((N26-'21R2'!N26)/ABS('21R2'!N26)*100,1)</f>
        <v>17.399999999999999</v>
      </c>
      <c r="O92" s="384">
        <f>ROUND((O26-'21R2'!O26)/ABS('21R2'!O26)*100,1)</f>
        <v>16</v>
      </c>
      <c r="R92" s="383"/>
      <c r="S92" s="383"/>
    </row>
    <row r="93" spans="1:19">
      <c r="A93" s="293">
        <v>3</v>
      </c>
      <c r="B93" s="65" t="s">
        <v>192</v>
      </c>
      <c r="C93" s="384">
        <f>ROUND((C27-'21R2'!C27)/ABS('21R2'!C27)*100,1)</f>
        <v>6</v>
      </c>
      <c r="D93" s="384">
        <f>ROUND((D27-'21R2'!D27)/ABS('21R2'!D27)*100,1)</f>
        <v>9.6</v>
      </c>
      <c r="E93" s="384">
        <f>ROUND((E27-'21R2'!E27)/ABS('21R2'!E27)*100,1)</f>
        <v>10.5</v>
      </c>
      <c r="F93" s="384">
        <f>ROUND((F27-'21R2'!F27)/ABS('21R2'!F27)*100,1)</f>
        <v>81.8</v>
      </c>
      <c r="G93" s="384">
        <f>ROUND((G27-'21R2'!G27)/ABS('21R2'!G27)*100,1)</f>
        <v>2.2000000000000002</v>
      </c>
      <c r="H93" s="384">
        <f>ROUND((H27-'21R2'!H27)/ABS('21R2'!H27)*100,1)</f>
        <v>87.8</v>
      </c>
      <c r="I93" s="384">
        <f>ROUND((I27-'21R2'!I27)/ABS('21R2'!I27)*100,1)</f>
        <v>98.2</v>
      </c>
      <c r="J93" s="384">
        <f>ROUND((J27-'21R2'!J27)/ABS('21R2'!J27)*100,1)</f>
        <v>-24.7</v>
      </c>
      <c r="K93" s="384">
        <f>ROUND((K27-'21R2'!K27)/ABS('21R2'!K27)*100,1)</f>
        <v>27.3</v>
      </c>
      <c r="L93" s="384">
        <f>ROUND((L27-'21R2'!L27)/ABS('21R2'!L27)*100,1)</f>
        <v>-191.4</v>
      </c>
      <c r="M93" s="384">
        <f>ROUND((M27-'21R2'!M27)/ABS('21R2'!M27)*100,1)</f>
        <v>20.3</v>
      </c>
      <c r="N93" s="384">
        <f>ROUND((N27-'21R2'!N27)/ABS('21R2'!N27)*100,1)</f>
        <v>44.3</v>
      </c>
      <c r="O93" s="384">
        <f>ROUND((O27-'21R2'!O27)/ABS('21R2'!O27)*100,1)</f>
        <v>-1049.8</v>
      </c>
      <c r="R93" s="383"/>
      <c r="S93" s="383"/>
    </row>
    <row r="94" spans="1:19">
      <c r="A94" s="293">
        <v>203</v>
      </c>
      <c r="B94" s="90" t="s">
        <v>193</v>
      </c>
      <c r="C94" s="384">
        <f>ROUND((C28-'21R2'!C28)/ABS('21R2'!C28)*100,1)</f>
        <v>11.8</v>
      </c>
      <c r="D94" s="384">
        <f>ROUND((D28-'21R2'!D28)/ABS('21R2'!D28)*100,1)</f>
        <v>11</v>
      </c>
      <c r="E94" s="384">
        <f>ROUND((E28-'21R2'!E28)/ABS('21R2'!E28)*100,1)</f>
        <v>9.6</v>
      </c>
      <c r="F94" s="384">
        <f>ROUND((F28-'21R2'!F28)/ABS('21R2'!F28)*100,1)</f>
        <v>259.5</v>
      </c>
      <c r="G94" s="384">
        <f>ROUND((G28-'21R2'!G28)/ABS('21R2'!G28)*100,1)</f>
        <v>-0.4</v>
      </c>
      <c r="H94" s="384">
        <f>ROUND((H28-'21R2'!H28)/ABS('21R2'!H28)*100,1)</f>
        <v>314.89999999999998</v>
      </c>
      <c r="I94" s="384">
        <f>ROUND((I28-'21R2'!I28)/ABS('21R2'!I28)*100,1)</f>
        <v>97.6</v>
      </c>
      <c r="J94" s="384">
        <f>ROUND((J28-'21R2'!J28)/ABS('21R2'!J28)*100,1)</f>
        <v>16.7</v>
      </c>
      <c r="K94" s="384">
        <f>ROUND((K28-'21R2'!K28)/ABS('21R2'!K28)*100,1)</f>
        <v>63</v>
      </c>
      <c r="L94" s="384">
        <f>ROUND((L28-'21R2'!L28)/ABS('21R2'!L28)*100,1)</f>
        <v>-543.1</v>
      </c>
      <c r="M94" s="384">
        <f>ROUND((M28-'21R2'!M28)/ABS('21R2'!M28)*100,1)</f>
        <v>26.5</v>
      </c>
      <c r="N94" s="384">
        <f>ROUND((N28-'21R2'!N28)/ABS('21R2'!N28)*100,1)</f>
        <v>84.7</v>
      </c>
      <c r="O94" s="384">
        <f>ROUND((O28-'21R2'!O28)/ABS('21R2'!O28)*100,1)</f>
        <v>-1493.5</v>
      </c>
      <c r="R94" s="383"/>
      <c r="S94" s="383"/>
    </row>
    <row r="95" spans="1:19">
      <c r="A95" s="293">
        <v>210</v>
      </c>
      <c r="B95" s="90" t="s">
        <v>194</v>
      </c>
      <c r="C95" s="384">
        <f>ROUND((C29-'21R2'!C29)/ABS('21R2'!C29)*100,1)</f>
        <v>1.8</v>
      </c>
      <c r="D95" s="384">
        <f>ROUND((D29-'21R2'!D29)/ABS('21R2'!D29)*100,1)</f>
        <v>10.6</v>
      </c>
      <c r="E95" s="384">
        <f>ROUND((E29-'21R2'!E29)/ABS('21R2'!E29)*100,1)</f>
        <v>7</v>
      </c>
      <c r="F95" s="384">
        <f>ROUND((F29-'21R2'!F29)/ABS('21R2'!F29)*100,1)</f>
        <v>-19.899999999999999</v>
      </c>
      <c r="G95" s="384">
        <f>ROUND((G29-'21R2'!G29)/ABS('21R2'!G29)*100,1)</f>
        <v>14.4</v>
      </c>
      <c r="H95" s="384">
        <f>ROUND((H29-'21R2'!H29)/ABS('21R2'!H29)*100,1)</f>
        <v>-26.2</v>
      </c>
      <c r="I95" s="384">
        <f>ROUND((I29-'21R2'!I29)/ABS('21R2'!I29)*100,1)</f>
        <v>98.5</v>
      </c>
      <c r="J95" s="384">
        <f>ROUND((J29-'21R2'!J29)/ABS('21R2'!J29)*100,1)</f>
        <v>8.6</v>
      </c>
      <c r="K95" s="384">
        <f>ROUND((K29-'21R2'!K29)/ABS('21R2'!K29)*100,1)</f>
        <v>1.1000000000000001</v>
      </c>
      <c r="L95" s="384">
        <f>ROUND((L29-'21R2'!L29)/ABS('21R2'!L29)*100,1)</f>
        <v>3.4</v>
      </c>
      <c r="M95" s="384">
        <f>ROUND((M29-'21R2'!M29)/ABS('21R2'!M29)*100,1)</f>
        <v>15.5</v>
      </c>
      <c r="N95" s="384">
        <f>ROUND((N29-'21R2'!N29)/ABS('21R2'!N29)*100,1)</f>
        <v>14.6</v>
      </c>
      <c r="O95" s="384">
        <f>ROUND((O29-'21R2'!O29)/ABS('21R2'!O29)*100,1)</f>
        <v>17.899999999999999</v>
      </c>
      <c r="R95" s="383"/>
      <c r="S95" s="383"/>
    </row>
    <row r="96" spans="1:19">
      <c r="A96" s="293">
        <v>216</v>
      </c>
      <c r="B96" s="90" t="s">
        <v>195</v>
      </c>
      <c r="C96" s="384">
        <f>ROUND((C30-'21R2'!C30)/ABS('21R2'!C30)*100,1)</f>
        <v>-10.4</v>
      </c>
      <c r="D96" s="384">
        <f>ROUND((D30-'21R2'!D30)/ABS('21R2'!D30)*100,1)</f>
        <v>3.7</v>
      </c>
      <c r="E96" s="384">
        <f>ROUND((E30-'21R2'!E30)/ABS('21R2'!E30)*100,1)</f>
        <v>20.5</v>
      </c>
      <c r="F96" s="384">
        <f>ROUND((F30-'21R2'!F30)/ABS('21R2'!F30)*100,1)</f>
        <v>21.6</v>
      </c>
      <c r="G96" s="384">
        <f>ROUND((G30-'21R2'!G30)/ABS('21R2'!G30)*100,1)</f>
        <v>3.1</v>
      </c>
      <c r="H96" s="384">
        <f>ROUND((H30-'21R2'!H30)/ABS('21R2'!H30)*100,1)</f>
        <v>19.7</v>
      </c>
      <c r="I96" s="384">
        <f>ROUND((I30-'21R2'!I30)/ABS('21R2'!I30)*100,1)</f>
        <v>98.5</v>
      </c>
      <c r="J96" s="384">
        <f>ROUND((J30-'21R2'!J30)/ABS('21R2'!J30)*100,1)</f>
        <v>-71.8</v>
      </c>
      <c r="K96" s="384">
        <f>ROUND((K30-'21R2'!K30)/ABS('21R2'!K30)*100,1)</f>
        <v>3.7</v>
      </c>
      <c r="L96" s="384">
        <f>ROUND((L30-'21R2'!L30)/ABS('21R2'!L30)*100,1)</f>
        <v>-43.2</v>
      </c>
      <c r="M96" s="384">
        <f>ROUND((M30-'21R2'!M30)/ABS('21R2'!M30)*100,1)</f>
        <v>2.8</v>
      </c>
      <c r="N96" s="384">
        <f>ROUND((N30-'21R2'!N30)/ABS('21R2'!N30)*100,1)</f>
        <v>17.5</v>
      </c>
      <c r="O96" s="384">
        <f>ROUND((O30-'21R2'!O30)/ABS('21R2'!O30)*100,1)</f>
        <v>-89.8</v>
      </c>
      <c r="R96" s="383"/>
      <c r="S96" s="383"/>
    </row>
    <row r="97" spans="1:19">
      <c r="A97" s="293">
        <v>381</v>
      </c>
      <c r="B97" s="90" t="s">
        <v>196</v>
      </c>
      <c r="C97" s="384">
        <f>ROUND((C31-'21R2'!C31)/ABS('21R2'!C31)*100,1)</f>
        <v>15.7</v>
      </c>
      <c r="D97" s="384">
        <f>ROUND((D31-'21R2'!D31)/ABS('21R2'!D31)*100,1)</f>
        <v>6.1</v>
      </c>
      <c r="E97" s="384">
        <f>ROUND((E31-'21R2'!E31)/ABS('21R2'!E31)*100,1)</f>
        <v>12.1</v>
      </c>
      <c r="F97" s="384">
        <f>ROUND((F31-'21R2'!F31)/ABS('21R2'!F31)*100,1)</f>
        <v>74.400000000000006</v>
      </c>
      <c r="G97" s="384">
        <f>ROUND((G31-'21R2'!G31)/ABS('21R2'!G31)*100,1)</f>
        <v>9.9</v>
      </c>
      <c r="H97" s="384">
        <f>ROUND((H31-'21R2'!H31)/ABS('21R2'!H31)*100,1)</f>
        <v>79.099999999999994</v>
      </c>
      <c r="I97" s="384">
        <f>ROUND((I31-'21R2'!I31)/ABS('21R2'!I31)*100,1)</f>
        <v>98.3</v>
      </c>
      <c r="J97" s="384">
        <f>ROUND((J31-'21R2'!J31)/ABS('21R2'!J31)*100,1)</f>
        <v>-24.9</v>
      </c>
      <c r="K97" s="384">
        <f>ROUND((K31-'21R2'!K31)/ABS('21R2'!K31)*100,1)</f>
        <v>19.3</v>
      </c>
      <c r="L97" s="384">
        <f>ROUND((L31-'21R2'!L31)/ABS('21R2'!L31)*100,1)</f>
        <v>9.6999999999999993</v>
      </c>
      <c r="M97" s="384">
        <f>ROUND((M31-'21R2'!M31)/ABS('21R2'!M31)*100,1)</f>
        <v>31</v>
      </c>
      <c r="N97" s="384">
        <f>ROUND((N31-'21R2'!N31)/ABS('21R2'!N31)*100,1)</f>
        <v>35.1</v>
      </c>
      <c r="O97" s="384">
        <f>ROUND((O31-'21R2'!O31)/ABS('21R2'!O31)*100,1)</f>
        <v>-49.6</v>
      </c>
      <c r="R97" s="383"/>
      <c r="S97" s="383"/>
    </row>
    <row r="98" spans="1:19">
      <c r="A98" s="293">
        <v>382</v>
      </c>
      <c r="B98" s="90" t="s">
        <v>197</v>
      </c>
      <c r="C98" s="384">
        <f>ROUND((C32-'21R2'!C32)/ABS('21R2'!C32)*100,1)</f>
        <v>29.9</v>
      </c>
      <c r="D98" s="384">
        <f>ROUND((D32-'21R2'!D32)/ABS('21R2'!D32)*100,1)</f>
        <v>5.8</v>
      </c>
      <c r="E98" s="384">
        <f>ROUND((E32-'21R2'!E32)/ABS('21R2'!E32)*100,1)</f>
        <v>15.4</v>
      </c>
      <c r="F98" s="384">
        <f>ROUND((F32-'21R2'!F32)/ABS('21R2'!F32)*100,1)</f>
        <v>42.3</v>
      </c>
      <c r="G98" s="384">
        <f>ROUND((G32-'21R2'!G32)/ABS('21R2'!G32)*100,1)</f>
        <v>-33.799999999999997</v>
      </c>
      <c r="H98" s="384">
        <f>ROUND((H32-'21R2'!H32)/ABS('21R2'!H32)*100,1)</f>
        <v>56.6</v>
      </c>
      <c r="I98" s="384">
        <f>ROUND((I32-'21R2'!I32)/ABS('21R2'!I32)*100,1)</f>
        <v>98.4</v>
      </c>
      <c r="J98" s="384">
        <f>ROUND((J32-'21R2'!J32)/ABS('21R2'!J32)*100,1)</f>
        <v>-71.2</v>
      </c>
      <c r="K98" s="384">
        <f>ROUND((K32-'21R2'!K32)/ABS('21R2'!K32)*100,1)</f>
        <v>12</v>
      </c>
      <c r="L98" s="384">
        <f>ROUND((L32-'21R2'!L32)/ABS('21R2'!L32)*100,1)</f>
        <v>56.7</v>
      </c>
      <c r="M98" s="384">
        <f>ROUND((M32-'21R2'!M32)/ABS('21R2'!M32)*100,1)</f>
        <v>46.8</v>
      </c>
      <c r="N98" s="384">
        <f>ROUND((N32-'21R2'!N32)/ABS('21R2'!N32)*100,1)</f>
        <v>26.9</v>
      </c>
      <c r="O98" s="384">
        <f>ROUND((O32-'21R2'!O32)/ABS('21R2'!O32)*100,1)</f>
        <v>-18.8</v>
      </c>
      <c r="R98" s="383"/>
      <c r="S98" s="383"/>
    </row>
    <row r="99" spans="1:19">
      <c r="A99" s="293">
        <v>4</v>
      </c>
      <c r="B99" s="91" t="s">
        <v>198</v>
      </c>
      <c r="C99" s="384">
        <f>ROUND((C33-'21R2'!C33)/ABS('21R2'!C33)*100,1)</f>
        <v>4.4000000000000004</v>
      </c>
      <c r="D99" s="384">
        <f>ROUND((D33-'21R2'!D33)/ABS('21R2'!D33)*100,1)</f>
        <v>3.6</v>
      </c>
      <c r="E99" s="384">
        <f>ROUND((E33-'21R2'!E33)/ABS('21R2'!E33)*100,1)</f>
        <v>7</v>
      </c>
      <c r="F99" s="384">
        <f>ROUND((F33-'21R2'!F33)/ABS('21R2'!F33)*100,1)</f>
        <v>19.5</v>
      </c>
      <c r="G99" s="384">
        <f>ROUND((G33-'21R2'!G33)/ABS('21R2'!G33)*100,1)</f>
        <v>21.1</v>
      </c>
      <c r="H99" s="384">
        <f>ROUND((H33-'21R2'!H33)/ABS('21R2'!H33)*100,1)</f>
        <v>13.9</v>
      </c>
      <c r="I99" s="384">
        <f>ROUND((I33-'21R2'!I33)/ABS('21R2'!I33)*100,1)</f>
        <v>98.4</v>
      </c>
      <c r="J99" s="384">
        <f>ROUND((J33-'21R2'!J33)/ABS('21R2'!J33)*100,1)</f>
        <v>-3.5</v>
      </c>
      <c r="K99" s="384">
        <f>ROUND((K33-'21R2'!K33)/ABS('21R2'!K33)*100,1)</f>
        <v>7.1</v>
      </c>
      <c r="L99" s="384">
        <f>ROUND((L33-'21R2'!L33)/ABS('21R2'!L33)*100,1)</f>
        <v>-2.1</v>
      </c>
      <c r="M99" s="384">
        <f>ROUND((M33-'21R2'!M33)/ABS('21R2'!M33)*100,1)</f>
        <v>18.3</v>
      </c>
      <c r="N99" s="384">
        <f>ROUND((N33-'21R2'!N33)/ABS('21R2'!N33)*100,1)</f>
        <v>21.3</v>
      </c>
      <c r="O99" s="384">
        <f>ROUND((O33-'21R2'!O33)/ABS('21R2'!O33)*100,1)</f>
        <v>-86.5</v>
      </c>
      <c r="R99" s="383"/>
      <c r="S99" s="383"/>
    </row>
    <row r="100" spans="1:19">
      <c r="A100" s="293">
        <v>213</v>
      </c>
      <c r="B100" s="92" t="s">
        <v>231</v>
      </c>
      <c r="C100" s="384">
        <f>ROUND((C34-'21R2'!C34)/ABS('21R2'!C34)*100,1)</f>
        <v>9.4</v>
      </c>
      <c r="D100" s="384">
        <f>ROUND((D34-'21R2'!D34)/ABS('21R2'!D34)*100,1)</f>
        <v>1.9</v>
      </c>
      <c r="E100" s="384">
        <f>ROUND((E34-'21R2'!E34)/ABS('21R2'!E34)*100,1)</f>
        <v>10.8</v>
      </c>
      <c r="F100" s="384">
        <f>ROUND((F34-'21R2'!F34)/ABS('21R2'!F34)*100,1)</f>
        <v>10</v>
      </c>
      <c r="G100" s="384">
        <f>ROUND((G34-'21R2'!G34)/ABS('21R2'!G34)*100,1)</f>
        <v>43.2</v>
      </c>
      <c r="H100" s="384">
        <f>ROUND((H34-'21R2'!H34)/ABS('21R2'!H34)*100,1)</f>
        <v>-2.2000000000000002</v>
      </c>
      <c r="I100" s="384">
        <f>ROUND((I34-'21R2'!I34)/ABS('21R2'!I34)*100,1)</f>
        <v>98.7</v>
      </c>
      <c r="J100" s="384">
        <f>ROUND((J34-'21R2'!J34)/ABS('21R2'!J34)*100,1)</f>
        <v>-88.8</v>
      </c>
      <c r="K100" s="384">
        <f>ROUND((K34-'21R2'!K34)/ABS('21R2'!K34)*100,1)</f>
        <v>-9.4</v>
      </c>
      <c r="L100" s="384">
        <f>ROUND((L34-'21R2'!L34)/ABS('21R2'!L34)*100,1)</f>
        <v>267.5</v>
      </c>
      <c r="M100" s="384">
        <f>ROUND((M34-'21R2'!M34)/ABS('21R2'!M34)*100,1)</f>
        <v>23.8</v>
      </c>
      <c r="N100" s="384">
        <f>ROUND((N34-'21R2'!N34)/ABS('21R2'!N34)*100,1)</f>
        <v>2.6</v>
      </c>
      <c r="O100" s="384">
        <f>ROUND((O34-'21R2'!O34)/ABS('21R2'!O34)*100,1)</f>
        <v>63.9</v>
      </c>
      <c r="R100" s="383"/>
      <c r="S100" s="383"/>
    </row>
    <row r="101" spans="1:19">
      <c r="A101" s="293">
        <v>215</v>
      </c>
      <c r="B101" s="92" t="s">
        <v>232</v>
      </c>
      <c r="C101" s="384">
        <f>ROUND((C35-'21R2'!C35)/ABS('21R2'!C35)*100,1)</f>
        <v>4.4000000000000004</v>
      </c>
      <c r="D101" s="384">
        <f>ROUND((D35-'21R2'!D35)/ABS('21R2'!D35)*100,1)</f>
        <v>3.7</v>
      </c>
      <c r="E101" s="384">
        <f>ROUND((E35-'21R2'!E35)/ABS('21R2'!E35)*100,1)</f>
        <v>2.9</v>
      </c>
      <c r="F101" s="384">
        <f>ROUND((F35-'21R2'!F35)/ABS('21R2'!F35)*100,1)</f>
        <v>10.4</v>
      </c>
      <c r="G101" s="384">
        <f>ROUND((G35-'21R2'!G35)/ABS('21R2'!G35)*100,1)</f>
        <v>1.6</v>
      </c>
      <c r="H101" s="384">
        <f>ROUND((H35-'21R2'!H35)/ABS('21R2'!H35)*100,1)</f>
        <v>6.1</v>
      </c>
      <c r="I101" s="384">
        <f>ROUND((I35-'21R2'!I35)/ABS('21R2'!I35)*100,1)</f>
        <v>98.5</v>
      </c>
      <c r="J101" s="384">
        <f>ROUND((J35-'21R2'!J35)/ABS('21R2'!J35)*100,1)</f>
        <v>0.1</v>
      </c>
      <c r="K101" s="384">
        <f>ROUND((K35-'21R2'!K35)/ABS('21R2'!K35)*100,1)</f>
        <v>4.7</v>
      </c>
      <c r="L101" s="384">
        <f>ROUND((L35-'21R2'!L35)/ABS('21R2'!L35)*100,1)</f>
        <v>3.4</v>
      </c>
      <c r="M101" s="384">
        <f>ROUND((M35-'21R2'!M35)/ABS('21R2'!M35)*100,1)</f>
        <v>18</v>
      </c>
      <c r="N101" s="384">
        <f>ROUND((N35-'21R2'!N35)/ABS('21R2'!N35)*100,1)</f>
        <v>18.7</v>
      </c>
      <c r="O101" s="384">
        <f>ROUND((O35-'21R2'!O35)/ABS('21R2'!O35)*100,1)</f>
        <v>-157</v>
      </c>
      <c r="R101" s="383"/>
      <c r="S101" s="383"/>
    </row>
    <row r="102" spans="1:19">
      <c r="A102" s="293">
        <v>218</v>
      </c>
      <c r="B102" s="90" t="s">
        <v>200</v>
      </c>
      <c r="C102" s="384">
        <f>ROUND((C36-'21R2'!C36)/ABS('21R2'!C36)*100,1)</f>
        <v>17.3</v>
      </c>
      <c r="D102" s="384">
        <f>ROUND((D36-'21R2'!D36)/ABS('21R2'!D36)*100,1)</f>
        <v>5.2</v>
      </c>
      <c r="E102" s="384">
        <f>ROUND((E36-'21R2'!E36)/ABS('21R2'!E36)*100,1)</f>
        <v>7.1</v>
      </c>
      <c r="F102" s="384">
        <f>ROUND((F36-'21R2'!F36)/ABS('21R2'!F36)*100,1)</f>
        <v>31.3</v>
      </c>
      <c r="G102" s="384">
        <f>ROUND((G36-'21R2'!G36)/ABS('21R2'!G36)*100,1)</f>
        <v>48.3</v>
      </c>
      <c r="H102" s="384">
        <f>ROUND((H36-'21R2'!H36)/ABS('21R2'!H36)*100,1)</f>
        <v>23.6</v>
      </c>
      <c r="I102" s="384">
        <f>ROUND((I36-'21R2'!I36)/ABS('21R2'!I36)*100,1)</f>
        <v>98.4</v>
      </c>
      <c r="J102" s="384">
        <f>ROUND((J36-'21R2'!J36)/ABS('21R2'!J36)*100,1)</f>
        <v>2.8</v>
      </c>
      <c r="K102" s="384">
        <f>ROUND((K36-'21R2'!K36)/ABS('21R2'!K36)*100,1)</f>
        <v>11.7</v>
      </c>
      <c r="L102" s="384">
        <f>ROUND((L36-'21R2'!L36)/ABS('21R2'!L36)*100,1)</f>
        <v>26.7</v>
      </c>
      <c r="M102" s="384">
        <f>ROUND((M36-'21R2'!M36)/ABS('21R2'!M36)*100,1)</f>
        <v>32.4</v>
      </c>
      <c r="N102" s="384">
        <f>ROUND((N36-'21R2'!N36)/ABS('21R2'!N36)*100,1)</f>
        <v>26.6</v>
      </c>
      <c r="O102" s="384">
        <f>ROUND((O36-'21R2'!O36)/ABS('21R2'!O36)*100,1)</f>
        <v>-42.3</v>
      </c>
      <c r="R102" s="383"/>
      <c r="S102" s="383"/>
    </row>
    <row r="103" spans="1:19">
      <c r="A103" s="293">
        <v>220</v>
      </c>
      <c r="B103" s="90" t="s">
        <v>201</v>
      </c>
      <c r="C103" s="384">
        <f>ROUND((C37-'21R2'!C37)/ABS('21R2'!C37)*100,1)</f>
        <v>9.5</v>
      </c>
      <c r="D103" s="384">
        <f>ROUND((D37-'21R2'!D37)/ABS('21R2'!D37)*100,1)</f>
        <v>3.2</v>
      </c>
      <c r="E103" s="384">
        <f>ROUND((E37-'21R2'!E37)/ABS('21R2'!E37)*100,1)</f>
        <v>20.6</v>
      </c>
      <c r="F103" s="384">
        <f>ROUND((F37-'21R2'!F37)/ABS('21R2'!F37)*100,1)</f>
        <v>71.400000000000006</v>
      </c>
      <c r="G103" s="384">
        <f>ROUND((G37-'21R2'!G37)/ABS('21R2'!G37)*100,1)</f>
        <v>3.2</v>
      </c>
      <c r="H103" s="384">
        <f>ROUND((H37-'21R2'!H37)/ABS('21R2'!H37)*100,1)</f>
        <v>71.2</v>
      </c>
      <c r="I103" s="384">
        <f>ROUND((I37-'21R2'!I37)/ABS('21R2'!I37)*100,1)</f>
        <v>98.2</v>
      </c>
      <c r="J103" s="384">
        <f>ROUND((J37-'21R2'!J37)/ABS('21R2'!J37)*100,1)</f>
        <v>-12.5</v>
      </c>
      <c r="K103" s="384">
        <f>ROUND((K37-'21R2'!K37)/ABS('21R2'!K37)*100,1)</f>
        <v>20.100000000000001</v>
      </c>
      <c r="L103" s="384">
        <f>ROUND((L37-'21R2'!L37)/ABS('21R2'!L37)*100,1)</f>
        <v>-8.1</v>
      </c>
      <c r="M103" s="384">
        <f>ROUND((M37-'21R2'!M37)/ABS('21R2'!M37)*100,1)</f>
        <v>24.6</v>
      </c>
      <c r="N103" s="384">
        <f>ROUND((N37-'21R2'!N37)/ABS('21R2'!N37)*100,1)</f>
        <v>36.1</v>
      </c>
      <c r="O103" s="384">
        <f>ROUND((O37-'21R2'!O37)/ABS('21R2'!O37)*100,1)</f>
        <v>-87.5</v>
      </c>
      <c r="R103" s="383"/>
      <c r="S103" s="383"/>
    </row>
    <row r="104" spans="1:19">
      <c r="A104" s="293">
        <v>228</v>
      </c>
      <c r="B104" s="90" t="s">
        <v>239</v>
      </c>
      <c r="C104" s="384">
        <f>ROUND((C38-'21R2'!C38)/ABS('21R2'!C38)*100,1)</f>
        <v>-15.5</v>
      </c>
      <c r="D104" s="384">
        <f>ROUND((D38-'21R2'!D38)/ABS('21R2'!D38)*100,1)</f>
        <v>4.0999999999999996</v>
      </c>
      <c r="E104" s="384">
        <f>ROUND((E38-'21R2'!E38)/ABS('21R2'!E38)*100,1)</f>
        <v>3.1</v>
      </c>
      <c r="F104" s="384">
        <f>ROUND((F38-'21R2'!F38)/ABS('21R2'!F38)*100,1)</f>
        <v>-17.5</v>
      </c>
      <c r="G104" s="384">
        <f>ROUND((G38-'21R2'!G38)/ABS('21R2'!G38)*100,1)</f>
        <v>9.4</v>
      </c>
      <c r="H104" s="384">
        <f>ROUND((H38-'21R2'!H38)/ABS('21R2'!H38)*100,1)</f>
        <v>-23.3</v>
      </c>
      <c r="I104" s="384">
        <f>ROUND((I38-'21R2'!I38)/ABS('21R2'!I38)*100,1)</f>
        <v>98.5</v>
      </c>
      <c r="J104" s="384">
        <f>ROUND((J38-'21R2'!J38)/ABS('21R2'!J38)*100,1)</f>
        <v>230.8</v>
      </c>
      <c r="K104" s="384">
        <f>ROUND((K38-'21R2'!K38)/ABS('21R2'!K38)*100,1)</f>
        <v>6.6</v>
      </c>
      <c r="L104" s="384">
        <f>ROUND((L38-'21R2'!L38)/ABS('21R2'!L38)*100,1)</f>
        <v>-46</v>
      </c>
      <c r="M104" s="384">
        <f>ROUND((M38-'21R2'!M38)/ABS('21R2'!M38)*100,1)</f>
        <v>-3.4</v>
      </c>
      <c r="N104" s="384">
        <f>ROUND((N38-'21R2'!N38)/ABS('21R2'!N38)*100,1)</f>
        <v>20.8</v>
      </c>
      <c r="O104" s="384">
        <f>ROUND((O38-'21R2'!O38)/ABS('21R2'!O38)*100,1)</f>
        <v>-89.9</v>
      </c>
      <c r="R104" s="383"/>
      <c r="S104" s="383"/>
    </row>
    <row r="105" spans="1:19">
      <c r="A105" s="293">
        <v>365</v>
      </c>
      <c r="B105" s="90" t="s">
        <v>233</v>
      </c>
      <c r="C105" s="384">
        <f>ROUND((C39-'21R2'!C39)/ABS('21R2'!C39)*100,1)</f>
        <v>10.6</v>
      </c>
      <c r="D105" s="384">
        <f>ROUND((D39-'21R2'!D39)/ABS('21R2'!D39)*100,1)</f>
        <v>1.7</v>
      </c>
      <c r="E105" s="384">
        <f>ROUND((E39-'21R2'!E39)/ABS('21R2'!E39)*100,1)</f>
        <v>-4.4000000000000004</v>
      </c>
      <c r="F105" s="384">
        <f>ROUND((F39-'21R2'!F39)/ABS('21R2'!F39)*100,1)</f>
        <v>43.2</v>
      </c>
      <c r="G105" s="384">
        <f>ROUND((G39-'21R2'!G39)/ABS('21R2'!G39)*100,1)</f>
        <v>88.1</v>
      </c>
      <c r="H105" s="384">
        <f>ROUND((H39-'21R2'!H39)/ABS('21R2'!H39)*100,1)</f>
        <v>32.5</v>
      </c>
      <c r="I105" s="384">
        <f>ROUND((I39-'21R2'!I39)/ABS('21R2'!I39)*100,1)</f>
        <v>98.5</v>
      </c>
      <c r="J105" s="384">
        <f>ROUND((J39-'21R2'!J39)/ABS('21R2'!J39)*100,1)</f>
        <v>110.7</v>
      </c>
      <c r="K105" s="384">
        <f>ROUND((K39-'21R2'!K39)/ABS('21R2'!K39)*100,1)</f>
        <v>11.3</v>
      </c>
      <c r="L105" s="384">
        <f>ROUND((L39-'21R2'!L39)/ABS('21R2'!L39)*100,1)</f>
        <v>5.4</v>
      </c>
      <c r="M105" s="384">
        <f>ROUND((M39-'21R2'!M39)/ABS('21R2'!M39)*100,1)</f>
        <v>23</v>
      </c>
      <c r="N105" s="384">
        <f>ROUND((N39-'21R2'!N39)/ABS('21R2'!N39)*100,1)</f>
        <v>26.1</v>
      </c>
      <c r="O105" s="384">
        <f>ROUND((O39-'21R2'!O39)/ABS('21R2'!O39)*100,1)</f>
        <v>-19.8</v>
      </c>
      <c r="R105" s="383"/>
      <c r="S105" s="383"/>
    </row>
    <row r="106" spans="1:19">
      <c r="A106" s="293">
        <v>5</v>
      </c>
      <c r="B106" s="91" t="s">
        <v>202</v>
      </c>
      <c r="C106" s="384">
        <f>ROUND((C40-'21R2'!C40)/ABS('21R2'!C40)*100,1)</f>
        <v>13</v>
      </c>
      <c r="D106" s="384">
        <f>ROUND((D40-'21R2'!D40)/ABS('21R2'!D40)*100,1)</f>
        <v>13.5</v>
      </c>
      <c r="E106" s="384">
        <f>ROUND((E40-'21R2'!E40)/ABS('21R2'!E40)*100,1)</f>
        <v>13.7</v>
      </c>
      <c r="F106" s="384">
        <f>ROUND((F40-'21R2'!F40)/ABS('21R2'!F40)*100,1)</f>
        <v>32.4</v>
      </c>
      <c r="G106" s="384">
        <f>ROUND((G40-'21R2'!G40)/ABS('21R2'!G40)*100,1)</f>
        <v>30.9</v>
      </c>
      <c r="H106" s="384">
        <f>ROUND((H40-'21R2'!H40)/ABS('21R2'!H40)*100,1)</f>
        <v>28</v>
      </c>
      <c r="I106" s="384">
        <f>ROUND((I40-'21R2'!I40)/ABS('21R2'!I40)*100,1)</f>
        <v>98.3</v>
      </c>
      <c r="J106" s="384">
        <f>ROUND((J40-'21R2'!J40)/ABS('21R2'!J40)*100,1)</f>
        <v>-33.799999999999997</v>
      </c>
      <c r="K106" s="384">
        <f>ROUND((K40-'21R2'!K40)/ABS('21R2'!K40)*100,1)</f>
        <v>15.8</v>
      </c>
      <c r="L106" s="384">
        <f>ROUND((L40-'21R2'!L40)/ABS('21R2'!L40)*100,1)</f>
        <v>-7.4</v>
      </c>
      <c r="M106" s="384">
        <f>ROUND((M40-'21R2'!M40)/ABS('21R2'!M40)*100,1)</f>
        <v>28.1</v>
      </c>
      <c r="N106" s="384">
        <f>ROUND((N40-'21R2'!N40)/ABS('21R2'!N40)*100,1)</f>
        <v>31.2</v>
      </c>
      <c r="O106" s="384">
        <f>ROUND((O40-'21R2'!O40)/ABS('21R2'!O40)*100,1)</f>
        <v>-194.9</v>
      </c>
      <c r="R106" s="383"/>
      <c r="S106" s="383"/>
    </row>
    <row r="107" spans="1:19">
      <c r="A107" s="293">
        <v>201</v>
      </c>
      <c r="B107" s="92" t="s">
        <v>240</v>
      </c>
      <c r="C107" s="384">
        <f>ROUND((C41-'21R2'!C41)/ABS('21R2'!C41)*100,1)</f>
        <v>13.2</v>
      </c>
      <c r="D107" s="384">
        <f>ROUND((D41-'21R2'!D41)/ABS('21R2'!D41)*100,1)</f>
        <v>14.2</v>
      </c>
      <c r="E107" s="384">
        <f>ROUND((E41-'21R2'!E41)/ABS('21R2'!E41)*100,1)</f>
        <v>14.6</v>
      </c>
      <c r="F107" s="384">
        <f>ROUND((F41-'21R2'!F41)/ABS('21R2'!F41)*100,1)</f>
        <v>41.3</v>
      </c>
      <c r="G107" s="384">
        <f>ROUND((G41-'21R2'!G41)/ABS('21R2'!G41)*100,1)</f>
        <v>30.4</v>
      </c>
      <c r="H107" s="384">
        <f>ROUND((H41-'21R2'!H41)/ABS('21R2'!H41)*100,1)</f>
        <v>37.9</v>
      </c>
      <c r="I107" s="384">
        <f>ROUND((I41-'21R2'!I41)/ABS('21R2'!I41)*100,1)</f>
        <v>98.3</v>
      </c>
      <c r="J107" s="384">
        <f>ROUND((J41-'21R2'!J41)/ABS('21R2'!J41)*100,1)</f>
        <v>-35.1</v>
      </c>
      <c r="K107" s="384">
        <f>ROUND((K41-'21R2'!K41)/ABS('21R2'!K41)*100,1)</f>
        <v>18.399999999999999</v>
      </c>
      <c r="L107" s="384">
        <f>ROUND((L41-'21R2'!L41)/ABS('21R2'!L41)*100,1)</f>
        <v>-29.5</v>
      </c>
      <c r="M107" s="384">
        <f>ROUND((M41-'21R2'!M41)/ABS('21R2'!M41)*100,1)</f>
        <v>28.3</v>
      </c>
      <c r="N107" s="384">
        <f>ROUND((N41-'21R2'!N41)/ABS('21R2'!N41)*100,1)</f>
        <v>34.1</v>
      </c>
      <c r="O107" s="384">
        <f>ROUND((O41-'21R2'!O41)/ABS('21R2'!O41)*100,1)</f>
        <v>-253</v>
      </c>
      <c r="R107" s="383"/>
      <c r="S107" s="383"/>
    </row>
    <row r="108" spans="1:19">
      <c r="A108" s="293">
        <v>442</v>
      </c>
      <c r="B108" s="90" t="s">
        <v>203</v>
      </c>
      <c r="C108" s="384">
        <f>ROUND((C42-'21R2'!C42)/ABS('21R2'!C42)*100,1)</f>
        <v>16.899999999999999</v>
      </c>
      <c r="D108" s="384">
        <f>ROUND((D42-'21R2'!D42)/ABS('21R2'!D42)*100,1)</f>
        <v>1</v>
      </c>
      <c r="E108" s="384">
        <f>ROUND((E42-'21R2'!E42)/ABS('21R2'!E42)*100,1)</f>
        <v>4.5999999999999996</v>
      </c>
      <c r="F108" s="384">
        <f>ROUND((F42-'21R2'!F42)/ABS('21R2'!F42)*100,1)</f>
        <v>7.3</v>
      </c>
      <c r="G108" s="384">
        <f>ROUND((G42-'21R2'!G42)/ABS('21R2'!G42)*100,1)</f>
        <v>15.4</v>
      </c>
      <c r="H108" s="384">
        <f>ROUND((H42-'21R2'!H42)/ABS('21R2'!H42)*100,1)</f>
        <v>1.3</v>
      </c>
      <c r="I108" s="384">
        <f>ROUND((I42-'21R2'!I42)/ABS('21R2'!I42)*100,1)</f>
        <v>98.6</v>
      </c>
      <c r="J108" s="384">
        <f>ROUND((J42-'21R2'!J42)/ABS('21R2'!J42)*100,1)</f>
        <v>-19.3</v>
      </c>
      <c r="K108" s="384">
        <f>ROUND((K42-'21R2'!K42)/ABS('21R2'!K42)*100,1)</f>
        <v>1.4</v>
      </c>
      <c r="L108" s="384">
        <f>ROUND((L42-'21R2'!L42)/ABS('21R2'!L42)*100,1)</f>
        <v>403.6</v>
      </c>
      <c r="M108" s="384">
        <f>ROUND((M42-'21R2'!M42)/ABS('21R2'!M42)*100,1)</f>
        <v>30.1</v>
      </c>
      <c r="N108" s="384">
        <f>ROUND((N42-'21R2'!N42)/ABS('21R2'!N42)*100,1)</f>
        <v>14.9</v>
      </c>
      <c r="O108" s="384">
        <f>ROUND((O42-'21R2'!O42)/ABS('21R2'!O42)*100,1)</f>
        <v>22.8</v>
      </c>
      <c r="R108" s="383"/>
      <c r="S108" s="383"/>
    </row>
    <row r="109" spans="1:19">
      <c r="A109" s="293">
        <v>443</v>
      </c>
      <c r="B109" s="90" t="s">
        <v>204</v>
      </c>
      <c r="C109" s="384">
        <f>ROUND((C43-'21R2'!C43)/ABS('21R2'!C43)*100,1)</f>
        <v>9</v>
      </c>
      <c r="D109" s="384">
        <f>ROUND((D43-'21R2'!D43)/ABS('21R2'!D43)*100,1)</f>
        <v>6</v>
      </c>
      <c r="E109" s="384">
        <f>ROUND((E43-'21R2'!E43)/ABS('21R2'!E43)*100,1)</f>
        <v>8.3000000000000007</v>
      </c>
      <c r="F109" s="384">
        <f>ROUND((F43-'21R2'!F43)/ABS('21R2'!F43)*100,1)</f>
        <v>-50.7</v>
      </c>
      <c r="G109" s="384">
        <f>ROUND((G43-'21R2'!G43)/ABS('21R2'!G43)*100,1)</f>
        <v>56</v>
      </c>
      <c r="H109" s="384">
        <f>ROUND((H43-'21R2'!H43)/ABS('21R2'!H43)*100,1)</f>
        <v>-55.3</v>
      </c>
      <c r="I109" s="384">
        <f>ROUND((I43-'21R2'!I43)/ABS('21R2'!I43)*100,1)</f>
        <v>98.8</v>
      </c>
      <c r="J109" s="384">
        <f>ROUND((J43-'21R2'!J43)/ABS('21R2'!J43)*100,1)</f>
        <v>15.5</v>
      </c>
      <c r="K109" s="384">
        <f>ROUND((K43-'21R2'!K43)/ABS('21R2'!K43)*100,1)</f>
        <v>-22.1</v>
      </c>
      <c r="L109" s="384">
        <f>ROUND((L43-'21R2'!L43)/ABS('21R2'!L43)*100,1)</f>
        <v>57.4</v>
      </c>
      <c r="M109" s="384">
        <f>ROUND((M43-'21R2'!M43)/ABS('21R2'!M43)*100,1)</f>
        <v>23.7</v>
      </c>
      <c r="N109" s="384">
        <f>ROUND((N43-'21R2'!N43)/ABS('21R2'!N43)*100,1)</f>
        <v>-11.7</v>
      </c>
      <c r="O109" s="384">
        <f>ROUND((O43-'21R2'!O43)/ABS('21R2'!O43)*100,1)</f>
        <v>-20.8</v>
      </c>
      <c r="R109" s="383"/>
      <c r="S109" s="383"/>
    </row>
    <row r="110" spans="1:19">
      <c r="A110" s="293">
        <v>446</v>
      </c>
      <c r="B110" s="90" t="s">
        <v>234</v>
      </c>
      <c r="C110" s="384">
        <f>ROUND((C44-'21R2'!C44)/ABS('21R2'!C44)*100,1)</f>
        <v>18.5</v>
      </c>
      <c r="D110" s="384">
        <f>ROUND((D44-'21R2'!D44)/ABS('21R2'!D44)*100,1)</f>
        <v>2.8</v>
      </c>
      <c r="E110" s="384">
        <f>ROUND((E44-'21R2'!E44)/ABS('21R2'!E44)*100,1)</f>
        <v>6.7</v>
      </c>
      <c r="F110" s="384">
        <f>ROUND((F44-'21R2'!F44)/ABS('21R2'!F44)*100,1)</f>
        <v>-9.3000000000000007</v>
      </c>
      <c r="G110" s="384">
        <f>ROUND((G44-'21R2'!G44)/ABS('21R2'!G44)*100,1)</f>
        <v>10.199999999999999</v>
      </c>
      <c r="H110" s="384">
        <f>ROUND((H44-'21R2'!H44)/ABS('21R2'!H44)*100,1)</f>
        <v>-13.4</v>
      </c>
      <c r="I110" s="384">
        <f>ROUND((I44-'21R2'!I44)/ABS('21R2'!I44)*100,1)</f>
        <v>98.7</v>
      </c>
      <c r="J110" s="384">
        <f>ROUND((J44-'21R2'!J44)/ABS('21R2'!J44)*100,1)</f>
        <v>-26.9</v>
      </c>
      <c r="K110" s="384">
        <f>ROUND((K44-'21R2'!K44)/ABS('21R2'!K44)*100,1)</f>
        <v>-1.4</v>
      </c>
      <c r="L110" s="384">
        <f>ROUND((L44-'21R2'!L44)/ABS('21R2'!L44)*100,1)</f>
        <v>60.1</v>
      </c>
      <c r="M110" s="384">
        <f>ROUND((M44-'21R2'!M44)/ABS('21R2'!M44)*100,1)</f>
        <v>30.9</v>
      </c>
      <c r="N110" s="384">
        <f>ROUND((N44-'21R2'!N44)/ABS('21R2'!N44)*100,1)</f>
        <v>11.8</v>
      </c>
      <c r="O110" s="384">
        <f>ROUND((O44-'21R2'!O44)/ABS('21R2'!O44)*100,1)</f>
        <v>26.6</v>
      </c>
      <c r="R110" s="383"/>
      <c r="S110" s="383"/>
    </row>
    <row r="111" spans="1:19">
      <c r="A111" s="293">
        <v>6</v>
      </c>
      <c r="B111" s="91" t="s">
        <v>205</v>
      </c>
      <c r="C111" s="384">
        <f>ROUND((C45-'21R2'!C45)/ABS('21R2'!C45)*100,1)</f>
        <v>2.7</v>
      </c>
      <c r="D111" s="384">
        <f>ROUND((D45-'21R2'!D45)/ABS('21R2'!D45)*100,1)</f>
        <v>2.9</v>
      </c>
      <c r="E111" s="384">
        <f>ROUND((E45-'21R2'!E45)/ABS('21R2'!E45)*100,1)</f>
        <v>6.2</v>
      </c>
      <c r="F111" s="384">
        <f>ROUND((F45-'21R2'!F45)/ABS('21R2'!F45)*100,1)</f>
        <v>33.1</v>
      </c>
      <c r="G111" s="384">
        <f>ROUND((G45-'21R2'!G45)/ABS('21R2'!G45)*100,1)</f>
        <v>24.3</v>
      </c>
      <c r="H111" s="384">
        <f>ROUND((H45-'21R2'!H45)/ABS('21R2'!H45)*100,1)</f>
        <v>28.3</v>
      </c>
      <c r="I111" s="384">
        <f>ROUND((I45-'21R2'!I45)/ABS('21R2'!I45)*100,1)</f>
        <v>98.4</v>
      </c>
      <c r="J111" s="384">
        <f>ROUND((J45-'21R2'!J45)/ABS('21R2'!J45)*100,1)</f>
        <v>-29</v>
      </c>
      <c r="K111" s="384">
        <f>ROUND((K45-'21R2'!K45)/ABS('21R2'!K45)*100,1)</f>
        <v>8</v>
      </c>
      <c r="L111" s="384">
        <f>ROUND((L45-'21R2'!L45)/ABS('21R2'!L45)*100,1)</f>
        <v>-16.3</v>
      </c>
      <c r="M111" s="384">
        <f>ROUND((M45-'21R2'!M45)/ABS('21R2'!M45)*100,1)</f>
        <v>16.399999999999999</v>
      </c>
      <c r="N111" s="384">
        <f>ROUND((N45-'21R2'!N45)/ABS('21R2'!N45)*100,1)</f>
        <v>22.3</v>
      </c>
      <c r="O111" s="384">
        <f>ROUND((O45-'21R2'!O45)/ABS('21R2'!O45)*100,1)</f>
        <v>-152.4</v>
      </c>
      <c r="R111" s="383"/>
      <c r="S111" s="383"/>
    </row>
    <row r="112" spans="1:19">
      <c r="A112" s="293">
        <v>208</v>
      </c>
      <c r="B112" s="90" t="s">
        <v>206</v>
      </c>
      <c r="C112" s="384">
        <f>ROUND((C46-'21R2'!C46)/ABS('21R2'!C46)*100,1)</f>
        <v>4.3</v>
      </c>
      <c r="D112" s="384">
        <f>ROUND((D46-'21R2'!D46)/ABS('21R2'!D46)*100,1)</f>
        <v>0.5</v>
      </c>
      <c r="E112" s="384">
        <f>ROUND((E46-'21R2'!E46)/ABS('21R2'!E46)*100,1)</f>
        <v>6.5</v>
      </c>
      <c r="F112" s="384">
        <f>ROUND((F46-'21R2'!F46)/ABS('21R2'!F46)*100,1)</f>
        <v>1</v>
      </c>
      <c r="G112" s="384">
        <f>ROUND((G46-'21R2'!G46)/ABS('21R2'!G46)*100,1)</f>
        <v>29.2</v>
      </c>
      <c r="H112" s="384">
        <f>ROUND((H46-'21R2'!H46)/ABS('21R2'!H46)*100,1)</f>
        <v>-5.6</v>
      </c>
      <c r="I112" s="384">
        <f>ROUND((I46-'21R2'!I46)/ABS('21R2'!I46)*100,1)</f>
        <v>98.5</v>
      </c>
      <c r="J112" s="384">
        <f>ROUND((J46-'21R2'!J46)/ABS('21R2'!J46)*100,1)</f>
        <v>50.5</v>
      </c>
      <c r="K112" s="384">
        <f>ROUND((K46-'21R2'!K46)/ABS('21R2'!K46)*100,1)</f>
        <v>2.6</v>
      </c>
      <c r="L112" s="384">
        <f>ROUND((L46-'21R2'!L46)/ABS('21R2'!L46)*100,1)</f>
        <v>6.4</v>
      </c>
      <c r="M112" s="384">
        <f>ROUND((M46-'21R2'!M46)/ABS('21R2'!M46)*100,1)</f>
        <v>18.3</v>
      </c>
      <c r="N112" s="384">
        <f>ROUND((N46-'21R2'!N46)/ABS('21R2'!N46)*100,1)</f>
        <v>16.2</v>
      </c>
      <c r="O112" s="384">
        <f>ROUND((O46-'21R2'!O46)/ABS('21R2'!O46)*100,1)</f>
        <v>-54.7</v>
      </c>
      <c r="R112" s="383"/>
      <c r="S112" s="383"/>
    </row>
    <row r="113" spans="1:19">
      <c r="A113" s="293">
        <v>212</v>
      </c>
      <c r="B113" s="90" t="s">
        <v>207</v>
      </c>
      <c r="C113" s="384">
        <f>ROUND((C47-'21R2'!C47)/ABS('21R2'!C47)*100,1)</f>
        <v>1.8</v>
      </c>
      <c r="D113" s="384">
        <f>ROUND((D47-'21R2'!D47)/ABS('21R2'!D47)*100,1)</f>
        <v>2.8</v>
      </c>
      <c r="E113" s="384">
        <f>ROUND((E47-'21R2'!E47)/ABS('21R2'!E47)*100,1)</f>
        <v>3.5</v>
      </c>
      <c r="F113" s="384">
        <f>ROUND((F47-'21R2'!F47)/ABS('21R2'!F47)*100,1)</f>
        <v>18.399999999999999</v>
      </c>
      <c r="G113" s="384">
        <f>ROUND((G47-'21R2'!G47)/ABS('21R2'!G47)*100,1)</f>
        <v>-15.7</v>
      </c>
      <c r="H113" s="384">
        <f>ROUND((H47-'21R2'!H47)/ABS('21R2'!H47)*100,1)</f>
        <v>18.399999999999999</v>
      </c>
      <c r="I113" s="384">
        <f>ROUND((I47-'21R2'!I47)/ABS('21R2'!I47)*100,1)</f>
        <v>98.4</v>
      </c>
      <c r="J113" s="384">
        <f>ROUND((J47-'21R2'!J47)/ABS('21R2'!J47)*100,1)</f>
        <v>49</v>
      </c>
      <c r="K113" s="384">
        <f>ROUND((K47-'21R2'!K47)/ABS('21R2'!K47)*100,1)</f>
        <v>9</v>
      </c>
      <c r="L113" s="384">
        <f>ROUND((L47-'21R2'!L47)/ABS('21R2'!L47)*100,1)</f>
        <v>-21.2</v>
      </c>
      <c r="M113" s="384">
        <f>ROUND((M47-'21R2'!M47)/ABS('21R2'!M47)*100,1)</f>
        <v>15.4</v>
      </c>
      <c r="N113" s="384">
        <f>ROUND((N47-'21R2'!N47)/ABS('21R2'!N47)*100,1)</f>
        <v>23.5</v>
      </c>
      <c r="O113" s="384">
        <f>ROUND((O47-'21R2'!O47)/ABS('21R2'!O47)*100,1)</f>
        <v>-109.3</v>
      </c>
      <c r="R113" s="383"/>
      <c r="S113" s="383"/>
    </row>
    <row r="114" spans="1:19">
      <c r="A114" s="293">
        <v>227</v>
      </c>
      <c r="B114" s="90" t="s">
        <v>219</v>
      </c>
      <c r="C114" s="384">
        <f>ROUND((C48-'21R2'!C48)/ABS('21R2'!C48)*100,1)</f>
        <v>9.9</v>
      </c>
      <c r="D114" s="384">
        <f>ROUND((D48-'21R2'!D48)/ABS('21R2'!D48)*100,1)</f>
        <v>1.9</v>
      </c>
      <c r="E114" s="384">
        <f>ROUND((E48-'21R2'!E48)/ABS('21R2'!E48)*100,1)</f>
        <v>9.5</v>
      </c>
      <c r="F114" s="384">
        <f>ROUND((F48-'21R2'!F48)/ABS('21R2'!F48)*100,1)</f>
        <v>23.8</v>
      </c>
      <c r="G114" s="384">
        <f>ROUND((G48-'21R2'!G48)/ABS('21R2'!G48)*100,1)</f>
        <v>-29.1</v>
      </c>
      <c r="H114" s="384">
        <f>ROUND((H48-'21R2'!H48)/ABS('21R2'!H48)*100,1)</f>
        <v>21.5</v>
      </c>
      <c r="I114" s="384">
        <f>ROUND((I48-'21R2'!I48)/ABS('21R2'!I48)*100,1)</f>
        <v>98.4</v>
      </c>
      <c r="J114" s="384">
        <f>ROUND((J48-'21R2'!J48)/ABS('21R2'!J48)*100,1)</f>
        <v>-24.4</v>
      </c>
      <c r="K114" s="384">
        <f>ROUND((K48-'21R2'!K48)/ABS('21R2'!K48)*100,1)</f>
        <v>4.7</v>
      </c>
      <c r="L114" s="384">
        <f>ROUND((L48-'21R2'!L48)/ABS('21R2'!L48)*100,1)</f>
        <v>143.6</v>
      </c>
      <c r="M114" s="384">
        <f>ROUND((M48-'21R2'!M48)/ABS('21R2'!M48)*100,1)</f>
        <v>23.6</v>
      </c>
      <c r="N114" s="384">
        <f>ROUND((N48-'21R2'!N48)/ABS('21R2'!N48)*100,1)</f>
        <v>18.600000000000001</v>
      </c>
      <c r="O114" s="384">
        <f>ROUND((O48-'21R2'!O48)/ABS('21R2'!O48)*100,1)</f>
        <v>-0.7</v>
      </c>
      <c r="R114" s="383"/>
      <c r="S114" s="383"/>
    </row>
    <row r="115" spans="1:19">
      <c r="A115" s="293">
        <v>229</v>
      </c>
      <c r="B115" s="90" t="s">
        <v>235</v>
      </c>
      <c r="C115" s="384">
        <f>ROUND((C49-'21R2'!C49)/ABS('21R2'!C49)*100,1)</f>
        <v>2.6</v>
      </c>
      <c r="D115" s="384">
        <f>ROUND((D49-'21R2'!D49)/ABS('21R2'!D49)*100,1)</f>
        <v>3.8</v>
      </c>
      <c r="E115" s="384">
        <f>ROUND((E49-'21R2'!E49)/ABS('21R2'!E49)*100,1)</f>
        <v>4.2</v>
      </c>
      <c r="F115" s="384">
        <f>ROUND((F49-'21R2'!F49)/ABS('21R2'!F49)*100,1)</f>
        <v>2.8</v>
      </c>
      <c r="G115" s="384">
        <f>ROUND((G49-'21R2'!G49)/ABS('21R2'!G49)*100,1)</f>
        <v>73</v>
      </c>
      <c r="H115" s="384">
        <f>ROUND((H49-'21R2'!H49)/ABS('21R2'!H49)*100,1)</f>
        <v>-6.2</v>
      </c>
      <c r="I115" s="384">
        <f>ROUND((I49-'21R2'!I49)/ABS('21R2'!I49)*100,1)</f>
        <v>98.6</v>
      </c>
      <c r="J115" s="384">
        <f>ROUND((J49-'21R2'!J49)/ABS('21R2'!J49)*100,1)</f>
        <v>-45.2</v>
      </c>
      <c r="K115" s="384">
        <f>ROUND((K49-'21R2'!K49)/ABS('21R2'!K49)*100,1)</f>
        <v>-0.2</v>
      </c>
      <c r="L115" s="384">
        <f>ROUND((L49-'21R2'!L49)/ABS('21R2'!L49)*100,1)</f>
        <v>10.3</v>
      </c>
      <c r="M115" s="384">
        <f>ROUND((M49-'21R2'!M49)/ABS('21R2'!M49)*100,1)</f>
        <v>16.399999999999999</v>
      </c>
      <c r="N115" s="384">
        <f>ROUND((N49-'21R2'!N49)/ABS('21R2'!N49)*100,1)</f>
        <v>13</v>
      </c>
      <c r="O115" s="384">
        <f>ROUND((O49-'21R2'!O49)/ABS('21R2'!O49)*100,1)</f>
        <v>-63.4</v>
      </c>
      <c r="R115" s="383"/>
      <c r="S115" s="383"/>
    </row>
    <row r="116" spans="1:19">
      <c r="A116" s="293">
        <v>464</v>
      </c>
      <c r="B116" s="90" t="s">
        <v>208</v>
      </c>
      <c r="C116" s="384">
        <f>ROUND((C50-'21R2'!C50)/ABS('21R2'!C50)*100,1)</f>
        <v>-8.9</v>
      </c>
      <c r="D116" s="384">
        <f>ROUND((D50-'21R2'!D50)/ABS('21R2'!D50)*100,1)</f>
        <v>5.4</v>
      </c>
      <c r="E116" s="384">
        <f>ROUND((E50-'21R2'!E50)/ABS('21R2'!E50)*100,1)</f>
        <v>12.6</v>
      </c>
      <c r="F116" s="384">
        <f>ROUND((F50-'21R2'!F50)/ABS('21R2'!F50)*100,1)</f>
        <v>302.39999999999998</v>
      </c>
      <c r="G116" s="384">
        <f>ROUND((G50-'21R2'!G50)/ABS('21R2'!G50)*100,1)</f>
        <v>61.8</v>
      </c>
      <c r="H116" s="384">
        <f>ROUND((H50-'21R2'!H50)/ABS('21R2'!H50)*100,1)</f>
        <v>334.5</v>
      </c>
      <c r="I116" s="384">
        <f>ROUND((I50-'21R2'!I50)/ABS('21R2'!I50)*100,1)</f>
        <v>97.9</v>
      </c>
      <c r="J116" s="384">
        <f>ROUND((J50-'21R2'!J50)/ABS('21R2'!J50)*100,1)</f>
        <v>-76.3</v>
      </c>
      <c r="K116" s="384">
        <f>ROUND((K50-'21R2'!K50)/ABS('21R2'!K50)*100,1)</f>
        <v>45.5</v>
      </c>
      <c r="L116" s="384">
        <f>ROUND((L50-'21R2'!L50)/ABS('21R2'!L50)*100,1)</f>
        <v>-325.8</v>
      </c>
      <c r="M116" s="384">
        <f>ROUND((M50-'21R2'!M50)/ABS('21R2'!M50)*100,1)</f>
        <v>4.3</v>
      </c>
      <c r="N116" s="384">
        <f>ROUND((N50-'21R2'!N50)/ABS('21R2'!N50)*100,1)</f>
        <v>64.900000000000006</v>
      </c>
      <c r="O116" s="384">
        <f>ROUND((O50-'21R2'!O50)/ABS('21R2'!O50)*100,1)</f>
        <v>-567.4</v>
      </c>
      <c r="R116" s="383"/>
      <c r="S116" s="383"/>
    </row>
    <row r="117" spans="1:19">
      <c r="A117" s="293">
        <v>481</v>
      </c>
      <c r="B117" s="90" t="s">
        <v>209</v>
      </c>
      <c r="C117" s="384">
        <f>ROUND((C51-'21R2'!C51)/ABS('21R2'!C51)*100,1)</f>
        <v>3.9</v>
      </c>
      <c r="D117" s="384">
        <f>ROUND((D51-'21R2'!D51)/ABS('21R2'!D51)*100,1)</f>
        <v>2.2999999999999998</v>
      </c>
      <c r="E117" s="384">
        <f>ROUND((E51-'21R2'!E51)/ABS('21R2'!E51)*100,1)</f>
        <v>20.8</v>
      </c>
      <c r="F117" s="384">
        <f>ROUND((F51-'21R2'!F51)/ABS('21R2'!F51)*100,1)</f>
        <v>7.7</v>
      </c>
      <c r="G117" s="384">
        <f>ROUND((G51-'21R2'!G51)/ABS('21R2'!G51)*100,1)</f>
        <v>2.5</v>
      </c>
      <c r="H117" s="384">
        <f>ROUND((H51-'21R2'!H51)/ABS('21R2'!H51)*100,1)</f>
        <v>2.2000000000000002</v>
      </c>
      <c r="I117" s="384">
        <f>ROUND((I51-'21R2'!I51)/ABS('21R2'!I51)*100,1)</f>
        <v>98.6</v>
      </c>
      <c r="J117" s="384">
        <f>ROUND((J51-'21R2'!J51)/ABS('21R2'!J51)*100,1)</f>
        <v>-41.3</v>
      </c>
      <c r="K117" s="384">
        <f>ROUND((K51-'21R2'!K51)/ABS('21R2'!K51)*100,1)</f>
        <v>3.1</v>
      </c>
      <c r="L117" s="384">
        <f>ROUND((L51-'21R2'!L51)/ABS('21R2'!L51)*100,1)</f>
        <v>40.799999999999997</v>
      </c>
      <c r="M117" s="384">
        <f>ROUND((M51-'21R2'!M51)/ABS('21R2'!M51)*100,1)</f>
        <v>18.8</v>
      </c>
      <c r="N117" s="384">
        <f>ROUND((N51-'21R2'!N51)/ABS('21R2'!N51)*100,1)</f>
        <v>16.8</v>
      </c>
      <c r="O117" s="384">
        <f>ROUND((O51-'21R2'!O51)/ABS('21R2'!O51)*100,1)</f>
        <v>-41</v>
      </c>
      <c r="R117" s="383"/>
      <c r="S117" s="383"/>
    </row>
    <row r="118" spans="1:19">
      <c r="A118" s="293">
        <v>501</v>
      </c>
      <c r="B118" s="90" t="s">
        <v>236</v>
      </c>
      <c r="C118" s="384">
        <f>ROUND((C52-'21R2'!C52)/ABS('21R2'!C52)*100,1)</f>
        <v>9.1</v>
      </c>
      <c r="D118" s="384">
        <f>ROUND((D52-'21R2'!D52)/ABS('21R2'!D52)*100,1)</f>
        <v>1.6</v>
      </c>
      <c r="E118" s="384">
        <f>ROUND((E52-'21R2'!E52)/ABS('21R2'!E52)*100,1)</f>
        <v>-3.9</v>
      </c>
      <c r="F118" s="384">
        <f>ROUND((F52-'21R2'!F52)/ABS('21R2'!F52)*100,1)</f>
        <v>4.0999999999999996</v>
      </c>
      <c r="G118" s="384">
        <f>ROUND((G52-'21R2'!G52)/ABS('21R2'!G52)*100,1)</f>
        <v>10.199999999999999</v>
      </c>
      <c r="H118" s="384">
        <f>ROUND((H52-'21R2'!H52)/ABS('21R2'!H52)*100,1)</f>
        <v>-3.1</v>
      </c>
      <c r="I118" s="384">
        <f>ROUND((I52-'21R2'!I52)/ABS('21R2'!I52)*100,1)</f>
        <v>98.7</v>
      </c>
      <c r="J118" s="384">
        <f>ROUND((J52-'21R2'!J52)/ABS('21R2'!J52)*100,1)</f>
        <v>-24.6</v>
      </c>
      <c r="K118" s="384">
        <f>ROUND((K52-'21R2'!K52)/ABS('21R2'!K52)*100,1)</f>
        <v>-2.4</v>
      </c>
      <c r="L118" s="384">
        <f>ROUND((L52-'21R2'!L52)/ABS('21R2'!L52)*100,1)</f>
        <v>2047</v>
      </c>
      <c r="M118" s="384">
        <f>ROUND((M52-'21R2'!M52)/ABS('21R2'!M52)*100,1)</f>
        <v>20.9</v>
      </c>
      <c r="N118" s="384">
        <f>ROUND((N52-'21R2'!N52)/ABS('21R2'!N52)*100,1)</f>
        <v>10.6</v>
      </c>
      <c r="O118" s="384">
        <f>ROUND((O52-'21R2'!O52)/ABS('21R2'!O52)*100,1)</f>
        <v>19.7</v>
      </c>
      <c r="R118" s="383"/>
      <c r="S118" s="383"/>
    </row>
    <row r="119" spans="1:19">
      <c r="A119" s="293">
        <v>7</v>
      </c>
      <c r="B119" s="93" t="s">
        <v>210</v>
      </c>
      <c r="C119" s="384">
        <f>ROUND((C53-'21R2'!C53)/ABS('21R2'!C53)*100,1)</f>
        <v>-5.5</v>
      </c>
      <c r="D119" s="384">
        <f>ROUND((D53-'21R2'!D53)/ABS('21R2'!D53)*100,1)</f>
        <v>2.4</v>
      </c>
      <c r="E119" s="384">
        <f>ROUND((E53-'21R2'!E53)/ABS('21R2'!E53)*100,1)</f>
        <v>5.2</v>
      </c>
      <c r="F119" s="384">
        <f>ROUND((F53-'21R2'!F53)/ABS('21R2'!F53)*100,1)</f>
        <v>23.7</v>
      </c>
      <c r="G119" s="384">
        <f>ROUND((G53-'21R2'!G53)/ABS('21R2'!G53)*100,1)</f>
        <v>11.1</v>
      </c>
      <c r="H119" s="384">
        <f>ROUND((H53-'21R2'!H53)/ABS('21R2'!H53)*100,1)</f>
        <v>17.399999999999999</v>
      </c>
      <c r="I119" s="384">
        <f>ROUND((I53-'21R2'!I53)/ABS('21R2'!I53)*100,1)</f>
        <v>98.5</v>
      </c>
      <c r="J119" s="384">
        <f>ROUND((J53-'21R2'!J53)/ABS('21R2'!J53)*100,1)</f>
        <v>-13.3</v>
      </c>
      <c r="K119" s="384">
        <f>ROUND((K53-'21R2'!K53)/ABS('21R2'!K53)*100,1)</f>
        <v>4.9000000000000004</v>
      </c>
      <c r="L119" s="384">
        <f>ROUND((L53-'21R2'!L53)/ABS('21R2'!L53)*100,1)</f>
        <v>-121.6</v>
      </c>
      <c r="M119" s="384">
        <f>ROUND((M53-'21R2'!M53)/ABS('21R2'!M53)*100,1)</f>
        <v>7.6</v>
      </c>
      <c r="N119" s="384">
        <f>ROUND((N53-'21R2'!N53)/ABS('21R2'!N53)*100,1)</f>
        <v>18.899999999999999</v>
      </c>
      <c r="O119" s="384">
        <f>ROUND((O53-'21R2'!O53)/ABS('21R2'!O53)*100,1)</f>
        <v>-67.2</v>
      </c>
      <c r="R119" s="383"/>
      <c r="S119" s="383"/>
    </row>
    <row r="120" spans="1:19">
      <c r="A120" s="293">
        <v>209</v>
      </c>
      <c r="B120" s="90" t="s">
        <v>221</v>
      </c>
      <c r="C120" s="384">
        <f>ROUND((C54-'21R2'!C54)/ABS('21R2'!C54)*100,1)</f>
        <v>3.2</v>
      </c>
      <c r="D120" s="384">
        <f>ROUND((D54-'21R2'!D54)/ABS('21R2'!D54)*100,1)</f>
        <v>3.6</v>
      </c>
      <c r="E120" s="384">
        <f>ROUND((E54-'21R2'!E54)/ABS('21R2'!E54)*100,1)</f>
        <v>2.2000000000000002</v>
      </c>
      <c r="F120" s="384">
        <f>ROUND((F54-'21R2'!F54)/ABS('21R2'!F54)*100,1)</f>
        <v>24.2</v>
      </c>
      <c r="G120" s="384">
        <f>ROUND((G54-'21R2'!G54)/ABS('21R2'!G54)*100,1)</f>
        <v>18.100000000000001</v>
      </c>
      <c r="H120" s="384">
        <f>ROUND((H54-'21R2'!H54)/ABS('21R2'!H54)*100,1)</f>
        <v>17.3</v>
      </c>
      <c r="I120" s="384">
        <f>ROUND((I54-'21R2'!I54)/ABS('21R2'!I54)*100,1)</f>
        <v>98.5</v>
      </c>
      <c r="J120" s="384">
        <f>ROUND((J54-'21R2'!J54)/ABS('21R2'!J54)*100,1)</f>
        <v>-7.2</v>
      </c>
      <c r="K120" s="384">
        <f>ROUND((K54-'21R2'!K54)/ABS('21R2'!K54)*100,1)</f>
        <v>5.9</v>
      </c>
      <c r="L120" s="384">
        <f>ROUND((L54-'21R2'!L54)/ABS('21R2'!L54)*100,1)</f>
        <v>-29.3</v>
      </c>
      <c r="M120" s="384">
        <f>ROUND((M54-'21R2'!M54)/ABS('21R2'!M54)*100,1)</f>
        <v>16.3</v>
      </c>
      <c r="N120" s="384">
        <f>ROUND((N54-'21R2'!N54)/ABS('21R2'!N54)*100,1)</f>
        <v>20</v>
      </c>
      <c r="O120" s="384">
        <f>ROUND((O54-'21R2'!O54)/ABS('21R2'!O54)*100,1)</f>
        <v>-38.1</v>
      </c>
      <c r="R120" s="383"/>
      <c r="S120" s="383"/>
    </row>
    <row r="121" spans="1:19">
      <c r="A121" s="293">
        <v>222</v>
      </c>
      <c r="B121" s="90" t="s">
        <v>218</v>
      </c>
      <c r="C121" s="384">
        <f>ROUND((C55-'21R2'!C55)/ABS('21R2'!C55)*100,1)</f>
        <v>-0.3</v>
      </c>
      <c r="D121" s="384">
        <f>ROUND((D55-'21R2'!D55)/ABS('21R2'!D55)*100,1)</f>
        <v>0.3</v>
      </c>
      <c r="E121" s="384">
        <f>ROUND((E55-'21R2'!E55)/ABS('21R2'!E55)*100,1)</f>
        <v>9.8000000000000007</v>
      </c>
      <c r="F121" s="384">
        <f>ROUND((F55-'21R2'!F55)/ABS('21R2'!F55)*100,1)</f>
        <v>1.8</v>
      </c>
      <c r="G121" s="384">
        <f>ROUND((G55-'21R2'!G55)/ABS('21R2'!G55)*100,1)</f>
        <v>-19.8</v>
      </c>
      <c r="H121" s="384">
        <f>ROUND((H55-'21R2'!H55)/ABS('21R2'!H55)*100,1)</f>
        <v>-2.9</v>
      </c>
      <c r="I121" s="384">
        <f>ROUND((I55-'21R2'!I55)/ABS('21R2'!I55)*100,1)</f>
        <v>98.6</v>
      </c>
      <c r="J121" s="384">
        <f>ROUND((J55-'21R2'!J55)/ABS('21R2'!J55)*100,1)</f>
        <v>-36.1</v>
      </c>
      <c r="K121" s="384">
        <f>ROUND((K55-'21R2'!K55)/ABS('21R2'!K55)*100,1)</f>
        <v>-1.6</v>
      </c>
      <c r="L121" s="384">
        <f>ROUND((L55-'21R2'!L55)/ABS('21R2'!L55)*100,1)</f>
        <v>11.5</v>
      </c>
      <c r="M121" s="384">
        <f>ROUND((M55-'21R2'!M55)/ABS('21R2'!M55)*100,1)</f>
        <v>13.3</v>
      </c>
      <c r="N121" s="384">
        <f>ROUND((N55-'21R2'!N55)/ABS('21R2'!N55)*100,1)</f>
        <v>11.5</v>
      </c>
      <c r="O121" s="384">
        <f>ROUND((O55-'21R2'!O55)/ABS('21R2'!O55)*100,1)</f>
        <v>0.8</v>
      </c>
      <c r="R121" s="383"/>
      <c r="S121" s="383"/>
    </row>
    <row r="122" spans="1:19">
      <c r="A122" s="293">
        <v>225</v>
      </c>
      <c r="B122" s="90" t="s">
        <v>222</v>
      </c>
      <c r="C122" s="384">
        <f>ROUND((C56-'21R2'!C56)/ABS('21R2'!C56)*100,1)</f>
        <v>-29</v>
      </c>
      <c r="D122" s="384">
        <f>ROUND((D56-'21R2'!D56)/ABS('21R2'!D56)*100,1)</f>
        <v>2.1</v>
      </c>
      <c r="E122" s="384">
        <f>ROUND((E56-'21R2'!E56)/ABS('21R2'!E56)*100,1)</f>
        <v>7.5</v>
      </c>
      <c r="F122" s="384">
        <f>ROUND((F56-'21R2'!F56)/ABS('21R2'!F56)*100,1)</f>
        <v>41.4</v>
      </c>
      <c r="G122" s="384">
        <f>ROUND((G56-'21R2'!G56)/ABS('21R2'!G56)*100,1)</f>
        <v>-6.1</v>
      </c>
      <c r="H122" s="384">
        <f>ROUND((H56-'21R2'!H56)/ABS('21R2'!H56)*100,1)</f>
        <v>39.200000000000003</v>
      </c>
      <c r="I122" s="384">
        <f>ROUND((I56-'21R2'!I56)/ABS('21R2'!I56)*100,1)</f>
        <v>98.4</v>
      </c>
      <c r="J122" s="384">
        <f>ROUND((J56-'21R2'!J56)/ABS('21R2'!J56)*100,1)</f>
        <v>-8.6999999999999993</v>
      </c>
      <c r="K122" s="384">
        <f>ROUND((K56-'21R2'!K56)/ABS('21R2'!K56)*100,1)</f>
        <v>8.9</v>
      </c>
      <c r="L122" s="384">
        <f>ROUND((L56-'21R2'!L56)/ABS('21R2'!L56)*100,1)</f>
        <v>-98.4</v>
      </c>
      <c r="M122" s="384">
        <f>ROUND((M56-'21R2'!M56)/ABS('21R2'!M56)*100,1)</f>
        <v>-17.100000000000001</v>
      </c>
      <c r="N122" s="384">
        <f>ROUND((N56-'21R2'!N56)/ABS('21R2'!N56)*100,1)</f>
        <v>23.4</v>
      </c>
      <c r="O122" s="384">
        <f>ROUND((O56-'21R2'!O56)/ABS('21R2'!O56)*100,1)</f>
        <v>-204.6</v>
      </c>
      <c r="R122" s="383"/>
      <c r="S122" s="383"/>
    </row>
    <row r="123" spans="1:19">
      <c r="A123" s="293">
        <v>585</v>
      </c>
      <c r="B123" s="90" t="s">
        <v>220</v>
      </c>
      <c r="C123" s="384">
        <f>ROUND((C57-'21R2'!C57)/ABS('21R2'!C57)*100,1)</f>
        <v>3.5</v>
      </c>
      <c r="D123" s="384">
        <f>ROUND((D57-'21R2'!D57)/ABS('21R2'!D57)*100,1)</f>
        <v>0.6</v>
      </c>
      <c r="E123" s="384">
        <f>ROUND((E57-'21R2'!E57)/ABS('21R2'!E57)*100,1)</f>
        <v>-0.2</v>
      </c>
      <c r="F123" s="384">
        <f>ROUND((F57-'21R2'!F57)/ABS('21R2'!F57)*100,1)</f>
        <v>29.7</v>
      </c>
      <c r="G123" s="384">
        <f>ROUND((G57-'21R2'!G57)/ABS('21R2'!G57)*100,1)</f>
        <v>85.6</v>
      </c>
      <c r="H123" s="384">
        <f>ROUND((H57-'21R2'!H57)/ABS('21R2'!H57)*100,1)</f>
        <v>18.7</v>
      </c>
      <c r="I123" s="384">
        <f>ROUND((I57-'21R2'!I57)/ABS('21R2'!I57)*100,1)</f>
        <v>98.6</v>
      </c>
      <c r="J123" s="384">
        <f>ROUND((J57-'21R2'!J57)/ABS('21R2'!J57)*100,1)</f>
        <v>-24.9</v>
      </c>
      <c r="K123" s="384">
        <f>ROUND((K57-'21R2'!K57)/ABS('21R2'!K57)*100,1)</f>
        <v>1.3</v>
      </c>
      <c r="L123" s="384">
        <f>ROUND((L57-'21R2'!L57)/ABS('21R2'!L57)*100,1)</f>
        <v>10.4</v>
      </c>
      <c r="M123" s="384">
        <f>ROUND((M57-'21R2'!M57)/ABS('21R2'!M57)*100,1)</f>
        <v>15.4</v>
      </c>
      <c r="N123" s="384">
        <f>ROUND((N57-'21R2'!N57)/ABS('21R2'!N57)*100,1)</f>
        <v>14.7</v>
      </c>
      <c r="O123" s="384">
        <f>ROUND((O57-'21R2'!O57)/ABS('21R2'!O57)*100,1)</f>
        <v>13.1</v>
      </c>
      <c r="R123" s="383"/>
      <c r="S123" s="383"/>
    </row>
    <row r="124" spans="1:19">
      <c r="A124" s="293">
        <v>586</v>
      </c>
      <c r="B124" s="90" t="s">
        <v>237</v>
      </c>
      <c r="C124" s="384">
        <f>ROUND((C58-'21R2'!C58)/ABS('21R2'!C58)*100,1)</f>
        <v>5</v>
      </c>
      <c r="D124" s="384">
        <f>ROUND((D58-'21R2'!D58)/ABS('21R2'!D58)*100,1)</f>
        <v>1.4</v>
      </c>
      <c r="E124" s="384">
        <f>ROUND((E58-'21R2'!E58)/ABS('21R2'!E58)*100,1)</f>
        <v>13.4</v>
      </c>
      <c r="F124" s="384">
        <f>ROUND((F58-'21R2'!F58)/ABS('21R2'!F58)*100,1)</f>
        <v>7.4</v>
      </c>
      <c r="G124" s="384">
        <f>ROUND((G58-'21R2'!G58)/ABS('21R2'!G58)*100,1)</f>
        <v>31.2</v>
      </c>
      <c r="H124" s="384">
        <f>ROUND((H58-'21R2'!H58)/ABS('21R2'!H58)*100,1)</f>
        <v>-1.1000000000000001</v>
      </c>
      <c r="I124" s="384">
        <f>ROUND((I58-'21R2'!I58)/ABS('21R2'!I58)*100,1)</f>
        <v>98.5</v>
      </c>
      <c r="J124" s="384">
        <f>ROUND((J58-'21R2'!J58)/ABS('21R2'!J58)*100,1)</f>
        <v>15.1</v>
      </c>
      <c r="K124" s="384">
        <f>ROUND((K58-'21R2'!K58)/ABS('21R2'!K58)*100,1)</f>
        <v>6.6</v>
      </c>
      <c r="L124" s="384">
        <f>ROUND((L58-'21R2'!L58)/ABS('21R2'!L58)*100,1)</f>
        <v>-14.5</v>
      </c>
      <c r="M124" s="384">
        <f>ROUND((M58-'21R2'!M58)/ABS('21R2'!M58)*100,1)</f>
        <v>19</v>
      </c>
      <c r="N124" s="384">
        <f>ROUND((N58-'21R2'!N58)/ABS('21R2'!N58)*100,1)</f>
        <v>20.8</v>
      </c>
      <c r="O124" s="384">
        <f>ROUND((O58-'21R2'!O58)/ABS('21R2'!O58)*100,1)</f>
        <v>-1.4</v>
      </c>
      <c r="R124" s="383"/>
      <c r="S124" s="383"/>
    </row>
    <row r="125" spans="1:19">
      <c r="A125" s="293">
        <v>8</v>
      </c>
      <c r="B125" s="86" t="s">
        <v>211</v>
      </c>
      <c r="C125" s="384">
        <f>ROUND((C59-'21R2'!C59)/ABS('21R2'!C59)*100,1)</f>
        <v>6.3</v>
      </c>
      <c r="D125" s="384">
        <f>ROUND((D59-'21R2'!D59)/ABS('21R2'!D59)*100,1)</f>
        <v>4.2</v>
      </c>
      <c r="E125" s="384">
        <f>ROUND((E59-'21R2'!E59)/ABS('21R2'!E59)*100,1)</f>
        <v>10.9</v>
      </c>
      <c r="F125" s="384">
        <f>ROUND((F59-'21R2'!F59)/ABS('21R2'!F59)*100,1)</f>
        <v>-0.4</v>
      </c>
      <c r="G125" s="384">
        <f>ROUND((G59-'21R2'!G59)/ABS('21R2'!G59)*100,1)</f>
        <v>6.4</v>
      </c>
      <c r="H125" s="384">
        <f>ROUND((H59-'21R2'!H59)/ABS('21R2'!H59)*100,1)</f>
        <v>-5.5</v>
      </c>
      <c r="I125" s="384">
        <f>ROUND((I59-'21R2'!I59)/ABS('21R2'!I59)*100,1)</f>
        <v>98.5</v>
      </c>
      <c r="J125" s="384">
        <f>ROUND((J59-'21R2'!J59)/ABS('21R2'!J59)*100,1)</f>
        <v>-20.399999999999999</v>
      </c>
      <c r="K125" s="384">
        <f>ROUND((K59-'21R2'!K59)/ABS('21R2'!K59)*100,1)</f>
        <v>3.4</v>
      </c>
      <c r="L125" s="384">
        <f>ROUND((L59-'21R2'!L59)/ABS('21R2'!L59)*100,1)</f>
        <v>20.7</v>
      </c>
      <c r="M125" s="384">
        <f>ROUND((M59-'21R2'!M59)/ABS('21R2'!M59)*100,1)</f>
        <v>20.399999999999999</v>
      </c>
      <c r="N125" s="384">
        <f>ROUND((N59-'21R2'!N59)/ABS('21R2'!N59)*100,1)</f>
        <v>17.100000000000001</v>
      </c>
      <c r="O125" s="384">
        <f>ROUND((O59-'21R2'!O59)/ABS('21R2'!O59)*100,1)</f>
        <v>-552.9</v>
      </c>
      <c r="R125" s="383"/>
      <c r="S125" s="383"/>
    </row>
    <row r="126" spans="1:19">
      <c r="A126" s="293">
        <v>221</v>
      </c>
      <c r="B126" s="90" t="s">
        <v>1144</v>
      </c>
      <c r="C126" s="384">
        <f>ROUND((C60-'21R2'!C60)/ABS('21R2'!C60)*100,1)</f>
        <v>4.2</v>
      </c>
      <c r="D126" s="384">
        <f>ROUND((D60-'21R2'!D60)/ABS('21R2'!D60)*100,1)</f>
        <v>4.4000000000000004</v>
      </c>
      <c r="E126" s="384">
        <f>ROUND((E60-'21R2'!E60)/ABS('21R2'!E60)*100,1)</f>
        <v>13.4</v>
      </c>
      <c r="F126" s="384">
        <f>ROUND((F60-'21R2'!F60)/ABS('21R2'!F60)*100,1)</f>
        <v>13.1</v>
      </c>
      <c r="G126" s="384">
        <f>ROUND((G60-'21R2'!G60)/ABS('21R2'!G60)*100,1)</f>
        <v>102.2</v>
      </c>
      <c r="H126" s="384">
        <f>ROUND((H60-'21R2'!H60)/ABS('21R2'!H60)*100,1)</f>
        <v>-1.6</v>
      </c>
      <c r="I126" s="384">
        <f>ROUND((I60-'21R2'!I60)/ABS('21R2'!I60)*100,1)</f>
        <v>98.5</v>
      </c>
      <c r="J126" s="384">
        <f>ROUND((J60-'21R2'!J60)/ABS('21R2'!J60)*100,1)</f>
        <v>-25.7</v>
      </c>
      <c r="K126" s="384">
        <f>ROUND((K60-'21R2'!K60)/ABS('21R2'!K60)*100,1)</f>
        <v>6.2</v>
      </c>
      <c r="L126" s="384">
        <f>ROUND((L60-'21R2'!L60)/ABS('21R2'!L60)*100,1)</f>
        <v>-0.7</v>
      </c>
      <c r="M126" s="384">
        <f>ROUND((M60-'21R2'!M60)/ABS('21R2'!M60)*100,1)</f>
        <v>18.5</v>
      </c>
      <c r="N126" s="384">
        <f>ROUND((N60-'21R2'!N60)/ABS('21R2'!N60)*100,1)</f>
        <v>20.3</v>
      </c>
      <c r="O126" s="384">
        <f>ROUND((O60-'21R2'!O60)/ABS('21R2'!O60)*100,1)</f>
        <v>-164.6</v>
      </c>
      <c r="R126" s="383"/>
      <c r="S126" s="383"/>
    </row>
    <row r="127" spans="1:19">
      <c r="A127" s="293">
        <v>223</v>
      </c>
      <c r="B127" s="90" t="s">
        <v>223</v>
      </c>
      <c r="C127" s="384">
        <f>ROUND((C61-'21R2'!C61)/ABS('21R2'!C61)*100,1)</f>
        <v>8.1</v>
      </c>
      <c r="D127" s="384">
        <f>ROUND((D61-'21R2'!D61)/ABS('21R2'!D61)*100,1)</f>
        <v>4</v>
      </c>
      <c r="E127" s="384">
        <f>ROUND((E61-'21R2'!E61)/ABS('21R2'!E61)*100,1)</f>
        <v>8.9</v>
      </c>
      <c r="F127" s="384">
        <f>ROUND((F61-'21R2'!F61)/ABS('21R2'!F61)*100,1)</f>
        <v>-6.4</v>
      </c>
      <c r="G127" s="384">
        <f>ROUND((G61-'21R2'!G61)/ABS('21R2'!G61)*100,1)</f>
        <v>-28.2</v>
      </c>
      <c r="H127" s="384">
        <f>ROUND((H61-'21R2'!H61)/ABS('21R2'!H61)*100,1)</f>
        <v>-7.3</v>
      </c>
      <c r="I127" s="384">
        <f>ROUND((I61-'21R2'!I61)/ABS('21R2'!I61)*100,1)</f>
        <v>98.5</v>
      </c>
      <c r="J127" s="384">
        <f>ROUND((J61-'21R2'!J61)/ABS('21R2'!J61)*100,1)</f>
        <v>-16</v>
      </c>
      <c r="K127" s="384">
        <f>ROUND((K61-'21R2'!K61)/ABS('21R2'!K61)*100,1)</f>
        <v>1.6</v>
      </c>
      <c r="L127" s="384">
        <f>ROUND((L61-'21R2'!L61)/ABS('21R2'!L61)*100,1)</f>
        <v>89.2</v>
      </c>
      <c r="M127" s="384">
        <f>ROUND((M61-'21R2'!M61)/ABS('21R2'!M61)*100,1)</f>
        <v>22.1</v>
      </c>
      <c r="N127" s="384">
        <f>ROUND((N61-'21R2'!N61)/ABS('21R2'!N61)*100,1)</f>
        <v>15.1</v>
      </c>
      <c r="O127" s="384">
        <f>ROUND((O61-'21R2'!O61)/ABS('21R2'!O61)*100,1)</f>
        <v>-25.8</v>
      </c>
      <c r="R127" s="383"/>
      <c r="S127" s="383"/>
    </row>
    <row r="128" spans="1:19">
      <c r="A128" s="293">
        <v>9</v>
      </c>
      <c r="B128" s="94" t="s">
        <v>212</v>
      </c>
      <c r="C128" s="384">
        <f>ROUND((C62-'21R2'!C62)/ABS('21R2'!C62)*100,1)</f>
        <v>13.5</v>
      </c>
      <c r="D128" s="384">
        <f>ROUND((D62-'21R2'!D62)/ABS('21R2'!D62)*100,1)</f>
        <v>4.0999999999999996</v>
      </c>
      <c r="E128" s="384">
        <f>ROUND((E62-'21R2'!E62)/ABS('21R2'!E62)*100,1)</f>
        <v>6.2</v>
      </c>
      <c r="F128" s="384">
        <f>ROUND((F62-'21R2'!F62)/ABS('21R2'!F62)*100,1)</f>
        <v>49.8</v>
      </c>
      <c r="G128" s="384">
        <f>ROUND((G62-'21R2'!G62)/ABS('21R2'!G62)*100,1)</f>
        <v>89</v>
      </c>
      <c r="H128" s="384">
        <f>ROUND((H62-'21R2'!H62)/ABS('21R2'!H62)*100,1)</f>
        <v>34.299999999999997</v>
      </c>
      <c r="I128" s="384">
        <f>ROUND((I62-'21R2'!I62)/ABS('21R2'!I62)*100,1)</f>
        <v>98.3</v>
      </c>
      <c r="J128" s="384">
        <f>ROUND((J62-'21R2'!J62)/ABS('21R2'!J62)*100,1)</f>
        <v>64.099999999999994</v>
      </c>
      <c r="K128" s="384">
        <f>ROUND((K62-'21R2'!K62)/ABS('21R2'!K62)*100,1)</f>
        <v>14.6</v>
      </c>
      <c r="L128" s="384">
        <f>ROUND((L62-'21R2'!L62)/ABS('21R2'!L62)*100,1)</f>
        <v>-68.5</v>
      </c>
      <c r="M128" s="384">
        <f>ROUND((M62-'21R2'!M62)/ABS('21R2'!M62)*100,1)</f>
        <v>26.8</v>
      </c>
      <c r="N128" s="384">
        <f>ROUND((N62-'21R2'!N62)/ABS('21R2'!N62)*100,1)</f>
        <v>29.8</v>
      </c>
      <c r="O128" s="384">
        <f>ROUND((O62-'21R2'!O62)/ABS('21R2'!O62)*100,1)</f>
        <v>-11.6</v>
      </c>
      <c r="R128" s="383"/>
      <c r="S128" s="383"/>
    </row>
    <row r="129" spans="1:19">
      <c r="A129" s="293">
        <v>205</v>
      </c>
      <c r="B129" s="92" t="s">
        <v>241</v>
      </c>
      <c r="C129" s="384">
        <f>ROUND((C63-'21R2'!C63)/ABS('21R2'!C63)*100,1)</f>
        <v>17.899999999999999</v>
      </c>
      <c r="D129" s="384">
        <f>ROUND((D63-'21R2'!D63)/ABS('21R2'!D63)*100,1)</f>
        <v>3.7</v>
      </c>
      <c r="E129" s="384">
        <f>ROUND((E63-'21R2'!E63)/ABS('21R2'!E63)*100,1)</f>
        <v>-16.399999999999999</v>
      </c>
      <c r="F129" s="384">
        <f>ROUND((F63-'21R2'!F63)/ABS('21R2'!F63)*100,1)</f>
        <v>31.1</v>
      </c>
      <c r="G129" s="384">
        <f>ROUND((G63-'21R2'!G63)/ABS('21R2'!G63)*100,1)</f>
        <v>77.599999999999994</v>
      </c>
      <c r="H129" s="384">
        <f>ROUND((H63-'21R2'!H63)/ABS('21R2'!H63)*100,1)</f>
        <v>17.8</v>
      </c>
      <c r="I129" s="384">
        <f>ROUND((I63-'21R2'!I63)/ABS('21R2'!I63)*100,1)</f>
        <v>98.5</v>
      </c>
      <c r="J129" s="384">
        <f>ROUND((J63-'21R2'!J63)/ABS('21R2'!J63)*100,1)</f>
        <v>-9.8000000000000007</v>
      </c>
      <c r="K129" s="384">
        <f>ROUND((K63-'21R2'!K63)/ABS('21R2'!K63)*100,1)</f>
        <v>2.4</v>
      </c>
      <c r="L129" s="384">
        <f>ROUND((L63-'21R2'!L63)/ABS('21R2'!L63)*100,1)</f>
        <v>2035.8</v>
      </c>
      <c r="M129" s="384">
        <f>ROUND((M63-'21R2'!M63)/ABS('21R2'!M63)*100,1)</f>
        <v>28.3</v>
      </c>
      <c r="N129" s="384">
        <f>ROUND((N63-'21R2'!N63)/ABS('21R2'!N63)*100,1)</f>
        <v>16</v>
      </c>
      <c r="O129" s="384">
        <f>ROUND((O63-'21R2'!O63)/ABS('21R2'!O63)*100,1)</f>
        <v>45.5</v>
      </c>
      <c r="R129" s="383"/>
      <c r="S129" s="383"/>
    </row>
    <row r="130" spans="1:19">
      <c r="A130" s="293">
        <v>224</v>
      </c>
      <c r="B130" s="90" t="s">
        <v>224</v>
      </c>
      <c r="C130" s="384">
        <f>ROUND((C64-'21R2'!C64)/ABS('21R2'!C64)*100,1)</f>
        <v>7.7</v>
      </c>
      <c r="D130" s="384">
        <f>ROUND((D64-'21R2'!D64)/ABS('21R2'!D64)*100,1)</f>
        <v>4.0999999999999996</v>
      </c>
      <c r="E130" s="384">
        <f>ROUND((E64-'21R2'!E64)/ABS('21R2'!E64)*100,1)</f>
        <v>14.1</v>
      </c>
      <c r="F130" s="384">
        <f>ROUND((F64-'21R2'!F64)/ABS('21R2'!F64)*100,1)</f>
        <v>45</v>
      </c>
      <c r="G130" s="384">
        <f>ROUND((G64-'21R2'!G64)/ABS('21R2'!G64)*100,1)</f>
        <v>-10.6</v>
      </c>
      <c r="H130" s="384">
        <f>ROUND((H64-'21R2'!H64)/ABS('21R2'!H64)*100,1)</f>
        <v>43.9</v>
      </c>
      <c r="I130" s="384">
        <f>ROUND((I64-'21R2'!I64)/ABS('21R2'!I64)*100,1)</f>
        <v>98.4</v>
      </c>
      <c r="J130" s="384">
        <f>ROUND((J64-'21R2'!J64)/ABS('21R2'!J64)*100,1)</f>
        <v>72.8</v>
      </c>
      <c r="K130" s="384">
        <f>ROUND((K64-'21R2'!K64)/ABS('21R2'!K64)*100,1)</f>
        <v>15.4</v>
      </c>
      <c r="L130" s="384">
        <f>ROUND((L64-'21R2'!L64)/ABS('21R2'!L64)*100,1)</f>
        <v>-76.099999999999994</v>
      </c>
      <c r="M130" s="384">
        <f>ROUND((M64-'21R2'!M64)/ABS('21R2'!M64)*100,1)</f>
        <v>22</v>
      </c>
      <c r="N130" s="384">
        <f>ROUND((N64-'21R2'!N64)/ABS('21R2'!N64)*100,1)</f>
        <v>30.7</v>
      </c>
      <c r="O130" s="384">
        <f>ROUND((O64-'21R2'!O64)/ABS('21R2'!O64)*100,1)</f>
        <v>-62.9</v>
      </c>
      <c r="R130" s="383"/>
      <c r="S130" s="383"/>
    </row>
    <row r="131" spans="1:19">
      <c r="A131" s="396">
        <v>226</v>
      </c>
      <c r="B131" s="201" t="s">
        <v>225</v>
      </c>
      <c r="C131" s="384">
        <f>ROUND((C65-'21R2'!C65)/ABS('21R2'!C65)*100,1)</f>
        <v>15</v>
      </c>
      <c r="D131" s="384">
        <f>ROUND((D65-'21R2'!D65)/ABS('21R2'!D65)*100,1)</f>
        <v>4.5</v>
      </c>
      <c r="E131" s="384">
        <f>ROUND((E65-'21R2'!E65)/ABS('21R2'!E65)*100,1)</f>
        <v>23.3</v>
      </c>
      <c r="F131" s="384">
        <f>ROUND((F65-'21R2'!F65)/ABS('21R2'!F65)*100,1)</f>
        <v>71.5</v>
      </c>
      <c r="G131" s="384">
        <f>ROUND((G65-'21R2'!G65)/ABS('21R2'!G65)*100,1)</f>
        <v>178.9</v>
      </c>
      <c r="H131" s="384">
        <f>ROUND((H65-'21R2'!H65)/ABS('21R2'!H65)*100,1)</f>
        <v>43</v>
      </c>
      <c r="I131" s="384">
        <f>ROUND((I65-'21R2'!I65)/ABS('21R2'!I65)*100,1)</f>
        <v>98.2</v>
      </c>
      <c r="J131" s="384">
        <f>ROUND((J65-'21R2'!J65)/ABS('21R2'!J65)*100,1)</f>
        <v>117.2</v>
      </c>
      <c r="K131" s="384">
        <f>ROUND((K65-'21R2'!K65)/ABS('21R2'!K65)*100,1)</f>
        <v>26.2</v>
      </c>
      <c r="L131" s="384">
        <f>ROUND((L65-'21R2'!L65)/ABS('21R2'!L65)*100,1)</f>
        <v>-306.5</v>
      </c>
      <c r="M131" s="384">
        <f>ROUND((M65-'21R2'!M65)/ABS('21R2'!M65)*100,1)</f>
        <v>30.3</v>
      </c>
      <c r="N131" s="384">
        <f>ROUND((N65-'21R2'!N65)/ABS('21R2'!N65)*100,1)</f>
        <v>42.9</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83ED1-87D0-4E3F-B628-6E3E5334526D}">
  <sheetPr>
    <tabColor theme="0"/>
  </sheetPr>
  <dimension ref="A1:U131"/>
  <sheetViews>
    <sheetView workbookViewId="0">
      <pane xSplit="2" ySplit="3" topLeftCell="C4" activePane="bottomRight" state="frozen"/>
      <selection pane="topRight" activeCell="C1" sqref="C1"/>
      <selection pane="bottomLeft" activeCell="A4" sqref="A4"/>
      <selection pane="bottomRight" activeCell="O16" sqref="O16"/>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1599</v>
      </c>
      <c r="C1" s="682"/>
      <c r="D1" s="682"/>
      <c r="E1" s="239"/>
      <c r="F1" s="682">
        <f>名目県内総支出!Z44</f>
        <v>24764565</v>
      </c>
      <c r="G1" s="1473">
        <f>C4-F1</f>
        <v>-3.970475859940052</v>
      </c>
      <c r="H1" s="239"/>
      <c r="I1" s="239"/>
      <c r="J1" s="239"/>
      <c r="K1" s="239"/>
      <c r="L1" s="239" t="s">
        <v>11</v>
      </c>
      <c r="M1" s="239">
        <f>M4-名目県内総支出!Z45</f>
        <v>43435.000000003725</v>
      </c>
      <c r="N1" s="239" t="s">
        <v>818</v>
      </c>
      <c r="O1" s="446">
        <f>名目県内総支出!Y43</f>
        <v>-726292</v>
      </c>
    </row>
    <row r="2" spans="1:21" ht="26.25" customHeight="1">
      <c r="A2" s="294"/>
      <c r="B2" s="296" t="s">
        <v>930</v>
      </c>
      <c r="C2" s="312" t="s">
        <v>817</v>
      </c>
      <c r="D2" s="275" t="s">
        <v>68</v>
      </c>
      <c r="E2" s="291" t="s">
        <v>1289</v>
      </c>
      <c r="F2" s="297" t="s">
        <v>69</v>
      </c>
      <c r="G2" s="291"/>
      <c r="H2" s="291"/>
      <c r="I2" s="291"/>
      <c r="J2" s="275" t="s">
        <v>70</v>
      </c>
      <c r="K2" s="282" t="s">
        <v>671</v>
      </c>
      <c r="L2" s="2306" t="s">
        <v>71</v>
      </c>
      <c r="M2" s="2312"/>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291" t="s">
        <v>74</v>
      </c>
      <c r="J3" s="353"/>
      <c r="K3" s="1354" t="s">
        <v>75</v>
      </c>
      <c r="L3" s="406" t="s">
        <v>76</v>
      </c>
      <c r="M3" s="2001" t="s">
        <v>77</v>
      </c>
      <c r="N3" s="2002" t="s">
        <v>78</v>
      </c>
      <c r="O3" s="1098" t="s">
        <v>81</v>
      </c>
      <c r="P3" s="92"/>
      <c r="Q3" s="684" t="s">
        <v>1227</v>
      </c>
      <c r="R3" s="49" t="s">
        <v>287</v>
      </c>
      <c r="T3" s="344" t="s">
        <v>956</v>
      </c>
      <c r="U3" s="345" t="s">
        <v>958</v>
      </c>
    </row>
    <row r="4" spans="1:21">
      <c r="A4" s="303"/>
      <c r="B4" s="203" t="s">
        <v>166</v>
      </c>
      <c r="C4" s="412">
        <f t="shared" ref="C4" si="0">SUM(C5:C14)</f>
        <v>24764561.02952414</v>
      </c>
      <c r="D4" s="547">
        <f t="shared" ref="D4:J4" si="1">SUM(D5:D14)</f>
        <v>14348115</v>
      </c>
      <c r="E4" s="544">
        <f t="shared" si="1"/>
        <v>3137399</v>
      </c>
      <c r="F4" s="438">
        <f t="shared" si="1"/>
        <v>5574619</v>
      </c>
      <c r="G4" s="544">
        <f t="shared" si="1"/>
        <v>766156</v>
      </c>
      <c r="H4" s="547">
        <f t="shared" si="1"/>
        <v>4822905</v>
      </c>
      <c r="I4" s="544">
        <f t="shared" si="1"/>
        <v>-14442</v>
      </c>
      <c r="J4" s="547">
        <f t="shared" si="1"/>
        <v>904932</v>
      </c>
      <c r="K4" s="407">
        <f>SUM(K5:K14)</f>
        <v>23965065</v>
      </c>
      <c r="L4" s="412">
        <f>SUM(L5:L14)</f>
        <v>799496.0295241382</v>
      </c>
      <c r="M4" s="1401">
        <f>SUM(M5:M14)</f>
        <v>23735349.02952414</v>
      </c>
      <c r="N4" s="544">
        <f>SUM(N5:N14)</f>
        <v>22209561</v>
      </c>
      <c r="O4" s="438">
        <f>SUM(O5:O14)</f>
        <v>-726292</v>
      </c>
      <c r="P4" s="77"/>
      <c r="Q4" s="314">
        <f>(C4-'22R3'!C4)/'22R3'!C4*100</f>
        <v>9.5927702517516025</v>
      </c>
      <c r="R4" s="394">
        <f>D4+E4+F4+J4+L4</f>
        <v>24764561.02952414</v>
      </c>
      <c r="S4" s="394">
        <f>R4-C4</f>
        <v>0</v>
      </c>
      <c r="T4" s="49">
        <f>民間設備製造1!S6</f>
        <v>1379939</v>
      </c>
      <c r="U4" s="49">
        <v>23463199</v>
      </c>
    </row>
    <row r="5" spans="1:21">
      <c r="A5" s="298">
        <v>100</v>
      </c>
      <c r="B5" s="75" t="s">
        <v>172</v>
      </c>
      <c r="C5" s="413">
        <f t="shared" ref="C5:O6" si="2">C16</f>
        <v>7631737.0295241382</v>
      </c>
      <c r="D5" s="439">
        <f t="shared" si="2"/>
        <v>4248698</v>
      </c>
      <c r="E5" s="408">
        <f t="shared" si="2"/>
        <v>1067351</v>
      </c>
      <c r="F5" s="439">
        <f t="shared" si="2"/>
        <v>1379674</v>
      </c>
      <c r="G5" s="408">
        <f t="shared" si="2"/>
        <v>197822</v>
      </c>
      <c r="H5" s="439">
        <f t="shared" si="2"/>
        <v>1186108</v>
      </c>
      <c r="I5" s="408">
        <f t="shared" si="2"/>
        <v>-4256</v>
      </c>
      <c r="J5" s="439">
        <f t="shared" si="2"/>
        <v>241435</v>
      </c>
      <c r="K5" s="408">
        <f t="shared" si="2"/>
        <v>6937158</v>
      </c>
      <c r="L5" s="413">
        <f t="shared" si="2"/>
        <v>694579.0295241382</v>
      </c>
      <c r="M5" s="439">
        <f t="shared" si="2"/>
        <v>7353009.0295241382</v>
      </c>
      <c r="N5" s="408">
        <f t="shared" si="2"/>
        <v>6428993</v>
      </c>
      <c r="O5" s="439">
        <f t="shared" si="2"/>
        <v>-229437</v>
      </c>
      <c r="P5" s="77">
        <v>100</v>
      </c>
      <c r="Q5" s="314">
        <f>(C5-'22R3'!C5)/'22R3'!C5*100</f>
        <v>9.8409328384775776</v>
      </c>
      <c r="R5" s="394">
        <f t="shared" ref="R5:R65" si="3">D5+E5+F5+J5+L5</f>
        <v>7631737.0295241382</v>
      </c>
      <c r="S5" s="394">
        <f t="shared" ref="S5:S65" si="4">R5-C5</f>
        <v>0</v>
      </c>
      <c r="T5" s="49">
        <f>民間設備製造1!S7</f>
        <v>202112</v>
      </c>
      <c r="U5" s="49">
        <v>6918660</v>
      </c>
    </row>
    <row r="6" spans="1:21">
      <c r="A6" s="298">
        <v>1</v>
      </c>
      <c r="B6" s="75" t="s">
        <v>323</v>
      </c>
      <c r="C6" s="413">
        <f t="shared" si="2"/>
        <v>4172900</v>
      </c>
      <c r="D6" s="439">
        <f t="shared" si="2"/>
        <v>2774440</v>
      </c>
      <c r="E6" s="408">
        <f t="shared" si="2"/>
        <v>505394</v>
      </c>
      <c r="F6" s="439">
        <f t="shared" si="2"/>
        <v>871661</v>
      </c>
      <c r="G6" s="408">
        <f t="shared" si="2"/>
        <v>177532</v>
      </c>
      <c r="H6" s="439">
        <f t="shared" si="2"/>
        <v>696702</v>
      </c>
      <c r="I6" s="408">
        <f t="shared" si="2"/>
        <v>-2573</v>
      </c>
      <c r="J6" s="439">
        <f t="shared" si="2"/>
        <v>112754</v>
      </c>
      <c r="K6" s="408">
        <f t="shared" si="2"/>
        <v>4264249</v>
      </c>
      <c r="L6" s="413">
        <f t="shared" si="2"/>
        <v>-91349</v>
      </c>
      <c r="M6" s="439">
        <f t="shared" si="2"/>
        <v>4029596</v>
      </c>
      <c r="N6" s="408">
        <f t="shared" si="2"/>
        <v>3951882</v>
      </c>
      <c r="O6" s="439">
        <f t="shared" si="2"/>
        <v>-169063</v>
      </c>
      <c r="P6" s="77">
        <v>1</v>
      </c>
      <c r="Q6" s="314">
        <f>(C6-'22R3'!C6)/'22R3'!C6*100</f>
        <v>12.897762444212614</v>
      </c>
      <c r="R6" s="394">
        <f t="shared" si="3"/>
        <v>4172900</v>
      </c>
      <c r="S6" s="394">
        <f t="shared" si="4"/>
        <v>0</v>
      </c>
      <c r="T6" s="49">
        <f>民間設備製造1!S8</f>
        <v>103127</v>
      </c>
      <c r="U6" s="49">
        <v>4179364</v>
      </c>
    </row>
    <row r="7" spans="1:21">
      <c r="A7" s="298">
        <v>2</v>
      </c>
      <c r="B7" s="75" t="s">
        <v>324</v>
      </c>
      <c r="C7" s="413">
        <f t="shared" ref="C7:J7" si="5">C21</f>
        <v>2619097</v>
      </c>
      <c r="D7" s="439">
        <f t="shared" si="5"/>
        <v>1821201</v>
      </c>
      <c r="E7" s="408">
        <f t="shared" si="5"/>
        <v>339629</v>
      </c>
      <c r="F7" s="439">
        <f t="shared" si="5"/>
        <v>619003</v>
      </c>
      <c r="G7" s="408">
        <f t="shared" si="5"/>
        <v>103307</v>
      </c>
      <c r="H7" s="439">
        <f t="shared" si="5"/>
        <v>517398</v>
      </c>
      <c r="I7" s="408">
        <f t="shared" si="5"/>
        <v>-1702</v>
      </c>
      <c r="J7" s="439">
        <f t="shared" si="5"/>
        <v>320626</v>
      </c>
      <c r="K7" s="408">
        <f>K21</f>
        <v>3100459</v>
      </c>
      <c r="L7" s="413">
        <f>L21</f>
        <v>-481362</v>
      </c>
      <c r="M7" s="439">
        <f>M21</f>
        <v>2504269</v>
      </c>
      <c r="N7" s="408">
        <f>N21</f>
        <v>2873343</v>
      </c>
      <c r="O7" s="439">
        <f>O21</f>
        <v>-112288</v>
      </c>
      <c r="P7" s="77">
        <v>2</v>
      </c>
      <c r="Q7" s="314">
        <f>(C7-'22R3'!C7)/'22R3'!C7*100</f>
        <v>18.723966348736354</v>
      </c>
      <c r="R7" s="394">
        <f t="shared" si="3"/>
        <v>2619097</v>
      </c>
      <c r="S7" s="394">
        <f t="shared" si="4"/>
        <v>0</v>
      </c>
      <c r="T7" s="49">
        <f>民間設備製造1!S9</f>
        <v>117843</v>
      </c>
      <c r="U7" s="49">
        <v>2764914</v>
      </c>
    </row>
    <row r="8" spans="1:21">
      <c r="A8" s="298">
        <v>3</v>
      </c>
      <c r="B8" s="75" t="s">
        <v>192</v>
      </c>
      <c r="C8" s="413">
        <f t="shared" ref="C8:J8" si="6">C27</f>
        <v>3229129</v>
      </c>
      <c r="D8" s="439">
        <f t="shared" si="6"/>
        <v>1887919</v>
      </c>
      <c r="E8" s="408">
        <f t="shared" si="6"/>
        <v>328970</v>
      </c>
      <c r="F8" s="439">
        <f t="shared" si="6"/>
        <v>1006518</v>
      </c>
      <c r="G8" s="408">
        <f t="shared" si="6"/>
        <v>120441</v>
      </c>
      <c r="H8" s="439">
        <f t="shared" si="6"/>
        <v>888047</v>
      </c>
      <c r="I8" s="408">
        <f t="shared" si="6"/>
        <v>-1970</v>
      </c>
      <c r="J8" s="439">
        <f t="shared" si="6"/>
        <v>89555</v>
      </c>
      <c r="K8" s="408">
        <f>K27</f>
        <v>3312962</v>
      </c>
      <c r="L8" s="413">
        <f>L27</f>
        <v>-83833</v>
      </c>
      <c r="M8" s="439">
        <f>M27</f>
        <v>3083461</v>
      </c>
      <c r="N8" s="408">
        <f>N27</f>
        <v>3070279</v>
      </c>
      <c r="O8" s="439">
        <f>O27</f>
        <v>-97015</v>
      </c>
      <c r="P8" s="77">
        <v>3</v>
      </c>
      <c r="Q8" s="314">
        <f>(C8-'22R3'!C8)/'22R3'!C8*100</f>
        <v>9.0850833036899967</v>
      </c>
      <c r="R8" s="394">
        <f t="shared" si="3"/>
        <v>3229129</v>
      </c>
      <c r="S8" s="394">
        <f t="shared" si="4"/>
        <v>0</v>
      </c>
      <c r="T8" s="49">
        <f>民間設備製造1!S10</f>
        <v>392618</v>
      </c>
      <c r="U8" s="49">
        <v>3200858</v>
      </c>
    </row>
    <row r="9" spans="1:21">
      <c r="A9" s="298">
        <v>4</v>
      </c>
      <c r="B9" s="75" t="s">
        <v>325</v>
      </c>
      <c r="C9" s="413">
        <f t="shared" ref="C9:J9" si="7">C33</f>
        <v>1322637</v>
      </c>
      <c r="D9" s="439">
        <f t="shared" si="7"/>
        <v>654485</v>
      </c>
      <c r="E9" s="408">
        <f t="shared" si="7"/>
        <v>154744</v>
      </c>
      <c r="F9" s="439">
        <f t="shared" si="7"/>
        <v>301375</v>
      </c>
      <c r="G9" s="408">
        <f t="shared" si="7"/>
        <v>24430</v>
      </c>
      <c r="H9" s="439">
        <f t="shared" si="7"/>
        <v>277654</v>
      </c>
      <c r="I9" s="408">
        <f t="shared" si="7"/>
        <v>-709</v>
      </c>
      <c r="J9" s="439">
        <f t="shared" si="7"/>
        <v>47873</v>
      </c>
      <c r="K9" s="408">
        <f>K33</f>
        <v>1158477</v>
      </c>
      <c r="L9" s="413">
        <f>L33</f>
        <v>164160</v>
      </c>
      <c r="M9" s="439">
        <f>M33</f>
        <v>1230456</v>
      </c>
      <c r="N9" s="408">
        <f>N33</f>
        <v>1073615</v>
      </c>
      <c r="O9" s="439">
        <f>O33</f>
        <v>7319</v>
      </c>
      <c r="P9" s="77">
        <v>4</v>
      </c>
      <c r="Q9" s="314">
        <f>(C9-'22R3'!C9)/'22R3'!C9*100</f>
        <v>0.20493479967149822</v>
      </c>
      <c r="R9" s="394">
        <f t="shared" si="3"/>
        <v>1322637</v>
      </c>
      <c r="S9" s="394">
        <f t="shared" si="4"/>
        <v>0</v>
      </c>
      <c r="T9" s="49">
        <f>民間設備製造1!S11</f>
        <v>105029</v>
      </c>
      <c r="U9" s="49">
        <v>1150135</v>
      </c>
    </row>
    <row r="10" spans="1:21">
      <c r="A10" s="298">
        <v>5</v>
      </c>
      <c r="B10" s="75" t="s">
        <v>326</v>
      </c>
      <c r="C10" s="413">
        <f t="shared" ref="C10:J10" si="8">C40</f>
        <v>2768310</v>
      </c>
      <c r="D10" s="439">
        <f t="shared" si="8"/>
        <v>1383797</v>
      </c>
      <c r="E10" s="408">
        <f t="shared" si="8"/>
        <v>285419</v>
      </c>
      <c r="F10" s="439">
        <f t="shared" si="8"/>
        <v>767837</v>
      </c>
      <c r="G10" s="408">
        <f t="shared" si="8"/>
        <v>81229</v>
      </c>
      <c r="H10" s="439">
        <f t="shared" si="8"/>
        <v>688130</v>
      </c>
      <c r="I10" s="408">
        <f t="shared" si="8"/>
        <v>-1522</v>
      </c>
      <c r="J10" s="439">
        <f t="shared" si="8"/>
        <v>25653</v>
      </c>
      <c r="K10" s="408">
        <f>K40</f>
        <v>2462706</v>
      </c>
      <c r="L10" s="413">
        <f>L40</f>
        <v>305604</v>
      </c>
      <c r="M10" s="439">
        <f>M40</f>
        <v>2610728</v>
      </c>
      <c r="N10" s="408">
        <f>N40</f>
        <v>2282306</v>
      </c>
      <c r="O10" s="439">
        <f>O40</f>
        <v>-22818</v>
      </c>
      <c r="P10" s="77">
        <v>5</v>
      </c>
      <c r="Q10" s="314">
        <f>(C10-'22R3'!C10)/'22R3'!C10*100</f>
        <v>-1.925141267957416</v>
      </c>
      <c r="R10" s="394">
        <f t="shared" si="3"/>
        <v>2768310</v>
      </c>
      <c r="S10" s="394">
        <f t="shared" si="4"/>
        <v>0</v>
      </c>
      <c r="T10" s="49">
        <f>民間設備製造1!S12</f>
        <v>297837</v>
      </c>
      <c r="U10" s="49">
        <v>2470755</v>
      </c>
    </row>
    <row r="11" spans="1:21">
      <c r="A11" s="298">
        <v>6</v>
      </c>
      <c r="B11" s="75" t="s">
        <v>327</v>
      </c>
      <c r="C11" s="413">
        <f t="shared" ref="C11:J11" si="9">C45</f>
        <v>1171474</v>
      </c>
      <c r="D11" s="439">
        <f t="shared" si="9"/>
        <v>597615</v>
      </c>
      <c r="E11" s="408">
        <f t="shared" si="9"/>
        <v>140457</v>
      </c>
      <c r="F11" s="439">
        <f t="shared" si="9"/>
        <v>268584</v>
      </c>
      <c r="G11" s="408">
        <f t="shared" si="9"/>
        <v>23414</v>
      </c>
      <c r="H11" s="439">
        <f t="shared" si="9"/>
        <v>245809</v>
      </c>
      <c r="I11" s="408">
        <f t="shared" si="9"/>
        <v>-639</v>
      </c>
      <c r="J11" s="439">
        <f t="shared" si="9"/>
        <v>33959</v>
      </c>
      <c r="K11" s="408">
        <f>K45</f>
        <v>1040615</v>
      </c>
      <c r="L11" s="413">
        <f>L45</f>
        <v>130859</v>
      </c>
      <c r="M11" s="439">
        <f>M45</f>
        <v>1107236</v>
      </c>
      <c r="N11" s="408">
        <f>N45</f>
        <v>964387</v>
      </c>
      <c r="O11" s="439">
        <f>O45</f>
        <v>-11990</v>
      </c>
      <c r="P11" s="77">
        <v>6</v>
      </c>
      <c r="Q11" s="314">
        <f>(C11-'22R3'!C11)/'22R3'!C11*100</f>
        <v>3.9235446388809541</v>
      </c>
      <c r="R11" s="394">
        <f>D11+E11+F11+J11+L11</f>
        <v>1171474</v>
      </c>
      <c r="S11" s="394">
        <f t="shared" si="4"/>
        <v>0</v>
      </c>
      <c r="T11" s="49">
        <f>民間設備製造1!S13</f>
        <v>90149</v>
      </c>
      <c r="U11" s="49">
        <v>1037662</v>
      </c>
    </row>
    <row r="12" spans="1:21">
      <c r="A12" s="298">
        <v>7</v>
      </c>
      <c r="B12" s="75" t="s">
        <v>210</v>
      </c>
      <c r="C12" s="413">
        <f t="shared" ref="C12:J12" si="10">C53</f>
        <v>769839</v>
      </c>
      <c r="D12" s="439">
        <f t="shared" si="10"/>
        <v>404610</v>
      </c>
      <c r="E12" s="408">
        <f t="shared" si="10"/>
        <v>135377</v>
      </c>
      <c r="F12" s="439">
        <f t="shared" si="10"/>
        <v>151037</v>
      </c>
      <c r="G12" s="408">
        <f t="shared" si="10"/>
        <v>11386</v>
      </c>
      <c r="H12" s="439">
        <f t="shared" si="10"/>
        <v>140095</v>
      </c>
      <c r="I12" s="408">
        <f t="shared" si="10"/>
        <v>-444</v>
      </c>
      <c r="J12" s="439">
        <f t="shared" si="10"/>
        <v>18100</v>
      </c>
      <c r="K12" s="408">
        <f>K53</f>
        <v>709124</v>
      </c>
      <c r="L12" s="413">
        <f>L53</f>
        <v>60715</v>
      </c>
      <c r="M12" s="439">
        <f>M53</f>
        <v>762669</v>
      </c>
      <c r="N12" s="408">
        <f>N53</f>
        <v>657179</v>
      </c>
      <c r="O12" s="439">
        <f>O53</f>
        <v>-44775</v>
      </c>
      <c r="P12" s="77">
        <v>7</v>
      </c>
      <c r="Q12" s="314">
        <f>(C12-'22R3'!C12)/'22R3'!C12*100</f>
        <v>27.355156977378982</v>
      </c>
      <c r="R12" s="394">
        <f t="shared" si="3"/>
        <v>769839</v>
      </c>
      <c r="S12" s="394">
        <f t="shared" si="4"/>
        <v>0</v>
      </c>
      <c r="T12" s="49">
        <f>民間設備製造1!S14</f>
        <v>34544</v>
      </c>
      <c r="U12" s="49">
        <v>721168</v>
      </c>
    </row>
    <row r="13" spans="1:21">
      <c r="A13" s="298">
        <v>8</v>
      </c>
      <c r="B13" s="75" t="s">
        <v>211</v>
      </c>
      <c r="C13" s="413">
        <f t="shared" ref="C13:J13" si="11">C59</f>
        <v>508863</v>
      </c>
      <c r="D13" s="439">
        <f t="shared" si="11"/>
        <v>263937</v>
      </c>
      <c r="E13" s="408">
        <f t="shared" si="11"/>
        <v>76937</v>
      </c>
      <c r="F13" s="439">
        <f t="shared" si="11"/>
        <v>97987</v>
      </c>
      <c r="G13" s="408">
        <f t="shared" si="11"/>
        <v>11065</v>
      </c>
      <c r="H13" s="439">
        <f t="shared" si="11"/>
        <v>87200</v>
      </c>
      <c r="I13" s="408">
        <f t="shared" si="11"/>
        <v>-278</v>
      </c>
      <c r="J13" s="439">
        <f t="shared" si="11"/>
        <v>4970</v>
      </c>
      <c r="K13" s="408">
        <f>K59</f>
        <v>443831</v>
      </c>
      <c r="L13" s="413">
        <f>L59</f>
        <v>65032</v>
      </c>
      <c r="M13" s="439">
        <f>M59</f>
        <v>488103</v>
      </c>
      <c r="N13" s="408">
        <f>N59</f>
        <v>411319</v>
      </c>
      <c r="O13" s="439">
        <f>O59</f>
        <v>-11752</v>
      </c>
      <c r="P13" s="77">
        <v>8</v>
      </c>
      <c r="Q13" s="314">
        <f>(C13-'22R3'!C13)/'22R3'!C13*100</f>
        <v>10.609406721819612</v>
      </c>
      <c r="R13" s="394">
        <f t="shared" si="3"/>
        <v>508863</v>
      </c>
      <c r="S13" s="394">
        <f t="shared" si="4"/>
        <v>0</v>
      </c>
      <c r="T13" s="49">
        <f>民間設備製造1!S15</f>
        <v>21533</v>
      </c>
      <c r="U13" s="49">
        <v>452642</v>
      </c>
    </row>
    <row r="14" spans="1:21">
      <c r="A14" s="298">
        <v>9</v>
      </c>
      <c r="B14" s="75" t="s">
        <v>212</v>
      </c>
      <c r="C14" s="413">
        <f t="shared" ref="C14:J14" si="12">C62</f>
        <v>570575</v>
      </c>
      <c r="D14" s="439">
        <f t="shared" si="12"/>
        <v>311413</v>
      </c>
      <c r="E14" s="408">
        <f t="shared" si="12"/>
        <v>103121</v>
      </c>
      <c r="F14" s="439">
        <f t="shared" si="12"/>
        <v>110943</v>
      </c>
      <c r="G14" s="408">
        <f t="shared" si="12"/>
        <v>15530</v>
      </c>
      <c r="H14" s="439">
        <f t="shared" si="12"/>
        <v>95762</v>
      </c>
      <c r="I14" s="408">
        <f t="shared" si="12"/>
        <v>-349</v>
      </c>
      <c r="J14" s="439">
        <f t="shared" si="12"/>
        <v>10007</v>
      </c>
      <c r="K14" s="408">
        <f>K62</f>
        <v>535484</v>
      </c>
      <c r="L14" s="413">
        <f>L62</f>
        <v>35091</v>
      </c>
      <c r="M14" s="439">
        <f>M62</f>
        <v>565822</v>
      </c>
      <c r="N14" s="408">
        <f>N62</f>
        <v>496258</v>
      </c>
      <c r="O14" s="439">
        <f>O62</f>
        <v>-34473</v>
      </c>
      <c r="P14" s="77">
        <v>9</v>
      </c>
      <c r="Q14" s="314">
        <f>(C14-'22R3'!C14)/'22R3'!C14*100</f>
        <v>26.196832333991697</v>
      </c>
      <c r="R14" s="394">
        <f t="shared" si="3"/>
        <v>570575</v>
      </c>
      <c r="S14" s="394">
        <f t="shared" si="4"/>
        <v>0</v>
      </c>
      <c r="T14" s="49">
        <f>民間設備製造1!S16</f>
        <v>15147</v>
      </c>
      <c r="U14" s="49">
        <v>567041</v>
      </c>
    </row>
    <row r="15" spans="1:21">
      <c r="A15" s="298"/>
      <c r="B15" s="87"/>
      <c r="C15" s="413" t="s">
        <v>11</v>
      </c>
      <c r="D15" s="439" t="s">
        <v>11</v>
      </c>
      <c r="E15" s="408" t="s">
        <v>11</v>
      </c>
      <c r="F15" s="1355"/>
      <c r="G15" s="408" t="s">
        <v>11</v>
      </c>
      <c r="H15" s="439" t="s">
        <v>11</v>
      </c>
      <c r="I15" s="408" t="s">
        <v>11</v>
      </c>
      <c r="J15" s="439" t="s">
        <v>11</v>
      </c>
      <c r="K15" s="408" t="s">
        <v>11</v>
      </c>
      <c r="L15" s="308" t="s">
        <v>11</v>
      </c>
      <c r="M15" s="1094" t="s">
        <v>11</v>
      </c>
      <c r="N15" s="281" t="s">
        <v>11</v>
      </c>
      <c r="O15" s="1094" t="str">
        <f>'12H23'!O15</f>
        <v>　</v>
      </c>
      <c r="P15" s="77" t="s">
        <v>11</v>
      </c>
      <c r="Q15" s="314" t="s">
        <v>11</v>
      </c>
      <c r="R15" s="394" t="s">
        <v>11</v>
      </c>
      <c r="S15" s="394" t="s">
        <v>11</v>
      </c>
      <c r="T15" s="49" t="s">
        <v>11</v>
      </c>
      <c r="U15" s="49" t="s">
        <v>106</v>
      </c>
    </row>
    <row r="16" spans="1:21">
      <c r="A16" s="299">
        <v>100</v>
      </c>
      <c r="B16" s="305" t="s">
        <v>172</v>
      </c>
      <c r="C16" s="1356">
        <f t="shared" ref="C16:C65" si="13">K16+L16</f>
        <v>7631737.0295241382</v>
      </c>
      <c r="D16" s="544">
        <f>民間消費!U18</f>
        <v>4248698</v>
      </c>
      <c r="E16" s="544">
        <f>政府消費!U18</f>
        <v>1067351</v>
      </c>
      <c r="F16" s="1358">
        <f t="shared" ref="F16:F65" si="14">G16+H16+I16</f>
        <v>1379674</v>
      </c>
      <c r="G16" s="544">
        <f>民間住宅1!U18</f>
        <v>197822</v>
      </c>
      <c r="H16" s="544">
        <f>民間設備投資計!U18</f>
        <v>1186108</v>
      </c>
      <c r="I16" s="544">
        <f>民間在庫品増加!U18</f>
        <v>-4256</v>
      </c>
      <c r="J16" s="544">
        <f>公的投資!U18</f>
        <v>241435</v>
      </c>
      <c r="K16" s="1359">
        <f t="shared" ref="K16:K65" si="15">D16+E16+F16+J16</f>
        <v>6937158</v>
      </c>
      <c r="L16" s="1102">
        <f>M16-N16+O16</f>
        <v>694579.0295241382</v>
      </c>
      <c r="M16" s="1126">
        <f>移出入推計WS!GD18+移出入推計WS!GF18+移出入推計WS!GG18</f>
        <v>7353009.0295241382</v>
      </c>
      <c r="N16" s="1126">
        <f>移出入推計WS!GE18</f>
        <v>6428993</v>
      </c>
      <c r="O16" s="1998">
        <f>'24R5'!O16</f>
        <v>-229437</v>
      </c>
      <c r="P16" s="293">
        <v>100</v>
      </c>
      <c r="Q16" s="314">
        <f>(C16-'22R3'!C16)/'22R3'!C16*100</f>
        <v>9.8409328384775776</v>
      </c>
      <c r="R16" s="394">
        <f t="shared" si="3"/>
        <v>7631737.0295241382</v>
      </c>
      <c r="S16" s="394">
        <f t="shared" si="4"/>
        <v>0</v>
      </c>
      <c r="T16" s="49">
        <f>民間設備製造1!S18</f>
        <v>202112</v>
      </c>
      <c r="U16" s="49">
        <v>6918660</v>
      </c>
    </row>
    <row r="17" spans="1:21">
      <c r="A17" s="300">
        <v>1</v>
      </c>
      <c r="B17" s="65" t="s">
        <v>182</v>
      </c>
      <c r="C17" s="413">
        <f>SUM(C18:C20)</f>
        <v>4172900</v>
      </c>
      <c r="D17" s="544">
        <f>民間消費!U19</f>
        <v>2774440</v>
      </c>
      <c r="E17" s="544">
        <f>政府消費!U19</f>
        <v>505394</v>
      </c>
      <c r="F17" s="408">
        <f>SUM(F18:F20)</f>
        <v>871661</v>
      </c>
      <c r="G17" s="544">
        <f>民間住宅1!U19</f>
        <v>177532</v>
      </c>
      <c r="H17" s="544">
        <f>民間設備投資計!U19</f>
        <v>696702</v>
      </c>
      <c r="I17" s="544">
        <f>民間在庫品増加!U19</f>
        <v>-2573</v>
      </c>
      <c r="J17" s="544">
        <f>公的投資!U19</f>
        <v>112754</v>
      </c>
      <c r="K17" s="408">
        <f>SUM(K18:K20)</f>
        <v>4264249</v>
      </c>
      <c r="L17" s="412">
        <f t="shared" ref="L17" si="16">SUM(L18:L20)</f>
        <v>-91349</v>
      </c>
      <c r="M17" s="1126">
        <f>移出入推計WS!GD19+移出入推計WS!GF19+移出入推計WS!GG19</f>
        <v>4029596</v>
      </c>
      <c r="N17" s="1126">
        <f>移出入推計WS!GE19</f>
        <v>3951882</v>
      </c>
      <c r="O17" s="1999">
        <f>'24R5'!O17</f>
        <v>-169063</v>
      </c>
      <c r="P17" s="293">
        <v>1</v>
      </c>
      <c r="Q17" s="314">
        <f>(C17-'22R3'!C17)/'22R3'!C17*100</f>
        <v>12.897762444212614</v>
      </c>
      <c r="R17" s="394">
        <f t="shared" si="3"/>
        <v>4172900</v>
      </c>
      <c r="S17" s="394">
        <f t="shared" si="4"/>
        <v>0</v>
      </c>
      <c r="T17" s="49">
        <f>民間設備製造1!S19</f>
        <v>103127</v>
      </c>
      <c r="U17" s="49">
        <v>4179364</v>
      </c>
    </row>
    <row r="18" spans="1:21">
      <c r="A18" s="300">
        <v>202</v>
      </c>
      <c r="B18" s="90" t="s">
        <v>183</v>
      </c>
      <c r="C18" s="413">
        <f t="shared" si="13"/>
        <v>2084290</v>
      </c>
      <c r="D18" s="538">
        <f>民間消費!U20</f>
        <v>1273203</v>
      </c>
      <c r="E18" s="538">
        <f>政府消費!U20</f>
        <v>198500</v>
      </c>
      <c r="F18" s="572">
        <f t="shared" si="14"/>
        <v>462897</v>
      </c>
      <c r="G18" s="538">
        <f>民間住宅1!U20</f>
        <v>96571</v>
      </c>
      <c r="H18" s="538">
        <f>民間設備投資計!U20</f>
        <v>367510</v>
      </c>
      <c r="I18" s="538">
        <f>民間在庫品増加!U20</f>
        <v>-1184</v>
      </c>
      <c r="J18" s="538">
        <f>公的投資!U20</f>
        <v>46473</v>
      </c>
      <c r="K18" s="408">
        <f t="shared" si="15"/>
        <v>1981073</v>
      </c>
      <c r="L18" s="1103">
        <f t="shared" ref="L18:L65" si="17">M18-N18+O18</f>
        <v>103217</v>
      </c>
      <c r="M18" s="1127">
        <f>移出入推計WS!GD20+移出入推計WS!GF20+移出入推計WS!GG20</f>
        <v>1959606</v>
      </c>
      <c r="N18" s="1127">
        <f>移出入推計WS!GE20</f>
        <v>1835954</v>
      </c>
      <c r="O18" s="1999">
        <f>'24R5'!O18</f>
        <v>-20435</v>
      </c>
      <c r="P18" s="293">
        <v>202</v>
      </c>
      <c r="Q18" s="314">
        <f>(C18-'22R3'!C18)/'22R3'!C18*100</f>
        <v>3.6066398440350462</v>
      </c>
      <c r="R18" s="394">
        <f t="shared" si="3"/>
        <v>2084290</v>
      </c>
      <c r="S18" s="394">
        <f t="shared" si="4"/>
        <v>0</v>
      </c>
      <c r="T18" s="49">
        <f>民間設備製造1!S20</f>
        <v>88650</v>
      </c>
      <c r="U18" s="49">
        <v>1922816</v>
      </c>
    </row>
    <row r="19" spans="1:21">
      <c r="A19" s="300">
        <v>204</v>
      </c>
      <c r="B19" s="90" t="s">
        <v>184</v>
      </c>
      <c r="C19" s="413">
        <f t="shared" si="13"/>
        <v>1738491</v>
      </c>
      <c r="D19" s="538">
        <f>民間消費!U21</f>
        <v>1238974</v>
      </c>
      <c r="E19" s="538">
        <f>政府消費!U21</f>
        <v>247191</v>
      </c>
      <c r="F19" s="572">
        <f t="shared" si="14"/>
        <v>345749</v>
      </c>
      <c r="G19" s="538">
        <f>民間住宅1!U21</f>
        <v>73905</v>
      </c>
      <c r="H19" s="538">
        <f>民間設備投資計!U21</f>
        <v>272983</v>
      </c>
      <c r="I19" s="538">
        <f>民間在庫品増加!U21</f>
        <v>-1139</v>
      </c>
      <c r="J19" s="538">
        <f>公的投資!U21</f>
        <v>35902</v>
      </c>
      <c r="K19" s="408">
        <f t="shared" si="15"/>
        <v>1867816</v>
      </c>
      <c r="L19" s="1103">
        <f t="shared" si="17"/>
        <v>-129325</v>
      </c>
      <c r="M19" s="1127">
        <f>移出入推計WS!GD21+移出入推計WS!GF21+移出入推計WS!GG21</f>
        <v>1721338</v>
      </c>
      <c r="N19" s="1127">
        <f>移出入推計WS!GE21</f>
        <v>1730994</v>
      </c>
      <c r="O19" s="1999">
        <f>'24R5'!O19</f>
        <v>-119669</v>
      </c>
      <c r="P19" s="293">
        <v>204</v>
      </c>
      <c r="Q19" s="314">
        <f>(C19-'22R3'!C19)/'22R3'!C19*100</f>
        <v>19.793652040533669</v>
      </c>
      <c r="R19" s="394">
        <f t="shared" si="3"/>
        <v>1738491</v>
      </c>
      <c r="S19" s="394">
        <f t="shared" si="4"/>
        <v>0</v>
      </c>
      <c r="T19" s="49">
        <f>民間設備製造1!S21</f>
        <v>14438</v>
      </c>
      <c r="U19" s="49">
        <v>1850626</v>
      </c>
    </row>
    <row r="20" spans="1:21">
      <c r="A20" s="300">
        <v>206</v>
      </c>
      <c r="B20" s="90" t="s">
        <v>185</v>
      </c>
      <c r="C20" s="413">
        <f t="shared" si="13"/>
        <v>350119</v>
      </c>
      <c r="D20" s="542">
        <f>民間消費!U22</f>
        <v>262263</v>
      </c>
      <c r="E20" s="542">
        <f>政府消費!U22</f>
        <v>59703</v>
      </c>
      <c r="F20" s="572">
        <f t="shared" si="14"/>
        <v>63015</v>
      </c>
      <c r="G20" s="542">
        <f>民間住宅1!U22</f>
        <v>7056</v>
      </c>
      <c r="H20" s="542">
        <f>民間設備投資計!U22</f>
        <v>56209</v>
      </c>
      <c r="I20" s="542">
        <f>民間在庫品増加!U22</f>
        <v>-250</v>
      </c>
      <c r="J20" s="542">
        <f>公的投資!U22</f>
        <v>30379</v>
      </c>
      <c r="K20" s="408">
        <f t="shared" si="15"/>
        <v>415360</v>
      </c>
      <c r="L20" s="1104">
        <f t="shared" si="17"/>
        <v>-65241</v>
      </c>
      <c r="M20" s="1128">
        <f>移出入推計WS!GD22+移出入推計WS!GF22+移出入推計WS!GG22</f>
        <v>348652</v>
      </c>
      <c r="N20" s="1128">
        <f>移出入推計WS!GE22</f>
        <v>384934</v>
      </c>
      <c r="O20" s="1999">
        <f>'24R5'!O20</f>
        <v>-28959</v>
      </c>
      <c r="P20" s="293">
        <v>206</v>
      </c>
      <c r="Q20" s="314">
        <f>(C20-'22R3'!C20)/'22R3'!C20*100</f>
        <v>50.13421725184817</v>
      </c>
      <c r="R20" s="394">
        <f t="shared" si="3"/>
        <v>350119</v>
      </c>
      <c r="S20" s="394">
        <f t="shared" si="4"/>
        <v>0</v>
      </c>
      <c r="T20" s="49">
        <f>民間設備製造1!S22</f>
        <v>39</v>
      </c>
      <c r="U20" s="49">
        <v>405922</v>
      </c>
    </row>
    <row r="21" spans="1:21">
      <c r="A21" s="301">
        <v>2</v>
      </c>
      <c r="B21" s="128" t="s">
        <v>186</v>
      </c>
      <c r="C21" s="307">
        <f>SUM(C22:C26)</f>
        <v>2619097</v>
      </c>
      <c r="D21" s="538">
        <f>民間消費!U23</f>
        <v>1821201</v>
      </c>
      <c r="E21" s="538">
        <f>政府消費!U23</f>
        <v>339629</v>
      </c>
      <c r="F21" s="292">
        <f>SUM(F22:F26)</f>
        <v>619003</v>
      </c>
      <c r="G21" s="538">
        <f>民間住宅1!U23</f>
        <v>103307</v>
      </c>
      <c r="H21" s="538">
        <f>民間設備投資計!U23</f>
        <v>517398</v>
      </c>
      <c r="I21" s="538">
        <f>民間在庫品増加!U23</f>
        <v>-1702</v>
      </c>
      <c r="J21" s="538">
        <f>公的投資!U23</f>
        <v>320626</v>
      </c>
      <c r="K21" s="292">
        <f>SUM(K22:K26)</f>
        <v>3100459</v>
      </c>
      <c r="L21" s="308">
        <f t="shared" ref="L21" si="18">SUM(L22:L26)</f>
        <v>-481362</v>
      </c>
      <c r="M21" s="1127">
        <f>移出入推計WS!GD23+移出入推計WS!GF23+移出入推計WS!GG23</f>
        <v>2504269</v>
      </c>
      <c r="N21" s="1127">
        <f>移出入推計WS!GE23</f>
        <v>2873343</v>
      </c>
      <c r="O21" s="1999">
        <f>'24R5'!O21</f>
        <v>-112288</v>
      </c>
      <c r="P21" s="293">
        <v>2</v>
      </c>
      <c r="Q21" s="314">
        <f>(C21-'22R3'!C21)/'22R3'!C21*100</f>
        <v>18.723966348736354</v>
      </c>
      <c r="R21" s="394">
        <f t="shared" si="3"/>
        <v>2619097</v>
      </c>
      <c r="S21" s="394">
        <f t="shared" si="4"/>
        <v>0</v>
      </c>
      <c r="T21" s="49">
        <f>民間設備製造1!S23</f>
        <v>117843</v>
      </c>
      <c r="U21" s="49">
        <v>2764914</v>
      </c>
    </row>
    <row r="22" spans="1:21">
      <c r="A22" s="300">
        <v>207</v>
      </c>
      <c r="B22" s="90" t="s">
        <v>187</v>
      </c>
      <c r="C22" s="413">
        <f t="shared" si="13"/>
        <v>797975</v>
      </c>
      <c r="D22" s="538">
        <f>民間消費!U24</f>
        <v>510496</v>
      </c>
      <c r="E22" s="538">
        <f>政府消費!U24</f>
        <v>90179</v>
      </c>
      <c r="F22" s="572">
        <f t="shared" si="14"/>
        <v>217241</v>
      </c>
      <c r="G22" s="538">
        <f>民間住宅1!U24</f>
        <v>29936</v>
      </c>
      <c r="H22" s="538">
        <f>民間設備投資計!U24</f>
        <v>187809</v>
      </c>
      <c r="I22" s="538">
        <f>民間在庫品増加!U24</f>
        <v>-504</v>
      </c>
      <c r="J22" s="538">
        <f>公的投資!U24</f>
        <v>28418</v>
      </c>
      <c r="K22" s="408">
        <f t="shared" si="15"/>
        <v>846334</v>
      </c>
      <c r="L22" s="1103">
        <f t="shared" si="17"/>
        <v>-48359</v>
      </c>
      <c r="M22" s="1127">
        <f>移出入推計WS!GD24+移出入推計WS!GF24+移出入推計WS!GG24</f>
        <v>749445</v>
      </c>
      <c r="N22" s="1127">
        <f>移出入推計WS!GE24</f>
        <v>784338</v>
      </c>
      <c r="O22" s="1999">
        <f>'24R5'!O22</f>
        <v>-13466</v>
      </c>
      <c r="P22" s="293">
        <v>207</v>
      </c>
      <c r="Q22" s="314">
        <f>(C22-'22R3'!C22)/'22R3'!C22*100</f>
        <v>2.3114391106062335</v>
      </c>
      <c r="R22" s="394">
        <f t="shared" si="3"/>
        <v>797975</v>
      </c>
      <c r="S22" s="394">
        <f t="shared" si="4"/>
        <v>0</v>
      </c>
      <c r="T22" s="49">
        <f>民間設備製造1!S24</f>
        <v>65698</v>
      </c>
      <c r="U22" s="49">
        <v>818356</v>
      </c>
    </row>
    <row r="23" spans="1:21">
      <c r="A23" s="300">
        <v>214</v>
      </c>
      <c r="B23" s="90" t="s">
        <v>188</v>
      </c>
      <c r="C23" s="413">
        <f t="shared" si="13"/>
        <v>708330</v>
      </c>
      <c r="D23" s="538">
        <f>民間消費!U25</f>
        <v>587029</v>
      </c>
      <c r="E23" s="538">
        <f>政府消費!U25</f>
        <v>104945</v>
      </c>
      <c r="F23" s="572">
        <f t="shared" si="14"/>
        <v>148043</v>
      </c>
      <c r="G23" s="538">
        <f>民間住宅1!U25</f>
        <v>27103</v>
      </c>
      <c r="H23" s="538">
        <f>民間設備投資計!U25</f>
        <v>121455</v>
      </c>
      <c r="I23" s="538">
        <f>民間在庫品増加!U25</f>
        <v>-515</v>
      </c>
      <c r="J23" s="538">
        <f>公的投資!U25</f>
        <v>23270</v>
      </c>
      <c r="K23" s="408">
        <f t="shared" si="15"/>
        <v>863287</v>
      </c>
      <c r="L23" s="1103">
        <f t="shared" si="17"/>
        <v>-154957</v>
      </c>
      <c r="M23" s="1127">
        <f>移出入推計WS!GD25+移出入推計WS!GF25+移出入推計WS!GG25</f>
        <v>709965</v>
      </c>
      <c r="N23" s="1127">
        <f>移出入推計WS!GE25</f>
        <v>800049</v>
      </c>
      <c r="O23" s="1999">
        <f>'24R5'!O23</f>
        <v>-64873</v>
      </c>
      <c r="P23" s="293">
        <v>214</v>
      </c>
      <c r="Q23" s="314">
        <f>(C23-'22R3'!C23)/'22R3'!C23*100</f>
        <v>42.456061316058864</v>
      </c>
      <c r="R23" s="394">
        <f t="shared" si="3"/>
        <v>708330</v>
      </c>
      <c r="S23" s="394">
        <f t="shared" si="4"/>
        <v>0</v>
      </c>
      <c r="T23" s="49">
        <f>民間設備製造1!S25</f>
        <v>5148</v>
      </c>
      <c r="U23" s="49">
        <v>836914</v>
      </c>
    </row>
    <row r="24" spans="1:21">
      <c r="A24" s="300">
        <v>217</v>
      </c>
      <c r="B24" s="90" t="s">
        <v>189</v>
      </c>
      <c r="C24" s="413">
        <f t="shared" si="13"/>
        <v>484521</v>
      </c>
      <c r="D24" s="538">
        <f>民間消費!U26</f>
        <v>391198</v>
      </c>
      <c r="E24" s="538">
        <f>政府消費!U26</f>
        <v>69445</v>
      </c>
      <c r="F24" s="572">
        <f t="shared" si="14"/>
        <v>105926</v>
      </c>
      <c r="G24" s="538">
        <f>民間住宅1!U26</f>
        <v>23789</v>
      </c>
      <c r="H24" s="538">
        <f>民間設備投資計!U26</f>
        <v>82482</v>
      </c>
      <c r="I24" s="538">
        <f>民間在庫品増加!U26</f>
        <v>-345</v>
      </c>
      <c r="J24" s="538">
        <f>公的投資!U26</f>
        <v>8475</v>
      </c>
      <c r="K24" s="408">
        <f t="shared" si="15"/>
        <v>575044</v>
      </c>
      <c r="L24" s="1103">
        <f t="shared" si="17"/>
        <v>-90523</v>
      </c>
      <c r="M24" s="1127">
        <f>移出入推計WS!GD26+移出入推計WS!GF26+移出入推計WS!GG26</f>
        <v>482011</v>
      </c>
      <c r="N24" s="1127">
        <f>移出入推計WS!GE26</f>
        <v>532921</v>
      </c>
      <c r="O24" s="1999">
        <f>'24R5'!O24</f>
        <v>-39613</v>
      </c>
      <c r="P24" s="293">
        <v>217</v>
      </c>
      <c r="Q24" s="314">
        <f>(C24-'22R3'!C24)/'22R3'!C24*100</f>
        <v>37.012770337526014</v>
      </c>
      <c r="R24" s="394">
        <f t="shared" si="3"/>
        <v>484521</v>
      </c>
      <c r="S24" s="394">
        <f t="shared" si="4"/>
        <v>0</v>
      </c>
      <c r="T24" s="49">
        <f>民間設備製造1!S26</f>
        <v>4112</v>
      </c>
      <c r="U24" s="49">
        <v>560663</v>
      </c>
    </row>
    <row r="25" spans="1:21">
      <c r="A25" s="300">
        <v>219</v>
      </c>
      <c r="B25" s="90" t="s">
        <v>190</v>
      </c>
      <c r="C25" s="413">
        <f t="shared" si="13"/>
        <v>513949</v>
      </c>
      <c r="D25" s="538">
        <f>民間消費!U27</f>
        <v>263289</v>
      </c>
      <c r="E25" s="538">
        <f>政府消費!U27</f>
        <v>56171</v>
      </c>
      <c r="F25" s="572">
        <f t="shared" si="14"/>
        <v>131470</v>
      </c>
      <c r="G25" s="538">
        <f>民間住宅1!U27</f>
        <v>21704</v>
      </c>
      <c r="H25" s="538">
        <f>民間設備投資計!U27</f>
        <v>110038</v>
      </c>
      <c r="I25" s="538">
        <f>民間在庫品増加!U27</f>
        <v>-272</v>
      </c>
      <c r="J25" s="538">
        <f>公的投資!U27</f>
        <v>19025</v>
      </c>
      <c r="K25" s="408">
        <f t="shared" si="15"/>
        <v>469955</v>
      </c>
      <c r="L25" s="1103">
        <f t="shared" si="17"/>
        <v>43994</v>
      </c>
      <c r="M25" s="1127">
        <f>移出入推計WS!GD27+移出入推計WS!GF27+移出入推計WS!GG27</f>
        <v>464339</v>
      </c>
      <c r="N25" s="1127">
        <f>移出入推計WS!GE27</f>
        <v>435530</v>
      </c>
      <c r="O25" s="1999">
        <f>'24R5'!O25</f>
        <v>15185</v>
      </c>
      <c r="P25" s="293">
        <v>219</v>
      </c>
      <c r="Q25" s="314">
        <f>(C25-'22R3'!C25)/'22R3'!C25*100</f>
        <v>0.58359933224650518</v>
      </c>
      <c r="R25" s="394">
        <f t="shared" si="3"/>
        <v>513949</v>
      </c>
      <c r="S25" s="394">
        <f t="shared" si="4"/>
        <v>0</v>
      </c>
      <c r="T25" s="49">
        <f>民間設備製造1!S27</f>
        <v>42260</v>
      </c>
      <c r="U25" s="49">
        <v>441821</v>
      </c>
    </row>
    <row r="26" spans="1:21">
      <c r="A26" s="302">
        <v>301</v>
      </c>
      <c r="B26" s="201" t="s">
        <v>191</v>
      </c>
      <c r="C26" s="445">
        <f t="shared" si="13"/>
        <v>114322</v>
      </c>
      <c r="D26" s="538">
        <f>民間消費!U28</f>
        <v>69189</v>
      </c>
      <c r="E26" s="538">
        <f>政府消費!U28</f>
        <v>18889</v>
      </c>
      <c r="F26" s="573">
        <f t="shared" si="14"/>
        <v>16323</v>
      </c>
      <c r="G26" s="538">
        <f>民間住宅1!U28</f>
        <v>775</v>
      </c>
      <c r="H26" s="538">
        <f>民間設備投資計!U28</f>
        <v>15614</v>
      </c>
      <c r="I26" s="538">
        <f>民間在庫品増加!U28</f>
        <v>-66</v>
      </c>
      <c r="J26" s="538">
        <f>公的投資!U28</f>
        <v>241438</v>
      </c>
      <c r="K26" s="409">
        <f t="shared" si="15"/>
        <v>345839</v>
      </c>
      <c r="L26" s="1103">
        <f t="shared" si="17"/>
        <v>-231517</v>
      </c>
      <c r="M26" s="1127">
        <f>移出入推計WS!GD28+移出入推計WS!GF28+移出入推計WS!GG28</f>
        <v>98509</v>
      </c>
      <c r="N26" s="1127">
        <f>移出入推計WS!GE28</f>
        <v>320505</v>
      </c>
      <c r="O26" s="1999">
        <f>'24R5'!O26</f>
        <v>-9521</v>
      </c>
      <c r="P26" s="293">
        <v>301</v>
      </c>
      <c r="Q26" s="314">
        <f>(C26-'22R3'!C26)/'22R3'!C26*100</f>
        <v>77.888774779821375</v>
      </c>
      <c r="R26" s="394">
        <f t="shared" si="3"/>
        <v>114322</v>
      </c>
      <c r="S26" s="394">
        <f t="shared" si="4"/>
        <v>0</v>
      </c>
      <c r="T26" s="49">
        <f>民間設備製造1!S28</f>
        <v>625</v>
      </c>
      <c r="U26" s="49">
        <v>107160</v>
      </c>
    </row>
    <row r="27" spans="1:21">
      <c r="A27" s="300">
        <v>3</v>
      </c>
      <c r="B27" s="65" t="s">
        <v>192</v>
      </c>
      <c r="C27" s="308">
        <f>SUM(C28:C32)</f>
        <v>3229129</v>
      </c>
      <c r="D27" s="544">
        <f>民間消費!U29</f>
        <v>1887919</v>
      </c>
      <c r="E27" s="544">
        <f>政府消費!U29</f>
        <v>328970</v>
      </c>
      <c r="F27" s="281">
        <f>SUM(F28:F32)</f>
        <v>1006518</v>
      </c>
      <c r="G27" s="544">
        <f>民間住宅1!U29</f>
        <v>120441</v>
      </c>
      <c r="H27" s="544">
        <f>民間設備投資計!U29</f>
        <v>888047</v>
      </c>
      <c r="I27" s="544">
        <f>民間在庫品増加!U29</f>
        <v>-1970</v>
      </c>
      <c r="J27" s="544">
        <f>公的投資!U29</f>
        <v>89555</v>
      </c>
      <c r="K27" s="281">
        <f>SUM(K28:K32)</f>
        <v>3312962</v>
      </c>
      <c r="L27" s="307">
        <f t="shared" ref="L27" si="19">SUM(L28:L32)</f>
        <v>-83833</v>
      </c>
      <c r="M27" s="1126">
        <f>移出入推計WS!GD29+移出入推計WS!GF29+移出入推計WS!GG29</f>
        <v>3083461</v>
      </c>
      <c r="N27" s="1126">
        <f>移出入推計WS!GE29</f>
        <v>3070279</v>
      </c>
      <c r="O27" s="1999">
        <f>'24R5'!O27</f>
        <v>-97015</v>
      </c>
      <c r="P27" s="293">
        <v>3</v>
      </c>
      <c r="Q27" s="314">
        <f>(C27-'22R3'!C27)/'22R3'!C27*100</f>
        <v>9.0850833036899967</v>
      </c>
      <c r="R27" s="394">
        <f t="shared" si="3"/>
        <v>3229129</v>
      </c>
      <c r="S27" s="394">
        <f t="shared" si="4"/>
        <v>0</v>
      </c>
      <c r="T27" s="49">
        <f>民間設備製造1!S29</f>
        <v>392618</v>
      </c>
      <c r="U27" s="49">
        <v>3200858</v>
      </c>
    </row>
    <row r="28" spans="1:21">
      <c r="A28" s="300">
        <v>203</v>
      </c>
      <c r="B28" s="90" t="s">
        <v>193</v>
      </c>
      <c r="C28" s="413">
        <f t="shared" si="13"/>
        <v>1273475</v>
      </c>
      <c r="D28" s="538">
        <f>民間消費!U30</f>
        <v>832325</v>
      </c>
      <c r="E28" s="538">
        <f>政府消費!U30</f>
        <v>139794</v>
      </c>
      <c r="F28" s="572">
        <f t="shared" si="14"/>
        <v>351672</v>
      </c>
      <c r="G28" s="538">
        <f>民間住宅1!U30</f>
        <v>63829</v>
      </c>
      <c r="H28" s="538">
        <f>民間設備投資計!U30</f>
        <v>288638</v>
      </c>
      <c r="I28" s="538">
        <f>民間在庫品増加!U30</f>
        <v>-795</v>
      </c>
      <c r="J28" s="538">
        <f>公的投資!U30</f>
        <v>35121</v>
      </c>
      <c r="K28" s="408">
        <f t="shared" si="15"/>
        <v>1358912</v>
      </c>
      <c r="L28" s="1103">
        <f t="shared" si="17"/>
        <v>-85437</v>
      </c>
      <c r="M28" s="1127">
        <f>移出入推計WS!GD30+移出入推計WS!GF30+移出入推計WS!GG30</f>
        <v>1253365</v>
      </c>
      <c r="N28" s="1127">
        <f>移出入推計WS!GE30</f>
        <v>1259368</v>
      </c>
      <c r="O28" s="1999">
        <f>'24R5'!O28</f>
        <v>-79434</v>
      </c>
      <c r="P28" s="293">
        <v>203</v>
      </c>
      <c r="Q28" s="314">
        <f>(C28-'22R3'!C28)/'22R3'!C28*100</f>
        <v>11.186342713855653</v>
      </c>
      <c r="R28" s="394">
        <f t="shared" si="3"/>
        <v>1273475</v>
      </c>
      <c r="S28" s="394">
        <f t="shared" si="4"/>
        <v>0</v>
      </c>
      <c r="T28" s="49">
        <f>民間設備製造1!S30</f>
        <v>96260</v>
      </c>
      <c r="U28" s="49">
        <v>1291677</v>
      </c>
    </row>
    <row r="29" spans="1:21">
      <c r="A29" s="300">
        <v>210</v>
      </c>
      <c r="B29" s="90" t="s">
        <v>194</v>
      </c>
      <c r="C29" s="413">
        <f t="shared" si="13"/>
        <v>1058835</v>
      </c>
      <c r="D29" s="538">
        <f>民間消費!U31</f>
        <v>663046</v>
      </c>
      <c r="E29" s="538">
        <f>政府消費!U31</f>
        <v>113661</v>
      </c>
      <c r="F29" s="572">
        <f t="shared" si="14"/>
        <v>320004</v>
      </c>
      <c r="G29" s="538">
        <f>民間住宅1!U31</f>
        <v>32743</v>
      </c>
      <c r="H29" s="538">
        <f>民間設備投資計!U31</f>
        <v>287930</v>
      </c>
      <c r="I29" s="538">
        <f>民間在庫品増加!U31</f>
        <v>-669</v>
      </c>
      <c r="J29" s="538">
        <f>公的投資!U31</f>
        <v>13517</v>
      </c>
      <c r="K29" s="408">
        <f t="shared" si="15"/>
        <v>1110228</v>
      </c>
      <c r="L29" s="1103">
        <f t="shared" si="17"/>
        <v>-51393</v>
      </c>
      <c r="M29" s="1127">
        <f>移出入推計WS!GD31+移出入推計WS!GF31+移出入推計WS!GG31</f>
        <v>1018483</v>
      </c>
      <c r="N29" s="1127">
        <f>移出入推計WS!GE31</f>
        <v>1028901</v>
      </c>
      <c r="O29" s="1999">
        <f>'24R5'!O29</f>
        <v>-40975</v>
      </c>
      <c r="P29" s="293">
        <v>210</v>
      </c>
      <c r="Q29" s="314">
        <f>(C29-'22R3'!C29)/'22R3'!C29*100</f>
        <v>25.343297646161933</v>
      </c>
      <c r="R29" s="394">
        <f t="shared" si="3"/>
        <v>1058835</v>
      </c>
      <c r="S29" s="394">
        <f t="shared" si="4"/>
        <v>0</v>
      </c>
      <c r="T29" s="49">
        <f>民間設備製造1!S31</f>
        <v>119582</v>
      </c>
      <c r="U29" s="49">
        <v>1087360</v>
      </c>
    </row>
    <row r="30" spans="1:21">
      <c r="A30" s="300">
        <v>216</v>
      </c>
      <c r="B30" s="90" t="s">
        <v>195</v>
      </c>
      <c r="C30" s="413">
        <f t="shared" si="13"/>
        <v>535458</v>
      </c>
      <c r="D30" s="538">
        <f>民間消費!U32</f>
        <v>227278</v>
      </c>
      <c r="E30" s="538">
        <f>政府消費!U32</f>
        <v>46214</v>
      </c>
      <c r="F30" s="572">
        <f t="shared" si="14"/>
        <v>234154</v>
      </c>
      <c r="G30" s="538">
        <f>民間住宅1!U32</f>
        <v>11413</v>
      </c>
      <c r="H30" s="538">
        <f>民間設備投資計!U32</f>
        <v>223060</v>
      </c>
      <c r="I30" s="538">
        <f>民間在庫品増加!U32</f>
        <v>-319</v>
      </c>
      <c r="J30" s="538">
        <f>公的投資!U32</f>
        <v>32161</v>
      </c>
      <c r="K30" s="408">
        <f t="shared" si="15"/>
        <v>539807</v>
      </c>
      <c r="L30" s="1103">
        <f t="shared" si="17"/>
        <v>-4349</v>
      </c>
      <c r="M30" s="1127">
        <f>移出入推計WS!GD32+移出入推計WS!GF32+移出入推計WS!GG32</f>
        <v>492164</v>
      </c>
      <c r="N30" s="1127">
        <f>移出入推計WS!GE32</f>
        <v>500265</v>
      </c>
      <c r="O30" s="1999">
        <f>'24R5'!O30</f>
        <v>3752</v>
      </c>
      <c r="P30" s="293">
        <v>216</v>
      </c>
      <c r="Q30" s="314">
        <f>(C30-'22R3'!C30)/'22R3'!C30*100</f>
        <v>-2.9256919919651341</v>
      </c>
      <c r="R30" s="394">
        <f t="shared" si="3"/>
        <v>535458</v>
      </c>
      <c r="S30" s="394">
        <f t="shared" si="4"/>
        <v>0</v>
      </c>
      <c r="T30" s="49">
        <f>民間設備製造1!S32</f>
        <v>137373</v>
      </c>
      <c r="U30" s="49">
        <v>518621</v>
      </c>
    </row>
    <row r="31" spans="1:21">
      <c r="A31" s="300">
        <v>381</v>
      </c>
      <c r="B31" s="90" t="s">
        <v>196</v>
      </c>
      <c r="C31" s="413">
        <f t="shared" si="13"/>
        <v>158087</v>
      </c>
      <c r="D31" s="538">
        <f>民間消費!U33</f>
        <v>75074</v>
      </c>
      <c r="E31" s="538">
        <f>政府消費!U33</f>
        <v>12847</v>
      </c>
      <c r="F31" s="572">
        <f t="shared" si="14"/>
        <v>36931</v>
      </c>
      <c r="G31" s="538">
        <f>民間住宅1!U33</f>
        <v>4063</v>
      </c>
      <c r="H31" s="538">
        <f>民間設備投資計!U33</f>
        <v>32948</v>
      </c>
      <c r="I31" s="538">
        <f>民間在庫品増加!U33</f>
        <v>-80</v>
      </c>
      <c r="J31" s="538">
        <f>公的投資!U33</f>
        <v>3964</v>
      </c>
      <c r="K31" s="408">
        <f t="shared" si="15"/>
        <v>128816</v>
      </c>
      <c r="L31" s="1103">
        <f t="shared" si="17"/>
        <v>29271</v>
      </c>
      <c r="M31" s="1127">
        <f>移出入推計WS!GD33+移出入推計WS!GF33+移出入推計WS!GG33</f>
        <v>142969</v>
      </c>
      <c r="N31" s="1127">
        <f>移出入推計WS!GE33</f>
        <v>119380</v>
      </c>
      <c r="O31" s="1999">
        <f>'24R5'!O31</f>
        <v>5682</v>
      </c>
      <c r="P31" s="293">
        <v>381</v>
      </c>
      <c r="Q31" s="314">
        <f>(C31-'22R3'!C31)/'22R3'!C31*100</f>
        <v>-6.6027424776826589</v>
      </c>
      <c r="R31" s="394">
        <f t="shared" si="3"/>
        <v>158087</v>
      </c>
      <c r="S31" s="394">
        <f t="shared" si="4"/>
        <v>0</v>
      </c>
      <c r="T31" s="49">
        <f>民間設備製造1!S33</f>
        <v>12809</v>
      </c>
      <c r="U31" s="49">
        <v>130004</v>
      </c>
    </row>
    <row r="32" spans="1:21">
      <c r="A32" s="300">
        <v>382</v>
      </c>
      <c r="B32" s="90" t="s">
        <v>197</v>
      </c>
      <c r="C32" s="413">
        <f t="shared" si="13"/>
        <v>203274</v>
      </c>
      <c r="D32" s="542">
        <f>民間消費!U34</f>
        <v>90196</v>
      </c>
      <c r="E32" s="542">
        <f>政府消費!U34</f>
        <v>16454</v>
      </c>
      <c r="F32" s="572">
        <f t="shared" si="14"/>
        <v>63757</v>
      </c>
      <c r="G32" s="542">
        <f>民間住宅1!U34</f>
        <v>8393</v>
      </c>
      <c r="H32" s="542">
        <f>民間設備投資計!U34</f>
        <v>55471</v>
      </c>
      <c r="I32" s="542">
        <f>民間在庫品増加!U34</f>
        <v>-107</v>
      </c>
      <c r="J32" s="542">
        <f>公的投資!U34</f>
        <v>4792</v>
      </c>
      <c r="K32" s="408">
        <f t="shared" si="15"/>
        <v>175199</v>
      </c>
      <c r="L32" s="1104">
        <f t="shared" si="17"/>
        <v>28075</v>
      </c>
      <c r="M32" s="1128">
        <f>移出入推計WS!GD34+移出入推計WS!GF34+移出入推計WS!GG34</f>
        <v>176480</v>
      </c>
      <c r="N32" s="1128">
        <f>移出入推計WS!GE34</f>
        <v>162365</v>
      </c>
      <c r="O32" s="1999">
        <f>'24R5'!O32</f>
        <v>13960</v>
      </c>
      <c r="P32" s="293">
        <v>382</v>
      </c>
      <c r="Q32" s="314">
        <f>(C32-'22R3'!C32)/'22R3'!C32*100</f>
        <v>-18.440501697200222</v>
      </c>
      <c r="R32" s="394">
        <f t="shared" si="3"/>
        <v>203274</v>
      </c>
      <c r="S32" s="394">
        <f t="shared" si="4"/>
        <v>0</v>
      </c>
      <c r="T32" s="49">
        <f>民間設備製造1!S34</f>
        <v>26594</v>
      </c>
      <c r="U32" s="49">
        <v>173196</v>
      </c>
    </row>
    <row r="33" spans="1:21">
      <c r="A33" s="301">
        <v>4</v>
      </c>
      <c r="B33" s="306" t="s">
        <v>198</v>
      </c>
      <c r="C33" s="307">
        <f>SUM(C34:C39)</f>
        <v>1322637</v>
      </c>
      <c r="D33" s="538">
        <f>民間消費!U35</f>
        <v>654485</v>
      </c>
      <c r="E33" s="538">
        <f>政府消費!U35</f>
        <v>154744</v>
      </c>
      <c r="F33" s="292">
        <f>SUM(F34:F39)</f>
        <v>301375</v>
      </c>
      <c r="G33" s="538">
        <f>民間住宅1!U35</f>
        <v>24430</v>
      </c>
      <c r="H33" s="538">
        <f>民間設備投資計!U35</f>
        <v>277654</v>
      </c>
      <c r="I33" s="538">
        <f>民間在庫品増加!U35</f>
        <v>-709</v>
      </c>
      <c r="J33" s="538">
        <f>公的投資!U35</f>
        <v>47873</v>
      </c>
      <c r="K33" s="292">
        <f>SUM(K34:K39)</f>
        <v>1158477</v>
      </c>
      <c r="L33" s="308">
        <f t="shared" ref="L33" si="20">SUM(L34:L39)</f>
        <v>164160</v>
      </c>
      <c r="M33" s="1127">
        <f>移出入推計WS!GD35+移出入推計WS!GF35+移出入推計WS!GG35</f>
        <v>1230456</v>
      </c>
      <c r="N33" s="1127">
        <f>移出入推計WS!GE35</f>
        <v>1073615</v>
      </c>
      <c r="O33" s="1999">
        <f>'24R5'!O33</f>
        <v>7319</v>
      </c>
      <c r="P33" s="293">
        <v>4</v>
      </c>
      <c r="Q33" s="314">
        <f>(C33-'22R3'!C33)/'22R3'!C33*100</f>
        <v>0.20493479967149822</v>
      </c>
      <c r="R33" s="394">
        <f t="shared" si="3"/>
        <v>1322637</v>
      </c>
      <c r="S33" s="394">
        <f t="shared" si="4"/>
        <v>0</v>
      </c>
      <c r="T33" s="49">
        <f>民間設備製造1!S35</f>
        <v>105029</v>
      </c>
      <c r="U33" s="49">
        <v>1150135</v>
      </c>
    </row>
    <row r="34" spans="1:21">
      <c r="A34" s="300">
        <v>213</v>
      </c>
      <c r="B34" s="92" t="s">
        <v>231</v>
      </c>
      <c r="C34" s="413">
        <f t="shared" si="13"/>
        <v>164018</v>
      </c>
      <c r="D34" s="538">
        <f>民間消費!U36</f>
        <v>95056</v>
      </c>
      <c r="E34" s="538">
        <f>政府消費!U36</f>
        <v>20110</v>
      </c>
      <c r="F34" s="572">
        <f t="shared" si="14"/>
        <v>28267</v>
      </c>
      <c r="G34" s="538">
        <f>民間住宅1!U36</f>
        <v>2218</v>
      </c>
      <c r="H34" s="538">
        <f>民間設備投資計!U36</f>
        <v>26142</v>
      </c>
      <c r="I34" s="538">
        <f>民間在庫品増加!U36</f>
        <v>-93</v>
      </c>
      <c r="J34" s="538">
        <f>公的投資!U36</f>
        <v>2360</v>
      </c>
      <c r="K34" s="408">
        <f t="shared" si="15"/>
        <v>145793</v>
      </c>
      <c r="L34" s="1103">
        <f t="shared" si="17"/>
        <v>18225</v>
      </c>
      <c r="M34" s="1127">
        <f>移出入推計WS!GD36+移出入推計WS!GF36+移出入推計WS!GG36</f>
        <v>153962</v>
      </c>
      <c r="N34" s="1127">
        <f>移出入推計WS!GE36</f>
        <v>135113</v>
      </c>
      <c r="O34" s="1999">
        <f>'24R5'!O34</f>
        <v>-624</v>
      </c>
      <c r="P34" s="293">
        <v>213</v>
      </c>
      <c r="Q34" s="314">
        <f>(C34-'22R3'!C34)/'22R3'!C34*100</f>
        <v>11.447228054440073</v>
      </c>
      <c r="R34" s="394">
        <f t="shared" si="3"/>
        <v>164018</v>
      </c>
      <c r="S34" s="394">
        <f t="shared" si="4"/>
        <v>0</v>
      </c>
      <c r="T34" s="49">
        <f>民間設備製造1!S36</f>
        <v>4739</v>
      </c>
      <c r="U34" s="49">
        <v>151131</v>
      </c>
    </row>
    <row r="35" spans="1:21">
      <c r="A35" s="300">
        <v>215</v>
      </c>
      <c r="B35" s="92" t="s">
        <v>232</v>
      </c>
      <c r="C35" s="413">
        <f t="shared" si="13"/>
        <v>335571</v>
      </c>
      <c r="D35" s="538">
        <f>民間消費!U37</f>
        <v>188380</v>
      </c>
      <c r="E35" s="538">
        <f>政府消費!U37</f>
        <v>43010</v>
      </c>
      <c r="F35" s="572">
        <f t="shared" si="14"/>
        <v>69721</v>
      </c>
      <c r="G35" s="538">
        <f>民間住宅1!U37</f>
        <v>7350</v>
      </c>
      <c r="H35" s="538">
        <f>民間設備投資計!U37</f>
        <v>62560</v>
      </c>
      <c r="I35" s="538">
        <f>民間在庫品増加!U37</f>
        <v>-189</v>
      </c>
      <c r="J35" s="538">
        <f>公的投資!U37</f>
        <v>7483</v>
      </c>
      <c r="K35" s="408">
        <f t="shared" si="15"/>
        <v>308594</v>
      </c>
      <c r="L35" s="1103">
        <f t="shared" si="17"/>
        <v>26977</v>
      </c>
      <c r="M35" s="1127">
        <f>移出入推計WS!GD37+移出入推計WS!GF37+移出入推計WS!GG37</f>
        <v>315776</v>
      </c>
      <c r="N35" s="1127">
        <f>移出入推計WS!GE37</f>
        <v>285989</v>
      </c>
      <c r="O35" s="1999">
        <f>'24R5'!O35</f>
        <v>-2810</v>
      </c>
      <c r="P35" s="293">
        <v>215</v>
      </c>
      <c r="Q35" s="314">
        <f>(C35-'22R3'!C35)/'22R3'!C35*100</f>
        <v>4.426042794727211</v>
      </c>
      <c r="R35" s="394">
        <f t="shared" si="3"/>
        <v>335571</v>
      </c>
      <c r="S35" s="394">
        <f t="shared" si="4"/>
        <v>0</v>
      </c>
      <c r="T35" s="49">
        <f>民間設備製造1!S37</f>
        <v>17795</v>
      </c>
      <c r="U35" s="49">
        <v>306659</v>
      </c>
    </row>
    <row r="36" spans="1:21">
      <c r="A36" s="300">
        <v>218</v>
      </c>
      <c r="B36" s="90" t="s">
        <v>200</v>
      </c>
      <c r="C36" s="413">
        <f t="shared" si="13"/>
        <v>262245</v>
      </c>
      <c r="D36" s="538">
        <f>民間消費!U38</f>
        <v>115597</v>
      </c>
      <c r="E36" s="538">
        <f>政府消費!U38</f>
        <v>23940</v>
      </c>
      <c r="F36" s="572">
        <f t="shared" si="14"/>
        <v>63457</v>
      </c>
      <c r="G36" s="538">
        <f>民間住宅1!U38</f>
        <v>6950</v>
      </c>
      <c r="H36" s="538">
        <f>民間設備投資計!U38</f>
        <v>56637</v>
      </c>
      <c r="I36" s="538">
        <f>民間在庫品増加!U38</f>
        <v>-130</v>
      </c>
      <c r="J36" s="538">
        <f>公的投資!U38</f>
        <v>13542</v>
      </c>
      <c r="K36" s="408">
        <f t="shared" si="15"/>
        <v>216536</v>
      </c>
      <c r="L36" s="1103">
        <f t="shared" si="17"/>
        <v>45709</v>
      </c>
      <c r="M36" s="1127">
        <f>移出入推計WS!GD38+移出入推計WS!GF38+移出入推計WS!GG38</f>
        <v>236722</v>
      </c>
      <c r="N36" s="1127">
        <f>移出入推計WS!GE38</f>
        <v>200674</v>
      </c>
      <c r="O36" s="1999">
        <f>'24R5'!O36</f>
        <v>9661</v>
      </c>
      <c r="P36" s="293">
        <v>218</v>
      </c>
      <c r="Q36" s="314">
        <f>(C36-'22R3'!C36)/'22R3'!C36*100</f>
        <v>0.94033148320644189</v>
      </c>
      <c r="R36" s="394">
        <f t="shared" si="3"/>
        <v>262245</v>
      </c>
      <c r="S36" s="394">
        <f t="shared" si="4"/>
        <v>0</v>
      </c>
      <c r="T36" s="49">
        <f>民間設備製造1!S38</f>
        <v>24156</v>
      </c>
      <c r="U36" s="49">
        <v>210511</v>
      </c>
    </row>
    <row r="37" spans="1:21">
      <c r="A37" s="300">
        <v>220</v>
      </c>
      <c r="B37" s="90" t="s">
        <v>201</v>
      </c>
      <c r="C37" s="413">
        <f t="shared" si="13"/>
        <v>235745</v>
      </c>
      <c r="D37" s="538">
        <f>民間消費!U39</f>
        <v>103967</v>
      </c>
      <c r="E37" s="538">
        <f>政府消費!U39</f>
        <v>29200</v>
      </c>
      <c r="F37" s="572">
        <f t="shared" si="14"/>
        <v>60754</v>
      </c>
      <c r="G37" s="538">
        <f>民間住宅1!U39</f>
        <v>3769</v>
      </c>
      <c r="H37" s="538">
        <f>民間設備投資計!U39</f>
        <v>57106</v>
      </c>
      <c r="I37" s="538">
        <f>民間在庫品増加!U39</f>
        <v>-121</v>
      </c>
      <c r="J37" s="538">
        <f>公的投資!U39</f>
        <v>9104</v>
      </c>
      <c r="K37" s="408">
        <f t="shared" si="15"/>
        <v>203025</v>
      </c>
      <c r="L37" s="1103">
        <f t="shared" si="17"/>
        <v>32720</v>
      </c>
      <c r="M37" s="1127">
        <f>移出入推計WS!GD39+移出入推計WS!GF39+移出入推計WS!GG39</f>
        <v>219121</v>
      </c>
      <c r="N37" s="1127">
        <f>移出入推計WS!GE39</f>
        <v>188153</v>
      </c>
      <c r="O37" s="1999">
        <f>'24R5'!O37</f>
        <v>1752</v>
      </c>
      <c r="P37" s="293">
        <v>220</v>
      </c>
      <c r="Q37" s="314">
        <f>(C37-'22R3'!C37)/'22R3'!C37*100</f>
        <v>-7.2235340417158591</v>
      </c>
      <c r="R37" s="394">
        <f t="shared" si="3"/>
        <v>235745</v>
      </c>
      <c r="S37" s="394">
        <f t="shared" si="4"/>
        <v>0</v>
      </c>
      <c r="T37" s="49">
        <f>民間設備製造1!S39</f>
        <v>26130</v>
      </c>
      <c r="U37" s="49">
        <v>195983</v>
      </c>
    </row>
    <row r="38" spans="1:21">
      <c r="A38" s="300">
        <v>228</v>
      </c>
      <c r="B38" s="90" t="s">
        <v>239</v>
      </c>
      <c r="C38" s="413">
        <f t="shared" si="13"/>
        <v>245983</v>
      </c>
      <c r="D38" s="538">
        <f>民間消費!U40</f>
        <v>110303</v>
      </c>
      <c r="E38" s="538">
        <f>政府消費!U40</f>
        <v>25848</v>
      </c>
      <c r="F38" s="572">
        <f t="shared" si="14"/>
        <v>63974</v>
      </c>
      <c r="G38" s="538">
        <f>民間住宅1!U40</f>
        <v>3689</v>
      </c>
      <c r="H38" s="538">
        <f>民間設備投資計!U40</f>
        <v>60417</v>
      </c>
      <c r="I38" s="538">
        <f>民間在庫品増加!U40</f>
        <v>-132</v>
      </c>
      <c r="J38" s="538">
        <f>公的投資!U40</f>
        <v>1272</v>
      </c>
      <c r="K38" s="408">
        <f t="shared" si="15"/>
        <v>201397</v>
      </c>
      <c r="L38" s="1103">
        <f t="shared" si="17"/>
        <v>44586</v>
      </c>
      <c r="M38" s="1127">
        <f>移出入推計WS!GD40+移出入推計WS!GF40+移出入推計WS!GG40</f>
        <v>228925</v>
      </c>
      <c r="N38" s="1127">
        <f>移出入推計WS!GE40</f>
        <v>186644</v>
      </c>
      <c r="O38" s="1999">
        <f>'24R5'!O38</f>
        <v>2305</v>
      </c>
      <c r="P38" s="293">
        <v>228</v>
      </c>
      <c r="Q38" s="314">
        <f>(C38-'22R3'!C38)/'22R3'!C38*100</f>
        <v>-8.3838312358236529</v>
      </c>
      <c r="R38" s="394">
        <f t="shared" si="3"/>
        <v>245983</v>
      </c>
      <c r="S38" s="394">
        <f t="shared" si="4"/>
        <v>0</v>
      </c>
      <c r="T38" s="49">
        <f>民間設備製造1!S40</f>
        <v>28092</v>
      </c>
      <c r="U38" s="49">
        <v>213927</v>
      </c>
    </row>
    <row r="39" spans="1:21">
      <c r="A39" s="302">
        <v>365</v>
      </c>
      <c r="B39" s="201" t="s">
        <v>233</v>
      </c>
      <c r="C39" s="445">
        <f t="shared" si="13"/>
        <v>79075</v>
      </c>
      <c r="D39" s="538">
        <f>民間消費!U41</f>
        <v>41182</v>
      </c>
      <c r="E39" s="538">
        <f>政府消費!U41</f>
        <v>12636</v>
      </c>
      <c r="F39" s="573">
        <f t="shared" si="14"/>
        <v>15202</v>
      </c>
      <c r="G39" s="538">
        <f>民間住宅1!U41</f>
        <v>454</v>
      </c>
      <c r="H39" s="538">
        <f>民間設備投資計!U41</f>
        <v>14792</v>
      </c>
      <c r="I39" s="538">
        <f>民間在庫品増加!U41</f>
        <v>-44</v>
      </c>
      <c r="J39" s="538">
        <f>公的投資!U41</f>
        <v>14112</v>
      </c>
      <c r="K39" s="409">
        <f t="shared" si="15"/>
        <v>83132</v>
      </c>
      <c r="L39" s="1103">
        <f t="shared" si="17"/>
        <v>-4057</v>
      </c>
      <c r="M39" s="1127">
        <f>移出入推計WS!GD41+移出入推計WS!GF41+移出入推計WS!GG41</f>
        <v>75950</v>
      </c>
      <c r="N39" s="1127">
        <f>移出入推計WS!GE41</f>
        <v>77042</v>
      </c>
      <c r="O39" s="1999">
        <f>'24R5'!O39</f>
        <v>-2965</v>
      </c>
      <c r="P39" s="293">
        <v>365</v>
      </c>
      <c r="Q39" s="314">
        <f>(C39-'22R3'!C39)/'22R3'!C39*100</f>
        <v>14.571561042047001</v>
      </c>
      <c r="R39" s="394">
        <f t="shared" si="3"/>
        <v>79075</v>
      </c>
      <c r="S39" s="394">
        <f t="shared" si="4"/>
        <v>0</v>
      </c>
      <c r="T39" s="49">
        <f>民間設備製造1!S41</f>
        <v>4117</v>
      </c>
      <c r="U39" s="49">
        <v>71924</v>
      </c>
    </row>
    <row r="40" spans="1:21">
      <c r="A40" s="300">
        <v>5</v>
      </c>
      <c r="B40" s="91" t="s">
        <v>202</v>
      </c>
      <c r="C40" s="308">
        <f>SUM(C41:C44)</f>
        <v>2768310</v>
      </c>
      <c r="D40" s="544">
        <f>民間消費!U42</f>
        <v>1383797</v>
      </c>
      <c r="E40" s="544">
        <f>政府消費!U42</f>
        <v>285419</v>
      </c>
      <c r="F40" s="281">
        <f>SUM(F41:F44)</f>
        <v>767837</v>
      </c>
      <c r="G40" s="544">
        <f>民間住宅1!U42</f>
        <v>81229</v>
      </c>
      <c r="H40" s="544">
        <f>民間設備投資計!U42</f>
        <v>688130</v>
      </c>
      <c r="I40" s="544">
        <f>民間在庫品増加!U42</f>
        <v>-1522</v>
      </c>
      <c r="J40" s="544">
        <f>公的投資!U42</f>
        <v>25653</v>
      </c>
      <c r="K40" s="281">
        <f>SUM(K41:K44)</f>
        <v>2462706</v>
      </c>
      <c r="L40" s="307">
        <f t="shared" ref="L40" si="21">SUM(L41:L44)</f>
        <v>305604</v>
      </c>
      <c r="M40" s="1126">
        <f>移出入推計WS!GD42+移出入推計WS!GF42+移出入推計WS!GG42</f>
        <v>2610728</v>
      </c>
      <c r="N40" s="1126">
        <f>移出入推計WS!GE42</f>
        <v>2282306</v>
      </c>
      <c r="O40" s="1999">
        <f>'24R5'!O40</f>
        <v>-22818</v>
      </c>
      <c r="P40" s="293">
        <v>5</v>
      </c>
      <c r="Q40" s="314">
        <f>(C40-'22R3'!C40)/'22R3'!C40*100</f>
        <v>-1.925141267957416</v>
      </c>
      <c r="R40" s="394">
        <f t="shared" si="3"/>
        <v>2768310</v>
      </c>
      <c r="S40" s="394">
        <f t="shared" si="4"/>
        <v>0</v>
      </c>
      <c r="T40" s="49">
        <f>民間設備製造1!S42</f>
        <v>297837</v>
      </c>
      <c r="U40" s="49">
        <v>2470755</v>
      </c>
    </row>
    <row r="41" spans="1:21">
      <c r="A41" s="300">
        <v>201</v>
      </c>
      <c r="B41" s="92" t="s">
        <v>240</v>
      </c>
      <c r="C41" s="413">
        <f t="shared" si="13"/>
        <v>2516490</v>
      </c>
      <c r="D41" s="538">
        <f>民間消費!U43</f>
        <v>1282355</v>
      </c>
      <c r="E41" s="538">
        <f>政府消費!U43</f>
        <v>253516</v>
      </c>
      <c r="F41" s="572">
        <f t="shared" si="14"/>
        <v>706030</v>
      </c>
      <c r="G41" s="538">
        <f>民間住宅1!U43</f>
        <v>78556</v>
      </c>
      <c r="H41" s="538">
        <f>民間設備投資計!U43</f>
        <v>628873</v>
      </c>
      <c r="I41" s="538">
        <f>民間在庫品増加!U43</f>
        <v>-1399</v>
      </c>
      <c r="J41" s="538">
        <f>公的投資!U43</f>
        <v>4740</v>
      </c>
      <c r="K41" s="408">
        <f t="shared" si="15"/>
        <v>2246641</v>
      </c>
      <c r="L41" s="1103">
        <f t="shared" si="17"/>
        <v>269849</v>
      </c>
      <c r="M41" s="1127">
        <f>移出入推計WS!GD43+移出入推計WS!GF43+移出入推計WS!GG43</f>
        <v>2379755</v>
      </c>
      <c r="N41" s="1127">
        <f>移出入推計WS!GE43</f>
        <v>2082069</v>
      </c>
      <c r="O41" s="1999">
        <f>'24R5'!O41</f>
        <v>-27837</v>
      </c>
      <c r="P41" s="293">
        <v>201</v>
      </c>
      <c r="Q41" s="314">
        <f>(C41-'22R3'!C41)/'22R3'!C41*100</f>
        <v>-2.0843871349307022</v>
      </c>
      <c r="R41" s="394">
        <f t="shared" si="3"/>
        <v>2516490</v>
      </c>
      <c r="S41" s="394">
        <f t="shared" si="4"/>
        <v>0</v>
      </c>
      <c r="T41" s="49">
        <f>民間設備製造1!S43</f>
        <v>269591</v>
      </c>
      <c r="U41" s="49">
        <v>2272262</v>
      </c>
    </row>
    <row r="42" spans="1:21">
      <c r="A42" s="300">
        <v>442</v>
      </c>
      <c r="B42" s="90" t="s">
        <v>203</v>
      </c>
      <c r="C42" s="413">
        <f t="shared" si="13"/>
        <v>49317</v>
      </c>
      <c r="D42" s="538">
        <f>民間消費!U44</f>
        <v>26714</v>
      </c>
      <c r="E42" s="538">
        <f>政府消費!U44</f>
        <v>8897</v>
      </c>
      <c r="F42" s="572">
        <f t="shared" si="14"/>
        <v>11555</v>
      </c>
      <c r="G42" s="538">
        <f>民間住宅1!U44</f>
        <v>535</v>
      </c>
      <c r="H42" s="538">
        <f>民間設備投資計!U44</f>
        <v>11050</v>
      </c>
      <c r="I42" s="538">
        <f>民間在庫品増加!U44</f>
        <v>-30</v>
      </c>
      <c r="J42" s="538">
        <f>公的投資!U44</f>
        <v>5114</v>
      </c>
      <c r="K42" s="408">
        <f t="shared" si="15"/>
        <v>52280</v>
      </c>
      <c r="L42" s="1103">
        <f t="shared" si="17"/>
        <v>-2963</v>
      </c>
      <c r="M42" s="1127">
        <f>移出入推計WS!GD44+移出入推計WS!GF44+移出入推計WS!GG44</f>
        <v>47805</v>
      </c>
      <c r="N42" s="1127">
        <f>移出入推計WS!GE44</f>
        <v>48450</v>
      </c>
      <c r="O42" s="1999">
        <f>'24R5'!O42</f>
        <v>-2318</v>
      </c>
      <c r="P42" s="293">
        <v>442</v>
      </c>
      <c r="Q42" s="314">
        <f>(C42-'22R3'!C42)/'22R3'!C42*100</f>
        <v>17.499761745925856</v>
      </c>
      <c r="R42" s="394">
        <f t="shared" si="3"/>
        <v>49317</v>
      </c>
      <c r="S42" s="394">
        <f t="shared" si="4"/>
        <v>0</v>
      </c>
      <c r="T42" s="49">
        <f>民間設備製造1!S44</f>
        <v>3913</v>
      </c>
      <c r="U42" s="49">
        <v>48218</v>
      </c>
    </row>
    <row r="43" spans="1:21">
      <c r="A43" s="300">
        <v>443</v>
      </c>
      <c r="B43" s="90" t="s">
        <v>204</v>
      </c>
      <c r="C43" s="413">
        <f t="shared" si="13"/>
        <v>151942</v>
      </c>
      <c r="D43" s="538">
        <f>民間消費!U45</f>
        <v>50809</v>
      </c>
      <c r="E43" s="538">
        <f>政府消費!U45</f>
        <v>11887</v>
      </c>
      <c r="F43" s="572">
        <f t="shared" si="14"/>
        <v>34206</v>
      </c>
      <c r="G43" s="538">
        <f>民間住宅1!U45</f>
        <v>1737</v>
      </c>
      <c r="H43" s="538">
        <f>民間設備投資計!U45</f>
        <v>32530</v>
      </c>
      <c r="I43" s="538">
        <f>民間在庫品増加!U45</f>
        <v>-61</v>
      </c>
      <c r="J43" s="538">
        <f>公的投資!U45</f>
        <v>5046</v>
      </c>
      <c r="K43" s="408">
        <f t="shared" si="15"/>
        <v>101948</v>
      </c>
      <c r="L43" s="1103">
        <f t="shared" si="17"/>
        <v>49994</v>
      </c>
      <c r="M43" s="1127">
        <f>移出入推計WS!GD45+移出入推計WS!GF45+移出入推計WS!GG45</f>
        <v>132795</v>
      </c>
      <c r="N43" s="1127">
        <f>移出入推計WS!GE45</f>
        <v>94480</v>
      </c>
      <c r="O43" s="1999">
        <f>'24R5'!O43</f>
        <v>11679</v>
      </c>
      <c r="P43" s="293">
        <v>443</v>
      </c>
      <c r="Q43" s="314">
        <f>(C43-'22R3'!C43)/'22R3'!C43*100</f>
        <v>-14.400319994591641</v>
      </c>
      <c r="R43" s="394">
        <f t="shared" si="3"/>
        <v>151942</v>
      </c>
      <c r="S43" s="394">
        <f t="shared" si="4"/>
        <v>0</v>
      </c>
      <c r="T43" s="49">
        <f>民間設備製造1!S45</f>
        <v>16623</v>
      </c>
      <c r="U43" s="49">
        <v>98775</v>
      </c>
    </row>
    <row r="44" spans="1:21">
      <c r="A44" s="300">
        <v>446</v>
      </c>
      <c r="B44" s="90" t="s">
        <v>234</v>
      </c>
      <c r="C44" s="413">
        <f t="shared" si="13"/>
        <v>50561</v>
      </c>
      <c r="D44" s="542">
        <f>民間消費!U46</f>
        <v>23919</v>
      </c>
      <c r="E44" s="542">
        <f>政府消費!U46</f>
        <v>11119</v>
      </c>
      <c r="F44" s="572">
        <f t="shared" si="14"/>
        <v>16046</v>
      </c>
      <c r="G44" s="542">
        <f>民間住宅1!U46</f>
        <v>401</v>
      </c>
      <c r="H44" s="542">
        <f>民間設備投資計!U46</f>
        <v>15677</v>
      </c>
      <c r="I44" s="542">
        <f>民間在庫品増加!U46</f>
        <v>-32</v>
      </c>
      <c r="J44" s="542">
        <f>公的投資!U46</f>
        <v>10753</v>
      </c>
      <c r="K44" s="408">
        <f t="shared" si="15"/>
        <v>61837</v>
      </c>
      <c r="L44" s="1104">
        <f t="shared" si="17"/>
        <v>-11276</v>
      </c>
      <c r="M44" s="1128">
        <f>移出入推計WS!GD46+移出入推計WS!GF46+移出入推計WS!GG46</f>
        <v>50373</v>
      </c>
      <c r="N44" s="1128">
        <f>移出入推計WS!GE46</f>
        <v>57307</v>
      </c>
      <c r="O44" s="1999">
        <f>'24R5'!O44</f>
        <v>-4342</v>
      </c>
      <c r="P44" s="293">
        <v>446</v>
      </c>
      <c r="Q44" s="314">
        <f>(C44-'22R3'!C44)/'22R3'!C44*100</f>
        <v>52.6830741355881</v>
      </c>
      <c r="R44" s="394">
        <f t="shared" si="3"/>
        <v>50561</v>
      </c>
      <c r="S44" s="394">
        <f t="shared" si="4"/>
        <v>0</v>
      </c>
      <c r="T44" s="49">
        <f>民間設備製造1!S46</f>
        <v>7710</v>
      </c>
      <c r="U44" s="49">
        <v>51500</v>
      </c>
    </row>
    <row r="45" spans="1:21">
      <c r="A45" s="301">
        <v>6</v>
      </c>
      <c r="B45" s="306" t="s">
        <v>205</v>
      </c>
      <c r="C45" s="307">
        <f>SUM(C46:C52)</f>
        <v>1171474</v>
      </c>
      <c r="D45" s="538">
        <f>民間消費!U47</f>
        <v>597615</v>
      </c>
      <c r="E45" s="538">
        <f>政府消費!U47</f>
        <v>140457</v>
      </c>
      <c r="F45" s="292">
        <f>SUM(F46:F52)</f>
        <v>268584</v>
      </c>
      <c r="G45" s="538">
        <f>民間住宅1!U47</f>
        <v>23414</v>
      </c>
      <c r="H45" s="538">
        <f>民間設備投資計!U47</f>
        <v>245809</v>
      </c>
      <c r="I45" s="538">
        <f>民間在庫品増加!U47</f>
        <v>-639</v>
      </c>
      <c r="J45" s="538">
        <f>公的投資!U47</f>
        <v>33959</v>
      </c>
      <c r="K45" s="292">
        <f>SUM(K46:K52)</f>
        <v>1040615</v>
      </c>
      <c r="L45" s="308">
        <f t="shared" ref="L45" si="22">SUM(L46:L52)</f>
        <v>130859</v>
      </c>
      <c r="M45" s="1127">
        <f>移出入推計WS!GD47+移出入推計WS!GF47+移出入推計WS!GG47</f>
        <v>1107236</v>
      </c>
      <c r="N45" s="1127">
        <f>移出入推計WS!GE47</f>
        <v>964387</v>
      </c>
      <c r="O45" s="1999">
        <f>'24R5'!O45</f>
        <v>-11990</v>
      </c>
      <c r="P45" s="293">
        <v>6</v>
      </c>
      <c r="Q45" s="314">
        <f>(C45-'22R3'!C45)/'22R3'!C45*100</f>
        <v>3.9235446388809541</v>
      </c>
      <c r="R45" s="394">
        <f t="shared" si="3"/>
        <v>1171474</v>
      </c>
      <c r="S45" s="394">
        <f t="shared" si="4"/>
        <v>0</v>
      </c>
      <c r="T45" s="49">
        <f>民間設備製造1!S47</f>
        <v>90149</v>
      </c>
      <c r="U45" s="49">
        <v>1037662</v>
      </c>
    </row>
    <row r="46" spans="1:21">
      <c r="A46" s="300">
        <v>208</v>
      </c>
      <c r="B46" s="90" t="s">
        <v>206</v>
      </c>
      <c r="C46" s="413">
        <f t="shared" si="13"/>
        <v>158987</v>
      </c>
      <c r="D46" s="538">
        <f>民間消費!U48</f>
        <v>72393</v>
      </c>
      <c r="E46" s="538">
        <f>政府消費!U48</f>
        <v>14875</v>
      </c>
      <c r="F46" s="572">
        <f t="shared" si="14"/>
        <v>23856</v>
      </c>
      <c r="G46" s="538">
        <f>民間住宅1!U48</f>
        <v>1737</v>
      </c>
      <c r="H46" s="538">
        <f>民間設備投資計!U48</f>
        <v>22189</v>
      </c>
      <c r="I46" s="538">
        <f>民間在庫品増加!U48</f>
        <v>-70</v>
      </c>
      <c r="J46" s="538">
        <f>公的投資!U48</f>
        <v>3515</v>
      </c>
      <c r="K46" s="408">
        <f t="shared" si="15"/>
        <v>114639</v>
      </c>
      <c r="L46" s="1103">
        <f t="shared" si="17"/>
        <v>44348</v>
      </c>
      <c r="M46" s="1127">
        <f>移出入推計WS!GD48+移出入推計WS!GF48+移出入推計WS!GG48</f>
        <v>144074</v>
      </c>
      <c r="N46" s="1127">
        <f>移出入推計WS!GE48</f>
        <v>106241</v>
      </c>
      <c r="O46" s="1999">
        <f>'24R5'!O46</f>
        <v>6515</v>
      </c>
      <c r="P46" s="293">
        <v>208</v>
      </c>
      <c r="Q46" s="314">
        <f>(C46-'22R3'!C46)/'22R3'!C46*100</f>
        <v>-12.258345796610357</v>
      </c>
      <c r="R46" s="394">
        <f t="shared" si="3"/>
        <v>158987</v>
      </c>
      <c r="S46" s="394">
        <f t="shared" si="4"/>
        <v>0</v>
      </c>
      <c r="T46" s="49">
        <f>民間設備製造1!S48</f>
        <v>5472</v>
      </c>
      <c r="U46" s="49">
        <v>113906</v>
      </c>
    </row>
    <row r="47" spans="1:21">
      <c r="A47" s="300">
        <v>212</v>
      </c>
      <c r="B47" s="90" t="s">
        <v>207</v>
      </c>
      <c r="C47" s="413">
        <f t="shared" si="13"/>
        <v>259247</v>
      </c>
      <c r="D47" s="538">
        <f>民間消費!U49</f>
        <v>119516</v>
      </c>
      <c r="E47" s="538">
        <f>政府消費!U49</f>
        <v>26830</v>
      </c>
      <c r="F47" s="572">
        <f t="shared" si="14"/>
        <v>69006</v>
      </c>
      <c r="G47" s="538">
        <f>民間住宅1!U49</f>
        <v>4651</v>
      </c>
      <c r="H47" s="538">
        <f>民間設備投資計!U49</f>
        <v>64490</v>
      </c>
      <c r="I47" s="538">
        <f>民間在庫品増加!U49</f>
        <v>-135</v>
      </c>
      <c r="J47" s="538">
        <f>公的投資!U49</f>
        <v>3008</v>
      </c>
      <c r="K47" s="408">
        <f t="shared" si="15"/>
        <v>218360</v>
      </c>
      <c r="L47" s="1103">
        <f t="shared" si="17"/>
        <v>40887</v>
      </c>
      <c r="M47" s="1127">
        <f>移出入推計WS!GD49+移出入推計WS!GF49+移出入推計WS!GG49</f>
        <v>243942</v>
      </c>
      <c r="N47" s="1127">
        <f>移出入推計WS!GE49</f>
        <v>202365</v>
      </c>
      <c r="O47" s="1999">
        <f>'24R5'!O47</f>
        <v>-690</v>
      </c>
      <c r="P47" s="293">
        <v>212</v>
      </c>
      <c r="Q47" s="314">
        <f>(C47-'22R3'!C47)/'22R3'!C47*100</f>
        <v>11.597203688238789</v>
      </c>
      <c r="R47" s="394">
        <f t="shared" si="3"/>
        <v>259247</v>
      </c>
      <c r="S47" s="394">
        <f t="shared" si="4"/>
        <v>0</v>
      </c>
      <c r="T47" s="49">
        <f>民間設備製造1!S49</f>
        <v>30879</v>
      </c>
      <c r="U47" s="49">
        <v>218944</v>
      </c>
    </row>
    <row r="48" spans="1:21">
      <c r="A48" s="300">
        <v>227</v>
      </c>
      <c r="B48" s="90" t="s">
        <v>219</v>
      </c>
      <c r="C48" s="413">
        <f t="shared" si="13"/>
        <v>147355</v>
      </c>
      <c r="D48" s="538">
        <f>民間消費!U50</f>
        <v>80450</v>
      </c>
      <c r="E48" s="538">
        <f>政府消費!U50</f>
        <v>26343</v>
      </c>
      <c r="F48" s="572">
        <f t="shared" si="14"/>
        <v>26050</v>
      </c>
      <c r="G48" s="538">
        <f>民間住宅1!U50</f>
        <v>1470</v>
      </c>
      <c r="H48" s="538">
        <f>民間設備投資計!U50</f>
        <v>24666</v>
      </c>
      <c r="I48" s="538">
        <f>民間在庫品増加!U50</f>
        <v>-86</v>
      </c>
      <c r="J48" s="538">
        <f>公的投資!U50</f>
        <v>4961</v>
      </c>
      <c r="K48" s="408">
        <f t="shared" si="15"/>
        <v>137804</v>
      </c>
      <c r="L48" s="1103">
        <f t="shared" si="17"/>
        <v>9551</v>
      </c>
      <c r="M48" s="1127">
        <f>移出入推計WS!GD50+移出入推計WS!GF50+移出入推計WS!GG50</f>
        <v>146086</v>
      </c>
      <c r="N48" s="1127">
        <f>移出入推計WS!GE50</f>
        <v>127709</v>
      </c>
      <c r="O48" s="1999">
        <f>'24R5'!O48</f>
        <v>-8826</v>
      </c>
      <c r="P48" s="293">
        <v>227</v>
      </c>
      <c r="Q48" s="314">
        <f>(C48-'22R3'!C48)/'22R3'!C48*100</f>
        <v>24.88241027162168</v>
      </c>
      <c r="R48" s="394">
        <f t="shared" si="3"/>
        <v>147355</v>
      </c>
      <c r="S48" s="394">
        <f t="shared" si="4"/>
        <v>0</v>
      </c>
      <c r="T48" s="49">
        <f>民間設備製造1!S50</f>
        <v>4551</v>
      </c>
      <c r="U48" s="49">
        <v>139753</v>
      </c>
    </row>
    <row r="49" spans="1:21">
      <c r="A49" s="300">
        <v>229</v>
      </c>
      <c r="B49" s="90" t="s">
        <v>235</v>
      </c>
      <c r="C49" s="413">
        <f t="shared" si="13"/>
        <v>351658</v>
      </c>
      <c r="D49" s="538">
        <f>民間消費!U51</f>
        <v>171190</v>
      </c>
      <c r="E49" s="538">
        <f>政府消費!U51</f>
        <v>34350</v>
      </c>
      <c r="F49" s="572">
        <f t="shared" si="14"/>
        <v>87114</v>
      </c>
      <c r="G49" s="538">
        <f>民間住宅1!U51</f>
        <v>8393</v>
      </c>
      <c r="H49" s="538">
        <f>民間設備投資計!U51</f>
        <v>78907</v>
      </c>
      <c r="I49" s="538">
        <f>民間在庫品増加!U51</f>
        <v>-186</v>
      </c>
      <c r="J49" s="538">
        <f>公的投資!U51</f>
        <v>7364</v>
      </c>
      <c r="K49" s="408">
        <f t="shared" si="15"/>
        <v>300018</v>
      </c>
      <c r="L49" s="1103">
        <f t="shared" si="17"/>
        <v>51640</v>
      </c>
      <c r="M49" s="1127">
        <f>移出入推計WS!GD51+移出入推計WS!GF51+移出入推計WS!GG51</f>
        <v>323943</v>
      </c>
      <c r="N49" s="1127">
        <f>移出入推計WS!GE51</f>
        <v>278041</v>
      </c>
      <c r="O49" s="1999">
        <f>'24R5'!O49</f>
        <v>5738</v>
      </c>
      <c r="P49" s="293">
        <v>229</v>
      </c>
      <c r="Q49" s="314">
        <f>(C49-'22R3'!C49)/'22R3'!C49*100</f>
        <v>1.5627572224452486</v>
      </c>
      <c r="R49" s="394">
        <f t="shared" si="3"/>
        <v>351658</v>
      </c>
      <c r="S49" s="394">
        <f t="shared" si="4"/>
        <v>0</v>
      </c>
      <c r="T49" s="49">
        <f>民間設備製造1!S51</f>
        <v>32447</v>
      </c>
      <c r="U49" s="49">
        <v>301679</v>
      </c>
    </row>
    <row r="50" spans="1:21">
      <c r="A50" s="300">
        <v>464</v>
      </c>
      <c r="B50" s="90" t="s">
        <v>208</v>
      </c>
      <c r="C50" s="413">
        <f t="shared" si="13"/>
        <v>116736</v>
      </c>
      <c r="D50" s="538">
        <f>民間消費!U52</f>
        <v>83263</v>
      </c>
      <c r="E50" s="538">
        <f>政府消費!U52</f>
        <v>13392</v>
      </c>
      <c r="F50" s="572">
        <f t="shared" si="14"/>
        <v>37616</v>
      </c>
      <c r="G50" s="538">
        <f>民間住宅1!U52</f>
        <v>6281</v>
      </c>
      <c r="H50" s="538">
        <f>民間設備投資計!U52</f>
        <v>31418</v>
      </c>
      <c r="I50" s="538">
        <f>民間在庫品増加!U52</f>
        <v>-83</v>
      </c>
      <c r="J50" s="538">
        <f>公的投資!U52</f>
        <v>4279</v>
      </c>
      <c r="K50" s="408">
        <f t="shared" si="15"/>
        <v>138550</v>
      </c>
      <c r="L50" s="1103">
        <f t="shared" si="17"/>
        <v>-21814</v>
      </c>
      <c r="M50" s="1127">
        <f>移出入推計WS!GD52+移出入推計WS!GF52+移出入推計WS!GG52</f>
        <v>113972</v>
      </c>
      <c r="N50" s="1127">
        <f>移出入推計WS!GE52</f>
        <v>128401</v>
      </c>
      <c r="O50" s="1999">
        <f>'24R5'!O50</f>
        <v>-7385</v>
      </c>
      <c r="P50" s="293">
        <v>464</v>
      </c>
      <c r="Q50" s="314">
        <f>(C50-'22R3'!C50)/'22R3'!C50*100</f>
        <v>-12.215370732440968</v>
      </c>
      <c r="R50" s="394">
        <f t="shared" si="3"/>
        <v>116736</v>
      </c>
      <c r="S50" s="394">
        <f t="shared" si="4"/>
        <v>0</v>
      </c>
      <c r="T50" s="49">
        <f>民間設備製造1!S52</f>
        <v>11240</v>
      </c>
      <c r="U50" s="49">
        <v>134375</v>
      </c>
    </row>
    <row r="51" spans="1:21">
      <c r="A51" s="300">
        <v>481</v>
      </c>
      <c r="B51" s="90" t="s">
        <v>209</v>
      </c>
      <c r="C51" s="413">
        <f t="shared" si="13"/>
        <v>62065</v>
      </c>
      <c r="D51" s="538">
        <f>民間消費!U53</f>
        <v>34381</v>
      </c>
      <c r="E51" s="538">
        <f>政府消費!U53</f>
        <v>9644</v>
      </c>
      <c r="F51" s="572">
        <f t="shared" si="14"/>
        <v>13604</v>
      </c>
      <c r="G51" s="538">
        <f>民間住宅1!U53</f>
        <v>508</v>
      </c>
      <c r="H51" s="538">
        <f>民間設備投資計!U53</f>
        <v>13133</v>
      </c>
      <c r="I51" s="538">
        <f>民間在庫品増加!U53</f>
        <v>-37</v>
      </c>
      <c r="J51" s="538">
        <f>公的投資!U53</f>
        <v>7698</v>
      </c>
      <c r="K51" s="408">
        <f t="shared" si="15"/>
        <v>65327</v>
      </c>
      <c r="L51" s="1103">
        <f t="shared" si="17"/>
        <v>-3262</v>
      </c>
      <c r="M51" s="1127">
        <f>移出入推計WS!GD53+移出入推計WS!GF53+移出入推計WS!GG53</f>
        <v>60564</v>
      </c>
      <c r="N51" s="1127">
        <f>移出入推計WS!GE53</f>
        <v>60542</v>
      </c>
      <c r="O51" s="1999">
        <f>'24R5'!O51</f>
        <v>-3284</v>
      </c>
      <c r="P51" s="293">
        <v>481</v>
      </c>
      <c r="Q51" s="314">
        <f>(C51-'22R3'!C51)/'22R3'!C51*100</f>
        <v>13.663834151344222</v>
      </c>
      <c r="R51" s="394">
        <f t="shared" si="3"/>
        <v>62065</v>
      </c>
      <c r="S51" s="394">
        <f t="shared" si="4"/>
        <v>0</v>
      </c>
      <c r="T51" s="49">
        <f>民間設備製造1!S53</f>
        <v>4244</v>
      </c>
      <c r="U51" s="49">
        <v>60479</v>
      </c>
    </row>
    <row r="52" spans="1:21">
      <c r="A52" s="302">
        <v>501</v>
      </c>
      <c r="B52" s="201" t="s">
        <v>236</v>
      </c>
      <c r="C52" s="445">
        <f t="shared" si="13"/>
        <v>75426</v>
      </c>
      <c r="D52" s="538">
        <f>民間消費!U54</f>
        <v>36422</v>
      </c>
      <c r="E52" s="538">
        <f>政府消費!U54</f>
        <v>15023</v>
      </c>
      <c r="F52" s="573">
        <f t="shared" si="14"/>
        <v>11338</v>
      </c>
      <c r="G52" s="538">
        <f>民間住宅1!U54</f>
        <v>374</v>
      </c>
      <c r="H52" s="538">
        <f>民間設備投資計!U54</f>
        <v>11006</v>
      </c>
      <c r="I52" s="538">
        <f>民間在庫品増加!U54</f>
        <v>-42</v>
      </c>
      <c r="J52" s="538">
        <f>公的投資!U54</f>
        <v>3134</v>
      </c>
      <c r="K52" s="409">
        <f t="shared" si="15"/>
        <v>65917</v>
      </c>
      <c r="L52" s="1103">
        <f t="shared" si="17"/>
        <v>9509</v>
      </c>
      <c r="M52" s="1127">
        <f>移出入推計WS!GD54+移出入推計WS!GF54+移出入推計WS!GG54</f>
        <v>74655</v>
      </c>
      <c r="N52" s="1127">
        <f>移出入推計WS!GE54</f>
        <v>61088</v>
      </c>
      <c r="O52" s="1999">
        <f>'24R5'!O52</f>
        <v>-4058</v>
      </c>
      <c r="P52" s="293">
        <v>501</v>
      </c>
      <c r="Q52" s="314">
        <f>(C52-'22R3'!C52)/'22R3'!C52*100</f>
        <v>21.821852539772269</v>
      </c>
      <c r="R52" s="394">
        <f t="shared" si="3"/>
        <v>75426</v>
      </c>
      <c r="S52" s="394">
        <f t="shared" si="4"/>
        <v>0</v>
      </c>
      <c r="T52" s="49">
        <f>民間設備製造1!S54</f>
        <v>1316</v>
      </c>
      <c r="U52" s="49">
        <v>68526</v>
      </c>
    </row>
    <row r="53" spans="1:21">
      <c r="A53" s="300">
        <v>7</v>
      </c>
      <c r="B53" s="93" t="s">
        <v>210</v>
      </c>
      <c r="C53" s="308">
        <f>SUM(C54:C58)</f>
        <v>769839</v>
      </c>
      <c r="D53" s="544">
        <f>民間消費!U55</f>
        <v>404610</v>
      </c>
      <c r="E53" s="544">
        <f>政府消費!U55</f>
        <v>135377</v>
      </c>
      <c r="F53" s="281">
        <f>SUM(F54:F58)</f>
        <v>151037</v>
      </c>
      <c r="G53" s="544">
        <f>民間住宅1!U55</f>
        <v>11386</v>
      </c>
      <c r="H53" s="544">
        <f>民間設備投資計!U55</f>
        <v>140095</v>
      </c>
      <c r="I53" s="544">
        <f>民間在庫品増加!U55</f>
        <v>-444</v>
      </c>
      <c r="J53" s="544">
        <f>公的投資!U55</f>
        <v>18100</v>
      </c>
      <c r="K53" s="281">
        <f>SUM(K54:K58)</f>
        <v>709124</v>
      </c>
      <c r="L53" s="307">
        <f t="shared" ref="L53" si="23">SUM(L54:L58)</f>
        <v>60715</v>
      </c>
      <c r="M53" s="1126">
        <f>移出入推計WS!GD55+移出入推計WS!GF55+移出入推計WS!GG55</f>
        <v>762669</v>
      </c>
      <c r="N53" s="1126">
        <f>移出入推計WS!GE55</f>
        <v>657179</v>
      </c>
      <c r="O53" s="1999">
        <f>'24R5'!O53</f>
        <v>-44775</v>
      </c>
      <c r="P53" s="293">
        <v>7</v>
      </c>
      <c r="Q53" s="314">
        <f>(C53-'22R3'!C53)/'22R3'!C53*100</f>
        <v>27.355156977378982</v>
      </c>
      <c r="R53" s="394">
        <f t="shared" si="3"/>
        <v>769839</v>
      </c>
      <c r="S53" s="394">
        <f t="shared" si="4"/>
        <v>0</v>
      </c>
      <c r="T53" s="49">
        <f>民間設備製造1!S55</f>
        <v>34544</v>
      </c>
      <c r="U53" s="49">
        <v>721168</v>
      </c>
    </row>
    <row r="54" spans="1:21">
      <c r="A54" s="300">
        <v>209</v>
      </c>
      <c r="B54" s="90" t="s">
        <v>221</v>
      </c>
      <c r="C54" s="413">
        <f t="shared" si="13"/>
        <v>357473</v>
      </c>
      <c r="D54" s="538">
        <f>民間消費!U56</f>
        <v>200747</v>
      </c>
      <c r="E54" s="538">
        <f>政府消費!U56</f>
        <v>55534</v>
      </c>
      <c r="F54" s="572">
        <f t="shared" si="14"/>
        <v>64684</v>
      </c>
      <c r="G54" s="538">
        <f>民間住宅1!U56</f>
        <v>6896</v>
      </c>
      <c r="H54" s="538">
        <f>民間設備投資計!U56</f>
        <v>57996</v>
      </c>
      <c r="I54" s="538">
        <f>民間在庫品増加!U56</f>
        <v>-208</v>
      </c>
      <c r="J54" s="538">
        <f>公的投資!U56</f>
        <v>6669</v>
      </c>
      <c r="K54" s="408">
        <f t="shared" si="15"/>
        <v>327634</v>
      </c>
      <c r="L54" s="1103">
        <f t="shared" si="17"/>
        <v>29839</v>
      </c>
      <c r="M54" s="1127">
        <f>移出入推計WS!GD56+移出入推計WS!GF56+移出入推計WS!GG56</f>
        <v>348329</v>
      </c>
      <c r="N54" s="1127">
        <f>移出入推計WS!GE56</f>
        <v>303634</v>
      </c>
      <c r="O54" s="1999">
        <f>'24R5'!O54</f>
        <v>-14856</v>
      </c>
      <c r="P54" s="293">
        <v>209</v>
      </c>
      <c r="Q54" s="314">
        <f>(C54-'22R3'!C54)/'22R3'!C54*100</f>
        <v>19.622599838037171</v>
      </c>
      <c r="R54" s="394">
        <f t="shared" si="3"/>
        <v>357473</v>
      </c>
      <c r="S54" s="394">
        <f t="shared" si="4"/>
        <v>0</v>
      </c>
      <c r="T54" s="49">
        <f>民間設備製造1!S56</f>
        <v>9770</v>
      </c>
      <c r="U54" s="49">
        <v>337954</v>
      </c>
    </row>
    <row r="55" spans="1:21">
      <c r="A55" s="300">
        <v>222</v>
      </c>
      <c r="B55" s="90" t="s">
        <v>218</v>
      </c>
      <c r="C55" s="413">
        <f t="shared" si="13"/>
        <v>105326</v>
      </c>
      <c r="D55" s="538">
        <f>民間消費!U57</f>
        <v>54964</v>
      </c>
      <c r="E55" s="538">
        <f>政府消費!U57</f>
        <v>22421</v>
      </c>
      <c r="F55" s="572">
        <f t="shared" si="14"/>
        <v>20723</v>
      </c>
      <c r="G55" s="538">
        <f>民間住宅1!U57</f>
        <v>1363</v>
      </c>
      <c r="H55" s="538">
        <f>民間設備投資計!U57</f>
        <v>19423</v>
      </c>
      <c r="I55" s="538">
        <f>民間在庫品増加!U57</f>
        <v>-63</v>
      </c>
      <c r="J55" s="538">
        <f>公的投資!U57</f>
        <v>952</v>
      </c>
      <c r="K55" s="408">
        <f t="shared" si="15"/>
        <v>99060</v>
      </c>
      <c r="L55" s="1103">
        <f t="shared" si="17"/>
        <v>6266</v>
      </c>
      <c r="M55" s="1127">
        <f>移出入推計WS!GD57+移出入推計WS!GF57+移出入推計WS!GG57</f>
        <v>106761</v>
      </c>
      <c r="N55" s="1127">
        <f>移出入推計WS!GE57</f>
        <v>91804</v>
      </c>
      <c r="O55" s="1999">
        <f>'24R5'!O55</f>
        <v>-8691</v>
      </c>
      <c r="P55" s="293">
        <v>222</v>
      </c>
      <c r="Q55" s="314">
        <f>(C55-'22R3'!C55)/'22R3'!C55*100</f>
        <v>27.596733942286729</v>
      </c>
      <c r="R55" s="394">
        <f t="shared" si="3"/>
        <v>105326</v>
      </c>
      <c r="S55" s="394">
        <f t="shared" si="4"/>
        <v>0</v>
      </c>
      <c r="T55" s="49">
        <f>民間設備製造1!S57</f>
        <v>4367</v>
      </c>
      <c r="U55" s="49">
        <v>102018</v>
      </c>
    </row>
    <row r="56" spans="1:21">
      <c r="A56" s="300">
        <v>225</v>
      </c>
      <c r="B56" s="90" t="s">
        <v>222</v>
      </c>
      <c r="C56" s="413">
        <f t="shared" si="13"/>
        <v>172010</v>
      </c>
      <c r="D56" s="538">
        <f>民間消費!U58</f>
        <v>76778</v>
      </c>
      <c r="E56" s="538">
        <f>政府消費!U58</f>
        <v>24267</v>
      </c>
      <c r="F56" s="572">
        <f t="shared" si="14"/>
        <v>44044</v>
      </c>
      <c r="G56" s="538">
        <f>民間住宅1!U58</f>
        <v>2085</v>
      </c>
      <c r="H56" s="538">
        <f>民間設備投資計!U58</f>
        <v>42050</v>
      </c>
      <c r="I56" s="538">
        <f>民間在庫品増加!U58</f>
        <v>-91</v>
      </c>
      <c r="J56" s="538">
        <f>公的投資!U58</f>
        <v>6375</v>
      </c>
      <c r="K56" s="408">
        <f t="shared" si="15"/>
        <v>151464</v>
      </c>
      <c r="L56" s="1103">
        <f t="shared" si="17"/>
        <v>20546</v>
      </c>
      <c r="M56" s="1127">
        <f>移出入推計WS!GD58+移出入推計WS!GF58+移出入推計WS!GG58</f>
        <v>168556</v>
      </c>
      <c r="N56" s="1127">
        <f>移出入推計WS!GE58</f>
        <v>140369</v>
      </c>
      <c r="O56" s="1999">
        <f>'24R5'!O56</f>
        <v>-7641</v>
      </c>
      <c r="P56" s="293">
        <v>225</v>
      </c>
      <c r="Q56" s="314">
        <f>(C56-'22R3'!C56)/'22R3'!C56*100</f>
        <v>36.124784349725388</v>
      </c>
      <c r="R56" s="394">
        <f t="shared" si="3"/>
        <v>172010</v>
      </c>
      <c r="S56" s="394">
        <f t="shared" si="4"/>
        <v>0</v>
      </c>
      <c r="T56" s="49">
        <f>民間設備製造1!S58</f>
        <v>18711</v>
      </c>
      <c r="U56" s="49">
        <v>147406</v>
      </c>
    </row>
    <row r="57" spans="1:21">
      <c r="A57" s="300">
        <v>585</v>
      </c>
      <c r="B57" s="90" t="s">
        <v>220</v>
      </c>
      <c r="C57" s="413">
        <f t="shared" si="13"/>
        <v>74306</v>
      </c>
      <c r="D57" s="538">
        <f>民間消費!U59</f>
        <v>39140</v>
      </c>
      <c r="E57" s="538">
        <f>政府消費!U59</f>
        <v>17678</v>
      </c>
      <c r="F57" s="572">
        <f t="shared" si="14"/>
        <v>11955</v>
      </c>
      <c r="G57" s="538">
        <f>民間住宅1!U59</f>
        <v>454</v>
      </c>
      <c r="H57" s="538">
        <f>民間設備投資計!U59</f>
        <v>11546</v>
      </c>
      <c r="I57" s="538">
        <f>民間在庫品増加!U59</f>
        <v>-45</v>
      </c>
      <c r="J57" s="538">
        <f>公的投資!U59</f>
        <v>1832</v>
      </c>
      <c r="K57" s="408">
        <f t="shared" si="15"/>
        <v>70605</v>
      </c>
      <c r="L57" s="1103">
        <f t="shared" si="17"/>
        <v>3701</v>
      </c>
      <c r="M57" s="1127">
        <f>移出入推計WS!GD59+移出入推計WS!GF59+移出入推計WS!GG59</f>
        <v>76221</v>
      </c>
      <c r="N57" s="1127">
        <f>移出入推計WS!GE59</f>
        <v>65433</v>
      </c>
      <c r="O57" s="1999">
        <f>'24R5'!O57</f>
        <v>-7087</v>
      </c>
      <c r="P57" s="293">
        <v>585</v>
      </c>
      <c r="Q57" s="314">
        <f>(C57-'22R3'!C57)/'22R3'!C57*100</f>
        <v>42.452359955523178</v>
      </c>
      <c r="R57" s="394">
        <f t="shared" si="3"/>
        <v>74306</v>
      </c>
      <c r="S57" s="394">
        <f t="shared" si="4"/>
        <v>0</v>
      </c>
      <c r="T57" s="49">
        <f>民間設備製造1!S59</f>
        <v>1115</v>
      </c>
      <c r="U57" s="49">
        <v>73177</v>
      </c>
    </row>
    <row r="58" spans="1:21">
      <c r="A58" s="300">
        <v>586</v>
      </c>
      <c r="B58" s="90" t="s">
        <v>237</v>
      </c>
      <c r="C58" s="413">
        <f t="shared" si="13"/>
        <v>60724</v>
      </c>
      <c r="D58" s="542">
        <f>民間消費!U60</f>
        <v>32981</v>
      </c>
      <c r="E58" s="542">
        <f>政府消費!U60</f>
        <v>15477</v>
      </c>
      <c r="F58" s="572">
        <f t="shared" si="14"/>
        <v>9631</v>
      </c>
      <c r="G58" s="542">
        <f>民間住宅1!U60</f>
        <v>588</v>
      </c>
      <c r="H58" s="542">
        <f>民間設備投資計!U60</f>
        <v>9080</v>
      </c>
      <c r="I58" s="542">
        <f>民間在庫品増加!U60</f>
        <v>-37</v>
      </c>
      <c r="J58" s="542">
        <f>公的投資!U60</f>
        <v>2272</v>
      </c>
      <c r="K58" s="408">
        <f t="shared" si="15"/>
        <v>60361</v>
      </c>
      <c r="L58" s="1104">
        <f t="shared" si="17"/>
        <v>363</v>
      </c>
      <c r="M58" s="1128">
        <f>移出入推計WS!GD60+移出入推計WS!GF60+移出入推計WS!GG60</f>
        <v>62802</v>
      </c>
      <c r="N58" s="1128">
        <f>移出入推計WS!GE60</f>
        <v>55939</v>
      </c>
      <c r="O58" s="1999">
        <f>'24R5'!O58</f>
        <v>-6500</v>
      </c>
      <c r="P58" s="293">
        <v>586</v>
      </c>
      <c r="Q58" s="314">
        <f>(C58-'22R3'!C58)/'22R3'!C58*100</f>
        <v>36.219659921934586</v>
      </c>
      <c r="R58" s="394">
        <f t="shared" si="3"/>
        <v>60724</v>
      </c>
      <c r="S58" s="394">
        <f t="shared" si="4"/>
        <v>0</v>
      </c>
      <c r="T58" s="49">
        <f>民間設備製造1!S60</f>
        <v>581</v>
      </c>
      <c r="U58" s="49">
        <v>60613</v>
      </c>
    </row>
    <row r="59" spans="1:21">
      <c r="A59" s="301">
        <v>8</v>
      </c>
      <c r="B59" s="127" t="s">
        <v>211</v>
      </c>
      <c r="C59" s="307">
        <f>SUM(C60:C61)</f>
        <v>508863</v>
      </c>
      <c r="D59" s="538">
        <f>民間消費!U61</f>
        <v>263937</v>
      </c>
      <c r="E59" s="538">
        <f>政府消費!U61</f>
        <v>76937</v>
      </c>
      <c r="F59" s="292">
        <f>SUM(F60:F61)</f>
        <v>97987</v>
      </c>
      <c r="G59" s="538">
        <f>民間住宅1!U61</f>
        <v>11065</v>
      </c>
      <c r="H59" s="538">
        <f>民間設備投資計!U61</f>
        <v>87200</v>
      </c>
      <c r="I59" s="538">
        <f>民間在庫品増加!U61</f>
        <v>-278</v>
      </c>
      <c r="J59" s="538">
        <f>公的投資!U61</f>
        <v>4970</v>
      </c>
      <c r="K59" s="292">
        <f>SUM(K60:K61)</f>
        <v>443831</v>
      </c>
      <c r="L59" s="308">
        <f t="shared" ref="L59" si="24">SUM(L60:L61)</f>
        <v>65032</v>
      </c>
      <c r="M59" s="1127">
        <f>移出入推計WS!GD61+移出入推計WS!GF61+移出入推計WS!GG61</f>
        <v>488103</v>
      </c>
      <c r="N59" s="1127">
        <f>移出入推計WS!GE61</f>
        <v>411319</v>
      </c>
      <c r="O59" s="1999">
        <f>'24R5'!O59</f>
        <v>-11752</v>
      </c>
      <c r="P59" s="293">
        <v>8</v>
      </c>
      <c r="Q59" s="314">
        <f>(C59-'22R3'!C59)/'22R3'!C59*100</f>
        <v>10.609406721819612</v>
      </c>
      <c r="R59" s="394">
        <f t="shared" si="3"/>
        <v>508863</v>
      </c>
      <c r="S59" s="394">
        <f t="shared" si="4"/>
        <v>0</v>
      </c>
      <c r="T59" s="49">
        <f>民間設備製造1!S61</f>
        <v>21533</v>
      </c>
      <c r="U59" s="49">
        <v>452642</v>
      </c>
    </row>
    <row r="60" spans="1:21">
      <c r="A60" s="300">
        <v>221</v>
      </c>
      <c r="B60" s="492" t="s">
        <v>1144</v>
      </c>
      <c r="C60" s="413">
        <f t="shared" si="13"/>
        <v>218973</v>
      </c>
      <c r="D60" s="538">
        <f>民間消費!U62</f>
        <v>108074</v>
      </c>
      <c r="E60" s="538">
        <f>政府消費!U62</f>
        <v>34062</v>
      </c>
      <c r="F60" s="572">
        <f t="shared" si="14"/>
        <v>38994</v>
      </c>
      <c r="G60" s="538">
        <f>民間住宅1!U62</f>
        <v>4784</v>
      </c>
      <c r="H60" s="538">
        <f>民間設備投資計!U62</f>
        <v>34323</v>
      </c>
      <c r="I60" s="538">
        <f>民間在庫品増加!U62</f>
        <v>-113</v>
      </c>
      <c r="J60" s="538">
        <f>公的投資!U62</f>
        <v>2128</v>
      </c>
      <c r="K60" s="408">
        <f t="shared" si="15"/>
        <v>183258</v>
      </c>
      <c r="L60" s="1103">
        <f t="shared" si="17"/>
        <v>35715</v>
      </c>
      <c r="M60" s="1127">
        <f>移出入推計WS!GD62+移出入推計WS!GF62+移出入推計WS!GG62</f>
        <v>208767</v>
      </c>
      <c r="N60" s="1127">
        <f>移出入推計WS!GE62</f>
        <v>169834</v>
      </c>
      <c r="O60" s="1999">
        <f>'24R5'!O60</f>
        <v>-3218</v>
      </c>
      <c r="P60" s="293">
        <v>221</v>
      </c>
      <c r="Q60" s="314">
        <f>(C60-'22R3'!C60)/'22R3'!C60*100</f>
        <v>9.5231902687400289</v>
      </c>
      <c r="R60" s="394">
        <f t="shared" si="3"/>
        <v>218973</v>
      </c>
      <c r="S60" s="394">
        <f t="shared" si="4"/>
        <v>0</v>
      </c>
      <c r="T60" s="49">
        <f>民間設備製造1!S62</f>
        <v>7452</v>
      </c>
      <c r="U60" s="49">
        <v>184361</v>
      </c>
    </row>
    <row r="61" spans="1:21">
      <c r="A61" s="302">
        <v>223</v>
      </c>
      <c r="B61" s="201" t="s">
        <v>223</v>
      </c>
      <c r="C61" s="445">
        <f t="shared" si="13"/>
        <v>289890</v>
      </c>
      <c r="D61" s="538">
        <f>民間消費!U63</f>
        <v>155863</v>
      </c>
      <c r="E61" s="538">
        <f>政府消費!U63</f>
        <v>42875</v>
      </c>
      <c r="F61" s="573">
        <f t="shared" si="14"/>
        <v>58993</v>
      </c>
      <c r="G61" s="538">
        <f>民間住宅1!U63</f>
        <v>6281</v>
      </c>
      <c r="H61" s="538">
        <f>民間設備投資計!U63</f>
        <v>52877</v>
      </c>
      <c r="I61" s="538">
        <f>民間在庫品増加!U63</f>
        <v>-165</v>
      </c>
      <c r="J61" s="538">
        <f>公的投資!U63</f>
        <v>2842</v>
      </c>
      <c r="K61" s="409">
        <f t="shared" si="15"/>
        <v>260573</v>
      </c>
      <c r="L61" s="1103">
        <f t="shared" si="17"/>
        <v>29317</v>
      </c>
      <c r="M61" s="1127">
        <f>移出入推計WS!GD63+移出入推計WS!GF63+移出入推計WS!GG63</f>
        <v>279336</v>
      </c>
      <c r="N61" s="1127">
        <f>移出入推計WS!GE63</f>
        <v>241485</v>
      </c>
      <c r="O61" s="1999">
        <f>'24R5'!O61</f>
        <v>-8534</v>
      </c>
      <c r="P61" s="293">
        <v>223</v>
      </c>
      <c r="Q61" s="314">
        <f>(C61-'22R3'!C61)/'22R3'!C61*100</f>
        <v>11.444289388400014</v>
      </c>
      <c r="R61" s="394">
        <f t="shared" si="3"/>
        <v>289890</v>
      </c>
      <c r="S61" s="394">
        <f t="shared" si="4"/>
        <v>0</v>
      </c>
      <c r="T61" s="49">
        <f>民間設備製造1!S63</f>
        <v>14081</v>
      </c>
      <c r="U61" s="49">
        <v>268281</v>
      </c>
    </row>
    <row r="62" spans="1:21">
      <c r="A62" s="301">
        <v>9</v>
      </c>
      <c r="B62" s="346" t="s">
        <v>212</v>
      </c>
      <c r="C62" s="307">
        <f>SUM(C63:C65)</f>
        <v>570575</v>
      </c>
      <c r="D62" s="544">
        <f>民間消費!U64</f>
        <v>311413</v>
      </c>
      <c r="E62" s="544">
        <f>政府消費!U64</f>
        <v>103121</v>
      </c>
      <c r="F62" s="292">
        <f>SUM(F63:F65)</f>
        <v>110943</v>
      </c>
      <c r="G62" s="544">
        <f>民間住宅1!U64</f>
        <v>15530</v>
      </c>
      <c r="H62" s="544">
        <f>民間設備投資計!U64</f>
        <v>95762</v>
      </c>
      <c r="I62" s="544">
        <f>民間在庫品増加!U64</f>
        <v>-349</v>
      </c>
      <c r="J62" s="544">
        <f>公的投資!U64</f>
        <v>10007</v>
      </c>
      <c r="K62" s="292">
        <f>SUM(K63:K65)</f>
        <v>535484</v>
      </c>
      <c r="L62" s="307">
        <f t="shared" ref="L62" si="25">SUM(L63:L65)</f>
        <v>35091</v>
      </c>
      <c r="M62" s="1126">
        <f>移出入推計WS!GD64+移出入推計WS!GF64+移出入推計WS!GG64</f>
        <v>565822</v>
      </c>
      <c r="N62" s="1126">
        <f>移出入推計WS!GE64</f>
        <v>496258</v>
      </c>
      <c r="O62" s="1999">
        <f>'24R5'!O62</f>
        <v>-34473</v>
      </c>
      <c r="P62" s="293">
        <v>9</v>
      </c>
      <c r="Q62" s="314">
        <f>(C62-'22R3'!C62)/'22R3'!C62*100</f>
        <v>26.196832333991697</v>
      </c>
      <c r="R62" s="394">
        <f t="shared" si="3"/>
        <v>570575</v>
      </c>
      <c r="S62" s="394">
        <f t="shared" si="4"/>
        <v>0</v>
      </c>
      <c r="T62" s="49">
        <f>民間設備製造1!S64</f>
        <v>15147</v>
      </c>
      <c r="U62" s="49">
        <v>567041</v>
      </c>
    </row>
    <row r="63" spans="1:21">
      <c r="A63" s="300">
        <v>205</v>
      </c>
      <c r="B63" s="92" t="s">
        <v>241</v>
      </c>
      <c r="C63" s="413">
        <f t="shared" si="13"/>
        <v>200859</v>
      </c>
      <c r="D63" s="538">
        <f>民間消費!U65</f>
        <v>105906</v>
      </c>
      <c r="E63" s="538">
        <f>政府消費!U65</f>
        <v>27955</v>
      </c>
      <c r="F63" s="572">
        <f t="shared" si="14"/>
        <v>42235</v>
      </c>
      <c r="G63" s="538">
        <f>民間住宅1!U65</f>
        <v>4464</v>
      </c>
      <c r="H63" s="538">
        <f>民間設備投資計!U65</f>
        <v>37891</v>
      </c>
      <c r="I63" s="538">
        <f>民間在庫品増加!U65</f>
        <v>-120</v>
      </c>
      <c r="J63" s="538">
        <f>公的投資!U65</f>
        <v>1221</v>
      </c>
      <c r="K63" s="408">
        <f t="shared" si="15"/>
        <v>177317</v>
      </c>
      <c r="L63" s="1103">
        <f t="shared" si="17"/>
        <v>23542</v>
      </c>
      <c r="M63" s="1127">
        <f>移出入推計WS!GD65+移出入推計WS!GF65+移出入推計WS!GG65</f>
        <v>194428</v>
      </c>
      <c r="N63" s="1127">
        <f>移出入推計WS!GE65</f>
        <v>164328</v>
      </c>
      <c r="O63" s="1999">
        <f>'24R5'!O63</f>
        <v>-6558</v>
      </c>
      <c r="P63" s="293">
        <v>205</v>
      </c>
      <c r="Q63" s="314">
        <f>(C63-'22R3'!C63)/'22R3'!C63*100</f>
        <v>30.259599608298366</v>
      </c>
      <c r="R63" s="394">
        <f t="shared" si="3"/>
        <v>200859</v>
      </c>
      <c r="S63" s="394">
        <f t="shared" si="4"/>
        <v>0</v>
      </c>
      <c r="T63" s="49">
        <f>民間設備製造1!S65</f>
        <v>9673</v>
      </c>
      <c r="U63" s="49">
        <v>195697</v>
      </c>
    </row>
    <row r="64" spans="1:21">
      <c r="A64" s="300">
        <v>224</v>
      </c>
      <c r="B64" s="90" t="s">
        <v>224</v>
      </c>
      <c r="C64" s="413">
        <f t="shared" si="13"/>
        <v>186665</v>
      </c>
      <c r="D64" s="538">
        <f>民間消費!U66</f>
        <v>101304</v>
      </c>
      <c r="E64" s="538">
        <f>政府消費!U66</f>
        <v>34901</v>
      </c>
      <c r="F64" s="572">
        <f t="shared" si="14"/>
        <v>31944</v>
      </c>
      <c r="G64" s="538">
        <f>民間住宅1!U66</f>
        <v>3689</v>
      </c>
      <c r="H64" s="538">
        <f>民間設備投資計!U66</f>
        <v>28368</v>
      </c>
      <c r="I64" s="538">
        <f>民間在庫品増加!U66</f>
        <v>-113</v>
      </c>
      <c r="J64" s="538">
        <f>公的投資!U66</f>
        <v>4512</v>
      </c>
      <c r="K64" s="408">
        <f t="shared" si="15"/>
        <v>172661</v>
      </c>
      <c r="L64" s="1103">
        <f t="shared" si="17"/>
        <v>14004</v>
      </c>
      <c r="M64" s="1127">
        <f>移出入推計WS!GD66+移出入推計WS!GF66+移出入推計WS!GG66</f>
        <v>185651</v>
      </c>
      <c r="N64" s="1127">
        <f>移出入推計WS!GE66</f>
        <v>160013</v>
      </c>
      <c r="O64" s="1999">
        <f>'24R5'!O64</f>
        <v>-11634</v>
      </c>
      <c r="P64" s="293">
        <v>224</v>
      </c>
      <c r="Q64" s="314">
        <f>(C64-'22R3'!C64)/'22R3'!C64*100</f>
        <v>25.485701224841012</v>
      </c>
      <c r="R64" s="394">
        <f t="shared" si="3"/>
        <v>186665</v>
      </c>
      <c r="S64" s="394">
        <f t="shared" si="4"/>
        <v>0</v>
      </c>
      <c r="T64" s="49">
        <f>民間設備製造1!S66</f>
        <v>2481</v>
      </c>
      <c r="U64" s="49">
        <v>182854</v>
      </c>
    </row>
    <row r="65" spans="1:21">
      <c r="A65" s="302">
        <v>226</v>
      </c>
      <c r="B65" s="201" t="s">
        <v>225</v>
      </c>
      <c r="C65" s="445">
        <f t="shared" si="13"/>
        <v>183051</v>
      </c>
      <c r="D65" s="542">
        <f>民間消費!U67</f>
        <v>104203</v>
      </c>
      <c r="E65" s="542">
        <f>政府消費!U67</f>
        <v>40265</v>
      </c>
      <c r="F65" s="573">
        <f t="shared" si="14"/>
        <v>36764</v>
      </c>
      <c r="G65" s="542">
        <f>民間住宅1!U67</f>
        <v>7377</v>
      </c>
      <c r="H65" s="542">
        <f>民間設備投資計!U67</f>
        <v>29503</v>
      </c>
      <c r="I65" s="542">
        <f>民間在庫品増加!U67</f>
        <v>-116</v>
      </c>
      <c r="J65" s="542">
        <f>公的投資!U67</f>
        <v>4274</v>
      </c>
      <c r="K65" s="409">
        <f t="shared" si="15"/>
        <v>185506</v>
      </c>
      <c r="L65" s="1104">
        <f t="shared" si="17"/>
        <v>-2455</v>
      </c>
      <c r="M65" s="1128">
        <f>移出入推計WS!GD67+移出入推計WS!GF67+移出入推計WS!GG67</f>
        <v>185743</v>
      </c>
      <c r="N65" s="1128">
        <f>移出入推計WS!GE67</f>
        <v>171917</v>
      </c>
      <c r="O65" s="2000">
        <f>'24R5'!O65</f>
        <v>-16281</v>
      </c>
      <c r="P65" s="293">
        <v>226</v>
      </c>
      <c r="Q65" s="314">
        <f>(C65-'22R3'!C65)/'22R3'!C65*100</f>
        <v>22.706431243212808</v>
      </c>
      <c r="R65" s="394">
        <f t="shared" si="3"/>
        <v>183051</v>
      </c>
      <c r="S65" s="394">
        <f t="shared" si="4"/>
        <v>0</v>
      </c>
      <c r="T65" s="49">
        <f>民間設備製造1!S67</f>
        <v>2993</v>
      </c>
      <c r="U65" s="49">
        <v>188490</v>
      </c>
    </row>
    <row r="66" spans="1:21">
      <c r="A66" s="75"/>
      <c r="B66" s="75"/>
      <c r="C66" s="75"/>
      <c r="D66" s="75"/>
      <c r="E66" s="75"/>
      <c r="F66" s="75"/>
      <c r="G66" s="75"/>
      <c r="H66" s="75"/>
      <c r="I66" s="75"/>
      <c r="J66" s="75"/>
      <c r="K66" s="75"/>
      <c r="L66" s="75"/>
      <c r="M66" s="75"/>
      <c r="N66" s="75"/>
      <c r="O66" s="75" t="s">
        <v>1819</v>
      </c>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13.1</v>
      </c>
      <c r="D70" s="384">
        <f>ROUND((D4-'21R2'!D4)/ABS('21R2'!D4)*100,1)</f>
        <v>13.3</v>
      </c>
      <c r="E70" s="384">
        <f>ROUND((E4-'21R2'!E4)/ABS('21R2'!E4)*100,1)</f>
        <v>12.9</v>
      </c>
      <c r="F70" s="384">
        <f>ROUND((F4-'21R2'!F4)/ABS('21R2'!F4)*100,1)</f>
        <v>36.5</v>
      </c>
      <c r="G70" s="384">
        <f>ROUND((G4-'21R2'!G4)/ABS('21R2'!G4)*100,1)</f>
        <v>14.6</v>
      </c>
      <c r="H70" s="384">
        <f>ROUND((H4-'21R2'!H4)/ABS('21R2'!H4)*100,1)</f>
        <v>34.1</v>
      </c>
      <c r="I70" s="384">
        <f>ROUND((I4-'21R2'!I4)/ABS('21R2'!I4)*100,1)</f>
        <v>92</v>
      </c>
      <c r="J70" s="384">
        <f>ROUND((J4-'21R2'!J4)/ABS('21R2'!J4)*100,1)</f>
        <v>-7.2</v>
      </c>
      <c r="K70" s="384">
        <f>ROUND((K4-'21R2'!K4)/ABS('21R2'!K4)*100,1)</f>
        <v>16.899999999999999</v>
      </c>
      <c r="L70" s="384">
        <f>ROUND((L4-'21R2'!L4)/ABS('21R2'!L4)*100,1)</f>
        <v>-42.7</v>
      </c>
      <c r="M70" s="384">
        <f>ROUND((M4-'21R2'!M4)/ABS('21R2'!M4)*100,1)</f>
        <v>32.799999999999997</v>
      </c>
      <c r="N70" s="384">
        <f>ROUND((N4-'21R2'!N4)/ABS('21R2'!N4)*100,1)</f>
        <v>38.1</v>
      </c>
      <c r="O70" s="384">
        <f>ROUND((O4-'21R2'!O4)/ABS('21R2'!O4)*100,1)</f>
        <v>-81.2</v>
      </c>
    </row>
    <row r="71" spans="1:21">
      <c r="A71" s="77">
        <v>100</v>
      </c>
      <c r="B71" s="75" t="s">
        <v>172</v>
      </c>
      <c r="C71" s="384">
        <f>ROUND((C5-'21R2'!C5)/ABS('21R2'!C5)*100,1)</f>
        <v>11.8</v>
      </c>
      <c r="D71" s="384">
        <f>ROUND((D5-'21R2'!D5)/ABS('21R2'!D5)*100,1)</f>
        <v>8</v>
      </c>
      <c r="E71" s="384">
        <f>ROUND((E5-'21R2'!E5)/ABS('21R2'!E5)*100,1)</f>
        <v>11.3</v>
      </c>
      <c r="F71" s="384">
        <f>ROUND((F5-'21R2'!F5)/ABS('21R2'!F5)*100,1)</f>
        <v>36.200000000000003</v>
      </c>
      <c r="G71" s="384">
        <f>ROUND((G5-'21R2'!G5)/ABS('21R2'!G5)*100,1)</f>
        <v>7.3</v>
      </c>
      <c r="H71" s="384">
        <f>ROUND((H5-'21R2'!H5)/ABS('21R2'!H5)*100,1)</f>
        <v>34.200000000000003</v>
      </c>
      <c r="I71" s="384">
        <f>ROUND((I5-'21R2'!I5)/ABS('21R2'!I5)*100,1)</f>
        <v>92.3</v>
      </c>
      <c r="J71" s="384">
        <f>ROUND((J5-'21R2'!J5)/ABS('21R2'!J5)*100,1)</f>
        <v>-26.5</v>
      </c>
      <c r="K71" s="384">
        <f>ROUND((K5-'21R2'!K5)/ABS('21R2'!K5)*100,1)</f>
        <v>11.2</v>
      </c>
      <c r="L71" s="384">
        <f>ROUND((L5-'21R2'!L5)/ABS('21R2'!L5)*100,1)</f>
        <v>17.399999999999999</v>
      </c>
      <c r="M71" s="384">
        <f>ROUND((M5-'21R2'!M5)/ABS('21R2'!M5)*100,1)</f>
        <v>30.9</v>
      </c>
      <c r="N71" s="384">
        <f>ROUND((N5-'21R2'!N5)/ABS('21R2'!N5)*100,1)</f>
        <v>31.5</v>
      </c>
      <c r="O71" s="384">
        <f>ROUND((O5-'21R2'!O5)/ABS('21R2'!O5)*100,1)</f>
        <v>-72</v>
      </c>
    </row>
    <row r="72" spans="1:21">
      <c r="A72" s="77">
        <v>1</v>
      </c>
      <c r="B72" s="75" t="s">
        <v>323</v>
      </c>
      <c r="C72" s="384">
        <f>ROUND((C6-'21R2'!C6)/ABS('21R2'!C6)*100,1)</f>
        <v>18.399999999999999</v>
      </c>
      <c r="D72" s="384">
        <f>ROUND((D6-'21R2'!D6)/ABS('21R2'!D6)*100,1)</f>
        <v>9.6999999999999993</v>
      </c>
      <c r="E72" s="384">
        <f>ROUND((E6-'21R2'!E6)/ABS('21R2'!E6)*100,1)</f>
        <v>12.3</v>
      </c>
      <c r="F72" s="384">
        <f>ROUND((F6-'21R2'!F6)/ABS('21R2'!F6)*100,1)</f>
        <v>31.8</v>
      </c>
      <c r="G72" s="384">
        <f>ROUND((G6-'21R2'!G6)/ABS('21R2'!G6)*100,1)</f>
        <v>9.8000000000000007</v>
      </c>
      <c r="H72" s="384">
        <f>ROUND((H6-'21R2'!H6)/ABS('21R2'!H6)*100,1)</f>
        <v>30.8</v>
      </c>
      <c r="I72" s="384">
        <f>ROUND((I6-'21R2'!I6)/ABS('21R2'!I6)*100,1)</f>
        <v>92.3</v>
      </c>
      <c r="J72" s="384">
        <f>ROUND((J6-'21R2'!J6)/ABS('21R2'!J6)*100,1)</f>
        <v>-17.600000000000001</v>
      </c>
      <c r="K72" s="384">
        <f>ROUND((K6-'21R2'!K6)/ABS('21R2'!K6)*100,1)</f>
        <v>12.9</v>
      </c>
      <c r="L72" s="384">
        <f>ROUND((L6-'21R2'!L6)/ABS('21R2'!L6)*100,1)</f>
        <v>63.8</v>
      </c>
      <c r="M72" s="384">
        <f>ROUND((M6-'21R2'!M6)/ABS('21R2'!M6)*100,1)</f>
        <v>40</v>
      </c>
      <c r="N72" s="384">
        <f>ROUND((N6-'21R2'!N6)/ABS('21R2'!N6)*100,1)</f>
        <v>33.4</v>
      </c>
      <c r="O72" s="384">
        <f>ROUND((O6-'21R2'!O6)/ABS('21R2'!O6)*100,1)</f>
        <v>-0.1</v>
      </c>
    </row>
    <row r="73" spans="1:21">
      <c r="A73" s="77">
        <v>2</v>
      </c>
      <c r="B73" s="75" t="s">
        <v>324</v>
      </c>
      <c r="C73" s="384">
        <f>ROUND((C7-'21R2'!C7)/ABS('21R2'!C7)*100,1)</f>
        <v>27.9</v>
      </c>
      <c r="D73" s="384">
        <f>ROUND((D7-'21R2'!D7)/ABS('21R2'!D7)*100,1)</f>
        <v>18.5</v>
      </c>
      <c r="E73" s="384">
        <f>ROUND((E7-'21R2'!E7)/ABS('21R2'!E7)*100,1)</f>
        <v>12.6</v>
      </c>
      <c r="F73" s="384">
        <f>ROUND((F7-'21R2'!F7)/ABS('21R2'!F7)*100,1)</f>
        <v>37.1</v>
      </c>
      <c r="G73" s="384">
        <f>ROUND((G7-'21R2'!G7)/ABS('21R2'!G7)*100,1)</f>
        <v>41.6</v>
      </c>
      <c r="H73" s="384">
        <f>ROUND((H7-'21R2'!H7)/ABS('21R2'!H7)*100,1)</f>
        <v>29.6</v>
      </c>
      <c r="I73" s="384">
        <f>ROUND((I7-'21R2'!I7)/ABS('21R2'!I7)*100,1)</f>
        <v>91.8</v>
      </c>
      <c r="J73" s="384">
        <f>ROUND((J7-'21R2'!J7)/ABS('21R2'!J7)*100,1)</f>
        <v>410.6</v>
      </c>
      <c r="K73" s="384">
        <f>ROUND((K7-'21R2'!K7)/ABS('21R2'!K7)*100,1)</f>
        <v>31.8</v>
      </c>
      <c r="L73" s="384">
        <f>ROUND((L7-'21R2'!L7)/ABS('21R2'!L7)*100,1)</f>
        <v>-57.4</v>
      </c>
      <c r="M73" s="384">
        <f>ROUND((M7-'21R2'!M7)/ABS('21R2'!M7)*100,1)</f>
        <v>48.2</v>
      </c>
      <c r="N73" s="384">
        <f>ROUND((N7-'21R2'!N7)/ABS('21R2'!N7)*100,1)</f>
        <v>55.7</v>
      </c>
      <c r="O73" s="384">
        <f>ROUND((O7-'21R2'!O7)/ABS('21R2'!O7)*100,1)</f>
        <v>25.4</v>
      </c>
    </row>
    <row r="74" spans="1:21">
      <c r="A74" s="77">
        <v>3</v>
      </c>
      <c r="B74" s="75" t="s">
        <v>192</v>
      </c>
      <c r="C74" s="384">
        <f>ROUND((C8-'21R2'!C8)/ABS('21R2'!C8)*100,1)</f>
        <v>8.6999999999999993</v>
      </c>
      <c r="D74" s="384">
        <f>ROUND((D8-'21R2'!D8)/ABS('21R2'!D8)*100,1)</f>
        <v>20.3</v>
      </c>
      <c r="E74" s="384">
        <f>ROUND((E8-'21R2'!E8)/ABS('21R2'!E8)*100,1)</f>
        <v>16.5</v>
      </c>
      <c r="F74" s="384">
        <f>ROUND((F8-'21R2'!F8)/ABS('21R2'!F8)*100,1)</f>
        <v>41.5</v>
      </c>
      <c r="G74" s="384">
        <f>ROUND((G8-'21R2'!G8)/ABS('21R2'!G8)*100,1)</f>
        <v>19.5</v>
      </c>
      <c r="H74" s="384">
        <f>ROUND((H8-'21R2'!H8)/ABS('21R2'!H8)*100,1)</f>
        <v>40</v>
      </c>
      <c r="I74" s="384">
        <f>ROUND((I8-'21R2'!I8)/ABS('21R2'!I8)*100,1)</f>
        <v>91.7</v>
      </c>
      <c r="J74" s="384">
        <f>ROUND((J8-'21R2'!J8)/ABS('21R2'!J8)*100,1)</f>
        <v>-24.1</v>
      </c>
      <c r="K74" s="384">
        <f>ROUND((K8-'21R2'!K8)/ABS('21R2'!K8)*100,1)</f>
        <v>23.5</v>
      </c>
      <c r="L74" s="384">
        <f>ROUND((L8-'21R2'!L8)/ABS('21R2'!L8)*100,1)</f>
        <v>-128.9</v>
      </c>
      <c r="M74" s="384">
        <f>ROUND((M8-'21R2'!M8)/ABS('21R2'!M8)*100,1)</f>
        <v>29.4</v>
      </c>
      <c r="N74" s="384">
        <f>ROUND((N8-'21R2'!N8)/ABS('21R2'!N8)*100,1)</f>
        <v>46</v>
      </c>
      <c r="O74" s="384">
        <f>ROUND((O8-'21R2'!O8)/ABS('21R2'!O8)*100,1)</f>
        <v>-1049.8</v>
      </c>
    </row>
    <row r="75" spans="1:21">
      <c r="A75" s="77">
        <v>4</v>
      </c>
      <c r="B75" s="75" t="s">
        <v>325</v>
      </c>
      <c r="C75" s="384">
        <f>ROUND((C9-'21R2'!C9)/ABS('21R2'!C9)*100,1)</f>
        <v>1.8</v>
      </c>
      <c r="D75" s="384">
        <f>ROUND((D9-'21R2'!D9)/ABS('21R2'!D9)*100,1)</f>
        <v>22.6</v>
      </c>
      <c r="E75" s="384">
        <f>ROUND((E9-'21R2'!E9)/ABS('21R2'!E9)*100,1)</f>
        <v>12.7</v>
      </c>
      <c r="F75" s="384">
        <f>ROUND((F9-'21R2'!F9)/ABS('21R2'!F9)*100,1)</f>
        <v>56.2</v>
      </c>
      <c r="G75" s="384">
        <f>ROUND((G9-'21R2'!G9)/ABS('21R2'!G9)*100,1)</f>
        <v>3.6</v>
      </c>
      <c r="H75" s="384">
        <f>ROUND((H9-'21R2'!H9)/ABS('21R2'!H9)*100,1)</f>
        <v>56.5</v>
      </c>
      <c r="I75" s="384">
        <f>ROUND((I9-'21R2'!I9)/ABS('21R2'!I9)*100,1)</f>
        <v>91.2</v>
      </c>
      <c r="J75" s="384">
        <f>ROUND((J9-'21R2'!J9)/ABS('21R2'!J9)*100,1)</f>
        <v>-2.1</v>
      </c>
      <c r="K75" s="384">
        <f>ROUND((K9-'21R2'!K9)/ABS('21R2'!K9)*100,1)</f>
        <v>26.9</v>
      </c>
      <c r="L75" s="384">
        <f>ROUND((L9-'21R2'!L9)/ABS('21R2'!L9)*100,1)</f>
        <v>-57.5</v>
      </c>
      <c r="M75" s="384">
        <f>ROUND((M9-'21R2'!M9)/ABS('21R2'!M9)*100,1)</f>
        <v>17.399999999999999</v>
      </c>
      <c r="N75" s="384">
        <f>ROUND((N9-'21R2'!N9)/ABS('21R2'!N9)*100,1)</f>
        <v>49.9</v>
      </c>
      <c r="O75" s="384">
        <f>ROUND((O9-'21R2'!O9)/ABS('21R2'!O9)*100,1)</f>
        <v>-86.5</v>
      </c>
      <c r="R75" s="383"/>
      <c r="S75" s="383"/>
    </row>
    <row r="76" spans="1:21">
      <c r="A76" s="77">
        <v>5</v>
      </c>
      <c r="B76" s="75" t="s">
        <v>326</v>
      </c>
      <c r="C76" s="384">
        <f>ROUND((C10-'21R2'!C10)/ABS('21R2'!C10)*100,1)</f>
        <v>6.8</v>
      </c>
      <c r="D76" s="384">
        <f>ROUND((D10-'21R2'!D10)/ABS('21R2'!D10)*100,1)</f>
        <v>9.9</v>
      </c>
      <c r="E76" s="384">
        <f>ROUND((E10-'21R2'!E10)/ABS('21R2'!E10)*100,1)</f>
        <v>19</v>
      </c>
      <c r="F76" s="384">
        <f>ROUND((F10-'21R2'!F10)/ABS('21R2'!F10)*100,1)</f>
        <v>20.100000000000001</v>
      </c>
      <c r="G76" s="384">
        <f>ROUND((G10-'21R2'!G10)/ABS('21R2'!G10)*100,1)</f>
        <v>0.3</v>
      </c>
      <c r="H76" s="384">
        <f>ROUND((H10-'21R2'!H10)/ABS('21R2'!H10)*100,1)</f>
        <v>19</v>
      </c>
      <c r="I76" s="384">
        <f>ROUND((I10-'21R2'!I10)/ABS('21R2'!I10)*100,1)</f>
        <v>92.4</v>
      </c>
      <c r="J76" s="384">
        <f>ROUND((J10-'21R2'!J10)/ABS('21R2'!J10)*100,1)</f>
        <v>-82.3</v>
      </c>
      <c r="K76" s="384">
        <f>ROUND((K10-'21R2'!K10)/ABS('21R2'!K10)*100,1)</f>
        <v>7.9</v>
      </c>
      <c r="L76" s="384">
        <f>ROUND((L10-'21R2'!L10)/ABS('21R2'!L10)*100,1)</f>
        <v>-1.2</v>
      </c>
      <c r="M76" s="384">
        <f>ROUND((M10-'21R2'!M10)/ABS('21R2'!M10)*100,1)</f>
        <v>25.8</v>
      </c>
      <c r="N76" s="384">
        <f>ROUND((N10-'21R2'!N10)/ABS('21R2'!N10)*100,1)</f>
        <v>27.5</v>
      </c>
      <c r="O76" s="384">
        <f>ROUND((O10-'21R2'!O10)/ABS('21R2'!O10)*100,1)</f>
        <v>-194.9</v>
      </c>
      <c r="R76" s="383"/>
      <c r="S76" s="383"/>
    </row>
    <row r="77" spans="1:21">
      <c r="A77" s="77">
        <v>6</v>
      </c>
      <c r="B77" s="75" t="s">
        <v>327</v>
      </c>
      <c r="C77" s="384">
        <f>ROUND((C11-'21R2'!C11)/ABS('21R2'!C11)*100,1)</f>
        <v>6.5</v>
      </c>
      <c r="D77" s="384">
        <f>ROUND((D11-'21R2'!D11)/ABS('21R2'!D11)*100,1)</f>
        <v>20.9</v>
      </c>
      <c r="E77" s="384">
        <f>ROUND((E11-'21R2'!E11)/ABS('21R2'!E11)*100,1)</f>
        <v>11.1</v>
      </c>
      <c r="F77" s="384">
        <f>ROUND((F11-'21R2'!F11)/ABS('21R2'!F11)*100,1)</f>
        <v>44.6</v>
      </c>
      <c r="G77" s="384">
        <f>ROUND((G11-'21R2'!G11)/ABS('21R2'!G11)*100,1)</f>
        <v>35.6</v>
      </c>
      <c r="H77" s="384">
        <f>ROUND((H11-'21R2'!H11)/ABS('21R2'!H11)*100,1)</f>
        <v>39.6</v>
      </c>
      <c r="I77" s="384">
        <f>ROUND((I11-'21R2'!I11)/ABS('21R2'!I11)*100,1)</f>
        <v>91.6</v>
      </c>
      <c r="J77" s="384">
        <f>ROUND((J11-'21R2'!J11)/ABS('21R2'!J11)*100,1)</f>
        <v>-34.6</v>
      </c>
      <c r="K77" s="384">
        <f>ROUND((K11-'21R2'!K11)/ABS('21R2'!K11)*100,1)</f>
        <v>21.2</v>
      </c>
      <c r="L77" s="384">
        <f>ROUND((L11-'21R2'!L11)/ABS('21R2'!L11)*100,1)</f>
        <v>-45.9</v>
      </c>
      <c r="M77" s="384">
        <f>ROUND((M11-'21R2'!M11)/ABS('21R2'!M11)*100,1)</f>
        <v>24.1</v>
      </c>
      <c r="N77" s="384">
        <f>ROUND((N11-'21R2'!N11)/ABS('21R2'!N11)*100,1)</f>
        <v>43.2</v>
      </c>
      <c r="O77" s="384">
        <f>ROUND((O11-'21R2'!O11)/ABS('21R2'!O11)*100,1)</f>
        <v>-152.4</v>
      </c>
      <c r="R77" s="383"/>
      <c r="S77" s="383"/>
    </row>
    <row r="78" spans="1:21">
      <c r="A78" s="77">
        <v>7</v>
      </c>
      <c r="B78" s="75" t="s">
        <v>210</v>
      </c>
      <c r="C78" s="384">
        <f>ROUND((C12-'21R2'!C12)/ABS('21R2'!C12)*100,1)</f>
        <v>20.399999999999999</v>
      </c>
      <c r="D78" s="384">
        <f>ROUND((D12-'21R2'!D12)/ABS('21R2'!D12)*100,1)</f>
        <v>19.600000000000001</v>
      </c>
      <c r="E78" s="384">
        <f>ROUND((E12-'21R2'!E12)/ABS('21R2'!E12)*100,1)</f>
        <v>13</v>
      </c>
      <c r="F78" s="384">
        <f>ROUND((F12-'21R2'!F12)/ABS('21R2'!F12)*100,1)</f>
        <v>76.8</v>
      </c>
      <c r="G78" s="384">
        <f>ROUND((G12-'21R2'!G12)/ABS('21R2'!G12)*100,1)</f>
        <v>15.1</v>
      </c>
      <c r="H78" s="384">
        <f>ROUND((H12-'21R2'!H12)/ABS('21R2'!H12)*100,1)</f>
        <v>73.599999999999994</v>
      </c>
      <c r="I78" s="384">
        <f>ROUND((I12-'21R2'!I12)/ABS('21R2'!I12)*100,1)</f>
        <v>91.4</v>
      </c>
      <c r="J78" s="384">
        <f>ROUND((J12-'21R2'!J12)/ABS('21R2'!J12)*100,1)</f>
        <v>-58.1</v>
      </c>
      <c r="K78" s="384">
        <f>ROUND((K12-'21R2'!K12)/ABS('21R2'!K12)*100,1)</f>
        <v>20.9</v>
      </c>
      <c r="L78" s="384">
        <f>ROUND((L12-'21R2'!L12)/ABS('21R2'!L12)*100,1)</f>
        <v>15.7</v>
      </c>
      <c r="M78" s="384">
        <f>ROUND((M12-'21R2'!M12)/ABS('21R2'!M12)*100,1)</f>
        <v>41.4</v>
      </c>
      <c r="N78" s="384">
        <f>ROUND((N12-'21R2'!N12)/ABS('21R2'!N12)*100,1)</f>
        <v>42.8</v>
      </c>
      <c r="O78" s="384">
        <f>ROUND((O12-'21R2'!O12)/ABS('21R2'!O12)*100,1)</f>
        <v>-67.2</v>
      </c>
      <c r="R78" s="383"/>
      <c r="S78" s="383"/>
    </row>
    <row r="79" spans="1:21">
      <c r="A79" s="77">
        <v>8</v>
      </c>
      <c r="B79" s="75" t="s">
        <v>211</v>
      </c>
      <c r="C79" s="384">
        <f>ROUND((C13-'21R2'!C13)/ABS('21R2'!C13)*100,1)</f>
        <v>12.3</v>
      </c>
      <c r="D79" s="384">
        <f>ROUND((D13-'21R2'!D13)/ABS('21R2'!D13)*100,1)</f>
        <v>22.9</v>
      </c>
      <c r="E79" s="384">
        <f>ROUND((E13-'21R2'!E13)/ABS('21R2'!E13)*100,1)</f>
        <v>16.5</v>
      </c>
      <c r="F79" s="384">
        <f>ROUND((F13-'21R2'!F13)/ABS('21R2'!F13)*100,1)</f>
        <v>22.1</v>
      </c>
      <c r="G79" s="384">
        <f>ROUND((G13-'21R2'!G13)/ABS('21R2'!G13)*100,1)</f>
        <v>30.3</v>
      </c>
      <c r="H79" s="384">
        <f>ROUND((H13-'21R2'!H13)/ABS('21R2'!H13)*100,1)</f>
        <v>16.100000000000001</v>
      </c>
      <c r="I79" s="384">
        <f>ROUND((I13-'21R2'!I13)/ABS('21R2'!I13)*100,1)</f>
        <v>91.6</v>
      </c>
      <c r="J79" s="384">
        <f>ROUND((J13-'21R2'!J13)/ABS('21R2'!J13)*100,1)</f>
        <v>-66.8</v>
      </c>
      <c r="K79" s="384">
        <f>ROUND((K13-'21R2'!K13)/ABS('21R2'!K13)*100,1)</f>
        <v>18</v>
      </c>
      <c r="L79" s="384">
        <f>ROUND((L13-'21R2'!L13)/ABS('21R2'!L13)*100,1)</f>
        <v>-15.6</v>
      </c>
      <c r="M79" s="384">
        <f>ROUND((M13-'21R2'!M13)/ABS('21R2'!M13)*100,1)</f>
        <v>30.6</v>
      </c>
      <c r="N79" s="384">
        <f>ROUND((N13-'21R2'!N13)/ABS('21R2'!N13)*100,1)</f>
        <v>39.5</v>
      </c>
      <c r="O79" s="384">
        <f>ROUND((O13-'21R2'!O13)/ABS('21R2'!O13)*100,1)</f>
        <v>-552.9</v>
      </c>
      <c r="R79" s="383"/>
      <c r="S79" s="383"/>
    </row>
    <row r="80" spans="1:21">
      <c r="A80" s="77">
        <v>9</v>
      </c>
      <c r="B80" s="75" t="s">
        <v>212</v>
      </c>
      <c r="C80" s="384">
        <f>ROUND((C14-'21R2'!C14)/ABS('21R2'!C14)*100,1)</f>
        <v>29.2</v>
      </c>
      <c r="D80" s="384">
        <f>ROUND((D14-'21R2'!D14)/ABS('21R2'!D14)*100,1)</f>
        <v>23.4</v>
      </c>
      <c r="E80" s="384">
        <f>ROUND((E14-'21R2'!E14)/ABS('21R2'!E14)*100,1)</f>
        <v>7.9</v>
      </c>
      <c r="F80" s="384">
        <f>ROUND((F14-'21R2'!F14)/ABS('21R2'!F14)*100,1)</f>
        <v>76.5</v>
      </c>
      <c r="G80" s="384">
        <f>ROUND((G14-'21R2'!G14)/ABS('21R2'!G14)*100,1)</f>
        <v>82.4</v>
      </c>
      <c r="H80" s="384">
        <f>ROUND((H14-'21R2'!H14)/ABS('21R2'!H14)*100,1)</f>
        <v>64.5</v>
      </c>
      <c r="I80" s="384">
        <f>ROUND((I14-'21R2'!I14)/ABS('21R2'!I14)*100,1)</f>
        <v>90.9</v>
      </c>
      <c r="J80" s="384">
        <f>ROUND((J14-'21R2'!J14)/ABS('21R2'!J14)*100,1)</f>
        <v>-59.9</v>
      </c>
      <c r="K80" s="384">
        <f>ROUND((K14-'21R2'!K14)/ABS('21R2'!K14)*100,1)</f>
        <v>22.9</v>
      </c>
      <c r="L80" s="384">
        <f>ROUND((L14-'21R2'!L14)/ABS('21R2'!L14)*100,1)</f>
        <v>499.5</v>
      </c>
      <c r="M80" s="384">
        <f>ROUND((M14-'21R2'!M14)/ABS('21R2'!M14)*100,1)</f>
        <v>49.5</v>
      </c>
      <c r="N80" s="384">
        <f>ROUND((N14-'21R2'!N14)/ABS('21R2'!N14)*100,1)</f>
        <v>45.2</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11.8</v>
      </c>
      <c r="D82" s="384">
        <f>ROUND((D16-'21R2'!D16)/ABS('21R2'!D16)*100,1)</f>
        <v>8</v>
      </c>
      <c r="E82" s="384">
        <f>ROUND((E16-'21R2'!E16)/ABS('21R2'!E16)*100,1)</f>
        <v>11.3</v>
      </c>
      <c r="F82" s="384">
        <f>ROUND((F16-'21R2'!F16)/ABS('21R2'!F16)*100,1)</f>
        <v>36.200000000000003</v>
      </c>
      <c r="G82" s="384">
        <f>ROUND((G16-'21R2'!G16)/ABS('21R2'!G16)*100,1)</f>
        <v>7.3</v>
      </c>
      <c r="H82" s="384">
        <f>ROUND((H16-'21R2'!H16)/ABS('21R2'!H16)*100,1)</f>
        <v>34.200000000000003</v>
      </c>
      <c r="I82" s="384">
        <f>ROUND((I16-'21R2'!I16)/ABS('21R2'!I16)*100,1)</f>
        <v>92.3</v>
      </c>
      <c r="J82" s="384">
        <f>ROUND((J16-'21R2'!J16)/ABS('21R2'!J16)*100,1)</f>
        <v>-26.5</v>
      </c>
      <c r="K82" s="384">
        <f>ROUND((K16-'21R2'!K16)/ABS('21R2'!K16)*100,1)</f>
        <v>11.2</v>
      </c>
      <c r="L82" s="384">
        <f>ROUND((L16-'21R2'!L16)/ABS('21R2'!L16)*100,1)</f>
        <v>17.399999999999999</v>
      </c>
      <c r="M82" s="384">
        <f>ROUND((M16-'21R2'!M16)/ABS('21R2'!M16)*100,1)</f>
        <v>30.9</v>
      </c>
      <c r="N82" s="384">
        <f>ROUND((N16-'21R2'!N16)/ABS('21R2'!N16)*100,1)</f>
        <v>31.5</v>
      </c>
      <c r="O82" s="384">
        <f>ROUND((O16-'21R2'!O16)/ABS('21R2'!O16)*100,1)</f>
        <v>-72</v>
      </c>
      <c r="R82" s="383"/>
      <c r="S82" s="383"/>
    </row>
    <row r="83" spans="1:19">
      <c r="A83" s="293">
        <v>1</v>
      </c>
      <c r="B83" s="65" t="s">
        <v>182</v>
      </c>
      <c r="C83" s="384">
        <f>ROUND((C17-'21R2'!C17)/ABS('21R2'!C17)*100,1)</f>
        <v>18.399999999999999</v>
      </c>
      <c r="D83" s="384">
        <f>ROUND((D17-'21R2'!D17)/ABS('21R2'!D17)*100,1)</f>
        <v>9.6999999999999993</v>
      </c>
      <c r="E83" s="384">
        <f>ROUND((E17-'21R2'!E17)/ABS('21R2'!E17)*100,1)</f>
        <v>12.3</v>
      </c>
      <c r="F83" s="384">
        <f>ROUND((F17-'21R2'!F17)/ABS('21R2'!F17)*100,1)</f>
        <v>31.8</v>
      </c>
      <c r="G83" s="384">
        <f>ROUND((G17-'21R2'!G17)/ABS('21R2'!G17)*100,1)</f>
        <v>9.8000000000000007</v>
      </c>
      <c r="H83" s="384">
        <f>ROUND((H17-'21R2'!H17)/ABS('21R2'!H17)*100,1)</f>
        <v>30.8</v>
      </c>
      <c r="I83" s="384">
        <f>ROUND((I17-'21R2'!I17)/ABS('21R2'!I17)*100,1)</f>
        <v>92.3</v>
      </c>
      <c r="J83" s="384">
        <f>ROUND((J17-'21R2'!J17)/ABS('21R2'!J17)*100,1)</f>
        <v>-17.600000000000001</v>
      </c>
      <c r="K83" s="384">
        <f>ROUND((K17-'21R2'!K17)/ABS('21R2'!K17)*100,1)</f>
        <v>12.9</v>
      </c>
      <c r="L83" s="384">
        <f>ROUND((L17-'21R2'!L17)/ABS('21R2'!L17)*100,1)</f>
        <v>63.8</v>
      </c>
      <c r="M83" s="384">
        <f>ROUND((M17-'21R2'!M17)/ABS('21R2'!M17)*100,1)</f>
        <v>40</v>
      </c>
      <c r="N83" s="384">
        <f>ROUND((N17-'21R2'!N17)/ABS('21R2'!N17)*100,1)</f>
        <v>33.4</v>
      </c>
      <c r="O83" s="384">
        <f>ROUND((O17-'21R2'!O17)/ABS('21R2'!O17)*100,1)</f>
        <v>-0.1</v>
      </c>
      <c r="R83" s="383"/>
      <c r="S83" s="383"/>
    </row>
    <row r="84" spans="1:19">
      <c r="A84" s="293">
        <v>202</v>
      </c>
      <c r="B84" s="90" t="s">
        <v>183</v>
      </c>
      <c r="C84" s="384">
        <f>ROUND((C18-'21R2'!C18)/ABS('21R2'!C18)*100,1)</f>
        <v>10.9</v>
      </c>
      <c r="D84" s="384">
        <f>ROUND((D18-'21R2'!D18)/ABS('21R2'!D18)*100,1)</f>
        <v>8.9</v>
      </c>
      <c r="E84" s="384">
        <f>ROUND((E18-'21R2'!E18)/ABS('21R2'!E18)*100,1)</f>
        <v>12.1</v>
      </c>
      <c r="F84" s="384">
        <f>ROUND((F18-'21R2'!F18)/ABS('21R2'!F18)*100,1)</f>
        <v>37.799999999999997</v>
      </c>
      <c r="G84" s="384">
        <f>ROUND((G18-'21R2'!G18)/ABS('21R2'!G18)*100,1)</f>
        <v>32.799999999999997</v>
      </c>
      <c r="H84" s="384">
        <f>ROUND((H18-'21R2'!H18)/ABS('21R2'!H18)*100,1)</f>
        <v>31.9</v>
      </c>
      <c r="I84" s="384">
        <f>ROUND((I18-'21R2'!I18)/ABS('21R2'!I18)*100,1)</f>
        <v>92.3</v>
      </c>
      <c r="J84" s="384">
        <f>ROUND((J18-'21R2'!J18)/ABS('21R2'!J18)*100,1)</f>
        <v>-11.7</v>
      </c>
      <c r="K84" s="384">
        <f>ROUND((K18-'21R2'!K18)/ABS('21R2'!K18)*100,1)</f>
        <v>14.2</v>
      </c>
      <c r="L84" s="384">
        <f>ROUND((L18-'21R2'!L18)/ABS('21R2'!L18)*100,1)</f>
        <v>-28.2</v>
      </c>
      <c r="M84" s="384">
        <f>ROUND((M18-'21R2'!M18)/ABS('21R2'!M18)*100,1)</f>
        <v>30.1</v>
      </c>
      <c r="N84" s="384">
        <f>ROUND((N18-'21R2'!N18)/ABS('21R2'!N18)*100,1)</f>
        <v>34.9</v>
      </c>
      <c r="O84" s="384">
        <f>ROUND((O18-'21R2'!O18)/ABS('21R2'!O18)*100,1)</f>
        <v>-1400.4</v>
      </c>
      <c r="R84" s="383"/>
      <c r="S84" s="383"/>
    </row>
    <row r="85" spans="1:19">
      <c r="A85" s="293">
        <v>204</v>
      </c>
      <c r="B85" s="90" t="s">
        <v>184</v>
      </c>
      <c r="C85" s="384">
        <f>ROUND((C19-'21R2'!C19)/ABS('21R2'!C19)*100,1)</f>
        <v>22.7</v>
      </c>
      <c r="D85" s="384">
        <f>ROUND((D19-'21R2'!D19)/ABS('21R2'!D19)*100,1)</f>
        <v>8.8000000000000007</v>
      </c>
      <c r="E85" s="384">
        <f>ROUND((E19-'21R2'!E19)/ABS('21R2'!E19)*100,1)</f>
        <v>11.8</v>
      </c>
      <c r="F85" s="384">
        <f>ROUND((F19-'21R2'!F19)/ABS('21R2'!F19)*100,1)</f>
        <v>23.7</v>
      </c>
      <c r="G85" s="384">
        <f>ROUND((G19-'21R2'!G19)/ABS('21R2'!G19)*100,1)</f>
        <v>-8.8000000000000007</v>
      </c>
      <c r="H85" s="384">
        <f>ROUND((H19-'21R2'!H19)/ABS('21R2'!H19)*100,1)</f>
        <v>27.9</v>
      </c>
      <c r="I85" s="384">
        <f>ROUND((I19-'21R2'!I19)/ABS('21R2'!I19)*100,1)</f>
        <v>92.4</v>
      </c>
      <c r="J85" s="384">
        <f>ROUND((J19-'21R2'!J19)/ABS('21R2'!J19)*100,1)</f>
        <v>-39.200000000000003</v>
      </c>
      <c r="K85" s="384">
        <f>ROUND((K19-'21R2'!K19)/ABS('21R2'!K19)*100,1)</f>
        <v>10</v>
      </c>
      <c r="L85" s="384">
        <f>ROUND((L19-'21R2'!L19)/ABS('21R2'!L19)*100,1)</f>
        <v>54.1</v>
      </c>
      <c r="M85" s="384">
        <f>ROUND((M19-'21R2'!M19)/ABS('21R2'!M19)*100,1)</f>
        <v>46.5</v>
      </c>
      <c r="N85" s="384">
        <f>ROUND((N19-'21R2'!N19)/ABS('21R2'!N19)*100,1)</f>
        <v>29.9</v>
      </c>
      <c r="O85" s="384">
        <f>ROUND((O19-'21R2'!O19)/ABS('21R2'!O19)*100,1)</f>
        <v>4.3</v>
      </c>
      <c r="R85" s="383"/>
      <c r="S85" s="383"/>
    </row>
    <row r="86" spans="1:19">
      <c r="A86" s="293">
        <v>206</v>
      </c>
      <c r="B86" s="90" t="s">
        <v>185</v>
      </c>
      <c r="C86" s="384">
        <f>ROUND((C20-'21R2'!C20)/ABS('21R2'!C20)*100,1)</f>
        <v>53.5</v>
      </c>
      <c r="D86" s="384">
        <f>ROUND((D20-'21R2'!D20)/ABS('21R2'!D20)*100,1)</f>
        <v>19.399999999999999</v>
      </c>
      <c r="E86" s="384">
        <f>ROUND((E20-'21R2'!E20)/ABS('21R2'!E20)*100,1)</f>
        <v>14.8</v>
      </c>
      <c r="F86" s="384">
        <f>ROUND((F20-'21R2'!F20)/ABS('21R2'!F20)*100,1)</f>
        <v>37.6</v>
      </c>
      <c r="G86" s="384">
        <f>ROUND((G20-'21R2'!G20)/ABS('21R2'!G20)*100,1)</f>
        <v>-11.7</v>
      </c>
      <c r="H86" s="384">
        <f>ROUND((H20-'21R2'!H20)/ABS('21R2'!H20)*100,1)</f>
        <v>37.700000000000003</v>
      </c>
      <c r="I86" s="384">
        <f>ROUND((I20-'21R2'!I20)/ABS('21R2'!I20)*100,1)</f>
        <v>91.7</v>
      </c>
      <c r="J86" s="384">
        <f>ROUND((J20-'21R2'!J20)/ABS('21R2'!J20)*100,1)</f>
        <v>20.5</v>
      </c>
      <c r="K86" s="384">
        <f>ROUND((K20-'21R2'!K20)/ABS('21R2'!K20)*100,1)</f>
        <v>21.2</v>
      </c>
      <c r="L86" s="384">
        <f>ROUND((L20-'21R2'!L20)/ABS('21R2'!L20)*100,1)</f>
        <v>43</v>
      </c>
      <c r="M86" s="384">
        <f>ROUND((M20-'21R2'!M20)/ABS('21R2'!M20)*100,1)</f>
        <v>77.2</v>
      </c>
      <c r="N86" s="384">
        <f>ROUND((N20-'21R2'!N20)/ABS('21R2'!N20)*100,1)</f>
        <v>43.3</v>
      </c>
      <c r="O86" s="384">
        <f>ROUND((O20-'21R2'!O20)/ABS('21R2'!O20)*100,1)</f>
        <v>31.8</v>
      </c>
      <c r="R86" s="383"/>
      <c r="S86" s="383"/>
    </row>
    <row r="87" spans="1:19">
      <c r="A87" s="293">
        <v>2</v>
      </c>
      <c r="B87" s="65" t="s">
        <v>186</v>
      </c>
      <c r="C87" s="384">
        <f>ROUND((C21-'21R2'!C21)/ABS('21R2'!C21)*100,1)</f>
        <v>27.9</v>
      </c>
      <c r="D87" s="384">
        <f>ROUND((D21-'21R2'!D21)/ABS('21R2'!D21)*100,1)</f>
        <v>18.5</v>
      </c>
      <c r="E87" s="384">
        <f>ROUND((E21-'21R2'!E21)/ABS('21R2'!E21)*100,1)</f>
        <v>12.6</v>
      </c>
      <c r="F87" s="384">
        <f>ROUND((F21-'21R2'!F21)/ABS('21R2'!F21)*100,1)</f>
        <v>37.1</v>
      </c>
      <c r="G87" s="384">
        <f>ROUND((G21-'21R2'!G21)/ABS('21R2'!G21)*100,1)</f>
        <v>41.6</v>
      </c>
      <c r="H87" s="384">
        <f>ROUND((H21-'21R2'!H21)/ABS('21R2'!H21)*100,1)</f>
        <v>29.6</v>
      </c>
      <c r="I87" s="384">
        <f>ROUND((I21-'21R2'!I21)/ABS('21R2'!I21)*100,1)</f>
        <v>91.8</v>
      </c>
      <c r="J87" s="384">
        <f>ROUND((J21-'21R2'!J21)/ABS('21R2'!J21)*100,1)</f>
        <v>410.6</v>
      </c>
      <c r="K87" s="384">
        <f>ROUND((K21-'21R2'!K21)/ABS('21R2'!K21)*100,1)</f>
        <v>31.8</v>
      </c>
      <c r="L87" s="384">
        <f>ROUND((L21-'21R2'!L21)/ABS('21R2'!L21)*100,1)</f>
        <v>-57.4</v>
      </c>
      <c r="M87" s="384">
        <f>ROUND((M21-'21R2'!M21)/ABS('21R2'!M21)*100,1)</f>
        <v>48.2</v>
      </c>
      <c r="N87" s="384">
        <f>ROUND((N21-'21R2'!N21)/ABS('21R2'!N21)*100,1)</f>
        <v>55.7</v>
      </c>
      <c r="O87" s="384">
        <f>ROUND((O21-'21R2'!O21)/ABS('21R2'!O21)*100,1)</f>
        <v>25.4</v>
      </c>
      <c r="R87" s="383"/>
      <c r="S87" s="383"/>
    </row>
    <row r="88" spans="1:19">
      <c r="A88" s="293">
        <v>207</v>
      </c>
      <c r="B88" s="90" t="s">
        <v>187</v>
      </c>
      <c r="C88" s="384">
        <f>ROUND((C22-'21R2'!C22)/ABS('21R2'!C22)*100,1)</f>
        <v>12.6</v>
      </c>
      <c r="D88" s="384">
        <f>ROUND((D22-'21R2'!D22)/ABS('21R2'!D22)*100,1)</f>
        <v>18.399999999999999</v>
      </c>
      <c r="E88" s="384">
        <f>ROUND((E22-'21R2'!E22)/ABS('21R2'!E22)*100,1)</f>
        <v>11.5</v>
      </c>
      <c r="F88" s="384">
        <f>ROUND((F22-'21R2'!F22)/ABS('21R2'!F22)*100,1)</f>
        <v>43.2</v>
      </c>
      <c r="G88" s="384">
        <f>ROUND((G22-'21R2'!G22)/ABS('21R2'!G22)*100,1)</f>
        <v>17.8</v>
      </c>
      <c r="H88" s="384">
        <f>ROUND((H22-'21R2'!H22)/ABS('21R2'!H22)*100,1)</f>
        <v>41.9</v>
      </c>
      <c r="I88" s="384">
        <f>ROUND((I22-'21R2'!I22)/ABS('21R2'!I22)*100,1)</f>
        <v>91.7</v>
      </c>
      <c r="J88" s="384">
        <f>ROUND((J22-'21R2'!J22)/ABS('21R2'!J22)*100,1)</f>
        <v>22.8</v>
      </c>
      <c r="K88" s="384">
        <f>ROUND((K22-'21R2'!K22)/ABS('21R2'!K22)*100,1)</f>
        <v>23.3</v>
      </c>
      <c r="L88" s="384">
        <f>ROUND((L22-'21R2'!L22)/ABS('21R2'!L22)*100,1)</f>
        <v>-320.7</v>
      </c>
      <c r="M88" s="384">
        <f>ROUND((M22-'21R2'!M22)/ABS('21R2'!M22)*100,1)</f>
        <v>30.5</v>
      </c>
      <c r="N88" s="384">
        <f>ROUND((N22-'21R2'!N22)/ABS('21R2'!N22)*100,1)</f>
        <v>45.6</v>
      </c>
      <c r="O88" s="384">
        <f>ROUND((O22-'21R2'!O22)/ABS('21R2'!O22)*100,1)</f>
        <v>3.1</v>
      </c>
      <c r="R88" s="383"/>
      <c r="S88" s="383"/>
    </row>
    <row r="89" spans="1:19">
      <c r="A89" s="293">
        <v>214</v>
      </c>
      <c r="B89" s="90" t="s">
        <v>188</v>
      </c>
      <c r="C89" s="384">
        <f>ROUND((C23-'21R2'!C23)/ABS('21R2'!C23)*100,1)</f>
        <v>47.6</v>
      </c>
      <c r="D89" s="384">
        <f>ROUND((D23-'21R2'!D23)/ABS('21R2'!D23)*100,1)</f>
        <v>17.7</v>
      </c>
      <c r="E89" s="384">
        <f>ROUND((E23-'21R2'!E23)/ABS('21R2'!E23)*100,1)</f>
        <v>10.199999999999999</v>
      </c>
      <c r="F89" s="384">
        <f>ROUND((F23-'21R2'!F23)/ABS('21R2'!F23)*100,1)</f>
        <v>47.5</v>
      </c>
      <c r="G89" s="384">
        <f>ROUND((G23-'21R2'!G23)/ABS('21R2'!G23)*100,1)</f>
        <v>40.1</v>
      </c>
      <c r="H89" s="384">
        <f>ROUND((H23-'21R2'!H23)/ABS('21R2'!H23)*100,1)</f>
        <v>39.1</v>
      </c>
      <c r="I89" s="384">
        <f>ROUND((I23-'21R2'!I23)/ABS('21R2'!I23)*100,1)</f>
        <v>91.8</v>
      </c>
      <c r="J89" s="384">
        <f>ROUND((J23-'21R2'!J23)/ABS('21R2'!J23)*100,1)</f>
        <v>65.5</v>
      </c>
      <c r="K89" s="384">
        <f>ROUND((K23-'21R2'!K23)/ABS('21R2'!K23)*100,1)</f>
        <v>21.8</v>
      </c>
      <c r="L89" s="384">
        <f>ROUND((L23-'21R2'!L23)/ABS('21R2'!L23)*100,1)</f>
        <v>32.200000000000003</v>
      </c>
      <c r="M89" s="384">
        <f>ROUND((M23-'21R2'!M23)/ABS('21R2'!M23)*100,1)</f>
        <v>74.3</v>
      </c>
      <c r="N89" s="384">
        <f>ROUND((N23-'21R2'!N23)/ABS('21R2'!N23)*100,1)</f>
        <v>44</v>
      </c>
      <c r="O89" s="384">
        <f>ROUND((O23-'21R2'!O23)/ABS('21R2'!O23)*100,1)</f>
        <v>19.2</v>
      </c>
      <c r="R89" s="383"/>
      <c r="S89" s="383"/>
    </row>
    <row r="90" spans="1:19">
      <c r="A90" s="293">
        <v>217</v>
      </c>
      <c r="B90" s="90" t="s">
        <v>189</v>
      </c>
      <c r="C90" s="384">
        <f>ROUND((C24-'21R2'!C24)/ABS('21R2'!C24)*100,1)</f>
        <v>40.200000000000003</v>
      </c>
      <c r="D90" s="384">
        <f>ROUND((D24-'21R2'!D24)/ABS('21R2'!D24)*100,1)</f>
        <v>18.2</v>
      </c>
      <c r="E90" s="384">
        <f>ROUND((E24-'21R2'!E24)/ABS('21R2'!E24)*100,1)</f>
        <v>14.1</v>
      </c>
      <c r="F90" s="384">
        <f>ROUND((F24-'21R2'!F24)/ABS('21R2'!F24)*100,1)</f>
        <v>15.2</v>
      </c>
      <c r="G90" s="384">
        <f>ROUND((G24-'21R2'!G24)/ABS('21R2'!G24)*100,1)</f>
        <v>13.1</v>
      </c>
      <c r="H90" s="384">
        <f>ROUND((H24-'21R2'!H24)/ABS('21R2'!H24)*100,1)</f>
        <v>9.6</v>
      </c>
      <c r="I90" s="384">
        <f>ROUND((I24-'21R2'!I24)/ABS('21R2'!I24)*100,1)</f>
        <v>92.1</v>
      </c>
      <c r="J90" s="384">
        <f>ROUND((J24-'21R2'!J24)/ABS('21R2'!J24)*100,1)</f>
        <v>-38.299999999999997</v>
      </c>
      <c r="K90" s="384">
        <f>ROUND((K24-'21R2'!K24)/ABS('21R2'!K24)*100,1)</f>
        <v>15.6</v>
      </c>
      <c r="L90" s="384">
        <f>ROUND((L24-'21R2'!L24)/ABS('21R2'!L24)*100,1)</f>
        <v>40.4</v>
      </c>
      <c r="M90" s="384">
        <f>ROUND((M24-'21R2'!M24)/ABS('21R2'!M24)*100,1)</f>
        <v>66.3</v>
      </c>
      <c r="N90" s="384">
        <f>ROUND((N24-'21R2'!N24)/ABS('21R2'!N24)*100,1)</f>
        <v>36.6</v>
      </c>
      <c r="O90" s="384">
        <f>ROUND((O24-'21R2'!O24)/ABS('21R2'!O24)*100,1)</f>
        <v>23.2</v>
      </c>
      <c r="R90" s="383"/>
      <c r="S90" s="383"/>
    </row>
    <row r="91" spans="1:19">
      <c r="A91" s="293">
        <v>219</v>
      </c>
      <c r="B91" s="90" t="s">
        <v>190</v>
      </c>
      <c r="C91" s="384">
        <f>ROUND((C25-'21R2'!C25)/ABS('21R2'!C25)*100,1)</f>
        <v>14.2</v>
      </c>
      <c r="D91" s="384">
        <f>ROUND((D25-'21R2'!D25)/ABS('21R2'!D25)*100,1)</f>
        <v>20.2</v>
      </c>
      <c r="E91" s="384">
        <f>ROUND((E25-'21R2'!E25)/ABS('21R2'!E25)*100,1)</f>
        <v>16.100000000000001</v>
      </c>
      <c r="F91" s="384">
        <f>ROUND((F25-'21R2'!F25)/ABS('21R2'!F25)*100,1)</f>
        <v>36.700000000000003</v>
      </c>
      <c r="G91" s="384">
        <f>ROUND((G25-'21R2'!G25)/ABS('21R2'!G25)*100,1)</f>
        <v>227.4</v>
      </c>
      <c r="H91" s="384">
        <f>ROUND((H25-'21R2'!H25)/ABS('21R2'!H25)*100,1)</f>
        <v>18.5</v>
      </c>
      <c r="I91" s="384">
        <f>ROUND((I25-'21R2'!I25)/ABS('21R2'!I25)*100,1)</f>
        <v>91.7</v>
      </c>
      <c r="J91" s="384">
        <f>ROUND((J25-'21R2'!J25)/ABS('21R2'!J25)*100,1)</f>
        <v>136</v>
      </c>
      <c r="K91" s="384">
        <f>ROUND((K25-'21R2'!K25)/ABS('21R2'!K25)*100,1)</f>
        <v>26.5</v>
      </c>
      <c r="L91" s="384">
        <f>ROUND((L25-'21R2'!L25)/ABS('21R2'!L25)*100,1)</f>
        <v>-44.1</v>
      </c>
      <c r="M91" s="384">
        <f>ROUND((M25-'21R2'!M25)/ABS('21R2'!M25)*100,1)</f>
        <v>27.7</v>
      </c>
      <c r="N91" s="384">
        <f>ROUND((N25-'21R2'!N25)/ABS('21R2'!N25)*100,1)</f>
        <v>49.4</v>
      </c>
      <c r="O91" s="384">
        <f>ROUND((O25-'21R2'!O25)/ABS('21R2'!O25)*100,1)</f>
        <v>133.4</v>
      </c>
      <c r="R91" s="383"/>
      <c r="S91" s="383"/>
    </row>
    <row r="92" spans="1:19">
      <c r="A92" s="293">
        <v>301</v>
      </c>
      <c r="B92" s="90" t="s">
        <v>191</v>
      </c>
      <c r="C92" s="384">
        <f>ROUND((C26-'21R2'!C26)/ABS('21R2'!C26)*100,1)</f>
        <v>82.1</v>
      </c>
      <c r="D92" s="384">
        <f>ROUND((D26-'21R2'!D26)/ABS('21R2'!D26)*100,1)</f>
        <v>20.5</v>
      </c>
      <c r="E92" s="384">
        <f>ROUND((E26-'21R2'!E26)/ABS('21R2'!E26)*100,1)</f>
        <v>16.899999999999999</v>
      </c>
      <c r="F92" s="384">
        <f>ROUND((F26-'21R2'!F26)/ABS('21R2'!F26)*100,1)</f>
        <v>43.9</v>
      </c>
      <c r="G92" s="384">
        <f>ROUND((G26-'21R2'!G26)/ABS('21R2'!G26)*100,1)</f>
        <v>41.7</v>
      </c>
      <c r="H92" s="384">
        <f>ROUND((H26-'21R2'!H26)/ABS('21R2'!H26)*100,1)</f>
        <v>34.9</v>
      </c>
      <c r="I92" s="384">
        <f>ROUND((I26-'21R2'!I26)/ABS('21R2'!I26)*100,1)</f>
        <v>91.6</v>
      </c>
      <c r="J92" s="384">
        <f>ROUND((J26-'21R2'!J26)/ABS('21R2'!J26)*100,1)</f>
        <v>6277.1</v>
      </c>
      <c r="K92" s="384">
        <f>ROUND((K26-'21R2'!K26)/ABS('21R2'!K26)*100,1)</f>
        <v>289.89999999999998</v>
      </c>
      <c r="L92" s="384">
        <f>ROUND((L26-'21R2'!L26)/ABS('21R2'!L26)*100,1)</f>
        <v>-792.6</v>
      </c>
      <c r="M92" s="384">
        <f>ROUND((M26-'21R2'!M26)/ABS('21R2'!M26)*100,1)</f>
        <v>79.2</v>
      </c>
      <c r="N92" s="384">
        <f>ROUND((N26-'21R2'!N26)/ABS('21R2'!N26)*100,1)</f>
        <v>360.7</v>
      </c>
      <c r="O92" s="384">
        <f>ROUND((O26-'21R2'!O26)/ABS('21R2'!O26)*100,1)</f>
        <v>16</v>
      </c>
      <c r="R92" s="383"/>
      <c r="S92" s="383"/>
    </row>
    <row r="93" spans="1:19">
      <c r="A93" s="293">
        <v>3</v>
      </c>
      <c r="B93" s="65" t="s">
        <v>192</v>
      </c>
      <c r="C93" s="384">
        <f>ROUND((C27-'21R2'!C27)/ABS('21R2'!C27)*100,1)</f>
        <v>8.6999999999999993</v>
      </c>
      <c r="D93" s="384">
        <f>ROUND((D27-'21R2'!D27)/ABS('21R2'!D27)*100,1)</f>
        <v>20.3</v>
      </c>
      <c r="E93" s="384">
        <f>ROUND((E27-'21R2'!E27)/ABS('21R2'!E27)*100,1)</f>
        <v>16.5</v>
      </c>
      <c r="F93" s="384">
        <f>ROUND((F27-'21R2'!F27)/ABS('21R2'!F27)*100,1)</f>
        <v>41.5</v>
      </c>
      <c r="G93" s="384">
        <f>ROUND((G27-'21R2'!G27)/ABS('21R2'!G27)*100,1)</f>
        <v>19.5</v>
      </c>
      <c r="H93" s="384">
        <f>ROUND((H27-'21R2'!H27)/ABS('21R2'!H27)*100,1)</f>
        <v>40</v>
      </c>
      <c r="I93" s="384">
        <f>ROUND((I27-'21R2'!I27)/ABS('21R2'!I27)*100,1)</f>
        <v>91.7</v>
      </c>
      <c r="J93" s="384">
        <f>ROUND((J27-'21R2'!J27)/ABS('21R2'!J27)*100,1)</f>
        <v>-24.1</v>
      </c>
      <c r="K93" s="384">
        <f>ROUND((K27-'21R2'!K27)/ABS('21R2'!K27)*100,1)</f>
        <v>23.5</v>
      </c>
      <c r="L93" s="384">
        <f>ROUND((L27-'21R2'!L27)/ABS('21R2'!L27)*100,1)</f>
        <v>-128.9</v>
      </c>
      <c r="M93" s="384">
        <f>ROUND((M27-'21R2'!M27)/ABS('21R2'!M27)*100,1)</f>
        <v>29.4</v>
      </c>
      <c r="N93" s="384">
        <f>ROUND((N27-'21R2'!N27)/ABS('21R2'!N27)*100,1)</f>
        <v>46</v>
      </c>
      <c r="O93" s="384">
        <f>ROUND((O27-'21R2'!O27)/ABS('21R2'!O27)*100,1)</f>
        <v>-1049.8</v>
      </c>
      <c r="R93" s="383"/>
      <c r="S93" s="383"/>
    </row>
    <row r="94" spans="1:19">
      <c r="A94" s="293">
        <v>203</v>
      </c>
      <c r="B94" s="90" t="s">
        <v>193</v>
      </c>
      <c r="C94" s="384">
        <f>ROUND((C28-'21R2'!C28)/ABS('21R2'!C28)*100,1)</f>
        <v>9.1</v>
      </c>
      <c r="D94" s="384">
        <f>ROUND((D28-'21R2'!D28)/ABS('21R2'!D28)*100,1)</f>
        <v>19.899999999999999</v>
      </c>
      <c r="E94" s="384">
        <f>ROUND((E28-'21R2'!E28)/ABS('21R2'!E28)*100,1)</f>
        <v>13.2</v>
      </c>
      <c r="F94" s="384">
        <f>ROUND((F28-'21R2'!F28)/ABS('21R2'!F28)*100,1)</f>
        <v>57.2</v>
      </c>
      <c r="G94" s="384">
        <f>ROUND((G28-'21R2'!G28)/ABS('21R2'!G28)*100,1)</f>
        <v>23.5</v>
      </c>
      <c r="H94" s="384">
        <f>ROUND((H28-'21R2'!H28)/ABS('21R2'!H28)*100,1)</f>
        <v>59.1</v>
      </c>
      <c r="I94" s="384">
        <f>ROUND((I28-'21R2'!I28)/ABS('21R2'!I28)*100,1)</f>
        <v>91.6</v>
      </c>
      <c r="J94" s="384">
        <f>ROUND((J28-'21R2'!J28)/ABS('21R2'!J28)*100,1)</f>
        <v>27.2</v>
      </c>
      <c r="K94" s="384">
        <f>ROUND((K28-'21R2'!K28)/ABS('21R2'!K28)*100,1)</f>
        <v>27.1</v>
      </c>
      <c r="L94" s="384">
        <f>ROUND((L28-'21R2'!L28)/ABS('21R2'!L28)*100,1)</f>
        <v>-186.7</v>
      </c>
      <c r="M94" s="384">
        <f>ROUND((M28-'21R2'!M28)/ABS('21R2'!M28)*100,1)</f>
        <v>33.1</v>
      </c>
      <c r="N94" s="384">
        <f>ROUND((N28-'21R2'!N28)/ABS('21R2'!N28)*100,1)</f>
        <v>50.2</v>
      </c>
      <c r="O94" s="384">
        <f>ROUND((O28-'21R2'!O28)/ABS('21R2'!O28)*100,1)</f>
        <v>-1493.5</v>
      </c>
      <c r="R94" s="383"/>
      <c r="S94" s="383"/>
    </row>
    <row r="95" spans="1:19">
      <c r="A95" s="293">
        <v>210</v>
      </c>
      <c r="B95" s="90" t="s">
        <v>194</v>
      </c>
      <c r="C95" s="384">
        <f>ROUND((C29-'21R2'!C29)/ABS('21R2'!C29)*100,1)</f>
        <v>23.7</v>
      </c>
      <c r="D95" s="384">
        <f>ROUND((D29-'21R2'!D29)/ABS('21R2'!D29)*100,1)</f>
        <v>19.100000000000001</v>
      </c>
      <c r="E95" s="384">
        <f>ROUND((E29-'21R2'!E29)/ABS('21R2'!E29)*100,1)</f>
        <v>15.5</v>
      </c>
      <c r="F95" s="384">
        <f>ROUND((F29-'21R2'!F29)/ABS('21R2'!F29)*100,1)</f>
        <v>9.9</v>
      </c>
      <c r="G95" s="384">
        <f>ROUND((G29-'21R2'!G29)/ABS('21R2'!G29)*100,1)</f>
        <v>10.8</v>
      </c>
      <c r="H95" s="384">
        <f>ROUND((H29-'21R2'!H29)/ABS('21R2'!H29)*100,1)</f>
        <v>6.5</v>
      </c>
      <c r="I95" s="384">
        <f>ROUND((I29-'21R2'!I29)/ABS('21R2'!I29)*100,1)</f>
        <v>92.3</v>
      </c>
      <c r="J95" s="384">
        <f>ROUND((J29-'21R2'!J29)/ABS('21R2'!J29)*100,1)</f>
        <v>-62.1</v>
      </c>
      <c r="K95" s="384">
        <f>ROUND((K29-'21R2'!K29)/ABS('21R2'!K29)*100,1)</f>
        <v>13.1</v>
      </c>
      <c r="L95" s="384">
        <f>ROUND((L29-'21R2'!L29)/ABS('21R2'!L29)*100,1)</f>
        <v>59.1</v>
      </c>
      <c r="M95" s="384">
        <f>ROUND((M29-'21R2'!M29)/ABS('21R2'!M29)*100,1)</f>
        <v>46.7</v>
      </c>
      <c r="N95" s="384">
        <f>ROUND((N29-'21R2'!N29)/ABS('21R2'!N29)*100,1)</f>
        <v>33.6</v>
      </c>
      <c r="O95" s="384">
        <f>ROUND((O29-'21R2'!O29)/ABS('21R2'!O29)*100,1)</f>
        <v>17.899999999999999</v>
      </c>
      <c r="R95" s="383"/>
      <c r="S95" s="383"/>
    </row>
    <row r="96" spans="1:19">
      <c r="A96" s="293">
        <v>216</v>
      </c>
      <c r="B96" s="90" t="s">
        <v>195</v>
      </c>
      <c r="C96" s="384">
        <f>ROUND((C30-'21R2'!C30)/ABS('21R2'!C30)*100,1)</f>
        <v>-8.9</v>
      </c>
      <c r="D96" s="384">
        <f>ROUND((D30-'21R2'!D30)/ABS('21R2'!D30)*100,1)</f>
        <v>20.6</v>
      </c>
      <c r="E96" s="384">
        <f>ROUND((E30-'21R2'!E30)/ABS('21R2'!E30)*100,1)</f>
        <v>27</v>
      </c>
      <c r="F96" s="384">
        <f>ROUND((F30-'21R2'!F30)/ABS('21R2'!F30)*100,1)</f>
        <v>62.6</v>
      </c>
      <c r="G96" s="384">
        <f>ROUND((G30-'21R2'!G30)/ABS('21R2'!G30)*100,1)</f>
        <v>27.5</v>
      </c>
      <c r="H96" s="384">
        <f>ROUND((H30-'21R2'!H30)/ABS('21R2'!H30)*100,1)</f>
        <v>60.8</v>
      </c>
      <c r="I96" s="384">
        <f>ROUND((I30-'21R2'!I30)/ABS('21R2'!I30)*100,1)</f>
        <v>91.2</v>
      </c>
      <c r="J96" s="384">
        <f>ROUND((J30-'21R2'!J30)/ABS('21R2'!J30)*100,1)</f>
        <v>-24.1</v>
      </c>
      <c r="K96" s="384">
        <f>ROUND((K30-'21R2'!K30)/ABS('21R2'!K30)*100,1)</f>
        <v>31.3</v>
      </c>
      <c r="L96" s="384">
        <f>ROUND((L30-'21R2'!L30)/ABS('21R2'!L30)*100,1)</f>
        <v>-102.5</v>
      </c>
      <c r="M96" s="384">
        <f>ROUND((M30-'21R2'!M30)/ABS('21R2'!M30)*100,1)</f>
        <v>6.4</v>
      </c>
      <c r="N96" s="384">
        <f>ROUND((N30-'21R2'!N30)/ABS('21R2'!N30)*100,1)</f>
        <v>55.1</v>
      </c>
      <c r="O96" s="384">
        <f>ROUND((O30-'21R2'!O30)/ABS('21R2'!O30)*100,1)</f>
        <v>-89.8</v>
      </c>
      <c r="R96" s="383"/>
      <c r="S96" s="383"/>
    </row>
    <row r="97" spans="1:19">
      <c r="A97" s="293">
        <v>381</v>
      </c>
      <c r="B97" s="90" t="s">
        <v>196</v>
      </c>
      <c r="C97" s="384">
        <f>ROUND((C31-'21R2'!C31)/ABS('21R2'!C31)*100,1)</f>
        <v>4.5999999999999996</v>
      </c>
      <c r="D97" s="384">
        <f>ROUND((D31-'21R2'!D31)/ABS('21R2'!D31)*100,1)</f>
        <v>27.1</v>
      </c>
      <c r="E97" s="384">
        <f>ROUND((E31-'21R2'!E31)/ABS('21R2'!E31)*100,1)</f>
        <v>21.3</v>
      </c>
      <c r="F97" s="384">
        <f>ROUND((F31-'21R2'!F31)/ABS('21R2'!F31)*100,1)</f>
        <v>88.1</v>
      </c>
      <c r="G97" s="384">
        <f>ROUND((G31-'21R2'!G31)/ABS('21R2'!G31)*100,1)</f>
        <v>16.8</v>
      </c>
      <c r="H97" s="384">
        <f>ROUND((H31-'21R2'!H31)/ABS('21R2'!H31)*100,1)</f>
        <v>93.9</v>
      </c>
      <c r="I97" s="384">
        <f>ROUND((I31-'21R2'!I31)/ABS('21R2'!I31)*100,1)</f>
        <v>90.4</v>
      </c>
      <c r="J97" s="384">
        <f>ROUND((J31-'21R2'!J31)/ABS('21R2'!J31)*100,1)</f>
        <v>-22.6</v>
      </c>
      <c r="K97" s="384">
        <f>ROUND((K31-'21R2'!K31)/ABS('21R2'!K31)*100,1)</f>
        <v>36.4</v>
      </c>
      <c r="L97" s="384">
        <f>ROUND((L31-'21R2'!L31)/ABS('21R2'!L31)*100,1)</f>
        <v>-48.3</v>
      </c>
      <c r="M97" s="384">
        <f>ROUND((M31-'21R2'!M31)/ABS('21R2'!M31)*100,1)</f>
        <v>19.7</v>
      </c>
      <c r="N97" s="384">
        <f>ROUND((N31-'21R2'!N31)/ABS('21R2'!N31)*100,1)</f>
        <v>61.2</v>
      </c>
      <c r="O97" s="384">
        <f>ROUND((O31-'21R2'!O31)/ABS('21R2'!O31)*100,1)</f>
        <v>-49.6</v>
      </c>
      <c r="R97" s="383"/>
      <c r="S97" s="383"/>
    </row>
    <row r="98" spans="1:19">
      <c r="A98" s="293">
        <v>382</v>
      </c>
      <c r="B98" s="90" t="s">
        <v>197</v>
      </c>
      <c r="C98" s="384">
        <f>ROUND((C32-'21R2'!C32)/ABS('21R2'!C32)*100,1)</f>
        <v>-2.6</v>
      </c>
      <c r="D98" s="384">
        <f>ROUND((D32-'21R2'!D32)/ABS('21R2'!D32)*100,1)</f>
        <v>26</v>
      </c>
      <c r="E98" s="384">
        <f>ROUND((E32-'21R2'!E32)/ABS('21R2'!E32)*100,1)</f>
        <v>22.1</v>
      </c>
      <c r="F98" s="384">
        <f>ROUND((F32-'21R2'!F32)/ABS('21R2'!F32)*100,1)</f>
        <v>93.2</v>
      </c>
      <c r="G98" s="384">
        <f>ROUND((G32-'21R2'!G32)/ABS('21R2'!G32)*100,1)</f>
        <v>17.600000000000001</v>
      </c>
      <c r="H98" s="384">
        <f>ROUND((H32-'21R2'!H32)/ABS('21R2'!H32)*100,1)</f>
        <v>105.6</v>
      </c>
      <c r="I98" s="384">
        <f>ROUND((I32-'21R2'!I32)/ABS('21R2'!I32)*100,1)</f>
        <v>90.3</v>
      </c>
      <c r="J98" s="384">
        <f>ROUND((J32-'21R2'!J32)/ABS('21R2'!J32)*100,1)</f>
        <v>-34.299999999999997</v>
      </c>
      <c r="K98" s="384">
        <f>ROUND((K32-'21R2'!K32)/ABS('21R2'!K32)*100,1)</f>
        <v>39.799999999999997</v>
      </c>
      <c r="L98" s="384">
        <f>ROUND((L32-'21R2'!L32)/ABS('21R2'!L32)*100,1)</f>
        <v>-66.3</v>
      </c>
      <c r="M98" s="384">
        <f>ROUND((M32-'21R2'!M32)/ABS('21R2'!M32)*100,1)</f>
        <v>7.3</v>
      </c>
      <c r="N98" s="384">
        <f>ROUND((N32-'21R2'!N32)/ABS('21R2'!N32)*100,1)</f>
        <v>65.2</v>
      </c>
      <c r="O98" s="384">
        <f>ROUND((O32-'21R2'!O32)/ABS('21R2'!O32)*100,1)</f>
        <v>-18.8</v>
      </c>
      <c r="R98" s="383"/>
      <c r="S98" s="383"/>
    </row>
    <row r="99" spans="1:19">
      <c r="A99" s="293">
        <v>4</v>
      </c>
      <c r="B99" s="91" t="s">
        <v>198</v>
      </c>
      <c r="C99" s="384">
        <f>ROUND((C33-'21R2'!C33)/ABS('21R2'!C33)*100,1)</f>
        <v>1.8</v>
      </c>
      <c r="D99" s="384">
        <f>ROUND((D33-'21R2'!D33)/ABS('21R2'!D33)*100,1)</f>
        <v>22.6</v>
      </c>
      <c r="E99" s="384">
        <f>ROUND((E33-'21R2'!E33)/ABS('21R2'!E33)*100,1)</f>
        <v>12.7</v>
      </c>
      <c r="F99" s="384">
        <f>ROUND((F33-'21R2'!F33)/ABS('21R2'!F33)*100,1)</f>
        <v>56.2</v>
      </c>
      <c r="G99" s="384">
        <f>ROUND((G33-'21R2'!G33)/ABS('21R2'!G33)*100,1)</f>
        <v>3.6</v>
      </c>
      <c r="H99" s="384">
        <f>ROUND((H33-'21R2'!H33)/ABS('21R2'!H33)*100,1)</f>
        <v>56.5</v>
      </c>
      <c r="I99" s="384">
        <f>ROUND((I33-'21R2'!I33)/ABS('21R2'!I33)*100,1)</f>
        <v>91.2</v>
      </c>
      <c r="J99" s="384">
        <f>ROUND((J33-'21R2'!J33)/ABS('21R2'!J33)*100,1)</f>
        <v>-2.1</v>
      </c>
      <c r="K99" s="384">
        <f>ROUND((K33-'21R2'!K33)/ABS('21R2'!K33)*100,1)</f>
        <v>26.9</v>
      </c>
      <c r="L99" s="384">
        <f>ROUND((L33-'21R2'!L33)/ABS('21R2'!L33)*100,1)</f>
        <v>-57.5</v>
      </c>
      <c r="M99" s="384">
        <f>ROUND((M33-'21R2'!M33)/ABS('21R2'!M33)*100,1)</f>
        <v>17.399999999999999</v>
      </c>
      <c r="N99" s="384">
        <f>ROUND((N33-'21R2'!N33)/ABS('21R2'!N33)*100,1)</f>
        <v>49.9</v>
      </c>
      <c r="O99" s="384">
        <f>ROUND((O33-'21R2'!O33)/ABS('21R2'!O33)*100,1)</f>
        <v>-86.5</v>
      </c>
      <c r="R99" s="383"/>
      <c r="S99" s="383"/>
    </row>
    <row r="100" spans="1:19">
      <c r="A100" s="293">
        <v>213</v>
      </c>
      <c r="B100" s="92" t="s">
        <v>231</v>
      </c>
      <c r="C100" s="384">
        <f>ROUND((C34-'21R2'!C34)/ABS('21R2'!C34)*100,1)</f>
        <v>12.6</v>
      </c>
      <c r="D100" s="384">
        <f>ROUND((D34-'21R2'!D34)/ABS('21R2'!D34)*100,1)</f>
        <v>20.7</v>
      </c>
      <c r="E100" s="384">
        <f>ROUND((E34-'21R2'!E34)/ABS('21R2'!E34)*100,1)</f>
        <v>20.399999999999999</v>
      </c>
      <c r="F100" s="384">
        <f>ROUND((F34-'21R2'!F34)/ABS('21R2'!F34)*100,1)</f>
        <v>41.4</v>
      </c>
      <c r="G100" s="384">
        <f>ROUND((G34-'21R2'!G34)/ABS('21R2'!G34)*100,1)</f>
        <v>-21.4</v>
      </c>
      <c r="H100" s="384">
        <f>ROUND((H34-'21R2'!H34)/ABS('21R2'!H34)*100,1)</f>
        <v>42.4</v>
      </c>
      <c r="I100" s="384">
        <f>ROUND((I34-'21R2'!I34)/ABS('21R2'!I34)*100,1)</f>
        <v>92.2</v>
      </c>
      <c r="J100" s="384">
        <f>ROUND((J34-'21R2'!J34)/ABS('21R2'!J34)*100,1)</f>
        <v>-88.4</v>
      </c>
      <c r="K100" s="384">
        <f>ROUND((K34-'21R2'!K34)/ABS('21R2'!K34)*100,1)</f>
        <v>7.3</v>
      </c>
      <c r="L100" s="384">
        <f>ROUND((L34-'21R2'!L34)/ABS('21R2'!L34)*100,1)</f>
        <v>84.3</v>
      </c>
      <c r="M100" s="384">
        <f>ROUND((M34-'21R2'!M34)/ABS('21R2'!M34)*100,1)</f>
        <v>30.3</v>
      </c>
      <c r="N100" s="384">
        <f>ROUND((N34-'21R2'!N34)/ABS('21R2'!N34)*100,1)</f>
        <v>26.8</v>
      </c>
      <c r="O100" s="384">
        <f>ROUND((O34-'21R2'!O34)/ABS('21R2'!O34)*100,1)</f>
        <v>63.9</v>
      </c>
      <c r="R100" s="383"/>
      <c r="S100" s="383"/>
    </row>
    <row r="101" spans="1:19">
      <c r="A101" s="293">
        <v>215</v>
      </c>
      <c r="B101" s="92" t="s">
        <v>232</v>
      </c>
      <c r="C101" s="384">
        <f>ROUND((C35-'21R2'!C35)/ABS('21R2'!C35)*100,1)</f>
        <v>6</v>
      </c>
      <c r="D101" s="384">
        <f>ROUND((D35-'21R2'!D35)/ABS('21R2'!D35)*100,1)</f>
        <v>20.9</v>
      </c>
      <c r="E101" s="384">
        <f>ROUND((E35-'21R2'!E35)/ABS('21R2'!E35)*100,1)</f>
        <v>9.3000000000000007</v>
      </c>
      <c r="F101" s="384">
        <f>ROUND((F35-'21R2'!F35)/ABS('21R2'!F35)*100,1)</f>
        <v>51.8</v>
      </c>
      <c r="G101" s="384">
        <f>ROUND((G35-'21R2'!G35)/ABS('21R2'!G35)*100,1)</f>
        <v>8</v>
      </c>
      <c r="H101" s="384">
        <f>ROUND((H35-'21R2'!H35)/ABS('21R2'!H35)*100,1)</f>
        <v>51.4</v>
      </c>
      <c r="I101" s="384">
        <f>ROUND((I35-'21R2'!I35)/ABS('21R2'!I35)*100,1)</f>
        <v>91.4</v>
      </c>
      <c r="J101" s="384">
        <f>ROUND((J35-'21R2'!J35)/ABS('21R2'!J35)*100,1)</f>
        <v>4.8</v>
      </c>
      <c r="K101" s="384">
        <f>ROUND((K35-'21R2'!K35)/ABS('21R2'!K35)*100,1)</f>
        <v>24.3</v>
      </c>
      <c r="L101" s="384">
        <f>ROUND((L35-'21R2'!L35)/ABS('21R2'!L35)*100,1)</f>
        <v>-60.5</v>
      </c>
      <c r="M101" s="384">
        <f>ROUND((M35-'21R2'!M35)/ABS('21R2'!M35)*100,1)</f>
        <v>22.4</v>
      </c>
      <c r="N101" s="384">
        <f>ROUND((N35-'21R2'!N35)/ABS('21R2'!N35)*100,1)</f>
        <v>46.9</v>
      </c>
      <c r="O101" s="384">
        <f>ROUND((O35-'21R2'!O35)/ABS('21R2'!O35)*100,1)</f>
        <v>-157</v>
      </c>
      <c r="R101" s="383"/>
      <c r="S101" s="383"/>
    </row>
    <row r="102" spans="1:19">
      <c r="A102" s="293">
        <v>218</v>
      </c>
      <c r="B102" s="90" t="s">
        <v>200</v>
      </c>
      <c r="C102" s="384">
        <f>ROUND((C36-'21R2'!C36)/ABS('21R2'!C36)*100,1)</f>
        <v>3.7</v>
      </c>
      <c r="D102" s="384">
        <f>ROUND((D36-'21R2'!D36)/ABS('21R2'!D36)*100,1)</f>
        <v>25</v>
      </c>
      <c r="E102" s="384">
        <f>ROUND((E36-'21R2'!E36)/ABS('21R2'!E36)*100,1)</f>
        <v>10.6</v>
      </c>
      <c r="F102" s="384">
        <f>ROUND((F36-'21R2'!F36)/ABS('21R2'!F36)*100,1)</f>
        <v>63</v>
      </c>
      <c r="G102" s="384">
        <f>ROUND((G36-'21R2'!G36)/ABS('21R2'!G36)*100,1)</f>
        <v>35.700000000000003</v>
      </c>
      <c r="H102" s="384">
        <f>ROUND((H36-'21R2'!H36)/ABS('21R2'!H36)*100,1)</f>
        <v>60.8</v>
      </c>
      <c r="I102" s="384">
        <f>ROUND((I36-'21R2'!I36)/ABS('21R2'!I36)*100,1)</f>
        <v>90.8</v>
      </c>
      <c r="J102" s="384">
        <f>ROUND((J36-'21R2'!J36)/ABS('21R2'!J36)*100,1)</f>
        <v>105.5</v>
      </c>
      <c r="K102" s="384">
        <f>ROUND((K36-'21R2'!K36)/ABS('21R2'!K36)*100,1)</f>
        <v>35.700000000000003</v>
      </c>
      <c r="L102" s="384">
        <f>ROUND((L36-'21R2'!L36)/ABS('21R2'!L36)*100,1)</f>
        <v>-51</v>
      </c>
      <c r="M102" s="384">
        <f>ROUND((M36-'21R2'!M36)/ABS('21R2'!M36)*100,1)</f>
        <v>17.399999999999999</v>
      </c>
      <c r="N102" s="384">
        <f>ROUND((N36-'21R2'!N36)/ABS('21R2'!N36)*100,1)</f>
        <v>60.3</v>
      </c>
      <c r="O102" s="384">
        <f>ROUND((O36-'21R2'!O36)/ABS('21R2'!O36)*100,1)</f>
        <v>-42.3</v>
      </c>
      <c r="R102" s="383"/>
      <c r="S102" s="383"/>
    </row>
    <row r="103" spans="1:19">
      <c r="A103" s="293">
        <v>220</v>
      </c>
      <c r="B103" s="90" t="s">
        <v>201</v>
      </c>
      <c r="C103" s="384">
        <f>ROUND((C37-'21R2'!C37)/ABS('21R2'!C37)*100,1)</f>
        <v>0.4</v>
      </c>
      <c r="D103" s="384">
        <f>ROUND((D37-'21R2'!D37)/ABS('21R2'!D37)*100,1)</f>
        <v>23.3</v>
      </c>
      <c r="E103" s="384">
        <f>ROUND((E37-'21R2'!E37)/ABS('21R2'!E37)*100,1)</f>
        <v>20.2</v>
      </c>
      <c r="F103" s="384">
        <f>ROUND((F37-'21R2'!F37)/ABS('21R2'!F37)*100,1)</f>
        <v>92.4</v>
      </c>
      <c r="G103" s="384">
        <f>ROUND((G37-'21R2'!G37)/ABS('21R2'!G37)*100,1)</f>
        <v>20.5</v>
      </c>
      <c r="H103" s="384">
        <f>ROUND((H37-'21R2'!H37)/ABS('21R2'!H37)*100,1)</f>
        <v>92.1</v>
      </c>
      <c r="I103" s="384">
        <f>ROUND((I37-'21R2'!I37)/ABS('21R2'!I37)*100,1)</f>
        <v>90.6</v>
      </c>
      <c r="J103" s="384">
        <f>ROUND((J37-'21R2'!J37)/ABS('21R2'!J37)*100,1)</f>
        <v>44.5</v>
      </c>
      <c r="K103" s="384">
        <f>ROUND((K37-'21R2'!K37)/ABS('21R2'!K37)*100,1)</f>
        <v>38.6</v>
      </c>
      <c r="L103" s="384">
        <f>ROUND((L37-'21R2'!L37)/ABS('21R2'!L37)*100,1)</f>
        <v>-62.9</v>
      </c>
      <c r="M103" s="384">
        <f>ROUND((M37-'21R2'!M37)/ABS('21R2'!M37)*100,1)</f>
        <v>15.9</v>
      </c>
      <c r="N103" s="384">
        <f>ROUND((N37-'21R2'!N37)/ABS('21R2'!N37)*100,1)</f>
        <v>63.8</v>
      </c>
      <c r="O103" s="384">
        <f>ROUND((O37-'21R2'!O37)/ABS('21R2'!O37)*100,1)</f>
        <v>-87.5</v>
      </c>
      <c r="R103" s="383"/>
      <c r="S103" s="383"/>
    </row>
    <row r="104" spans="1:19">
      <c r="A104" s="293">
        <v>228</v>
      </c>
      <c r="B104" s="90" t="s">
        <v>239</v>
      </c>
      <c r="C104" s="384">
        <f>ROUND((C38-'21R2'!C38)/ABS('21R2'!C38)*100,1)</f>
        <v>-13.2</v>
      </c>
      <c r="D104" s="384">
        <f>ROUND((D38-'21R2'!D38)/ABS('21R2'!D38)*100,1)</f>
        <v>24.5</v>
      </c>
      <c r="E104" s="384">
        <f>ROUND((E38-'21R2'!E38)/ABS('21R2'!E38)*100,1)</f>
        <v>15.1</v>
      </c>
      <c r="F104" s="384">
        <f>ROUND((F38-'21R2'!F38)/ABS('21R2'!F38)*100,1)</f>
        <v>37</v>
      </c>
      <c r="G104" s="384">
        <f>ROUND((G38-'21R2'!G38)/ABS('21R2'!G38)*100,1)</f>
        <v>-26.7</v>
      </c>
      <c r="H104" s="384">
        <f>ROUND((H38-'21R2'!H38)/ABS('21R2'!H38)*100,1)</f>
        <v>40.1</v>
      </c>
      <c r="I104" s="384">
        <f>ROUND((I38-'21R2'!I38)/ABS('21R2'!I38)*100,1)</f>
        <v>90.9</v>
      </c>
      <c r="J104" s="384">
        <f>ROUND((J38-'21R2'!J38)/ABS('21R2'!J38)*100,1)</f>
        <v>-79.900000000000006</v>
      </c>
      <c r="K104" s="384">
        <f>ROUND((K38-'21R2'!K38)/ABS('21R2'!K38)*100,1)</f>
        <v>22.7</v>
      </c>
      <c r="L104" s="384">
        <f>ROUND((L38-'21R2'!L38)/ABS('21R2'!L38)*100,1)</f>
        <v>-62.6</v>
      </c>
      <c r="M104" s="384">
        <f>ROUND((M38-'21R2'!M38)/ABS('21R2'!M38)*100,1)</f>
        <v>1.7</v>
      </c>
      <c r="N104" s="384">
        <f>ROUND((N38-'21R2'!N38)/ABS('21R2'!N38)*100,1)</f>
        <v>45</v>
      </c>
      <c r="O104" s="384">
        <f>ROUND((O38-'21R2'!O38)/ABS('21R2'!O38)*100,1)</f>
        <v>-89.9</v>
      </c>
      <c r="R104" s="383"/>
      <c r="S104" s="383"/>
    </row>
    <row r="105" spans="1:19">
      <c r="A105" s="293">
        <v>365</v>
      </c>
      <c r="B105" s="90" t="s">
        <v>233</v>
      </c>
      <c r="C105" s="384">
        <f>ROUND((C39-'21R2'!C39)/ABS('21R2'!C39)*100,1)</f>
        <v>19.100000000000001</v>
      </c>
      <c r="D105" s="384">
        <f>ROUND((D39-'21R2'!D39)/ABS('21R2'!D39)*100,1)</f>
        <v>20.9</v>
      </c>
      <c r="E105" s="384">
        <f>ROUND((E39-'21R2'!E39)/ABS('21R2'!E39)*100,1)</f>
        <v>-1.1000000000000001</v>
      </c>
      <c r="F105" s="384">
        <f>ROUND((F39-'21R2'!F39)/ABS('21R2'!F39)*100,1)</f>
        <v>54.2</v>
      </c>
      <c r="G105" s="384">
        <f>ROUND((G39-'21R2'!G39)/ABS('21R2'!G39)*100,1)</f>
        <v>-33</v>
      </c>
      <c r="H105" s="384">
        <f>ROUND((H39-'21R2'!H39)/ABS('21R2'!H39)*100,1)</f>
        <v>52.5</v>
      </c>
      <c r="I105" s="384">
        <f>ROUND((I39-'21R2'!I39)/ABS('21R2'!I39)*100,1)</f>
        <v>91.5</v>
      </c>
      <c r="J105" s="384">
        <f>ROUND((J39-'21R2'!J39)/ABS('21R2'!J39)*100,1)</f>
        <v>561</v>
      </c>
      <c r="K105" s="384">
        <f>ROUND((K39-'21R2'!K39)/ABS('21R2'!K39)*100,1)</f>
        <v>41.3</v>
      </c>
      <c r="L105" s="384">
        <f>ROUND((L39-'21R2'!L39)/ABS('21R2'!L39)*100,1)</f>
        <v>-153.5</v>
      </c>
      <c r="M105" s="384">
        <f>ROUND((M39-'21R2'!M39)/ABS('21R2'!M39)*100,1)</f>
        <v>35.1</v>
      </c>
      <c r="N105" s="384">
        <f>ROUND((N39-'21R2'!N39)/ABS('21R2'!N39)*100,1)</f>
        <v>67</v>
      </c>
      <c r="O105" s="384">
        <f>ROUND((O39-'21R2'!O39)/ABS('21R2'!O39)*100,1)</f>
        <v>-19.8</v>
      </c>
      <c r="R105" s="383"/>
      <c r="S105" s="383"/>
    </row>
    <row r="106" spans="1:19">
      <c r="A106" s="293">
        <v>5</v>
      </c>
      <c r="B106" s="91" t="s">
        <v>202</v>
      </c>
      <c r="C106" s="384">
        <f>ROUND((C40-'21R2'!C40)/ABS('21R2'!C40)*100,1)</f>
        <v>6.8</v>
      </c>
      <c r="D106" s="384">
        <f>ROUND((D40-'21R2'!D40)/ABS('21R2'!D40)*100,1)</f>
        <v>9.9</v>
      </c>
      <c r="E106" s="384">
        <f>ROUND((E40-'21R2'!E40)/ABS('21R2'!E40)*100,1)</f>
        <v>19</v>
      </c>
      <c r="F106" s="384">
        <f>ROUND((F40-'21R2'!F40)/ABS('21R2'!F40)*100,1)</f>
        <v>20.100000000000001</v>
      </c>
      <c r="G106" s="384">
        <f>ROUND((G40-'21R2'!G40)/ABS('21R2'!G40)*100,1)</f>
        <v>0.3</v>
      </c>
      <c r="H106" s="384">
        <f>ROUND((H40-'21R2'!H40)/ABS('21R2'!H40)*100,1)</f>
        <v>19</v>
      </c>
      <c r="I106" s="384">
        <f>ROUND((I40-'21R2'!I40)/ABS('21R2'!I40)*100,1)</f>
        <v>92.4</v>
      </c>
      <c r="J106" s="384">
        <f>ROUND((J40-'21R2'!J40)/ABS('21R2'!J40)*100,1)</f>
        <v>-82.3</v>
      </c>
      <c r="K106" s="384">
        <f>ROUND((K40-'21R2'!K40)/ABS('21R2'!K40)*100,1)</f>
        <v>7.9</v>
      </c>
      <c r="L106" s="384">
        <f>ROUND((L40-'21R2'!L40)/ABS('21R2'!L40)*100,1)</f>
        <v>-1.2</v>
      </c>
      <c r="M106" s="384">
        <f>ROUND((M40-'21R2'!M40)/ABS('21R2'!M40)*100,1)</f>
        <v>25.8</v>
      </c>
      <c r="N106" s="384">
        <f>ROUND((N40-'21R2'!N40)/ABS('21R2'!N40)*100,1)</f>
        <v>27.5</v>
      </c>
      <c r="O106" s="384">
        <f>ROUND((O40-'21R2'!O40)/ABS('21R2'!O40)*100,1)</f>
        <v>-194.9</v>
      </c>
      <c r="R106" s="383"/>
      <c r="S106" s="383"/>
    </row>
    <row r="107" spans="1:19">
      <c r="A107" s="293">
        <v>201</v>
      </c>
      <c r="B107" s="92" t="s">
        <v>240</v>
      </c>
      <c r="C107" s="384">
        <f>ROUND((C41-'21R2'!C41)/ABS('21R2'!C41)*100,1)</f>
        <v>7.2</v>
      </c>
      <c r="D107" s="384">
        <f>ROUND((D41-'21R2'!D41)/ABS('21R2'!D41)*100,1)</f>
        <v>9</v>
      </c>
      <c r="E107" s="384">
        <f>ROUND((E41-'21R2'!E41)/ABS('21R2'!E41)*100,1)</f>
        <v>19.5</v>
      </c>
      <c r="F107" s="384">
        <f>ROUND((F41-'21R2'!F41)/ABS('21R2'!F41)*100,1)</f>
        <v>24.1</v>
      </c>
      <c r="G107" s="384">
        <f>ROUND((G41-'21R2'!G41)/ABS('21R2'!G41)*100,1)</f>
        <v>0.2</v>
      </c>
      <c r="H107" s="384">
        <f>ROUND((H41-'21R2'!H41)/ABS('21R2'!H41)*100,1)</f>
        <v>23.5</v>
      </c>
      <c r="I107" s="384">
        <f>ROUND((I41-'21R2'!I41)/ABS('21R2'!I41)*100,1)</f>
        <v>92.4</v>
      </c>
      <c r="J107" s="384">
        <f>ROUND((J41-'21R2'!J41)/ABS('21R2'!J41)*100,1)</f>
        <v>-96.5</v>
      </c>
      <c r="K107" s="384">
        <f>ROUND((K41-'21R2'!K41)/ABS('21R2'!K41)*100,1)</f>
        <v>7.3</v>
      </c>
      <c r="L107" s="384">
        <f>ROUND((L41-'21R2'!L41)/ABS('21R2'!L41)*100,1)</f>
        <v>6.8</v>
      </c>
      <c r="M107" s="384">
        <f>ROUND((M41-'21R2'!M41)/ABS('21R2'!M41)*100,1)</f>
        <v>26.8</v>
      </c>
      <c r="N107" s="384">
        <f>ROUND((N41-'21R2'!N41)/ABS('21R2'!N41)*100,1)</f>
        <v>26.8</v>
      </c>
      <c r="O107" s="384">
        <f>ROUND((O41-'21R2'!O41)/ABS('21R2'!O41)*100,1)</f>
        <v>-253</v>
      </c>
      <c r="R107" s="383"/>
      <c r="S107" s="383"/>
    </row>
    <row r="108" spans="1:19">
      <c r="A108" s="293">
        <v>442</v>
      </c>
      <c r="B108" s="90" t="s">
        <v>203</v>
      </c>
      <c r="C108" s="384">
        <f>ROUND((C42-'21R2'!C42)/ABS('21R2'!C42)*100,1)</f>
        <v>29.1</v>
      </c>
      <c r="D108" s="384">
        <f>ROUND((D42-'21R2'!D42)/ABS('21R2'!D42)*100,1)</f>
        <v>19</v>
      </c>
      <c r="E108" s="384">
        <f>ROUND((E42-'21R2'!E42)/ABS('21R2'!E42)*100,1)</f>
        <v>10.3</v>
      </c>
      <c r="F108" s="384">
        <f>ROUND((F42-'21R2'!F42)/ABS('21R2'!F42)*100,1)</f>
        <v>76.5</v>
      </c>
      <c r="G108" s="384">
        <f>ROUND((G42-'21R2'!G42)/ABS('21R2'!G42)*100,1)</f>
        <v>74.8</v>
      </c>
      <c r="H108" s="384">
        <f>ROUND((H42-'21R2'!H42)/ABS('21R2'!H42)*100,1)</f>
        <v>67.7</v>
      </c>
      <c r="I108" s="384">
        <f>ROUND((I42-'21R2'!I42)/ABS('21R2'!I42)*100,1)</f>
        <v>91.4</v>
      </c>
      <c r="J108" s="384">
        <f>ROUND((J42-'21R2'!J42)/ABS('21R2'!J42)*100,1)</f>
        <v>95.9</v>
      </c>
      <c r="K108" s="384">
        <f>ROUND((K42-'21R2'!K42)/ABS('21R2'!K42)*100,1)</f>
        <v>31.8</v>
      </c>
      <c r="L108" s="384">
        <f>ROUND((L42-'21R2'!L42)/ABS('21R2'!L42)*100,1)</f>
        <v>-103.5</v>
      </c>
      <c r="M108" s="384">
        <f>ROUND((M42-'21R2'!M42)/ABS('21R2'!M42)*100,1)</f>
        <v>46.4</v>
      </c>
      <c r="N108" s="384">
        <f>ROUND((N42-'21R2'!N42)/ABS('21R2'!N42)*100,1)</f>
        <v>55.8</v>
      </c>
      <c r="O108" s="384">
        <f>ROUND((O42-'21R2'!O42)/ABS('21R2'!O42)*100,1)</f>
        <v>22.8</v>
      </c>
      <c r="R108" s="383"/>
      <c r="S108" s="383"/>
    </row>
    <row r="109" spans="1:19">
      <c r="A109" s="293">
        <v>443</v>
      </c>
      <c r="B109" s="90" t="s">
        <v>204</v>
      </c>
      <c r="C109" s="384">
        <f>ROUND((C43-'21R2'!C43)/ABS('21R2'!C43)*100,1)</f>
        <v>-13.4</v>
      </c>
      <c r="D109" s="384">
        <f>ROUND((D43-'21R2'!D43)/ABS('21R2'!D43)*100,1)</f>
        <v>25.6</v>
      </c>
      <c r="E109" s="384">
        <f>ROUND((E43-'21R2'!E43)/ABS('21R2'!E43)*100,1)</f>
        <v>18.399999999999999</v>
      </c>
      <c r="F109" s="384">
        <f>ROUND((F43-'21R2'!F43)/ABS('21R2'!F43)*100,1)</f>
        <v>-36.299999999999997</v>
      </c>
      <c r="G109" s="384">
        <f>ROUND((G43-'21R2'!G43)/ABS('21R2'!G43)*100,1)</f>
        <v>-6.6</v>
      </c>
      <c r="H109" s="384">
        <f>ROUND((H43-'21R2'!H43)/ABS('21R2'!H43)*100,1)</f>
        <v>-38.4</v>
      </c>
      <c r="I109" s="384">
        <f>ROUND((I43-'21R2'!I43)/ABS('21R2'!I43)*100,1)</f>
        <v>93.5</v>
      </c>
      <c r="J109" s="384">
        <f>ROUND((J43-'21R2'!J43)/ABS('21R2'!J43)*100,1)</f>
        <v>106.9</v>
      </c>
      <c r="K109" s="384">
        <f>ROUND((K43-'21R2'!K43)/ABS('21R2'!K43)*100,1)</f>
        <v>-4.4000000000000004</v>
      </c>
      <c r="L109" s="384">
        <f>ROUND((L43-'21R2'!L43)/ABS('21R2'!L43)*100,1)</f>
        <v>-27.3</v>
      </c>
      <c r="M109" s="384">
        <f>ROUND((M43-'21R2'!M43)/ABS('21R2'!M43)*100,1)</f>
        <v>-3.5</v>
      </c>
      <c r="N109" s="384">
        <f>ROUND((N43-'21R2'!N43)/ABS('21R2'!N43)*100,1)</f>
        <v>12.9</v>
      </c>
      <c r="O109" s="384">
        <f>ROUND((O43-'21R2'!O43)/ABS('21R2'!O43)*100,1)</f>
        <v>-20.8</v>
      </c>
      <c r="R109" s="383"/>
      <c r="S109" s="383"/>
    </row>
    <row r="110" spans="1:19">
      <c r="A110" s="293">
        <v>446</v>
      </c>
      <c r="B110" s="90" t="s">
        <v>234</v>
      </c>
      <c r="C110" s="384">
        <f>ROUND((C44-'21R2'!C44)/ABS('21R2'!C44)*100,1)</f>
        <v>59.3</v>
      </c>
      <c r="D110" s="384">
        <f>ROUND((D44-'21R2'!D44)/ABS('21R2'!D44)*100,1)</f>
        <v>21.9</v>
      </c>
      <c r="E110" s="384">
        <f>ROUND((E44-'21R2'!E44)/ABS('21R2'!E44)*100,1)</f>
        <v>14.6</v>
      </c>
      <c r="F110" s="384">
        <f>ROUND((F44-'21R2'!F44)/ABS('21R2'!F44)*100,1)</f>
        <v>59.6</v>
      </c>
      <c r="G110" s="384">
        <f>ROUND((G44-'21R2'!G44)/ABS('21R2'!G44)*100,1)</f>
        <v>1.8</v>
      </c>
      <c r="H110" s="384">
        <f>ROUND((H44-'21R2'!H44)/ABS('21R2'!H44)*100,1)</f>
        <v>56.2</v>
      </c>
      <c r="I110" s="384">
        <f>ROUND((I44-'21R2'!I44)/ABS('21R2'!I44)*100,1)</f>
        <v>91.5</v>
      </c>
      <c r="J110" s="384">
        <f>ROUND((J44-'21R2'!J44)/ABS('21R2'!J44)*100,1)</f>
        <v>245.6</v>
      </c>
      <c r="K110" s="384">
        <f>ROUND((K44-'21R2'!K44)/ABS('21R2'!K44)*100,1)</f>
        <v>45.6</v>
      </c>
      <c r="L110" s="384">
        <f>ROUND((L44-'21R2'!L44)/ABS('21R2'!L44)*100,1)</f>
        <v>-4.9000000000000004</v>
      </c>
      <c r="M110" s="384">
        <f>ROUND((M44-'21R2'!M44)/ABS('21R2'!M44)*100,1)</f>
        <v>76.8</v>
      </c>
      <c r="N110" s="384">
        <f>ROUND((N44-'21R2'!N44)/ABS('21R2'!N44)*100,1)</f>
        <v>72</v>
      </c>
      <c r="O110" s="384">
        <f>ROUND((O44-'21R2'!O44)/ABS('21R2'!O44)*100,1)</f>
        <v>26.6</v>
      </c>
      <c r="R110" s="383"/>
      <c r="S110" s="383"/>
    </row>
    <row r="111" spans="1:19">
      <c r="A111" s="293">
        <v>6</v>
      </c>
      <c r="B111" s="91" t="s">
        <v>205</v>
      </c>
      <c r="C111" s="384">
        <f>ROUND((C45-'21R2'!C45)/ABS('21R2'!C45)*100,1)</f>
        <v>6.5</v>
      </c>
      <c r="D111" s="384">
        <f>ROUND((D45-'21R2'!D45)/ABS('21R2'!D45)*100,1)</f>
        <v>20.9</v>
      </c>
      <c r="E111" s="384">
        <f>ROUND((E45-'21R2'!E45)/ABS('21R2'!E45)*100,1)</f>
        <v>11.1</v>
      </c>
      <c r="F111" s="384">
        <f>ROUND((F45-'21R2'!F45)/ABS('21R2'!F45)*100,1)</f>
        <v>44.6</v>
      </c>
      <c r="G111" s="384">
        <f>ROUND((G45-'21R2'!G45)/ABS('21R2'!G45)*100,1)</f>
        <v>35.6</v>
      </c>
      <c r="H111" s="384">
        <f>ROUND((H45-'21R2'!H45)/ABS('21R2'!H45)*100,1)</f>
        <v>39.6</v>
      </c>
      <c r="I111" s="384">
        <f>ROUND((I45-'21R2'!I45)/ABS('21R2'!I45)*100,1)</f>
        <v>91.6</v>
      </c>
      <c r="J111" s="384">
        <f>ROUND((J45-'21R2'!J45)/ABS('21R2'!J45)*100,1)</f>
        <v>-34.6</v>
      </c>
      <c r="K111" s="384">
        <f>ROUND((K45-'21R2'!K45)/ABS('21R2'!K45)*100,1)</f>
        <v>21.2</v>
      </c>
      <c r="L111" s="384">
        <f>ROUND((L45-'21R2'!L45)/ABS('21R2'!L45)*100,1)</f>
        <v>-45.9</v>
      </c>
      <c r="M111" s="384">
        <f>ROUND((M45-'21R2'!M45)/ABS('21R2'!M45)*100,1)</f>
        <v>24.1</v>
      </c>
      <c r="N111" s="384">
        <f>ROUND((N45-'21R2'!N45)/ABS('21R2'!N45)*100,1)</f>
        <v>43.2</v>
      </c>
      <c r="O111" s="384">
        <f>ROUND((O45-'21R2'!O45)/ABS('21R2'!O45)*100,1)</f>
        <v>-152.4</v>
      </c>
      <c r="R111" s="383"/>
      <c r="S111" s="383"/>
    </row>
    <row r="112" spans="1:19">
      <c r="A112" s="293">
        <v>208</v>
      </c>
      <c r="B112" s="90" t="s">
        <v>206</v>
      </c>
      <c r="C112" s="384">
        <f>ROUND((C46-'21R2'!C46)/ABS('21R2'!C46)*100,1)</f>
        <v>-8.1999999999999993</v>
      </c>
      <c r="D112" s="384">
        <f>ROUND((D46-'21R2'!D46)/ABS('21R2'!D46)*100,1)</f>
        <v>18.100000000000001</v>
      </c>
      <c r="E112" s="384">
        <f>ROUND((E46-'21R2'!E46)/ABS('21R2'!E46)*100,1)</f>
        <v>7.7</v>
      </c>
      <c r="F112" s="384">
        <f>ROUND((F46-'21R2'!F46)/ABS('21R2'!F46)*100,1)</f>
        <v>16.5</v>
      </c>
      <c r="G112" s="384">
        <f>ROUND((G46-'21R2'!G46)/ABS('21R2'!G46)*100,1)</f>
        <v>11.8</v>
      </c>
      <c r="H112" s="384">
        <f>ROUND((H46-'21R2'!H46)/ABS('21R2'!H46)*100,1)</f>
        <v>12.2</v>
      </c>
      <c r="I112" s="384">
        <f>ROUND((I46-'21R2'!I46)/ABS('21R2'!I46)*100,1)</f>
        <v>91.9</v>
      </c>
      <c r="J112" s="384">
        <f>ROUND((J46-'21R2'!J46)/ABS('21R2'!J46)*100,1)</f>
        <v>52.7</v>
      </c>
      <c r="K112" s="384">
        <f>ROUND((K46-'21R2'!K46)/ABS('21R2'!K46)*100,1)</f>
        <v>17.100000000000001</v>
      </c>
      <c r="L112" s="384">
        <f>ROUND((L46-'21R2'!L46)/ABS('21R2'!L46)*100,1)</f>
        <v>-41.1</v>
      </c>
      <c r="M112" s="384">
        <f>ROUND((M46-'21R2'!M46)/ABS('21R2'!M46)*100,1)</f>
        <v>4.7</v>
      </c>
      <c r="N112" s="384">
        <f>ROUND((N46-'21R2'!N46)/ABS('21R2'!N46)*100,1)</f>
        <v>38.4</v>
      </c>
      <c r="O112" s="384">
        <f>ROUND((O46-'21R2'!O46)/ABS('21R2'!O46)*100,1)</f>
        <v>-54.7</v>
      </c>
      <c r="R112" s="383"/>
      <c r="S112" s="383"/>
    </row>
    <row r="113" spans="1:19">
      <c r="A113" s="293">
        <v>212</v>
      </c>
      <c r="B113" s="90" t="s">
        <v>207</v>
      </c>
      <c r="C113" s="384">
        <f>ROUND((C47-'21R2'!C47)/ABS('21R2'!C47)*100,1)</f>
        <v>7.2</v>
      </c>
      <c r="D113" s="384">
        <f>ROUND((D47-'21R2'!D47)/ABS('21R2'!D47)*100,1)</f>
        <v>21.8</v>
      </c>
      <c r="E113" s="384">
        <f>ROUND((E47-'21R2'!E47)/ABS('21R2'!E47)*100,1)</f>
        <v>9.6999999999999993</v>
      </c>
      <c r="F113" s="384">
        <f>ROUND((F47-'21R2'!F47)/ABS('21R2'!F47)*100,1)</f>
        <v>20.8</v>
      </c>
      <c r="G113" s="384">
        <f>ROUND((G47-'21R2'!G47)/ABS('21R2'!G47)*100,1)</f>
        <v>-17</v>
      </c>
      <c r="H113" s="384">
        <f>ROUND((H47-'21R2'!H47)/ABS('21R2'!H47)*100,1)</f>
        <v>21.3</v>
      </c>
      <c r="I113" s="384">
        <f>ROUND((I47-'21R2'!I47)/ABS('21R2'!I47)*100,1)</f>
        <v>91.7</v>
      </c>
      <c r="J113" s="384">
        <f>ROUND((J47-'21R2'!J47)/ABS('21R2'!J47)*100,1)</f>
        <v>-40.799999999999997</v>
      </c>
      <c r="K113" s="384">
        <f>ROUND((K47-'21R2'!K47)/ABS('21R2'!K47)*100,1)</f>
        <v>18.2</v>
      </c>
      <c r="L113" s="384">
        <f>ROUND((L47-'21R2'!L47)/ABS('21R2'!L47)*100,1)</f>
        <v>-28.3</v>
      </c>
      <c r="M113" s="384">
        <f>ROUND((M47-'21R2'!M47)/ABS('21R2'!M47)*100,1)</f>
        <v>25.4</v>
      </c>
      <c r="N113" s="384">
        <f>ROUND((N47-'21R2'!N47)/ABS('21R2'!N47)*100,1)</f>
        <v>39.6</v>
      </c>
      <c r="O113" s="384">
        <f>ROUND((O47-'21R2'!O47)/ABS('21R2'!O47)*100,1)</f>
        <v>-109.3</v>
      </c>
      <c r="R113" s="383"/>
      <c r="S113" s="383"/>
    </row>
    <row r="114" spans="1:19">
      <c r="A114" s="293">
        <v>227</v>
      </c>
      <c r="B114" s="90" t="s">
        <v>219</v>
      </c>
      <c r="C114" s="384">
        <f>ROUND((C48-'21R2'!C48)/ABS('21R2'!C48)*100,1)</f>
        <v>31.7</v>
      </c>
      <c r="D114" s="384">
        <f>ROUND((D48-'21R2'!D48)/ABS('21R2'!D48)*100,1)</f>
        <v>20.3</v>
      </c>
      <c r="E114" s="384">
        <f>ROUND((E48-'21R2'!E48)/ABS('21R2'!E48)*100,1)</f>
        <v>11</v>
      </c>
      <c r="F114" s="384">
        <f>ROUND((F48-'21R2'!F48)/ABS('21R2'!F48)*100,1)</f>
        <v>55.4</v>
      </c>
      <c r="G114" s="384">
        <f>ROUND((G48-'21R2'!G48)/ABS('21R2'!G48)*100,1)</f>
        <v>-12.8</v>
      </c>
      <c r="H114" s="384">
        <f>ROUND((H48-'21R2'!H48)/ABS('21R2'!H48)*100,1)</f>
        <v>53.2</v>
      </c>
      <c r="I114" s="384">
        <f>ROUND((I48-'21R2'!I48)/ABS('21R2'!I48)*100,1)</f>
        <v>91.6</v>
      </c>
      <c r="J114" s="384">
        <f>ROUND((J48-'21R2'!J48)/ABS('21R2'!J48)*100,1)</f>
        <v>-41.3</v>
      </c>
      <c r="K114" s="384">
        <f>ROUND((K48-'21R2'!K48)/ABS('21R2'!K48)*100,1)</f>
        <v>19</v>
      </c>
      <c r="L114" s="384">
        <f>ROUND((L48-'21R2'!L48)/ABS('21R2'!L48)*100,1)</f>
        <v>345</v>
      </c>
      <c r="M114" s="384">
        <f>ROUND((M48-'21R2'!M48)/ABS('21R2'!M48)*100,1)</f>
        <v>52.7</v>
      </c>
      <c r="N114" s="384">
        <f>ROUND((N48-'21R2'!N48)/ABS('21R2'!N48)*100,1)</f>
        <v>40.6</v>
      </c>
      <c r="O114" s="384">
        <f>ROUND((O48-'21R2'!O48)/ABS('21R2'!O48)*100,1)</f>
        <v>-0.7</v>
      </c>
      <c r="R114" s="383"/>
      <c r="S114" s="383"/>
    </row>
    <row r="115" spans="1:19">
      <c r="A115" s="293">
        <v>229</v>
      </c>
      <c r="B115" s="90" t="s">
        <v>235</v>
      </c>
      <c r="C115" s="384">
        <f>ROUND((C49-'21R2'!C49)/ABS('21R2'!C49)*100,1)</f>
        <v>0.5</v>
      </c>
      <c r="D115" s="384">
        <f>ROUND((D49-'21R2'!D49)/ABS('21R2'!D49)*100,1)</f>
        <v>20.2</v>
      </c>
      <c r="E115" s="384">
        <f>ROUND((E49-'21R2'!E49)/ABS('21R2'!E49)*100,1)</f>
        <v>11.9</v>
      </c>
      <c r="F115" s="384">
        <f>ROUND((F49-'21R2'!F49)/ABS('21R2'!F49)*100,1)</f>
        <v>42.6</v>
      </c>
      <c r="G115" s="384">
        <f>ROUND((G49-'21R2'!G49)/ABS('21R2'!G49)*100,1)</f>
        <v>94.7</v>
      </c>
      <c r="H115" s="384">
        <f>ROUND((H49-'21R2'!H49)/ABS('21R2'!H49)*100,1)</f>
        <v>33.700000000000003</v>
      </c>
      <c r="I115" s="384">
        <f>ROUND((I49-'21R2'!I49)/ABS('21R2'!I49)*100,1)</f>
        <v>91.7</v>
      </c>
      <c r="J115" s="384">
        <f>ROUND((J49-'21R2'!J49)/ABS('21R2'!J49)*100,1)</f>
        <v>-62.8</v>
      </c>
      <c r="K115" s="384">
        <f>ROUND((K49-'21R2'!K49)/ABS('21R2'!K49)*100,1)</f>
        <v>18.100000000000001</v>
      </c>
      <c r="L115" s="384">
        <f>ROUND((L49-'21R2'!L49)/ABS('21R2'!L49)*100,1)</f>
        <v>-46.2</v>
      </c>
      <c r="M115" s="384">
        <f>ROUND((M49-'21R2'!M49)/ABS('21R2'!M49)*100,1)</f>
        <v>15.9</v>
      </c>
      <c r="N115" s="384">
        <f>ROUND((N49-'21R2'!N49)/ABS('21R2'!N49)*100,1)</f>
        <v>39.6</v>
      </c>
      <c r="O115" s="384">
        <f>ROUND((O49-'21R2'!O49)/ABS('21R2'!O49)*100,1)</f>
        <v>-63.4</v>
      </c>
      <c r="R115" s="383"/>
      <c r="S115" s="383"/>
    </row>
    <row r="116" spans="1:19">
      <c r="A116" s="293">
        <v>464</v>
      </c>
      <c r="B116" s="90" t="s">
        <v>208</v>
      </c>
      <c r="C116" s="384">
        <f>ROUND((C50-'21R2'!C50)/ABS('21R2'!C50)*100,1)</f>
        <v>2</v>
      </c>
      <c r="D116" s="384">
        <f>ROUND((D50-'21R2'!D50)/ABS('21R2'!D50)*100,1)</f>
        <v>25.7</v>
      </c>
      <c r="E116" s="384">
        <f>ROUND((E50-'21R2'!E50)/ABS('21R2'!E50)*100,1)</f>
        <v>22.4</v>
      </c>
      <c r="F116" s="384">
        <f>ROUND((F50-'21R2'!F50)/ABS('21R2'!F50)*100,1)</f>
        <v>158</v>
      </c>
      <c r="G116" s="384">
        <f>ROUND((G50-'21R2'!G50)/ABS('21R2'!G50)*100,1)</f>
        <v>103.6</v>
      </c>
      <c r="H116" s="384">
        <f>ROUND((H50-'21R2'!H50)/ABS('21R2'!H50)*100,1)</f>
        <v>154.30000000000001</v>
      </c>
      <c r="I116" s="384">
        <f>ROUND((I50-'21R2'!I50)/ABS('21R2'!I50)*100,1)</f>
        <v>90.4</v>
      </c>
      <c r="J116" s="384">
        <f>ROUND((J50-'21R2'!J50)/ABS('21R2'!J50)*100,1)</f>
        <v>-28.2</v>
      </c>
      <c r="K116" s="384">
        <f>ROUND((K50-'21R2'!K50)/ABS('21R2'!K50)*100,1)</f>
        <v>41.8</v>
      </c>
      <c r="L116" s="384">
        <f>ROUND((L50-'21R2'!L50)/ABS('21R2'!L50)*100,1)</f>
        <v>-229.9</v>
      </c>
      <c r="M116" s="384">
        <f>ROUND((M50-'21R2'!M50)/ABS('21R2'!M50)*100,1)</f>
        <v>24.1</v>
      </c>
      <c r="N116" s="384">
        <f>ROUND((N50-'21R2'!N50)/ABS('21R2'!N50)*100,1)</f>
        <v>67.599999999999994</v>
      </c>
      <c r="O116" s="384">
        <f>ROUND((O50-'21R2'!O50)/ABS('21R2'!O50)*100,1)</f>
        <v>-567.4</v>
      </c>
      <c r="R116" s="383"/>
      <c r="S116" s="383"/>
    </row>
    <row r="117" spans="1:19">
      <c r="A117" s="293">
        <v>481</v>
      </c>
      <c r="B117" s="90" t="s">
        <v>209</v>
      </c>
      <c r="C117" s="384">
        <f>ROUND((C51-'21R2'!C51)/ABS('21R2'!C51)*100,1)</f>
        <v>24.1</v>
      </c>
      <c r="D117" s="384">
        <f>ROUND((D51-'21R2'!D51)/ABS('21R2'!D51)*100,1)</f>
        <v>19.600000000000001</v>
      </c>
      <c r="E117" s="384">
        <f>ROUND((E51-'21R2'!E51)/ABS('21R2'!E51)*100,1)</f>
        <v>14</v>
      </c>
      <c r="F117" s="384">
        <f>ROUND((F51-'21R2'!F51)/ABS('21R2'!F51)*100,1)</f>
        <v>68.7</v>
      </c>
      <c r="G117" s="384">
        <f>ROUND((G51-'21R2'!G51)/ABS('21R2'!G51)*100,1)</f>
        <v>-20</v>
      </c>
      <c r="H117" s="384">
        <f>ROUND((H51-'21R2'!H51)/ABS('21R2'!H51)*100,1)</f>
        <v>67.099999999999994</v>
      </c>
      <c r="I117" s="384">
        <f>ROUND((I51-'21R2'!I51)/ABS('21R2'!I51)*100,1)</f>
        <v>91.4</v>
      </c>
      <c r="J117" s="384">
        <f>ROUND((J51-'21R2'!J51)/ABS('21R2'!J51)*100,1)</f>
        <v>110.4</v>
      </c>
      <c r="K117" s="384">
        <f>ROUND((K51-'21R2'!K51)/ABS('21R2'!K51)*100,1)</f>
        <v>33.5</v>
      </c>
      <c r="L117" s="384">
        <f>ROUND((L51-'21R2'!L51)/ABS('21R2'!L51)*100,1)</f>
        <v>-398.4</v>
      </c>
      <c r="M117" s="384">
        <f>ROUND((M51-'21R2'!M51)/ABS('21R2'!M51)*100,1)</f>
        <v>44.9</v>
      </c>
      <c r="N117" s="384">
        <f>ROUND((N51-'21R2'!N51)/ABS('21R2'!N51)*100,1)</f>
        <v>57.8</v>
      </c>
      <c r="O117" s="384">
        <f>ROUND((O51-'21R2'!O51)/ABS('21R2'!O51)*100,1)</f>
        <v>-41</v>
      </c>
      <c r="R117" s="383"/>
      <c r="S117" s="383"/>
    </row>
    <row r="118" spans="1:19">
      <c r="A118" s="293">
        <v>501</v>
      </c>
      <c r="B118" s="90" t="s">
        <v>236</v>
      </c>
      <c r="C118" s="384">
        <f>ROUND((C52-'21R2'!C52)/ABS('21R2'!C52)*100,1)</f>
        <v>27.6</v>
      </c>
      <c r="D118" s="384">
        <f>ROUND((D52-'21R2'!D52)/ABS('21R2'!D52)*100,1)</f>
        <v>18.399999999999999</v>
      </c>
      <c r="E118" s="384">
        <f>ROUND((E52-'21R2'!E52)/ABS('21R2'!E52)*100,1)</f>
        <v>5.0999999999999996</v>
      </c>
      <c r="F118" s="384">
        <f>ROUND((F52-'21R2'!F52)/ABS('21R2'!F52)*100,1)</f>
        <v>47.4</v>
      </c>
      <c r="G118" s="384">
        <f>ROUND((G52-'21R2'!G52)/ABS('21R2'!G52)*100,1)</f>
        <v>-5.0999999999999996</v>
      </c>
      <c r="H118" s="384">
        <f>ROUND((H52-'21R2'!H52)/ABS('21R2'!H52)*100,1)</f>
        <v>40.700000000000003</v>
      </c>
      <c r="I118" s="384">
        <f>ROUND((I52-'21R2'!I52)/ABS('21R2'!I52)*100,1)</f>
        <v>92</v>
      </c>
      <c r="J118" s="384">
        <f>ROUND((J52-'21R2'!J52)/ABS('21R2'!J52)*100,1)</f>
        <v>-53.1</v>
      </c>
      <c r="K118" s="384">
        <f>ROUND((K52-'21R2'!K52)/ABS('21R2'!K52)*100,1)</f>
        <v>10.9</v>
      </c>
      <c r="L118" s="384">
        <f>ROUND((L52-'21R2'!L52)/ABS('21R2'!L52)*100,1)</f>
        <v>2981.5</v>
      </c>
      <c r="M118" s="384">
        <f>ROUND((M52-'21R2'!M52)/ABS('21R2'!M52)*100,1)</f>
        <v>45.4</v>
      </c>
      <c r="N118" s="384">
        <f>ROUND((N52-'21R2'!N52)/ABS('21R2'!N52)*100,1)</f>
        <v>31.1</v>
      </c>
      <c r="O118" s="384">
        <f>ROUND((O52-'21R2'!O52)/ABS('21R2'!O52)*100,1)</f>
        <v>19.7</v>
      </c>
      <c r="R118" s="383"/>
      <c r="S118" s="383"/>
    </row>
    <row r="119" spans="1:19">
      <c r="A119" s="293">
        <v>7</v>
      </c>
      <c r="B119" s="93" t="s">
        <v>210</v>
      </c>
      <c r="C119" s="384">
        <f>ROUND((C53-'21R2'!C53)/ABS('21R2'!C53)*100,1)</f>
        <v>20.399999999999999</v>
      </c>
      <c r="D119" s="384">
        <f>ROUND((D53-'21R2'!D53)/ABS('21R2'!D53)*100,1)</f>
        <v>19.600000000000001</v>
      </c>
      <c r="E119" s="384">
        <f>ROUND((E53-'21R2'!E53)/ABS('21R2'!E53)*100,1)</f>
        <v>13</v>
      </c>
      <c r="F119" s="384">
        <f>ROUND((F53-'21R2'!F53)/ABS('21R2'!F53)*100,1)</f>
        <v>76.8</v>
      </c>
      <c r="G119" s="384">
        <f>ROUND((G53-'21R2'!G53)/ABS('21R2'!G53)*100,1)</f>
        <v>15.1</v>
      </c>
      <c r="H119" s="384">
        <f>ROUND((H53-'21R2'!H53)/ABS('21R2'!H53)*100,1)</f>
        <v>73.599999999999994</v>
      </c>
      <c r="I119" s="384">
        <f>ROUND((I53-'21R2'!I53)/ABS('21R2'!I53)*100,1)</f>
        <v>91.4</v>
      </c>
      <c r="J119" s="384">
        <f>ROUND((J53-'21R2'!J53)/ABS('21R2'!J53)*100,1)</f>
        <v>-58.1</v>
      </c>
      <c r="K119" s="384">
        <f>ROUND((K53-'21R2'!K53)/ABS('21R2'!K53)*100,1)</f>
        <v>20.9</v>
      </c>
      <c r="L119" s="384">
        <f>ROUND((L53-'21R2'!L53)/ABS('21R2'!L53)*100,1)</f>
        <v>15.7</v>
      </c>
      <c r="M119" s="384">
        <f>ROUND((M53-'21R2'!M53)/ABS('21R2'!M53)*100,1)</f>
        <v>41.4</v>
      </c>
      <c r="N119" s="384">
        <f>ROUND((N53-'21R2'!N53)/ABS('21R2'!N53)*100,1)</f>
        <v>42.8</v>
      </c>
      <c r="O119" s="384">
        <f>ROUND((O53-'21R2'!O53)/ABS('21R2'!O53)*100,1)</f>
        <v>-67.2</v>
      </c>
      <c r="R119" s="383"/>
      <c r="S119" s="383"/>
    </row>
    <row r="120" spans="1:19">
      <c r="A120" s="293">
        <v>209</v>
      </c>
      <c r="B120" s="90" t="s">
        <v>221</v>
      </c>
      <c r="C120" s="384">
        <f>ROUND((C54-'21R2'!C54)/ABS('21R2'!C54)*100,1)</f>
        <v>20.399999999999999</v>
      </c>
      <c r="D120" s="384">
        <f>ROUND((D54-'21R2'!D54)/ABS('21R2'!D54)*100,1)</f>
        <v>20.3</v>
      </c>
      <c r="E120" s="384">
        <f>ROUND((E54-'21R2'!E54)/ABS('21R2'!E54)*100,1)</f>
        <v>8.8000000000000007</v>
      </c>
      <c r="F120" s="384">
        <f>ROUND((F54-'21R2'!F54)/ABS('21R2'!F54)*100,1)</f>
        <v>54.3</v>
      </c>
      <c r="G120" s="384">
        <f>ROUND((G54-'21R2'!G54)/ABS('21R2'!G54)*100,1)</f>
        <v>13.8</v>
      </c>
      <c r="H120" s="384">
        <f>ROUND((H54-'21R2'!H54)/ABS('21R2'!H54)*100,1)</f>
        <v>51.5</v>
      </c>
      <c r="I120" s="384">
        <f>ROUND((I54-'21R2'!I54)/ABS('21R2'!I54)*100,1)</f>
        <v>91.4</v>
      </c>
      <c r="J120" s="384">
        <f>ROUND((J54-'21R2'!J54)/ABS('21R2'!J54)*100,1)</f>
        <v>-54.9</v>
      </c>
      <c r="K120" s="384">
        <f>ROUND((K54-'21R2'!K54)/ABS('21R2'!K54)*100,1)</f>
        <v>19.3</v>
      </c>
      <c r="L120" s="384">
        <f>ROUND((L54-'21R2'!L54)/ABS('21R2'!L54)*100,1)</f>
        <v>33.4</v>
      </c>
      <c r="M120" s="384">
        <f>ROUND((M54-'21R2'!M54)/ABS('21R2'!M54)*100,1)</f>
        <v>40.200000000000003</v>
      </c>
      <c r="N120" s="384">
        <f>ROUND((N54-'21R2'!N54)/ABS('21R2'!N54)*100,1)</f>
        <v>41</v>
      </c>
      <c r="O120" s="384">
        <f>ROUND((O54-'21R2'!O54)/ABS('21R2'!O54)*100,1)</f>
        <v>-38.1</v>
      </c>
      <c r="R120" s="383"/>
      <c r="S120" s="383"/>
    </row>
    <row r="121" spans="1:19">
      <c r="A121" s="293">
        <v>222</v>
      </c>
      <c r="B121" s="90" t="s">
        <v>218</v>
      </c>
      <c r="C121" s="384">
        <f>ROUND((C55-'21R2'!C55)/ABS('21R2'!C55)*100,1)</f>
        <v>35.799999999999997</v>
      </c>
      <c r="D121" s="384">
        <f>ROUND((D55-'21R2'!D55)/ABS('21R2'!D55)*100,1)</f>
        <v>17.100000000000001</v>
      </c>
      <c r="E121" s="384">
        <f>ROUND((E55-'21R2'!E55)/ABS('21R2'!E55)*100,1)</f>
        <v>18.600000000000001</v>
      </c>
      <c r="F121" s="384">
        <f>ROUND((F55-'21R2'!F55)/ABS('21R2'!F55)*100,1)</f>
        <v>75.5</v>
      </c>
      <c r="G121" s="384">
        <f>ROUND((G55-'21R2'!G55)/ABS('21R2'!G55)*100,1)</f>
        <v>22.1</v>
      </c>
      <c r="H121" s="384">
        <f>ROUND((H55-'21R2'!H55)/ABS('21R2'!H55)*100,1)</f>
        <v>69.400000000000006</v>
      </c>
      <c r="I121" s="384">
        <f>ROUND((I55-'21R2'!I55)/ABS('21R2'!I55)*100,1)</f>
        <v>91.8</v>
      </c>
      <c r="J121" s="384">
        <f>ROUND((J55-'21R2'!J55)/ABS('21R2'!J55)*100,1)</f>
        <v>-90.4</v>
      </c>
      <c r="K121" s="384">
        <f>ROUND((K55-'21R2'!K55)/ABS('21R2'!K55)*100,1)</f>
        <v>13.1</v>
      </c>
      <c r="L121" s="384">
        <f>ROUND((L55-'21R2'!L55)/ABS('21R2'!L55)*100,1)</f>
        <v>162.80000000000001</v>
      </c>
      <c r="M121" s="384">
        <f>ROUND((M55-'21R2'!M55)/ABS('21R2'!M55)*100,1)</f>
        <v>58.3</v>
      </c>
      <c r="N121" s="384">
        <f>ROUND((N55-'21R2'!N55)/ABS('21R2'!N55)*100,1)</f>
        <v>33.700000000000003</v>
      </c>
      <c r="O121" s="384">
        <f>ROUND((O55-'21R2'!O55)/ABS('21R2'!O55)*100,1)</f>
        <v>0.8</v>
      </c>
      <c r="R121" s="383"/>
      <c r="S121" s="383"/>
    </row>
    <row r="122" spans="1:19">
      <c r="A122" s="293">
        <v>225</v>
      </c>
      <c r="B122" s="90" t="s">
        <v>222</v>
      </c>
      <c r="C122" s="384">
        <f>ROUND((C56-'21R2'!C56)/ABS('21R2'!C56)*100,1)</f>
        <v>2.8</v>
      </c>
      <c r="D122" s="384">
        <f>ROUND((D56-'21R2'!D56)/ABS('21R2'!D56)*100,1)</f>
        <v>20.399999999999999</v>
      </c>
      <c r="E122" s="384">
        <f>ROUND((E56-'21R2'!E56)/ABS('21R2'!E56)*100,1)</f>
        <v>13.3</v>
      </c>
      <c r="F122" s="384">
        <f>ROUND((F56-'21R2'!F56)/ABS('21R2'!F56)*100,1)</f>
        <v>153.9</v>
      </c>
      <c r="G122" s="384">
        <f>ROUND((G56-'21R2'!G56)/ABS('21R2'!G56)*100,1)</f>
        <v>0.3</v>
      </c>
      <c r="H122" s="384">
        <f>ROUND((H56-'21R2'!H56)/ABS('21R2'!H56)*100,1)</f>
        <v>159.19999999999999</v>
      </c>
      <c r="I122" s="384">
        <f>ROUND((I56-'21R2'!I56)/ABS('21R2'!I56)*100,1)</f>
        <v>90.5</v>
      </c>
      <c r="J122" s="384">
        <f>ROUND((J56-'21R2'!J56)/ABS('21R2'!J56)*100,1)</f>
        <v>13.3</v>
      </c>
      <c r="K122" s="384">
        <f>ROUND((K56-'21R2'!K56)/ABS('21R2'!K56)*100,1)</f>
        <v>40</v>
      </c>
      <c r="L122" s="384">
        <f>ROUND((L56-'21R2'!L56)/ABS('21R2'!L56)*100,1)</f>
        <v>-65.3</v>
      </c>
      <c r="M122" s="384">
        <f>ROUND((M56-'21R2'!M56)/ABS('21R2'!M56)*100,1)</f>
        <v>23.3</v>
      </c>
      <c r="N122" s="384">
        <f>ROUND((N56-'21R2'!N56)/ABS('21R2'!N56)*100,1)</f>
        <v>65.5</v>
      </c>
      <c r="O122" s="384">
        <f>ROUND((O56-'21R2'!O56)/ABS('21R2'!O56)*100,1)</f>
        <v>-204.6</v>
      </c>
      <c r="R122" s="383"/>
      <c r="S122" s="383"/>
    </row>
    <row r="123" spans="1:19">
      <c r="A123" s="293">
        <v>585</v>
      </c>
      <c r="B123" s="90" t="s">
        <v>220</v>
      </c>
      <c r="C123" s="384">
        <f>ROUND((C57-'21R2'!C57)/ABS('21R2'!C57)*100,1)</f>
        <v>40.799999999999997</v>
      </c>
      <c r="D123" s="384">
        <f>ROUND((D57-'21R2'!D57)/ABS('21R2'!D57)*100,1)</f>
        <v>18.3</v>
      </c>
      <c r="E123" s="384">
        <f>ROUND((E57-'21R2'!E57)/ABS('21R2'!E57)*100,1)</f>
        <v>10.3</v>
      </c>
      <c r="F123" s="384">
        <f>ROUND((F57-'21R2'!F57)/ABS('21R2'!F57)*100,1)</f>
        <v>58.4</v>
      </c>
      <c r="G123" s="384">
        <f>ROUND((G57-'21R2'!G57)/ABS('21R2'!G57)*100,1)</f>
        <v>72.599999999999994</v>
      </c>
      <c r="H123" s="384">
        <f>ROUND((H57-'21R2'!H57)/ABS('21R2'!H57)*100,1)</f>
        <v>47.2</v>
      </c>
      <c r="I123" s="384">
        <f>ROUND((I57-'21R2'!I57)/ABS('21R2'!I57)*100,1)</f>
        <v>91.9</v>
      </c>
      <c r="J123" s="384">
        <f>ROUND((J57-'21R2'!J57)/ABS('21R2'!J57)*100,1)</f>
        <v>-71.5</v>
      </c>
      <c r="K123" s="384">
        <f>ROUND((K57-'21R2'!K57)/ABS('21R2'!K57)*100,1)</f>
        <v>11.9</v>
      </c>
      <c r="L123" s="384">
        <f>ROUND((L57-'21R2'!L57)/ABS('21R2'!L57)*100,1)</f>
        <v>136</v>
      </c>
      <c r="M123" s="384">
        <f>ROUND((M57-'21R2'!M57)/ABS('21R2'!M57)*100,1)</f>
        <v>61</v>
      </c>
      <c r="N123" s="384">
        <f>ROUND((N57-'21R2'!N57)/ABS('21R2'!N57)*100,1)</f>
        <v>32.299999999999997</v>
      </c>
      <c r="O123" s="384">
        <f>ROUND((O57-'21R2'!O57)/ABS('21R2'!O57)*100,1)</f>
        <v>13.1</v>
      </c>
      <c r="R123" s="383"/>
      <c r="S123" s="383"/>
    </row>
    <row r="124" spans="1:19">
      <c r="A124" s="293">
        <v>586</v>
      </c>
      <c r="B124" s="90" t="s">
        <v>237</v>
      </c>
      <c r="C124" s="384">
        <f>ROUND((C58-'21R2'!C58)/ABS('21R2'!C58)*100,1)</f>
        <v>36.5</v>
      </c>
      <c r="D124" s="384">
        <f>ROUND((D58-'21R2'!D58)/ABS('21R2'!D58)*100,1)</f>
        <v>19.600000000000001</v>
      </c>
      <c r="E124" s="384">
        <f>ROUND((E58-'21R2'!E58)/ABS('21R2'!E58)*100,1)</f>
        <v>24.3</v>
      </c>
      <c r="F124" s="384">
        <f>ROUND((F58-'21R2'!F58)/ABS('21R2'!F58)*100,1)</f>
        <v>41.9</v>
      </c>
      <c r="G124" s="384">
        <f>ROUND((G58-'21R2'!G58)/ABS('21R2'!G58)*100,1)</f>
        <v>58.1</v>
      </c>
      <c r="H124" s="384">
        <f>ROUND((H58-'21R2'!H58)/ABS('21R2'!H58)*100,1)</f>
        <v>31.9</v>
      </c>
      <c r="I124" s="384">
        <f>ROUND((I58-'21R2'!I58)/ABS('21R2'!I58)*100,1)</f>
        <v>92.1</v>
      </c>
      <c r="J124" s="384">
        <f>ROUND((J58-'21R2'!J58)/ABS('21R2'!J58)*100,1)</f>
        <v>-64.599999999999994</v>
      </c>
      <c r="K124" s="384">
        <f>ROUND((K58-'21R2'!K58)/ABS('21R2'!K58)*100,1)</f>
        <v>13.4</v>
      </c>
      <c r="L124" s="384">
        <f>ROUND((L58-'21R2'!L58)/ABS('21R2'!L58)*100,1)</f>
        <v>104.1</v>
      </c>
      <c r="M124" s="384">
        <f>ROUND((M58-'21R2'!M58)/ABS('21R2'!M58)*100,1)</f>
        <v>59.4</v>
      </c>
      <c r="N124" s="384">
        <f>ROUND((N58-'21R2'!N58)/ABS('21R2'!N58)*100,1)</f>
        <v>34</v>
      </c>
      <c r="O124" s="384">
        <f>ROUND((O58-'21R2'!O58)/ABS('21R2'!O58)*100,1)</f>
        <v>-1.4</v>
      </c>
      <c r="R124" s="383"/>
      <c r="S124" s="383"/>
    </row>
    <row r="125" spans="1:19">
      <c r="A125" s="293">
        <v>8</v>
      </c>
      <c r="B125" s="86" t="s">
        <v>211</v>
      </c>
      <c r="C125" s="384">
        <f>ROUND((C59-'21R2'!C59)/ABS('21R2'!C59)*100,1)</f>
        <v>12.3</v>
      </c>
      <c r="D125" s="384">
        <f>ROUND((D59-'21R2'!D59)/ABS('21R2'!D59)*100,1)</f>
        <v>22.9</v>
      </c>
      <c r="E125" s="384">
        <f>ROUND((E59-'21R2'!E59)/ABS('21R2'!E59)*100,1)</f>
        <v>16.5</v>
      </c>
      <c r="F125" s="384">
        <f>ROUND((F59-'21R2'!F59)/ABS('21R2'!F59)*100,1)</f>
        <v>22.1</v>
      </c>
      <c r="G125" s="384">
        <f>ROUND((G59-'21R2'!G59)/ABS('21R2'!G59)*100,1)</f>
        <v>30.3</v>
      </c>
      <c r="H125" s="384">
        <f>ROUND((H59-'21R2'!H59)/ABS('21R2'!H59)*100,1)</f>
        <v>16.100000000000001</v>
      </c>
      <c r="I125" s="384">
        <f>ROUND((I59-'21R2'!I59)/ABS('21R2'!I59)*100,1)</f>
        <v>91.6</v>
      </c>
      <c r="J125" s="384">
        <f>ROUND((J59-'21R2'!J59)/ABS('21R2'!J59)*100,1)</f>
        <v>-66.8</v>
      </c>
      <c r="K125" s="384">
        <f>ROUND((K59-'21R2'!K59)/ABS('21R2'!K59)*100,1)</f>
        <v>18</v>
      </c>
      <c r="L125" s="384">
        <f>ROUND((L59-'21R2'!L59)/ABS('21R2'!L59)*100,1)</f>
        <v>-15.6</v>
      </c>
      <c r="M125" s="384">
        <f>ROUND((M59-'21R2'!M59)/ABS('21R2'!M59)*100,1)</f>
        <v>30.6</v>
      </c>
      <c r="N125" s="384">
        <f>ROUND((N59-'21R2'!N59)/ABS('21R2'!N59)*100,1)</f>
        <v>39.5</v>
      </c>
      <c r="O125" s="384">
        <f>ROUND((O59-'21R2'!O59)/ABS('21R2'!O59)*100,1)</f>
        <v>-552.9</v>
      </c>
      <c r="R125" s="383"/>
      <c r="S125" s="383"/>
    </row>
    <row r="126" spans="1:19">
      <c r="A126" s="293">
        <v>221</v>
      </c>
      <c r="B126" s="90" t="s">
        <v>1144</v>
      </c>
      <c r="C126" s="384">
        <f>ROUND((C60-'21R2'!C60)/ABS('21R2'!C60)*100,1)</f>
        <v>6.4</v>
      </c>
      <c r="D126" s="384">
        <f>ROUND((D60-'21R2'!D60)/ABS('21R2'!D60)*100,1)</f>
        <v>23.8</v>
      </c>
      <c r="E126" s="384">
        <f>ROUND((E60-'21R2'!E60)/ABS('21R2'!E60)*100,1)</f>
        <v>19.5</v>
      </c>
      <c r="F126" s="384">
        <f>ROUND((F60-'21R2'!F60)/ABS('21R2'!F60)*100,1)</f>
        <v>59.1</v>
      </c>
      <c r="G126" s="384">
        <f>ROUND((G60-'21R2'!G60)/ABS('21R2'!G60)*100,1)</f>
        <v>112.2</v>
      </c>
      <c r="H126" s="384">
        <f>ROUND((H60-'21R2'!H60)/ABS('21R2'!H60)*100,1)</f>
        <v>45.7</v>
      </c>
      <c r="I126" s="384">
        <f>ROUND((I60-'21R2'!I60)/ABS('21R2'!I60)*100,1)</f>
        <v>91.3</v>
      </c>
      <c r="J126" s="384">
        <f>ROUND((J60-'21R2'!J60)/ABS('21R2'!J60)*100,1)</f>
        <v>-69</v>
      </c>
      <c r="K126" s="384">
        <f>ROUND((K60-'21R2'!K60)/ABS('21R2'!K60)*100,1)</f>
        <v>24.5</v>
      </c>
      <c r="L126" s="384">
        <f>ROUND((L60-'21R2'!L60)/ABS('21R2'!L60)*100,1)</f>
        <v>-39.200000000000003</v>
      </c>
      <c r="M126" s="384">
        <f>ROUND((M60-'21R2'!M60)/ABS('21R2'!M60)*100,1)</f>
        <v>23.4</v>
      </c>
      <c r="N126" s="384">
        <f>ROUND((N60-'21R2'!N60)/ABS('21R2'!N60)*100,1)</f>
        <v>47.1</v>
      </c>
      <c r="O126" s="384">
        <f>ROUND((O60-'21R2'!O60)/ABS('21R2'!O60)*100,1)</f>
        <v>-164.6</v>
      </c>
      <c r="R126" s="383"/>
      <c r="S126" s="383"/>
    </row>
    <row r="127" spans="1:19">
      <c r="A127" s="293">
        <v>223</v>
      </c>
      <c r="B127" s="90" t="s">
        <v>223</v>
      </c>
      <c r="C127" s="384">
        <f>ROUND((C61-'21R2'!C61)/ABS('21R2'!C61)*100,1)</f>
        <v>17.3</v>
      </c>
      <c r="D127" s="384">
        <f>ROUND((D61-'21R2'!D61)/ABS('21R2'!D61)*100,1)</f>
        <v>22.3</v>
      </c>
      <c r="E127" s="384">
        <f>ROUND((E61-'21R2'!E61)/ABS('21R2'!E61)*100,1)</f>
        <v>14.1</v>
      </c>
      <c r="F127" s="384">
        <f>ROUND((F61-'21R2'!F61)/ABS('21R2'!F61)*100,1)</f>
        <v>5.8</v>
      </c>
      <c r="G127" s="384">
        <f>ROUND((G61-'21R2'!G61)/ABS('21R2'!G61)*100,1)</f>
        <v>0.7</v>
      </c>
      <c r="H127" s="384">
        <f>ROUND((H61-'21R2'!H61)/ABS('21R2'!H61)*100,1)</f>
        <v>2.6</v>
      </c>
      <c r="I127" s="384">
        <f>ROUND((I61-'21R2'!I61)/ABS('21R2'!I61)*100,1)</f>
        <v>91.8</v>
      </c>
      <c r="J127" s="384">
        <f>ROUND((J61-'21R2'!J61)/ABS('21R2'!J61)*100,1)</f>
        <v>-65</v>
      </c>
      <c r="K127" s="384">
        <f>ROUND((K61-'21R2'!K61)/ABS('21R2'!K61)*100,1)</f>
        <v>13.9</v>
      </c>
      <c r="L127" s="384">
        <f>ROUND((L61-'21R2'!L61)/ABS('21R2'!L61)*100,1)</f>
        <v>59.7</v>
      </c>
      <c r="M127" s="384">
        <f>ROUND((M61-'21R2'!M61)/ABS('21R2'!M61)*100,1)</f>
        <v>36.5</v>
      </c>
      <c r="N127" s="384">
        <f>ROUND((N61-'21R2'!N61)/ABS('21R2'!N61)*100,1)</f>
        <v>34.6</v>
      </c>
      <c r="O127" s="384">
        <f>ROUND((O61-'21R2'!O61)/ABS('21R2'!O61)*100,1)</f>
        <v>-25.8</v>
      </c>
      <c r="R127" s="383"/>
      <c r="S127" s="383"/>
    </row>
    <row r="128" spans="1:19">
      <c r="A128" s="293">
        <v>9</v>
      </c>
      <c r="B128" s="94" t="s">
        <v>212</v>
      </c>
      <c r="C128" s="384">
        <f>ROUND((C62-'21R2'!C62)/ABS('21R2'!C62)*100,1)</f>
        <v>29.2</v>
      </c>
      <c r="D128" s="384">
        <f>ROUND((D62-'21R2'!D62)/ABS('21R2'!D62)*100,1)</f>
        <v>23.4</v>
      </c>
      <c r="E128" s="384">
        <f>ROUND((E62-'21R2'!E62)/ABS('21R2'!E62)*100,1)</f>
        <v>7.9</v>
      </c>
      <c r="F128" s="384">
        <f>ROUND((F62-'21R2'!F62)/ABS('21R2'!F62)*100,1)</f>
        <v>76.5</v>
      </c>
      <c r="G128" s="384">
        <f>ROUND((G62-'21R2'!G62)/ABS('21R2'!G62)*100,1)</f>
        <v>82.4</v>
      </c>
      <c r="H128" s="384">
        <f>ROUND((H62-'21R2'!H62)/ABS('21R2'!H62)*100,1)</f>
        <v>64.5</v>
      </c>
      <c r="I128" s="384">
        <f>ROUND((I62-'21R2'!I62)/ABS('21R2'!I62)*100,1)</f>
        <v>90.9</v>
      </c>
      <c r="J128" s="384">
        <f>ROUND((J62-'21R2'!J62)/ABS('21R2'!J62)*100,1)</f>
        <v>-59.9</v>
      </c>
      <c r="K128" s="384">
        <f>ROUND((K62-'21R2'!K62)/ABS('21R2'!K62)*100,1)</f>
        <v>22.9</v>
      </c>
      <c r="L128" s="384">
        <f>ROUND((L62-'21R2'!L62)/ABS('21R2'!L62)*100,1)</f>
        <v>499.5</v>
      </c>
      <c r="M128" s="384">
        <f>ROUND((M62-'21R2'!M62)/ABS('21R2'!M62)*100,1)</f>
        <v>49.5</v>
      </c>
      <c r="N128" s="384">
        <f>ROUND((N62-'21R2'!N62)/ABS('21R2'!N62)*100,1)</f>
        <v>45.2</v>
      </c>
      <c r="O128" s="384">
        <f>ROUND((O62-'21R2'!O62)/ABS('21R2'!O62)*100,1)</f>
        <v>-11.6</v>
      </c>
      <c r="R128" s="383"/>
      <c r="S128" s="383"/>
    </row>
    <row r="129" spans="1:19">
      <c r="A129" s="293">
        <v>205</v>
      </c>
      <c r="B129" s="92" t="s">
        <v>241</v>
      </c>
      <c r="C129" s="384">
        <f>ROUND((C63-'21R2'!C63)/ABS('21R2'!C63)*100,1)</f>
        <v>35.200000000000003</v>
      </c>
      <c r="D129" s="384">
        <f>ROUND((D63-'21R2'!D63)/ABS('21R2'!D63)*100,1)</f>
        <v>23.5</v>
      </c>
      <c r="E129" s="384">
        <f>ROUND((E63-'21R2'!E63)/ABS('21R2'!E63)*100,1)</f>
        <v>-18.5</v>
      </c>
      <c r="F129" s="384">
        <f>ROUND((F63-'21R2'!F63)/ABS('21R2'!F63)*100,1)</f>
        <v>94.7</v>
      </c>
      <c r="G129" s="384">
        <f>ROUND((G63-'21R2'!G63)/ABS('21R2'!G63)*100,1)</f>
        <v>96.1</v>
      </c>
      <c r="H129" s="384">
        <f>ROUND((H63-'21R2'!H63)/ABS('21R2'!H63)*100,1)</f>
        <v>82.7</v>
      </c>
      <c r="I129" s="384">
        <f>ROUND((I63-'21R2'!I63)/ABS('21R2'!I63)*100,1)</f>
        <v>90.9</v>
      </c>
      <c r="J129" s="384">
        <f>ROUND((J63-'21R2'!J63)/ABS('21R2'!J63)*100,1)</f>
        <v>-84.5</v>
      </c>
      <c r="K129" s="384">
        <f>ROUND((K63-'21R2'!K63)/ABS('21R2'!K63)*100,1)</f>
        <v>18.5</v>
      </c>
      <c r="L129" s="384">
        <f>ROUND((L63-'21R2'!L63)/ABS('21R2'!L63)*100,1)</f>
        <v>2185.1999999999998</v>
      </c>
      <c r="M129" s="384">
        <f>ROUND((M63-'21R2'!M63)/ABS('21R2'!M63)*100,1)</f>
        <v>51.6</v>
      </c>
      <c r="N129" s="384">
        <f>ROUND((N63-'21R2'!N63)/ABS('21R2'!N63)*100,1)</f>
        <v>40</v>
      </c>
      <c r="O129" s="384">
        <f>ROUND((O63-'21R2'!O63)/ABS('21R2'!O63)*100,1)</f>
        <v>45.5</v>
      </c>
      <c r="R129" s="383"/>
      <c r="S129" s="383"/>
    </row>
    <row r="130" spans="1:19">
      <c r="A130" s="293">
        <v>224</v>
      </c>
      <c r="B130" s="90" t="s">
        <v>224</v>
      </c>
      <c r="C130" s="384">
        <f>ROUND((C64-'21R2'!C64)/ABS('21R2'!C64)*100,1)</f>
        <v>23.7</v>
      </c>
      <c r="D130" s="384">
        <f>ROUND((D64-'21R2'!D64)/ABS('21R2'!D64)*100,1)</f>
        <v>23.3</v>
      </c>
      <c r="E130" s="384">
        <f>ROUND((E64-'21R2'!E64)/ABS('21R2'!E64)*100,1)</f>
        <v>15.5</v>
      </c>
      <c r="F130" s="384">
        <f>ROUND((F64-'21R2'!F64)/ABS('21R2'!F64)*100,1)</f>
        <v>73.400000000000006</v>
      </c>
      <c r="G130" s="384">
        <f>ROUND((G64-'21R2'!G64)/ABS('21R2'!G64)*100,1)</f>
        <v>30.7</v>
      </c>
      <c r="H130" s="384">
        <f>ROUND((H64-'21R2'!H64)/ABS('21R2'!H64)*100,1)</f>
        <v>68.7</v>
      </c>
      <c r="I130" s="384">
        <f>ROUND((I64-'21R2'!I64)/ABS('21R2'!I64)*100,1)</f>
        <v>90.7</v>
      </c>
      <c r="J130" s="384">
        <f>ROUND((J64-'21R2'!J64)/ABS('21R2'!J64)*100,1)</f>
        <v>-38.799999999999997</v>
      </c>
      <c r="K130" s="384">
        <f>ROUND((K64-'21R2'!K64)/ABS('21R2'!K64)*100,1)</f>
        <v>24.9</v>
      </c>
      <c r="L130" s="384">
        <f>ROUND((L64-'21R2'!L64)/ABS('21R2'!L64)*100,1)</f>
        <v>10.7</v>
      </c>
      <c r="M130" s="384">
        <f>ROUND((M64-'21R2'!M64)/ABS('21R2'!M64)*100,1)</f>
        <v>44.8</v>
      </c>
      <c r="N130" s="384">
        <f>ROUND((N64-'21R2'!N64)/ABS('21R2'!N64)*100,1)</f>
        <v>47.6</v>
      </c>
      <c r="O130" s="384">
        <f>ROUND((O64-'21R2'!O64)/ABS('21R2'!O64)*100,1)</f>
        <v>-62.9</v>
      </c>
      <c r="R130" s="383"/>
      <c r="S130" s="383"/>
    </row>
    <row r="131" spans="1:19">
      <c r="A131" s="396">
        <v>226</v>
      </c>
      <c r="B131" s="201" t="s">
        <v>225</v>
      </c>
      <c r="C131" s="384">
        <f>ROUND((C65-'21R2'!C65)/ABS('21R2'!C65)*100,1)</f>
        <v>28.7</v>
      </c>
      <c r="D131" s="384">
        <f>ROUND((D65-'21R2'!D65)/ABS('21R2'!D65)*100,1)</f>
        <v>23.5</v>
      </c>
      <c r="E131" s="384">
        <f>ROUND((E65-'21R2'!E65)/ABS('21R2'!E65)*100,1)</f>
        <v>29.6</v>
      </c>
      <c r="F131" s="384">
        <f>ROUND((F65-'21R2'!F65)/ABS('21R2'!F65)*100,1)</f>
        <v>61.6</v>
      </c>
      <c r="G131" s="384">
        <f>ROUND((G65-'21R2'!G65)/ABS('21R2'!G65)*100,1)</f>
        <v>116.1</v>
      </c>
      <c r="H131" s="384">
        <f>ROUND((H65-'21R2'!H65)/ABS('21R2'!H65)*100,1)</f>
        <v>42.9</v>
      </c>
      <c r="I131" s="384">
        <f>ROUND((I65-'21R2'!I65)/ABS('21R2'!I65)*100,1)</f>
        <v>91.1</v>
      </c>
      <c r="J131" s="384">
        <f>ROUND((J65-'21R2'!J65)/ABS('21R2'!J65)*100,1)</f>
        <v>-56.1</v>
      </c>
      <c r="K131" s="384">
        <f>ROUND((K65-'21R2'!K65)/ABS('21R2'!K65)*100,1)</f>
        <v>25.4</v>
      </c>
      <c r="L131" s="384">
        <f>ROUND((L65-'21R2'!L65)/ABS('21R2'!L65)*100,1)</f>
        <v>56.7</v>
      </c>
      <c r="M131" s="384">
        <f>ROUND((M65-'21R2'!M65)/ABS('21R2'!M65)*100,1)</f>
        <v>52.2</v>
      </c>
      <c r="N131" s="384">
        <f>ROUND((N65-'21R2'!N65)/ABS('21R2'!N65)*100,1)</f>
        <v>48.2</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8FA0A-F859-4B93-9B80-D16F9D621361}">
  <sheetPr>
    <tabColor theme="0"/>
  </sheetPr>
  <dimension ref="A1:U131"/>
  <sheetViews>
    <sheetView workbookViewId="0">
      <pane xSplit="2" ySplit="3" topLeftCell="C55" activePane="bottomRight" state="frozen"/>
      <selection pane="topRight" activeCell="C1" sqref="C1"/>
      <selection pane="bottomLeft" activeCell="A4" sqref="A4"/>
      <selection pane="bottomRight" activeCell="K16" sqref="K16:K65"/>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1731</v>
      </c>
      <c r="C1" s="682"/>
      <c r="D1" s="682"/>
      <c r="E1" s="239"/>
      <c r="F1" s="682">
        <f>名目県内総支出!AA44</f>
        <v>25682082.28163933</v>
      </c>
      <c r="G1" s="1473">
        <f>C4-F1</f>
        <v>-75975.97047585994</v>
      </c>
      <c r="H1" s="239"/>
      <c r="I1" s="239"/>
      <c r="J1" s="239"/>
      <c r="K1" s="239"/>
      <c r="L1" s="239" t="s">
        <v>11</v>
      </c>
      <c r="M1" s="239">
        <f>M4-名目県内総支出!AA45</f>
        <v>0</v>
      </c>
      <c r="N1" s="239" t="s">
        <v>818</v>
      </c>
      <c r="O1" s="446">
        <f>名目県内総支出!Y43</f>
        <v>-726292</v>
      </c>
    </row>
    <row r="2" spans="1:21" ht="26.25" customHeight="1">
      <c r="A2" s="294"/>
      <c r="B2" s="296" t="s">
        <v>930</v>
      </c>
      <c r="C2" s="312" t="s">
        <v>817</v>
      </c>
      <c r="D2" s="275" t="s">
        <v>68</v>
      </c>
      <c r="E2" s="291" t="s">
        <v>1289</v>
      </c>
      <c r="F2" s="297" t="s">
        <v>69</v>
      </c>
      <c r="G2" s="291"/>
      <c r="H2" s="291"/>
      <c r="I2" s="291"/>
      <c r="J2" s="275" t="s">
        <v>70</v>
      </c>
      <c r="K2" s="282" t="s">
        <v>671</v>
      </c>
      <c r="L2" s="2306" t="s">
        <v>71</v>
      </c>
      <c r="M2" s="2312"/>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291" t="s">
        <v>74</v>
      </c>
      <c r="J3" s="353"/>
      <c r="K3" s="1354" t="s">
        <v>75</v>
      </c>
      <c r="L3" s="406" t="s">
        <v>76</v>
      </c>
      <c r="M3" s="2001" t="s">
        <v>77</v>
      </c>
      <c r="N3" s="2002" t="s">
        <v>78</v>
      </c>
      <c r="O3" s="1098" t="s">
        <v>81</v>
      </c>
      <c r="P3" s="92"/>
      <c r="Q3" s="684" t="s">
        <v>1227</v>
      </c>
      <c r="R3" s="49" t="s">
        <v>287</v>
      </c>
      <c r="T3" s="344" t="s">
        <v>956</v>
      </c>
      <c r="U3" s="345" t="s">
        <v>958</v>
      </c>
    </row>
    <row r="4" spans="1:21">
      <c r="A4" s="303"/>
      <c r="B4" s="203" t="s">
        <v>166</v>
      </c>
      <c r="C4" s="412">
        <f t="shared" ref="C4" si="0">SUM(C5:C14)</f>
        <v>25606106.31116347</v>
      </c>
      <c r="D4" s="547">
        <f t="shared" ref="D4:J4" si="1">SUM(D5:D14)</f>
        <v>14852478</v>
      </c>
      <c r="E4" s="544">
        <f t="shared" si="1"/>
        <v>3277424</v>
      </c>
      <c r="F4" s="438">
        <f t="shared" si="1"/>
        <v>5798859.2816393301</v>
      </c>
      <c r="G4" s="544">
        <f t="shared" si="1"/>
        <v>760372.28163933067</v>
      </c>
      <c r="H4" s="547">
        <f t="shared" si="1"/>
        <v>5047977</v>
      </c>
      <c r="I4" s="544">
        <f t="shared" si="1"/>
        <v>-9490</v>
      </c>
      <c r="J4" s="547">
        <f t="shared" si="1"/>
        <v>816574</v>
      </c>
      <c r="K4" s="407">
        <f>SUM(K5:K14)</f>
        <v>24745335.28163933</v>
      </c>
      <c r="L4" s="412">
        <f>SUM(L5:L14)</f>
        <v>860771.0295241382</v>
      </c>
      <c r="M4" s="1401">
        <f>SUM(M5:M14)</f>
        <v>24357789.02952414</v>
      </c>
      <c r="N4" s="544">
        <f>SUM(N5:N14)</f>
        <v>22770726</v>
      </c>
      <c r="O4" s="438">
        <f>SUM(O5:O14)</f>
        <v>-726292</v>
      </c>
      <c r="P4" s="77"/>
      <c r="Q4" s="314">
        <f>(C4-'22R3'!C4)/'22R3'!C4*100</f>
        <v>13.316933930534033</v>
      </c>
      <c r="R4" s="394">
        <f>D4+E4+F4+J4+L4</f>
        <v>25606106.31116347</v>
      </c>
      <c r="S4" s="394">
        <f>R4-C4</f>
        <v>0</v>
      </c>
      <c r="T4" s="49">
        <f>民間設備製造1!S6</f>
        <v>1379939</v>
      </c>
      <c r="U4" s="49">
        <v>23463199</v>
      </c>
    </row>
    <row r="5" spans="1:21">
      <c r="A5" s="298">
        <v>100</v>
      </c>
      <c r="B5" s="75" t="s">
        <v>172</v>
      </c>
      <c r="C5" s="413">
        <f t="shared" ref="C5:O6" si="2">C16</f>
        <v>7513418.3111634683</v>
      </c>
      <c r="D5" s="439">
        <f t="shared" si="2"/>
        <v>4399875</v>
      </c>
      <c r="E5" s="408">
        <f t="shared" si="2"/>
        <v>1125791</v>
      </c>
      <c r="F5" s="439">
        <f t="shared" si="2"/>
        <v>1441357.2816393306</v>
      </c>
      <c r="G5" s="408">
        <f t="shared" si="2"/>
        <v>201920.28163933067</v>
      </c>
      <c r="H5" s="439">
        <f t="shared" si="2"/>
        <v>1242231</v>
      </c>
      <c r="I5" s="408">
        <f t="shared" si="2"/>
        <v>-2794</v>
      </c>
      <c r="J5" s="439">
        <f t="shared" si="2"/>
        <v>275598</v>
      </c>
      <c r="K5" s="408">
        <f t="shared" si="2"/>
        <v>7242621.2816393301</v>
      </c>
      <c r="L5" s="413">
        <f t="shared" si="2"/>
        <v>270797.0295241382</v>
      </c>
      <c r="M5" s="439">
        <f t="shared" si="2"/>
        <v>7164914.0295241382</v>
      </c>
      <c r="N5" s="408">
        <f t="shared" si="2"/>
        <v>6664680</v>
      </c>
      <c r="O5" s="439">
        <f t="shared" si="2"/>
        <v>-229437</v>
      </c>
      <c r="P5" s="77">
        <v>100</v>
      </c>
      <c r="Q5" s="314">
        <f>(C5-'22R3'!C5)/'22R3'!C5*100</f>
        <v>8.1380127369709552</v>
      </c>
      <c r="R5" s="394">
        <f t="shared" ref="R5:R65" si="3">D5+E5+F5+J5+L5</f>
        <v>7513418.3111634683</v>
      </c>
      <c r="S5" s="394">
        <f t="shared" ref="S5:S65" si="4">R5-C5</f>
        <v>0</v>
      </c>
      <c r="T5" s="49">
        <f>民間設備製造1!S7</f>
        <v>202112</v>
      </c>
      <c r="U5" s="49">
        <v>6918660</v>
      </c>
    </row>
    <row r="6" spans="1:21">
      <c r="A6" s="298">
        <v>1</v>
      </c>
      <c r="B6" s="75" t="s">
        <v>323</v>
      </c>
      <c r="C6" s="413">
        <f t="shared" si="2"/>
        <v>4506521</v>
      </c>
      <c r="D6" s="439">
        <f t="shared" si="2"/>
        <v>2878133</v>
      </c>
      <c r="E6" s="408">
        <f t="shared" si="2"/>
        <v>530814</v>
      </c>
      <c r="F6" s="439">
        <f t="shared" si="2"/>
        <v>898444</v>
      </c>
      <c r="G6" s="408">
        <f t="shared" si="2"/>
        <v>171477</v>
      </c>
      <c r="H6" s="439">
        <f t="shared" si="2"/>
        <v>728658</v>
      </c>
      <c r="I6" s="408">
        <f t="shared" si="2"/>
        <v>-1691</v>
      </c>
      <c r="J6" s="439">
        <f t="shared" si="2"/>
        <v>96982</v>
      </c>
      <c r="K6" s="408">
        <f t="shared" si="2"/>
        <v>4404373</v>
      </c>
      <c r="L6" s="413">
        <f t="shared" si="2"/>
        <v>102148</v>
      </c>
      <c r="M6" s="439">
        <f t="shared" si="2"/>
        <v>4324127</v>
      </c>
      <c r="N6" s="408">
        <f t="shared" si="2"/>
        <v>4052916</v>
      </c>
      <c r="O6" s="439">
        <f t="shared" si="2"/>
        <v>-169063</v>
      </c>
      <c r="P6" s="77">
        <v>1</v>
      </c>
      <c r="Q6" s="314">
        <f>(C6-'22R3'!C6)/'22R3'!C6*100</f>
        <v>21.923874837128967</v>
      </c>
      <c r="R6" s="394">
        <f t="shared" si="3"/>
        <v>4506521</v>
      </c>
      <c r="S6" s="394">
        <f t="shared" si="4"/>
        <v>0</v>
      </c>
      <c r="T6" s="49">
        <f>民間設備製造1!S8</f>
        <v>103127</v>
      </c>
      <c r="U6" s="49">
        <v>4179364</v>
      </c>
    </row>
    <row r="7" spans="1:21">
      <c r="A7" s="298">
        <v>2</v>
      </c>
      <c r="B7" s="75" t="s">
        <v>324</v>
      </c>
      <c r="C7" s="413">
        <f t="shared" ref="C7:J7" si="5">C21</f>
        <v>3131557</v>
      </c>
      <c r="D7" s="439">
        <f t="shared" si="5"/>
        <v>1886056</v>
      </c>
      <c r="E7" s="408">
        <f t="shared" si="5"/>
        <v>353613</v>
      </c>
      <c r="F7" s="439">
        <f t="shared" si="5"/>
        <v>639900</v>
      </c>
      <c r="G7" s="408">
        <f t="shared" si="5"/>
        <v>99695</v>
      </c>
      <c r="H7" s="439">
        <f t="shared" si="5"/>
        <v>541324</v>
      </c>
      <c r="I7" s="408">
        <f t="shared" si="5"/>
        <v>-1119</v>
      </c>
      <c r="J7" s="439">
        <f t="shared" si="5"/>
        <v>179150</v>
      </c>
      <c r="K7" s="408">
        <f>K21</f>
        <v>3058719</v>
      </c>
      <c r="L7" s="413">
        <f>L21</f>
        <v>72838</v>
      </c>
      <c r="M7" s="439">
        <f>M21</f>
        <v>2999767</v>
      </c>
      <c r="N7" s="408">
        <f>N21</f>
        <v>2814641</v>
      </c>
      <c r="O7" s="439">
        <f>O21</f>
        <v>-112288</v>
      </c>
      <c r="P7" s="77">
        <v>2</v>
      </c>
      <c r="Q7" s="314">
        <f>(C7-'22R3'!C7)/'22R3'!C7*100</f>
        <v>41.953836718208521</v>
      </c>
      <c r="R7" s="394">
        <f t="shared" si="3"/>
        <v>3131557</v>
      </c>
      <c r="S7" s="394">
        <f t="shared" si="4"/>
        <v>0</v>
      </c>
      <c r="T7" s="49">
        <f>民間設備製造1!S9</f>
        <v>117843</v>
      </c>
      <c r="U7" s="49">
        <v>2764914</v>
      </c>
    </row>
    <row r="8" spans="1:21">
      <c r="A8" s="298">
        <v>3</v>
      </c>
      <c r="B8" s="75" t="s">
        <v>192</v>
      </c>
      <c r="C8" s="413">
        <f t="shared" ref="C8:J8" si="6">C27</f>
        <v>3510935</v>
      </c>
      <c r="D8" s="439">
        <f t="shared" si="6"/>
        <v>1955744</v>
      </c>
      <c r="E8" s="408">
        <f t="shared" si="6"/>
        <v>339761</v>
      </c>
      <c r="F8" s="439">
        <f t="shared" si="6"/>
        <v>1039973</v>
      </c>
      <c r="G8" s="408">
        <f t="shared" si="6"/>
        <v>109947</v>
      </c>
      <c r="H8" s="439">
        <f t="shared" si="6"/>
        <v>931321</v>
      </c>
      <c r="I8" s="408">
        <f t="shared" si="6"/>
        <v>-1295</v>
      </c>
      <c r="J8" s="439">
        <f t="shared" si="6"/>
        <v>77658</v>
      </c>
      <c r="K8" s="408">
        <f>K27</f>
        <v>3413136</v>
      </c>
      <c r="L8" s="413">
        <f>L27</f>
        <v>97799</v>
      </c>
      <c r="M8" s="439">
        <f>M27</f>
        <v>3335591</v>
      </c>
      <c r="N8" s="408">
        <f>N27</f>
        <v>3140777</v>
      </c>
      <c r="O8" s="439">
        <f>O27</f>
        <v>-97015</v>
      </c>
      <c r="P8" s="77">
        <v>3</v>
      </c>
      <c r="Q8" s="314">
        <f>(C8-'22R3'!C8)/'22R3'!C8*100</f>
        <v>18.604935556566751</v>
      </c>
      <c r="R8" s="394">
        <f t="shared" si="3"/>
        <v>3510935</v>
      </c>
      <c r="S8" s="394">
        <f t="shared" si="4"/>
        <v>0</v>
      </c>
      <c r="T8" s="49">
        <f>民間設備製造1!S10</f>
        <v>392618</v>
      </c>
      <c r="U8" s="49">
        <v>3200858</v>
      </c>
    </row>
    <row r="9" spans="1:21">
      <c r="A9" s="298">
        <v>4</v>
      </c>
      <c r="B9" s="75" t="s">
        <v>325</v>
      </c>
      <c r="C9" s="413">
        <f t="shared" ref="C9:J9" si="7">C33</f>
        <v>1279789</v>
      </c>
      <c r="D9" s="439">
        <f t="shared" si="7"/>
        <v>678416</v>
      </c>
      <c r="E9" s="408">
        <f t="shared" si="7"/>
        <v>159233</v>
      </c>
      <c r="F9" s="439">
        <f t="shared" si="7"/>
        <v>316665</v>
      </c>
      <c r="G9" s="408">
        <f t="shared" si="7"/>
        <v>26203</v>
      </c>
      <c r="H9" s="439">
        <f t="shared" si="7"/>
        <v>290927</v>
      </c>
      <c r="I9" s="408">
        <f t="shared" si="7"/>
        <v>-465</v>
      </c>
      <c r="J9" s="439">
        <f t="shared" si="7"/>
        <v>41287</v>
      </c>
      <c r="K9" s="408">
        <f>K33</f>
        <v>1195601</v>
      </c>
      <c r="L9" s="413">
        <f>L33</f>
        <v>84188</v>
      </c>
      <c r="M9" s="439">
        <f>M33</f>
        <v>1177065</v>
      </c>
      <c r="N9" s="408">
        <f>N33</f>
        <v>1100196</v>
      </c>
      <c r="O9" s="439">
        <f>O33</f>
        <v>7319</v>
      </c>
      <c r="P9" s="77">
        <v>4</v>
      </c>
      <c r="Q9" s="314">
        <f>(C9-'22R3'!C9)/'22R3'!C9*100</f>
        <v>-3.0412930363079309</v>
      </c>
      <c r="R9" s="394">
        <f t="shared" si="3"/>
        <v>1279789</v>
      </c>
      <c r="S9" s="394">
        <f t="shared" si="4"/>
        <v>0</v>
      </c>
      <c r="T9" s="49">
        <f>民間設備製造1!S11</f>
        <v>105029</v>
      </c>
      <c r="U9" s="49">
        <v>1150135</v>
      </c>
    </row>
    <row r="10" spans="1:21">
      <c r="A10" s="298">
        <v>5</v>
      </c>
      <c r="B10" s="75" t="s">
        <v>326</v>
      </c>
      <c r="C10" s="413">
        <f t="shared" ref="C10:J10" si="8">C40</f>
        <v>2727648</v>
      </c>
      <c r="D10" s="439">
        <f t="shared" si="8"/>
        <v>1433956</v>
      </c>
      <c r="E10" s="408">
        <f t="shared" si="8"/>
        <v>296552</v>
      </c>
      <c r="F10" s="439">
        <f t="shared" si="8"/>
        <v>809662</v>
      </c>
      <c r="G10" s="408">
        <f t="shared" si="8"/>
        <v>93561</v>
      </c>
      <c r="H10" s="439">
        <f t="shared" si="8"/>
        <v>717101</v>
      </c>
      <c r="I10" s="408">
        <f t="shared" si="8"/>
        <v>-1000</v>
      </c>
      <c r="J10" s="439">
        <f t="shared" si="8"/>
        <v>54006</v>
      </c>
      <c r="K10" s="408">
        <f>K40</f>
        <v>2594176</v>
      </c>
      <c r="L10" s="413">
        <f>L40</f>
        <v>133472</v>
      </c>
      <c r="M10" s="439">
        <f>M40</f>
        <v>2543459</v>
      </c>
      <c r="N10" s="408">
        <f>N40</f>
        <v>2387169</v>
      </c>
      <c r="O10" s="439">
        <f>O40</f>
        <v>-22818</v>
      </c>
      <c r="P10" s="77">
        <v>5</v>
      </c>
      <c r="Q10" s="314">
        <f>(C10-'22R3'!C10)/'22R3'!C10*100</f>
        <v>-3.3657024427399782</v>
      </c>
      <c r="R10" s="394">
        <f t="shared" si="3"/>
        <v>2727648</v>
      </c>
      <c r="S10" s="394">
        <f t="shared" si="4"/>
        <v>0</v>
      </c>
      <c r="T10" s="49">
        <f>民間設備製造1!S12</f>
        <v>297837</v>
      </c>
      <c r="U10" s="49">
        <v>2470755</v>
      </c>
    </row>
    <row r="11" spans="1:21">
      <c r="A11" s="298">
        <v>6</v>
      </c>
      <c r="B11" s="75" t="s">
        <v>327</v>
      </c>
      <c r="C11" s="413">
        <f t="shared" ref="C11:J11" si="9">C45</f>
        <v>1128143</v>
      </c>
      <c r="D11" s="439">
        <f t="shared" si="9"/>
        <v>614774</v>
      </c>
      <c r="E11" s="408">
        <f t="shared" si="9"/>
        <v>145410</v>
      </c>
      <c r="F11" s="439">
        <f t="shared" si="9"/>
        <v>278111</v>
      </c>
      <c r="G11" s="408">
        <f t="shared" si="9"/>
        <v>21244</v>
      </c>
      <c r="H11" s="439">
        <f t="shared" si="9"/>
        <v>257287</v>
      </c>
      <c r="I11" s="408">
        <f t="shared" si="9"/>
        <v>-420</v>
      </c>
      <c r="J11" s="439">
        <f t="shared" si="9"/>
        <v>32397</v>
      </c>
      <c r="K11" s="408">
        <f>K45</f>
        <v>1070692</v>
      </c>
      <c r="L11" s="413">
        <f>L45</f>
        <v>57451</v>
      </c>
      <c r="M11" s="439">
        <f>M45</f>
        <v>1054695</v>
      </c>
      <c r="N11" s="408">
        <f>N45</f>
        <v>985254</v>
      </c>
      <c r="O11" s="439">
        <f>O45</f>
        <v>-11990</v>
      </c>
      <c r="P11" s="77">
        <v>6</v>
      </c>
      <c r="Q11" s="314">
        <f>(C11-'22R3'!C11)/'22R3'!C11*100</f>
        <v>7.9574467330112503E-2</v>
      </c>
      <c r="R11" s="394">
        <f>D11+E11+F11+J11+L11</f>
        <v>1128143</v>
      </c>
      <c r="S11" s="394">
        <f t="shared" si="4"/>
        <v>0</v>
      </c>
      <c r="T11" s="49">
        <f>民間設備製造1!S13</f>
        <v>90149</v>
      </c>
      <c r="U11" s="49">
        <v>1037662</v>
      </c>
    </row>
    <row r="12" spans="1:21">
      <c r="A12" s="298">
        <v>7</v>
      </c>
      <c r="B12" s="75" t="s">
        <v>210</v>
      </c>
      <c r="C12" s="413">
        <f t="shared" ref="C12:J12" si="10">C53</f>
        <v>747339</v>
      </c>
      <c r="D12" s="439">
        <f t="shared" si="10"/>
        <v>413437</v>
      </c>
      <c r="E12" s="408">
        <f t="shared" si="10"/>
        <v>139375</v>
      </c>
      <c r="F12" s="439">
        <f t="shared" si="10"/>
        <v>158662</v>
      </c>
      <c r="G12" s="408">
        <f t="shared" si="10"/>
        <v>11528</v>
      </c>
      <c r="H12" s="439">
        <f t="shared" si="10"/>
        <v>147427</v>
      </c>
      <c r="I12" s="408">
        <f t="shared" si="10"/>
        <v>-293</v>
      </c>
      <c r="J12" s="439">
        <f t="shared" si="10"/>
        <v>24450</v>
      </c>
      <c r="K12" s="408">
        <f>K53</f>
        <v>735924</v>
      </c>
      <c r="L12" s="413">
        <f>L53</f>
        <v>11415</v>
      </c>
      <c r="M12" s="439">
        <f>M53</f>
        <v>733389</v>
      </c>
      <c r="N12" s="408">
        <f>N53</f>
        <v>677199</v>
      </c>
      <c r="O12" s="439">
        <f>O53</f>
        <v>-44775</v>
      </c>
      <c r="P12" s="77">
        <v>7</v>
      </c>
      <c r="Q12" s="314">
        <f>(C12-'22R3'!C12)/'22R3'!C12*100</f>
        <v>23.632961775536739</v>
      </c>
      <c r="R12" s="394">
        <f t="shared" si="3"/>
        <v>747339</v>
      </c>
      <c r="S12" s="394">
        <f t="shared" si="4"/>
        <v>0</v>
      </c>
      <c r="T12" s="49">
        <f>民間設備製造1!S14</f>
        <v>34544</v>
      </c>
      <c r="U12" s="49">
        <v>721168</v>
      </c>
    </row>
    <row r="13" spans="1:21">
      <c r="A13" s="298">
        <v>8</v>
      </c>
      <c r="B13" s="75" t="s">
        <v>211</v>
      </c>
      <c r="C13" s="413">
        <f t="shared" ref="C13:J13" si="11">C59</f>
        <v>483345</v>
      </c>
      <c r="D13" s="439">
        <f t="shared" si="11"/>
        <v>271758</v>
      </c>
      <c r="E13" s="408">
        <f t="shared" si="11"/>
        <v>78339</v>
      </c>
      <c r="F13" s="439">
        <f t="shared" si="11"/>
        <v>101136</v>
      </c>
      <c r="G13" s="408">
        <f t="shared" si="11"/>
        <v>10072</v>
      </c>
      <c r="H13" s="439">
        <f t="shared" si="11"/>
        <v>91248</v>
      </c>
      <c r="I13" s="408">
        <f t="shared" si="11"/>
        <v>-184</v>
      </c>
      <c r="J13" s="439">
        <f t="shared" si="11"/>
        <v>10561</v>
      </c>
      <c r="K13" s="408">
        <f>K59</f>
        <v>461794</v>
      </c>
      <c r="L13" s="413">
        <f>L59</f>
        <v>21551</v>
      </c>
      <c r="M13" s="439">
        <f>M59</f>
        <v>458247</v>
      </c>
      <c r="N13" s="408">
        <f>N59</f>
        <v>424944</v>
      </c>
      <c r="O13" s="439">
        <f>O59</f>
        <v>-11752</v>
      </c>
      <c r="P13" s="77">
        <v>8</v>
      </c>
      <c r="Q13" s="314">
        <f>(C13-'22R3'!C13)/'22R3'!C13*100</f>
        <v>5.0626665565346674</v>
      </c>
      <c r="R13" s="394">
        <f t="shared" si="3"/>
        <v>483345</v>
      </c>
      <c r="S13" s="394">
        <f t="shared" si="4"/>
        <v>0</v>
      </c>
      <c r="T13" s="49">
        <f>民間設備製造1!S15</f>
        <v>21533</v>
      </c>
      <c r="U13" s="49">
        <v>452642</v>
      </c>
    </row>
    <row r="14" spans="1:21">
      <c r="A14" s="298">
        <v>9</v>
      </c>
      <c r="B14" s="75" t="s">
        <v>212</v>
      </c>
      <c r="C14" s="413">
        <f t="shared" ref="C14:J14" si="12">C62</f>
        <v>577411</v>
      </c>
      <c r="D14" s="439">
        <f t="shared" si="12"/>
        <v>320329</v>
      </c>
      <c r="E14" s="408">
        <f t="shared" si="12"/>
        <v>108536</v>
      </c>
      <c r="F14" s="439">
        <f t="shared" si="12"/>
        <v>114949</v>
      </c>
      <c r="G14" s="408">
        <f t="shared" si="12"/>
        <v>14725</v>
      </c>
      <c r="H14" s="439">
        <f t="shared" si="12"/>
        <v>100453</v>
      </c>
      <c r="I14" s="408">
        <f t="shared" si="12"/>
        <v>-229</v>
      </c>
      <c r="J14" s="439">
        <f t="shared" si="12"/>
        <v>24485</v>
      </c>
      <c r="K14" s="408">
        <f>K62</f>
        <v>568299</v>
      </c>
      <c r="L14" s="413">
        <f>L62</f>
        <v>9112</v>
      </c>
      <c r="M14" s="439">
        <f>M62</f>
        <v>566535</v>
      </c>
      <c r="N14" s="408">
        <f>N62</f>
        <v>522950</v>
      </c>
      <c r="O14" s="439">
        <f>O62</f>
        <v>-34473</v>
      </c>
      <c r="P14" s="77">
        <v>9</v>
      </c>
      <c r="Q14" s="314">
        <f>(C14-'22R3'!C14)/'22R3'!C14*100</f>
        <v>27.708783516281787</v>
      </c>
      <c r="R14" s="394">
        <f t="shared" si="3"/>
        <v>577411</v>
      </c>
      <c r="S14" s="394">
        <f t="shared" si="4"/>
        <v>0</v>
      </c>
      <c r="T14" s="49">
        <f>民間設備製造1!S16</f>
        <v>15147</v>
      </c>
      <c r="U14" s="49">
        <v>567041</v>
      </c>
    </row>
    <row r="15" spans="1:21">
      <c r="A15" s="298"/>
      <c r="B15" s="87"/>
      <c r="C15" s="413" t="s">
        <v>11</v>
      </c>
      <c r="D15" s="439" t="s">
        <v>11</v>
      </c>
      <c r="E15" s="408" t="s">
        <v>11</v>
      </c>
      <c r="F15" s="1355"/>
      <c r="G15" s="408" t="s">
        <v>11</v>
      </c>
      <c r="H15" s="439" t="s">
        <v>11</v>
      </c>
      <c r="I15" s="408" t="s">
        <v>11</v>
      </c>
      <c r="J15" s="439" t="s">
        <v>11</v>
      </c>
      <c r="K15" s="408" t="s">
        <v>11</v>
      </c>
      <c r="L15" s="308" t="s">
        <v>11</v>
      </c>
      <c r="M15" s="1094" t="s">
        <v>11</v>
      </c>
      <c r="N15" s="281" t="s">
        <v>11</v>
      </c>
      <c r="O15" s="1094" t="str">
        <f>'12H23'!O15</f>
        <v>　</v>
      </c>
      <c r="P15" s="77" t="s">
        <v>11</v>
      </c>
      <c r="Q15" s="314" t="s">
        <v>11</v>
      </c>
      <c r="R15" s="394" t="s">
        <v>11</v>
      </c>
      <c r="S15" s="394" t="s">
        <v>11</v>
      </c>
      <c r="T15" s="49" t="s">
        <v>11</v>
      </c>
      <c r="U15" s="49" t="s">
        <v>106</v>
      </c>
    </row>
    <row r="16" spans="1:21">
      <c r="A16" s="299">
        <v>100</v>
      </c>
      <c r="B16" s="305" t="s">
        <v>172</v>
      </c>
      <c r="C16" s="1356">
        <f t="shared" ref="C16:C65" si="13">K16+L16</f>
        <v>7513418.3111634683</v>
      </c>
      <c r="D16" s="560">
        <f>民間消費!V18</f>
        <v>4399875</v>
      </c>
      <c r="E16" s="557">
        <f>政府消費!V18</f>
        <v>1125791</v>
      </c>
      <c r="F16" s="1358">
        <f t="shared" ref="F16:F65" si="14">G16+H16+I16</f>
        <v>1441357.2816393306</v>
      </c>
      <c r="G16" s="560">
        <f>民間住宅1!V18</f>
        <v>201920.28163933067</v>
      </c>
      <c r="H16" s="544">
        <f>民間設備投資計!V18</f>
        <v>1242231</v>
      </c>
      <c r="I16" s="544">
        <f>民間在庫品増加!V18</f>
        <v>-2794</v>
      </c>
      <c r="J16" s="557">
        <f>公的投資!V18</f>
        <v>275598</v>
      </c>
      <c r="K16" s="1359">
        <f t="shared" ref="K16:K65" si="15">D16+E16+F16+J16</f>
        <v>7242621.2816393301</v>
      </c>
      <c r="L16" s="1102">
        <f>M16-N16+O16</f>
        <v>270797.0295241382</v>
      </c>
      <c r="M16" s="1126">
        <f>移出入推計WS!GN18+移出入推計WS!GP18+移出入推計WS!GQ18</f>
        <v>7164914.0295241382</v>
      </c>
      <c r="N16" s="545">
        <f>移出入推計WS!GO18</f>
        <v>6664680</v>
      </c>
      <c r="O16" s="1998">
        <f>'24R5'!O16</f>
        <v>-229437</v>
      </c>
      <c r="P16" s="293">
        <v>100</v>
      </c>
      <c r="Q16" s="314">
        <f>(C16-'22R3'!C16)/'22R3'!C16*100</f>
        <v>8.1380127369709552</v>
      </c>
      <c r="R16" s="394">
        <f t="shared" si="3"/>
        <v>7513418.3111634683</v>
      </c>
      <c r="S16" s="394">
        <f t="shared" si="4"/>
        <v>0</v>
      </c>
      <c r="T16" s="49">
        <f>民間設備製造1!S18</f>
        <v>202112</v>
      </c>
      <c r="U16" s="49">
        <v>6918660</v>
      </c>
    </row>
    <row r="17" spans="1:21">
      <c r="A17" s="300">
        <v>1</v>
      </c>
      <c r="B17" s="65" t="s">
        <v>182</v>
      </c>
      <c r="C17" s="413">
        <f>SUM(C18:C20)</f>
        <v>4506521</v>
      </c>
      <c r="D17" s="561">
        <f>民間消費!V19</f>
        <v>2878133</v>
      </c>
      <c r="E17" s="558">
        <f>政府消費!V19</f>
        <v>530814</v>
      </c>
      <c r="F17" s="408">
        <f>SUM(F18:F20)</f>
        <v>898444</v>
      </c>
      <c r="G17" s="561">
        <f>民間住宅1!V19</f>
        <v>171477</v>
      </c>
      <c r="H17" s="538">
        <f>民間設備投資計!V19</f>
        <v>728658</v>
      </c>
      <c r="I17" s="538">
        <f>民間在庫品増加!V19</f>
        <v>-1691</v>
      </c>
      <c r="J17" s="558">
        <f>公的投資!V19</f>
        <v>96982</v>
      </c>
      <c r="K17" s="408">
        <f>SUM(K18:K20)</f>
        <v>4404373</v>
      </c>
      <c r="L17" s="412">
        <f t="shared" ref="L17" si="16">SUM(L18:L20)</f>
        <v>102148</v>
      </c>
      <c r="M17" s="1127">
        <f>移出入推計WS!GN19+移出入推計WS!GP19+移出入推計WS!GQ19</f>
        <v>4324127</v>
      </c>
      <c r="N17" s="539">
        <f>移出入推計WS!GO19</f>
        <v>4052916</v>
      </c>
      <c r="O17" s="1999">
        <f>'24R5'!O17</f>
        <v>-169063</v>
      </c>
      <c r="P17" s="293">
        <v>1</v>
      </c>
      <c r="Q17" s="314">
        <f>(C17-'22R3'!C17)/'22R3'!C17*100</f>
        <v>21.923874837128967</v>
      </c>
      <c r="R17" s="394">
        <f t="shared" si="3"/>
        <v>4506521</v>
      </c>
      <c r="S17" s="394">
        <f t="shared" si="4"/>
        <v>0</v>
      </c>
      <c r="T17" s="49">
        <f>民間設備製造1!S19</f>
        <v>103127</v>
      </c>
      <c r="U17" s="49">
        <v>4179364</v>
      </c>
    </row>
    <row r="18" spans="1:21">
      <c r="A18" s="300">
        <v>202</v>
      </c>
      <c r="B18" s="90" t="s">
        <v>183</v>
      </c>
      <c r="C18" s="413">
        <f t="shared" si="13"/>
        <v>2141931</v>
      </c>
      <c r="D18" s="561">
        <f>民間消費!V20</f>
        <v>1325060</v>
      </c>
      <c r="E18" s="558">
        <f>政府消費!V20</f>
        <v>207308</v>
      </c>
      <c r="F18" s="572">
        <f t="shared" si="14"/>
        <v>473064</v>
      </c>
      <c r="G18" s="561">
        <f>民間住宅1!V20</f>
        <v>89547</v>
      </c>
      <c r="H18" s="538">
        <f>民間設備投資計!V20</f>
        <v>384295</v>
      </c>
      <c r="I18" s="538">
        <f>民間在庫品増加!V20</f>
        <v>-778</v>
      </c>
      <c r="J18" s="558">
        <f>公的投資!V20</f>
        <v>39413</v>
      </c>
      <c r="K18" s="408">
        <f t="shared" si="15"/>
        <v>2044845</v>
      </c>
      <c r="L18" s="1103">
        <f t="shared" ref="L18:L65" si="17">M18-N18+O18</f>
        <v>97086</v>
      </c>
      <c r="M18" s="1127">
        <f>移出入推計WS!GN20+移出入推計WS!GP20+移出入推計WS!GQ20</f>
        <v>1999193</v>
      </c>
      <c r="N18" s="539">
        <f>移出入推計WS!GO20</f>
        <v>1881672</v>
      </c>
      <c r="O18" s="1999">
        <f>'24R5'!O18</f>
        <v>-20435</v>
      </c>
      <c r="P18" s="293">
        <v>202</v>
      </c>
      <c r="Q18" s="314">
        <f>(C18-'22R3'!C18)/'22R3'!C18*100</f>
        <v>6.4718794830728124</v>
      </c>
      <c r="R18" s="394">
        <f t="shared" si="3"/>
        <v>2141931</v>
      </c>
      <c r="S18" s="394">
        <f t="shared" si="4"/>
        <v>0</v>
      </c>
      <c r="T18" s="49">
        <f>民間設備製造1!S20</f>
        <v>88650</v>
      </c>
      <c r="U18" s="49">
        <v>1922816</v>
      </c>
    </row>
    <row r="19" spans="1:21">
      <c r="A19" s="300">
        <v>204</v>
      </c>
      <c r="B19" s="90" t="s">
        <v>184</v>
      </c>
      <c r="C19" s="413">
        <f t="shared" si="13"/>
        <v>1948678</v>
      </c>
      <c r="D19" s="561">
        <f>民間消費!V21</f>
        <v>1282429</v>
      </c>
      <c r="E19" s="558">
        <f>政府消費!V21</f>
        <v>263036</v>
      </c>
      <c r="F19" s="572">
        <f t="shared" si="14"/>
        <v>359224</v>
      </c>
      <c r="G19" s="561">
        <f>民間住宅1!V21</f>
        <v>74440</v>
      </c>
      <c r="H19" s="538">
        <f>民間設備投資計!V21</f>
        <v>285533</v>
      </c>
      <c r="I19" s="538">
        <f>民間在庫品増加!V21</f>
        <v>-749</v>
      </c>
      <c r="J19" s="558">
        <f>公的投資!V21</f>
        <v>37837</v>
      </c>
      <c r="K19" s="408">
        <f t="shared" si="15"/>
        <v>1942526</v>
      </c>
      <c r="L19" s="1103">
        <f t="shared" si="17"/>
        <v>6152</v>
      </c>
      <c r="M19" s="1127">
        <f>移出入推計WS!GN21+移出入推計WS!GP21+移出入推計WS!GQ21</f>
        <v>1913339</v>
      </c>
      <c r="N19" s="539">
        <f>移出入推計WS!GO21</f>
        <v>1787518</v>
      </c>
      <c r="O19" s="1999">
        <f>'24R5'!O19</f>
        <v>-119669</v>
      </c>
      <c r="P19" s="293">
        <v>204</v>
      </c>
      <c r="Q19" s="314">
        <f>(C19-'22R3'!C19)/'22R3'!C19*100</f>
        <v>34.276941480308537</v>
      </c>
      <c r="R19" s="394">
        <f t="shared" si="3"/>
        <v>1948678</v>
      </c>
      <c r="S19" s="394">
        <f t="shared" si="4"/>
        <v>0</v>
      </c>
      <c r="T19" s="49">
        <f>民間設備製造1!S21</f>
        <v>14438</v>
      </c>
      <c r="U19" s="49">
        <v>1850626</v>
      </c>
    </row>
    <row r="20" spans="1:21">
      <c r="A20" s="300">
        <v>206</v>
      </c>
      <c r="B20" s="90" t="s">
        <v>185</v>
      </c>
      <c r="C20" s="413">
        <f t="shared" si="13"/>
        <v>415912</v>
      </c>
      <c r="D20" s="561">
        <f>民間消費!V22</f>
        <v>270644</v>
      </c>
      <c r="E20" s="558">
        <f>政府消費!V22</f>
        <v>60470</v>
      </c>
      <c r="F20" s="572">
        <f t="shared" si="14"/>
        <v>66156</v>
      </c>
      <c r="G20" s="561">
        <f>民間住宅1!V22</f>
        <v>7490</v>
      </c>
      <c r="H20" s="538">
        <f>民間設備投資計!V22</f>
        <v>58830</v>
      </c>
      <c r="I20" s="538">
        <f>民間在庫品増加!V22</f>
        <v>-164</v>
      </c>
      <c r="J20" s="558">
        <f>公的投資!V22</f>
        <v>19732</v>
      </c>
      <c r="K20" s="408">
        <f t="shared" si="15"/>
        <v>417002</v>
      </c>
      <c r="L20" s="1104">
        <f t="shared" si="17"/>
        <v>-1090</v>
      </c>
      <c r="M20" s="1127">
        <f>移出入推計WS!GN22+移出入推計WS!GP22+移出入推計WS!GQ22</f>
        <v>411595</v>
      </c>
      <c r="N20" s="539">
        <f>移出入推計WS!GO22</f>
        <v>383726</v>
      </c>
      <c r="O20" s="1999">
        <f>'24R5'!O20</f>
        <v>-28959</v>
      </c>
      <c r="P20" s="293">
        <v>206</v>
      </c>
      <c r="Q20" s="314">
        <f>(C20-'22R3'!C20)/'22R3'!C20*100</f>
        <v>78.346855113977469</v>
      </c>
      <c r="R20" s="394">
        <f t="shared" si="3"/>
        <v>415912</v>
      </c>
      <c r="S20" s="394">
        <f t="shared" si="4"/>
        <v>0</v>
      </c>
      <c r="T20" s="49">
        <f>民間設備製造1!S22</f>
        <v>39</v>
      </c>
      <c r="U20" s="49">
        <v>405922</v>
      </c>
    </row>
    <row r="21" spans="1:21">
      <c r="A21" s="301">
        <v>2</v>
      </c>
      <c r="B21" s="128" t="s">
        <v>186</v>
      </c>
      <c r="C21" s="307">
        <f>SUM(C22:C26)</f>
        <v>3131557</v>
      </c>
      <c r="D21" s="561">
        <f>民間消費!V23</f>
        <v>1886056</v>
      </c>
      <c r="E21" s="558">
        <f>政府消費!V23</f>
        <v>353613</v>
      </c>
      <c r="F21" s="292">
        <f>SUM(F22:F26)</f>
        <v>639900</v>
      </c>
      <c r="G21" s="561">
        <f>民間住宅1!V23</f>
        <v>99695</v>
      </c>
      <c r="H21" s="538">
        <f>民間設備投資計!V23</f>
        <v>541324</v>
      </c>
      <c r="I21" s="538">
        <f>民間在庫品増加!V23</f>
        <v>-1119</v>
      </c>
      <c r="J21" s="558">
        <f>公的投資!V23</f>
        <v>179150</v>
      </c>
      <c r="K21" s="292">
        <f>SUM(K22:K26)</f>
        <v>3058719</v>
      </c>
      <c r="L21" s="308">
        <f t="shared" ref="L21" si="18">SUM(L22:L26)</f>
        <v>72838</v>
      </c>
      <c r="M21" s="1127">
        <f>移出入推計WS!GN23+移出入推計WS!GP23+移出入推計WS!GQ23</f>
        <v>2999767</v>
      </c>
      <c r="N21" s="539">
        <f>移出入推計WS!GO23</f>
        <v>2814641</v>
      </c>
      <c r="O21" s="1999">
        <f>'24R5'!O21</f>
        <v>-112288</v>
      </c>
      <c r="P21" s="293">
        <v>2</v>
      </c>
      <c r="Q21" s="314">
        <f>(C21-'22R3'!C21)/'22R3'!C21*100</f>
        <v>41.953836718208521</v>
      </c>
      <c r="R21" s="394">
        <f t="shared" si="3"/>
        <v>3131557</v>
      </c>
      <c r="S21" s="394">
        <f t="shared" si="4"/>
        <v>0</v>
      </c>
      <c r="T21" s="49">
        <f>民間設備製造1!S23</f>
        <v>117843</v>
      </c>
      <c r="U21" s="49">
        <v>2764914</v>
      </c>
    </row>
    <row r="22" spans="1:21">
      <c r="A22" s="300">
        <v>207</v>
      </c>
      <c r="B22" s="90" t="s">
        <v>187</v>
      </c>
      <c r="C22" s="413">
        <f t="shared" si="13"/>
        <v>916571</v>
      </c>
      <c r="D22" s="561">
        <f>民間消費!V24</f>
        <v>530822</v>
      </c>
      <c r="E22" s="558">
        <f>政府消費!V24</f>
        <v>93452</v>
      </c>
      <c r="F22" s="572">
        <f t="shared" si="14"/>
        <v>228248</v>
      </c>
      <c r="G22" s="561">
        <f>民間住宅1!V24</f>
        <v>31928</v>
      </c>
      <c r="H22" s="538">
        <f>民間設備投資計!V24</f>
        <v>196651</v>
      </c>
      <c r="I22" s="538">
        <f>民間在庫品増加!V24</f>
        <v>-331</v>
      </c>
      <c r="J22" s="558">
        <f>公的投資!V24</f>
        <v>26081</v>
      </c>
      <c r="K22" s="408">
        <f t="shared" si="15"/>
        <v>878603</v>
      </c>
      <c r="L22" s="1103">
        <f t="shared" si="17"/>
        <v>37968</v>
      </c>
      <c r="M22" s="1127">
        <f>移出入推計WS!GN24+移出入推計WS!GP24+移出入推計WS!GQ24</f>
        <v>859927</v>
      </c>
      <c r="N22" s="539">
        <f>移出入推計WS!GO24</f>
        <v>808493</v>
      </c>
      <c r="O22" s="1999">
        <f>'24R5'!O22</f>
        <v>-13466</v>
      </c>
      <c r="P22" s="293">
        <v>207</v>
      </c>
      <c r="Q22" s="314">
        <f>(C22-'22R3'!C22)/'22R3'!C22*100</f>
        <v>17.517087699548817</v>
      </c>
      <c r="R22" s="394">
        <f t="shared" si="3"/>
        <v>916571</v>
      </c>
      <c r="S22" s="394">
        <f t="shared" si="4"/>
        <v>0</v>
      </c>
      <c r="T22" s="49">
        <f>民間設備製造1!S24</f>
        <v>65698</v>
      </c>
      <c r="U22" s="49">
        <v>818356</v>
      </c>
    </row>
    <row r="23" spans="1:21">
      <c r="A23" s="300">
        <v>214</v>
      </c>
      <c r="B23" s="90" t="s">
        <v>188</v>
      </c>
      <c r="C23" s="413">
        <f t="shared" si="13"/>
        <v>886371</v>
      </c>
      <c r="D23" s="561">
        <f>民間消費!V25</f>
        <v>606090</v>
      </c>
      <c r="E23" s="558">
        <f>政府消費!V25</f>
        <v>109020</v>
      </c>
      <c r="F23" s="572">
        <f t="shared" si="14"/>
        <v>157391</v>
      </c>
      <c r="G23" s="561">
        <f>民間住宅1!V25</f>
        <v>30522</v>
      </c>
      <c r="H23" s="538">
        <f>民間設備投資計!V25</f>
        <v>127208</v>
      </c>
      <c r="I23" s="538">
        <f>民間在庫品増加!V25</f>
        <v>-339</v>
      </c>
      <c r="J23" s="558">
        <f>公的投資!V25</f>
        <v>23353</v>
      </c>
      <c r="K23" s="408">
        <f t="shared" si="15"/>
        <v>895854</v>
      </c>
      <c r="L23" s="1103">
        <f t="shared" si="17"/>
        <v>-9483</v>
      </c>
      <c r="M23" s="1127">
        <f>移出入推計WS!GN25+移出入推計WS!GP25+移出入推計WS!GQ25</f>
        <v>879757</v>
      </c>
      <c r="N23" s="539">
        <f>移出入推計WS!GO25</f>
        <v>824367</v>
      </c>
      <c r="O23" s="1999">
        <f>'24R5'!O23</f>
        <v>-64873</v>
      </c>
      <c r="P23" s="293">
        <v>214</v>
      </c>
      <c r="Q23" s="314">
        <f>(C23-'22R3'!C23)/'22R3'!C23*100</f>
        <v>78.262845742487841</v>
      </c>
      <c r="R23" s="394">
        <f t="shared" si="3"/>
        <v>886371</v>
      </c>
      <c r="S23" s="394">
        <f t="shared" si="4"/>
        <v>0</v>
      </c>
      <c r="T23" s="49">
        <f>民間設備製造1!S25</f>
        <v>5148</v>
      </c>
      <c r="U23" s="49">
        <v>836914</v>
      </c>
    </row>
    <row r="24" spans="1:21">
      <c r="A24" s="300">
        <v>217</v>
      </c>
      <c r="B24" s="90" t="s">
        <v>189</v>
      </c>
      <c r="C24" s="413">
        <f t="shared" si="13"/>
        <v>593686</v>
      </c>
      <c r="D24" s="561">
        <f>民間消費!V26</f>
        <v>405264</v>
      </c>
      <c r="E24" s="558">
        <f>政府消費!V26</f>
        <v>72650</v>
      </c>
      <c r="F24" s="572">
        <f t="shared" si="14"/>
        <v>107278</v>
      </c>
      <c r="G24" s="561">
        <f>民間住宅1!V26</f>
        <v>21217</v>
      </c>
      <c r="H24" s="538">
        <f>民間設備投資計!V26</f>
        <v>86288</v>
      </c>
      <c r="I24" s="538">
        <f>民間在庫品増加!V26</f>
        <v>-227</v>
      </c>
      <c r="J24" s="558">
        <f>公的投資!V26</f>
        <v>11216</v>
      </c>
      <c r="K24" s="408">
        <f t="shared" si="15"/>
        <v>596408</v>
      </c>
      <c r="L24" s="1103">
        <f t="shared" si="17"/>
        <v>-2722</v>
      </c>
      <c r="M24" s="1127">
        <f>移出入推計WS!GN26+移出入推計WS!GP26+移出入推計WS!GQ26</f>
        <v>585707</v>
      </c>
      <c r="N24" s="539">
        <f>移出入推計WS!GO26</f>
        <v>548816</v>
      </c>
      <c r="O24" s="1999">
        <f>'24R5'!O24</f>
        <v>-39613</v>
      </c>
      <c r="P24" s="293">
        <v>217</v>
      </c>
      <c r="Q24" s="314">
        <f>(C24-'22R3'!C24)/'22R3'!C24*100</f>
        <v>67.882431454167047</v>
      </c>
      <c r="R24" s="394">
        <f t="shared" si="3"/>
        <v>593686</v>
      </c>
      <c r="S24" s="394">
        <f t="shared" si="4"/>
        <v>0</v>
      </c>
      <c r="T24" s="49">
        <f>民間設備製造1!S26</f>
        <v>4112</v>
      </c>
      <c r="U24" s="49">
        <v>560663</v>
      </c>
    </row>
    <row r="25" spans="1:21">
      <c r="A25" s="300">
        <v>219</v>
      </c>
      <c r="B25" s="90" t="s">
        <v>190</v>
      </c>
      <c r="C25" s="413">
        <f t="shared" si="13"/>
        <v>519223</v>
      </c>
      <c r="D25" s="561">
        <f>民間消費!V27</f>
        <v>272761</v>
      </c>
      <c r="E25" s="558">
        <f>政府消費!V27</f>
        <v>58672</v>
      </c>
      <c r="F25" s="572">
        <f t="shared" si="14"/>
        <v>129807</v>
      </c>
      <c r="G25" s="561">
        <f>民間住宅1!V27</f>
        <v>15159</v>
      </c>
      <c r="H25" s="538">
        <f>民間設備投資計!V27</f>
        <v>114827</v>
      </c>
      <c r="I25" s="538">
        <f>民間在庫品増加!V27</f>
        <v>-179</v>
      </c>
      <c r="J25" s="558">
        <f>公的投資!V27</f>
        <v>13261</v>
      </c>
      <c r="K25" s="408">
        <f t="shared" si="15"/>
        <v>474501</v>
      </c>
      <c r="L25" s="1103">
        <f t="shared" si="17"/>
        <v>44722</v>
      </c>
      <c r="M25" s="1127">
        <f>移出入推計WS!GN27+移出入推計WS!GP27+移出入推計WS!GQ27</f>
        <v>466174</v>
      </c>
      <c r="N25" s="539">
        <f>移出入推計WS!GO27</f>
        <v>436637</v>
      </c>
      <c r="O25" s="1999">
        <f>'24R5'!O25</f>
        <v>15185</v>
      </c>
      <c r="P25" s="293">
        <v>219</v>
      </c>
      <c r="Q25" s="314">
        <f>(C25-'22R3'!C25)/'22R3'!C25*100</f>
        <v>1.6157599218736238</v>
      </c>
      <c r="R25" s="394">
        <f t="shared" si="3"/>
        <v>519223</v>
      </c>
      <c r="S25" s="394">
        <f t="shared" si="4"/>
        <v>0</v>
      </c>
      <c r="T25" s="49">
        <f>民間設備製造1!S27</f>
        <v>42260</v>
      </c>
      <c r="U25" s="49">
        <v>441821</v>
      </c>
    </row>
    <row r="26" spans="1:21">
      <c r="A26" s="302">
        <v>301</v>
      </c>
      <c r="B26" s="201" t="s">
        <v>191</v>
      </c>
      <c r="C26" s="445">
        <f t="shared" si="13"/>
        <v>215706</v>
      </c>
      <c r="D26" s="561">
        <f>民間消費!V28</f>
        <v>71119</v>
      </c>
      <c r="E26" s="558">
        <f>政府消費!V28</f>
        <v>19819</v>
      </c>
      <c r="F26" s="573">
        <f t="shared" si="14"/>
        <v>17176</v>
      </c>
      <c r="G26" s="561">
        <f>民間住宅1!V28</f>
        <v>869</v>
      </c>
      <c r="H26" s="538">
        <f>民間設備投資計!V28</f>
        <v>16350</v>
      </c>
      <c r="I26" s="538">
        <f>民間在庫品増加!V28</f>
        <v>-43</v>
      </c>
      <c r="J26" s="558">
        <f>公的投資!V28</f>
        <v>105239</v>
      </c>
      <c r="K26" s="409">
        <f t="shared" si="15"/>
        <v>213353</v>
      </c>
      <c r="L26" s="1103">
        <f t="shared" si="17"/>
        <v>2353</v>
      </c>
      <c r="M26" s="1127">
        <f>移出入推計WS!GN28+移出入推計WS!GP28+移出入推計WS!GQ28</f>
        <v>208202</v>
      </c>
      <c r="N26" s="539">
        <f>移出入推計WS!GO28</f>
        <v>196328</v>
      </c>
      <c r="O26" s="1999">
        <f>'24R5'!O26</f>
        <v>-9521</v>
      </c>
      <c r="P26" s="293">
        <v>301</v>
      </c>
      <c r="Q26" s="314">
        <f>(C26-'22R3'!C26)/'22R3'!C26*100</f>
        <v>235.64559798338158</v>
      </c>
      <c r="R26" s="394">
        <f t="shared" si="3"/>
        <v>215706</v>
      </c>
      <c r="S26" s="394">
        <f t="shared" si="4"/>
        <v>0</v>
      </c>
      <c r="T26" s="49">
        <f>民間設備製造1!S28</f>
        <v>625</v>
      </c>
      <c r="U26" s="49">
        <v>107160</v>
      </c>
    </row>
    <row r="27" spans="1:21">
      <c r="A27" s="300">
        <v>3</v>
      </c>
      <c r="B27" s="65" t="s">
        <v>192</v>
      </c>
      <c r="C27" s="308">
        <f>SUM(C28:C32)</f>
        <v>3510935</v>
      </c>
      <c r="D27" s="561">
        <f>民間消費!V29</f>
        <v>1955744</v>
      </c>
      <c r="E27" s="558">
        <f>政府消費!V29</f>
        <v>339761</v>
      </c>
      <c r="F27" s="281">
        <f>SUM(F28:F32)</f>
        <v>1039973</v>
      </c>
      <c r="G27" s="561">
        <f>民間住宅1!V29</f>
        <v>109947</v>
      </c>
      <c r="H27" s="538">
        <f>民間設備投資計!V29</f>
        <v>931321</v>
      </c>
      <c r="I27" s="538">
        <f>民間在庫品増加!V29</f>
        <v>-1295</v>
      </c>
      <c r="J27" s="558">
        <f>公的投資!V29</f>
        <v>77658</v>
      </c>
      <c r="K27" s="281">
        <f>SUM(K28:K32)</f>
        <v>3413136</v>
      </c>
      <c r="L27" s="307">
        <f t="shared" ref="L27" si="19">SUM(L28:L32)</f>
        <v>97799</v>
      </c>
      <c r="M27" s="1127">
        <f>移出入推計WS!GN29+移出入推計WS!GP29+移出入推計WS!GQ29</f>
        <v>3335591</v>
      </c>
      <c r="N27" s="539">
        <f>移出入推計WS!GO29</f>
        <v>3140777</v>
      </c>
      <c r="O27" s="1999">
        <f>'24R5'!O27</f>
        <v>-97015</v>
      </c>
      <c r="P27" s="293">
        <v>3</v>
      </c>
      <c r="Q27" s="314">
        <f>(C27-'22R3'!C27)/'22R3'!C27*100</f>
        <v>18.604935556566751</v>
      </c>
      <c r="R27" s="394">
        <f t="shared" si="3"/>
        <v>3510935</v>
      </c>
      <c r="S27" s="394">
        <f t="shared" si="4"/>
        <v>0</v>
      </c>
      <c r="T27" s="49">
        <f>民間設備製造1!S29</f>
        <v>392618</v>
      </c>
      <c r="U27" s="49">
        <v>3200858</v>
      </c>
    </row>
    <row r="28" spans="1:21">
      <c r="A28" s="300">
        <v>203</v>
      </c>
      <c r="B28" s="90" t="s">
        <v>193</v>
      </c>
      <c r="C28" s="413">
        <f t="shared" si="13"/>
        <v>1397646</v>
      </c>
      <c r="D28" s="561">
        <f>民間消費!V30</f>
        <v>862360</v>
      </c>
      <c r="E28" s="558">
        <f>政府消費!V30</f>
        <v>147540</v>
      </c>
      <c r="F28" s="572">
        <f t="shared" si="14"/>
        <v>356192</v>
      </c>
      <c r="G28" s="561">
        <f>民間住宅1!V30</f>
        <v>54321</v>
      </c>
      <c r="H28" s="538">
        <f>民間設備投資計!V30</f>
        <v>302393</v>
      </c>
      <c r="I28" s="538">
        <f>民間在庫品増加!V30</f>
        <v>-522</v>
      </c>
      <c r="J28" s="558">
        <f>公的投資!V30</f>
        <v>29483</v>
      </c>
      <c r="K28" s="408">
        <f t="shared" si="15"/>
        <v>1395575</v>
      </c>
      <c r="L28" s="1103">
        <f t="shared" si="17"/>
        <v>2071</v>
      </c>
      <c r="M28" s="1127">
        <f>移出入推計WS!GN30+移出入推計WS!GP30+移出入推計WS!GQ30</f>
        <v>1365717</v>
      </c>
      <c r="N28" s="539">
        <f>移出入推計WS!GO30</f>
        <v>1284212</v>
      </c>
      <c r="O28" s="1999">
        <f>'24R5'!O28</f>
        <v>-79434</v>
      </c>
      <c r="P28" s="293">
        <v>203</v>
      </c>
      <c r="Q28" s="314">
        <f>(C28-'22R3'!C28)/'22R3'!C28*100</f>
        <v>22.02763866479475</v>
      </c>
      <c r="R28" s="394">
        <f t="shared" si="3"/>
        <v>1397646</v>
      </c>
      <c r="S28" s="394">
        <f t="shared" si="4"/>
        <v>0</v>
      </c>
      <c r="T28" s="49">
        <f>民間設備製造1!S30</f>
        <v>96260</v>
      </c>
      <c r="U28" s="49">
        <v>1291677</v>
      </c>
    </row>
    <row r="29" spans="1:21">
      <c r="A29" s="300">
        <v>210</v>
      </c>
      <c r="B29" s="90" t="s">
        <v>194</v>
      </c>
      <c r="C29" s="413">
        <f t="shared" si="13"/>
        <v>1184209</v>
      </c>
      <c r="D29" s="561">
        <f>民間消費!V31</f>
        <v>686454</v>
      </c>
      <c r="E29" s="558">
        <f>政府消費!V31</f>
        <v>115690</v>
      </c>
      <c r="F29" s="572">
        <f t="shared" si="14"/>
        <v>336604</v>
      </c>
      <c r="G29" s="561">
        <f>民間住宅1!V31</f>
        <v>34919</v>
      </c>
      <c r="H29" s="538">
        <f>民間設備投資計!V31</f>
        <v>302125</v>
      </c>
      <c r="I29" s="538">
        <f>民間在庫品増加!V31</f>
        <v>-440</v>
      </c>
      <c r="J29" s="558">
        <f>公的投資!V31</f>
        <v>20215</v>
      </c>
      <c r="K29" s="408">
        <f t="shared" si="15"/>
        <v>1158963</v>
      </c>
      <c r="L29" s="1103">
        <f t="shared" si="17"/>
        <v>25246</v>
      </c>
      <c r="M29" s="1127">
        <f>移出入推計WS!GN31+移出入推計WS!GP31+移出入推計WS!GQ31</f>
        <v>1132702</v>
      </c>
      <c r="N29" s="539">
        <f>移出入推計WS!GO31</f>
        <v>1066481</v>
      </c>
      <c r="O29" s="1999">
        <f>'24R5'!O29</f>
        <v>-40975</v>
      </c>
      <c r="P29" s="293">
        <v>210</v>
      </c>
      <c r="Q29" s="314">
        <f>(C29-'22R3'!C29)/'22R3'!C29*100</f>
        <v>40.184883539232999</v>
      </c>
      <c r="R29" s="394">
        <f t="shared" si="3"/>
        <v>1184209</v>
      </c>
      <c r="S29" s="394">
        <f t="shared" si="4"/>
        <v>0</v>
      </c>
      <c r="T29" s="49">
        <f>民間設備製造1!S31</f>
        <v>119582</v>
      </c>
      <c r="U29" s="49">
        <v>1087360</v>
      </c>
    </row>
    <row r="30" spans="1:21">
      <c r="A30" s="300">
        <v>216</v>
      </c>
      <c r="B30" s="90" t="s">
        <v>195</v>
      </c>
      <c r="C30" s="413">
        <f t="shared" si="13"/>
        <v>580819</v>
      </c>
      <c r="D30" s="561">
        <f>民間消費!V32</f>
        <v>235588</v>
      </c>
      <c r="E30" s="558">
        <f>政府消費!V32</f>
        <v>46828</v>
      </c>
      <c r="F30" s="572">
        <f t="shared" si="14"/>
        <v>244514</v>
      </c>
      <c r="G30" s="561">
        <f>民間住宅1!V32</f>
        <v>10200</v>
      </c>
      <c r="H30" s="538">
        <f>民間設備投資計!V32</f>
        <v>234524</v>
      </c>
      <c r="I30" s="538">
        <f>民間在庫品増加!V32</f>
        <v>-210</v>
      </c>
      <c r="J30" s="558">
        <f>公的投資!V32</f>
        <v>20535</v>
      </c>
      <c r="K30" s="408">
        <f t="shared" si="15"/>
        <v>547465</v>
      </c>
      <c r="L30" s="1103">
        <f t="shared" si="17"/>
        <v>33354</v>
      </c>
      <c r="M30" s="1127">
        <f>移出入推計WS!GN32+移出入推計WS!GP32+移出入推計WS!GQ32</f>
        <v>533381</v>
      </c>
      <c r="N30" s="539">
        <f>移出入推計WS!GO32</f>
        <v>503779</v>
      </c>
      <c r="O30" s="1999">
        <f>'24R5'!O30</f>
        <v>3752</v>
      </c>
      <c r="P30" s="293">
        <v>216</v>
      </c>
      <c r="Q30" s="314">
        <f>(C30-'22R3'!C30)/'22R3'!C30*100</f>
        <v>5.2978991870862009</v>
      </c>
      <c r="R30" s="394">
        <f t="shared" si="3"/>
        <v>580819</v>
      </c>
      <c r="S30" s="394">
        <f t="shared" si="4"/>
        <v>0</v>
      </c>
      <c r="T30" s="49">
        <f>民間設備製造1!S32</f>
        <v>137373</v>
      </c>
      <c r="U30" s="49">
        <v>518621</v>
      </c>
    </row>
    <row r="31" spans="1:21">
      <c r="A31" s="300">
        <v>381</v>
      </c>
      <c r="B31" s="90" t="s">
        <v>196</v>
      </c>
      <c r="C31" s="413">
        <f t="shared" si="13"/>
        <v>145959</v>
      </c>
      <c r="D31" s="561">
        <f>民間消費!V33</f>
        <v>77701</v>
      </c>
      <c r="E31" s="558">
        <f>政府消費!V33</f>
        <v>13190</v>
      </c>
      <c r="F31" s="572">
        <f t="shared" si="14"/>
        <v>38402</v>
      </c>
      <c r="G31" s="561">
        <f>民間住宅1!V33</f>
        <v>4167</v>
      </c>
      <c r="H31" s="538">
        <f>民間設備投資計!V33</f>
        <v>34288</v>
      </c>
      <c r="I31" s="538">
        <f>民間在庫品増加!V33</f>
        <v>-53</v>
      </c>
      <c r="J31" s="558">
        <f>公的投資!V33</f>
        <v>3414</v>
      </c>
      <c r="K31" s="408">
        <f t="shared" si="15"/>
        <v>132707</v>
      </c>
      <c r="L31" s="1103">
        <f t="shared" si="17"/>
        <v>13252</v>
      </c>
      <c r="M31" s="1127">
        <f>移出入推計WS!GN33+移出入推計WS!GP33+移出入推計WS!GQ33</f>
        <v>129687</v>
      </c>
      <c r="N31" s="539">
        <f>移出入推計WS!GO33</f>
        <v>122117</v>
      </c>
      <c r="O31" s="1999">
        <f>'24R5'!O31</f>
        <v>5682</v>
      </c>
      <c r="P31" s="293">
        <v>381</v>
      </c>
      <c r="Q31" s="314">
        <f>(C31-'22R3'!C31)/'22R3'!C31*100</f>
        <v>-13.767923290973219</v>
      </c>
      <c r="R31" s="394">
        <f t="shared" si="3"/>
        <v>145959</v>
      </c>
      <c r="S31" s="394">
        <f t="shared" si="4"/>
        <v>0</v>
      </c>
      <c r="T31" s="49">
        <f>民間設備製造1!S33</f>
        <v>12809</v>
      </c>
      <c r="U31" s="49">
        <v>130004</v>
      </c>
    </row>
    <row r="32" spans="1:21">
      <c r="A32" s="300">
        <v>382</v>
      </c>
      <c r="B32" s="90" t="s">
        <v>197</v>
      </c>
      <c r="C32" s="413">
        <f t="shared" si="13"/>
        <v>202302</v>
      </c>
      <c r="D32" s="561">
        <f>民間消費!V34</f>
        <v>93641</v>
      </c>
      <c r="E32" s="558">
        <f>政府消費!V34</f>
        <v>16513</v>
      </c>
      <c r="F32" s="572">
        <f t="shared" si="14"/>
        <v>64261</v>
      </c>
      <c r="G32" s="561">
        <f>民間住宅1!V34</f>
        <v>6340</v>
      </c>
      <c r="H32" s="538">
        <f>民間設備投資計!V34</f>
        <v>57991</v>
      </c>
      <c r="I32" s="538">
        <f>民間在庫品増加!V34</f>
        <v>-70</v>
      </c>
      <c r="J32" s="558">
        <f>公的投資!V34</f>
        <v>4011</v>
      </c>
      <c r="K32" s="408">
        <f t="shared" si="15"/>
        <v>178426</v>
      </c>
      <c r="L32" s="1104">
        <f t="shared" si="17"/>
        <v>23876</v>
      </c>
      <c r="M32" s="1127">
        <f>移出入推計WS!GN34+移出入推計WS!GP34+移出入推計WS!GQ34</f>
        <v>174104</v>
      </c>
      <c r="N32" s="539">
        <f>移出入推計WS!GO34</f>
        <v>164188</v>
      </c>
      <c r="O32" s="1999">
        <f>'24R5'!O32</f>
        <v>13960</v>
      </c>
      <c r="P32" s="293">
        <v>382</v>
      </c>
      <c r="Q32" s="314">
        <f>(C32-'22R3'!C32)/'22R3'!C32*100</f>
        <v>-18.830496641710202</v>
      </c>
      <c r="R32" s="394">
        <f t="shared" si="3"/>
        <v>202302</v>
      </c>
      <c r="S32" s="394">
        <f t="shared" si="4"/>
        <v>0</v>
      </c>
      <c r="T32" s="49">
        <f>民間設備製造1!S34</f>
        <v>26594</v>
      </c>
      <c r="U32" s="49">
        <v>173196</v>
      </c>
    </row>
    <row r="33" spans="1:21">
      <c r="A33" s="301">
        <v>4</v>
      </c>
      <c r="B33" s="306" t="s">
        <v>198</v>
      </c>
      <c r="C33" s="307">
        <f>SUM(C34:C39)</f>
        <v>1279789</v>
      </c>
      <c r="D33" s="561">
        <f>民間消費!V35</f>
        <v>678416</v>
      </c>
      <c r="E33" s="558">
        <f>政府消費!V35</f>
        <v>159233</v>
      </c>
      <c r="F33" s="292">
        <f>SUM(F34:F39)</f>
        <v>316665</v>
      </c>
      <c r="G33" s="561">
        <f>民間住宅1!V35</f>
        <v>26203</v>
      </c>
      <c r="H33" s="538">
        <f>民間設備投資計!V35</f>
        <v>290927</v>
      </c>
      <c r="I33" s="538">
        <f>民間在庫品増加!V35</f>
        <v>-465</v>
      </c>
      <c r="J33" s="558">
        <f>公的投資!V35</f>
        <v>41287</v>
      </c>
      <c r="K33" s="292">
        <f>SUM(K34:K39)</f>
        <v>1195601</v>
      </c>
      <c r="L33" s="308">
        <f t="shared" ref="L33" si="20">SUM(L34:L39)</f>
        <v>84188</v>
      </c>
      <c r="M33" s="1127">
        <f>移出入推計WS!GN35+移出入推計WS!GP35+移出入推計WS!GQ35</f>
        <v>1177065</v>
      </c>
      <c r="N33" s="539">
        <f>移出入推計WS!GO35</f>
        <v>1100196</v>
      </c>
      <c r="O33" s="1999">
        <f>'24R5'!O33</f>
        <v>7319</v>
      </c>
      <c r="P33" s="293">
        <v>4</v>
      </c>
      <c r="Q33" s="314">
        <f>(C33-'22R3'!C33)/'22R3'!C33*100</f>
        <v>-3.0412930363079309</v>
      </c>
      <c r="R33" s="394">
        <f t="shared" si="3"/>
        <v>1279789</v>
      </c>
      <c r="S33" s="394">
        <f t="shared" si="4"/>
        <v>0</v>
      </c>
      <c r="T33" s="49">
        <f>民間設備製造1!S35</f>
        <v>105029</v>
      </c>
      <c r="U33" s="49">
        <v>1150135</v>
      </c>
    </row>
    <row r="34" spans="1:21">
      <c r="A34" s="300">
        <v>213</v>
      </c>
      <c r="B34" s="92" t="s">
        <v>231</v>
      </c>
      <c r="C34" s="413">
        <f t="shared" si="13"/>
        <v>160180</v>
      </c>
      <c r="D34" s="561">
        <f>民間消費!V36</f>
        <v>97729</v>
      </c>
      <c r="E34" s="558">
        <f>政府消費!V36</f>
        <v>20134</v>
      </c>
      <c r="F34" s="572">
        <f t="shared" si="14"/>
        <v>31008</v>
      </c>
      <c r="G34" s="561">
        <f>民間住宅1!V36</f>
        <v>3656</v>
      </c>
      <c r="H34" s="538">
        <f>民間設備投資計!V36</f>
        <v>27413</v>
      </c>
      <c r="I34" s="538">
        <f>民間在庫品増加!V36</f>
        <v>-61</v>
      </c>
      <c r="J34" s="558">
        <f>公的投資!V36</f>
        <v>2217</v>
      </c>
      <c r="K34" s="408">
        <f t="shared" si="15"/>
        <v>151088</v>
      </c>
      <c r="L34" s="1103">
        <f t="shared" si="17"/>
        <v>9092</v>
      </c>
      <c r="M34" s="1127">
        <f>移出入推計WS!GN36+移出入推計WS!GP36+移出入推計WS!GQ36</f>
        <v>148748</v>
      </c>
      <c r="N34" s="539">
        <f>移出入推計WS!GO36</f>
        <v>139032</v>
      </c>
      <c r="O34" s="1999">
        <f>'24R5'!O34</f>
        <v>-624</v>
      </c>
      <c r="P34" s="293">
        <v>213</v>
      </c>
      <c r="Q34" s="314">
        <f>(C34-'22R3'!C34)/'22R3'!C34*100</f>
        <v>8.8393773229780326</v>
      </c>
      <c r="R34" s="394">
        <f t="shared" si="3"/>
        <v>160180</v>
      </c>
      <c r="S34" s="394">
        <f t="shared" si="4"/>
        <v>0</v>
      </c>
      <c r="T34" s="49">
        <f>民間設備製造1!S36</f>
        <v>4739</v>
      </c>
      <c r="U34" s="49">
        <v>151131</v>
      </c>
    </row>
    <row r="35" spans="1:21">
      <c r="A35" s="300">
        <v>215</v>
      </c>
      <c r="B35" s="92" t="s">
        <v>232</v>
      </c>
      <c r="C35" s="413">
        <f t="shared" si="13"/>
        <v>336496</v>
      </c>
      <c r="D35" s="561">
        <f>民間消費!V37</f>
        <v>195402</v>
      </c>
      <c r="E35" s="558">
        <f>政府消費!V37</f>
        <v>44281</v>
      </c>
      <c r="F35" s="572">
        <f t="shared" si="14"/>
        <v>72110</v>
      </c>
      <c r="G35" s="561">
        <f>民間住宅1!V37</f>
        <v>6800</v>
      </c>
      <c r="H35" s="538">
        <f>民間設備投資計!V37</f>
        <v>65434</v>
      </c>
      <c r="I35" s="538">
        <f>民間在庫品増加!V37</f>
        <v>-124</v>
      </c>
      <c r="J35" s="558">
        <f>公的投資!V37</f>
        <v>6638</v>
      </c>
      <c r="K35" s="408">
        <f t="shared" si="15"/>
        <v>318431</v>
      </c>
      <c r="L35" s="1103">
        <f t="shared" si="17"/>
        <v>18065</v>
      </c>
      <c r="M35" s="1127">
        <f>移出入推計WS!GN37+移出入推計WS!GP37+移出入推計WS!GQ37</f>
        <v>313896</v>
      </c>
      <c r="N35" s="539">
        <f>移出入推計WS!GO37</f>
        <v>293021</v>
      </c>
      <c r="O35" s="1999">
        <f>'24R5'!O35</f>
        <v>-2810</v>
      </c>
      <c r="P35" s="293">
        <v>215</v>
      </c>
      <c r="Q35" s="314">
        <f>(C35-'22R3'!C35)/'22R3'!C35*100</f>
        <v>4.7138927268879849</v>
      </c>
      <c r="R35" s="394">
        <f t="shared" si="3"/>
        <v>336496</v>
      </c>
      <c r="S35" s="394">
        <f t="shared" si="4"/>
        <v>0</v>
      </c>
      <c r="T35" s="49">
        <f>民間設備製造1!S37</f>
        <v>17795</v>
      </c>
      <c r="U35" s="49">
        <v>306659</v>
      </c>
    </row>
    <row r="36" spans="1:21">
      <c r="A36" s="300">
        <v>218</v>
      </c>
      <c r="B36" s="90" t="s">
        <v>200</v>
      </c>
      <c r="C36" s="413">
        <f t="shared" si="13"/>
        <v>244293</v>
      </c>
      <c r="D36" s="561">
        <f>民間消費!V38</f>
        <v>121109</v>
      </c>
      <c r="E36" s="558">
        <f>政府消費!V38</f>
        <v>24925</v>
      </c>
      <c r="F36" s="572">
        <f t="shared" si="14"/>
        <v>65582</v>
      </c>
      <c r="G36" s="561">
        <f>民間住宅1!V38</f>
        <v>6442</v>
      </c>
      <c r="H36" s="538">
        <f>民間設備投資計!V38</f>
        <v>59225</v>
      </c>
      <c r="I36" s="538">
        <f>民間在庫品増加!V38</f>
        <v>-85</v>
      </c>
      <c r="J36" s="558">
        <f>公的投資!V38</f>
        <v>9761</v>
      </c>
      <c r="K36" s="408">
        <f t="shared" si="15"/>
        <v>221377</v>
      </c>
      <c r="L36" s="1103">
        <f t="shared" si="17"/>
        <v>22916</v>
      </c>
      <c r="M36" s="1127">
        <f>移出入推計WS!GN38+移出入推計WS!GP38+移出入推計WS!GQ38</f>
        <v>216967</v>
      </c>
      <c r="N36" s="539">
        <f>移出入推計WS!GO38</f>
        <v>203712</v>
      </c>
      <c r="O36" s="1999">
        <f>'24R5'!O36</f>
        <v>9661</v>
      </c>
      <c r="P36" s="293">
        <v>218</v>
      </c>
      <c r="Q36" s="314">
        <f>(C36-'22R3'!C36)/'22R3'!C36*100</f>
        <v>-5.969546038906552</v>
      </c>
      <c r="R36" s="394">
        <f t="shared" si="3"/>
        <v>244293</v>
      </c>
      <c r="S36" s="394">
        <f t="shared" si="4"/>
        <v>0</v>
      </c>
      <c r="T36" s="49">
        <f>民間設備製造1!S38</f>
        <v>24156</v>
      </c>
      <c r="U36" s="49">
        <v>210511</v>
      </c>
    </row>
    <row r="37" spans="1:21">
      <c r="A37" s="300">
        <v>220</v>
      </c>
      <c r="B37" s="90" t="s">
        <v>201</v>
      </c>
      <c r="C37" s="413">
        <f t="shared" si="13"/>
        <v>223957</v>
      </c>
      <c r="D37" s="561">
        <f>民間消費!V39</f>
        <v>107249</v>
      </c>
      <c r="E37" s="558">
        <f>政府消費!V39</f>
        <v>30909</v>
      </c>
      <c r="F37" s="572">
        <f t="shared" si="14"/>
        <v>63237</v>
      </c>
      <c r="G37" s="561">
        <f>民間住宅1!V39</f>
        <v>3528</v>
      </c>
      <c r="H37" s="538">
        <f>民間設備投資計!V39</f>
        <v>59788</v>
      </c>
      <c r="I37" s="538">
        <f>民間在庫品増加!V39</f>
        <v>-79</v>
      </c>
      <c r="J37" s="558">
        <f>公的投資!V39</f>
        <v>6744</v>
      </c>
      <c r="K37" s="408">
        <f t="shared" si="15"/>
        <v>208139</v>
      </c>
      <c r="L37" s="1103">
        <f t="shared" si="17"/>
        <v>15818</v>
      </c>
      <c r="M37" s="1127">
        <f>移出入推計WS!GN39+移出入推計WS!GP39+移出入推計WS!GQ39</f>
        <v>205596</v>
      </c>
      <c r="N37" s="539">
        <f>移出入推計WS!GO39</f>
        <v>191530</v>
      </c>
      <c r="O37" s="1999">
        <f>'24R5'!O37</f>
        <v>1752</v>
      </c>
      <c r="P37" s="293">
        <v>220</v>
      </c>
      <c r="Q37" s="314">
        <f>(C37-'22R3'!C37)/'22R3'!C37*100</f>
        <v>-11.862652499016136</v>
      </c>
      <c r="R37" s="394">
        <f t="shared" si="3"/>
        <v>223957</v>
      </c>
      <c r="S37" s="394">
        <f t="shared" si="4"/>
        <v>0</v>
      </c>
      <c r="T37" s="49">
        <f>民間設備製造1!S39</f>
        <v>26130</v>
      </c>
      <c r="U37" s="49">
        <v>195983</v>
      </c>
    </row>
    <row r="38" spans="1:21">
      <c r="A38" s="300">
        <v>228</v>
      </c>
      <c r="B38" s="90" t="s">
        <v>239</v>
      </c>
      <c r="C38" s="413">
        <f t="shared" si="13"/>
        <v>232062</v>
      </c>
      <c r="D38" s="561">
        <f>民間消費!V40</f>
        <v>114230</v>
      </c>
      <c r="E38" s="558">
        <f>政府消費!V40</f>
        <v>25677</v>
      </c>
      <c r="F38" s="572">
        <f t="shared" si="14"/>
        <v>68474</v>
      </c>
      <c r="G38" s="561">
        <f>民間住宅1!V40</f>
        <v>4908</v>
      </c>
      <c r="H38" s="538">
        <f>民間設備投資計!V40</f>
        <v>63653</v>
      </c>
      <c r="I38" s="538">
        <f>民間在庫品増加!V40</f>
        <v>-87</v>
      </c>
      <c r="J38" s="558">
        <f>公的投資!V40</f>
        <v>8134</v>
      </c>
      <c r="K38" s="408">
        <f t="shared" si="15"/>
        <v>216515</v>
      </c>
      <c r="L38" s="1103">
        <f t="shared" si="17"/>
        <v>15547</v>
      </c>
      <c r="M38" s="1127">
        <f>移出入推計WS!GN40+移出入推計WS!GP40+移出入推計WS!GQ40</f>
        <v>212480</v>
      </c>
      <c r="N38" s="539">
        <f>移出入推計WS!GO40</f>
        <v>199238</v>
      </c>
      <c r="O38" s="1999">
        <f>'24R5'!O38</f>
        <v>2305</v>
      </c>
      <c r="P38" s="293">
        <v>228</v>
      </c>
      <c r="Q38" s="314">
        <f>(C38-'22R3'!C38)/'22R3'!C38*100</f>
        <v>-13.568696390594914</v>
      </c>
      <c r="R38" s="394">
        <f t="shared" si="3"/>
        <v>232062</v>
      </c>
      <c r="S38" s="394">
        <f t="shared" si="4"/>
        <v>0</v>
      </c>
      <c r="T38" s="49">
        <f>民間設備製造1!S40</f>
        <v>28092</v>
      </c>
      <c r="U38" s="49">
        <v>213927</v>
      </c>
    </row>
    <row r="39" spans="1:21">
      <c r="A39" s="302">
        <v>365</v>
      </c>
      <c r="B39" s="201" t="s">
        <v>233</v>
      </c>
      <c r="C39" s="445">
        <f t="shared" si="13"/>
        <v>82801</v>
      </c>
      <c r="D39" s="561">
        <f>民間消費!V41</f>
        <v>42697</v>
      </c>
      <c r="E39" s="558">
        <f>政府消費!V41</f>
        <v>13307</v>
      </c>
      <c r="F39" s="573">
        <f t="shared" si="14"/>
        <v>16254</v>
      </c>
      <c r="G39" s="561">
        <f>民間住宅1!V41</f>
        <v>869</v>
      </c>
      <c r="H39" s="538">
        <f>民間設備投資計!V41</f>
        <v>15414</v>
      </c>
      <c r="I39" s="538">
        <f>民間在庫品増加!V41</f>
        <v>-29</v>
      </c>
      <c r="J39" s="558">
        <f>公的投資!V41</f>
        <v>7793</v>
      </c>
      <c r="K39" s="409">
        <f t="shared" si="15"/>
        <v>80051</v>
      </c>
      <c r="L39" s="1103">
        <f t="shared" si="17"/>
        <v>2750</v>
      </c>
      <c r="M39" s="1127">
        <f>移出入推計WS!GN41+移出入推計WS!GP41+移出入推計WS!GQ41</f>
        <v>79378</v>
      </c>
      <c r="N39" s="539">
        <f>移出入推計WS!GO41</f>
        <v>73663</v>
      </c>
      <c r="O39" s="1999">
        <f>'24R5'!O39</f>
        <v>-2965</v>
      </c>
      <c r="P39" s="293">
        <v>365</v>
      </c>
      <c r="Q39" s="314">
        <f>(C39-'22R3'!C39)/'22R3'!C39*100</f>
        <v>19.97015271378481</v>
      </c>
      <c r="R39" s="394">
        <f t="shared" si="3"/>
        <v>82801</v>
      </c>
      <c r="S39" s="394">
        <f t="shared" si="4"/>
        <v>0</v>
      </c>
      <c r="T39" s="49">
        <f>民間設備製造1!S41</f>
        <v>4117</v>
      </c>
      <c r="U39" s="49">
        <v>71924</v>
      </c>
    </row>
    <row r="40" spans="1:21">
      <c r="A40" s="300">
        <v>5</v>
      </c>
      <c r="B40" s="91" t="s">
        <v>202</v>
      </c>
      <c r="C40" s="308">
        <f>SUM(C41:C44)</f>
        <v>2727648</v>
      </c>
      <c r="D40" s="561">
        <f>民間消費!V42</f>
        <v>1433956</v>
      </c>
      <c r="E40" s="558">
        <f>政府消費!V42</f>
        <v>296552</v>
      </c>
      <c r="F40" s="281">
        <f>SUM(F41:F44)</f>
        <v>809662</v>
      </c>
      <c r="G40" s="561">
        <f>民間住宅1!V42</f>
        <v>93561</v>
      </c>
      <c r="H40" s="538">
        <f>民間設備投資計!V42</f>
        <v>717101</v>
      </c>
      <c r="I40" s="538">
        <f>民間在庫品増加!V42</f>
        <v>-1000</v>
      </c>
      <c r="J40" s="558">
        <f>公的投資!V42</f>
        <v>54006</v>
      </c>
      <c r="K40" s="281">
        <f>SUM(K41:K44)</f>
        <v>2594176</v>
      </c>
      <c r="L40" s="307">
        <f t="shared" ref="L40" si="21">SUM(L41:L44)</f>
        <v>133472</v>
      </c>
      <c r="M40" s="1127">
        <f>移出入推計WS!GN42+移出入推計WS!GP42+移出入推計WS!GQ42</f>
        <v>2543459</v>
      </c>
      <c r="N40" s="539">
        <f>移出入推計WS!GO42</f>
        <v>2387169</v>
      </c>
      <c r="O40" s="1999">
        <f>'24R5'!O40</f>
        <v>-22818</v>
      </c>
      <c r="P40" s="293">
        <v>5</v>
      </c>
      <c r="Q40" s="314">
        <f>(C40-'22R3'!C40)/'22R3'!C40*100</f>
        <v>-3.3657024427399782</v>
      </c>
      <c r="R40" s="394">
        <f t="shared" si="3"/>
        <v>2727648</v>
      </c>
      <c r="S40" s="394">
        <f t="shared" si="4"/>
        <v>0</v>
      </c>
      <c r="T40" s="49">
        <f>民間設備製造1!S42</f>
        <v>297837</v>
      </c>
      <c r="U40" s="49">
        <v>2470755</v>
      </c>
    </row>
    <row r="41" spans="1:21">
      <c r="A41" s="300">
        <v>201</v>
      </c>
      <c r="B41" s="92" t="s">
        <v>240</v>
      </c>
      <c r="C41" s="413">
        <f t="shared" si="13"/>
        <v>2494538</v>
      </c>
      <c r="D41" s="561">
        <f>民間消費!V43</f>
        <v>1329743</v>
      </c>
      <c r="E41" s="558">
        <f>政府消費!V43</f>
        <v>264393</v>
      </c>
      <c r="F41" s="572">
        <f t="shared" si="14"/>
        <v>744742</v>
      </c>
      <c r="G41" s="561">
        <f>民間住宅1!V43</f>
        <v>90493</v>
      </c>
      <c r="H41" s="538">
        <f>民間設備投資計!V43</f>
        <v>655168</v>
      </c>
      <c r="I41" s="538">
        <f>民間在庫品増加!V43</f>
        <v>-919</v>
      </c>
      <c r="J41" s="558">
        <f>公的投資!V43</f>
        <v>41736</v>
      </c>
      <c r="K41" s="408">
        <f t="shared" si="15"/>
        <v>2380614</v>
      </c>
      <c r="L41" s="1103">
        <f t="shared" si="17"/>
        <v>113924</v>
      </c>
      <c r="M41" s="1127">
        <f>移出入推計WS!GN43+移出入推計WS!GP43+移出入推計WS!GQ43</f>
        <v>2332409</v>
      </c>
      <c r="N41" s="539">
        <f>移出入推計WS!GO43</f>
        <v>2190648</v>
      </c>
      <c r="O41" s="1999">
        <f>'24R5'!O41</f>
        <v>-27837</v>
      </c>
      <c r="P41" s="293">
        <v>201</v>
      </c>
      <c r="Q41" s="314">
        <f>(C41-'22R3'!C41)/'22R3'!C41*100</f>
        <v>-2.9385306179622264</v>
      </c>
      <c r="R41" s="394">
        <f t="shared" si="3"/>
        <v>2494538</v>
      </c>
      <c r="S41" s="394">
        <f t="shared" si="4"/>
        <v>0</v>
      </c>
      <c r="T41" s="49">
        <f>民間設備製造1!S43</f>
        <v>269591</v>
      </c>
      <c r="U41" s="49">
        <v>2272262</v>
      </c>
    </row>
    <row r="42" spans="1:21">
      <c r="A42" s="300">
        <v>442</v>
      </c>
      <c r="B42" s="90" t="s">
        <v>203</v>
      </c>
      <c r="C42" s="413">
        <f t="shared" si="13"/>
        <v>52852</v>
      </c>
      <c r="D42" s="561">
        <f>民間消費!V44</f>
        <v>27171</v>
      </c>
      <c r="E42" s="558">
        <f>政府消費!V44</f>
        <v>9090</v>
      </c>
      <c r="F42" s="572">
        <f t="shared" si="14"/>
        <v>11976</v>
      </c>
      <c r="G42" s="561">
        <f>民間住宅1!V44</f>
        <v>435</v>
      </c>
      <c r="H42" s="538">
        <f>民間設備投資計!V44</f>
        <v>11561</v>
      </c>
      <c r="I42" s="538">
        <f>民間在庫品増加!V44</f>
        <v>-20</v>
      </c>
      <c r="J42" s="558">
        <f>公的投資!V44</f>
        <v>3147</v>
      </c>
      <c r="K42" s="408">
        <f t="shared" si="15"/>
        <v>51384</v>
      </c>
      <c r="L42" s="1103">
        <f t="shared" si="17"/>
        <v>1468</v>
      </c>
      <c r="M42" s="1127">
        <f>移出入推計WS!GN44+移出入推計WS!GP44+移出入推計WS!GQ44</f>
        <v>51070</v>
      </c>
      <c r="N42" s="539">
        <f>移出入推計WS!GO44</f>
        <v>47284</v>
      </c>
      <c r="O42" s="1999">
        <f>'24R5'!O42</f>
        <v>-2318</v>
      </c>
      <c r="P42" s="293">
        <v>442</v>
      </c>
      <c r="Q42" s="314">
        <f>(C42-'22R3'!C42)/'22R3'!C42*100</f>
        <v>25.922043266939866</v>
      </c>
      <c r="R42" s="394">
        <f t="shared" si="3"/>
        <v>52852</v>
      </c>
      <c r="S42" s="394">
        <f t="shared" si="4"/>
        <v>0</v>
      </c>
      <c r="T42" s="49">
        <f>民間設備製造1!S44</f>
        <v>3913</v>
      </c>
      <c r="U42" s="49">
        <v>48218</v>
      </c>
    </row>
    <row r="43" spans="1:21">
      <c r="A43" s="300">
        <v>443</v>
      </c>
      <c r="B43" s="90" t="s">
        <v>204</v>
      </c>
      <c r="C43" s="413">
        <f t="shared" si="13"/>
        <v>122045</v>
      </c>
      <c r="D43" s="561">
        <f>民間消費!V45</f>
        <v>52610</v>
      </c>
      <c r="E43" s="558">
        <f>政府消費!V45</f>
        <v>11860</v>
      </c>
      <c r="F43" s="572">
        <f t="shared" si="14"/>
        <v>36147</v>
      </c>
      <c r="G43" s="561">
        <f>民間住宅1!V45</f>
        <v>2173</v>
      </c>
      <c r="H43" s="538">
        <f>民間設備投資計!V45</f>
        <v>34014</v>
      </c>
      <c r="I43" s="538">
        <f>民間在庫品増加!V45</f>
        <v>-40</v>
      </c>
      <c r="J43" s="558">
        <f>公的投資!V45</f>
        <v>3486</v>
      </c>
      <c r="K43" s="408">
        <f t="shared" si="15"/>
        <v>104103</v>
      </c>
      <c r="L43" s="1103">
        <f t="shared" si="17"/>
        <v>17942</v>
      </c>
      <c r="M43" s="1127">
        <f>移出入推計WS!GN45+移出入推計WS!GP45+移出入推計WS!GQ45</f>
        <v>102059</v>
      </c>
      <c r="N43" s="539">
        <f>移出入推計WS!GO45</f>
        <v>95796</v>
      </c>
      <c r="O43" s="1999">
        <f>'24R5'!O43</f>
        <v>11679</v>
      </c>
      <c r="P43" s="293">
        <v>443</v>
      </c>
      <c r="Q43" s="314">
        <f>(C43-'22R3'!C43)/'22R3'!C43*100</f>
        <v>-31.243415604243307</v>
      </c>
      <c r="R43" s="394">
        <f t="shared" si="3"/>
        <v>122045</v>
      </c>
      <c r="S43" s="394">
        <f t="shared" si="4"/>
        <v>0</v>
      </c>
      <c r="T43" s="49">
        <f>民間設備製造1!S45</f>
        <v>16623</v>
      </c>
      <c r="U43" s="49">
        <v>98775</v>
      </c>
    </row>
    <row r="44" spans="1:21">
      <c r="A44" s="300">
        <v>446</v>
      </c>
      <c r="B44" s="90" t="s">
        <v>234</v>
      </c>
      <c r="C44" s="413">
        <f t="shared" si="13"/>
        <v>58213</v>
      </c>
      <c r="D44" s="561">
        <f>民間消費!V46</f>
        <v>24432</v>
      </c>
      <c r="E44" s="558">
        <f>政府消費!V46</f>
        <v>11209</v>
      </c>
      <c r="F44" s="572">
        <f t="shared" si="14"/>
        <v>16797</v>
      </c>
      <c r="G44" s="561">
        <f>民間住宅1!V46</f>
        <v>460</v>
      </c>
      <c r="H44" s="538">
        <f>民間設備投資計!V46</f>
        <v>16358</v>
      </c>
      <c r="I44" s="538">
        <f>民間在庫品増加!V46</f>
        <v>-21</v>
      </c>
      <c r="J44" s="558">
        <f>公的投資!V46</f>
        <v>5637</v>
      </c>
      <c r="K44" s="408">
        <f t="shared" si="15"/>
        <v>58075</v>
      </c>
      <c r="L44" s="1104">
        <f t="shared" si="17"/>
        <v>138</v>
      </c>
      <c r="M44" s="1127">
        <f>移出入推計WS!GN46+移出入推計WS!GP46+移出入推計WS!GQ46</f>
        <v>57921</v>
      </c>
      <c r="N44" s="539">
        <f>移出入推計WS!GO46</f>
        <v>53441</v>
      </c>
      <c r="O44" s="1999">
        <f>'24R5'!O44</f>
        <v>-4342</v>
      </c>
      <c r="P44" s="293">
        <v>446</v>
      </c>
      <c r="Q44" s="314">
        <f>(C44-'22R3'!C44)/'22R3'!C44*100</f>
        <v>75.790427298807188</v>
      </c>
      <c r="R44" s="394">
        <f t="shared" si="3"/>
        <v>58213</v>
      </c>
      <c r="S44" s="394">
        <f t="shared" si="4"/>
        <v>0</v>
      </c>
      <c r="T44" s="49">
        <f>民間設備製造1!S46</f>
        <v>7710</v>
      </c>
      <c r="U44" s="49">
        <v>51500</v>
      </c>
    </row>
    <row r="45" spans="1:21">
      <c r="A45" s="301">
        <v>6</v>
      </c>
      <c r="B45" s="306" t="s">
        <v>205</v>
      </c>
      <c r="C45" s="307">
        <f>SUM(C46:C52)</f>
        <v>1128143</v>
      </c>
      <c r="D45" s="561">
        <f>民間消費!V47</f>
        <v>614774</v>
      </c>
      <c r="E45" s="558">
        <f>政府消費!V47</f>
        <v>145410</v>
      </c>
      <c r="F45" s="292">
        <f>SUM(F46:F52)</f>
        <v>278111</v>
      </c>
      <c r="G45" s="561">
        <f>民間住宅1!V47</f>
        <v>21244</v>
      </c>
      <c r="H45" s="538">
        <f>民間設備投資計!V47</f>
        <v>257287</v>
      </c>
      <c r="I45" s="538">
        <f>民間在庫品増加!V47</f>
        <v>-420</v>
      </c>
      <c r="J45" s="558">
        <f>公的投資!V47</f>
        <v>32397</v>
      </c>
      <c r="K45" s="292">
        <f>SUM(K46:K52)</f>
        <v>1070692</v>
      </c>
      <c r="L45" s="308">
        <f t="shared" ref="L45" si="22">SUM(L46:L52)</f>
        <v>57451</v>
      </c>
      <c r="M45" s="1127">
        <f>移出入推計WS!GN47+移出入推計WS!GP47+移出入推計WS!GQ47</f>
        <v>1054695</v>
      </c>
      <c r="N45" s="539">
        <f>移出入推計WS!GO47</f>
        <v>985254</v>
      </c>
      <c r="O45" s="1999">
        <f>'24R5'!O45</f>
        <v>-11990</v>
      </c>
      <c r="P45" s="293">
        <v>6</v>
      </c>
      <c r="Q45" s="314">
        <f>(C45-'22R3'!C45)/'22R3'!C45*100</f>
        <v>7.9574467330112503E-2</v>
      </c>
      <c r="R45" s="394">
        <f t="shared" si="3"/>
        <v>1128143</v>
      </c>
      <c r="S45" s="394">
        <f t="shared" si="4"/>
        <v>0</v>
      </c>
      <c r="T45" s="49">
        <f>民間設備製造1!S47</f>
        <v>90149</v>
      </c>
      <c r="U45" s="49">
        <v>1037662</v>
      </c>
    </row>
    <row r="46" spans="1:21">
      <c r="A46" s="300">
        <v>208</v>
      </c>
      <c r="B46" s="90" t="s">
        <v>206</v>
      </c>
      <c r="C46" s="413">
        <f t="shared" si="13"/>
        <v>132915</v>
      </c>
      <c r="D46" s="561">
        <f>民間消費!V48</f>
        <v>74382</v>
      </c>
      <c r="E46" s="558">
        <f>政府消費!V48</f>
        <v>15891</v>
      </c>
      <c r="F46" s="572">
        <f t="shared" si="14"/>
        <v>25429</v>
      </c>
      <c r="G46" s="561">
        <f>民間住宅1!V48</f>
        <v>2275</v>
      </c>
      <c r="H46" s="538">
        <f>民間設備投資計!V48</f>
        <v>23200</v>
      </c>
      <c r="I46" s="538">
        <f>民間在庫品増加!V48</f>
        <v>-46</v>
      </c>
      <c r="J46" s="558">
        <f>公的投資!V48</f>
        <v>3047</v>
      </c>
      <c r="K46" s="408">
        <f t="shared" si="15"/>
        <v>118749</v>
      </c>
      <c r="L46" s="1103">
        <f t="shared" si="17"/>
        <v>14166</v>
      </c>
      <c r="M46" s="1127">
        <f>移出入推計WS!GN48+移出入推計WS!GP48+移出入推計WS!GQ48</f>
        <v>116924</v>
      </c>
      <c r="N46" s="539">
        <f>移出入推計WS!GO48</f>
        <v>109273</v>
      </c>
      <c r="O46" s="1999">
        <f>'24R5'!O46</f>
        <v>6515</v>
      </c>
      <c r="P46" s="293">
        <v>208</v>
      </c>
      <c r="Q46" s="314">
        <f>(C46-'22R3'!C46)/'22R3'!C46*100</f>
        <v>-26.646946175199641</v>
      </c>
      <c r="R46" s="394">
        <f t="shared" si="3"/>
        <v>132915</v>
      </c>
      <c r="S46" s="394">
        <f t="shared" si="4"/>
        <v>0</v>
      </c>
      <c r="T46" s="49">
        <f>民間設備製造1!S48</f>
        <v>5472</v>
      </c>
      <c r="U46" s="49">
        <v>113906</v>
      </c>
    </row>
    <row r="47" spans="1:21">
      <c r="A47" s="300">
        <v>212</v>
      </c>
      <c r="B47" s="90" t="s">
        <v>207</v>
      </c>
      <c r="C47" s="413">
        <f t="shared" si="13"/>
        <v>240999</v>
      </c>
      <c r="D47" s="561">
        <f>民間消費!V49</f>
        <v>122820</v>
      </c>
      <c r="E47" s="558">
        <f>政府消費!V49</f>
        <v>28079</v>
      </c>
      <c r="F47" s="572">
        <f t="shared" si="14"/>
        <v>72197</v>
      </c>
      <c r="G47" s="561">
        <f>民間住宅1!V49</f>
        <v>4474</v>
      </c>
      <c r="H47" s="538">
        <f>民間設備投資計!V49</f>
        <v>67812</v>
      </c>
      <c r="I47" s="538">
        <f>民間在庫品増加!V49</f>
        <v>-89</v>
      </c>
      <c r="J47" s="558">
        <f>公的投資!V49</f>
        <v>4442</v>
      </c>
      <c r="K47" s="408">
        <f t="shared" si="15"/>
        <v>227538</v>
      </c>
      <c r="L47" s="1103">
        <f t="shared" si="17"/>
        <v>13461</v>
      </c>
      <c r="M47" s="1127">
        <f>移出入推計WS!GN49+移出入推計WS!GP49+移出入推計WS!GQ49</f>
        <v>223532</v>
      </c>
      <c r="N47" s="539">
        <f>移出入推計WS!GO49</f>
        <v>209381</v>
      </c>
      <c r="O47" s="1999">
        <f>'24R5'!O47</f>
        <v>-690</v>
      </c>
      <c r="P47" s="293">
        <v>212</v>
      </c>
      <c r="Q47" s="314">
        <f>(C47-'22R3'!C47)/'22R3'!C47*100</f>
        <v>3.7420471274956304</v>
      </c>
      <c r="R47" s="394">
        <f t="shared" si="3"/>
        <v>240999</v>
      </c>
      <c r="S47" s="394">
        <f t="shared" si="4"/>
        <v>0</v>
      </c>
      <c r="T47" s="49">
        <f>民間設備製造1!S49</f>
        <v>30879</v>
      </c>
      <c r="U47" s="49">
        <v>218944</v>
      </c>
    </row>
    <row r="48" spans="1:21">
      <c r="A48" s="300">
        <v>227</v>
      </c>
      <c r="B48" s="90" t="s">
        <v>219</v>
      </c>
      <c r="C48" s="413">
        <f t="shared" si="13"/>
        <v>144131</v>
      </c>
      <c r="D48" s="561">
        <f>民間消費!V50</f>
        <v>81932</v>
      </c>
      <c r="E48" s="558">
        <f>政府消費!V50</f>
        <v>27611</v>
      </c>
      <c r="F48" s="572">
        <f t="shared" si="14"/>
        <v>27104</v>
      </c>
      <c r="G48" s="561">
        <f>民間住宅1!V50</f>
        <v>1432</v>
      </c>
      <c r="H48" s="538">
        <f>民間設備投資計!V50</f>
        <v>25729</v>
      </c>
      <c r="I48" s="538">
        <f>民間在庫品増加!V50</f>
        <v>-57</v>
      </c>
      <c r="J48" s="558">
        <f>公的投資!V50</f>
        <v>5316</v>
      </c>
      <c r="K48" s="408">
        <f t="shared" si="15"/>
        <v>141963</v>
      </c>
      <c r="L48" s="1103">
        <f t="shared" si="17"/>
        <v>2168</v>
      </c>
      <c r="M48" s="1127">
        <f>移出入推計WS!GN50+移出入推計WS!GP50+移出入推計WS!GQ50</f>
        <v>141629</v>
      </c>
      <c r="N48" s="539">
        <f>移出入推計WS!GO50</f>
        <v>130635</v>
      </c>
      <c r="O48" s="1999">
        <f>'24R5'!O48</f>
        <v>-8826</v>
      </c>
      <c r="P48" s="293">
        <v>227</v>
      </c>
      <c r="Q48" s="314">
        <f>(C48-'22R3'!C48)/'22R3'!C48*100</f>
        <v>22.150091105555319</v>
      </c>
      <c r="R48" s="394">
        <f t="shared" si="3"/>
        <v>144131</v>
      </c>
      <c r="S48" s="394">
        <f t="shared" si="4"/>
        <v>0</v>
      </c>
      <c r="T48" s="49">
        <f>民間設備製造1!S50</f>
        <v>4551</v>
      </c>
      <c r="U48" s="49">
        <v>139753</v>
      </c>
    </row>
    <row r="49" spans="1:21">
      <c r="A49" s="300">
        <v>229</v>
      </c>
      <c r="B49" s="90" t="s">
        <v>235</v>
      </c>
      <c r="C49" s="413">
        <f t="shared" si="13"/>
        <v>334732</v>
      </c>
      <c r="D49" s="561">
        <f>民間消費!V51</f>
        <v>177124</v>
      </c>
      <c r="E49" s="558">
        <f>政府消費!V51</f>
        <v>34709</v>
      </c>
      <c r="F49" s="572">
        <f t="shared" si="14"/>
        <v>89404</v>
      </c>
      <c r="G49" s="561">
        <f>民間住宅1!V51</f>
        <v>7132</v>
      </c>
      <c r="H49" s="538">
        <f>民間設備投資計!V51</f>
        <v>82394</v>
      </c>
      <c r="I49" s="538">
        <f>民間在庫品増加!V51</f>
        <v>-122</v>
      </c>
      <c r="J49" s="558">
        <f>公的投資!V51</f>
        <v>9219</v>
      </c>
      <c r="K49" s="408">
        <f t="shared" si="15"/>
        <v>310456</v>
      </c>
      <c r="L49" s="1103">
        <f t="shared" si="17"/>
        <v>24276</v>
      </c>
      <c r="M49" s="1127">
        <f>移出入推計WS!GN51+移出入推計WS!GP51+移出入推計WS!GQ51</f>
        <v>304220</v>
      </c>
      <c r="N49" s="539">
        <f>移出入推計WS!GO51</f>
        <v>285682</v>
      </c>
      <c r="O49" s="1999">
        <f>'24R5'!O49</f>
        <v>5738</v>
      </c>
      <c r="P49" s="293">
        <v>229</v>
      </c>
      <c r="Q49" s="314">
        <f>(C49-'22R3'!C49)/'22R3'!C49*100</f>
        <v>-3.325660583340794</v>
      </c>
      <c r="R49" s="394">
        <f t="shared" si="3"/>
        <v>334732</v>
      </c>
      <c r="S49" s="394">
        <f t="shared" si="4"/>
        <v>0</v>
      </c>
      <c r="T49" s="49">
        <f>民間設備製造1!S51</f>
        <v>32447</v>
      </c>
      <c r="U49" s="49">
        <v>301679</v>
      </c>
    </row>
    <row r="50" spans="1:21">
      <c r="A50" s="300">
        <v>464</v>
      </c>
      <c r="B50" s="90" t="s">
        <v>208</v>
      </c>
      <c r="C50" s="413">
        <f t="shared" si="13"/>
        <v>140968</v>
      </c>
      <c r="D50" s="561">
        <f>民間消費!V52</f>
        <v>86472</v>
      </c>
      <c r="E50" s="558">
        <f>政府消費!V52</f>
        <v>13418</v>
      </c>
      <c r="F50" s="572">
        <f t="shared" si="14"/>
        <v>37890</v>
      </c>
      <c r="G50" s="561">
        <f>民間住宅1!V52</f>
        <v>5087</v>
      </c>
      <c r="H50" s="538">
        <f>民間設備投資計!V52</f>
        <v>32857</v>
      </c>
      <c r="I50" s="538">
        <f>民間在庫品増加!V52</f>
        <v>-54</v>
      </c>
      <c r="J50" s="558">
        <f>公的投資!V52</f>
        <v>2678</v>
      </c>
      <c r="K50" s="408">
        <f t="shared" si="15"/>
        <v>140458</v>
      </c>
      <c r="L50" s="1103">
        <f t="shared" si="17"/>
        <v>510</v>
      </c>
      <c r="M50" s="1127">
        <f>移出入推計WS!GN52+移出入推計WS!GP52+移出入推計WS!GQ52</f>
        <v>137145</v>
      </c>
      <c r="N50" s="539">
        <f>移出入推計WS!GO52</f>
        <v>129250</v>
      </c>
      <c r="O50" s="1999">
        <f>'24R5'!O50</f>
        <v>-7385</v>
      </c>
      <c r="P50" s="293">
        <v>464</v>
      </c>
      <c r="Q50" s="314">
        <f>(C50-'22R3'!C50)/'22R3'!C50*100</f>
        <v>6.0069183335839975</v>
      </c>
      <c r="R50" s="394">
        <f t="shared" si="3"/>
        <v>140968</v>
      </c>
      <c r="S50" s="394">
        <f t="shared" si="4"/>
        <v>0</v>
      </c>
      <c r="T50" s="49">
        <f>民間設備製造1!S52</f>
        <v>11240</v>
      </c>
      <c r="U50" s="49">
        <v>134375</v>
      </c>
    </row>
    <row r="51" spans="1:21">
      <c r="A51" s="300">
        <v>481</v>
      </c>
      <c r="B51" s="90" t="s">
        <v>209</v>
      </c>
      <c r="C51" s="413">
        <f t="shared" si="13"/>
        <v>65029</v>
      </c>
      <c r="D51" s="561">
        <f>民間消費!V53</f>
        <v>35005</v>
      </c>
      <c r="E51" s="558">
        <f>政府消費!V53</f>
        <v>10221</v>
      </c>
      <c r="F51" s="572">
        <f t="shared" si="14"/>
        <v>14244</v>
      </c>
      <c r="G51" s="561">
        <f>民間住宅1!V53</f>
        <v>486</v>
      </c>
      <c r="H51" s="538">
        <f>民間設備投資計!V53</f>
        <v>13782</v>
      </c>
      <c r="I51" s="538">
        <f>民間在庫品増加!V53</f>
        <v>-24</v>
      </c>
      <c r="J51" s="558">
        <f>公的投資!V53</f>
        <v>4370</v>
      </c>
      <c r="K51" s="408">
        <f t="shared" si="15"/>
        <v>63840</v>
      </c>
      <c r="L51" s="1103">
        <f t="shared" si="17"/>
        <v>1189</v>
      </c>
      <c r="M51" s="1127">
        <f>移出入推計WS!GN53+移出入推計WS!GP53+移出入推計WS!GQ53</f>
        <v>63219</v>
      </c>
      <c r="N51" s="539">
        <f>移出入推計WS!GO53</f>
        <v>58746</v>
      </c>
      <c r="O51" s="1999">
        <f>'24R5'!O51</f>
        <v>-3284</v>
      </c>
      <c r="P51" s="293">
        <v>481</v>
      </c>
      <c r="Q51" s="314">
        <f>(C51-'22R3'!C51)/'22R3'!C51*100</f>
        <v>19.092007911508315</v>
      </c>
      <c r="R51" s="394">
        <f t="shared" si="3"/>
        <v>65029</v>
      </c>
      <c r="S51" s="394">
        <f t="shared" si="4"/>
        <v>0</v>
      </c>
      <c r="T51" s="49">
        <f>民間設備製造1!S53</f>
        <v>4244</v>
      </c>
      <c r="U51" s="49">
        <v>60479</v>
      </c>
    </row>
    <row r="52" spans="1:21">
      <c r="A52" s="302">
        <v>501</v>
      </c>
      <c r="B52" s="201" t="s">
        <v>236</v>
      </c>
      <c r="C52" s="445">
        <f t="shared" si="13"/>
        <v>69369</v>
      </c>
      <c r="D52" s="561">
        <f>民間消費!V54</f>
        <v>37039</v>
      </c>
      <c r="E52" s="558">
        <f>政府消費!V54</f>
        <v>15481</v>
      </c>
      <c r="F52" s="573">
        <f t="shared" si="14"/>
        <v>11843</v>
      </c>
      <c r="G52" s="561">
        <f>民間住宅1!V54</f>
        <v>358</v>
      </c>
      <c r="H52" s="538">
        <f>民間設備投資計!V54</f>
        <v>11513</v>
      </c>
      <c r="I52" s="538">
        <f>民間在庫品増加!V54</f>
        <v>-28</v>
      </c>
      <c r="J52" s="558">
        <f>公的投資!V54</f>
        <v>3325</v>
      </c>
      <c r="K52" s="409">
        <f t="shared" si="15"/>
        <v>67688</v>
      </c>
      <c r="L52" s="1103">
        <f t="shared" si="17"/>
        <v>1681</v>
      </c>
      <c r="M52" s="1127">
        <f>移出入推計WS!GN54+移出入推計WS!GP54+移出入推計WS!GQ54</f>
        <v>68026</v>
      </c>
      <c r="N52" s="539">
        <f>移出入推計WS!GO54</f>
        <v>62287</v>
      </c>
      <c r="O52" s="1999">
        <f>'24R5'!O52</f>
        <v>-4058</v>
      </c>
      <c r="P52" s="293">
        <v>501</v>
      </c>
      <c r="Q52" s="314">
        <f>(C52-'22R3'!C52)/'22R3'!C52*100</f>
        <v>12.039085843495116</v>
      </c>
      <c r="R52" s="394">
        <f t="shared" si="3"/>
        <v>69369</v>
      </c>
      <c r="S52" s="394">
        <f t="shared" si="4"/>
        <v>0</v>
      </c>
      <c r="T52" s="49">
        <f>民間設備製造1!S54</f>
        <v>1316</v>
      </c>
      <c r="U52" s="49">
        <v>68526</v>
      </c>
    </row>
    <row r="53" spans="1:21">
      <c r="A53" s="300">
        <v>7</v>
      </c>
      <c r="B53" s="93" t="s">
        <v>210</v>
      </c>
      <c r="C53" s="308">
        <f>SUM(C54:C58)</f>
        <v>747339</v>
      </c>
      <c r="D53" s="561">
        <f>民間消費!V55</f>
        <v>413437</v>
      </c>
      <c r="E53" s="558">
        <f>政府消費!V55</f>
        <v>139375</v>
      </c>
      <c r="F53" s="281">
        <f>SUM(F54:F58)</f>
        <v>158662</v>
      </c>
      <c r="G53" s="561">
        <f>民間住宅1!V55</f>
        <v>11528</v>
      </c>
      <c r="H53" s="538">
        <f>民間設備投資計!V55</f>
        <v>147427</v>
      </c>
      <c r="I53" s="538">
        <f>民間在庫品増加!V55</f>
        <v>-293</v>
      </c>
      <c r="J53" s="558">
        <f>公的投資!V55</f>
        <v>24450</v>
      </c>
      <c r="K53" s="281">
        <f>SUM(K54:K58)</f>
        <v>735924</v>
      </c>
      <c r="L53" s="307">
        <f t="shared" ref="L53" si="23">SUM(L54:L58)</f>
        <v>11415</v>
      </c>
      <c r="M53" s="1127">
        <f>移出入推計WS!GN55+移出入推計WS!GP55+移出入推計WS!GQ55</f>
        <v>733389</v>
      </c>
      <c r="N53" s="539">
        <f>移出入推計WS!GO55</f>
        <v>677199</v>
      </c>
      <c r="O53" s="1999">
        <f>'24R5'!O53</f>
        <v>-44775</v>
      </c>
      <c r="P53" s="293">
        <v>7</v>
      </c>
      <c r="Q53" s="314">
        <f>(C53-'22R3'!C53)/'22R3'!C53*100</f>
        <v>23.632961775536739</v>
      </c>
      <c r="R53" s="394">
        <f t="shared" si="3"/>
        <v>747339</v>
      </c>
      <c r="S53" s="394">
        <f t="shared" si="4"/>
        <v>0</v>
      </c>
      <c r="T53" s="49">
        <f>民間設備製造1!S55</f>
        <v>34544</v>
      </c>
      <c r="U53" s="49">
        <v>721168</v>
      </c>
    </row>
    <row r="54" spans="1:21">
      <c r="A54" s="300">
        <v>209</v>
      </c>
      <c r="B54" s="90" t="s">
        <v>221</v>
      </c>
      <c r="C54" s="413">
        <f t="shared" si="13"/>
        <v>351662</v>
      </c>
      <c r="D54" s="561">
        <f>民間消費!V56</f>
        <v>205679</v>
      </c>
      <c r="E54" s="558">
        <f>政府消費!V56</f>
        <v>58737</v>
      </c>
      <c r="F54" s="572">
        <f t="shared" si="14"/>
        <v>67731</v>
      </c>
      <c r="G54" s="561">
        <f>民間住宅1!V56</f>
        <v>7209</v>
      </c>
      <c r="H54" s="538">
        <f>民間設備投資計!V56</f>
        <v>60659</v>
      </c>
      <c r="I54" s="538">
        <f>民間在庫品増加!V56</f>
        <v>-137</v>
      </c>
      <c r="J54" s="558">
        <f>公的投資!V56</f>
        <v>9563</v>
      </c>
      <c r="K54" s="408">
        <f t="shared" si="15"/>
        <v>341710</v>
      </c>
      <c r="L54" s="1103">
        <f t="shared" si="17"/>
        <v>9952</v>
      </c>
      <c r="M54" s="1127">
        <f>移出入推計WS!GN56+移出入推計WS!GP56+移出入推計WS!GQ56</f>
        <v>339250</v>
      </c>
      <c r="N54" s="539">
        <f>移出入推計WS!GO56</f>
        <v>314442</v>
      </c>
      <c r="O54" s="1999">
        <f>'24R5'!O54</f>
        <v>-14856</v>
      </c>
      <c r="P54" s="293">
        <v>209</v>
      </c>
      <c r="Q54" s="314">
        <f>(C54-'22R3'!C54)/'22R3'!C54*100</f>
        <v>17.678041989867285</v>
      </c>
      <c r="R54" s="394">
        <f t="shared" si="3"/>
        <v>351662</v>
      </c>
      <c r="S54" s="394">
        <f t="shared" si="4"/>
        <v>0</v>
      </c>
      <c r="T54" s="49">
        <f>民間設備製造1!S56</f>
        <v>9770</v>
      </c>
      <c r="U54" s="49">
        <v>337954</v>
      </c>
    </row>
    <row r="55" spans="1:21">
      <c r="A55" s="300">
        <v>222</v>
      </c>
      <c r="B55" s="90" t="s">
        <v>218</v>
      </c>
      <c r="C55" s="413">
        <f t="shared" si="13"/>
        <v>102558</v>
      </c>
      <c r="D55" s="561">
        <f>民間消費!V57</f>
        <v>56027</v>
      </c>
      <c r="E55" s="558">
        <f>政府消費!V57</f>
        <v>22394</v>
      </c>
      <c r="F55" s="572">
        <f t="shared" si="14"/>
        <v>21354</v>
      </c>
      <c r="G55" s="561">
        <f>民間住宅1!V57</f>
        <v>1150</v>
      </c>
      <c r="H55" s="538">
        <f>民間設備投資計!V57</f>
        <v>20245</v>
      </c>
      <c r="I55" s="538">
        <f>民間在庫品増加!V57</f>
        <v>-41</v>
      </c>
      <c r="J55" s="558">
        <f>公的投資!V57</f>
        <v>2999</v>
      </c>
      <c r="K55" s="408">
        <f t="shared" si="15"/>
        <v>102774</v>
      </c>
      <c r="L55" s="1103">
        <f t="shared" si="17"/>
        <v>-216</v>
      </c>
      <c r="M55" s="1127">
        <f>移出入推計WS!GN57+移出入推計WS!GP57+移出入推計WS!GQ57</f>
        <v>103048</v>
      </c>
      <c r="N55" s="539">
        <f>移出入推計WS!GO57</f>
        <v>94573</v>
      </c>
      <c r="O55" s="1999">
        <f>'24R5'!O55</f>
        <v>-8691</v>
      </c>
      <c r="P55" s="293">
        <v>222</v>
      </c>
      <c r="Q55" s="314">
        <f>(C55-'22R3'!C55)/'22R3'!C55*100</f>
        <v>24.243452135778838</v>
      </c>
      <c r="R55" s="394">
        <f t="shared" si="3"/>
        <v>102558</v>
      </c>
      <c r="S55" s="394">
        <f t="shared" si="4"/>
        <v>0</v>
      </c>
      <c r="T55" s="49">
        <f>民間設備製造1!S57</f>
        <v>4367</v>
      </c>
      <c r="U55" s="49">
        <v>102018</v>
      </c>
    </row>
    <row r="56" spans="1:21">
      <c r="A56" s="300">
        <v>225</v>
      </c>
      <c r="B56" s="90" t="s">
        <v>222</v>
      </c>
      <c r="C56" s="413">
        <f t="shared" si="13"/>
        <v>159471</v>
      </c>
      <c r="D56" s="561">
        <f>民間消費!V58</f>
        <v>78511</v>
      </c>
      <c r="E56" s="558">
        <f>政府消費!V58</f>
        <v>25278</v>
      </c>
      <c r="F56" s="572">
        <f t="shared" si="14"/>
        <v>47137</v>
      </c>
      <c r="G56" s="561">
        <f>民間住宅1!V58</f>
        <v>2198</v>
      </c>
      <c r="H56" s="538">
        <f>民間設備投資計!V58</f>
        <v>44999</v>
      </c>
      <c r="I56" s="538">
        <f>民間在庫品増加!V58</f>
        <v>-60</v>
      </c>
      <c r="J56" s="558">
        <f>公的投資!V58</f>
        <v>5186</v>
      </c>
      <c r="K56" s="408">
        <f t="shared" si="15"/>
        <v>156112</v>
      </c>
      <c r="L56" s="1103">
        <f t="shared" si="17"/>
        <v>3359</v>
      </c>
      <c r="M56" s="1127">
        <f>移出入推計WS!GN58+移出入推計WS!GP58+移出入推計WS!GQ58</f>
        <v>154655</v>
      </c>
      <c r="N56" s="539">
        <f>移出入推計WS!GO58</f>
        <v>143655</v>
      </c>
      <c r="O56" s="1999">
        <f>'24R5'!O56</f>
        <v>-7641</v>
      </c>
      <c r="P56" s="293">
        <v>225</v>
      </c>
      <c r="Q56" s="314">
        <f>(C56-'22R3'!C56)/'22R3'!C56*100</f>
        <v>26.201706209145154</v>
      </c>
      <c r="R56" s="394">
        <f t="shared" si="3"/>
        <v>159471</v>
      </c>
      <c r="S56" s="394">
        <f t="shared" si="4"/>
        <v>0</v>
      </c>
      <c r="T56" s="49">
        <f>民間設備製造1!S58</f>
        <v>18711</v>
      </c>
      <c r="U56" s="49">
        <v>147406</v>
      </c>
    </row>
    <row r="57" spans="1:21">
      <c r="A57" s="300">
        <v>585</v>
      </c>
      <c r="B57" s="90" t="s">
        <v>220</v>
      </c>
      <c r="C57" s="413">
        <f t="shared" si="13"/>
        <v>71702</v>
      </c>
      <c r="D57" s="561">
        <f>民間消費!V59</f>
        <v>39537</v>
      </c>
      <c r="E57" s="558">
        <f>政府消費!V59</f>
        <v>17498</v>
      </c>
      <c r="F57" s="572">
        <f t="shared" si="14"/>
        <v>12407</v>
      </c>
      <c r="G57" s="561">
        <f>民間住宅1!V59</f>
        <v>409</v>
      </c>
      <c r="H57" s="538">
        <f>民間設備投資計!V59</f>
        <v>12028</v>
      </c>
      <c r="I57" s="538">
        <f>民間在庫品増加!V59</f>
        <v>-30</v>
      </c>
      <c r="J57" s="558">
        <f>公的投資!V59</f>
        <v>3005</v>
      </c>
      <c r="K57" s="408">
        <f t="shared" si="15"/>
        <v>72447</v>
      </c>
      <c r="L57" s="1103">
        <f t="shared" si="17"/>
        <v>-745</v>
      </c>
      <c r="M57" s="1127">
        <f>移出入推計WS!GN59+移出入推計WS!GP59+移出入推計WS!GQ59</f>
        <v>73008</v>
      </c>
      <c r="N57" s="539">
        <f>移出入推計WS!GO59</f>
        <v>66666</v>
      </c>
      <c r="O57" s="1999">
        <f>'24R5'!O57</f>
        <v>-7087</v>
      </c>
      <c r="P57" s="293">
        <v>585</v>
      </c>
      <c r="Q57" s="314">
        <f>(C57-'22R3'!C57)/'22R3'!C57*100</f>
        <v>37.460220083585753</v>
      </c>
      <c r="R57" s="394">
        <f t="shared" si="3"/>
        <v>71702</v>
      </c>
      <c r="S57" s="394">
        <f t="shared" si="4"/>
        <v>0</v>
      </c>
      <c r="T57" s="49">
        <f>民間設備製造1!S59</f>
        <v>1115</v>
      </c>
      <c r="U57" s="49">
        <v>73177</v>
      </c>
    </row>
    <row r="58" spans="1:21">
      <c r="A58" s="300">
        <v>586</v>
      </c>
      <c r="B58" s="90" t="s">
        <v>237</v>
      </c>
      <c r="C58" s="413">
        <f t="shared" si="13"/>
        <v>61946</v>
      </c>
      <c r="D58" s="561">
        <f>民間消費!V60</f>
        <v>33683</v>
      </c>
      <c r="E58" s="558">
        <f>政府消費!V60</f>
        <v>15468</v>
      </c>
      <c r="F58" s="572">
        <f t="shared" si="14"/>
        <v>10033</v>
      </c>
      <c r="G58" s="561">
        <f>民間住宅1!V60</f>
        <v>562</v>
      </c>
      <c r="H58" s="538">
        <f>民間設備投資計!V60</f>
        <v>9496</v>
      </c>
      <c r="I58" s="538">
        <f>民間在庫品増加!V60</f>
        <v>-25</v>
      </c>
      <c r="J58" s="558">
        <f>公的投資!V60</f>
        <v>3697</v>
      </c>
      <c r="K58" s="408">
        <f t="shared" si="15"/>
        <v>62881</v>
      </c>
      <c r="L58" s="1104">
        <f t="shared" si="17"/>
        <v>-935</v>
      </c>
      <c r="M58" s="1127">
        <f>移出入推計WS!GN60+移出入推計WS!GP60+移出入推計WS!GQ60</f>
        <v>63428</v>
      </c>
      <c r="N58" s="539">
        <f>移出入推計WS!GO60</f>
        <v>57863</v>
      </c>
      <c r="O58" s="1999">
        <f>'24R5'!O58</f>
        <v>-6500</v>
      </c>
      <c r="P58" s="293">
        <v>586</v>
      </c>
      <c r="Q58" s="314">
        <f>(C58-'22R3'!C58)/'22R3'!C58*100</f>
        <v>38.960922428103551</v>
      </c>
      <c r="R58" s="394">
        <f t="shared" si="3"/>
        <v>61946</v>
      </c>
      <c r="S58" s="394">
        <f t="shared" si="4"/>
        <v>0</v>
      </c>
      <c r="T58" s="49">
        <f>民間設備製造1!S60</f>
        <v>581</v>
      </c>
      <c r="U58" s="49">
        <v>60613</v>
      </c>
    </row>
    <row r="59" spans="1:21">
      <c r="A59" s="301">
        <v>8</v>
      </c>
      <c r="B59" s="127" t="s">
        <v>211</v>
      </c>
      <c r="C59" s="307">
        <f>SUM(C60:C61)</f>
        <v>483345</v>
      </c>
      <c r="D59" s="561">
        <f>民間消費!V61</f>
        <v>271758</v>
      </c>
      <c r="E59" s="558">
        <f>政府消費!V61</f>
        <v>78339</v>
      </c>
      <c r="F59" s="292">
        <f>SUM(F60:F61)</f>
        <v>101136</v>
      </c>
      <c r="G59" s="561">
        <f>民間住宅1!V61</f>
        <v>10072</v>
      </c>
      <c r="H59" s="538">
        <f>民間設備投資計!V61</f>
        <v>91248</v>
      </c>
      <c r="I59" s="538">
        <f>民間在庫品増加!V61</f>
        <v>-184</v>
      </c>
      <c r="J59" s="558">
        <f>公的投資!V61</f>
        <v>10561</v>
      </c>
      <c r="K59" s="292">
        <f>SUM(K60:K61)</f>
        <v>461794</v>
      </c>
      <c r="L59" s="308">
        <f t="shared" ref="L59" si="24">SUM(L60:L61)</f>
        <v>21551</v>
      </c>
      <c r="M59" s="1127">
        <f>移出入推計WS!GN61+移出入推計WS!GP61+移出入推計WS!GQ61</f>
        <v>458247</v>
      </c>
      <c r="N59" s="539">
        <f>移出入推計WS!GO61</f>
        <v>424944</v>
      </c>
      <c r="O59" s="1999">
        <f>'24R5'!O59</f>
        <v>-11752</v>
      </c>
      <c r="P59" s="293">
        <v>8</v>
      </c>
      <c r="Q59" s="314">
        <f>(C59-'22R3'!C59)/'22R3'!C59*100</f>
        <v>5.0626665565346674</v>
      </c>
      <c r="R59" s="394">
        <f t="shared" si="3"/>
        <v>483345</v>
      </c>
      <c r="S59" s="394">
        <f t="shared" si="4"/>
        <v>0</v>
      </c>
      <c r="T59" s="49">
        <f>民間設備製造1!S61</f>
        <v>21533</v>
      </c>
      <c r="U59" s="49">
        <v>452642</v>
      </c>
    </row>
    <row r="60" spans="1:21">
      <c r="A60" s="300">
        <v>221</v>
      </c>
      <c r="B60" s="492" t="s">
        <v>1144</v>
      </c>
      <c r="C60" s="413">
        <f t="shared" si="13"/>
        <v>200665</v>
      </c>
      <c r="D60" s="561">
        <f>民間消費!V62</f>
        <v>111004</v>
      </c>
      <c r="E60" s="558">
        <f>政府消費!V62</f>
        <v>34868</v>
      </c>
      <c r="F60" s="572">
        <f t="shared" si="14"/>
        <v>40500</v>
      </c>
      <c r="G60" s="561">
        <f>民間住宅1!V62</f>
        <v>4755</v>
      </c>
      <c r="H60" s="538">
        <f>民間設備投資計!V62</f>
        <v>35820</v>
      </c>
      <c r="I60" s="538">
        <f>民間在庫品増加!V62</f>
        <v>-75</v>
      </c>
      <c r="J60" s="558">
        <f>公的投資!V62</f>
        <v>3256</v>
      </c>
      <c r="K60" s="408">
        <f t="shared" si="15"/>
        <v>189628</v>
      </c>
      <c r="L60" s="1103">
        <f t="shared" si="17"/>
        <v>11037</v>
      </c>
      <c r="M60" s="1127">
        <f>移出入推計WS!GN62+移出入推計WS!GP62+移出入推計WS!GQ62</f>
        <v>188751</v>
      </c>
      <c r="N60" s="539">
        <f>移出入推計WS!GO62</f>
        <v>174496</v>
      </c>
      <c r="O60" s="1999">
        <f>'24R5'!O60</f>
        <v>-3218</v>
      </c>
      <c r="P60" s="293">
        <v>221</v>
      </c>
      <c r="Q60" s="314">
        <f>(C60-'22R3'!C60)/'22R3'!C60*100</f>
        <v>0.36612265108811454</v>
      </c>
      <c r="R60" s="394">
        <f t="shared" si="3"/>
        <v>200665</v>
      </c>
      <c r="S60" s="394">
        <f t="shared" si="4"/>
        <v>0</v>
      </c>
      <c r="T60" s="49">
        <f>民間設備製造1!S62</f>
        <v>7452</v>
      </c>
      <c r="U60" s="49">
        <v>184361</v>
      </c>
    </row>
    <row r="61" spans="1:21">
      <c r="A61" s="302">
        <v>223</v>
      </c>
      <c r="B61" s="201" t="s">
        <v>223</v>
      </c>
      <c r="C61" s="445">
        <f t="shared" si="13"/>
        <v>282680</v>
      </c>
      <c r="D61" s="561">
        <f>民間消費!V63</f>
        <v>160754</v>
      </c>
      <c r="E61" s="558">
        <f>政府消費!V63</f>
        <v>43471</v>
      </c>
      <c r="F61" s="573">
        <f t="shared" si="14"/>
        <v>60636</v>
      </c>
      <c r="G61" s="561">
        <f>民間住宅1!V63</f>
        <v>5317</v>
      </c>
      <c r="H61" s="538">
        <f>民間設備投資計!V63</f>
        <v>55428</v>
      </c>
      <c r="I61" s="538">
        <f>民間在庫品増加!V63</f>
        <v>-109</v>
      </c>
      <c r="J61" s="558">
        <f>公的投資!V63</f>
        <v>7305</v>
      </c>
      <c r="K61" s="409">
        <f t="shared" si="15"/>
        <v>272166</v>
      </c>
      <c r="L61" s="1103">
        <f t="shared" si="17"/>
        <v>10514</v>
      </c>
      <c r="M61" s="1127">
        <f>移出入推計WS!GN63+移出入推計WS!GP63+移出入推計WS!GQ63</f>
        <v>269496</v>
      </c>
      <c r="N61" s="539">
        <f>移出入推計WS!GO63</f>
        <v>250448</v>
      </c>
      <c r="O61" s="1999">
        <f>'24R5'!O61</f>
        <v>-8534</v>
      </c>
      <c r="P61" s="293">
        <v>223</v>
      </c>
      <c r="Q61" s="314">
        <f>(C61-'22R3'!C61)/'22R3'!C61*100</f>
        <v>8.6725024123388721</v>
      </c>
      <c r="R61" s="394">
        <f t="shared" si="3"/>
        <v>282680</v>
      </c>
      <c r="S61" s="394">
        <f t="shared" si="4"/>
        <v>0</v>
      </c>
      <c r="T61" s="49">
        <f>民間設備製造1!S63</f>
        <v>14081</v>
      </c>
      <c r="U61" s="49">
        <v>268281</v>
      </c>
    </row>
    <row r="62" spans="1:21">
      <c r="A62" s="301">
        <v>9</v>
      </c>
      <c r="B62" s="346" t="s">
        <v>212</v>
      </c>
      <c r="C62" s="307">
        <f>SUM(C63:C65)</f>
        <v>577411</v>
      </c>
      <c r="D62" s="561">
        <f>民間消費!V64</f>
        <v>320329</v>
      </c>
      <c r="E62" s="558">
        <f>政府消費!V64</f>
        <v>108536</v>
      </c>
      <c r="F62" s="292">
        <f>SUM(F63:F65)</f>
        <v>114949</v>
      </c>
      <c r="G62" s="561">
        <f>民間住宅1!V64</f>
        <v>14725</v>
      </c>
      <c r="H62" s="538">
        <f>民間設備投資計!V64</f>
        <v>100453</v>
      </c>
      <c r="I62" s="538">
        <f>民間在庫品増加!V64</f>
        <v>-229</v>
      </c>
      <c r="J62" s="558">
        <f>公的投資!V64</f>
        <v>24485</v>
      </c>
      <c r="K62" s="292">
        <f>SUM(K63:K65)</f>
        <v>568299</v>
      </c>
      <c r="L62" s="307">
        <f t="shared" ref="L62" si="25">SUM(L63:L65)</f>
        <v>9112</v>
      </c>
      <c r="M62" s="1127">
        <f>移出入推計WS!GN64+移出入推計WS!GP64+移出入推計WS!GQ64</f>
        <v>566535</v>
      </c>
      <c r="N62" s="539">
        <f>移出入推計WS!GO64</f>
        <v>522950</v>
      </c>
      <c r="O62" s="1999">
        <f>'24R5'!O62</f>
        <v>-34473</v>
      </c>
      <c r="P62" s="293">
        <v>9</v>
      </c>
      <c r="Q62" s="314">
        <f>(C62-'22R3'!C62)/'22R3'!C62*100</f>
        <v>27.708783516281787</v>
      </c>
      <c r="R62" s="394">
        <f t="shared" si="3"/>
        <v>577411</v>
      </c>
      <c r="S62" s="394">
        <f t="shared" si="4"/>
        <v>0</v>
      </c>
      <c r="T62" s="49">
        <f>民間設備製造1!S64</f>
        <v>15147</v>
      </c>
      <c r="U62" s="49">
        <v>567041</v>
      </c>
    </row>
    <row r="63" spans="1:21">
      <c r="A63" s="300">
        <v>205</v>
      </c>
      <c r="B63" s="92" t="s">
        <v>241</v>
      </c>
      <c r="C63" s="413">
        <f t="shared" si="13"/>
        <v>196769</v>
      </c>
      <c r="D63" s="561">
        <f>民間消費!V65</f>
        <v>109136</v>
      </c>
      <c r="E63" s="558">
        <f>政府消費!V65</f>
        <v>31595</v>
      </c>
      <c r="F63" s="572">
        <f t="shared" si="14"/>
        <v>44307</v>
      </c>
      <c r="G63" s="561">
        <f>民間住宅1!V65</f>
        <v>4448</v>
      </c>
      <c r="H63" s="538">
        <f>民間設備投資計!V65</f>
        <v>39938</v>
      </c>
      <c r="I63" s="538">
        <f>民間在庫品増加!V65</f>
        <v>-79</v>
      </c>
      <c r="J63" s="558">
        <f>公的投資!V65</f>
        <v>4732</v>
      </c>
      <c r="K63" s="408">
        <f t="shared" si="15"/>
        <v>189770</v>
      </c>
      <c r="L63" s="1103">
        <f t="shared" si="17"/>
        <v>6999</v>
      </c>
      <c r="M63" s="1127">
        <f>移出入推計WS!GN65+移出入推計WS!GP65+移出入推計WS!GQ65</f>
        <v>188184</v>
      </c>
      <c r="N63" s="539">
        <f>移出入推計WS!GO65</f>
        <v>174627</v>
      </c>
      <c r="O63" s="1999">
        <f>'24R5'!O63</f>
        <v>-6558</v>
      </c>
      <c r="P63" s="293">
        <v>205</v>
      </c>
      <c r="Q63" s="314">
        <f>(C63-'22R3'!C63)/'22R3'!C63*100</f>
        <v>27.607182925959311</v>
      </c>
      <c r="R63" s="394">
        <f t="shared" si="3"/>
        <v>196769</v>
      </c>
      <c r="S63" s="394">
        <f t="shared" si="4"/>
        <v>0</v>
      </c>
      <c r="T63" s="49">
        <f>民間設備製造1!S65</f>
        <v>9673</v>
      </c>
      <c r="U63" s="49">
        <v>195697</v>
      </c>
    </row>
    <row r="64" spans="1:21">
      <c r="A64" s="300">
        <v>224</v>
      </c>
      <c r="B64" s="90" t="s">
        <v>224</v>
      </c>
      <c r="C64" s="413">
        <f t="shared" si="13"/>
        <v>186028</v>
      </c>
      <c r="D64" s="561">
        <f>民間消費!V66</f>
        <v>104247</v>
      </c>
      <c r="E64" s="558">
        <f>政府消費!V66</f>
        <v>36547</v>
      </c>
      <c r="F64" s="572">
        <f t="shared" si="14"/>
        <v>32819</v>
      </c>
      <c r="G64" s="561">
        <f>民間住宅1!V66</f>
        <v>3247</v>
      </c>
      <c r="H64" s="538">
        <f>民間設備投資計!V66</f>
        <v>29646</v>
      </c>
      <c r="I64" s="538">
        <f>民間在庫品増加!V66</f>
        <v>-74</v>
      </c>
      <c r="J64" s="558">
        <f>公的投資!V66</f>
        <v>9661</v>
      </c>
      <c r="K64" s="408">
        <f t="shared" si="15"/>
        <v>183274</v>
      </c>
      <c r="L64" s="1103">
        <f t="shared" si="17"/>
        <v>2754</v>
      </c>
      <c r="M64" s="1127">
        <f>移出入推計WS!GN66+移出入推計WS!GP66+移出入推計WS!GQ66</f>
        <v>183037</v>
      </c>
      <c r="N64" s="539">
        <f>移出入推計WS!GO66</f>
        <v>168649</v>
      </c>
      <c r="O64" s="1999">
        <f>'24R5'!O64</f>
        <v>-11634</v>
      </c>
      <c r="P64" s="293">
        <v>224</v>
      </c>
      <c r="Q64" s="314">
        <f>(C64-'22R3'!C64)/'22R3'!C64*100</f>
        <v>25.057477445984645</v>
      </c>
      <c r="R64" s="394">
        <f t="shared" si="3"/>
        <v>186028</v>
      </c>
      <c r="S64" s="394">
        <f t="shared" si="4"/>
        <v>0</v>
      </c>
      <c r="T64" s="49">
        <f>民間設備製造1!S66</f>
        <v>2481</v>
      </c>
      <c r="U64" s="49">
        <v>182854</v>
      </c>
    </row>
    <row r="65" spans="1:21">
      <c r="A65" s="302">
        <v>226</v>
      </c>
      <c r="B65" s="201" t="s">
        <v>225</v>
      </c>
      <c r="C65" s="445">
        <f t="shared" si="13"/>
        <v>194614</v>
      </c>
      <c r="D65" s="562">
        <f>民間消費!V67</f>
        <v>106946</v>
      </c>
      <c r="E65" s="559">
        <f>政府消費!V67</f>
        <v>40394</v>
      </c>
      <c r="F65" s="573">
        <f t="shared" si="14"/>
        <v>37823</v>
      </c>
      <c r="G65" s="562">
        <f>民間住宅1!V67</f>
        <v>7030</v>
      </c>
      <c r="H65" s="542">
        <f>民間設備投資計!V67</f>
        <v>30869</v>
      </c>
      <c r="I65" s="542">
        <f>民間在庫品増加!V67</f>
        <v>-76</v>
      </c>
      <c r="J65" s="559">
        <f>公的投資!V67</f>
        <v>10092</v>
      </c>
      <c r="K65" s="409">
        <f t="shared" si="15"/>
        <v>195255</v>
      </c>
      <c r="L65" s="1104">
        <f t="shared" si="17"/>
        <v>-641</v>
      </c>
      <c r="M65" s="1128">
        <f>移出入推計WS!GN67+移出入推計WS!GP67+移出入推計WS!GQ67</f>
        <v>195314</v>
      </c>
      <c r="N65" s="543">
        <f>移出入推計WS!GO67</f>
        <v>179674</v>
      </c>
      <c r="O65" s="2000">
        <f>'24R5'!O65</f>
        <v>-16281</v>
      </c>
      <c r="P65" s="293">
        <v>226</v>
      </c>
      <c r="Q65" s="314">
        <f>(C65-'22R3'!C65)/'22R3'!C65*100</f>
        <v>30.457574173135448</v>
      </c>
      <c r="R65" s="394">
        <f t="shared" si="3"/>
        <v>194614</v>
      </c>
      <c r="S65" s="394">
        <f t="shared" si="4"/>
        <v>0</v>
      </c>
      <c r="T65" s="49">
        <f>民間設備製造1!S67</f>
        <v>2993</v>
      </c>
      <c r="U65" s="49">
        <v>188490</v>
      </c>
    </row>
    <row r="66" spans="1:21">
      <c r="A66" s="75"/>
      <c r="B66" s="75"/>
      <c r="C66" s="75"/>
      <c r="D66" s="75"/>
      <c r="E66" s="75"/>
      <c r="F66" s="75"/>
      <c r="G66" s="75"/>
      <c r="H66" s="75"/>
      <c r="I66" s="75"/>
      <c r="J66" s="75"/>
      <c r="K66" s="75"/>
      <c r="L66" s="75"/>
      <c r="M66" s="75"/>
      <c r="N66" s="75"/>
      <c r="O66" s="75" t="str">
        <f>'25R6'!O66</f>
        <v>R5固定</v>
      </c>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16.899999999999999</v>
      </c>
      <c r="D70" s="384">
        <f>ROUND((D4-'21R2'!D4)/ABS('21R2'!D4)*100,1)</f>
        <v>17.3</v>
      </c>
      <c r="E70" s="384">
        <f>ROUND((E4-'21R2'!E4)/ABS('21R2'!E4)*100,1)</f>
        <v>18</v>
      </c>
      <c r="F70" s="384">
        <f>ROUND((F4-'21R2'!F4)/ABS('21R2'!F4)*100,1)</f>
        <v>42</v>
      </c>
      <c r="G70" s="384">
        <f>ROUND((G4-'21R2'!G4)/ABS('21R2'!G4)*100,1)</f>
        <v>13.7</v>
      </c>
      <c r="H70" s="384">
        <f>ROUND((H4-'21R2'!H4)/ABS('21R2'!H4)*100,1)</f>
        <v>40.4</v>
      </c>
      <c r="I70" s="384">
        <f>ROUND((I4-'21R2'!I4)/ABS('21R2'!I4)*100,1)</f>
        <v>94.8</v>
      </c>
      <c r="J70" s="384">
        <f>ROUND((J4-'21R2'!J4)/ABS('21R2'!J4)*100,1)</f>
        <v>-16.3</v>
      </c>
      <c r="K70" s="384">
        <f>ROUND((K4-'21R2'!K4)/ABS('21R2'!K4)*100,1)</f>
        <v>20.7</v>
      </c>
      <c r="L70" s="384">
        <f>ROUND((L4-'21R2'!L4)/ABS('21R2'!L4)*100,1)</f>
        <v>-38.299999999999997</v>
      </c>
      <c r="M70" s="384">
        <f>ROUND((M4-'21R2'!M4)/ABS('21R2'!M4)*100,1)</f>
        <v>36.299999999999997</v>
      </c>
      <c r="N70" s="384">
        <f>ROUND((N4-'21R2'!N4)/ABS('21R2'!N4)*100,1)</f>
        <v>41.6</v>
      </c>
      <c r="O70" s="384">
        <f>ROUND((O4-'21R2'!O4)/ABS('21R2'!O4)*100,1)</f>
        <v>-81.2</v>
      </c>
    </row>
    <row r="71" spans="1:21">
      <c r="A71" s="77">
        <v>100</v>
      </c>
      <c r="B71" s="75" t="s">
        <v>172</v>
      </c>
      <c r="C71" s="384">
        <f>ROUND((C5-'21R2'!C5)/ABS('21R2'!C5)*100,1)</f>
        <v>10</v>
      </c>
      <c r="D71" s="384">
        <f>ROUND((D5-'21R2'!D5)/ABS('21R2'!D5)*100,1)</f>
        <v>11.8</v>
      </c>
      <c r="E71" s="384">
        <f>ROUND((E5-'21R2'!E5)/ABS('21R2'!E5)*100,1)</f>
        <v>17.399999999999999</v>
      </c>
      <c r="F71" s="384">
        <f>ROUND((F5-'21R2'!F5)/ABS('21R2'!F5)*100,1)</f>
        <v>42.3</v>
      </c>
      <c r="G71" s="384">
        <f>ROUND((G5-'21R2'!G5)/ABS('21R2'!G5)*100,1)</f>
        <v>9.5</v>
      </c>
      <c r="H71" s="384">
        <f>ROUND((H5-'21R2'!H5)/ABS('21R2'!H5)*100,1)</f>
        <v>40.6</v>
      </c>
      <c r="I71" s="384">
        <f>ROUND((I5-'21R2'!I5)/ABS('21R2'!I5)*100,1)</f>
        <v>94.9</v>
      </c>
      <c r="J71" s="384">
        <f>ROUND((J5-'21R2'!J5)/ABS('21R2'!J5)*100,1)</f>
        <v>-16.100000000000001</v>
      </c>
      <c r="K71" s="384">
        <f>ROUND((K5-'21R2'!K5)/ABS('21R2'!K5)*100,1)</f>
        <v>16.100000000000001</v>
      </c>
      <c r="L71" s="384">
        <f>ROUND((L5-'21R2'!L5)/ABS('21R2'!L5)*100,1)</f>
        <v>-54.2</v>
      </c>
      <c r="M71" s="384">
        <f>ROUND((M5-'21R2'!M5)/ABS('21R2'!M5)*100,1)</f>
        <v>27.6</v>
      </c>
      <c r="N71" s="384">
        <f>ROUND((N5-'21R2'!N5)/ABS('21R2'!N5)*100,1)</f>
        <v>36.299999999999997</v>
      </c>
      <c r="O71" s="384">
        <f>ROUND((O5-'21R2'!O5)/ABS('21R2'!O5)*100,1)</f>
        <v>-72</v>
      </c>
    </row>
    <row r="72" spans="1:21">
      <c r="A72" s="77">
        <v>1</v>
      </c>
      <c r="B72" s="75" t="s">
        <v>323</v>
      </c>
      <c r="C72" s="384">
        <f>ROUND((C6-'21R2'!C6)/ABS('21R2'!C6)*100,1)</f>
        <v>27.9</v>
      </c>
      <c r="D72" s="384">
        <f>ROUND((D6-'21R2'!D6)/ABS('21R2'!D6)*100,1)</f>
        <v>13.8</v>
      </c>
      <c r="E72" s="384">
        <f>ROUND((E6-'21R2'!E6)/ABS('21R2'!E6)*100,1)</f>
        <v>17.899999999999999</v>
      </c>
      <c r="F72" s="384">
        <f>ROUND((F6-'21R2'!F6)/ABS('21R2'!F6)*100,1)</f>
        <v>35.9</v>
      </c>
      <c r="G72" s="384">
        <f>ROUND((G6-'21R2'!G6)/ABS('21R2'!G6)*100,1)</f>
        <v>6</v>
      </c>
      <c r="H72" s="384">
        <f>ROUND((H6-'21R2'!H6)/ABS('21R2'!H6)*100,1)</f>
        <v>36.799999999999997</v>
      </c>
      <c r="I72" s="384">
        <f>ROUND((I6-'21R2'!I6)/ABS('21R2'!I6)*100,1)</f>
        <v>94.9</v>
      </c>
      <c r="J72" s="384">
        <f>ROUND((J6-'21R2'!J6)/ABS('21R2'!J6)*100,1)</f>
        <v>-29.1</v>
      </c>
      <c r="K72" s="384">
        <f>ROUND((K6-'21R2'!K6)/ABS('21R2'!K6)*100,1)</f>
        <v>16.600000000000001</v>
      </c>
      <c r="L72" s="384">
        <f>ROUND((L6-'21R2'!L6)/ABS('21R2'!L6)*100,1)</f>
        <v>140.4</v>
      </c>
      <c r="M72" s="384">
        <f>ROUND((M6-'21R2'!M6)/ABS('21R2'!M6)*100,1)</f>
        <v>50.3</v>
      </c>
      <c r="N72" s="384">
        <f>ROUND((N6-'21R2'!N6)/ABS('21R2'!N6)*100,1)</f>
        <v>36.9</v>
      </c>
      <c r="O72" s="384">
        <f>ROUND((O6-'21R2'!O6)/ABS('21R2'!O6)*100,1)</f>
        <v>-0.1</v>
      </c>
    </row>
    <row r="73" spans="1:21">
      <c r="A73" s="77">
        <v>2</v>
      </c>
      <c r="B73" s="75" t="s">
        <v>324</v>
      </c>
      <c r="C73" s="384">
        <f>ROUND((C7-'21R2'!C7)/ABS('21R2'!C7)*100,1)</f>
        <v>53</v>
      </c>
      <c r="D73" s="384">
        <f>ROUND((D7-'21R2'!D7)/ABS('21R2'!D7)*100,1)</f>
        <v>22.7</v>
      </c>
      <c r="E73" s="384">
        <f>ROUND((E7-'21R2'!E7)/ABS('21R2'!E7)*100,1)</f>
        <v>17.3</v>
      </c>
      <c r="F73" s="384">
        <f>ROUND((F7-'21R2'!F7)/ABS('21R2'!F7)*100,1)</f>
        <v>41.7</v>
      </c>
      <c r="G73" s="384">
        <f>ROUND((G7-'21R2'!G7)/ABS('21R2'!G7)*100,1)</f>
        <v>36.700000000000003</v>
      </c>
      <c r="H73" s="384">
        <f>ROUND((H7-'21R2'!H7)/ABS('21R2'!H7)*100,1)</f>
        <v>35.6</v>
      </c>
      <c r="I73" s="384">
        <f>ROUND((I7-'21R2'!I7)/ABS('21R2'!I7)*100,1)</f>
        <v>94.6</v>
      </c>
      <c r="J73" s="384">
        <f>ROUND((J7-'21R2'!J7)/ABS('21R2'!J7)*100,1)</f>
        <v>185.3</v>
      </c>
      <c r="K73" s="384">
        <f>ROUND((K7-'21R2'!K7)/ABS('21R2'!K7)*100,1)</f>
        <v>30</v>
      </c>
      <c r="L73" s="384">
        <f>ROUND((L7-'21R2'!L7)/ABS('21R2'!L7)*100,1)</f>
        <v>123.8</v>
      </c>
      <c r="M73" s="384">
        <f>ROUND((M7-'21R2'!M7)/ABS('21R2'!M7)*100,1)</f>
        <v>77.5</v>
      </c>
      <c r="N73" s="384">
        <f>ROUND((N7-'21R2'!N7)/ABS('21R2'!N7)*100,1)</f>
        <v>52.5</v>
      </c>
      <c r="O73" s="384">
        <f>ROUND((O7-'21R2'!O7)/ABS('21R2'!O7)*100,1)</f>
        <v>25.4</v>
      </c>
    </row>
    <row r="74" spans="1:21">
      <c r="A74" s="77">
        <v>3</v>
      </c>
      <c r="B74" s="75" t="s">
        <v>192</v>
      </c>
      <c r="C74" s="384">
        <f>ROUND((C8-'21R2'!C8)/ABS('21R2'!C8)*100,1)</f>
        <v>18.2</v>
      </c>
      <c r="D74" s="384">
        <f>ROUND((D8-'21R2'!D8)/ABS('21R2'!D8)*100,1)</f>
        <v>24.6</v>
      </c>
      <c r="E74" s="384">
        <f>ROUND((E8-'21R2'!E8)/ABS('21R2'!E8)*100,1)</f>
        <v>20.3</v>
      </c>
      <c r="F74" s="384">
        <f>ROUND((F8-'21R2'!F8)/ABS('21R2'!F8)*100,1)</f>
        <v>46.2</v>
      </c>
      <c r="G74" s="384">
        <f>ROUND((G8-'21R2'!G8)/ABS('21R2'!G8)*100,1)</f>
        <v>9.1</v>
      </c>
      <c r="H74" s="384">
        <f>ROUND((H8-'21R2'!H8)/ABS('21R2'!H8)*100,1)</f>
        <v>46.8</v>
      </c>
      <c r="I74" s="384">
        <f>ROUND((I8-'21R2'!I8)/ABS('21R2'!I8)*100,1)</f>
        <v>94.5</v>
      </c>
      <c r="J74" s="384">
        <f>ROUND((J8-'21R2'!J8)/ABS('21R2'!J8)*100,1)</f>
        <v>-34.200000000000003</v>
      </c>
      <c r="K74" s="384">
        <f>ROUND((K8-'21R2'!K8)/ABS('21R2'!K8)*100,1)</f>
        <v>27.3</v>
      </c>
      <c r="L74" s="384">
        <f>ROUND((L8-'21R2'!L8)/ABS('21R2'!L8)*100,1)</f>
        <v>-66.2</v>
      </c>
      <c r="M74" s="384">
        <f>ROUND((M8-'21R2'!M8)/ABS('21R2'!M8)*100,1)</f>
        <v>40</v>
      </c>
      <c r="N74" s="384">
        <f>ROUND((N8-'21R2'!N8)/ABS('21R2'!N8)*100,1)</f>
        <v>49.3</v>
      </c>
      <c r="O74" s="384">
        <f>ROUND((O8-'21R2'!O8)/ABS('21R2'!O8)*100,1)</f>
        <v>-1049.8</v>
      </c>
    </row>
    <row r="75" spans="1:21">
      <c r="A75" s="77">
        <v>4</v>
      </c>
      <c r="B75" s="75" t="s">
        <v>325</v>
      </c>
      <c r="C75" s="384">
        <f>ROUND((C9-'21R2'!C9)/ABS('21R2'!C9)*100,1)</f>
        <v>-1.5</v>
      </c>
      <c r="D75" s="384">
        <f>ROUND((D9-'21R2'!D9)/ABS('21R2'!D9)*100,1)</f>
        <v>27</v>
      </c>
      <c r="E75" s="384">
        <f>ROUND((E9-'21R2'!E9)/ABS('21R2'!E9)*100,1)</f>
        <v>16</v>
      </c>
      <c r="F75" s="384">
        <f>ROUND((F9-'21R2'!F9)/ABS('21R2'!F9)*100,1)</f>
        <v>64.099999999999994</v>
      </c>
      <c r="G75" s="384">
        <f>ROUND((G9-'21R2'!G9)/ABS('21R2'!G9)*100,1)</f>
        <v>11.1</v>
      </c>
      <c r="H75" s="384">
        <f>ROUND((H9-'21R2'!H9)/ABS('21R2'!H9)*100,1)</f>
        <v>64</v>
      </c>
      <c r="I75" s="384">
        <f>ROUND((I9-'21R2'!I9)/ABS('21R2'!I9)*100,1)</f>
        <v>94.2</v>
      </c>
      <c r="J75" s="384">
        <f>ROUND((J9-'21R2'!J9)/ABS('21R2'!J9)*100,1)</f>
        <v>-15.6</v>
      </c>
      <c r="K75" s="384">
        <f>ROUND((K9-'21R2'!K9)/ABS('21R2'!K9)*100,1)</f>
        <v>30.9</v>
      </c>
      <c r="L75" s="384">
        <f>ROUND((L9-'21R2'!L9)/ABS('21R2'!L9)*100,1)</f>
        <v>-78.2</v>
      </c>
      <c r="M75" s="384">
        <f>ROUND((M9-'21R2'!M9)/ABS('21R2'!M9)*100,1)</f>
        <v>12.3</v>
      </c>
      <c r="N75" s="384">
        <f>ROUND((N9-'21R2'!N9)/ABS('21R2'!N9)*100,1)</f>
        <v>53.6</v>
      </c>
      <c r="O75" s="384">
        <f>ROUND((O9-'21R2'!O9)/ABS('21R2'!O9)*100,1)</f>
        <v>-86.5</v>
      </c>
      <c r="R75" s="383"/>
      <c r="S75" s="383"/>
    </row>
    <row r="76" spans="1:21">
      <c r="A76" s="77">
        <v>5</v>
      </c>
      <c r="B76" s="75" t="s">
        <v>326</v>
      </c>
      <c r="C76" s="384">
        <f>ROUND((C10-'21R2'!C10)/ABS('21R2'!C10)*100,1)</f>
        <v>5.2</v>
      </c>
      <c r="D76" s="384">
        <f>ROUND((D10-'21R2'!D10)/ABS('21R2'!D10)*100,1)</f>
        <v>13.9</v>
      </c>
      <c r="E76" s="384">
        <f>ROUND((E10-'21R2'!E10)/ABS('21R2'!E10)*100,1)</f>
        <v>23.6</v>
      </c>
      <c r="F76" s="384">
        <f>ROUND((F10-'21R2'!F10)/ABS('21R2'!F10)*100,1)</f>
        <v>26.7</v>
      </c>
      <c r="G76" s="384">
        <f>ROUND((G10-'21R2'!G10)/ABS('21R2'!G10)*100,1)</f>
        <v>15.5</v>
      </c>
      <c r="H76" s="384">
        <f>ROUND((H10-'21R2'!H10)/ABS('21R2'!H10)*100,1)</f>
        <v>24</v>
      </c>
      <c r="I76" s="384">
        <f>ROUND((I10-'21R2'!I10)/ABS('21R2'!I10)*100,1)</f>
        <v>95</v>
      </c>
      <c r="J76" s="384">
        <f>ROUND((J10-'21R2'!J10)/ABS('21R2'!J10)*100,1)</f>
        <v>-62.8</v>
      </c>
      <c r="K76" s="384">
        <f>ROUND((K10-'21R2'!K10)/ABS('21R2'!K10)*100,1)</f>
        <v>13.6</v>
      </c>
      <c r="L76" s="384">
        <f>ROUND((L10-'21R2'!L10)/ABS('21R2'!L10)*100,1)</f>
        <v>-56.8</v>
      </c>
      <c r="M76" s="384">
        <f>ROUND((M10-'21R2'!M10)/ABS('21R2'!M10)*100,1)</f>
        <v>22.5</v>
      </c>
      <c r="N76" s="384">
        <f>ROUND((N10-'21R2'!N10)/ABS('21R2'!N10)*100,1)</f>
        <v>33.299999999999997</v>
      </c>
      <c r="O76" s="384">
        <f>ROUND((O10-'21R2'!O10)/ABS('21R2'!O10)*100,1)</f>
        <v>-194.9</v>
      </c>
      <c r="R76" s="383"/>
      <c r="S76" s="383"/>
    </row>
    <row r="77" spans="1:21">
      <c r="A77" s="77">
        <v>6</v>
      </c>
      <c r="B77" s="75" t="s">
        <v>327</v>
      </c>
      <c r="C77" s="384">
        <f>ROUND((C11-'21R2'!C11)/ABS('21R2'!C11)*100,1)</f>
        <v>2.5</v>
      </c>
      <c r="D77" s="384">
        <f>ROUND((D11-'21R2'!D11)/ABS('21R2'!D11)*100,1)</f>
        <v>24.3</v>
      </c>
      <c r="E77" s="384">
        <f>ROUND((E11-'21R2'!E11)/ABS('21R2'!E11)*100,1)</f>
        <v>15</v>
      </c>
      <c r="F77" s="384">
        <f>ROUND((F11-'21R2'!F11)/ABS('21R2'!F11)*100,1)</f>
        <v>49.7</v>
      </c>
      <c r="G77" s="384">
        <f>ROUND((G11-'21R2'!G11)/ABS('21R2'!G11)*100,1)</f>
        <v>23</v>
      </c>
      <c r="H77" s="384">
        <f>ROUND((H11-'21R2'!H11)/ABS('21R2'!H11)*100,1)</f>
        <v>46.1</v>
      </c>
      <c r="I77" s="384">
        <f>ROUND((I11-'21R2'!I11)/ABS('21R2'!I11)*100,1)</f>
        <v>94.5</v>
      </c>
      <c r="J77" s="384">
        <f>ROUND((J11-'21R2'!J11)/ABS('21R2'!J11)*100,1)</f>
        <v>-37.6</v>
      </c>
      <c r="K77" s="384">
        <f>ROUND((K11-'21R2'!K11)/ABS('21R2'!K11)*100,1)</f>
        <v>24.7</v>
      </c>
      <c r="L77" s="384">
        <f>ROUND((L11-'21R2'!L11)/ABS('21R2'!L11)*100,1)</f>
        <v>-76.3</v>
      </c>
      <c r="M77" s="384">
        <f>ROUND((M11-'21R2'!M11)/ABS('21R2'!M11)*100,1)</f>
        <v>18.2</v>
      </c>
      <c r="N77" s="384">
        <f>ROUND((N11-'21R2'!N11)/ABS('21R2'!N11)*100,1)</f>
        <v>46.3</v>
      </c>
      <c r="O77" s="384">
        <f>ROUND((O11-'21R2'!O11)/ABS('21R2'!O11)*100,1)</f>
        <v>-152.4</v>
      </c>
      <c r="R77" s="383"/>
      <c r="S77" s="383"/>
    </row>
    <row r="78" spans="1:21">
      <c r="A78" s="77">
        <v>7</v>
      </c>
      <c r="B78" s="75" t="s">
        <v>210</v>
      </c>
      <c r="C78" s="384">
        <f>ROUND((C12-'21R2'!C12)/ABS('21R2'!C12)*100,1)</f>
        <v>16.899999999999999</v>
      </c>
      <c r="D78" s="384">
        <f>ROUND((D12-'21R2'!D12)/ABS('21R2'!D12)*100,1)</f>
        <v>22.2</v>
      </c>
      <c r="E78" s="384">
        <f>ROUND((E12-'21R2'!E12)/ABS('21R2'!E12)*100,1)</f>
        <v>16.3</v>
      </c>
      <c r="F78" s="384">
        <f>ROUND((F12-'21R2'!F12)/ABS('21R2'!F12)*100,1)</f>
        <v>85.8</v>
      </c>
      <c r="G78" s="384">
        <f>ROUND((G12-'21R2'!G12)/ABS('21R2'!G12)*100,1)</f>
        <v>16.600000000000001</v>
      </c>
      <c r="H78" s="384">
        <f>ROUND((H12-'21R2'!H12)/ABS('21R2'!H12)*100,1)</f>
        <v>82.7</v>
      </c>
      <c r="I78" s="384">
        <f>ROUND((I12-'21R2'!I12)/ABS('21R2'!I12)*100,1)</f>
        <v>94.3</v>
      </c>
      <c r="J78" s="384">
        <f>ROUND((J12-'21R2'!J12)/ABS('21R2'!J12)*100,1)</f>
        <v>-43.4</v>
      </c>
      <c r="K78" s="384">
        <f>ROUND((K12-'21R2'!K12)/ABS('21R2'!K12)*100,1)</f>
        <v>25.4</v>
      </c>
      <c r="L78" s="384">
        <f>ROUND((L12-'21R2'!L12)/ABS('21R2'!L12)*100,1)</f>
        <v>-78.2</v>
      </c>
      <c r="M78" s="384">
        <f>ROUND((M12-'21R2'!M12)/ABS('21R2'!M12)*100,1)</f>
        <v>36</v>
      </c>
      <c r="N78" s="384">
        <f>ROUND((N12-'21R2'!N12)/ABS('21R2'!N12)*100,1)</f>
        <v>47.2</v>
      </c>
      <c r="O78" s="384">
        <f>ROUND((O12-'21R2'!O12)/ABS('21R2'!O12)*100,1)</f>
        <v>-67.2</v>
      </c>
      <c r="R78" s="383"/>
      <c r="S78" s="383"/>
    </row>
    <row r="79" spans="1:21">
      <c r="A79" s="77">
        <v>8</v>
      </c>
      <c r="B79" s="75" t="s">
        <v>211</v>
      </c>
      <c r="C79" s="384">
        <f>ROUND((C13-'21R2'!C13)/ABS('21R2'!C13)*100,1)</f>
        <v>6.7</v>
      </c>
      <c r="D79" s="384">
        <f>ROUND((D13-'21R2'!D13)/ABS('21R2'!D13)*100,1)</f>
        <v>26.6</v>
      </c>
      <c r="E79" s="384">
        <f>ROUND((E13-'21R2'!E13)/ABS('21R2'!E13)*100,1)</f>
        <v>18.600000000000001</v>
      </c>
      <c r="F79" s="384">
        <f>ROUND((F13-'21R2'!F13)/ABS('21R2'!F13)*100,1)</f>
        <v>26</v>
      </c>
      <c r="G79" s="384">
        <f>ROUND((G13-'21R2'!G13)/ABS('21R2'!G13)*100,1)</f>
        <v>18.600000000000001</v>
      </c>
      <c r="H79" s="384">
        <f>ROUND((H13-'21R2'!H13)/ABS('21R2'!H13)*100,1)</f>
        <v>21.5</v>
      </c>
      <c r="I79" s="384">
        <f>ROUND((I13-'21R2'!I13)/ABS('21R2'!I13)*100,1)</f>
        <v>94.5</v>
      </c>
      <c r="J79" s="384">
        <f>ROUND((J13-'21R2'!J13)/ABS('21R2'!J13)*100,1)</f>
        <v>-29.5</v>
      </c>
      <c r="K79" s="384">
        <f>ROUND((K13-'21R2'!K13)/ABS('21R2'!K13)*100,1)</f>
        <v>22.8</v>
      </c>
      <c r="L79" s="384">
        <f>ROUND((L13-'21R2'!L13)/ABS('21R2'!L13)*100,1)</f>
        <v>-72</v>
      </c>
      <c r="M79" s="384">
        <f>ROUND((M13-'21R2'!M13)/ABS('21R2'!M13)*100,1)</f>
        <v>22.6</v>
      </c>
      <c r="N79" s="384">
        <f>ROUND((N13-'21R2'!N13)/ABS('21R2'!N13)*100,1)</f>
        <v>44.1</v>
      </c>
      <c r="O79" s="384">
        <f>ROUND((O13-'21R2'!O13)/ABS('21R2'!O13)*100,1)</f>
        <v>-552.9</v>
      </c>
      <c r="R79" s="383"/>
      <c r="S79" s="383"/>
    </row>
    <row r="80" spans="1:21">
      <c r="A80" s="77">
        <v>9</v>
      </c>
      <c r="B80" s="75" t="s">
        <v>212</v>
      </c>
      <c r="C80" s="384">
        <f>ROUND((C14-'21R2'!C14)/ABS('21R2'!C14)*100,1)</f>
        <v>30.8</v>
      </c>
      <c r="D80" s="384">
        <f>ROUND((D14-'21R2'!D14)/ABS('21R2'!D14)*100,1)</f>
        <v>27</v>
      </c>
      <c r="E80" s="384">
        <f>ROUND((E14-'21R2'!E14)/ABS('21R2'!E14)*100,1)</f>
        <v>13.5</v>
      </c>
      <c r="F80" s="384">
        <f>ROUND((F14-'21R2'!F14)/ABS('21R2'!F14)*100,1)</f>
        <v>82.8</v>
      </c>
      <c r="G80" s="384">
        <f>ROUND((G14-'21R2'!G14)/ABS('21R2'!G14)*100,1)</f>
        <v>73</v>
      </c>
      <c r="H80" s="384">
        <f>ROUND((H14-'21R2'!H14)/ABS('21R2'!H14)*100,1)</f>
        <v>72.599999999999994</v>
      </c>
      <c r="I80" s="384">
        <f>ROUND((I14-'21R2'!I14)/ABS('21R2'!I14)*100,1)</f>
        <v>94</v>
      </c>
      <c r="J80" s="384">
        <f>ROUND((J14-'21R2'!J14)/ABS('21R2'!J14)*100,1)</f>
        <v>-1.9</v>
      </c>
      <c r="K80" s="384">
        <f>ROUND((K14-'21R2'!K14)/ABS('21R2'!K14)*100,1)</f>
        <v>30.4</v>
      </c>
      <c r="L80" s="384">
        <f>ROUND((L14-'21R2'!L14)/ABS('21R2'!L14)*100,1)</f>
        <v>55.7</v>
      </c>
      <c r="M80" s="384">
        <f>ROUND((M14-'21R2'!M14)/ABS('21R2'!M14)*100,1)</f>
        <v>49.7</v>
      </c>
      <c r="N80" s="384">
        <f>ROUND((N14-'21R2'!N14)/ABS('21R2'!N14)*100,1)</f>
        <v>53</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10</v>
      </c>
      <c r="D82" s="384">
        <f>ROUND((D16-'21R2'!D16)/ABS('21R2'!D16)*100,1)</f>
        <v>11.8</v>
      </c>
      <c r="E82" s="384">
        <f>ROUND((E16-'21R2'!E16)/ABS('21R2'!E16)*100,1)</f>
        <v>17.399999999999999</v>
      </c>
      <c r="F82" s="384">
        <f>ROUND((F16-'21R2'!F16)/ABS('21R2'!F16)*100,1)</f>
        <v>42.3</v>
      </c>
      <c r="G82" s="384">
        <f>ROUND((G16-'21R2'!G16)/ABS('21R2'!G16)*100,1)</f>
        <v>9.5</v>
      </c>
      <c r="H82" s="384">
        <f>ROUND((H16-'21R2'!H16)/ABS('21R2'!H16)*100,1)</f>
        <v>40.6</v>
      </c>
      <c r="I82" s="384">
        <f>ROUND((I16-'21R2'!I16)/ABS('21R2'!I16)*100,1)</f>
        <v>94.9</v>
      </c>
      <c r="J82" s="384">
        <f>ROUND((J16-'21R2'!J16)/ABS('21R2'!J16)*100,1)</f>
        <v>-16.100000000000001</v>
      </c>
      <c r="K82" s="384">
        <f>ROUND((K16-'21R2'!K16)/ABS('21R2'!K16)*100,1)</f>
        <v>16.100000000000001</v>
      </c>
      <c r="L82" s="384">
        <f>ROUND((L16-'21R2'!L16)/ABS('21R2'!L16)*100,1)</f>
        <v>-54.2</v>
      </c>
      <c r="M82" s="384">
        <f>ROUND((M16-'21R2'!M16)/ABS('21R2'!M16)*100,1)</f>
        <v>27.6</v>
      </c>
      <c r="N82" s="384">
        <f>ROUND((N16-'21R2'!N16)/ABS('21R2'!N16)*100,1)</f>
        <v>36.299999999999997</v>
      </c>
      <c r="O82" s="384">
        <f>ROUND((O16-'21R2'!O16)/ABS('21R2'!O16)*100,1)</f>
        <v>-72</v>
      </c>
      <c r="R82" s="383"/>
      <c r="S82" s="383"/>
    </row>
    <row r="83" spans="1:19">
      <c r="A83" s="293">
        <v>1</v>
      </c>
      <c r="B83" s="65" t="s">
        <v>182</v>
      </c>
      <c r="C83" s="384">
        <f>ROUND((C17-'21R2'!C17)/ABS('21R2'!C17)*100,1)</f>
        <v>27.9</v>
      </c>
      <c r="D83" s="384">
        <f>ROUND((D17-'21R2'!D17)/ABS('21R2'!D17)*100,1)</f>
        <v>13.8</v>
      </c>
      <c r="E83" s="384">
        <f>ROUND((E17-'21R2'!E17)/ABS('21R2'!E17)*100,1)</f>
        <v>17.899999999999999</v>
      </c>
      <c r="F83" s="384">
        <f>ROUND((F17-'21R2'!F17)/ABS('21R2'!F17)*100,1)</f>
        <v>35.9</v>
      </c>
      <c r="G83" s="384">
        <f>ROUND((G17-'21R2'!G17)/ABS('21R2'!G17)*100,1)</f>
        <v>6</v>
      </c>
      <c r="H83" s="384">
        <f>ROUND((H17-'21R2'!H17)/ABS('21R2'!H17)*100,1)</f>
        <v>36.799999999999997</v>
      </c>
      <c r="I83" s="384">
        <f>ROUND((I17-'21R2'!I17)/ABS('21R2'!I17)*100,1)</f>
        <v>94.9</v>
      </c>
      <c r="J83" s="384">
        <f>ROUND((J17-'21R2'!J17)/ABS('21R2'!J17)*100,1)</f>
        <v>-29.1</v>
      </c>
      <c r="K83" s="384">
        <f>ROUND((K17-'21R2'!K17)/ABS('21R2'!K17)*100,1)</f>
        <v>16.600000000000001</v>
      </c>
      <c r="L83" s="384">
        <f>ROUND((L17-'21R2'!L17)/ABS('21R2'!L17)*100,1)</f>
        <v>140.4</v>
      </c>
      <c r="M83" s="384">
        <f>ROUND((M17-'21R2'!M17)/ABS('21R2'!M17)*100,1)</f>
        <v>50.3</v>
      </c>
      <c r="N83" s="384">
        <f>ROUND((N17-'21R2'!N17)/ABS('21R2'!N17)*100,1)</f>
        <v>36.9</v>
      </c>
      <c r="O83" s="384">
        <f>ROUND((O17-'21R2'!O17)/ABS('21R2'!O17)*100,1)</f>
        <v>-0.1</v>
      </c>
      <c r="R83" s="383"/>
      <c r="S83" s="383"/>
    </row>
    <row r="84" spans="1:19">
      <c r="A84" s="293">
        <v>202</v>
      </c>
      <c r="B84" s="90" t="s">
        <v>183</v>
      </c>
      <c r="C84" s="384">
        <f>ROUND((C18-'21R2'!C18)/ABS('21R2'!C18)*100,1)</f>
        <v>14</v>
      </c>
      <c r="D84" s="384">
        <f>ROUND((D18-'21R2'!D18)/ABS('21R2'!D18)*100,1)</f>
        <v>13.3</v>
      </c>
      <c r="E84" s="384">
        <f>ROUND((E18-'21R2'!E18)/ABS('21R2'!E18)*100,1)</f>
        <v>17.100000000000001</v>
      </c>
      <c r="F84" s="384">
        <f>ROUND((F18-'21R2'!F18)/ABS('21R2'!F18)*100,1)</f>
        <v>40.799999999999997</v>
      </c>
      <c r="G84" s="384">
        <f>ROUND((G18-'21R2'!G18)/ABS('21R2'!G18)*100,1)</f>
        <v>23.1</v>
      </c>
      <c r="H84" s="384">
        <f>ROUND((H18-'21R2'!H18)/ABS('21R2'!H18)*100,1)</f>
        <v>37.9</v>
      </c>
      <c r="I84" s="384">
        <f>ROUND((I18-'21R2'!I18)/ABS('21R2'!I18)*100,1)</f>
        <v>94.9</v>
      </c>
      <c r="J84" s="384">
        <f>ROUND((J18-'21R2'!J18)/ABS('21R2'!J18)*100,1)</f>
        <v>-25.1</v>
      </c>
      <c r="K84" s="384">
        <f>ROUND((K18-'21R2'!K18)/ABS('21R2'!K18)*100,1)</f>
        <v>17.899999999999999</v>
      </c>
      <c r="L84" s="384">
        <f>ROUND((L18-'21R2'!L18)/ABS('21R2'!L18)*100,1)</f>
        <v>-32.5</v>
      </c>
      <c r="M84" s="384">
        <f>ROUND((M18-'21R2'!M18)/ABS('21R2'!M18)*100,1)</f>
        <v>32.799999999999997</v>
      </c>
      <c r="N84" s="384">
        <f>ROUND((N18-'21R2'!N18)/ABS('21R2'!N18)*100,1)</f>
        <v>38.299999999999997</v>
      </c>
      <c r="O84" s="384">
        <f>ROUND((O18-'21R2'!O18)/ABS('21R2'!O18)*100,1)</f>
        <v>-1400.4</v>
      </c>
      <c r="R84" s="383"/>
      <c r="S84" s="383"/>
    </row>
    <row r="85" spans="1:19">
      <c r="A85" s="293">
        <v>204</v>
      </c>
      <c r="B85" s="90" t="s">
        <v>184</v>
      </c>
      <c r="C85" s="384">
        <f>ROUND((C19-'21R2'!C19)/ABS('21R2'!C19)*100,1)</f>
        <v>37.6</v>
      </c>
      <c r="D85" s="384">
        <f>ROUND((D19-'21R2'!D19)/ABS('21R2'!D19)*100,1)</f>
        <v>12.6</v>
      </c>
      <c r="E85" s="384">
        <f>ROUND((E19-'21R2'!E19)/ABS('21R2'!E19)*100,1)</f>
        <v>19</v>
      </c>
      <c r="F85" s="384">
        <f>ROUND((F19-'21R2'!F19)/ABS('21R2'!F19)*100,1)</f>
        <v>28.6</v>
      </c>
      <c r="G85" s="384">
        <f>ROUND((G19-'21R2'!G19)/ABS('21R2'!G19)*100,1)</f>
        <v>-8.1</v>
      </c>
      <c r="H85" s="384">
        <f>ROUND((H19-'21R2'!H19)/ABS('21R2'!H19)*100,1)</f>
        <v>33.799999999999997</v>
      </c>
      <c r="I85" s="384">
        <f>ROUND((I19-'21R2'!I19)/ABS('21R2'!I19)*100,1)</f>
        <v>95</v>
      </c>
      <c r="J85" s="384">
        <f>ROUND((J19-'21R2'!J19)/ABS('21R2'!J19)*100,1)</f>
        <v>-35.9</v>
      </c>
      <c r="K85" s="384">
        <f>ROUND((K19-'21R2'!K19)/ABS('21R2'!K19)*100,1)</f>
        <v>14.4</v>
      </c>
      <c r="L85" s="384">
        <f>ROUND((L19-'21R2'!L19)/ABS('21R2'!L19)*100,1)</f>
        <v>102.2</v>
      </c>
      <c r="M85" s="384">
        <f>ROUND((M19-'21R2'!M19)/ABS('21R2'!M19)*100,1)</f>
        <v>62.8</v>
      </c>
      <c r="N85" s="384">
        <f>ROUND((N19-'21R2'!N19)/ABS('21R2'!N19)*100,1)</f>
        <v>34.200000000000003</v>
      </c>
      <c r="O85" s="384">
        <f>ROUND((O19-'21R2'!O19)/ABS('21R2'!O19)*100,1)</f>
        <v>4.3</v>
      </c>
      <c r="R85" s="383"/>
      <c r="S85" s="383"/>
    </row>
    <row r="86" spans="1:19">
      <c r="A86" s="293">
        <v>206</v>
      </c>
      <c r="B86" s="90" t="s">
        <v>185</v>
      </c>
      <c r="C86" s="384">
        <f>ROUND((C20-'21R2'!C20)/ABS('21R2'!C20)*100,1)</f>
        <v>82.3</v>
      </c>
      <c r="D86" s="384">
        <f>ROUND((D20-'21R2'!D20)/ABS('21R2'!D20)*100,1)</f>
        <v>23.2</v>
      </c>
      <c r="E86" s="384">
        <f>ROUND((E20-'21R2'!E20)/ABS('21R2'!E20)*100,1)</f>
        <v>16.3</v>
      </c>
      <c r="F86" s="384">
        <f>ROUND((F20-'21R2'!F20)/ABS('21R2'!F20)*100,1)</f>
        <v>44.5</v>
      </c>
      <c r="G86" s="384">
        <f>ROUND((G20-'21R2'!G20)/ABS('21R2'!G20)*100,1)</f>
        <v>-6.2</v>
      </c>
      <c r="H86" s="384">
        <f>ROUND((H20-'21R2'!H20)/ABS('21R2'!H20)*100,1)</f>
        <v>44.1</v>
      </c>
      <c r="I86" s="384">
        <f>ROUND((I20-'21R2'!I20)/ABS('21R2'!I20)*100,1)</f>
        <v>94.6</v>
      </c>
      <c r="J86" s="384">
        <f>ROUND((J20-'21R2'!J20)/ABS('21R2'!J20)*100,1)</f>
        <v>-21.8</v>
      </c>
      <c r="K86" s="384">
        <f>ROUND((K20-'21R2'!K20)/ABS('21R2'!K20)*100,1)</f>
        <v>21.7</v>
      </c>
      <c r="L86" s="384">
        <f>ROUND((L20-'21R2'!L20)/ABS('21R2'!L20)*100,1)</f>
        <v>99</v>
      </c>
      <c r="M86" s="384">
        <f>ROUND((M20-'21R2'!M20)/ABS('21R2'!M20)*100,1)</f>
        <v>109.2</v>
      </c>
      <c r="N86" s="384">
        <f>ROUND((N20-'21R2'!N20)/ABS('21R2'!N20)*100,1)</f>
        <v>42.8</v>
      </c>
      <c r="O86" s="384">
        <f>ROUND((O20-'21R2'!O20)/ABS('21R2'!O20)*100,1)</f>
        <v>31.8</v>
      </c>
      <c r="R86" s="383"/>
      <c r="S86" s="383"/>
    </row>
    <row r="87" spans="1:19">
      <c r="A87" s="293">
        <v>2</v>
      </c>
      <c r="B87" s="65" t="s">
        <v>186</v>
      </c>
      <c r="C87" s="384">
        <f>ROUND((C21-'21R2'!C21)/ABS('21R2'!C21)*100,1)</f>
        <v>53</v>
      </c>
      <c r="D87" s="384">
        <f>ROUND((D21-'21R2'!D21)/ABS('21R2'!D21)*100,1)</f>
        <v>22.7</v>
      </c>
      <c r="E87" s="384">
        <f>ROUND((E21-'21R2'!E21)/ABS('21R2'!E21)*100,1)</f>
        <v>17.3</v>
      </c>
      <c r="F87" s="384">
        <f>ROUND((F21-'21R2'!F21)/ABS('21R2'!F21)*100,1)</f>
        <v>41.7</v>
      </c>
      <c r="G87" s="384">
        <f>ROUND((G21-'21R2'!G21)/ABS('21R2'!G21)*100,1)</f>
        <v>36.700000000000003</v>
      </c>
      <c r="H87" s="384">
        <f>ROUND((H21-'21R2'!H21)/ABS('21R2'!H21)*100,1)</f>
        <v>35.6</v>
      </c>
      <c r="I87" s="384">
        <f>ROUND((I21-'21R2'!I21)/ABS('21R2'!I21)*100,1)</f>
        <v>94.6</v>
      </c>
      <c r="J87" s="384">
        <f>ROUND((J21-'21R2'!J21)/ABS('21R2'!J21)*100,1)</f>
        <v>185.3</v>
      </c>
      <c r="K87" s="384">
        <f>ROUND((K21-'21R2'!K21)/ABS('21R2'!K21)*100,1)</f>
        <v>30</v>
      </c>
      <c r="L87" s="384">
        <f>ROUND((L21-'21R2'!L21)/ABS('21R2'!L21)*100,1)</f>
        <v>123.8</v>
      </c>
      <c r="M87" s="384">
        <f>ROUND((M21-'21R2'!M21)/ABS('21R2'!M21)*100,1)</f>
        <v>77.5</v>
      </c>
      <c r="N87" s="384">
        <f>ROUND((N21-'21R2'!N21)/ABS('21R2'!N21)*100,1)</f>
        <v>52.5</v>
      </c>
      <c r="O87" s="384">
        <f>ROUND((O21-'21R2'!O21)/ABS('21R2'!O21)*100,1)</f>
        <v>25.4</v>
      </c>
      <c r="R87" s="383"/>
      <c r="S87" s="383"/>
    </row>
    <row r="88" spans="1:19">
      <c r="A88" s="293">
        <v>207</v>
      </c>
      <c r="B88" s="90" t="s">
        <v>187</v>
      </c>
      <c r="C88" s="384">
        <f>ROUND((C22-'21R2'!C22)/ABS('21R2'!C22)*100,1)</f>
        <v>29.4</v>
      </c>
      <c r="D88" s="384">
        <f>ROUND((D22-'21R2'!D22)/ABS('21R2'!D22)*100,1)</f>
        <v>23.2</v>
      </c>
      <c r="E88" s="384">
        <f>ROUND((E22-'21R2'!E22)/ABS('21R2'!E22)*100,1)</f>
        <v>15.5</v>
      </c>
      <c r="F88" s="384">
        <f>ROUND((F22-'21R2'!F22)/ABS('21R2'!F22)*100,1)</f>
        <v>50.5</v>
      </c>
      <c r="G88" s="384">
        <f>ROUND((G22-'21R2'!G22)/ABS('21R2'!G22)*100,1)</f>
        <v>25.7</v>
      </c>
      <c r="H88" s="384">
        <f>ROUND((H22-'21R2'!H22)/ABS('21R2'!H22)*100,1)</f>
        <v>48.6</v>
      </c>
      <c r="I88" s="384">
        <f>ROUND((I22-'21R2'!I22)/ABS('21R2'!I22)*100,1)</f>
        <v>94.5</v>
      </c>
      <c r="J88" s="384">
        <f>ROUND((J22-'21R2'!J22)/ABS('21R2'!J22)*100,1)</f>
        <v>12.7</v>
      </c>
      <c r="K88" s="384">
        <f>ROUND((K22-'21R2'!K22)/ABS('21R2'!K22)*100,1)</f>
        <v>28</v>
      </c>
      <c r="L88" s="384">
        <f>ROUND((L22-'21R2'!L22)/ABS('21R2'!L22)*100,1)</f>
        <v>73.3</v>
      </c>
      <c r="M88" s="384">
        <f>ROUND((M22-'21R2'!M22)/ABS('21R2'!M22)*100,1)</f>
        <v>49.7</v>
      </c>
      <c r="N88" s="384">
        <f>ROUND((N22-'21R2'!N22)/ABS('21R2'!N22)*100,1)</f>
        <v>50.1</v>
      </c>
      <c r="O88" s="384">
        <f>ROUND((O22-'21R2'!O22)/ABS('21R2'!O22)*100,1)</f>
        <v>3.1</v>
      </c>
      <c r="R88" s="383"/>
      <c r="S88" s="383"/>
    </row>
    <row r="89" spans="1:19">
      <c r="A89" s="293">
        <v>214</v>
      </c>
      <c r="B89" s="90" t="s">
        <v>188</v>
      </c>
      <c r="C89" s="384">
        <f>ROUND((C23-'21R2'!C23)/ABS('21R2'!C23)*100,1)</f>
        <v>84.7</v>
      </c>
      <c r="D89" s="384">
        <f>ROUND((D23-'21R2'!D23)/ABS('21R2'!D23)*100,1)</f>
        <v>21.5</v>
      </c>
      <c r="E89" s="384">
        <f>ROUND((E23-'21R2'!E23)/ABS('21R2'!E23)*100,1)</f>
        <v>14.4</v>
      </c>
      <c r="F89" s="384">
        <f>ROUND((F23-'21R2'!F23)/ABS('21R2'!F23)*100,1)</f>
        <v>56.8</v>
      </c>
      <c r="G89" s="384">
        <f>ROUND((G23-'21R2'!G23)/ABS('21R2'!G23)*100,1)</f>
        <v>57.8</v>
      </c>
      <c r="H89" s="384">
        <f>ROUND((H23-'21R2'!H23)/ABS('21R2'!H23)*100,1)</f>
        <v>45.7</v>
      </c>
      <c r="I89" s="384">
        <f>ROUND((I23-'21R2'!I23)/ABS('21R2'!I23)*100,1)</f>
        <v>94.6</v>
      </c>
      <c r="J89" s="384">
        <f>ROUND((J23-'21R2'!J23)/ABS('21R2'!J23)*100,1)</f>
        <v>66</v>
      </c>
      <c r="K89" s="384">
        <f>ROUND((K23-'21R2'!K23)/ABS('21R2'!K23)*100,1)</f>
        <v>26.4</v>
      </c>
      <c r="L89" s="384">
        <f>ROUND((L23-'21R2'!L23)/ABS('21R2'!L23)*100,1)</f>
        <v>95.9</v>
      </c>
      <c r="M89" s="384">
        <f>ROUND((M23-'21R2'!M23)/ABS('21R2'!M23)*100,1)</f>
        <v>115.9</v>
      </c>
      <c r="N89" s="384">
        <f>ROUND((N23-'21R2'!N23)/ABS('21R2'!N23)*100,1)</f>
        <v>48.4</v>
      </c>
      <c r="O89" s="384">
        <f>ROUND((O23-'21R2'!O23)/ABS('21R2'!O23)*100,1)</f>
        <v>19.2</v>
      </c>
      <c r="R89" s="383"/>
      <c r="S89" s="383"/>
    </row>
    <row r="90" spans="1:19">
      <c r="A90" s="293">
        <v>217</v>
      </c>
      <c r="B90" s="90" t="s">
        <v>189</v>
      </c>
      <c r="C90" s="384">
        <f>ROUND((C24-'21R2'!C24)/ABS('21R2'!C24)*100,1)</f>
        <v>71.8</v>
      </c>
      <c r="D90" s="384">
        <f>ROUND((D24-'21R2'!D24)/ABS('21R2'!D24)*100,1)</f>
        <v>22.5</v>
      </c>
      <c r="E90" s="384">
        <f>ROUND((E24-'21R2'!E24)/ABS('21R2'!E24)*100,1)</f>
        <v>19.399999999999999</v>
      </c>
      <c r="F90" s="384">
        <f>ROUND((F24-'21R2'!F24)/ABS('21R2'!F24)*100,1)</f>
        <v>16.7</v>
      </c>
      <c r="G90" s="384">
        <f>ROUND((G24-'21R2'!G24)/ABS('21R2'!G24)*100,1)</f>
        <v>0.9</v>
      </c>
      <c r="H90" s="384">
        <f>ROUND((H24-'21R2'!H24)/ABS('21R2'!H24)*100,1)</f>
        <v>14.6</v>
      </c>
      <c r="I90" s="384">
        <f>ROUND((I24-'21R2'!I24)/ABS('21R2'!I24)*100,1)</f>
        <v>94.8</v>
      </c>
      <c r="J90" s="384">
        <f>ROUND((J24-'21R2'!J24)/ABS('21R2'!J24)*100,1)</f>
        <v>-18.399999999999999</v>
      </c>
      <c r="K90" s="384">
        <f>ROUND((K24-'21R2'!K24)/ABS('21R2'!K24)*100,1)</f>
        <v>19.899999999999999</v>
      </c>
      <c r="L90" s="384">
        <f>ROUND((L24-'21R2'!L24)/ABS('21R2'!L24)*100,1)</f>
        <v>98.2</v>
      </c>
      <c r="M90" s="384">
        <f>ROUND((M24-'21R2'!M24)/ABS('21R2'!M24)*100,1)</f>
        <v>102</v>
      </c>
      <c r="N90" s="384">
        <f>ROUND((N24-'21R2'!N24)/ABS('21R2'!N24)*100,1)</f>
        <v>40.700000000000003</v>
      </c>
      <c r="O90" s="384">
        <f>ROUND((O24-'21R2'!O24)/ABS('21R2'!O24)*100,1)</f>
        <v>23.2</v>
      </c>
      <c r="R90" s="383"/>
      <c r="S90" s="383"/>
    </row>
    <row r="91" spans="1:19">
      <c r="A91" s="293">
        <v>219</v>
      </c>
      <c r="B91" s="90" t="s">
        <v>190</v>
      </c>
      <c r="C91" s="384">
        <f>ROUND((C25-'21R2'!C25)/ABS('21R2'!C25)*100,1)</f>
        <v>15.3</v>
      </c>
      <c r="D91" s="384">
        <f>ROUND((D25-'21R2'!D25)/ABS('21R2'!D25)*100,1)</f>
        <v>24.6</v>
      </c>
      <c r="E91" s="384">
        <f>ROUND((E25-'21R2'!E25)/ABS('21R2'!E25)*100,1)</f>
        <v>21.3</v>
      </c>
      <c r="F91" s="384">
        <f>ROUND((F25-'21R2'!F25)/ABS('21R2'!F25)*100,1)</f>
        <v>34.9</v>
      </c>
      <c r="G91" s="384">
        <f>ROUND((G25-'21R2'!G25)/ABS('21R2'!G25)*100,1)</f>
        <v>128.6</v>
      </c>
      <c r="H91" s="384">
        <f>ROUND((H25-'21R2'!H25)/ABS('21R2'!H25)*100,1)</f>
        <v>23.7</v>
      </c>
      <c r="I91" s="384">
        <f>ROUND((I25-'21R2'!I25)/ABS('21R2'!I25)*100,1)</f>
        <v>94.5</v>
      </c>
      <c r="J91" s="384">
        <f>ROUND((J25-'21R2'!J25)/ABS('21R2'!J25)*100,1)</f>
        <v>64.5</v>
      </c>
      <c r="K91" s="384">
        <f>ROUND((K25-'21R2'!K25)/ABS('21R2'!K25)*100,1)</f>
        <v>27.7</v>
      </c>
      <c r="L91" s="384">
        <f>ROUND((L25-'21R2'!L25)/ABS('21R2'!L25)*100,1)</f>
        <v>-43.1</v>
      </c>
      <c r="M91" s="384">
        <f>ROUND((M25-'21R2'!M25)/ABS('21R2'!M25)*100,1)</f>
        <v>28.2</v>
      </c>
      <c r="N91" s="384">
        <f>ROUND((N25-'21R2'!N25)/ABS('21R2'!N25)*100,1)</f>
        <v>49.8</v>
      </c>
      <c r="O91" s="384">
        <f>ROUND((O25-'21R2'!O25)/ABS('21R2'!O25)*100,1)</f>
        <v>133.4</v>
      </c>
      <c r="R91" s="383"/>
      <c r="S91" s="383"/>
    </row>
    <row r="92" spans="1:19">
      <c r="A92" s="293">
        <v>301</v>
      </c>
      <c r="B92" s="90" t="s">
        <v>191</v>
      </c>
      <c r="C92" s="384">
        <f>ROUND((C26-'21R2'!C26)/ABS('21R2'!C26)*100,1)</f>
        <v>243.6</v>
      </c>
      <c r="D92" s="384">
        <f>ROUND((D26-'21R2'!D26)/ABS('21R2'!D26)*100,1)</f>
        <v>23.8</v>
      </c>
      <c r="E92" s="384">
        <f>ROUND((E26-'21R2'!E26)/ABS('21R2'!E26)*100,1)</f>
        <v>22.7</v>
      </c>
      <c r="F92" s="384">
        <f>ROUND((F26-'21R2'!F26)/ABS('21R2'!F26)*100,1)</f>
        <v>51.5</v>
      </c>
      <c r="G92" s="384">
        <f>ROUND((G26-'21R2'!G26)/ABS('21R2'!G26)*100,1)</f>
        <v>58.9</v>
      </c>
      <c r="H92" s="384">
        <f>ROUND((H26-'21R2'!H26)/ABS('21R2'!H26)*100,1)</f>
        <v>41.2</v>
      </c>
      <c r="I92" s="384">
        <f>ROUND((I26-'21R2'!I26)/ABS('21R2'!I26)*100,1)</f>
        <v>94.5</v>
      </c>
      <c r="J92" s="384">
        <f>ROUND((J26-'21R2'!J26)/ABS('21R2'!J26)*100,1)</f>
        <v>2679.7</v>
      </c>
      <c r="K92" s="384">
        <f>ROUND((K26-'21R2'!K26)/ABS('21R2'!K26)*100,1)</f>
        <v>140.5</v>
      </c>
      <c r="L92" s="384">
        <f>ROUND((L26-'21R2'!L26)/ABS('21R2'!L26)*100,1)</f>
        <v>109.1</v>
      </c>
      <c r="M92" s="384">
        <f>ROUND((M26-'21R2'!M26)/ABS('21R2'!M26)*100,1)</f>
        <v>278.8</v>
      </c>
      <c r="N92" s="384">
        <f>ROUND((N26-'21R2'!N26)/ABS('21R2'!N26)*100,1)</f>
        <v>182.2</v>
      </c>
      <c r="O92" s="384">
        <f>ROUND((O26-'21R2'!O26)/ABS('21R2'!O26)*100,1)</f>
        <v>16</v>
      </c>
      <c r="R92" s="383"/>
      <c r="S92" s="383"/>
    </row>
    <row r="93" spans="1:19">
      <c r="A93" s="293">
        <v>3</v>
      </c>
      <c r="B93" s="65" t="s">
        <v>192</v>
      </c>
      <c r="C93" s="384">
        <f>ROUND((C27-'21R2'!C27)/ABS('21R2'!C27)*100,1)</f>
        <v>18.2</v>
      </c>
      <c r="D93" s="384">
        <f>ROUND((D27-'21R2'!D27)/ABS('21R2'!D27)*100,1)</f>
        <v>24.6</v>
      </c>
      <c r="E93" s="384">
        <f>ROUND((E27-'21R2'!E27)/ABS('21R2'!E27)*100,1)</f>
        <v>20.3</v>
      </c>
      <c r="F93" s="384">
        <f>ROUND((F27-'21R2'!F27)/ABS('21R2'!F27)*100,1)</f>
        <v>46.2</v>
      </c>
      <c r="G93" s="384">
        <f>ROUND((G27-'21R2'!G27)/ABS('21R2'!G27)*100,1)</f>
        <v>9.1</v>
      </c>
      <c r="H93" s="384">
        <f>ROUND((H27-'21R2'!H27)/ABS('21R2'!H27)*100,1)</f>
        <v>46.8</v>
      </c>
      <c r="I93" s="384">
        <f>ROUND((I27-'21R2'!I27)/ABS('21R2'!I27)*100,1)</f>
        <v>94.5</v>
      </c>
      <c r="J93" s="384">
        <f>ROUND((J27-'21R2'!J27)/ABS('21R2'!J27)*100,1)</f>
        <v>-34.200000000000003</v>
      </c>
      <c r="K93" s="384">
        <f>ROUND((K27-'21R2'!K27)/ABS('21R2'!K27)*100,1)</f>
        <v>27.3</v>
      </c>
      <c r="L93" s="384">
        <f>ROUND((L27-'21R2'!L27)/ABS('21R2'!L27)*100,1)</f>
        <v>-66.2</v>
      </c>
      <c r="M93" s="384">
        <f>ROUND((M27-'21R2'!M27)/ABS('21R2'!M27)*100,1)</f>
        <v>40</v>
      </c>
      <c r="N93" s="384">
        <f>ROUND((N27-'21R2'!N27)/ABS('21R2'!N27)*100,1)</f>
        <v>49.3</v>
      </c>
      <c r="O93" s="384">
        <f>ROUND((O27-'21R2'!O27)/ABS('21R2'!O27)*100,1)</f>
        <v>-1049.8</v>
      </c>
      <c r="R93" s="383"/>
      <c r="S93" s="383"/>
    </row>
    <row r="94" spans="1:19">
      <c r="A94" s="293">
        <v>203</v>
      </c>
      <c r="B94" s="90" t="s">
        <v>193</v>
      </c>
      <c r="C94" s="384">
        <f>ROUND((C28-'21R2'!C28)/ABS('21R2'!C28)*100,1)</f>
        <v>19.7</v>
      </c>
      <c r="D94" s="384">
        <f>ROUND((D28-'21R2'!D28)/ABS('21R2'!D28)*100,1)</f>
        <v>24.3</v>
      </c>
      <c r="E94" s="384">
        <f>ROUND((E28-'21R2'!E28)/ABS('21R2'!E28)*100,1)</f>
        <v>19.5</v>
      </c>
      <c r="F94" s="384">
        <f>ROUND((F28-'21R2'!F28)/ABS('21R2'!F28)*100,1)</f>
        <v>59.2</v>
      </c>
      <c r="G94" s="384">
        <f>ROUND((G28-'21R2'!G28)/ABS('21R2'!G28)*100,1)</f>
        <v>5.0999999999999996</v>
      </c>
      <c r="H94" s="384">
        <f>ROUND((H28-'21R2'!H28)/ABS('21R2'!H28)*100,1)</f>
        <v>66.599999999999994</v>
      </c>
      <c r="I94" s="384">
        <f>ROUND((I28-'21R2'!I28)/ABS('21R2'!I28)*100,1)</f>
        <v>94.5</v>
      </c>
      <c r="J94" s="384">
        <f>ROUND((J28-'21R2'!J28)/ABS('21R2'!J28)*100,1)</f>
        <v>6.8</v>
      </c>
      <c r="K94" s="384">
        <f>ROUND((K28-'21R2'!K28)/ABS('21R2'!K28)*100,1)</f>
        <v>30.6</v>
      </c>
      <c r="L94" s="384">
        <f>ROUND((L28-'21R2'!L28)/ABS('21R2'!L28)*100,1)</f>
        <v>-97.9</v>
      </c>
      <c r="M94" s="384">
        <f>ROUND((M28-'21R2'!M28)/ABS('21R2'!M28)*100,1)</f>
        <v>45</v>
      </c>
      <c r="N94" s="384">
        <f>ROUND((N28-'21R2'!N28)/ABS('21R2'!N28)*100,1)</f>
        <v>53.2</v>
      </c>
      <c r="O94" s="384">
        <f>ROUND((O28-'21R2'!O28)/ABS('21R2'!O28)*100,1)</f>
        <v>-1493.5</v>
      </c>
      <c r="R94" s="383"/>
      <c r="S94" s="383"/>
    </row>
    <row r="95" spans="1:19">
      <c r="A95" s="293">
        <v>210</v>
      </c>
      <c r="B95" s="90" t="s">
        <v>194</v>
      </c>
      <c r="C95" s="384">
        <f>ROUND((C29-'21R2'!C29)/ABS('21R2'!C29)*100,1)</f>
        <v>38.299999999999997</v>
      </c>
      <c r="D95" s="384">
        <f>ROUND((D29-'21R2'!D29)/ABS('21R2'!D29)*100,1)</f>
        <v>23.3</v>
      </c>
      <c r="E95" s="384">
        <f>ROUND((E29-'21R2'!E29)/ABS('21R2'!E29)*100,1)</f>
        <v>17.5</v>
      </c>
      <c r="F95" s="384">
        <f>ROUND((F29-'21R2'!F29)/ABS('21R2'!F29)*100,1)</f>
        <v>15.6</v>
      </c>
      <c r="G95" s="384">
        <f>ROUND((G29-'21R2'!G29)/ABS('21R2'!G29)*100,1)</f>
        <v>18.2</v>
      </c>
      <c r="H95" s="384">
        <f>ROUND((H29-'21R2'!H29)/ABS('21R2'!H29)*100,1)</f>
        <v>11.8</v>
      </c>
      <c r="I95" s="384">
        <f>ROUND((I29-'21R2'!I29)/ABS('21R2'!I29)*100,1)</f>
        <v>94.9</v>
      </c>
      <c r="J95" s="384">
        <f>ROUND((J29-'21R2'!J29)/ABS('21R2'!J29)*100,1)</f>
        <v>-43.3</v>
      </c>
      <c r="K95" s="384">
        <f>ROUND((K29-'21R2'!K29)/ABS('21R2'!K29)*100,1)</f>
        <v>18</v>
      </c>
      <c r="L95" s="384">
        <f>ROUND((L29-'21R2'!L29)/ABS('21R2'!L29)*100,1)</f>
        <v>120.1</v>
      </c>
      <c r="M95" s="384">
        <f>ROUND((M29-'21R2'!M29)/ABS('21R2'!M29)*100,1)</f>
        <v>63.1</v>
      </c>
      <c r="N95" s="384">
        <f>ROUND((N29-'21R2'!N29)/ABS('21R2'!N29)*100,1)</f>
        <v>38.5</v>
      </c>
      <c r="O95" s="384">
        <f>ROUND((O29-'21R2'!O29)/ABS('21R2'!O29)*100,1)</f>
        <v>17.899999999999999</v>
      </c>
      <c r="R95" s="383"/>
      <c r="S95" s="383"/>
    </row>
    <row r="96" spans="1:19">
      <c r="A96" s="293">
        <v>216</v>
      </c>
      <c r="B96" s="90" t="s">
        <v>195</v>
      </c>
      <c r="C96" s="384">
        <f>ROUND((C30-'21R2'!C30)/ABS('21R2'!C30)*100,1)</f>
        <v>-1.2</v>
      </c>
      <c r="D96" s="384">
        <f>ROUND((D30-'21R2'!D30)/ABS('21R2'!D30)*100,1)</f>
        <v>25</v>
      </c>
      <c r="E96" s="384">
        <f>ROUND((E30-'21R2'!E30)/ABS('21R2'!E30)*100,1)</f>
        <v>28.7</v>
      </c>
      <c r="F96" s="384">
        <f>ROUND((F30-'21R2'!F30)/ABS('21R2'!F30)*100,1)</f>
        <v>69.8</v>
      </c>
      <c r="G96" s="384">
        <f>ROUND((G30-'21R2'!G30)/ABS('21R2'!G30)*100,1)</f>
        <v>14</v>
      </c>
      <c r="H96" s="384">
        <f>ROUND((H30-'21R2'!H30)/ABS('21R2'!H30)*100,1)</f>
        <v>69.099999999999994</v>
      </c>
      <c r="I96" s="384">
        <f>ROUND((I30-'21R2'!I30)/ABS('21R2'!I30)*100,1)</f>
        <v>94.2</v>
      </c>
      <c r="J96" s="384">
        <f>ROUND((J30-'21R2'!J30)/ABS('21R2'!J30)*100,1)</f>
        <v>-51.5</v>
      </c>
      <c r="K96" s="384">
        <f>ROUND((K30-'21R2'!K30)/ABS('21R2'!K30)*100,1)</f>
        <v>33.1</v>
      </c>
      <c r="L96" s="384">
        <f>ROUND((L30-'21R2'!L30)/ABS('21R2'!L30)*100,1)</f>
        <v>-81.099999999999994</v>
      </c>
      <c r="M96" s="384">
        <f>ROUND((M30-'21R2'!M30)/ABS('21R2'!M30)*100,1)</f>
        <v>15.3</v>
      </c>
      <c r="N96" s="384">
        <f>ROUND((N30-'21R2'!N30)/ABS('21R2'!N30)*100,1)</f>
        <v>56.2</v>
      </c>
      <c r="O96" s="384">
        <f>ROUND((O30-'21R2'!O30)/ABS('21R2'!O30)*100,1)</f>
        <v>-89.8</v>
      </c>
      <c r="R96" s="383"/>
      <c r="S96" s="383"/>
    </row>
    <row r="97" spans="1:19">
      <c r="A97" s="293">
        <v>381</v>
      </c>
      <c r="B97" s="90" t="s">
        <v>196</v>
      </c>
      <c r="C97" s="384">
        <f>ROUND((C31-'21R2'!C31)/ABS('21R2'!C31)*100,1)</f>
        <v>-3.4</v>
      </c>
      <c r="D97" s="384">
        <f>ROUND((D31-'21R2'!D31)/ABS('21R2'!D31)*100,1)</f>
        <v>31.5</v>
      </c>
      <c r="E97" s="384">
        <f>ROUND((E31-'21R2'!E31)/ABS('21R2'!E31)*100,1)</f>
        <v>24.5</v>
      </c>
      <c r="F97" s="384">
        <f>ROUND((F31-'21R2'!F31)/ABS('21R2'!F31)*100,1)</f>
        <v>95.6</v>
      </c>
      <c r="G97" s="384">
        <f>ROUND((G31-'21R2'!G31)/ABS('21R2'!G31)*100,1)</f>
        <v>19.8</v>
      </c>
      <c r="H97" s="384">
        <f>ROUND((H31-'21R2'!H31)/ABS('21R2'!H31)*100,1)</f>
        <v>101.8</v>
      </c>
      <c r="I97" s="384">
        <f>ROUND((I31-'21R2'!I31)/ABS('21R2'!I31)*100,1)</f>
        <v>93.6</v>
      </c>
      <c r="J97" s="384">
        <f>ROUND((J31-'21R2'!J31)/ABS('21R2'!J31)*100,1)</f>
        <v>-33.299999999999997</v>
      </c>
      <c r="K97" s="384">
        <f>ROUND((K31-'21R2'!K31)/ABS('21R2'!K31)*100,1)</f>
        <v>40.5</v>
      </c>
      <c r="L97" s="384">
        <f>ROUND((L31-'21R2'!L31)/ABS('21R2'!L31)*100,1)</f>
        <v>-76.599999999999994</v>
      </c>
      <c r="M97" s="384">
        <f>ROUND((M31-'21R2'!M31)/ABS('21R2'!M31)*100,1)</f>
        <v>8.6</v>
      </c>
      <c r="N97" s="384">
        <f>ROUND((N31-'21R2'!N31)/ABS('21R2'!N31)*100,1)</f>
        <v>64.900000000000006</v>
      </c>
      <c r="O97" s="384">
        <f>ROUND((O31-'21R2'!O31)/ABS('21R2'!O31)*100,1)</f>
        <v>-49.6</v>
      </c>
      <c r="R97" s="383"/>
      <c r="S97" s="383"/>
    </row>
    <row r="98" spans="1:19">
      <c r="A98" s="293">
        <v>382</v>
      </c>
      <c r="B98" s="90" t="s">
        <v>197</v>
      </c>
      <c r="C98" s="384">
        <f>ROUND((C32-'21R2'!C32)/ABS('21R2'!C32)*100,1)</f>
        <v>-3.1</v>
      </c>
      <c r="D98" s="384">
        <f>ROUND((D32-'21R2'!D32)/ABS('21R2'!D32)*100,1)</f>
        <v>30.8</v>
      </c>
      <c r="E98" s="384">
        <f>ROUND((E32-'21R2'!E32)/ABS('21R2'!E32)*100,1)</f>
        <v>22.6</v>
      </c>
      <c r="F98" s="384">
        <f>ROUND((F32-'21R2'!F32)/ABS('21R2'!F32)*100,1)</f>
        <v>94.7</v>
      </c>
      <c r="G98" s="384">
        <f>ROUND((G32-'21R2'!G32)/ABS('21R2'!G32)*100,1)</f>
        <v>-11.1</v>
      </c>
      <c r="H98" s="384">
        <f>ROUND((H32-'21R2'!H32)/ABS('21R2'!H32)*100,1)</f>
        <v>115</v>
      </c>
      <c r="I98" s="384">
        <f>ROUND((I32-'21R2'!I32)/ABS('21R2'!I32)*100,1)</f>
        <v>93.7</v>
      </c>
      <c r="J98" s="384">
        <f>ROUND((J32-'21R2'!J32)/ABS('21R2'!J32)*100,1)</f>
        <v>-45</v>
      </c>
      <c r="K98" s="384">
        <f>ROUND((K32-'21R2'!K32)/ABS('21R2'!K32)*100,1)</f>
        <v>42.3</v>
      </c>
      <c r="L98" s="384">
        <f>ROUND((L32-'21R2'!L32)/ABS('21R2'!L32)*100,1)</f>
        <v>-71.400000000000006</v>
      </c>
      <c r="M98" s="384">
        <f>ROUND((M32-'21R2'!M32)/ABS('21R2'!M32)*100,1)</f>
        <v>5.9</v>
      </c>
      <c r="N98" s="384">
        <f>ROUND((N32-'21R2'!N32)/ABS('21R2'!N32)*100,1)</f>
        <v>67</v>
      </c>
      <c r="O98" s="384">
        <f>ROUND((O32-'21R2'!O32)/ABS('21R2'!O32)*100,1)</f>
        <v>-18.8</v>
      </c>
      <c r="R98" s="383"/>
      <c r="S98" s="383"/>
    </row>
    <row r="99" spans="1:19">
      <c r="A99" s="293">
        <v>4</v>
      </c>
      <c r="B99" s="91" t="s">
        <v>198</v>
      </c>
      <c r="C99" s="384">
        <f>ROUND((C33-'21R2'!C33)/ABS('21R2'!C33)*100,1)</f>
        <v>-1.5</v>
      </c>
      <c r="D99" s="384">
        <f>ROUND((D33-'21R2'!D33)/ABS('21R2'!D33)*100,1)</f>
        <v>27</v>
      </c>
      <c r="E99" s="384">
        <f>ROUND((E33-'21R2'!E33)/ABS('21R2'!E33)*100,1)</f>
        <v>16</v>
      </c>
      <c r="F99" s="384">
        <f>ROUND((F33-'21R2'!F33)/ABS('21R2'!F33)*100,1)</f>
        <v>64.099999999999994</v>
      </c>
      <c r="G99" s="384">
        <f>ROUND((G33-'21R2'!G33)/ABS('21R2'!G33)*100,1)</f>
        <v>11.1</v>
      </c>
      <c r="H99" s="384">
        <f>ROUND((H33-'21R2'!H33)/ABS('21R2'!H33)*100,1)</f>
        <v>64</v>
      </c>
      <c r="I99" s="384">
        <f>ROUND((I33-'21R2'!I33)/ABS('21R2'!I33)*100,1)</f>
        <v>94.2</v>
      </c>
      <c r="J99" s="384">
        <f>ROUND((J33-'21R2'!J33)/ABS('21R2'!J33)*100,1)</f>
        <v>-15.6</v>
      </c>
      <c r="K99" s="384">
        <f>ROUND((K33-'21R2'!K33)/ABS('21R2'!K33)*100,1)</f>
        <v>30.9</v>
      </c>
      <c r="L99" s="384">
        <f>ROUND((L33-'21R2'!L33)/ABS('21R2'!L33)*100,1)</f>
        <v>-78.2</v>
      </c>
      <c r="M99" s="384">
        <f>ROUND((M33-'21R2'!M33)/ABS('21R2'!M33)*100,1)</f>
        <v>12.3</v>
      </c>
      <c r="N99" s="384">
        <f>ROUND((N33-'21R2'!N33)/ABS('21R2'!N33)*100,1)</f>
        <v>53.6</v>
      </c>
      <c r="O99" s="384">
        <f>ROUND((O33-'21R2'!O33)/ABS('21R2'!O33)*100,1)</f>
        <v>-86.5</v>
      </c>
      <c r="R99" s="383"/>
      <c r="S99" s="383"/>
    </row>
    <row r="100" spans="1:19">
      <c r="A100" s="293">
        <v>213</v>
      </c>
      <c r="B100" s="92" t="s">
        <v>231</v>
      </c>
      <c r="C100" s="384">
        <f>ROUND((C34-'21R2'!C34)/ABS('21R2'!C34)*100,1)</f>
        <v>9.9</v>
      </c>
      <c r="D100" s="384">
        <f>ROUND((D34-'21R2'!D34)/ABS('21R2'!D34)*100,1)</f>
        <v>24.1</v>
      </c>
      <c r="E100" s="384">
        <f>ROUND((E34-'21R2'!E34)/ABS('21R2'!E34)*100,1)</f>
        <v>20.5</v>
      </c>
      <c r="F100" s="384">
        <f>ROUND((F34-'21R2'!F34)/ABS('21R2'!F34)*100,1)</f>
        <v>55.2</v>
      </c>
      <c r="G100" s="384">
        <f>ROUND((G34-'21R2'!G34)/ABS('21R2'!G34)*100,1)</f>
        <v>29.5</v>
      </c>
      <c r="H100" s="384">
        <f>ROUND((H34-'21R2'!H34)/ABS('21R2'!H34)*100,1)</f>
        <v>49.3</v>
      </c>
      <c r="I100" s="384">
        <f>ROUND((I34-'21R2'!I34)/ABS('21R2'!I34)*100,1)</f>
        <v>94.9</v>
      </c>
      <c r="J100" s="384">
        <f>ROUND((J34-'21R2'!J34)/ABS('21R2'!J34)*100,1)</f>
        <v>-89.1</v>
      </c>
      <c r="K100" s="384">
        <f>ROUND((K34-'21R2'!K34)/ABS('21R2'!K34)*100,1)</f>
        <v>11.2</v>
      </c>
      <c r="L100" s="384">
        <f>ROUND((L34-'21R2'!L34)/ABS('21R2'!L34)*100,1)</f>
        <v>-8.1</v>
      </c>
      <c r="M100" s="384">
        <f>ROUND((M34-'21R2'!M34)/ABS('21R2'!M34)*100,1)</f>
        <v>25.9</v>
      </c>
      <c r="N100" s="384">
        <f>ROUND((N34-'21R2'!N34)/ABS('21R2'!N34)*100,1)</f>
        <v>30.5</v>
      </c>
      <c r="O100" s="384">
        <f>ROUND((O34-'21R2'!O34)/ABS('21R2'!O34)*100,1)</f>
        <v>63.9</v>
      </c>
      <c r="R100" s="383"/>
      <c r="S100" s="383"/>
    </row>
    <row r="101" spans="1:19">
      <c r="A101" s="293">
        <v>215</v>
      </c>
      <c r="B101" s="92" t="s">
        <v>232</v>
      </c>
      <c r="C101" s="384">
        <f>ROUND((C35-'21R2'!C35)/ABS('21R2'!C35)*100,1)</f>
        <v>6.3</v>
      </c>
      <c r="D101" s="384">
        <f>ROUND((D35-'21R2'!D35)/ABS('21R2'!D35)*100,1)</f>
        <v>25.4</v>
      </c>
      <c r="E101" s="384">
        <f>ROUND((E35-'21R2'!E35)/ABS('21R2'!E35)*100,1)</f>
        <v>12.5</v>
      </c>
      <c r="F101" s="384">
        <f>ROUND((F35-'21R2'!F35)/ABS('21R2'!F35)*100,1)</f>
        <v>57</v>
      </c>
      <c r="G101" s="384">
        <f>ROUND((G35-'21R2'!G35)/ABS('21R2'!G35)*100,1)</f>
        <v>-0.1</v>
      </c>
      <c r="H101" s="384">
        <f>ROUND((H35-'21R2'!H35)/ABS('21R2'!H35)*100,1)</f>
        <v>58.4</v>
      </c>
      <c r="I101" s="384">
        <f>ROUND((I35-'21R2'!I35)/ABS('21R2'!I35)*100,1)</f>
        <v>94.3</v>
      </c>
      <c r="J101" s="384">
        <f>ROUND((J35-'21R2'!J35)/ABS('21R2'!J35)*100,1)</f>
        <v>-7</v>
      </c>
      <c r="K101" s="384">
        <f>ROUND((K35-'21R2'!K35)/ABS('21R2'!K35)*100,1)</f>
        <v>28.2</v>
      </c>
      <c r="L101" s="384">
        <f>ROUND((L35-'21R2'!L35)/ABS('21R2'!L35)*100,1)</f>
        <v>-73.5</v>
      </c>
      <c r="M101" s="384">
        <f>ROUND((M35-'21R2'!M35)/ABS('21R2'!M35)*100,1)</f>
        <v>21.7</v>
      </c>
      <c r="N101" s="384">
        <f>ROUND((N35-'21R2'!N35)/ABS('21R2'!N35)*100,1)</f>
        <v>50.5</v>
      </c>
      <c r="O101" s="384">
        <f>ROUND((O35-'21R2'!O35)/ABS('21R2'!O35)*100,1)</f>
        <v>-157</v>
      </c>
      <c r="R101" s="383"/>
      <c r="S101" s="383"/>
    </row>
    <row r="102" spans="1:19">
      <c r="A102" s="293">
        <v>218</v>
      </c>
      <c r="B102" s="90" t="s">
        <v>200</v>
      </c>
      <c r="C102" s="384">
        <f>ROUND((C36-'21R2'!C36)/ABS('21R2'!C36)*100,1)</f>
        <v>-3.4</v>
      </c>
      <c r="D102" s="384">
        <f>ROUND((D36-'21R2'!D36)/ABS('21R2'!D36)*100,1)</f>
        <v>31</v>
      </c>
      <c r="E102" s="384">
        <f>ROUND((E36-'21R2'!E36)/ABS('21R2'!E36)*100,1)</f>
        <v>15.1</v>
      </c>
      <c r="F102" s="384">
        <f>ROUND((F36-'21R2'!F36)/ABS('21R2'!F36)*100,1)</f>
        <v>68.5</v>
      </c>
      <c r="G102" s="384">
        <f>ROUND((G36-'21R2'!G36)/ABS('21R2'!G36)*100,1)</f>
        <v>25.8</v>
      </c>
      <c r="H102" s="384">
        <f>ROUND((H36-'21R2'!H36)/ABS('21R2'!H36)*100,1)</f>
        <v>68.2</v>
      </c>
      <c r="I102" s="384">
        <f>ROUND((I36-'21R2'!I36)/ABS('21R2'!I36)*100,1)</f>
        <v>94</v>
      </c>
      <c r="J102" s="384">
        <f>ROUND((J36-'21R2'!J36)/ABS('21R2'!J36)*100,1)</f>
        <v>48.1</v>
      </c>
      <c r="K102" s="384">
        <f>ROUND((K36-'21R2'!K36)/ABS('21R2'!K36)*100,1)</f>
        <v>38.700000000000003</v>
      </c>
      <c r="L102" s="384">
        <f>ROUND((L36-'21R2'!L36)/ABS('21R2'!L36)*100,1)</f>
        <v>-75.400000000000006</v>
      </c>
      <c r="M102" s="384">
        <f>ROUND((M36-'21R2'!M36)/ABS('21R2'!M36)*100,1)</f>
        <v>7.6</v>
      </c>
      <c r="N102" s="384">
        <f>ROUND((N36-'21R2'!N36)/ABS('21R2'!N36)*100,1)</f>
        <v>62.7</v>
      </c>
      <c r="O102" s="384">
        <f>ROUND((O36-'21R2'!O36)/ABS('21R2'!O36)*100,1)</f>
        <v>-42.3</v>
      </c>
      <c r="R102" s="383"/>
      <c r="S102" s="383"/>
    </row>
    <row r="103" spans="1:19">
      <c r="A103" s="293">
        <v>220</v>
      </c>
      <c r="B103" s="90" t="s">
        <v>201</v>
      </c>
      <c r="C103" s="384">
        <f>ROUND((C37-'21R2'!C37)/ABS('21R2'!C37)*100,1)</f>
        <v>-4.5999999999999996</v>
      </c>
      <c r="D103" s="384">
        <f>ROUND((D37-'21R2'!D37)/ABS('21R2'!D37)*100,1)</f>
        <v>27.2</v>
      </c>
      <c r="E103" s="384">
        <f>ROUND((E37-'21R2'!E37)/ABS('21R2'!E37)*100,1)</f>
        <v>27.2</v>
      </c>
      <c r="F103" s="384">
        <f>ROUND((F37-'21R2'!F37)/ABS('21R2'!F37)*100,1)</f>
        <v>100.3</v>
      </c>
      <c r="G103" s="384">
        <f>ROUND((G37-'21R2'!G37)/ABS('21R2'!G37)*100,1)</f>
        <v>12.8</v>
      </c>
      <c r="H103" s="384">
        <f>ROUND((H37-'21R2'!H37)/ABS('21R2'!H37)*100,1)</f>
        <v>101.1</v>
      </c>
      <c r="I103" s="384">
        <f>ROUND((I37-'21R2'!I37)/ABS('21R2'!I37)*100,1)</f>
        <v>93.9</v>
      </c>
      <c r="J103" s="384">
        <f>ROUND((J37-'21R2'!J37)/ABS('21R2'!J37)*100,1)</f>
        <v>7</v>
      </c>
      <c r="K103" s="384">
        <f>ROUND((K37-'21R2'!K37)/ABS('21R2'!K37)*100,1)</f>
        <v>42.1</v>
      </c>
      <c r="L103" s="384">
        <f>ROUND((L37-'21R2'!L37)/ABS('21R2'!L37)*100,1)</f>
        <v>-82.1</v>
      </c>
      <c r="M103" s="384">
        <f>ROUND((M37-'21R2'!M37)/ABS('21R2'!M37)*100,1)</f>
        <v>8.6999999999999993</v>
      </c>
      <c r="N103" s="384">
        <f>ROUND((N37-'21R2'!N37)/ABS('21R2'!N37)*100,1)</f>
        <v>66.7</v>
      </c>
      <c r="O103" s="384">
        <f>ROUND((O37-'21R2'!O37)/ABS('21R2'!O37)*100,1)</f>
        <v>-87.5</v>
      </c>
      <c r="R103" s="383"/>
      <c r="S103" s="383"/>
    </row>
    <row r="104" spans="1:19">
      <c r="A104" s="293">
        <v>228</v>
      </c>
      <c r="B104" s="90" t="s">
        <v>239</v>
      </c>
      <c r="C104" s="384">
        <f>ROUND((C38-'21R2'!C38)/ABS('21R2'!C38)*100,1)</f>
        <v>-18.100000000000001</v>
      </c>
      <c r="D104" s="384">
        <f>ROUND((D38-'21R2'!D38)/ABS('21R2'!D38)*100,1)</f>
        <v>28.9</v>
      </c>
      <c r="E104" s="384">
        <f>ROUND((E38-'21R2'!E38)/ABS('21R2'!E38)*100,1)</f>
        <v>14.4</v>
      </c>
      <c r="F104" s="384">
        <f>ROUND((F38-'21R2'!F38)/ABS('21R2'!F38)*100,1)</f>
        <v>46.6</v>
      </c>
      <c r="G104" s="384">
        <f>ROUND((G38-'21R2'!G38)/ABS('21R2'!G38)*100,1)</f>
        <v>-2.5</v>
      </c>
      <c r="H104" s="384">
        <f>ROUND((H38-'21R2'!H38)/ABS('21R2'!H38)*100,1)</f>
        <v>47.6</v>
      </c>
      <c r="I104" s="384">
        <f>ROUND((I38-'21R2'!I38)/ABS('21R2'!I38)*100,1)</f>
        <v>94</v>
      </c>
      <c r="J104" s="384">
        <f>ROUND((J38-'21R2'!J38)/ABS('21R2'!J38)*100,1)</f>
        <v>28.3</v>
      </c>
      <c r="K104" s="384">
        <f>ROUND((K38-'21R2'!K38)/ABS('21R2'!K38)*100,1)</f>
        <v>31.9</v>
      </c>
      <c r="L104" s="384">
        <f>ROUND((L38-'21R2'!L38)/ABS('21R2'!L38)*100,1)</f>
        <v>-87</v>
      </c>
      <c r="M104" s="384">
        <f>ROUND((M38-'21R2'!M38)/ABS('21R2'!M38)*100,1)</f>
        <v>-5.6</v>
      </c>
      <c r="N104" s="384">
        <f>ROUND((N38-'21R2'!N38)/ABS('21R2'!N38)*100,1)</f>
        <v>54.8</v>
      </c>
      <c r="O104" s="384">
        <f>ROUND((O38-'21R2'!O38)/ABS('21R2'!O38)*100,1)</f>
        <v>-89.9</v>
      </c>
      <c r="R104" s="383"/>
      <c r="S104" s="383"/>
    </row>
    <row r="105" spans="1:19">
      <c r="A105" s="293">
        <v>365</v>
      </c>
      <c r="B105" s="90" t="s">
        <v>233</v>
      </c>
      <c r="C105" s="384">
        <f>ROUND((C39-'21R2'!C39)/ABS('21R2'!C39)*100,1)</f>
        <v>24.7</v>
      </c>
      <c r="D105" s="384">
        <f>ROUND((D39-'21R2'!D39)/ABS('21R2'!D39)*100,1)</f>
        <v>25.4</v>
      </c>
      <c r="E105" s="384">
        <f>ROUND((E39-'21R2'!E39)/ABS('21R2'!E39)*100,1)</f>
        <v>4.0999999999999996</v>
      </c>
      <c r="F105" s="384">
        <f>ROUND((F39-'21R2'!F39)/ABS('21R2'!F39)*100,1)</f>
        <v>64.8</v>
      </c>
      <c r="G105" s="384">
        <f>ROUND((G39-'21R2'!G39)/ABS('21R2'!G39)*100,1)</f>
        <v>28.2</v>
      </c>
      <c r="H105" s="384">
        <f>ROUND((H39-'21R2'!H39)/ABS('21R2'!H39)*100,1)</f>
        <v>58.9</v>
      </c>
      <c r="I105" s="384">
        <f>ROUND((I39-'21R2'!I39)/ABS('21R2'!I39)*100,1)</f>
        <v>94.4</v>
      </c>
      <c r="J105" s="384">
        <f>ROUND((J39-'21R2'!J39)/ABS('21R2'!J39)*100,1)</f>
        <v>265</v>
      </c>
      <c r="K105" s="384">
        <f>ROUND((K39-'21R2'!K39)/ABS('21R2'!K39)*100,1)</f>
        <v>36.1</v>
      </c>
      <c r="L105" s="384">
        <f>ROUND((L39-'21R2'!L39)/ABS('21R2'!L39)*100,1)</f>
        <v>-63.7</v>
      </c>
      <c r="M105" s="384">
        <f>ROUND((M39-'21R2'!M39)/ABS('21R2'!M39)*100,1)</f>
        <v>41.2</v>
      </c>
      <c r="N105" s="384">
        <f>ROUND((N39-'21R2'!N39)/ABS('21R2'!N39)*100,1)</f>
        <v>59.6</v>
      </c>
      <c r="O105" s="384">
        <f>ROUND((O39-'21R2'!O39)/ABS('21R2'!O39)*100,1)</f>
        <v>-19.8</v>
      </c>
      <c r="R105" s="383"/>
      <c r="S105" s="383"/>
    </row>
    <row r="106" spans="1:19">
      <c r="A106" s="293">
        <v>5</v>
      </c>
      <c r="B106" s="91" t="s">
        <v>202</v>
      </c>
      <c r="C106" s="384">
        <f>ROUND((C40-'21R2'!C40)/ABS('21R2'!C40)*100,1)</f>
        <v>5.2</v>
      </c>
      <c r="D106" s="384">
        <f>ROUND((D40-'21R2'!D40)/ABS('21R2'!D40)*100,1)</f>
        <v>13.9</v>
      </c>
      <c r="E106" s="384">
        <f>ROUND((E40-'21R2'!E40)/ABS('21R2'!E40)*100,1)</f>
        <v>23.6</v>
      </c>
      <c r="F106" s="384">
        <f>ROUND((F40-'21R2'!F40)/ABS('21R2'!F40)*100,1)</f>
        <v>26.7</v>
      </c>
      <c r="G106" s="384">
        <f>ROUND((G40-'21R2'!G40)/ABS('21R2'!G40)*100,1)</f>
        <v>15.5</v>
      </c>
      <c r="H106" s="384">
        <f>ROUND((H40-'21R2'!H40)/ABS('21R2'!H40)*100,1)</f>
        <v>24</v>
      </c>
      <c r="I106" s="384">
        <f>ROUND((I40-'21R2'!I40)/ABS('21R2'!I40)*100,1)</f>
        <v>95</v>
      </c>
      <c r="J106" s="384">
        <f>ROUND((J40-'21R2'!J40)/ABS('21R2'!J40)*100,1)</f>
        <v>-62.8</v>
      </c>
      <c r="K106" s="384">
        <f>ROUND((K40-'21R2'!K40)/ABS('21R2'!K40)*100,1)</f>
        <v>13.6</v>
      </c>
      <c r="L106" s="384">
        <f>ROUND((L40-'21R2'!L40)/ABS('21R2'!L40)*100,1)</f>
        <v>-56.8</v>
      </c>
      <c r="M106" s="384">
        <f>ROUND((M40-'21R2'!M40)/ABS('21R2'!M40)*100,1)</f>
        <v>22.5</v>
      </c>
      <c r="N106" s="384">
        <f>ROUND((N40-'21R2'!N40)/ABS('21R2'!N40)*100,1)</f>
        <v>33.299999999999997</v>
      </c>
      <c r="O106" s="384">
        <f>ROUND((O40-'21R2'!O40)/ABS('21R2'!O40)*100,1)</f>
        <v>-194.9</v>
      </c>
      <c r="R106" s="383"/>
      <c r="S106" s="383"/>
    </row>
    <row r="107" spans="1:19">
      <c r="A107" s="293">
        <v>201</v>
      </c>
      <c r="B107" s="92" t="s">
        <v>240</v>
      </c>
      <c r="C107" s="384">
        <f>ROUND((C41-'21R2'!C41)/ABS('21R2'!C41)*100,1)</f>
        <v>6.3</v>
      </c>
      <c r="D107" s="384">
        <f>ROUND((D41-'21R2'!D41)/ABS('21R2'!D41)*100,1)</f>
        <v>13</v>
      </c>
      <c r="E107" s="384">
        <f>ROUND((E41-'21R2'!E41)/ABS('21R2'!E41)*100,1)</f>
        <v>24.7</v>
      </c>
      <c r="F107" s="384">
        <f>ROUND((F41-'21R2'!F41)/ABS('21R2'!F41)*100,1)</f>
        <v>30.9</v>
      </c>
      <c r="G107" s="384">
        <f>ROUND((G41-'21R2'!G41)/ABS('21R2'!G41)*100,1)</f>
        <v>15.4</v>
      </c>
      <c r="H107" s="384">
        <f>ROUND((H41-'21R2'!H41)/ABS('21R2'!H41)*100,1)</f>
        <v>28.7</v>
      </c>
      <c r="I107" s="384">
        <f>ROUND((I41-'21R2'!I41)/ABS('21R2'!I41)*100,1)</f>
        <v>95</v>
      </c>
      <c r="J107" s="384">
        <f>ROUND((J41-'21R2'!J41)/ABS('21R2'!J41)*100,1)</f>
        <v>-69.5</v>
      </c>
      <c r="K107" s="384">
        <f>ROUND((K41-'21R2'!K41)/ABS('21R2'!K41)*100,1)</f>
        <v>13.7</v>
      </c>
      <c r="L107" s="384">
        <f>ROUND((L41-'21R2'!L41)/ABS('21R2'!L41)*100,1)</f>
        <v>-54.9</v>
      </c>
      <c r="M107" s="384">
        <f>ROUND((M41-'21R2'!M41)/ABS('21R2'!M41)*100,1)</f>
        <v>24.3</v>
      </c>
      <c r="N107" s="384">
        <f>ROUND((N41-'21R2'!N41)/ABS('21R2'!N41)*100,1)</f>
        <v>33.4</v>
      </c>
      <c r="O107" s="384">
        <f>ROUND((O41-'21R2'!O41)/ABS('21R2'!O41)*100,1)</f>
        <v>-253</v>
      </c>
      <c r="R107" s="383"/>
      <c r="S107" s="383"/>
    </row>
    <row r="108" spans="1:19">
      <c r="A108" s="293">
        <v>442</v>
      </c>
      <c r="B108" s="90" t="s">
        <v>203</v>
      </c>
      <c r="C108" s="384">
        <f>ROUND((C42-'21R2'!C42)/ABS('21R2'!C42)*100,1)</f>
        <v>38.299999999999997</v>
      </c>
      <c r="D108" s="384">
        <f>ROUND((D42-'21R2'!D42)/ABS('21R2'!D42)*100,1)</f>
        <v>21.1</v>
      </c>
      <c r="E108" s="384">
        <f>ROUND((E42-'21R2'!E42)/ABS('21R2'!E42)*100,1)</f>
        <v>12.7</v>
      </c>
      <c r="F108" s="384">
        <f>ROUND((F42-'21R2'!F42)/ABS('21R2'!F42)*100,1)</f>
        <v>82.9</v>
      </c>
      <c r="G108" s="384">
        <f>ROUND((G42-'21R2'!G42)/ABS('21R2'!G42)*100,1)</f>
        <v>42.2</v>
      </c>
      <c r="H108" s="384">
        <f>ROUND((H42-'21R2'!H42)/ABS('21R2'!H42)*100,1)</f>
        <v>75.400000000000006</v>
      </c>
      <c r="I108" s="384">
        <f>ROUND((I42-'21R2'!I42)/ABS('21R2'!I42)*100,1)</f>
        <v>94.3</v>
      </c>
      <c r="J108" s="384">
        <f>ROUND((J42-'21R2'!J42)/ABS('21R2'!J42)*100,1)</f>
        <v>20.5</v>
      </c>
      <c r="K108" s="384">
        <f>ROUND((K42-'21R2'!K42)/ABS('21R2'!K42)*100,1)</f>
        <v>29.5</v>
      </c>
      <c r="L108" s="384">
        <f>ROUND((L42-'21R2'!L42)/ABS('21R2'!L42)*100,1)</f>
        <v>200.8</v>
      </c>
      <c r="M108" s="384">
        <f>ROUND((M42-'21R2'!M42)/ABS('21R2'!M42)*100,1)</f>
        <v>56.4</v>
      </c>
      <c r="N108" s="384">
        <f>ROUND((N42-'21R2'!N42)/ABS('21R2'!N42)*100,1)</f>
        <v>52</v>
      </c>
      <c r="O108" s="384">
        <f>ROUND((O42-'21R2'!O42)/ABS('21R2'!O42)*100,1)</f>
        <v>22.8</v>
      </c>
      <c r="R108" s="383"/>
      <c r="S108" s="383"/>
    </row>
    <row r="109" spans="1:19">
      <c r="A109" s="293">
        <v>443</v>
      </c>
      <c r="B109" s="90" t="s">
        <v>204</v>
      </c>
      <c r="C109" s="384">
        <f>ROUND((C43-'21R2'!C43)/ABS('21R2'!C43)*100,1)</f>
        <v>-30.4</v>
      </c>
      <c r="D109" s="384">
        <f>ROUND((D43-'21R2'!D43)/ABS('21R2'!D43)*100,1)</f>
        <v>30</v>
      </c>
      <c r="E109" s="384">
        <f>ROUND((E43-'21R2'!E43)/ABS('21R2'!E43)*100,1)</f>
        <v>18.100000000000001</v>
      </c>
      <c r="F109" s="384">
        <f>ROUND((F43-'21R2'!F43)/ABS('21R2'!F43)*100,1)</f>
        <v>-32.700000000000003</v>
      </c>
      <c r="G109" s="384">
        <f>ROUND((G43-'21R2'!G43)/ABS('21R2'!G43)*100,1)</f>
        <v>16.8</v>
      </c>
      <c r="H109" s="384">
        <f>ROUND((H43-'21R2'!H43)/ABS('21R2'!H43)*100,1)</f>
        <v>-35.6</v>
      </c>
      <c r="I109" s="384">
        <f>ROUND((I43-'21R2'!I43)/ABS('21R2'!I43)*100,1)</f>
        <v>95.8</v>
      </c>
      <c r="J109" s="384">
        <f>ROUND((J43-'21R2'!J43)/ABS('21R2'!J43)*100,1)</f>
        <v>42.9</v>
      </c>
      <c r="K109" s="384">
        <f>ROUND((K43-'21R2'!K43)/ABS('21R2'!K43)*100,1)</f>
        <v>-2.4</v>
      </c>
      <c r="L109" s="384">
        <f>ROUND((L43-'21R2'!L43)/ABS('21R2'!L43)*100,1)</f>
        <v>-73.900000000000006</v>
      </c>
      <c r="M109" s="384">
        <f>ROUND((M43-'21R2'!M43)/ABS('21R2'!M43)*100,1)</f>
        <v>-25.9</v>
      </c>
      <c r="N109" s="384">
        <f>ROUND((N43-'21R2'!N43)/ABS('21R2'!N43)*100,1)</f>
        <v>14.5</v>
      </c>
      <c r="O109" s="384">
        <f>ROUND((O43-'21R2'!O43)/ABS('21R2'!O43)*100,1)</f>
        <v>-20.8</v>
      </c>
      <c r="R109" s="383"/>
      <c r="S109" s="383"/>
    </row>
    <row r="110" spans="1:19">
      <c r="A110" s="293">
        <v>446</v>
      </c>
      <c r="B110" s="90" t="s">
        <v>234</v>
      </c>
      <c r="C110" s="384">
        <f>ROUND((C44-'21R2'!C44)/ABS('21R2'!C44)*100,1)</f>
        <v>83.4</v>
      </c>
      <c r="D110" s="384">
        <f>ROUND((D44-'21R2'!D44)/ABS('21R2'!D44)*100,1)</f>
        <v>24.6</v>
      </c>
      <c r="E110" s="384">
        <f>ROUND((E44-'21R2'!E44)/ABS('21R2'!E44)*100,1)</f>
        <v>15.5</v>
      </c>
      <c r="F110" s="384">
        <f>ROUND((F44-'21R2'!F44)/ABS('21R2'!F44)*100,1)</f>
        <v>67</v>
      </c>
      <c r="G110" s="384">
        <f>ROUND((G44-'21R2'!G44)/ABS('21R2'!G44)*100,1)</f>
        <v>16.8</v>
      </c>
      <c r="H110" s="384">
        <f>ROUND((H44-'21R2'!H44)/ABS('21R2'!H44)*100,1)</f>
        <v>63</v>
      </c>
      <c r="I110" s="384">
        <f>ROUND((I44-'21R2'!I44)/ABS('21R2'!I44)*100,1)</f>
        <v>94.4</v>
      </c>
      <c r="J110" s="384">
        <f>ROUND((J44-'21R2'!J44)/ABS('21R2'!J44)*100,1)</f>
        <v>81.2</v>
      </c>
      <c r="K110" s="384">
        <f>ROUND((K44-'21R2'!K44)/ABS('21R2'!K44)*100,1)</f>
        <v>36.700000000000003</v>
      </c>
      <c r="L110" s="384">
        <f>ROUND((L44-'21R2'!L44)/ABS('21R2'!L44)*100,1)</f>
        <v>101.3</v>
      </c>
      <c r="M110" s="384">
        <f>ROUND((M44-'21R2'!M44)/ABS('21R2'!M44)*100,1)</f>
        <v>103.3</v>
      </c>
      <c r="N110" s="384">
        <f>ROUND((N44-'21R2'!N44)/ABS('21R2'!N44)*100,1)</f>
        <v>60.4</v>
      </c>
      <c r="O110" s="384">
        <f>ROUND((O44-'21R2'!O44)/ABS('21R2'!O44)*100,1)</f>
        <v>26.6</v>
      </c>
      <c r="R110" s="383"/>
      <c r="S110" s="383"/>
    </row>
    <row r="111" spans="1:19">
      <c r="A111" s="293">
        <v>6</v>
      </c>
      <c r="B111" s="91" t="s">
        <v>205</v>
      </c>
      <c r="C111" s="384">
        <f>ROUND((C45-'21R2'!C45)/ABS('21R2'!C45)*100,1)</f>
        <v>2.5</v>
      </c>
      <c r="D111" s="384">
        <f>ROUND((D45-'21R2'!D45)/ABS('21R2'!D45)*100,1)</f>
        <v>24.3</v>
      </c>
      <c r="E111" s="384">
        <f>ROUND((E45-'21R2'!E45)/ABS('21R2'!E45)*100,1)</f>
        <v>15</v>
      </c>
      <c r="F111" s="384">
        <f>ROUND((F45-'21R2'!F45)/ABS('21R2'!F45)*100,1)</f>
        <v>49.7</v>
      </c>
      <c r="G111" s="384">
        <f>ROUND((G45-'21R2'!G45)/ABS('21R2'!G45)*100,1)</f>
        <v>23</v>
      </c>
      <c r="H111" s="384">
        <f>ROUND((H45-'21R2'!H45)/ABS('21R2'!H45)*100,1)</f>
        <v>46.1</v>
      </c>
      <c r="I111" s="384">
        <f>ROUND((I45-'21R2'!I45)/ABS('21R2'!I45)*100,1)</f>
        <v>94.5</v>
      </c>
      <c r="J111" s="384">
        <f>ROUND((J45-'21R2'!J45)/ABS('21R2'!J45)*100,1)</f>
        <v>-37.6</v>
      </c>
      <c r="K111" s="384">
        <f>ROUND((K45-'21R2'!K45)/ABS('21R2'!K45)*100,1)</f>
        <v>24.7</v>
      </c>
      <c r="L111" s="384">
        <f>ROUND((L45-'21R2'!L45)/ABS('21R2'!L45)*100,1)</f>
        <v>-76.3</v>
      </c>
      <c r="M111" s="384">
        <f>ROUND((M45-'21R2'!M45)/ABS('21R2'!M45)*100,1)</f>
        <v>18.2</v>
      </c>
      <c r="N111" s="384">
        <f>ROUND((N45-'21R2'!N45)/ABS('21R2'!N45)*100,1)</f>
        <v>46.3</v>
      </c>
      <c r="O111" s="384">
        <f>ROUND((O45-'21R2'!O45)/ABS('21R2'!O45)*100,1)</f>
        <v>-152.4</v>
      </c>
      <c r="R111" s="383"/>
      <c r="S111" s="383"/>
    </row>
    <row r="112" spans="1:19">
      <c r="A112" s="293">
        <v>208</v>
      </c>
      <c r="B112" s="90" t="s">
        <v>206</v>
      </c>
      <c r="C112" s="384">
        <f>ROUND((C46-'21R2'!C46)/ABS('21R2'!C46)*100,1)</f>
        <v>-23.2</v>
      </c>
      <c r="D112" s="384">
        <f>ROUND((D46-'21R2'!D46)/ABS('21R2'!D46)*100,1)</f>
        <v>21.4</v>
      </c>
      <c r="E112" s="384">
        <f>ROUND((E46-'21R2'!E46)/ABS('21R2'!E46)*100,1)</f>
        <v>15</v>
      </c>
      <c r="F112" s="384">
        <f>ROUND((F46-'21R2'!F46)/ABS('21R2'!F46)*100,1)</f>
        <v>24.2</v>
      </c>
      <c r="G112" s="384">
        <f>ROUND((G46-'21R2'!G46)/ABS('21R2'!G46)*100,1)</f>
        <v>46.4</v>
      </c>
      <c r="H112" s="384">
        <f>ROUND((H46-'21R2'!H46)/ABS('21R2'!H46)*100,1)</f>
        <v>17.3</v>
      </c>
      <c r="I112" s="384">
        <f>ROUND((I46-'21R2'!I46)/ABS('21R2'!I46)*100,1)</f>
        <v>94.7</v>
      </c>
      <c r="J112" s="384">
        <f>ROUND((J46-'21R2'!J46)/ABS('21R2'!J46)*100,1)</f>
        <v>32.4</v>
      </c>
      <c r="K112" s="384">
        <f>ROUND((K46-'21R2'!K46)/ABS('21R2'!K46)*100,1)</f>
        <v>21.3</v>
      </c>
      <c r="L112" s="384">
        <f>ROUND((L46-'21R2'!L46)/ABS('21R2'!L46)*100,1)</f>
        <v>-81.2</v>
      </c>
      <c r="M112" s="384">
        <f>ROUND((M46-'21R2'!M46)/ABS('21R2'!M46)*100,1)</f>
        <v>-15</v>
      </c>
      <c r="N112" s="384">
        <f>ROUND((N46-'21R2'!N46)/ABS('21R2'!N46)*100,1)</f>
        <v>42.4</v>
      </c>
      <c r="O112" s="384">
        <f>ROUND((O46-'21R2'!O46)/ABS('21R2'!O46)*100,1)</f>
        <v>-54.7</v>
      </c>
      <c r="R112" s="383"/>
      <c r="S112" s="383"/>
    </row>
    <row r="113" spans="1:19">
      <c r="A113" s="293">
        <v>212</v>
      </c>
      <c r="B113" s="90" t="s">
        <v>207</v>
      </c>
      <c r="C113" s="384">
        <f>ROUND((C47-'21R2'!C47)/ABS('21R2'!C47)*100,1)</f>
        <v>-0.4</v>
      </c>
      <c r="D113" s="384">
        <f>ROUND((D47-'21R2'!D47)/ABS('21R2'!D47)*100,1)</f>
        <v>25.1</v>
      </c>
      <c r="E113" s="384">
        <f>ROUND((E47-'21R2'!E47)/ABS('21R2'!E47)*100,1)</f>
        <v>14.9</v>
      </c>
      <c r="F113" s="384">
        <f>ROUND((F47-'21R2'!F47)/ABS('21R2'!F47)*100,1)</f>
        <v>26.4</v>
      </c>
      <c r="G113" s="384">
        <f>ROUND((G47-'21R2'!G47)/ABS('21R2'!G47)*100,1)</f>
        <v>-20.100000000000001</v>
      </c>
      <c r="H113" s="384">
        <f>ROUND((H47-'21R2'!H47)/ABS('21R2'!H47)*100,1)</f>
        <v>27.6</v>
      </c>
      <c r="I113" s="384">
        <f>ROUND((I47-'21R2'!I47)/ABS('21R2'!I47)*100,1)</f>
        <v>94.5</v>
      </c>
      <c r="J113" s="384">
        <f>ROUND((J47-'21R2'!J47)/ABS('21R2'!J47)*100,1)</f>
        <v>-12.6</v>
      </c>
      <c r="K113" s="384">
        <f>ROUND((K47-'21R2'!K47)/ABS('21R2'!K47)*100,1)</f>
        <v>23.1</v>
      </c>
      <c r="L113" s="384">
        <f>ROUND((L47-'21R2'!L47)/ABS('21R2'!L47)*100,1)</f>
        <v>-76.400000000000006</v>
      </c>
      <c r="M113" s="384">
        <f>ROUND((M47-'21R2'!M47)/ABS('21R2'!M47)*100,1)</f>
        <v>14.9</v>
      </c>
      <c r="N113" s="384">
        <f>ROUND((N47-'21R2'!N47)/ABS('21R2'!N47)*100,1)</f>
        <v>44.5</v>
      </c>
      <c r="O113" s="384">
        <f>ROUND((O47-'21R2'!O47)/ABS('21R2'!O47)*100,1)</f>
        <v>-109.3</v>
      </c>
      <c r="R113" s="383"/>
      <c r="S113" s="383"/>
    </row>
    <row r="114" spans="1:19">
      <c r="A114" s="293">
        <v>227</v>
      </c>
      <c r="B114" s="90" t="s">
        <v>219</v>
      </c>
      <c r="C114" s="384">
        <f>ROUND((C48-'21R2'!C48)/ABS('21R2'!C48)*100,1)</f>
        <v>28.8</v>
      </c>
      <c r="D114" s="384">
        <f>ROUND((D48-'21R2'!D48)/ABS('21R2'!D48)*100,1)</f>
        <v>22.5</v>
      </c>
      <c r="E114" s="384">
        <f>ROUND((E48-'21R2'!E48)/ABS('21R2'!E48)*100,1)</f>
        <v>16.3</v>
      </c>
      <c r="F114" s="384">
        <f>ROUND((F48-'21R2'!F48)/ABS('21R2'!F48)*100,1)</f>
        <v>61.7</v>
      </c>
      <c r="G114" s="384">
        <f>ROUND((G48-'21R2'!G48)/ABS('21R2'!G48)*100,1)</f>
        <v>-15</v>
      </c>
      <c r="H114" s="384">
        <f>ROUND((H48-'21R2'!H48)/ABS('21R2'!H48)*100,1)</f>
        <v>59.8</v>
      </c>
      <c r="I114" s="384">
        <f>ROUND((I48-'21R2'!I48)/ABS('21R2'!I48)*100,1)</f>
        <v>94.4</v>
      </c>
      <c r="J114" s="384">
        <f>ROUND((J48-'21R2'!J48)/ABS('21R2'!J48)*100,1)</f>
        <v>-37.1</v>
      </c>
      <c r="K114" s="384">
        <f>ROUND((K48-'21R2'!K48)/ABS('21R2'!K48)*100,1)</f>
        <v>22.6</v>
      </c>
      <c r="L114" s="384">
        <f>ROUND((L48-'21R2'!L48)/ABS('21R2'!L48)*100,1)</f>
        <v>155.6</v>
      </c>
      <c r="M114" s="384">
        <f>ROUND((M48-'21R2'!M48)/ABS('21R2'!M48)*100,1)</f>
        <v>48</v>
      </c>
      <c r="N114" s="384">
        <f>ROUND((N48-'21R2'!N48)/ABS('21R2'!N48)*100,1)</f>
        <v>43.8</v>
      </c>
      <c r="O114" s="384">
        <f>ROUND((O48-'21R2'!O48)/ABS('21R2'!O48)*100,1)</f>
        <v>-0.7</v>
      </c>
      <c r="R114" s="383"/>
      <c r="S114" s="383"/>
    </row>
    <row r="115" spans="1:19">
      <c r="A115" s="293">
        <v>229</v>
      </c>
      <c r="B115" s="90" t="s">
        <v>235</v>
      </c>
      <c r="C115" s="384">
        <f>ROUND((C49-'21R2'!C49)/ABS('21R2'!C49)*100,1)</f>
        <v>-4.4000000000000004</v>
      </c>
      <c r="D115" s="384">
        <f>ROUND((D49-'21R2'!D49)/ABS('21R2'!D49)*100,1)</f>
        <v>24.3</v>
      </c>
      <c r="E115" s="384">
        <f>ROUND((E49-'21R2'!E49)/ABS('21R2'!E49)*100,1)</f>
        <v>13</v>
      </c>
      <c r="F115" s="384">
        <f>ROUND((F49-'21R2'!F49)/ABS('21R2'!F49)*100,1)</f>
        <v>46.3</v>
      </c>
      <c r="G115" s="384">
        <f>ROUND((G49-'21R2'!G49)/ABS('21R2'!G49)*100,1)</f>
        <v>65.400000000000006</v>
      </c>
      <c r="H115" s="384">
        <f>ROUND((H49-'21R2'!H49)/ABS('21R2'!H49)*100,1)</f>
        <v>39.6</v>
      </c>
      <c r="I115" s="384">
        <f>ROUND((I49-'21R2'!I49)/ABS('21R2'!I49)*100,1)</f>
        <v>94.6</v>
      </c>
      <c r="J115" s="384">
        <f>ROUND((J49-'21R2'!J49)/ABS('21R2'!J49)*100,1)</f>
        <v>-53.4</v>
      </c>
      <c r="K115" s="384">
        <f>ROUND((K49-'21R2'!K49)/ABS('21R2'!K49)*100,1)</f>
        <v>22.2</v>
      </c>
      <c r="L115" s="384">
        <f>ROUND((L49-'21R2'!L49)/ABS('21R2'!L49)*100,1)</f>
        <v>-74.7</v>
      </c>
      <c r="M115" s="384">
        <f>ROUND((M49-'21R2'!M49)/ABS('21R2'!M49)*100,1)</f>
        <v>8.9</v>
      </c>
      <c r="N115" s="384">
        <f>ROUND((N49-'21R2'!N49)/ABS('21R2'!N49)*100,1)</f>
        <v>43.4</v>
      </c>
      <c r="O115" s="384">
        <f>ROUND((O49-'21R2'!O49)/ABS('21R2'!O49)*100,1)</f>
        <v>-63.4</v>
      </c>
      <c r="R115" s="383"/>
      <c r="S115" s="383"/>
    </row>
    <row r="116" spans="1:19">
      <c r="A116" s="293">
        <v>464</v>
      </c>
      <c r="B116" s="90" t="s">
        <v>208</v>
      </c>
      <c r="C116" s="384">
        <f>ROUND((C50-'21R2'!C50)/ABS('21R2'!C50)*100,1)</f>
        <v>23.1</v>
      </c>
      <c r="D116" s="384">
        <f>ROUND((D50-'21R2'!D50)/ABS('21R2'!D50)*100,1)</f>
        <v>30.6</v>
      </c>
      <c r="E116" s="384">
        <f>ROUND((E50-'21R2'!E50)/ABS('21R2'!E50)*100,1)</f>
        <v>22.6</v>
      </c>
      <c r="F116" s="384">
        <f>ROUND((F50-'21R2'!F50)/ABS('21R2'!F50)*100,1)</f>
        <v>159.9</v>
      </c>
      <c r="G116" s="384">
        <f>ROUND((G50-'21R2'!G50)/ABS('21R2'!G50)*100,1)</f>
        <v>64.900000000000006</v>
      </c>
      <c r="H116" s="384">
        <f>ROUND((H50-'21R2'!H50)/ABS('21R2'!H50)*100,1)</f>
        <v>165.9</v>
      </c>
      <c r="I116" s="384">
        <f>ROUND((I50-'21R2'!I50)/ABS('21R2'!I50)*100,1)</f>
        <v>93.7</v>
      </c>
      <c r="J116" s="384">
        <f>ROUND((J50-'21R2'!J50)/ABS('21R2'!J50)*100,1)</f>
        <v>-55.1</v>
      </c>
      <c r="K116" s="384">
        <f>ROUND((K50-'21R2'!K50)/ABS('21R2'!K50)*100,1)</f>
        <v>43.8</v>
      </c>
      <c r="L116" s="384">
        <f>ROUND((L50-'21R2'!L50)/ABS('21R2'!L50)*100,1)</f>
        <v>-97</v>
      </c>
      <c r="M116" s="384">
        <f>ROUND((M50-'21R2'!M50)/ABS('21R2'!M50)*100,1)</f>
        <v>49.3</v>
      </c>
      <c r="N116" s="384">
        <f>ROUND((N50-'21R2'!N50)/ABS('21R2'!N50)*100,1)</f>
        <v>68.7</v>
      </c>
      <c r="O116" s="384">
        <f>ROUND((O50-'21R2'!O50)/ABS('21R2'!O50)*100,1)</f>
        <v>-567.4</v>
      </c>
      <c r="R116" s="383"/>
      <c r="S116" s="383"/>
    </row>
    <row r="117" spans="1:19">
      <c r="A117" s="293">
        <v>481</v>
      </c>
      <c r="B117" s="90" t="s">
        <v>209</v>
      </c>
      <c r="C117" s="384">
        <f>ROUND((C51-'21R2'!C51)/ABS('21R2'!C51)*100,1)</f>
        <v>30</v>
      </c>
      <c r="D117" s="384">
        <f>ROUND((D51-'21R2'!D51)/ABS('21R2'!D51)*100,1)</f>
        <v>21.8</v>
      </c>
      <c r="E117" s="384">
        <f>ROUND((E51-'21R2'!E51)/ABS('21R2'!E51)*100,1)</f>
        <v>20.8</v>
      </c>
      <c r="F117" s="384">
        <f>ROUND((F51-'21R2'!F51)/ABS('21R2'!F51)*100,1)</f>
        <v>76.599999999999994</v>
      </c>
      <c r="G117" s="384">
        <f>ROUND((G51-'21R2'!G51)/ABS('21R2'!G51)*100,1)</f>
        <v>-23.5</v>
      </c>
      <c r="H117" s="384">
        <f>ROUND((H51-'21R2'!H51)/ABS('21R2'!H51)*100,1)</f>
        <v>75.3</v>
      </c>
      <c r="I117" s="384">
        <f>ROUND((I51-'21R2'!I51)/ABS('21R2'!I51)*100,1)</f>
        <v>94.4</v>
      </c>
      <c r="J117" s="384">
        <f>ROUND((J51-'21R2'!J51)/ABS('21R2'!J51)*100,1)</f>
        <v>19.399999999999999</v>
      </c>
      <c r="K117" s="384">
        <f>ROUND((K51-'21R2'!K51)/ABS('21R2'!K51)*100,1)</f>
        <v>30.5</v>
      </c>
      <c r="L117" s="384">
        <f>ROUND((L51-'21R2'!L51)/ABS('21R2'!L51)*100,1)</f>
        <v>8.8000000000000007</v>
      </c>
      <c r="M117" s="384">
        <f>ROUND((M51-'21R2'!M51)/ABS('21R2'!M51)*100,1)</f>
        <v>51.3</v>
      </c>
      <c r="N117" s="384">
        <f>ROUND((N51-'21R2'!N51)/ABS('21R2'!N51)*100,1)</f>
        <v>53.1</v>
      </c>
      <c r="O117" s="384">
        <f>ROUND((O51-'21R2'!O51)/ABS('21R2'!O51)*100,1)</f>
        <v>-41</v>
      </c>
      <c r="R117" s="383"/>
      <c r="S117" s="383"/>
    </row>
    <row r="118" spans="1:19">
      <c r="A118" s="293">
        <v>501</v>
      </c>
      <c r="B118" s="90" t="s">
        <v>236</v>
      </c>
      <c r="C118" s="384">
        <f>ROUND((C52-'21R2'!C52)/ABS('21R2'!C52)*100,1)</f>
        <v>17.399999999999999</v>
      </c>
      <c r="D118" s="384">
        <f>ROUND((D52-'21R2'!D52)/ABS('21R2'!D52)*100,1)</f>
        <v>20.399999999999999</v>
      </c>
      <c r="E118" s="384">
        <f>ROUND((E52-'21R2'!E52)/ABS('21R2'!E52)*100,1)</f>
        <v>8.3000000000000007</v>
      </c>
      <c r="F118" s="384">
        <f>ROUND((F52-'21R2'!F52)/ABS('21R2'!F52)*100,1)</f>
        <v>53.9</v>
      </c>
      <c r="G118" s="384">
        <f>ROUND((G52-'21R2'!G52)/ABS('21R2'!G52)*100,1)</f>
        <v>-9.1</v>
      </c>
      <c r="H118" s="384">
        <f>ROUND((H52-'21R2'!H52)/ABS('21R2'!H52)*100,1)</f>
        <v>47.1</v>
      </c>
      <c r="I118" s="384">
        <f>ROUND((I52-'21R2'!I52)/ABS('21R2'!I52)*100,1)</f>
        <v>94.7</v>
      </c>
      <c r="J118" s="384">
        <f>ROUND((J52-'21R2'!J52)/ABS('21R2'!J52)*100,1)</f>
        <v>-50.2</v>
      </c>
      <c r="K118" s="384">
        <f>ROUND((K52-'21R2'!K52)/ABS('21R2'!K52)*100,1)</f>
        <v>13.9</v>
      </c>
      <c r="L118" s="384">
        <f>ROUND((L52-'21R2'!L52)/ABS('21R2'!L52)*100,1)</f>
        <v>609.4</v>
      </c>
      <c r="M118" s="384">
        <f>ROUND((M52-'21R2'!M52)/ABS('21R2'!M52)*100,1)</f>
        <v>32.5</v>
      </c>
      <c r="N118" s="384">
        <f>ROUND((N52-'21R2'!N52)/ABS('21R2'!N52)*100,1)</f>
        <v>33.6</v>
      </c>
      <c r="O118" s="384">
        <f>ROUND((O52-'21R2'!O52)/ABS('21R2'!O52)*100,1)</f>
        <v>19.7</v>
      </c>
      <c r="R118" s="383"/>
      <c r="S118" s="383"/>
    </row>
    <row r="119" spans="1:19">
      <c r="A119" s="293">
        <v>7</v>
      </c>
      <c r="B119" s="93" t="s">
        <v>210</v>
      </c>
      <c r="C119" s="384">
        <f>ROUND((C53-'21R2'!C53)/ABS('21R2'!C53)*100,1)</f>
        <v>16.899999999999999</v>
      </c>
      <c r="D119" s="384">
        <f>ROUND((D53-'21R2'!D53)/ABS('21R2'!D53)*100,1)</f>
        <v>22.2</v>
      </c>
      <c r="E119" s="384">
        <f>ROUND((E53-'21R2'!E53)/ABS('21R2'!E53)*100,1)</f>
        <v>16.3</v>
      </c>
      <c r="F119" s="384">
        <f>ROUND((F53-'21R2'!F53)/ABS('21R2'!F53)*100,1)</f>
        <v>85.8</v>
      </c>
      <c r="G119" s="384">
        <f>ROUND((G53-'21R2'!G53)/ABS('21R2'!G53)*100,1)</f>
        <v>16.600000000000001</v>
      </c>
      <c r="H119" s="384">
        <f>ROUND((H53-'21R2'!H53)/ABS('21R2'!H53)*100,1)</f>
        <v>82.7</v>
      </c>
      <c r="I119" s="384">
        <f>ROUND((I53-'21R2'!I53)/ABS('21R2'!I53)*100,1)</f>
        <v>94.3</v>
      </c>
      <c r="J119" s="384">
        <f>ROUND((J53-'21R2'!J53)/ABS('21R2'!J53)*100,1)</f>
        <v>-43.4</v>
      </c>
      <c r="K119" s="384">
        <f>ROUND((K53-'21R2'!K53)/ABS('21R2'!K53)*100,1)</f>
        <v>25.4</v>
      </c>
      <c r="L119" s="384">
        <f>ROUND((L53-'21R2'!L53)/ABS('21R2'!L53)*100,1)</f>
        <v>-78.2</v>
      </c>
      <c r="M119" s="384">
        <f>ROUND((M53-'21R2'!M53)/ABS('21R2'!M53)*100,1)</f>
        <v>36</v>
      </c>
      <c r="N119" s="384">
        <f>ROUND((N53-'21R2'!N53)/ABS('21R2'!N53)*100,1)</f>
        <v>47.2</v>
      </c>
      <c r="O119" s="384">
        <f>ROUND((O53-'21R2'!O53)/ABS('21R2'!O53)*100,1)</f>
        <v>-67.2</v>
      </c>
      <c r="R119" s="383"/>
      <c r="S119" s="383"/>
    </row>
    <row r="120" spans="1:19">
      <c r="A120" s="293">
        <v>209</v>
      </c>
      <c r="B120" s="90" t="s">
        <v>221</v>
      </c>
      <c r="C120" s="384">
        <f>ROUND((C54-'21R2'!C54)/ABS('21R2'!C54)*100,1)</f>
        <v>18.399999999999999</v>
      </c>
      <c r="D120" s="384">
        <f>ROUND((D54-'21R2'!D54)/ABS('21R2'!D54)*100,1)</f>
        <v>23.2</v>
      </c>
      <c r="E120" s="384">
        <f>ROUND((E54-'21R2'!E54)/ABS('21R2'!E54)*100,1)</f>
        <v>15.1</v>
      </c>
      <c r="F120" s="384">
        <f>ROUND((F54-'21R2'!F54)/ABS('21R2'!F54)*100,1)</f>
        <v>61.6</v>
      </c>
      <c r="G120" s="384">
        <f>ROUND((G54-'21R2'!G54)/ABS('21R2'!G54)*100,1)</f>
        <v>18.899999999999999</v>
      </c>
      <c r="H120" s="384">
        <f>ROUND((H54-'21R2'!H54)/ABS('21R2'!H54)*100,1)</f>
        <v>58.5</v>
      </c>
      <c r="I120" s="384">
        <f>ROUND((I54-'21R2'!I54)/ABS('21R2'!I54)*100,1)</f>
        <v>94.4</v>
      </c>
      <c r="J120" s="384">
        <f>ROUND((J54-'21R2'!J54)/ABS('21R2'!J54)*100,1)</f>
        <v>-35.299999999999997</v>
      </c>
      <c r="K120" s="384">
        <f>ROUND((K54-'21R2'!K54)/ABS('21R2'!K54)*100,1)</f>
        <v>24.4</v>
      </c>
      <c r="L120" s="384">
        <f>ROUND((L54-'21R2'!L54)/ABS('21R2'!L54)*100,1)</f>
        <v>-55.5</v>
      </c>
      <c r="M120" s="384">
        <f>ROUND((M54-'21R2'!M54)/ABS('21R2'!M54)*100,1)</f>
        <v>36.5</v>
      </c>
      <c r="N120" s="384">
        <f>ROUND((N54-'21R2'!N54)/ABS('21R2'!N54)*100,1)</f>
        <v>46</v>
      </c>
      <c r="O120" s="384">
        <f>ROUND((O54-'21R2'!O54)/ABS('21R2'!O54)*100,1)</f>
        <v>-38.1</v>
      </c>
      <c r="R120" s="383"/>
      <c r="S120" s="383"/>
    </row>
    <row r="121" spans="1:19">
      <c r="A121" s="293">
        <v>222</v>
      </c>
      <c r="B121" s="90" t="s">
        <v>218</v>
      </c>
      <c r="C121" s="384">
        <f>ROUND((C55-'21R2'!C55)/ABS('21R2'!C55)*100,1)</f>
        <v>32.200000000000003</v>
      </c>
      <c r="D121" s="384">
        <f>ROUND((D55-'21R2'!D55)/ABS('21R2'!D55)*100,1)</f>
        <v>19.399999999999999</v>
      </c>
      <c r="E121" s="384">
        <f>ROUND((E55-'21R2'!E55)/ABS('21R2'!E55)*100,1)</f>
        <v>18.399999999999999</v>
      </c>
      <c r="F121" s="384">
        <f>ROUND((F55-'21R2'!F55)/ABS('21R2'!F55)*100,1)</f>
        <v>80.8</v>
      </c>
      <c r="G121" s="384">
        <f>ROUND((G55-'21R2'!G55)/ABS('21R2'!G55)*100,1)</f>
        <v>3</v>
      </c>
      <c r="H121" s="384">
        <f>ROUND((H55-'21R2'!H55)/ABS('21R2'!H55)*100,1)</f>
        <v>76.599999999999994</v>
      </c>
      <c r="I121" s="384">
        <f>ROUND((I55-'21R2'!I55)/ABS('21R2'!I55)*100,1)</f>
        <v>94.7</v>
      </c>
      <c r="J121" s="384">
        <f>ROUND((J55-'21R2'!J55)/ABS('21R2'!J55)*100,1)</f>
        <v>-69.8</v>
      </c>
      <c r="K121" s="384">
        <f>ROUND((K55-'21R2'!K55)/ABS('21R2'!K55)*100,1)</f>
        <v>17.399999999999999</v>
      </c>
      <c r="L121" s="384">
        <f>ROUND((L55-'21R2'!L55)/ABS('21R2'!L55)*100,1)</f>
        <v>97.8</v>
      </c>
      <c r="M121" s="384">
        <f>ROUND((M55-'21R2'!M55)/ABS('21R2'!M55)*100,1)</f>
        <v>52.8</v>
      </c>
      <c r="N121" s="384">
        <f>ROUND((N55-'21R2'!N55)/ABS('21R2'!N55)*100,1)</f>
        <v>37.700000000000003</v>
      </c>
      <c r="O121" s="384">
        <f>ROUND((O55-'21R2'!O55)/ABS('21R2'!O55)*100,1)</f>
        <v>0.8</v>
      </c>
      <c r="R121" s="383"/>
      <c r="S121" s="383"/>
    </row>
    <row r="122" spans="1:19">
      <c r="A122" s="293">
        <v>225</v>
      </c>
      <c r="B122" s="90" t="s">
        <v>222</v>
      </c>
      <c r="C122" s="384">
        <f>ROUND((C56-'21R2'!C56)/ABS('21R2'!C56)*100,1)</f>
        <v>-4.7</v>
      </c>
      <c r="D122" s="384">
        <f>ROUND((D56-'21R2'!D56)/ABS('21R2'!D56)*100,1)</f>
        <v>23.1</v>
      </c>
      <c r="E122" s="384">
        <f>ROUND((E56-'21R2'!E56)/ABS('21R2'!E56)*100,1)</f>
        <v>18</v>
      </c>
      <c r="F122" s="384">
        <f>ROUND((F56-'21R2'!F56)/ABS('21R2'!F56)*100,1)</f>
        <v>171.7</v>
      </c>
      <c r="G122" s="384">
        <f>ROUND((G56-'21R2'!G56)/ABS('21R2'!G56)*100,1)</f>
        <v>5.7</v>
      </c>
      <c r="H122" s="384">
        <f>ROUND((H56-'21R2'!H56)/ABS('21R2'!H56)*100,1)</f>
        <v>177.3</v>
      </c>
      <c r="I122" s="384">
        <f>ROUND((I56-'21R2'!I56)/ABS('21R2'!I56)*100,1)</f>
        <v>93.7</v>
      </c>
      <c r="J122" s="384">
        <f>ROUND((J56-'21R2'!J56)/ABS('21R2'!J56)*100,1)</f>
        <v>-7.8</v>
      </c>
      <c r="K122" s="384">
        <f>ROUND((K56-'21R2'!K56)/ABS('21R2'!K56)*100,1)</f>
        <v>44.3</v>
      </c>
      <c r="L122" s="384">
        <f>ROUND((L56-'21R2'!L56)/ABS('21R2'!L56)*100,1)</f>
        <v>-94.3</v>
      </c>
      <c r="M122" s="384">
        <f>ROUND((M56-'21R2'!M56)/ABS('21R2'!M56)*100,1)</f>
        <v>13.2</v>
      </c>
      <c r="N122" s="384">
        <f>ROUND((N56-'21R2'!N56)/ABS('21R2'!N56)*100,1)</f>
        <v>69.400000000000006</v>
      </c>
      <c r="O122" s="384">
        <f>ROUND((O56-'21R2'!O56)/ABS('21R2'!O56)*100,1)</f>
        <v>-204.6</v>
      </c>
      <c r="R122" s="383"/>
      <c r="S122" s="383"/>
    </row>
    <row r="123" spans="1:19">
      <c r="A123" s="293">
        <v>585</v>
      </c>
      <c r="B123" s="90" t="s">
        <v>220</v>
      </c>
      <c r="C123" s="384">
        <f>ROUND((C57-'21R2'!C57)/ABS('21R2'!C57)*100,1)</f>
        <v>35.799999999999997</v>
      </c>
      <c r="D123" s="384">
        <f>ROUND((D57-'21R2'!D57)/ABS('21R2'!D57)*100,1)</f>
        <v>19.5</v>
      </c>
      <c r="E123" s="384">
        <f>ROUND((E57-'21R2'!E57)/ABS('21R2'!E57)*100,1)</f>
        <v>9.1</v>
      </c>
      <c r="F123" s="384">
        <f>ROUND((F57-'21R2'!F57)/ABS('21R2'!F57)*100,1)</f>
        <v>64.400000000000006</v>
      </c>
      <c r="G123" s="384">
        <f>ROUND((G57-'21R2'!G57)/ABS('21R2'!G57)*100,1)</f>
        <v>55.5</v>
      </c>
      <c r="H123" s="384">
        <f>ROUND((H57-'21R2'!H57)/ABS('21R2'!H57)*100,1)</f>
        <v>53.4</v>
      </c>
      <c r="I123" s="384">
        <f>ROUND((I57-'21R2'!I57)/ABS('21R2'!I57)*100,1)</f>
        <v>94.6</v>
      </c>
      <c r="J123" s="384">
        <f>ROUND((J57-'21R2'!J57)/ABS('21R2'!J57)*100,1)</f>
        <v>-53.2</v>
      </c>
      <c r="K123" s="384">
        <f>ROUND((K57-'21R2'!K57)/ABS('21R2'!K57)*100,1)</f>
        <v>14.9</v>
      </c>
      <c r="L123" s="384">
        <f>ROUND((L57-'21R2'!L57)/ABS('21R2'!L57)*100,1)</f>
        <v>92.8</v>
      </c>
      <c r="M123" s="384">
        <f>ROUND((M57-'21R2'!M57)/ABS('21R2'!M57)*100,1)</f>
        <v>54.2</v>
      </c>
      <c r="N123" s="384">
        <f>ROUND((N57-'21R2'!N57)/ABS('21R2'!N57)*100,1)</f>
        <v>34.799999999999997</v>
      </c>
      <c r="O123" s="384">
        <f>ROUND((O57-'21R2'!O57)/ABS('21R2'!O57)*100,1)</f>
        <v>13.1</v>
      </c>
      <c r="R123" s="383"/>
      <c r="S123" s="383"/>
    </row>
    <row r="124" spans="1:19">
      <c r="A124" s="293">
        <v>586</v>
      </c>
      <c r="B124" s="90" t="s">
        <v>237</v>
      </c>
      <c r="C124" s="384">
        <f>ROUND((C58-'21R2'!C58)/ABS('21R2'!C58)*100,1)</f>
        <v>39.299999999999997</v>
      </c>
      <c r="D124" s="384">
        <f>ROUND((D58-'21R2'!D58)/ABS('21R2'!D58)*100,1)</f>
        <v>22.2</v>
      </c>
      <c r="E124" s="384">
        <f>ROUND((E58-'21R2'!E58)/ABS('21R2'!E58)*100,1)</f>
        <v>24.2</v>
      </c>
      <c r="F124" s="384">
        <f>ROUND((F58-'21R2'!F58)/ABS('21R2'!F58)*100,1)</f>
        <v>47.8</v>
      </c>
      <c r="G124" s="384">
        <f>ROUND((G58-'21R2'!G58)/ABS('21R2'!G58)*100,1)</f>
        <v>51.1</v>
      </c>
      <c r="H124" s="384">
        <f>ROUND((H58-'21R2'!H58)/ABS('21R2'!H58)*100,1)</f>
        <v>37.9</v>
      </c>
      <c r="I124" s="384">
        <f>ROUND((I58-'21R2'!I58)/ABS('21R2'!I58)*100,1)</f>
        <v>94.7</v>
      </c>
      <c r="J124" s="384">
        <f>ROUND((J58-'21R2'!J58)/ABS('21R2'!J58)*100,1)</f>
        <v>-42.4</v>
      </c>
      <c r="K124" s="384">
        <f>ROUND((K58-'21R2'!K58)/ABS('21R2'!K58)*100,1)</f>
        <v>18.100000000000001</v>
      </c>
      <c r="L124" s="384">
        <f>ROUND((L58-'21R2'!L58)/ABS('21R2'!L58)*100,1)</f>
        <v>89.3</v>
      </c>
      <c r="M124" s="384">
        <f>ROUND((M58-'21R2'!M58)/ABS('21R2'!M58)*100,1)</f>
        <v>61</v>
      </c>
      <c r="N124" s="384">
        <f>ROUND((N58-'21R2'!N58)/ABS('21R2'!N58)*100,1)</f>
        <v>38.6</v>
      </c>
      <c r="O124" s="384">
        <f>ROUND((O58-'21R2'!O58)/ABS('21R2'!O58)*100,1)</f>
        <v>-1.4</v>
      </c>
      <c r="R124" s="383"/>
      <c r="S124" s="383"/>
    </row>
    <row r="125" spans="1:19">
      <c r="A125" s="293">
        <v>8</v>
      </c>
      <c r="B125" s="86" t="s">
        <v>211</v>
      </c>
      <c r="C125" s="384">
        <f>ROUND((C59-'21R2'!C59)/ABS('21R2'!C59)*100,1)</f>
        <v>6.7</v>
      </c>
      <c r="D125" s="384">
        <f>ROUND((D59-'21R2'!D59)/ABS('21R2'!D59)*100,1)</f>
        <v>26.6</v>
      </c>
      <c r="E125" s="384">
        <f>ROUND((E59-'21R2'!E59)/ABS('21R2'!E59)*100,1)</f>
        <v>18.600000000000001</v>
      </c>
      <c r="F125" s="384">
        <f>ROUND((F59-'21R2'!F59)/ABS('21R2'!F59)*100,1)</f>
        <v>26</v>
      </c>
      <c r="G125" s="384">
        <f>ROUND((G59-'21R2'!G59)/ABS('21R2'!G59)*100,1)</f>
        <v>18.600000000000001</v>
      </c>
      <c r="H125" s="384">
        <f>ROUND((H59-'21R2'!H59)/ABS('21R2'!H59)*100,1)</f>
        <v>21.5</v>
      </c>
      <c r="I125" s="384">
        <f>ROUND((I59-'21R2'!I59)/ABS('21R2'!I59)*100,1)</f>
        <v>94.5</v>
      </c>
      <c r="J125" s="384">
        <f>ROUND((J59-'21R2'!J59)/ABS('21R2'!J59)*100,1)</f>
        <v>-29.5</v>
      </c>
      <c r="K125" s="384">
        <f>ROUND((K59-'21R2'!K59)/ABS('21R2'!K59)*100,1)</f>
        <v>22.8</v>
      </c>
      <c r="L125" s="384">
        <f>ROUND((L59-'21R2'!L59)/ABS('21R2'!L59)*100,1)</f>
        <v>-72</v>
      </c>
      <c r="M125" s="384">
        <f>ROUND((M59-'21R2'!M59)/ABS('21R2'!M59)*100,1)</f>
        <v>22.6</v>
      </c>
      <c r="N125" s="384">
        <f>ROUND((N59-'21R2'!N59)/ABS('21R2'!N59)*100,1)</f>
        <v>44.1</v>
      </c>
      <c r="O125" s="384">
        <f>ROUND((O59-'21R2'!O59)/ABS('21R2'!O59)*100,1)</f>
        <v>-552.9</v>
      </c>
      <c r="R125" s="383"/>
      <c r="S125" s="383"/>
    </row>
    <row r="126" spans="1:19">
      <c r="A126" s="293">
        <v>221</v>
      </c>
      <c r="B126" s="90" t="s">
        <v>1144</v>
      </c>
      <c r="C126" s="384">
        <f>ROUND((C60-'21R2'!C60)/ABS('21R2'!C60)*100,1)</f>
        <v>-2.5</v>
      </c>
      <c r="D126" s="384">
        <f>ROUND((D60-'21R2'!D60)/ABS('21R2'!D60)*100,1)</f>
        <v>27.2</v>
      </c>
      <c r="E126" s="384">
        <f>ROUND((E60-'21R2'!E60)/ABS('21R2'!E60)*100,1)</f>
        <v>22.4</v>
      </c>
      <c r="F126" s="384">
        <f>ROUND((F60-'21R2'!F60)/ABS('21R2'!F60)*100,1)</f>
        <v>65.2</v>
      </c>
      <c r="G126" s="384">
        <f>ROUND((G60-'21R2'!G60)/ABS('21R2'!G60)*100,1)</f>
        <v>111</v>
      </c>
      <c r="H126" s="384">
        <f>ROUND((H60-'21R2'!H60)/ABS('21R2'!H60)*100,1)</f>
        <v>52</v>
      </c>
      <c r="I126" s="384">
        <f>ROUND((I60-'21R2'!I60)/ABS('21R2'!I60)*100,1)</f>
        <v>94.2</v>
      </c>
      <c r="J126" s="384">
        <f>ROUND((J60-'21R2'!J60)/ABS('21R2'!J60)*100,1)</f>
        <v>-52.6</v>
      </c>
      <c r="K126" s="384">
        <f>ROUND((K60-'21R2'!K60)/ABS('21R2'!K60)*100,1)</f>
        <v>28.8</v>
      </c>
      <c r="L126" s="384">
        <f>ROUND((L60-'21R2'!L60)/ABS('21R2'!L60)*100,1)</f>
        <v>-81.2</v>
      </c>
      <c r="M126" s="384">
        <f>ROUND((M60-'21R2'!M60)/ABS('21R2'!M60)*100,1)</f>
        <v>11.6</v>
      </c>
      <c r="N126" s="384">
        <f>ROUND((N60-'21R2'!N60)/ABS('21R2'!N60)*100,1)</f>
        <v>51.2</v>
      </c>
      <c r="O126" s="384">
        <f>ROUND((O60-'21R2'!O60)/ABS('21R2'!O60)*100,1)</f>
        <v>-164.6</v>
      </c>
      <c r="R126" s="383"/>
      <c r="S126" s="383"/>
    </row>
    <row r="127" spans="1:19">
      <c r="A127" s="293">
        <v>223</v>
      </c>
      <c r="B127" s="90" t="s">
        <v>223</v>
      </c>
      <c r="C127" s="384">
        <f>ROUND((C61-'21R2'!C61)/ABS('21R2'!C61)*100,1)</f>
        <v>14.4</v>
      </c>
      <c r="D127" s="384">
        <f>ROUND((D61-'21R2'!D61)/ABS('21R2'!D61)*100,1)</f>
        <v>26.2</v>
      </c>
      <c r="E127" s="384">
        <f>ROUND((E61-'21R2'!E61)/ABS('21R2'!E61)*100,1)</f>
        <v>15.7</v>
      </c>
      <c r="F127" s="384">
        <f>ROUND((F61-'21R2'!F61)/ABS('21R2'!F61)*100,1)</f>
        <v>8.8000000000000007</v>
      </c>
      <c r="G127" s="384">
        <f>ROUND((G61-'21R2'!G61)/ABS('21R2'!G61)*100,1)</f>
        <v>-14.8</v>
      </c>
      <c r="H127" s="384">
        <f>ROUND((H61-'21R2'!H61)/ABS('21R2'!H61)*100,1)</f>
        <v>7.5</v>
      </c>
      <c r="I127" s="384">
        <f>ROUND((I61-'21R2'!I61)/ABS('21R2'!I61)*100,1)</f>
        <v>94.6</v>
      </c>
      <c r="J127" s="384">
        <f>ROUND((J61-'21R2'!J61)/ABS('21R2'!J61)*100,1)</f>
        <v>-10</v>
      </c>
      <c r="K127" s="384">
        <f>ROUND((K61-'21R2'!K61)/ABS('21R2'!K61)*100,1)</f>
        <v>18.899999999999999</v>
      </c>
      <c r="L127" s="384">
        <f>ROUND((L61-'21R2'!L61)/ABS('21R2'!L61)*100,1)</f>
        <v>-42.7</v>
      </c>
      <c r="M127" s="384">
        <f>ROUND((M61-'21R2'!M61)/ABS('21R2'!M61)*100,1)</f>
        <v>31.7</v>
      </c>
      <c r="N127" s="384">
        <f>ROUND((N61-'21R2'!N61)/ABS('21R2'!N61)*100,1)</f>
        <v>39.5</v>
      </c>
      <c r="O127" s="384">
        <f>ROUND((O61-'21R2'!O61)/ABS('21R2'!O61)*100,1)</f>
        <v>-25.8</v>
      </c>
      <c r="R127" s="383"/>
      <c r="S127" s="383"/>
    </row>
    <row r="128" spans="1:19">
      <c r="A128" s="293">
        <v>9</v>
      </c>
      <c r="B128" s="94" t="s">
        <v>212</v>
      </c>
      <c r="C128" s="384">
        <f>ROUND((C62-'21R2'!C62)/ABS('21R2'!C62)*100,1)</f>
        <v>30.8</v>
      </c>
      <c r="D128" s="384">
        <f>ROUND((D62-'21R2'!D62)/ABS('21R2'!D62)*100,1)</f>
        <v>27</v>
      </c>
      <c r="E128" s="384">
        <f>ROUND((E62-'21R2'!E62)/ABS('21R2'!E62)*100,1)</f>
        <v>13.5</v>
      </c>
      <c r="F128" s="384">
        <f>ROUND((F62-'21R2'!F62)/ABS('21R2'!F62)*100,1)</f>
        <v>82.8</v>
      </c>
      <c r="G128" s="384">
        <f>ROUND((G62-'21R2'!G62)/ABS('21R2'!G62)*100,1)</f>
        <v>73</v>
      </c>
      <c r="H128" s="384">
        <f>ROUND((H62-'21R2'!H62)/ABS('21R2'!H62)*100,1)</f>
        <v>72.599999999999994</v>
      </c>
      <c r="I128" s="384">
        <f>ROUND((I62-'21R2'!I62)/ABS('21R2'!I62)*100,1)</f>
        <v>94</v>
      </c>
      <c r="J128" s="384">
        <f>ROUND((J62-'21R2'!J62)/ABS('21R2'!J62)*100,1)</f>
        <v>-1.9</v>
      </c>
      <c r="K128" s="384">
        <f>ROUND((K62-'21R2'!K62)/ABS('21R2'!K62)*100,1)</f>
        <v>30.4</v>
      </c>
      <c r="L128" s="384">
        <f>ROUND((L62-'21R2'!L62)/ABS('21R2'!L62)*100,1)</f>
        <v>55.7</v>
      </c>
      <c r="M128" s="384">
        <f>ROUND((M62-'21R2'!M62)/ABS('21R2'!M62)*100,1)</f>
        <v>49.7</v>
      </c>
      <c r="N128" s="384">
        <f>ROUND((N62-'21R2'!N62)/ABS('21R2'!N62)*100,1)</f>
        <v>53</v>
      </c>
      <c r="O128" s="384">
        <f>ROUND((O62-'21R2'!O62)/ABS('21R2'!O62)*100,1)</f>
        <v>-11.6</v>
      </c>
      <c r="R128" s="383"/>
      <c r="S128" s="383"/>
    </row>
    <row r="129" spans="1:19">
      <c r="A129" s="293">
        <v>205</v>
      </c>
      <c r="B129" s="92" t="s">
        <v>241</v>
      </c>
      <c r="C129" s="384">
        <f>ROUND((C63-'21R2'!C63)/ABS('21R2'!C63)*100,1)</f>
        <v>32.5</v>
      </c>
      <c r="D129" s="384">
        <f>ROUND((D63-'21R2'!D63)/ABS('21R2'!D63)*100,1)</f>
        <v>27.2</v>
      </c>
      <c r="E129" s="384">
        <f>ROUND((E63-'21R2'!E63)/ABS('21R2'!E63)*100,1)</f>
        <v>-7.9</v>
      </c>
      <c r="F129" s="384">
        <f>ROUND((F63-'21R2'!F63)/ABS('21R2'!F63)*100,1)</f>
        <v>104.3</v>
      </c>
      <c r="G129" s="384">
        <f>ROUND((G63-'21R2'!G63)/ABS('21R2'!G63)*100,1)</f>
        <v>95.4</v>
      </c>
      <c r="H129" s="384">
        <f>ROUND((H63-'21R2'!H63)/ABS('21R2'!H63)*100,1)</f>
        <v>92.6</v>
      </c>
      <c r="I129" s="384">
        <f>ROUND((I63-'21R2'!I63)/ABS('21R2'!I63)*100,1)</f>
        <v>94</v>
      </c>
      <c r="J129" s="384">
        <f>ROUND((J63-'21R2'!J63)/ABS('21R2'!J63)*100,1)</f>
        <v>-39.799999999999997</v>
      </c>
      <c r="K129" s="384">
        <f>ROUND((K63-'21R2'!K63)/ABS('21R2'!K63)*100,1)</f>
        <v>26.8</v>
      </c>
      <c r="L129" s="384">
        <f>ROUND((L63-'21R2'!L63)/ABS('21R2'!L63)*100,1)</f>
        <v>719.9</v>
      </c>
      <c r="M129" s="384">
        <f>ROUND((M63-'21R2'!M63)/ABS('21R2'!M63)*100,1)</f>
        <v>46.7</v>
      </c>
      <c r="N129" s="384">
        <f>ROUND((N63-'21R2'!N63)/ABS('21R2'!N63)*100,1)</f>
        <v>48.8</v>
      </c>
      <c r="O129" s="384">
        <f>ROUND((O63-'21R2'!O63)/ABS('21R2'!O63)*100,1)</f>
        <v>45.5</v>
      </c>
      <c r="R129" s="383"/>
      <c r="S129" s="383"/>
    </row>
    <row r="130" spans="1:19">
      <c r="A130" s="293">
        <v>224</v>
      </c>
      <c r="B130" s="90" t="s">
        <v>224</v>
      </c>
      <c r="C130" s="384">
        <f>ROUND((C64-'21R2'!C64)/ABS('21R2'!C64)*100,1)</f>
        <v>23.3</v>
      </c>
      <c r="D130" s="384">
        <f>ROUND((D64-'21R2'!D64)/ABS('21R2'!D64)*100,1)</f>
        <v>26.8</v>
      </c>
      <c r="E130" s="384">
        <f>ROUND((E64-'21R2'!E64)/ABS('21R2'!E64)*100,1)</f>
        <v>20.9</v>
      </c>
      <c r="F130" s="384">
        <f>ROUND((F64-'21R2'!F64)/ABS('21R2'!F64)*100,1)</f>
        <v>78.2</v>
      </c>
      <c r="G130" s="384">
        <f>ROUND((G64-'21R2'!G64)/ABS('21R2'!G64)*100,1)</f>
        <v>15</v>
      </c>
      <c r="H130" s="384">
        <f>ROUND((H64-'21R2'!H64)/ABS('21R2'!H64)*100,1)</f>
        <v>76.3</v>
      </c>
      <c r="I130" s="384">
        <f>ROUND((I64-'21R2'!I64)/ABS('21R2'!I64)*100,1)</f>
        <v>93.9</v>
      </c>
      <c r="J130" s="384">
        <f>ROUND((J64-'21R2'!J64)/ABS('21R2'!J64)*100,1)</f>
        <v>31.1</v>
      </c>
      <c r="K130" s="384">
        <f>ROUND((K64-'21R2'!K64)/ABS('21R2'!K64)*100,1)</f>
        <v>32.6</v>
      </c>
      <c r="L130" s="384">
        <f>ROUND((L64-'21R2'!L64)/ABS('21R2'!L64)*100,1)</f>
        <v>-78.2</v>
      </c>
      <c r="M130" s="384">
        <f>ROUND((M64-'21R2'!M64)/ABS('21R2'!M64)*100,1)</f>
        <v>42.8</v>
      </c>
      <c r="N130" s="384">
        <f>ROUND((N64-'21R2'!N64)/ABS('21R2'!N64)*100,1)</f>
        <v>55.6</v>
      </c>
      <c r="O130" s="384">
        <f>ROUND((O64-'21R2'!O64)/ABS('21R2'!O64)*100,1)</f>
        <v>-62.9</v>
      </c>
      <c r="R130" s="383"/>
      <c r="S130" s="383"/>
    </row>
    <row r="131" spans="1:19">
      <c r="A131" s="396">
        <v>226</v>
      </c>
      <c r="B131" s="201" t="s">
        <v>225</v>
      </c>
      <c r="C131" s="384">
        <f>ROUND((C65-'21R2'!C65)/ABS('21R2'!C65)*100,1)</f>
        <v>36.799999999999997</v>
      </c>
      <c r="D131" s="384">
        <f>ROUND((D65-'21R2'!D65)/ABS('21R2'!D65)*100,1)</f>
        <v>26.8</v>
      </c>
      <c r="E131" s="384">
        <f>ROUND((E65-'21R2'!E65)/ABS('21R2'!E65)*100,1)</f>
        <v>30</v>
      </c>
      <c r="F131" s="384">
        <f>ROUND((F65-'21R2'!F65)/ABS('21R2'!F65)*100,1)</f>
        <v>66.2</v>
      </c>
      <c r="G131" s="384">
        <f>ROUND((G65-'21R2'!G65)/ABS('21R2'!G65)*100,1)</f>
        <v>105.9</v>
      </c>
      <c r="H131" s="384">
        <f>ROUND((H65-'21R2'!H65)/ABS('21R2'!H65)*100,1)</f>
        <v>49.5</v>
      </c>
      <c r="I131" s="384">
        <f>ROUND((I65-'21R2'!I65)/ABS('21R2'!I65)*100,1)</f>
        <v>94.2</v>
      </c>
      <c r="J131" s="384">
        <f>ROUND((J65-'21R2'!J65)/ABS('21R2'!J65)*100,1)</f>
        <v>3.7</v>
      </c>
      <c r="K131" s="384">
        <f>ROUND((K65-'21R2'!K65)/ABS('21R2'!K65)*100,1)</f>
        <v>32</v>
      </c>
      <c r="L131" s="384">
        <f>ROUND((L65-'21R2'!L65)/ABS('21R2'!L65)*100,1)</f>
        <v>88.7</v>
      </c>
      <c r="M131" s="384">
        <f>ROUND((M65-'21R2'!M65)/ABS('21R2'!M65)*100,1)</f>
        <v>60.1</v>
      </c>
      <c r="N131" s="384">
        <f>ROUND((N65-'21R2'!N65)/ABS('21R2'!N65)*100,1)</f>
        <v>54.9</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EFBA9-1DE0-40F8-8E1F-021617AE3084}">
  <sheetPr>
    <tabColor theme="9" tint="0.59999389629810485"/>
  </sheetPr>
  <dimension ref="A1:H31"/>
  <sheetViews>
    <sheetView tabSelected="1" workbookViewId="0">
      <pane xSplit="2" ySplit="2" topLeftCell="C3" activePane="bottomRight" state="frozen"/>
      <selection pane="topRight" activeCell="C1" sqref="C1"/>
      <selection pane="bottomLeft" activeCell="A3" sqref="A3"/>
      <selection pane="bottomRight" activeCell="F14" sqref="F14"/>
    </sheetView>
  </sheetViews>
  <sheetFormatPr defaultRowHeight="13"/>
  <cols>
    <col min="1" max="1" width="3.2109375" style="2251" customWidth="1"/>
    <col min="2" max="2" width="10.28515625" style="2251" customWidth="1"/>
    <col min="3" max="3" width="30.7109375" style="2251" customWidth="1"/>
    <col min="4" max="4" width="9.140625" style="2251"/>
    <col min="5" max="5" width="4.85546875" style="2251" customWidth="1"/>
    <col min="6" max="16384" width="9.140625" style="2251"/>
  </cols>
  <sheetData>
    <row r="1" spans="1:6" ht="15" customHeight="1">
      <c r="A1" s="2248" t="s">
        <v>1877</v>
      </c>
      <c r="B1" s="2249"/>
      <c r="C1" s="2249"/>
      <c r="D1" s="2250" t="s">
        <v>1884</v>
      </c>
      <c r="E1" s="2249"/>
    </row>
    <row r="2" spans="1:6" ht="15" customHeight="1">
      <c r="A2" s="2270" t="s">
        <v>1878</v>
      </c>
      <c r="B2" s="2253" t="s">
        <v>1367</v>
      </c>
      <c r="C2" s="2254" t="s">
        <v>1839</v>
      </c>
      <c r="D2" s="2255" t="s">
        <v>1837</v>
      </c>
      <c r="E2" s="2249"/>
    </row>
    <row r="3" spans="1:6" ht="15" customHeight="1">
      <c r="A3" s="2256">
        <v>1</v>
      </c>
      <c r="B3" s="2261" t="s">
        <v>1840</v>
      </c>
      <c r="C3" s="2249" t="s">
        <v>1874</v>
      </c>
      <c r="D3" s="2257"/>
      <c r="E3" s="2249"/>
      <c r="F3" s="2251" t="s">
        <v>1821</v>
      </c>
    </row>
    <row r="4" spans="1:6" ht="15" customHeight="1">
      <c r="A4" s="2252">
        <v>2</v>
      </c>
      <c r="B4" s="2267" t="s">
        <v>1841</v>
      </c>
      <c r="C4" s="2268" t="s">
        <v>1873</v>
      </c>
      <c r="D4" s="2269"/>
      <c r="E4" s="2249"/>
    </row>
    <row r="5" spans="1:6" ht="15" customHeight="1">
      <c r="A5" s="2256">
        <v>3</v>
      </c>
      <c r="B5" s="2261" t="s">
        <v>1842</v>
      </c>
      <c r="C5" s="2249" t="s">
        <v>1875</v>
      </c>
      <c r="D5" s="2257"/>
      <c r="E5" s="2249"/>
    </row>
    <row r="6" spans="1:6" ht="15" customHeight="1">
      <c r="A6" s="2256">
        <v>4</v>
      </c>
      <c r="B6" s="2261" t="s">
        <v>1843</v>
      </c>
      <c r="C6" s="2249" t="s">
        <v>1876</v>
      </c>
      <c r="D6" s="2257"/>
      <c r="E6" s="2249"/>
      <c r="F6" s="2251" t="s">
        <v>1827</v>
      </c>
    </row>
    <row r="7" spans="1:6" ht="15" customHeight="1">
      <c r="A7" s="2263">
        <v>5</v>
      </c>
      <c r="B7" s="2264" t="s">
        <v>1844</v>
      </c>
      <c r="C7" s="2265" t="s">
        <v>1871</v>
      </c>
      <c r="D7" s="2266"/>
      <c r="E7" s="2249"/>
    </row>
    <row r="8" spans="1:6" ht="15" customHeight="1">
      <c r="A8" s="2258">
        <v>6</v>
      </c>
      <c r="B8" s="2262" t="s">
        <v>1845</v>
      </c>
      <c r="C8" s="2259" t="s">
        <v>1872</v>
      </c>
      <c r="D8" s="2260"/>
      <c r="E8" s="2249"/>
    </row>
    <row r="9" spans="1:6" ht="15" customHeight="1">
      <c r="A9" s="2263">
        <v>7</v>
      </c>
      <c r="B9" s="2264" t="s">
        <v>1846</v>
      </c>
      <c r="C9" s="2265" t="s">
        <v>1849</v>
      </c>
      <c r="D9" s="2266" t="s">
        <v>1461</v>
      </c>
      <c r="E9" s="2249"/>
    </row>
    <row r="10" spans="1:6" ht="15" customHeight="1">
      <c r="A10" s="2256">
        <v>8</v>
      </c>
      <c r="B10" s="2261" t="s">
        <v>1847</v>
      </c>
      <c r="C10" s="2249" t="s">
        <v>1850</v>
      </c>
      <c r="D10" s="2257" t="s">
        <v>1461</v>
      </c>
      <c r="E10" s="2249" t="s">
        <v>1821</v>
      </c>
    </row>
    <row r="11" spans="1:6" ht="15" customHeight="1">
      <c r="A11" s="2256">
        <v>9</v>
      </c>
      <c r="B11" s="2261" t="s">
        <v>1848</v>
      </c>
      <c r="C11" s="2249" t="s">
        <v>1851</v>
      </c>
      <c r="D11" s="2257" t="s">
        <v>1461</v>
      </c>
      <c r="E11" s="2249" t="s">
        <v>1827</v>
      </c>
    </row>
    <row r="12" spans="1:6" ht="15" customHeight="1">
      <c r="A12" s="2256">
        <v>10</v>
      </c>
      <c r="B12" s="2261" t="s">
        <v>64</v>
      </c>
      <c r="C12" s="2249" t="s">
        <v>1852</v>
      </c>
      <c r="D12" s="2257" t="s">
        <v>1461</v>
      </c>
      <c r="E12" s="2249"/>
    </row>
    <row r="13" spans="1:6" ht="15" customHeight="1">
      <c r="A13" s="2256">
        <v>11</v>
      </c>
      <c r="B13" s="2261" t="s">
        <v>65</v>
      </c>
      <c r="C13" s="2249" t="s">
        <v>1853</v>
      </c>
      <c r="D13" s="2257" t="s">
        <v>1461</v>
      </c>
      <c r="E13" s="2249" t="s">
        <v>1827</v>
      </c>
      <c r="F13" s="2251" t="s">
        <v>11</v>
      </c>
    </row>
    <row r="14" spans="1:6" ht="15" customHeight="1">
      <c r="A14" s="2256">
        <v>12</v>
      </c>
      <c r="B14" s="2261" t="s">
        <v>114</v>
      </c>
      <c r="C14" s="2249" t="s">
        <v>1854</v>
      </c>
      <c r="D14" s="2257" t="s">
        <v>1461</v>
      </c>
      <c r="E14" s="2249" t="s">
        <v>1821</v>
      </c>
    </row>
    <row r="15" spans="1:6" ht="15" customHeight="1">
      <c r="A15" s="2256">
        <v>13</v>
      </c>
      <c r="B15" s="2261" t="s">
        <v>111</v>
      </c>
      <c r="C15" s="2249" t="s">
        <v>1855</v>
      </c>
      <c r="D15" s="2257" t="s">
        <v>1461</v>
      </c>
      <c r="E15" s="2249" t="s">
        <v>1827</v>
      </c>
    </row>
    <row r="16" spans="1:6" ht="15" customHeight="1">
      <c r="A16" s="2256">
        <v>14</v>
      </c>
      <c r="B16" s="2261" t="s">
        <v>757</v>
      </c>
      <c r="C16" s="2249" t="s">
        <v>1856</v>
      </c>
      <c r="D16" s="2257" t="s">
        <v>1461</v>
      </c>
      <c r="E16" s="2249"/>
    </row>
    <row r="17" spans="1:8" ht="15" customHeight="1">
      <c r="A17" s="2256">
        <v>15</v>
      </c>
      <c r="B17" s="2261" t="s">
        <v>771</v>
      </c>
      <c r="C17" s="2249" t="s">
        <v>1857</v>
      </c>
      <c r="D17" s="2257" t="s">
        <v>1461</v>
      </c>
      <c r="E17" s="2249"/>
    </row>
    <row r="18" spans="1:8" ht="15" customHeight="1">
      <c r="A18" s="2256">
        <v>16</v>
      </c>
      <c r="B18" s="2261" t="s">
        <v>133</v>
      </c>
      <c r="C18" s="2249" t="s">
        <v>1858</v>
      </c>
      <c r="D18" s="2257" t="s">
        <v>1461</v>
      </c>
      <c r="E18" s="2249"/>
      <c r="H18" s="2251" t="s">
        <v>1821</v>
      </c>
    </row>
    <row r="19" spans="1:8" ht="15" customHeight="1">
      <c r="A19" s="2256">
        <v>17</v>
      </c>
      <c r="B19" s="2261" t="s">
        <v>1024</v>
      </c>
      <c r="C19" s="2249" t="s">
        <v>1859</v>
      </c>
      <c r="D19" s="2257" t="s">
        <v>1461</v>
      </c>
      <c r="E19" s="2249"/>
    </row>
    <row r="20" spans="1:8" ht="15" customHeight="1">
      <c r="A20" s="2256">
        <v>18</v>
      </c>
      <c r="B20" s="2261" t="s">
        <v>1059</v>
      </c>
      <c r="C20" s="2249" t="s">
        <v>1860</v>
      </c>
      <c r="D20" s="2257" t="s">
        <v>1461</v>
      </c>
      <c r="E20" s="2249"/>
    </row>
    <row r="21" spans="1:8" ht="15" customHeight="1">
      <c r="A21" s="2256">
        <v>19</v>
      </c>
      <c r="B21" s="2261" t="s">
        <v>1090</v>
      </c>
      <c r="C21" s="2249" t="s">
        <v>1861</v>
      </c>
      <c r="D21" s="2257" t="s">
        <v>1461</v>
      </c>
      <c r="E21" s="2249"/>
    </row>
    <row r="22" spans="1:8" ht="15" customHeight="1">
      <c r="A22" s="2256">
        <v>20</v>
      </c>
      <c r="B22" s="2261" t="s">
        <v>1169</v>
      </c>
      <c r="C22" s="2249" t="s">
        <v>1862</v>
      </c>
      <c r="D22" s="2257" t="s">
        <v>1461</v>
      </c>
      <c r="E22" s="2249"/>
    </row>
    <row r="23" spans="1:8" ht="15" customHeight="1">
      <c r="A23" s="2256">
        <v>21</v>
      </c>
      <c r="B23" s="2261" t="s">
        <v>1132</v>
      </c>
      <c r="C23" s="2249" t="s">
        <v>1863</v>
      </c>
      <c r="D23" s="2257" t="s">
        <v>1461</v>
      </c>
      <c r="E23" s="2249"/>
    </row>
    <row r="24" spans="1:8" ht="15" customHeight="1">
      <c r="A24" s="2256">
        <v>22</v>
      </c>
      <c r="B24" s="2261" t="s">
        <v>1179</v>
      </c>
      <c r="C24" s="2249" t="s">
        <v>1864</v>
      </c>
      <c r="D24" s="2257" t="s">
        <v>1461</v>
      </c>
      <c r="E24" s="2249"/>
      <c r="F24" s="2251" t="s">
        <v>1827</v>
      </c>
    </row>
    <row r="25" spans="1:8" ht="15" customHeight="1">
      <c r="A25" s="2256">
        <v>23</v>
      </c>
      <c r="B25" s="2261" t="s">
        <v>1226</v>
      </c>
      <c r="C25" s="2249" t="s">
        <v>1865</v>
      </c>
      <c r="D25" s="2257" t="s">
        <v>1461</v>
      </c>
      <c r="E25" s="2249"/>
    </row>
    <row r="26" spans="1:8" ht="15" customHeight="1">
      <c r="A26" s="2256">
        <v>24</v>
      </c>
      <c r="B26" s="2261" t="s">
        <v>1549</v>
      </c>
      <c r="C26" s="2249" t="s">
        <v>1866</v>
      </c>
      <c r="D26" s="2257" t="s">
        <v>1461</v>
      </c>
      <c r="E26" s="2249"/>
    </row>
    <row r="27" spans="1:8" ht="15" customHeight="1">
      <c r="A27" s="2256">
        <v>25</v>
      </c>
      <c r="B27" s="2261" t="s">
        <v>1597</v>
      </c>
      <c r="C27" s="2249" t="s">
        <v>1867</v>
      </c>
      <c r="D27" s="2271" t="s">
        <v>948</v>
      </c>
      <c r="E27" s="2249"/>
    </row>
    <row r="28" spans="1:8" ht="15" customHeight="1">
      <c r="A28" s="2256">
        <v>26</v>
      </c>
      <c r="B28" s="2261" t="s">
        <v>1730</v>
      </c>
      <c r="C28" s="2249" t="s">
        <v>1868</v>
      </c>
      <c r="D28" s="2272" t="s">
        <v>14</v>
      </c>
      <c r="E28" s="2249"/>
    </row>
    <row r="29" spans="1:8" ht="15" customHeight="1">
      <c r="A29" s="2256">
        <v>27</v>
      </c>
      <c r="B29" s="2261" t="s">
        <v>1775</v>
      </c>
      <c r="C29" s="2249" t="s">
        <v>1869</v>
      </c>
      <c r="D29" s="2272" t="s">
        <v>14</v>
      </c>
      <c r="E29" s="2249"/>
    </row>
    <row r="30" spans="1:8" ht="15" customHeight="1">
      <c r="A30" s="2258">
        <v>28</v>
      </c>
      <c r="B30" s="2262" t="s">
        <v>1815</v>
      </c>
      <c r="C30" s="2259" t="s">
        <v>1870</v>
      </c>
      <c r="D30" s="2273" t="s">
        <v>14</v>
      </c>
      <c r="E30" s="2249"/>
    </row>
    <row r="31" spans="1:8" ht="15" customHeight="1">
      <c r="A31" s="2249" t="s">
        <v>1838</v>
      </c>
      <c r="B31" s="2249"/>
      <c r="C31" s="2249"/>
      <c r="D31" s="2249"/>
      <c r="E31" s="2249"/>
      <c r="F31" s="2251" t="s">
        <v>1821</v>
      </c>
    </row>
  </sheetData>
  <phoneticPr fontId="13"/>
  <hyperlinks>
    <hyperlink ref="B3" location="'1推計方法'!A1" display="推計方法" xr:uid="{E37AA456-9D03-4C49-88A6-3B12239EEA98}"/>
    <hyperlink ref="B4" location="'2概要グラフ'!A1" display="概要グラフ" xr:uid="{C5C96E5B-CA2D-414A-9D57-6DE6611DC3FB}"/>
    <hyperlink ref="B5" location="'3概要統計表1'!A1" display="概要統計表1" xr:uid="{26F29678-CBE8-47A5-92EC-84A0909CB367}"/>
    <hyperlink ref="B6" location="'4概要統計表2'!A1" display="概要統計表2" xr:uid="{89A0AD1B-B72B-4910-AC8F-F91F2E016C77}"/>
    <hyperlink ref="B7" location="'5名目時系列'!A1" display="名目時系列" xr:uid="{82FF5845-CDD9-44CB-9DC0-456B0D4A1160}"/>
    <hyperlink ref="B8" location="'6実質時系列'!A1" display="実質時系列" xr:uid="{E931B0F3-7D05-4B78-8C36-C297EF5AFD43}"/>
    <hyperlink ref="B9" location="'7H18'!A1" display="H18" xr:uid="{CB82BE54-876E-4E9F-A494-0FAF4B20B5C0}"/>
    <hyperlink ref="B10" location="'8H19'!A1" display="H19" xr:uid="{DD27F91F-7385-4E6C-AC4A-A7A10C6779A2}"/>
    <hyperlink ref="B11" location="'9H20'!A1" display="H20" xr:uid="{252567B2-C926-4FA4-979E-51B54AF043B3}"/>
    <hyperlink ref="B12" location="'10H21'!A1" display="H21" xr:uid="{6C14E822-28E2-4181-B885-9A38FF9DE157}"/>
    <hyperlink ref="B13" location="'11H22'!A1" display="H22" xr:uid="{300CEAFF-5DC3-4CE4-9C86-C328FC139D06}"/>
    <hyperlink ref="B14" location="'12H23'!A1" display="H23" xr:uid="{15D1E0F8-026C-4385-A4EC-0B88EC48ECE1}"/>
    <hyperlink ref="B15" location="'13H24'!A1" display="H24" xr:uid="{53E77E21-0EF9-45FC-AE9B-480B203D652C}"/>
    <hyperlink ref="B16" location="'14H25'!A1" display="H25" xr:uid="{CCBC95A0-11C7-404C-B178-03A0A2087468}"/>
    <hyperlink ref="B17" location="'15H26'!A1" display="H26" xr:uid="{07C26FB4-E005-49D5-98FA-3A2B7EB59293}"/>
    <hyperlink ref="B18" location="'16H27'!A1" display="H27" xr:uid="{1231F5D7-1415-4FA3-82E4-619BE5382F65}"/>
    <hyperlink ref="B19" location="'17H28'!A1" display="H28" xr:uid="{872A0F3C-0C7A-49D5-9064-82A44D9A2D1A}"/>
    <hyperlink ref="B20" location="'18H29'!A1" display="H29" xr:uid="{C53D51F3-5095-4894-966F-CF12E6CC1DB6}"/>
    <hyperlink ref="B21" location="'19H30'!A1" display="H30" xr:uid="{DEAF0EE8-F7F6-4B02-AC9E-D35F92066E96}"/>
    <hyperlink ref="B22" location="'20R1'!A1" display="R1" xr:uid="{48C46781-35C3-4765-BA74-B595ECFD9170}"/>
    <hyperlink ref="B23" location="'21R2'!A1" display="R2" xr:uid="{231B0350-8AE1-403D-A2A7-919D844A41B7}"/>
    <hyperlink ref="B24" location="'22R3'!A1" display="R3" xr:uid="{C3B0C532-68CF-49EE-BE32-CF3CC5FD6A03}"/>
    <hyperlink ref="B25" location="'23R4'!A1" display="R4" xr:uid="{0BF8AB85-530B-4C0F-85D3-812BF36467C5}"/>
    <hyperlink ref="B26" location="'24R5'!A1" display="R5" xr:uid="{C22E60B8-E5A8-4251-9186-BA3AF39D3E03}"/>
    <hyperlink ref="B27" location="'25R6'!A1" display="R6" xr:uid="{509096B4-970A-4F4C-8A1B-4DA1BA96CB06}"/>
    <hyperlink ref="B28" location="'26R7'!A1" display="R7" xr:uid="{447C6C0E-F7E2-4F66-86D3-41C0567F9469}"/>
    <hyperlink ref="B29" location="'27R8'!A1" display="R8" xr:uid="{365D840F-5AAF-44DF-858F-FA85FD3A7F70}"/>
    <hyperlink ref="B30" location="'28R9'!A1" display="R9" xr:uid="{BDA3C7AC-35F7-4B0B-B3FB-D2D831B41C9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F197D-079C-4A4F-B408-95DBFBFEF356}">
  <sheetPr>
    <tabColor theme="0"/>
  </sheetPr>
  <dimension ref="A1:U131"/>
  <sheetViews>
    <sheetView workbookViewId="0">
      <pane xSplit="2" ySplit="3" topLeftCell="C4" activePane="bottomRight" state="frozen"/>
      <selection pane="topRight" activeCell="C1" sqref="C1"/>
      <selection pane="bottomLeft" activeCell="A4" sqref="A4"/>
      <selection pane="bottomRight" activeCell="K65" sqref="K16:K65"/>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1774</v>
      </c>
      <c r="C1" s="682"/>
      <c r="D1" s="682"/>
      <c r="E1" s="239"/>
      <c r="F1" s="682">
        <f>名目県内総支出!AA44</f>
        <v>25682082.28163933</v>
      </c>
      <c r="G1" s="1473">
        <f>C4-F1</f>
        <v>268367.74788480997</v>
      </c>
      <c r="H1" s="239"/>
      <c r="I1" s="239"/>
      <c r="J1" s="239"/>
      <c r="K1" s="239"/>
      <c r="L1" s="239" t="s">
        <v>11</v>
      </c>
      <c r="M1" s="539">
        <f>M4-名目県内総支出!AA45</f>
        <v>417861.00000000373</v>
      </c>
      <c r="N1" s="239" t="s">
        <v>818</v>
      </c>
      <c r="O1" s="446">
        <f>名目県内総支出!Y43</f>
        <v>-726292</v>
      </c>
    </row>
    <row r="2" spans="1:21" ht="26.25" customHeight="1">
      <c r="A2" s="294"/>
      <c r="B2" s="296" t="s">
        <v>930</v>
      </c>
      <c r="C2" s="312" t="s">
        <v>817</v>
      </c>
      <c r="D2" s="275" t="s">
        <v>68</v>
      </c>
      <c r="E2" s="291" t="s">
        <v>1289</v>
      </c>
      <c r="F2" s="297" t="s">
        <v>69</v>
      </c>
      <c r="G2" s="291"/>
      <c r="H2" s="291"/>
      <c r="I2" s="817"/>
      <c r="J2" s="291" t="s">
        <v>70</v>
      </c>
      <c r="K2" s="284" t="s">
        <v>671</v>
      </c>
      <c r="L2" s="2313" t="s">
        <v>71</v>
      </c>
      <c r="M2" s="2312"/>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817" t="s">
        <v>74</v>
      </c>
      <c r="J3" s="352"/>
      <c r="K3" s="1890" t="s">
        <v>75</v>
      </c>
      <c r="L3" s="1354" t="s">
        <v>76</v>
      </c>
      <c r="M3" s="2001" t="s">
        <v>77</v>
      </c>
      <c r="N3" s="2002" t="s">
        <v>78</v>
      </c>
      <c r="O3" s="1098" t="s">
        <v>81</v>
      </c>
      <c r="P3" s="92"/>
      <c r="Q3" s="684" t="s">
        <v>1227</v>
      </c>
      <c r="R3" s="49" t="s">
        <v>287</v>
      </c>
      <c r="T3" s="344" t="s">
        <v>956</v>
      </c>
      <c r="U3" s="345" t="s">
        <v>958</v>
      </c>
    </row>
    <row r="4" spans="1:21">
      <c r="A4" s="303"/>
      <c r="B4" s="203" t="s">
        <v>166</v>
      </c>
      <c r="C4" s="412">
        <f t="shared" ref="C4" si="0">SUM(C5:C14)</f>
        <v>25950450.02952414</v>
      </c>
      <c r="D4" s="547">
        <f t="shared" ref="D4:J4" si="1">SUM(D5:D14)</f>
        <v>15020812</v>
      </c>
      <c r="E4" s="544">
        <f t="shared" si="1"/>
        <v>3300383</v>
      </c>
      <c r="F4" s="438">
        <f t="shared" si="1"/>
        <v>5928738</v>
      </c>
      <c r="G4" s="544">
        <f t="shared" si="1"/>
        <v>761253</v>
      </c>
      <c r="H4" s="547">
        <f t="shared" si="1"/>
        <v>5176975</v>
      </c>
      <c r="I4" s="557">
        <f t="shared" si="1"/>
        <v>-9490</v>
      </c>
      <c r="J4" s="544">
        <f t="shared" si="1"/>
        <v>814797</v>
      </c>
      <c r="K4" s="438">
        <f>SUM(K5:K14)</f>
        <v>25064730</v>
      </c>
      <c r="L4" s="407">
        <f>SUM(L5:L14)</f>
        <v>885720.0295241382</v>
      </c>
      <c r="M4" s="1401">
        <f>SUM(M5:M14)</f>
        <v>24775650.02952414</v>
      </c>
      <c r="N4" s="544">
        <f>SUM(N5:N14)</f>
        <v>23163638</v>
      </c>
      <c r="O4" s="438">
        <f>SUM(O5:O14)</f>
        <v>-726292</v>
      </c>
      <c r="P4" s="77"/>
      <c r="Q4" s="314">
        <f>(C4-'22R3'!C4)/'22R3'!C4*100</f>
        <v>14.840788198289651</v>
      </c>
      <c r="R4" s="394">
        <f>D4+E4+F4+J4+L4</f>
        <v>25950450.02952414</v>
      </c>
      <c r="S4" s="394">
        <f>R4-C4</f>
        <v>0</v>
      </c>
      <c r="T4" s="49">
        <f>民間設備製造1!S6</f>
        <v>1379939</v>
      </c>
      <c r="U4" s="49">
        <v>23463199</v>
      </c>
    </row>
    <row r="5" spans="1:21">
      <c r="A5" s="298">
        <v>100</v>
      </c>
      <c r="B5" s="75" t="s">
        <v>172</v>
      </c>
      <c r="C5" s="413">
        <f t="shared" ref="C5:O6" si="2">C16</f>
        <v>7474528.0295241382</v>
      </c>
      <c r="D5" s="439">
        <f t="shared" si="2"/>
        <v>4444399</v>
      </c>
      <c r="E5" s="408">
        <f t="shared" si="2"/>
        <v>1122755</v>
      </c>
      <c r="F5" s="439">
        <f t="shared" si="2"/>
        <v>1472676</v>
      </c>
      <c r="G5" s="408">
        <f t="shared" si="2"/>
        <v>201966</v>
      </c>
      <c r="H5" s="439">
        <f t="shared" si="2"/>
        <v>1273504</v>
      </c>
      <c r="I5" s="411">
        <f t="shared" si="2"/>
        <v>-2794</v>
      </c>
      <c r="J5" s="408">
        <f t="shared" si="2"/>
        <v>260758</v>
      </c>
      <c r="K5" s="439">
        <f t="shared" si="2"/>
        <v>7300588</v>
      </c>
      <c r="L5" s="408">
        <f t="shared" si="2"/>
        <v>173940.0295241382</v>
      </c>
      <c r="M5" s="439">
        <f t="shared" si="2"/>
        <v>7233706.0295241382</v>
      </c>
      <c r="N5" s="408">
        <f t="shared" si="2"/>
        <v>6830329</v>
      </c>
      <c r="O5" s="439">
        <f t="shared" si="2"/>
        <v>-229437</v>
      </c>
      <c r="P5" s="77">
        <v>100</v>
      </c>
      <c r="Q5" s="314">
        <f>(C5-'22R3'!C5)/'22R3'!C5*100</f>
        <v>7.5782784592974108</v>
      </c>
      <c r="R5" s="394">
        <f t="shared" ref="R5:R65" si="3">D5+E5+F5+J5+L5</f>
        <v>7474528.0295241382</v>
      </c>
      <c r="S5" s="394">
        <f t="shared" ref="S5:S65" si="4">R5-C5</f>
        <v>0</v>
      </c>
      <c r="T5" s="49">
        <f>民間設備製造1!S7</f>
        <v>202112</v>
      </c>
      <c r="U5" s="49">
        <v>6918660</v>
      </c>
    </row>
    <row r="6" spans="1:21">
      <c r="A6" s="298">
        <v>1</v>
      </c>
      <c r="B6" s="75" t="s">
        <v>323</v>
      </c>
      <c r="C6" s="413">
        <f t="shared" si="2"/>
        <v>4658812</v>
      </c>
      <c r="D6" s="439">
        <f t="shared" si="2"/>
        <v>2929962</v>
      </c>
      <c r="E6" s="408">
        <f t="shared" si="2"/>
        <v>536069</v>
      </c>
      <c r="F6" s="439">
        <f t="shared" si="2"/>
        <v>920841</v>
      </c>
      <c r="G6" s="408">
        <f t="shared" si="2"/>
        <v>175213</v>
      </c>
      <c r="H6" s="439">
        <f t="shared" si="2"/>
        <v>747319</v>
      </c>
      <c r="I6" s="411">
        <f t="shared" si="2"/>
        <v>-1691</v>
      </c>
      <c r="J6" s="408">
        <f t="shared" si="2"/>
        <v>96983</v>
      </c>
      <c r="K6" s="439">
        <f t="shared" si="2"/>
        <v>4483855</v>
      </c>
      <c r="L6" s="408">
        <f t="shared" si="2"/>
        <v>174957</v>
      </c>
      <c r="M6" s="439">
        <f t="shared" si="2"/>
        <v>4470025</v>
      </c>
      <c r="N6" s="408">
        <f t="shared" si="2"/>
        <v>4126005</v>
      </c>
      <c r="O6" s="439">
        <f t="shared" si="2"/>
        <v>-169063</v>
      </c>
      <c r="P6" s="77">
        <v>1</v>
      </c>
      <c r="Q6" s="314">
        <f>(C6-'22R3'!C6)/'22R3'!C6*100</f>
        <v>26.044106124816569</v>
      </c>
      <c r="R6" s="394">
        <f t="shared" si="3"/>
        <v>4658812</v>
      </c>
      <c r="S6" s="394">
        <f t="shared" si="4"/>
        <v>0</v>
      </c>
      <c r="T6" s="49">
        <f>民間設備製造1!S8</f>
        <v>103127</v>
      </c>
      <c r="U6" s="49">
        <v>4179364</v>
      </c>
    </row>
    <row r="7" spans="1:21">
      <c r="A7" s="298">
        <v>2</v>
      </c>
      <c r="B7" s="75" t="s">
        <v>324</v>
      </c>
      <c r="C7" s="413">
        <f t="shared" ref="C7:J7" si="5">C21</f>
        <v>3402636</v>
      </c>
      <c r="D7" s="439">
        <f t="shared" si="5"/>
        <v>1918658</v>
      </c>
      <c r="E7" s="408">
        <f t="shared" si="5"/>
        <v>358322</v>
      </c>
      <c r="F7" s="439">
        <f t="shared" si="5"/>
        <v>650655</v>
      </c>
      <c r="G7" s="408">
        <f t="shared" si="5"/>
        <v>96615</v>
      </c>
      <c r="H7" s="439">
        <f t="shared" si="5"/>
        <v>555159</v>
      </c>
      <c r="I7" s="411">
        <f t="shared" si="5"/>
        <v>-1119</v>
      </c>
      <c r="J7" s="408">
        <f t="shared" si="5"/>
        <v>202231</v>
      </c>
      <c r="K7" s="439">
        <f>K21</f>
        <v>3129866</v>
      </c>
      <c r="L7" s="408">
        <f>L21</f>
        <v>272770</v>
      </c>
      <c r="M7" s="439">
        <f>M21</f>
        <v>3114672</v>
      </c>
      <c r="N7" s="408">
        <f>N21</f>
        <v>2729614</v>
      </c>
      <c r="O7" s="439">
        <f>O21</f>
        <v>-112288</v>
      </c>
      <c r="P7" s="77">
        <v>2</v>
      </c>
      <c r="Q7" s="314">
        <f>(C7-'22R3'!C7)/'22R3'!C7*100</f>
        <v>54.241878770048949</v>
      </c>
      <c r="R7" s="394">
        <f t="shared" si="3"/>
        <v>3402636</v>
      </c>
      <c r="S7" s="394">
        <f t="shared" si="4"/>
        <v>0</v>
      </c>
      <c r="T7" s="49">
        <f>民間設備製造1!S9</f>
        <v>117843</v>
      </c>
      <c r="U7" s="49">
        <v>2764914</v>
      </c>
    </row>
    <row r="8" spans="1:21">
      <c r="A8" s="298">
        <v>3</v>
      </c>
      <c r="B8" s="75" t="s">
        <v>192</v>
      </c>
      <c r="C8" s="413">
        <f t="shared" ref="C8:J8" si="6">C27</f>
        <v>3646400</v>
      </c>
      <c r="D8" s="439">
        <f t="shared" si="6"/>
        <v>1986167</v>
      </c>
      <c r="E8" s="408">
        <f t="shared" si="6"/>
        <v>343952</v>
      </c>
      <c r="F8" s="439">
        <f t="shared" si="6"/>
        <v>1063431</v>
      </c>
      <c r="G8" s="408">
        <f t="shared" si="6"/>
        <v>110200</v>
      </c>
      <c r="H8" s="439">
        <f t="shared" si="6"/>
        <v>954526</v>
      </c>
      <c r="I8" s="411">
        <f t="shared" si="6"/>
        <v>-1295</v>
      </c>
      <c r="J8" s="408">
        <f t="shared" si="6"/>
        <v>79943</v>
      </c>
      <c r="K8" s="439">
        <f>K27</f>
        <v>3473493</v>
      </c>
      <c r="L8" s="408">
        <f>L27</f>
        <v>172907</v>
      </c>
      <c r="M8" s="439">
        <f>M27</f>
        <v>3429914</v>
      </c>
      <c r="N8" s="408">
        <f>N27</f>
        <v>3159992</v>
      </c>
      <c r="O8" s="439">
        <f>O27</f>
        <v>-97015</v>
      </c>
      <c r="P8" s="77">
        <v>3</v>
      </c>
      <c r="Q8" s="314">
        <f>(C8-'22R3'!C8)/'22R3'!C8*100</f>
        <v>23.181157444801741</v>
      </c>
      <c r="R8" s="394">
        <f t="shared" si="3"/>
        <v>3646400</v>
      </c>
      <c r="S8" s="394">
        <f t="shared" si="4"/>
        <v>0</v>
      </c>
      <c r="T8" s="49">
        <f>民間設備製造1!S10</f>
        <v>392618</v>
      </c>
      <c r="U8" s="49">
        <v>3200858</v>
      </c>
    </row>
    <row r="9" spans="1:21">
      <c r="A9" s="298">
        <v>4</v>
      </c>
      <c r="B9" s="75" t="s">
        <v>325</v>
      </c>
      <c r="C9" s="413">
        <f t="shared" ref="C9:J9" si="7">C33</f>
        <v>1250042</v>
      </c>
      <c r="D9" s="439">
        <f t="shared" si="7"/>
        <v>688840</v>
      </c>
      <c r="E9" s="408">
        <f t="shared" si="7"/>
        <v>161627</v>
      </c>
      <c r="F9" s="439">
        <f t="shared" si="7"/>
        <v>323645</v>
      </c>
      <c r="G9" s="408">
        <f t="shared" si="7"/>
        <v>26173</v>
      </c>
      <c r="H9" s="439">
        <f t="shared" si="7"/>
        <v>297937</v>
      </c>
      <c r="I9" s="411">
        <f t="shared" si="7"/>
        <v>-465</v>
      </c>
      <c r="J9" s="408">
        <f t="shared" si="7"/>
        <v>42598</v>
      </c>
      <c r="K9" s="439">
        <f>K33</f>
        <v>1216710</v>
      </c>
      <c r="L9" s="408">
        <f>L33</f>
        <v>33332</v>
      </c>
      <c r="M9" s="439">
        <f>M33</f>
        <v>1161464</v>
      </c>
      <c r="N9" s="408">
        <f>N33</f>
        <v>1135451</v>
      </c>
      <c r="O9" s="439">
        <f>O33</f>
        <v>7319</v>
      </c>
      <c r="P9" s="77">
        <v>4</v>
      </c>
      <c r="Q9" s="314">
        <f>(C9-'22R3'!C9)/'22R3'!C9*100</f>
        <v>-5.2949697408654384</v>
      </c>
      <c r="R9" s="394">
        <f t="shared" si="3"/>
        <v>1250042</v>
      </c>
      <c r="S9" s="394">
        <f t="shared" si="4"/>
        <v>0</v>
      </c>
      <c r="T9" s="49">
        <f>民間設備製造1!S11</f>
        <v>105029</v>
      </c>
      <c r="U9" s="49">
        <v>1150135</v>
      </c>
    </row>
    <row r="10" spans="1:21">
      <c r="A10" s="298">
        <v>5</v>
      </c>
      <c r="B10" s="75" t="s">
        <v>326</v>
      </c>
      <c r="C10" s="413">
        <f t="shared" ref="C10:J10" si="8">C40</f>
        <v>2726270</v>
      </c>
      <c r="D10" s="439">
        <f t="shared" si="8"/>
        <v>1458805</v>
      </c>
      <c r="E10" s="408">
        <f t="shared" si="8"/>
        <v>299756</v>
      </c>
      <c r="F10" s="439">
        <f t="shared" si="8"/>
        <v>828239</v>
      </c>
      <c r="G10" s="408">
        <f t="shared" si="8"/>
        <v>92734</v>
      </c>
      <c r="H10" s="439">
        <f t="shared" si="8"/>
        <v>736505</v>
      </c>
      <c r="I10" s="411">
        <f t="shared" si="8"/>
        <v>-1000</v>
      </c>
      <c r="J10" s="408">
        <f t="shared" si="8"/>
        <v>48461</v>
      </c>
      <c r="K10" s="439">
        <f>K40</f>
        <v>2635261</v>
      </c>
      <c r="L10" s="408">
        <f>L40</f>
        <v>91009</v>
      </c>
      <c r="M10" s="439">
        <f>M40</f>
        <v>2553036</v>
      </c>
      <c r="N10" s="408">
        <f>N40</f>
        <v>2439209</v>
      </c>
      <c r="O10" s="439">
        <f>O40</f>
        <v>-22818</v>
      </c>
      <c r="P10" s="77">
        <v>5</v>
      </c>
      <c r="Q10" s="314">
        <f>(C10-'22R3'!C10)/'22R3'!C10*100</f>
        <v>-3.4145218146068412</v>
      </c>
      <c r="R10" s="394">
        <f t="shared" si="3"/>
        <v>2726270</v>
      </c>
      <c r="S10" s="394">
        <f t="shared" si="4"/>
        <v>0</v>
      </c>
      <c r="T10" s="49">
        <f>民間設備製造1!S12</f>
        <v>297837</v>
      </c>
      <c r="U10" s="49">
        <v>2470755</v>
      </c>
    </row>
    <row r="11" spans="1:21">
      <c r="A11" s="298">
        <v>6</v>
      </c>
      <c r="B11" s="75" t="s">
        <v>327</v>
      </c>
      <c r="C11" s="413">
        <f t="shared" ref="C11:J11" si="9">C45</f>
        <v>1083061</v>
      </c>
      <c r="D11" s="439">
        <f t="shared" si="9"/>
        <v>610895</v>
      </c>
      <c r="E11" s="408">
        <f t="shared" si="9"/>
        <v>147360</v>
      </c>
      <c r="F11" s="439">
        <f t="shared" si="9"/>
        <v>285016</v>
      </c>
      <c r="G11" s="408">
        <f t="shared" si="9"/>
        <v>21845</v>
      </c>
      <c r="H11" s="439">
        <f t="shared" si="9"/>
        <v>263591</v>
      </c>
      <c r="I11" s="411">
        <f t="shared" si="9"/>
        <v>-420</v>
      </c>
      <c r="J11" s="408">
        <f t="shared" si="9"/>
        <v>31938</v>
      </c>
      <c r="K11" s="439">
        <f>K45</f>
        <v>1075209</v>
      </c>
      <c r="L11" s="408">
        <f>L45</f>
        <v>7852</v>
      </c>
      <c r="M11" s="439">
        <f>M45</f>
        <v>1044256</v>
      </c>
      <c r="N11" s="408">
        <f>N45</f>
        <v>1024414</v>
      </c>
      <c r="O11" s="439">
        <f>O45</f>
        <v>-11990</v>
      </c>
      <c r="P11" s="77">
        <v>6</v>
      </c>
      <c r="Q11" s="314">
        <f>(C11-'22R3'!C11)/'22R3'!C11*100</f>
        <v>-3.9197300323088302</v>
      </c>
      <c r="R11" s="394">
        <f>D11+E11+F11+J11+L11</f>
        <v>1083061</v>
      </c>
      <c r="S11" s="394">
        <f t="shared" si="4"/>
        <v>0</v>
      </c>
      <c r="T11" s="49">
        <f>民間設備製造1!S13</f>
        <v>90149</v>
      </c>
      <c r="U11" s="49">
        <v>1037662</v>
      </c>
    </row>
    <row r="12" spans="1:21">
      <c r="A12" s="298">
        <v>7</v>
      </c>
      <c r="B12" s="75" t="s">
        <v>210</v>
      </c>
      <c r="C12" s="413">
        <f t="shared" ref="C12:J12" si="10">C53</f>
        <v>705806</v>
      </c>
      <c r="D12" s="439">
        <f t="shared" si="10"/>
        <v>397450</v>
      </c>
      <c r="E12" s="408">
        <f t="shared" si="10"/>
        <v>140565</v>
      </c>
      <c r="F12" s="439">
        <f t="shared" si="10"/>
        <v>162708</v>
      </c>
      <c r="G12" s="408">
        <f t="shared" si="10"/>
        <v>11225</v>
      </c>
      <c r="H12" s="439">
        <f t="shared" si="10"/>
        <v>151776</v>
      </c>
      <c r="I12" s="411">
        <f t="shared" si="10"/>
        <v>-293</v>
      </c>
      <c r="J12" s="408">
        <f t="shared" si="10"/>
        <v>23204</v>
      </c>
      <c r="K12" s="439">
        <f>K53</f>
        <v>723927</v>
      </c>
      <c r="L12" s="408">
        <f>L53</f>
        <v>-18121</v>
      </c>
      <c r="M12" s="439">
        <f>M53</f>
        <v>738615</v>
      </c>
      <c r="N12" s="408">
        <f>N53</f>
        <v>711961</v>
      </c>
      <c r="O12" s="439">
        <f>O53</f>
        <v>-44775</v>
      </c>
      <c r="P12" s="77">
        <v>7</v>
      </c>
      <c r="Q12" s="314">
        <f>(C12-'22R3'!C12)/'22R3'!C12*100</f>
        <v>16.762120294731687</v>
      </c>
      <c r="R12" s="394">
        <f t="shared" si="3"/>
        <v>705806</v>
      </c>
      <c r="S12" s="394">
        <f t="shared" si="4"/>
        <v>0</v>
      </c>
      <c r="T12" s="49">
        <f>民間設備製造1!S14</f>
        <v>34544</v>
      </c>
      <c r="U12" s="49">
        <v>721168</v>
      </c>
    </row>
    <row r="13" spans="1:21">
      <c r="A13" s="298">
        <v>8</v>
      </c>
      <c r="B13" s="75" t="s">
        <v>211</v>
      </c>
      <c r="C13" s="413">
        <f t="shared" ref="C13:J13" si="11">C59</f>
        <v>458923</v>
      </c>
      <c r="D13" s="439">
        <f t="shared" si="11"/>
        <v>270760</v>
      </c>
      <c r="E13" s="408">
        <f t="shared" si="11"/>
        <v>80164</v>
      </c>
      <c r="F13" s="439">
        <f t="shared" si="11"/>
        <v>103369</v>
      </c>
      <c r="G13" s="408">
        <f t="shared" si="11"/>
        <v>9992</v>
      </c>
      <c r="H13" s="439">
        <f t="shared" si="11"/>
        <v>93561</v>
      </c>
      <c r="I13" s="411">
        <f t="shared" si="11"/>
        <v>-184</v>
      </c>
      <c r="J13" s="408">
        <f t="shared" si="11"/>
        <v>7936</v>
      </c>
      <c r="K13" s="439">
        <f>K59</f>
        <v>462229</v>
      </c>
      <c r="L13" s="408">
        <f>L59</f>
        <v>-3306</v>
      </c>
      <c r="M13" s="439">
        <f>M59</f>
        <v>455309</v>
      </c>
      <c r="N13" s="408">
        <f>N59</f>
        <v>446863</v>
      </c>
      <c r="O13" s="439">
        <f>O59</f>
        <v>-11752</v>
      </c>
      <c r="P13" s="77">
        <v>8</v>
      </c>
      <c r="Q13" s="314">
        <f>(C13-'22R3'!C13)/'22R3'!C13*100</f>
        <v>-0.24584070565629251</v>
      </c>
      <c r="R13" s="394">
        <f t="shared" si="3"/>
        <v>458923</v>
      </c>
      <c r="S13" s="394">
        <f t="shared" si="4"/>
        <v>0</v>
      </c>
      <c r="T13" s="49">
        <f>民間設備製造1!S15</f>
        <v>21533</v>
      </c>
      <c r="U13" s="49">
        <v>452642</v>
      </c>
    </row>
    <row r="14" spans="1:21">
      <c r="A14" s="298">
        <v>9</v>
      </c>
      <c r="B14" s="75" t="s">
        <v>212</v>
      </c>
      <c r="C14" s="413">
        <f t="shared" ref="C14:J14" si="12">C62</f>
        <v>543972</v>
      </c>
      <c r="D14" s="439">
        <f t="shared" si="12"/>
        <v>314876</v>
      </c>
      <c r="E14" s="408">
        <f t="shared" si="12"/>
        <v>109813</v>
      </c>
      <c r="F14" s="439">
        <f t="shared" si="12"/>
        <v>118158</v>
      </c>
      <c r="G14" s="408">
        <f t="shared" si="12"/>
        <v>15290</v>
      </c>
      <c r="H14" s="439">
        <f t="shared" si="12"/>
        <v>103097</v>
      </c>
      <c r="I14" s="411">
        <f t="shared" si="12"/>
        <v>-229</v>
      </c>
      <c r="J14" s="408">
        <f t="shared" si="12"/>
        <v>20745</v>
      </c>
      <c r="K14" s="439">
        <f>K62</f>
        <v>563592</v>
      </c>
      <c r="L14" s="408">
        <f>L62</f>
        <v>-19620</v>
      </c>
      <c r="M14" s="439">
        <f>M62</f>
        <v>574653</v>
      </c>
      <c r="N14" s="408">
        <f>N62</f>
        <v>559800</v>
      </c>
      <c r="O14" s="439">
        <f>O62</f>
        <v>-34473</v>
      </c>
      <c r="P14" s="77">
        <v>9</v>
      </c>
      <c r="Q14" s="314">
        <f>(C14-'22R3'!C14)/'22R3'!C14*100</f>
        <v>20.312918158675249</v>
      </c>
      <c r="R14" s="394">
        <f t="shared" si="3"/>
        <v>543972</v>
      </c>
      <c r="S14" s="394">
        <f t="shared" si="4"/>
        <v>0</v>
      </c>
      <c r="T14" s="49">
        <f>民間設備製造1!S16</f>
        <v>15147</v>
      </c>
      <c r="U14" s="49">
        <v>567041</v>
      </c>
    </row>
    <row r="15" spans="1:21">
      <c r="A15" s="298"/>
      <c r="B15" s="87"/>
      <c r="C15" s="413" t="s">
        <v>11</v>
      </c>
      <c r="D15" s="439" t="s">
        <v>11</v>
      </c>
      <c r="E15" s="408" t="s">
        <v>11</v>
      </c>
      <c r="F15" s="1355"/>
      <c r="G15" s="408" t="s">
        <v>11</v>
      </c>
      <c r="H15" s="439" t="s">
        <v>11</v>
      </c>
      <c r="I15" s="411" t="s">
        <v>11</v>
      </c>
      <c r="J15" s="408" t="s">
        <v>11</v>
      </c>
      <c r="K15" s="439" t="s">
        <v>11</v>
      </c>
      <c r="L15" s="281" t="s">
        <v>11</v>
      </c>
      <c r="M15" s="1094" t="s">
        <v>11</v>
      </c>
      <c r="N15" s="281" t="s">
        <v>11</v>
      </c>
      <c r="O15" s="1094" t="str">
        <f>'12H23'!O15</f>
        <v>　</v>
      </c>
      <c r="P15" s="77" t="s">
        <v>11</v>
      </c>
      <c r="Q15" s="314" t="s">
        <v>11</v>
      </c>
      <c r="R15" s="394" t="s">
        <v>11</v>
      </c>
      <c r="S15" s="394" t="s">
        <v>11</v>
      </c>
      <c r="T15" s="49" t="s">
        <v>11</v>
      </c>
      <c r="U15" s="49" t="s">
        <v>106</v>
      </c>
    </row>
    <row r="16" spans="1:21">
      <c r="A16" s="299">
        <v>100</v>
      </c>
      <c r="B16" s="305" t="s">
        <v>172</v>
      </c>
      <c r="C16" s="412">
        <f t="shared" ref="C16:C65" si="13">K16+L16</f>
        <v>7474528.0295241382</v>
      </c>
      <c r="D16" s="547">
        <f>民間消費!W18</f>
        <v>4444399</v>
      </c>
      <c r="E16" s="544">
        <f>政府消費!W18</f>
        <v>1122755</v>
      </c>
      <c r="F16" s="1887">
        <f t="shared" ref="F16:F65" si="14">G16+H16+I16</f>
        <v>1472676</v>
      </c>
      <c r="G16" s="560">
        <f>民間住宅1!W18</f>
        <v>201966</v>
      </c>
      <c r="H16" s="547">
        <f>民間設備投資計!W18</f>
        <v>1273504</v>
      </c>
      <c r="I16" s="547">
        <f>民間在庫品増加!W18</f>
        <v>-2794</v>
      </c>
      <c r="J16" s="557">
        <f>公的投資!W18</f>
        <v>260758</v>
      </c>
      <c r="K16" s="410">
        <f t="shared" ref="K16:K65" si="15">D16+E16+F16+J16</f>
        <v>7300588</v>
      </c>
      <c r="L16" s="1886">
        <f>M16-N16+O16</f>
        <v>173940.0295241382</v>
      </c>
      <c r="M16" s="1126">
        <f>移出入推計WS!GX18+移出入推計WS!GZ18+移出入推計WS!HA18</f>
        <v>7233706.0295241382</v>
      </c>
      <c r="N16" s="1405">
        <f>移出入推計WS!GY18</f>
        <v>6830329</v>
      </c>
      <c r="O16" s="2003">
        <f>'24R5'!O16</f>
        <v>-229437</v>
      </c>
      <c r="P16" s="293">
        <v>100</v>
      </c>
      <c r="Q16" s="314">
        <f>(C16-'22R3'!C16)/'22R3'!C16*100</f>
        <v>7.5782784592974108</v>
      </c>
      <c r="R16" s="394">
        <f t="shared" si="3"/>
        <v>7474528.0295241382</v>
      </c>
      <c r="S16" s="394">
        <f t="shared" si="4"/>
        <v>0</v>
      </c>
      <c r="T16" s="49">
        <f>民間設備製造1!S18</f>
        <v>202112</v>
      </c>
      <c r="U16" s="49">
        <v>6918660</v>
      </c>
    </row>
    <row r="17" spans="1:21">
      <c r="A17" s="300">
        <v>1</v>
      </c>
      <c r="B17" s="65" t="s">
        <v>182</v>
      </c>
      <c r="C17" s="413">
        <f>SUM(C18:C20)</f>
        <v>4658812</v>
      </c>
      <c r="D17" s="546">
        <f>民間消費!W19</f>
        <v>2929962</v>
      </c>
      <c r="E17" s="538">
        <f>政府消費!W19</f>
        <v>536069</v>
      </c>
      <c r="F17" s="413">
        <f>SUM(F18:F20)</f>
        <v>920841</v>
      </c>
      <c r="G17" s="561">
        <f>民間住宅1!W19</f>
        <v>175213</v>
      </c>
      <c r="H17" s="546">
        <f>民間設備投資計!W19</f>
        <v>747319</v>
      </c>
      <c r="I17" s="546">
        <f>民間在庫品増加!W19</f>
        <v>-1691</v>
      </c>
      <c r="J17" s="558">
        <f>公的投資!W19</f>
        <v>96983</v>
      </c>
      <c r="K17" s="411">
        <f>SUM(K18:K20)</f>
        <v>4483855</v>
      </c>
      <c r="L17" s="408">
        <f t="shared" ref="L17" si="16">SUM(L18:L20)</f>
        <v>174957</v>
      </c>
      <c r="M17" s="1127">
        <f>移出入推計WS!GX19+移出入推計WS!GZ19+移出入推計WS!HA19</f>
        <v>4470025</v>
      </c>
      <c r="N17" s="2006">
        <f>移出入推計WS!GY19</f>
        <v>4126005</v>
      </c>
      <c r="O17" s="2004">
        <f>'24R5'!O17</f>
        <v>-169063</v>
      </c>
      <c r="P17" s="293">
        <v>1</v>
      </c>
      <c r="Q17" s="314">
        <f>(C17-'22R3'!C17)/'22R3'!C17*100</f>
        <v>26.044106124816569</v>
      </c>
      <c r="R17" s="394">
        <f t="shared" si="3"/>
        <v>4658812</v>
      </c>
      <c r="S17" s="394">
        <f t="shared" si="4"/>
        <v>0</v>
      </c>
      <c r="T17" s="49">
        <f>民間設備製造1!S19</f>
        <v>103127</v>
      </c>
      <c r="U17" s="49">
        <v>4179364</v>
      </c>
    </row>
    <row r="18" spans="1:21">
      <c r="A18" s="300">
        <v>202</v>
      </c>
      <c r="B18" s="90" t="s">
        <v>183</v>
      </c>
      <c r="C18" s="413">
        <f t="shared" si="13"/>
        <v>2216364</v>
      </c>
      <c r="D18" s="546">
        <f>民間消費!W20</f>
        <v>1363245</v>
      </c>
      <c r="E18" s="538">
        <f>政府消費!W20</f>
        <v>209338</v>
      </c>
      <c r="F18" s="1888">
        <f t="shared" si="14"/>
        <v>486854</v>
      </c>
      <c r="G18" s="561">
        <f>民間住宅1!W20</f>
        <v>93573</v>
      </c>
      <c r="H18" s="546">
        <f>民間設備投資計!W20</f>
        <v>394059</v>
      </c>
      <c r="I18" s="546">
        <f>民間在庫品増加!W20</f>
        <v>-778</v>
      </c>
      <c r="J18" s="558">
        <f>公的投資!W20</f>
        <v>39752</v>
      </c>
      <c r="K18" s="411">
        <f t="shared" si="15"/>
        <v>2099189</v>
      </c>
      <c r="L18" s="1336">
        <f t="shared" ref="L18:L65" si="17">M18-N18+O18</f>
        <v>117175</v>
      </c>
      <c r="M18" s="1127">
        <f>移出入推計WS!GX20+移出入推計WS!GZ20+移出入推計WS!HA20</f>
        <v>2035877</v>
      </c>
      <c r="N18" s="2006">
        <f>移出入推計WS!GY20</f>
        <v>1898267</v>
      </c>
      <c r="O18" s="2004">
        <f>'24R5'!O18</f>
        <v>-20435</v>
      </c>
      <c r="P18" s="293">
        <v>202</v>
      </c>
      <c r="Q18" s="314">
        <f>(C18-'22R3'!C18)/'22R3'!C18*100</f>
        <v>10.17182192079072</v>
      </c>
      <c r="R18" s="394">
        <f t="shared" si="3"/>
        <v>2216364</v>
      </c>
      <c r="S18" s="394">
        <f t="shared" si="4"/>
        <v>0</v>
      </c>
      <c r="T18" s="49">
        <f>民間設備製造1!S20</f>
        <v>88650</v>
      </c>
      <c r="U18" s="49">
        <v>1922816</v>
      </c>
    </row>
    <row r="19" spans="1:21">
      <c r="A19" s="300">
        <v>204</v>
      </c>
      <c r="B19" s="90" t="s">
        <v>184</v>
      </c>
      <c r="C19" s="413">
        <f t="shared" si="13"/>
        <v>2019889</v>
      </c>
      <c r="D19" s="546">
        <f>民間消費!W21</f>
        <v>1296235</v>
      </c>
      <c r="E19" s="538">
        <f>政府消費!W21</f>
        <v>265497</v>
      </c>
      <c r="F19" s="1888">
        <f t="shared" si="14"/>
        <v>366474</v>
      </c>
      <c r="G19" s="561">
        <f>民間住宅1!W21</f>
        <v>74297</v>
      </c>
      <c r="H19" s="546">
        <f>民間設備投資計!W21</f>
        <v>292926</v>
      </c>
      <c r="I19" s="546">
        <f>民間在庫品増加!W21</f>
        <v>-749</v>
      </c>
      <c r="J19" s="558">
        <f>公的投資!W21</f>
        <v>36027</v>
      </c>
      <c r="K19" s="411">
        <f t="shared" si="15"/>
        <v>1964233</v>
      </c>
      <c r="L19" s="1336">
        <f t="shared" si="17"/>
        <v>55656</v>
      </c>
      <c r="M19" s="1127">
        <f>移出入推計WS!GX21+移出入推計WS!GZ21+移出入推計WS!HA21</f>
        <v>2002324</v>
      </c>
      <c r="N19" s="2006">
        <f>移出入推計WS!GY21</f>
        <v>1826999</v>
      </c>
      <c r="O19" s="2004">
        <f>'24R5'!O19</f>
        <v>-119669</v>
      </c>
      <c r="P19" s="293">
        <v>204</v>
      </c>
      <c r="Q19" s="314">
        <f>(C19-'22R3'!C19)/'22R3'!C19*100</f>
        <v>39.183855439287008</v>
      </c>
      <c r="R19" s="394">
        <f t="shared" si="3"/>
        <v>2019889</v>
      </c>
      <c r="S19" s="394">
        <f t="shared" si="4"/>
        <v>0</v>
      </c>
      <c r="T19" s="49">
        <f>民間設備製造1!S21</f>
        <v>14438</v>
      </c>
      <c r="U19" s="49">
        <v>1850626</v>
      </c>
    </row>
    <row r="20" spans="1:21">
      <c r="A20" s="300">
        <v>206</v>
      </c>
      <c r="B20" s="90" t="s">
        <v>185</v>
      </c>
      <c r="C20" s="413">
        <f t="shared" si="13"/>
        <v>422559</v>
      </c>
      <c r="D20" s="546">
        <f>民間消費!W22</f>
        <v>270482</v>
      </c>
      <c r="E20" s="538">
        <f>政府消費!W22</f>
        <v>61234</v>
      </c>
      <c r="F20" s="1888">
        <f t="shared" si="14"/>
        <v>67513</v>
      </c>
      <c r="G20" s="561">
        <f>民間住宅1!W22</f>
        <v>7343</v>
      </c>
      <c r="H20" s="546">
        <f>民間設備投資計!W22</f>
        <v>60334</v>
      </c>
      <c r="I20" s="546">
        <f>民間在庫品増加!W22</f>
        <v>-164</v>
      </c>
      <c r="J20" s="558">
        <f>公的投資!W22</f>
        <v>21204</v>
      </c>
      <c r="K20" s="411">
        <f t="shared" si="15"/>
        <v>420433</v>
      </c>
      <c r="L20" s="1336">
        <f t="shared" si="17"/>
        <v>2126</v>
      </c>
      <c r="M20" s="1127">
        <f>移出入推計WS!GX22+移出入推計WS!GZ22+移出入推計WS!HA22</f>
        <v>431824</v>
      </c>
      <c r="N20" s="2006">
        <f>移出入推計WS!GY22</f>
        <v>400739</v>
      </c>
      <c r="O20" s="2004">
        <f>'24R5'!O20</f>
        <v>-28959</v>
      </c>
      <c r="P20" s="293">
        <v>206</v>
      </c>
      <c r="Q20" s="314">
        <f>(C20-'22R3'!C20)/'22R3'!C20*100</f>
        <v>81.197149277027833</v>
      </c>
      <c r="R20" s="394">
        <f t="shared" si="3"/>
        <v>422559</v>
      </c>
      <c r="S20" s="394">
        <f t="shared" si="4"/>
        <v>0</v>
      </c>
      <c r="T20" s="49">
        <f>民間設備製造1!S22</f>
        <v>39</v>
      </c>
      <c r="U20" s="49">
        <v>405922</v>
      </c>
    </row>
    <row r="21" spans="1:21">
      <c r="A21" s="301">
        <v>2</v>
      </c>
      <c r="B21" s="128" t="s">
        <v>186</v>
      </c>
      <c r="C21" s="308">
        <f>SUM(C22:C26)</f>
        <v>3402636</v>
      </c>
      <c r="D21" s="546">
        <f>民間消費!W23</f>
        <v>1918658</v>
      </c>
      <c r="E21" s="538">
        <f>政府消費!W23</f>
        <v>358322</v>
      </c>
      <c r="F21" s="308">
        <f>SUM(F22:F26)</f>
        <v>650655</v>
      </c>
      <c r="G21" s="561">
        <f>民間住宅1!W23</f>
        <v>96615</v>
      </c>
      <c r="H21" s="546">
        <f>民間設備投資計!W23</f>
        <v>555159</v>
      </c>
      <c r="I21" s="546">
        <f>民間在庫品増加!W23</f>
        <v>-1119</v>
      </c>
      <c r="J21" s="558">
        <f>公的投資!W23</f>
        <v>202231</v>
      </c>
      <c r="K21" s="1997">
        <f>SUM(K22:K26)</f>
        <v>3129866</v>
      </c>
      <c r="L21" s="281">
        <f t="shared" ref="L21" si="18">SUM(L22:L26)</f>
        <v>272770</v>
      </c>
      <c r="M21" s="1127">
        <f>移出入推計WS!GX23+移出入推計WS!GZ23+移出入推計WS!HA23</f>
        <v>3114672</v>
      </c>
      <c r="N21" s="2006">
        <f>移出入推計WS!GY23</f>
        <v>2729614</v>
      </c>
      <c r="O21" s="2004">
        <f>'24R5'!O21</f>
        <v>-112288</v>
      </c>
      <c r="P21" s="293">
        <v>2</v>
      </c>
      <c r="Q21" s="314">
        <f>(C21-'22R3'!C21)/'22R3'!C21*100</f>
        <v>54.241878770048949</v>
      </c>
      <c r="R21" s="394">
        <f t="shared" si="3"/>
        <v>3402636</v>
      </c>
      <c r="S21" s="394">
        <f t="shared" si="4"/>
        <v>0</v>
      </c>
      <c r="T21" s="49">
        <f>民間設備製造1!S23</f>
        <v>117843</v>
      </c>
      <c r="U21" s="49">
        <v>2764914</v>
      </c>
    </row>
    <row r="22" spans="1:21">
      <c r="A22" s="300">
        <v>207</v>
      </c>
      <c r="B22" s="90" t="s">
        <v>187</v>
      </c>
      <c r="C22" s="413">
        <f t="shared" si="13"/>
        <v>956710</v>
      </c>
      <c r="D22" s="546">
        <f>民間消費!W24</f>
        <v>550408</v>
      </c>
      <c r="E22" s="538">
        <f>政府消費!W24</f>
        <v>94189</v>
      </c>
      <c r="F22" s="1888">
        <f t="shared" si="14"/>
        <v>231437</v>
      </c>
      <c r="G22" s="561">
        <f>民間住宅1!W24</f>
        <v>30238</v>
      </c>
      <c r="H22" s="546">
        <f>民間設備投資計!W24</f>
        <v>201530</v>
      </c>
      <c r="I22" s="546">
        <f>民間在庫品増加!W24</f>
        <v>-331</v>
      </c>
      <c r="J22" s="558">
        <f>公的投資!W24</f>
        <v>24310</v>
      </c>
      <c r="K22" s="411">
        <f t="shared" si="15"/>
        <v>900344</v>
      </c>
      <c r="L22" s="1336">
        <f t="shared" si="17"/>
        <v>56366</v>
      </c>
      <c r="M22" s="1127">
        <f>移出入推計WS!GX24+移出入推計WS!GZ24+移出入推計WS!HA24</f>
        <v>877740</v>
      </c>
      <c r="N22" s="2006">
        <f>移出入推計WS!GY24</f>
        <v>807908</v>
      </c>
      <c r="O22" s="2004">
        <f>'24R5'!O22</f>
        <v>-13466</v>
      </c>
      <c r="P22" s="293">
        <v>207</v>
      </c>
      <c r="Q22" s="314">
        <f>(C22-'22R3'!C22)/'22R3'!C22*100</f>
        <v>22.663463030180257</v>
      </c>
      <c r="R22" s="394">
        <f t="shared" si="3"/>
        <v>956710</v>
      </c>
      <c r="S22" s="394">
        <f t="shared" si="4"/>
        <v>0</v>
      </c>
      <c r="T22" s="49">
        <f>民間設備製造1!S24</f>
        <v>65698</v>
      </c>
      <c r="U22" s="49">
        <v>818356</v>
      </c>
    </row>
    <row r="23" spans="1:21">
      <c r="A23" s="300">
        <v>214</v>
      </c>
      <c r="B23" s="90" t="s">
        <v>188</v>
      </c>
      <c r="C23" s="413">
        <f t="shared" si="13"/>
        <v>939055</v>
      </c>
      <c r="D23" s="546">
        <f>民間消費!W25</f>
        <v>609721</v>
      </c>
      <c r="E23" s="538">
        <f>政府消費!W25</f>
        <v>110526</v>
      </c>
      <c r="F23" s="1888">
        <f t="shared" si="14"/>
        <v>157582</v>
      </c>
      <c r="G23" s="561">
        <f>民間住宅1!W25</f>
        <v>27511</v>
      </c>
      <c r="H23" s="546">
        <f>民間設備投資計!W25</f>
        <v>130410</v>
      </c>
      <c r="I23" s="546">
        <f>民間在庫品増加!W25</f>
        <v>-339</v>
      </c>
      <c r="J23" s="558">
        <f>公的投資!W25</f>
        <v>23693</v>
      </c>
      <c r="K23" s="411">
        <f t="shared" si="15"/>
        <v>901522</v>
      </c>
      <c r="L23" s="1336">
        <f t="shared" si="17"/>
        <v>37533</v>
      </c>
      <c r="M23" s="1127">
        <f>移出入推計WS!GX25+移出入推計WS!GZ25+移出入推計WS!HA25</f>
        <v>928635</v>
      </c>
      <c r="N23" s="2006">
        <f>移出入推計WS!GY25</f>
        <v>826229</v>
      </c>
      <c r="O23" s="2004">
        <f>'24R5'!O23</f>
        <v>-64873</v>
      </c>
      <c r="P23" s="293">
        <v>214</v>
      </c>
      <c r="Q23" s="314">
        <f>(C23-'22R3'!C23)/'22R3'!C23*100</f>
        <v>88.858408734843437</v>
      </c>
      <c r="R23" s="394">
        <f t="shared" si="3"/>
        <v>939055</v>
      </c>
      <c r="S23" s="394">
        <f t="shared" si="4"/>
        <v>0</v>
      </c>
      <c r="T23" s="49">
        <f>民間設備製造1!S25</f>
        <v>5148</v>
      </c>
      <c r="U23" s="49">
        <v>836914</v>
      </c>
    </row>
    <row r="24" spans="1:21">
      <c r="A24" s="300">
        <v>217</v>
      </c>
      <c r="B24" s="90" t="s">
        <v>189</v>
      </c>
      <c r="C24" s="413">
        <f t="shared" si="13"/>
        <v>630372</v>
      </c>
      <c r="D24" s="546">
        <f>民間消費!W26</f>
        <v>411832</v>
      </c>
      <c r="E24" s="538">
        <f>政府消費!W26</f>
        <v>74007</v>
      </c>
      <c r="F24" s="1888">
        <f t="shared" si="14"/>
        <v>109256</v>
      </c>
      <c r="G24" s="561">
        <f>民間住宅1!W26</f>
        <v>20928</v>
      </c>
      <c r="H24" s="546">
        <f>民間設備投資計!W26</f>
        <v>88555</v>
      </c>
      <c r="I24" s="546">
        <f>民間在庫品増加!W26</f>
        <v>-227</v>
      </c>
      <c r="J24" s="558">
        <f>公的投資!W26</f>
        <v>9442</v>
      </c>
      <c r="K24" s="411">
        <f t="shared" si="15"/>
        <v>604537</v>
      </c>
      <c r="L24" s="1336">
        <f t="shared" si="17"/>
        <v>25835</v>
      </c>
      <c r="M24" s="1127">
        <f>移出入推計WS!GX26+移出入推計WS!GZ26+移出入推計WS!HA26</f>
        <v>618953</v>
      </c>
      <c r="N24" s="2006">
        <f>移出入推計WS!GY26</f>
        <v>553505</v>
      </c>
      <c r="O24" s="2004">
        <f>'24R5'!O24</f>
        <v>-39613</v>
      </c>
      <c r="P24" s="293">
        <v>217</v>
      </c>
      <c r="Q24" s="314">
        <f>(C24-'22R3'!C24)/'22R3'!C24*100</f>
        <v>78.256492625101799</v>
      </c>
      <c r="R24" s="394">
        <f t="shared" si="3"/>
        <v>630372</v>
      </c>
      <c r="S24" s="394">
        <f t="shared" si="4"/>
        <v>0</v>
      </c>
      <c r="T24" s="49">
        <f>民間設備製造1!S26</f>
        <v>4112</v>
      </c>
      <c r="U24" s="49">
        <v>560663</v>
      </c>
    </row>
    <row r="25" spans="1:21">
      <c r="A25" s="300">
        <v>219</v>
      </c>
      <c r="B25" s="90" t="s">
        <v>190</v>
      </c>
      <c r="C25" s="413">
        <f t="shared" si="13"/>
        <v>515372</v>
      </c>
      <c r="D25" s="546">
        <f>民間消費!W27</f>
        <v>276475</v>
      </c>
      <c r="E25" s="538">
        <f>政府消費!W27</f>
        <v>59656</v>
      </c>
      <c r="F25" s="1888">
        <f t="shared" si="14"/>
        <v>134761</v>
      </c>
      <c r="G25" s="561">
        <f>民間住宅1!W27</f>
        <v>17073</v>
      </c>
      <c r="H25" s="546">
        <f>民間設備投資計!W27</f>
        <v>117867</v>
      </c>
      <c r="I25" s="546">
        <f>民間在庫品増加!W27</f>
        <v>-179</v>
      </c>
      <c r="J25" s="558">
        <f>公的投資!W27</f>
        <v>14243</v>
      </c>
      <c r="K25" s="411">
        <f t="shared" si="15"/>
        <v>485135</v>
      </c>
      <c r="L25" s="1336">
        <f t="shared" si="17"/>
        <v>30237</v>
      </c>
      <c r="M25" s="1127">
        <f>移出入推計WS!GX27+移出入推計WS!GZ27+移出入推計WS!HA27</f>
        <v>451232</v>
      </c>
      <c r="N25" s="2006">
        <f>移出入推計WS!GY27</f>
        <v>436180</v>
      </c>
      <c r="O25" s="2004">
        <f>'24R5'!O25</f>
        <v>15185</v>
      </c>
      <c r="P25" s="293">
        <v>219</v>
      </c>
      <c r="Q25" s="314">
        <f>(C25-'22R3'!C25)/'22R3'!C25*100</f>
        <v>0.86209089823804674</v>
      </c>
      <c r="R25" s="394">
        <f t="shared" si="3"/>
        <v>515372</v>
      </c>
      <c r="S25" s="394">
        <f t="shared" si="4"/>
        <v>0</v>
      </c>
      <c r="T25" s="49">
        <f>民間設備製造1!S27</f>
        <v>42260</v>
      </c>
      <c r="U25" s="49">
        <v>441821</v>
      </c>
    </row>
    <row r="26" spans="1:21">
      <c r="A26" s="302">
        <v>301</v>
      </c>
      <c r="B26" s="201" t="s">
        <v>191</v>
      </c>
      <c r="C26" s="413">
        <f t="shared" si="13"/>
        <v>361127</v>
      </c>
      <c r="D26" s="546">
        <f>民間消費!W28</f>
        <v>70222</v>
      </c>
      <c r="E26" s="538">
        <f>政府消費!W28</f>
        <v>19944</v>
      </c>
      <c r="F26" s="1888">
        <f t="shared" si="14"/>
        <v>17619</v>
      </c>
      <c r="G26" s="561">
        <f>民間住宅1!W28</f>
        <v>865</v>
      </c>
      <c r="H26" s="546">
        <f>民間設備投資計!W28</f>
        <v>16797</v>
      </c>
      <c r="I26" s="546">
        <f>民間在庫品増加!W28</f>
        <v>-43</v>
      </c>
      <c r="J26" s="558">
        <f>公的投資!W28</f>
        <v>130543</v>
      </c>
      <c r="K26" s="411">
        <f t="shared" si="15"/>
        <v>238328</v>
      </c>
      <c r="L26" s="1336">
        <f t="shared" si="17"/>
        <v>122799</v>
      </c>
      <c r="M26" s="1127">
        <f>移出入推計WS!GX28+移出入推計WS!GZ28+移出入推計WS!HA28</f>
        <v>238112</v>
      </c>
      <c r="N26" s="2006">
        <f>移出入推計WS!GY28</f>
        <v>105792</v>
      </c>
      <c r="O26" s="2004">
        <f>'24R5'!O26</f>
        <v>-9521</v>
      </c>
      <c r="P26" s="293">
        <v>301</v>
      </c>
      <c r="Q26" s="314">
        <f>(C26-'22R3'!C26)/'22R3'!C26*100</f>
        <v>461.92543491115055</v>
      </c>
      <c r="R26" s="394">
        <f t="shared" si="3"/>
        <v>361127</v>
      </c>
      <c r="S26" s="394">
        <f t="shared" si="4"/>
        <v>0</v>
      </c>
      <c r="T26" s="49">
        <f>民間設備製造1!S28</f>
        <v>625</v>
      </c>
      <c r="U26" s="49">
        <v>107160</v>
      </c>
    </row>
    <row r="27" spans="1:21">
      <c r="A27" s="300">
        <v>3</v>
      </c>
      <c r="B27" s="65" t="s">
        <v>192</v>
      </c>
      <c r="C27" s="308">
        <f>SUM(C28:C32)</f>
        <v>3646400</v>
      </c>
      <c r="D27" s="546">
        <f>民間消費!W29</f>
        <v>1986167</v>
      </c>
      <c r="E27" s="538">
        <f>政府消費!W29</f>
        <v>343952</v>
      </c>
      <c r="F27" s="308">
        <f>SUM(F28:F32)</f>
        <v>1063431</v>
      </c>
      <c r="G27" s="561">
        <f>民間住宅1!W29</f>
        <v>110200</v>
      </c>
      <c r="H27" s="546">
        <f>民間設備投資計!W29</f>
        <v>954526</v>
      </c>
      <c r="I27" s="546">
        <f>民間在庫品増加!W29</f>
        <v>-1295</v>
      </c>
      <c r="J27" s="558">
        <f>公的投資!W29</f>
        <v>79943</v>
      </c>
      <c r="K27" s="1997">
        <f>SUM(K28:K32)</f>
        <v>3473493</v>
      </c>
      <c r="L27" s="281">
        <f t="shared" ref="L27" si="19">SUM(L28:L32)</f>
        <v>172907</v>
      </c>
      <c r="M27" s="1127">
        <f>移出入推計WS!GX29+移出入推計WS!GZ29+移出入推計WS!HA29</f>
        <v>3429914</v>
      </c>
      <c r="N27" s="2006">
        <f>移出入推計WS!GY29</f>
        <v>3159992</v>
      </c>
      <c r="O27" s="2004">
        <f>'24R5'!O27</f>
        <v>-97015</v>
      </c>
      <c r="P27" s="293">
        <v>3</v>
      </c>
      <c r="Q27" s="314">
        <f>(C27-'22R3'!C27)/'22R3'!C27*100</f>
        <v>23.181157444801741</v>
      </c>
      <c r="R27" s="394">
        <f t="shared" si="3"/>
        <v>3646400</v>
      </c>
      <c r="S27" s="394">
        <f t="shared" si="4"/>
        <v>0</v>
      </c>
      <c r="T27" s="49">
        <f>民間設備製造1!S29</f>
        <v>392618</v>
      </c>
      <c r="U27" s="49">
        <v>3200858</v>
      </c>
    </row>
    <row r="28" spans="1:21">
      <c r="A28" s="300">
        <v>203</v>
      </c>
      <c r="B28" s="90" t="s">
        <v>193</v>
      </c>
      <c r="C28" s="413">
        <f t="shared" si="13"/>
        <v>1509306</v>
      </c>
      <c r="D28" s="546">
        <f>民間消費!W30</f>
        <v>877254</v>
      </c>
      <c r="E28" s="538">
        <f>政府消費!W30</f>
        <v>148210</v>
      </c>
      <c r="F28" s="1888">
        <f t="shared" si="14"/>
        <v>365721</v>
      </c>
      <c r="G28" s="561">
        <f>民間住宅1!W30</f>
        <v>56044</v>
      </c>
      <c r="H28" s="546">
        <f>民間設備投資計!W30</f>
        <v>310199</v>
      </c>
      <c r="I28" s="546">
        <f>民間在庫品増加!W30</f>
        <v>-522</v>
      </c>
      <c r="J28" s="558">
        <f>公的投資!W30</f>
        <v>30468</v>
      </c>
      <c r="K28" s="411">
        <f t="shared" si="15"/>
        <v>1421653</v>
      </c>
      <c r="L28" s="1336">
        <f t="shared" si="17"/>
        <v>87653</v>
      </c>
      <c r="M28" s="1127">
        <f>移出入推計WS!GX30+移出入推計WS!GZ30+移出入推計WS!HA30</f>
        <v>1442273</v>
      </c>
      <c r="N28" s="2006">
        <f>移出入推計WS!GY30</f>
        <v>1275186</v>
      </c>
      <c r="O28" s="2004">
        <f>'24R5'!O28</f>
        <v>-79434</v>
      </c>
      <c r="P28" s="293">
        <v>203</v>
      </c>
      <c r="Q28" s="314">
        <f>(C28-'22R3'!C28)/'22R3'!C28*100</f>
        <v>31.776606667644529</v>
      </c>
      <c r="R28" s="394">
        <f t="shared" si="3"/>
        <v>1509306</v>
      </c>
      <c r="S28" s="394">
        <f t="shared" si="4"/>
        <v>0</v>
      </c>
      <c r="T28" s="49">
        <f>民間設備製造1!S30</f>
        <v>96260</v>
      </c>
      <c r="U28" s="49">
        <v>1291677</v>
      </c>
    </row>
    <row r="29" spans="1:21">
      <c r="A29" s="300">
        <v>210</v>
      </c>
      <c r="B29" s="90" t="s">
        <v>194</v>
      </c>
      <c r="C29" s="413">
        <f t="shared" si="13"/>
        <v>1232680</v>
      </c>
      <c r="D29" s="546">
        <f>民間消費!W31</f>
        <v>695774</v>
      </c>
      <c r="E29" s="538">
        <f>政府消費!W31</f>
        <v>117402</v>
      </c>
      <c r="F29" s="1888">
        <f t="shared" si="14"/>
        <v>343520</v>
      </c>
      <c r="G29" s="561">
        <f>民間住宅1!W31</f>
        <v>33543</v>
      </c>
      <c r="H29" s="546">
        <f>民間設備投資計!W31</f>
        <v>310417</v>
      </c>
      <c r="I29" s="546">
        <f>民間在庫品増加!W31</f>
        <v>-440</v>
      </c>
      <c r="J29" s="558">
        <f>公的投資!W31</f>
        <v>20333</v>
      </c>
      <c r="K29" s="411">
        <f t="shared" si="15"/>
        <v>1177029</v>
      </c>
      <c r="L29" s="1336">
        <f t="shared" si="17"/>
        <v>55651</v>
      </c>
      <c r="M29" s="1127">
        <f>移出入推計WS!GX31+移出入推計WS!GZ31+移出入推計WS!HA31</f>
        <v>1170103</v>
      </c>
      <c r="N29" s="2006">
        <f>移出入推計WS!GY31</f>
        <v>1073477</v>
      </c>
      <c r="O29" s="2004">
        <f>'24R5'!O29</f>
        <v>-40975</v>
      </c>
      <c r="P29" s="293">
        <v>210</v>
      </c>
      <c r="Q29" s="314">
        <f>(C29-'22R3'!C29)/'22R3'!C29*100</f>
        <v>45.922807748583011</v>
      </c>
      <c r="R29" s="394">
        <f t="shared" si="3"/>
        <v>1232680</v>
      </c>
      <c r="S29" s="394">
        <f t="shared" si="4"/>
        <v>0</v>
      </c>
      <c r="T29" s="49">
        <f>民間設備製造1!S31</f>
        <v>119582</v>
      </c>
      <c r="U29" s="49">
        <v>1087360</v>
      </c>
    </row>
    <row r="30" spans="1:21">
      <c r="A30" s="300">
        <v>216</v>
      </c>
      <c r="B30" s="90" t="s">
        <v>195</v>
      </c>
      <c r="C30" s="413">
        <f t="shared" si="13"/>
        <v>581166</v>
      </c>
      <c r="D30" s="546">
        <f>民間消費!W32</f>
        <v>238716</v>
      </c>
      <c r="E30" s="538">
        <f>政府消費!W32</f>
        <v>48020</v>
      </c>
      <c r="F30" s="1888">
        <f t="shared" si="14"/>
        <v>248834</v>
      </c>
      <c r="G30" s="561">
        <f>民間住宅1!W32</f>
        <v>10202</v>
      </c>
      <c r="H30" s="546">
        <f>民間設備投資計!W32</f>
        <v>238842</v>
      </c>
      <c r="I30" s="546">
        <f>民間在庫品増加!W32</f>
        <v>-210</v>
      </c>
      <c r="J30" s="558">
        <f>公的投資!W32</f>
        <v>21988</v>
      </c>
      <c r="K30" s="411">
        <f t="shared" si="15"/>
        <v>557558</v>
      </c>
      <c r="L30" s="1336">
        <f t="shared" si="17"/>
        <v>23608</v>
      </c>
      <c r="M30" s="1127">
        <f>移出入推計WS!GX32+移出入推計WS!GZ32+移出入推計WS!HA32</f>
        <v>531856</v>
      </c>
      <c r="N30" s="2006">
        <f>移出入推計WS!GY32</f>
        <v>512000</v>
      </c>
      <c r="O30" s="2004">
        <f>'24R5'!O30</f>
        <v>3752</v>
      </c>
      <c r="P30" s="293">
        <v>216</v>
      </c>
      <c r="Q30" s="314">
        <f>(C30-'22R3'!C30)/'22R3'!C30*100</f>
        <v>5.3608075475529189</v>
      </c>
      <c r="R30" s="394">
        <f t="shared" si="3"/>
        <v>581166</v>
      </c>
      <c r="S30" s="394">
        <f t="shared" si="4"/>
        <v>0</v>
      </c>
      <c r="T30" s="49">
        <f>民間設備製造1!S32</f>
        <v>137373</v>
      </c>
      <c r="U30" s="49">
        <v>518621</v>
      </c>
    </row>
    <row r="31" spans="1:21">
      <c r="A31" s="300">
        <v>381</v>
      </c>
      <c r="B31" s="90" t="s">
        <v>196</v>
      </c>
      <c r="C31" s="413">
        <f t="shared" si="13"/>
        <v>136191</v>
      </c>
      <c r="D31" s="546">
        <f>民間消費!W33</f>
        <v>78890</v>
      </c>
      <c r="E31" s="538">
        <f>政府消費!W33</f>
        <v>13298</v>
      </c>
      <c r="F31" s="1888">
        <f t="shared" si="14"/>
        <v>39146</v>
      </c>
      <c r="G31" s="561">
        <f>民間住宅1!W33</f>
        <v>3986</v>
      </c>
      <c r="H31" s="546">
        <f>民間設備投資計!W33</f>
        <v>35213</v>
      </c>
      <c r="I31" s="546">
        <f>民間在庫品増加!W33</f>
        <v>-53</v>
      </c>
      <c r="J31" s="558">
        <f>公的投資!W33</f>
        <v>3511</v>
      </c>
      <c r="K31" s="411">
        <f t="shared" si="15"/>
        <v>134845</v>
      </c>
      <c r="L31" s="1336">
        <f t="shared" si="17"/>
        <v>1346</v>
      </c>
      <c r="M31" s="1127">
        <f>移出入推計WS!GX33+移出入推計WS!GZ33+移出入推計WS!HA33</f>
        <v>124008</v>
      </c>
      <c r="N31" s="2006">
        <f>移出入推計WS!GY33</f>
        <v>128344</v>
      </c>
      <c r="O31" s="2004">
        <f>'24R5'!O31</f>
        <v>5682</v>
      </c>
      <c r="P31" s="293">
        <v>381</v>
      </c>
      <c r="Q31" s="314">
        <f>(C31-'22R3'!C31)/'22R3'!C31*100</f>
        <v>-19.538824196664361</v>
      </c>
      <c r="R31" s="394">
        <f t="shared" si="3"/>
        <v>136191</v>
      </c>
      <c r="S31" s="394">
        <f t="shared" si="4"/>
        <v>0</v>
      </c>
      <c r="T31" s="49">
        <f>民間設備製造1!S33</f>
        <v>12809</v>
      </c>
      <c r="U31" s="49">
        <v>130004</v>
      </c>
    </row>
    <row r="32" spans="1:21">
      <c r="A32" s="300">
        <v>382</v>
      </c>
      <c r="B32" s="90" t="s">
        <v>197</v>
      </c>
      <c r="C32" s="413">
        <f t="shared" si="13"/>
        <v>187057</v>
      </c>
      <c r="D32" s="546">
        <f>民間消費!W34</f>
        <v>95533</v>
      </c>
      <c r="E32" s="538">
        <f>政府消費!W34</f>
        <v>17022</v>
      </c>
      <c r="F32" s="1888">
        <f t="shared" si="14"/>
        <v>66210</v>
      </c>
      <c r="G32" s="561">
        <f>民間住宅1!W34</f>
        <v>6425</v>
      </c>
      <c r="H32" s="546">
        <f>民間設備投資計!W34</f>
        <v>59855</v>
      </c>
      <c r="I32" s="546">
        <f>民間在庫品増加!W34</f>
        <v>-70</v>
      </c>
      <c r="J32" s="558">
        <f>公的投資!W34</f>
        <v>3643</v>
      </c>
      <c r="K32" s="411">
        <f t="shared" si="15"/>
        <v>182408</v>
      </c>
      <c r="L32" s="1336">
        <f t="shared" si="17"/>
        <v>4649</v>
      </c>
      <c r="M32" s="1127">
        <f>移出入推計WS!GX34+移出入推計WS!GZ34+移出入推計WS!HA34</f>
        <v>161674</v>
      </c>
      <c r="N32" s="2006">
        <f>移出入推計WS!GY34</f>
        <v>170985</v>
      </c>
      <c r="O32" s="2004">
        <f>'24R5'!O32</f>
        <v>13960</v>
      </c>
      <c r="P32" s="293">
        <v>382</v>
      </c>
      <c r="Q32" s="314">
        <f>(C32-'22R3'!C32)/'22R3'!C32*100</f>
        <v>-24.947238338268455</v>
      </c>
      <c r="R32" s="394">
        <f t="shared" si="3"/>
        <v>187057</v>
      </c>
      <c r="S32" s="394">
        <f t="shared" si="4"/>
        <v>0</v>
      </c>
      <c r="T32" s="49">
        <f>民間設備製造1!S34</f>
        <v>26594</v>
      </c>
      <c r="U32" s="49">
        <v>173196</v>
      </c>
    </row>
    <row r="33" spans="1:21">
      <c r="A33" s="301">
        <v>4</v>
      </c>
      <c r="B33" s="306" t="s">
        <v>198</v>
      </c>
      <c r="C33" s="308">
        <f>SUM(C34:C39)</f>
        <v>1250042</v>
      </c>
      <c r="D33" s="546">
        <f>民間消費!W35</f>
        <v>688840</v>
      </c>
      <c r="E33" s="538">
        <f>政府消費!W35</f>
        <v>161627</v>
      </c>
      <c r="F33" s="308">
        <f>SUM(F34:F39)</f>
        <v>323645</v>
      </c>
      <c r="G33" s="561">
        <f>民間住宅1!W35</f>
        <v>26173</v>
      </c>
      <c r="H33" s="546">
        <f>民間設備投資計!W35</f>
        <v>297937</v>
      </c>
      <c r="I33" s="546">
        <f>民間在庫品増加!W35</f>
        <v>-465</v>
      </c>
      <c r="J33" s="558">
        <f>公的投資!W35</f>
        <v>42598</v>
      </c>
      <c r="K33" s="1997">
        <f>SUM(K34:K39)</f>
        <v>1216710</v>
      </c>
      <c r="L33" s="281">
        <f t="shared" ref="L33" si="20">SUM(L34:L39)</f>
        <v>33332</v>
      </c>
      <c r="M33" s="1127">
        <f>移出入推計WS!GX35+移出入推計WS!GZ35+移出入推計WS!HA35</f>
        <v>1161464</v>
      </c>
      <c r="N33" s="2006">
        <f>移出入推計WS!GY35</f>
        <v>1135451</v>
      </c>
      <c r="O33" s="2004">
        <f>'24R5'!O33</f>
        <v>7319</v>
      </c>
      <c r="P33" s="293">
        <v>4</v>
      </c>
      <c r="Q33" s="314">
        <f>(C33-'22R3'!C33)/'22R3'!C33*100</f>
        <v>-5.2949697408654384</v>
      </c>
      <c r="R33" s="394">
        <f t="shared" si="3"/>
        <v>1250042</v>
      </c>
      <c r="S33" s="394">
        <f t="shared" si="4"/>
        <v>0</v>
      </c>
      <c r="T33" s="49">
        <f>民間設備製造1!S35</f>
        <v>105029</v>
      </c>
      <c r="U33" s="49">
        <v>1150135</v>
      </c>
    </row>
    <row r="34" spans="1:21">
      <c r="A34" s="300">
        <v>213</v>
      </c>
      <c r="B34" s="92" t="s">
        <v>231</v>
      </c>
      <c r="C34" s="413">
        <f t="shared" si="13"/>
        <v>145257</v>
      </c>
      <c r="D34" s="546">
        <f>民間消費!W36</f>
        <v>96168</v>
      </c>
      <c r="E34" s="538">
        <f>政府消費!W36</f>
        <v>20613</v>
      </c>
      <c r="F34" s="1888">
        <f t="shared" si="14"/>
        <v>31282</v>
      </c>
      <c r="G34" s="561">
        <f>民間住宅1!W36</f>
        <v>3278</v>
      </c>
      <c r="H34" s="546">
        <f>民間設備投資計!W36</f>
        <v>28065</v>
      </c>
      <c r="I34" s="546">
        <f>民間在庫品増加!W36</f>
        <v>-61</v>
      </c>
      <c r="J34" s="558">
        <f>公的投資!W36</f>
        <v>2149</v>
      </c>
      <c r="K34" s="411">
        <f t="shared" si="15"/>
        <v>150212</v>
      </c>
      <c r="L34" s="1336">
        <f t="shared" si="17"/>
        <v>-4955</v>
      </c>
      <c r="M34" s="1127">
        <f>移出入推計WS!GX36+移出入推計WS!GZ36+移出入推計WS!HA36</f>
        <v>144870</v>
      </c>
      <c r="N34" s="2006">
        <f>移出入推計WS!GY36</f>
        <v>149201</v>
      </c>
      <c r="O34" s="2004">
        <f>'24R5'!O34</f>
        <v>-624</v>
      </c>
      <c r="P34" s="293">
        <v>213</v>
      </c>
      <c r="Q34" s="314">
        <f>(C34-'22R3'!C34)/'22R3'!C34*100</f>
        <v>-1.3005279572741912</v>
      </c>
      <c r="R34" s="394">
        <f t="shared" si="3"/>
        <v>145257</v>
      </c>
      <c r="S34" s="394">
        <f t="shared" si="4"/>
        <v>0</v>
      </c>
      <c r="T34" s="49">
        <f>民間設備製造1!S36</f>
        <v>4739</v>
      </c>
      <c r="U34" s="49">
        <v>151131</v>
      </c>
    </row>
    <row r="35" spans="1:21">
      <c r="A35" s="300">
        <v>215</v>
      </c>
      <c r="B35" s="92" t="s">
        <v>232</v>
      </c>
      <c r="C35" s="413">
        <f t="shared" si="13"/>
        <v>330234</v>
      </c>
      <c r="D35" s="546">
        <f>民間消費!W37</f>
        <v>197594</v>
      </c>
      <c r="E35" s="538">
        <f>政府消費!W37</f>
        <v>44821</v>
      </c>
      <c r="F35" s="1888">
        <f t="shared" si="14"/>
        <v>73845</v>
      </c>
      <c r="G35" s="561">
        <f>民間住宅1!W37</f>
        <v>6950</v>
      </c>
      <c r="H35" s="546">
        <f>民間設備投資計!W37</f>
        <v>67019</v>
      </c>
      <c r="I35" s="546">
        <f>民間在庫品増加!W37</f>
        <v>-124</v>
      </c>
      <c r="J35" s="558">
        <f>公的投資!W37</f>
        <v>6665</v>
      </c>
      <c r="K35" s="411">
        <f t="shared" si="15"/>
        <v>322925</v>
      </c>
      <c r="L35" s="1336">
        <f t="shared" si="17"/>
        <v>7309</v>
      </c>
      <c r="M35" s="1127">
        <f>移出入推計WS!GX37+移出入推計WS!GZ37+移出入推計WS!HA37</f>
        <v>312863</v>
      </c>
      <c r="N35" s="2006">
        <f>移出入推計WS!GY37</f>
        <v>302744</v>
      </c>
      <c r="O35" s="2004">
        <f>'24R5'!O35</f>
        <v>-2810</v>
      </c>
      <c r="P35" s="293">
        <v>215</v>
      </c>
      <c r="Q35" s="314">
        <f>(C35-'22R3'!C35)/'22R3'!C35*100</f>
        <v>2.7652264834385152</v>
      </c>
      <c r="R35" s="394">
        <f t="shared" si="3"/>
        <v>330234</v>
      </c>
      <c r="S35" s="394">
        <f t="shared" si="4"/>
        <v>0</v>
      </c>
      <c r="T35" s="49">
        <f>民間設備製造1!S37</f>
        <v>17795</v>
      </c>
      <c r="U35" s="49">
        <v>306659</v>
      </c>
    </row>
    <row r="36" spans="1:21">
      <c r="A36" s="300">
        <v>218</v>
      </c>
      <c r="B36" s="90" t="s">
        <v>200</v>
      </c>
      <c r="C36" s="413">
        <f t="shared" si="13"/>
        <v>242545</v>
      </c>
      <c r="D36" s="546">
        <f>民間消費!W38</f>
        <v>126788</v>
      </c>
      <c r="E36" s="538">
        <f>政府消費!W38</f>
        <v>25267</v>
      </c>
      <c r="F36" s="1888">
        <f t="shared" si="14"/>
        <v>67526</v>
      </c>
      <c r="G36" s="561">
        <f>民間住宅1!W38</f>
        <v>6924</v>
      </c>
      <c r="H36" s="546">
        <f>民間設備投資計!W38</f>
        <v>60687</v>
      </c>
      <c r="I36" s="546">
        <f>民間在庫品増加!W38</f>
        <v>-85</v>
      </c>
      <c r="J36" s="558">
        <f>公的投資!W38</f>
        <v>9992</v>
      </c>
      <c r="K36" s="411">
        <f t="shared" si="15"/>
        <v>229573</v>
      </c>
      <c r="L36" s="1336">
        <f t="shared" si="17"/>
        <v>12972</v>
      </c>
      <c r="M36" s="1127">
        <f>移出入推計WS!GX38+移出入推計WS!GZ38+移出入推計WS!HA38</f>
        <v>211134</v>
      </c>
      <c r="N36" s="2006">
        <f>移出入推計WS!GY38</f>
        <v>207823</v>
      </c>
      <c r="O36" s="2004">
        <f>'24R5'!O36</f>
        <v>9661</v>
      </c>
      <c r="P36" s="293">
        <v>218</v>
      </c>
      <c r="Q36" s="314">
        <f>(C36-'22R3'!C36)/'22R3'!C36*100</f>
        <v>-6.6423661095757538</v>
      </c>
      <c r="R36" s="394">
        <f t="shared" si="3"/>
        <v>242545</v>
      </c>
      <c r="S36" s="394">
        <f t="shared" si="4"/>
        <v>0</v>
      </c>
      <c r="T36" s="49">
        <f>民間設備製造1!S38</f>
        <v>24156</v>
      </c>
      <c r="U36" s="49">
        <v>210511</v>
      </c>
    </row>
    <row r="37" spans="1:21">
      <c r="A37" s="300">
        <v>220</v>
      </c>
      <c r="B37" s="90" t="s">
        <v>201</v>
      </c>
      <c r="C37" s="413">
        <f t="shared" si="13"/>
        <v>220674</v>
      </c>
      <c r="D37" s="546">
        <f>民間消費!W39</f>
        <v>108113</v>
      </c>
      <c r="E37" s="538">
        <f>政府消費!W39</f>
        <v>31351</v>
      </c>
      <c r="F37" s="1888">
        <f t="shared" si="14"/>
        <v>64779</v>
      </c>
      <c r="G37" s="561">
        <f>民間住宅1!W39</f>
        <v>3488</v>
      </c>
      <c r="H37" s="546">
        <f>民間設備投資計!W39</f>
        <v>61370</v>
      </c>
      <c r="I37" s="546">
        <f>民間在庫品増加!W39</f>
        <v>-79</v>
      </c>
      <c r="J37" s="558">
        <f>公的投資!W39</f>
        <v>6987</v>
      </c>
      <c r="K37" s="411">
        <f t="shared" si="15"/>
        <v>211230</v>
      </c>
      <c r="L37" s="1336">
        <f t="shared" si="17"/>
        <v>9444</v>
      </c>
      <c r="M37" s="1127">
        <f>移出入推計WS!GX39+移出入推計WS!GZ39+移出入推計WS!HA39</f>
        <v>201173</v>
      </c>
      <c r="N37" s="2006">
        <f>移出入推計WS!GY39</f>
        <v>193481</v>
      </c>
      <c r="O37" s="2004">
        <f>'24R5'!O37</f>
        <v>1752</v>
      </c>
      <c r="P37" s="293">
        <v>220</v>
      </c>
      <c r="Q37" s="314">
        <f>(C37-'22R3'!C37)/'22R3'!C37*100</f>
        <v>-13.154663518299881</v>
      </c>
      <c r="R37" s="394">
        <f t="shared" si="3"/>
        <v>220674</v>
      </c>
      <c r="S37" s="394">
        <f t="shared" si="4"/>
        <v>0</v>
      </c>
      <c r="T37" s="49">
        <f>民間設備製造1!S39</f>
        <v>26130</v>
      </c>
      <c r="U37" s="49">
        <v>195983</v>
      </c>
    </row>
    <row r="38" spans="1:21">
      <c r="A38" s="300">
        <v>228</v>
      </c>
      <c r="B38" s="90" t="s">
        <v>239</v>
      </c>
      <c r="C38" s="413">
        <f t="shared" si="13"/>
        <v>220393</v>
      </c>
      <c r="D38" s="546">
        <f>民間消費!W40</f>
        <v>116675</v>
      </c>
      <c r="E38" s="538">
        <f>政府消費!W40</f>
        <v>26194</v>
      </c>
      <c r="F38" s="1888">
        <f t="shared" si="14"/>
        <v>69543</v>
      </c>
      <c r="G38" s="561">
        <f>民間住宅1!W40</f>
        <v>4668</v>
      </c>
      <c r="H38" s="546">
        <f>民間設備投資計!W40</f>
        <v>64962</v>
      </c>
      <c r="I38" s="546">
        <f>民間在庫品増加!W40</f>
        <v>-87</v>
      </c>
      <c r="J38" s="558">
        <f>公的投資!W40</f>
        <v>7702</v>
      </c>
      <c r="K38" s="411">
        <f t="shared" si="15"/>
        <v>220114</v>
      </c>
      <c r="L38" s="1336">
        <f t="shared" si="17"/>
        <v>279</v>
      </c>
      <c r="M38" s="1127">
        <f>移出入推計WS!GX40+移出入推計WS!GZ40+移出入推計WS!HA40</f>
        <v>209170</v>
      </c>
      <c r="N38" s="2006">
        <f>移出入推計WS!GY40</f>
        <v>211196</v>
      </c>
      <c r="O38" s="2004">
        <f>'24R5'!O38</f>
        <v>2305</v>
      </c>
      <c r="P38" s="293">
        <v>228</v>
      </c>
      <c r="Q38" s="314">
        <f>(C38-'22R3'!C38)/'22R3'!C38*100</f>
        <v>-17.91480597259519</v>
      </c>
      <c r="R38" s="394">
        <f t="shared" si="3"/>
        <v>220393</v>
      </c>
      <c r="S38" s="394">
        <f t="shared" si="4"/>
        <v>0</v>
      </c>
      <c r="T38" s="49">
        <f>民間設備製造1!S40</f>
        <v>28092</v>
      </c>
      <c r="U38" s="49">
        <v>213927</v>
      </c>
    </row>
    <row r="39" spans="1:21">
      <c r="A39" s="302">
        <v>365</v>
      </c>
      <c r="B39" s="201" t="s">
        <v>233</v>
      </c>
      <c r="C39" s="413">
        <f t="shared" si="13"/>
        <v>90939</v>
      </c>
      <c r="D39" s="546">
        <f>民間消費!W41</f>
        <v>43502</v>
      </c>
      <c r="E39" s="538">
        <f>政府消費!W41</f>
        <v>13381</v>
      </c>
      <c r="F39" s="1888">
        <f t="shared" si="14"/>
        <v>16670</v>
      </c>
      <c r="G39" s="561">
        <f>民間住宅1!W41</f>
        <v>865</v>
      </c>
      <c r="H39" s="546">
        <f>民間設備投資計!W41</f>
        <v>15834</v>
      </c>
      <c r="I39" s="546">
        <f>民間在庫品増加!W41</f>
        <v>-29</v>
      </c>
      <c r="J39" s="558">
        <f>公的投資!W41</f>
        <v>9103</v>
      </c>
      <c r="K39" s="411">
        <f t="shared" si="15"/>
        <v>82656</v>
      </c>
      <c r="L39" s="1336">
        <f t="shared" si="17"/>
        <v>8283</v>
      </c>
      <c r="M39" s="1127">
        <f>移出入推計WS!GX41+移出入推計WS!GZ41+移出入推計WS!HA41</f>
        <v>82254</v>
      </c>
      <c r="N39" s="2006">
        <f>移出入推計WS!GY41</f>
        <v>71006</v>
      </c>
      <c r="O39" s="2004">
        <f>'24R5'!O39</f>
        <v>-2965</v>
      </c>
      <c r="P39" s="293">
        <v>365</v>
      </c>
      <c r="Q39" s="314">
        <f>(C39-'22R3'!C39)/'22R3'!C39*100</f>
        <v>31.76127966617404</v>
      </c>
      <c r="R39" s="394">
        <f t="shared" si="3"/>
        <v>90939</v>
      </c>
      <c r="S39" s="394">
        <f t="shared" si="4"/>
        <v>0</v>
      </c>
      <c r="T39" s="49">
        <f>民間設備製造1!S41</f>
        <v>4117</v>
      </c>
      <c r="U39" s="49">
        <v>71924</v>
      </c>
    </row>
    <row r="40" spans="1:21">
      <c r="A40" s="300">
        <v>5</v>
      </c>
      <c r="B40" s="91" t="s">
        <v>202</v>
      </c>
      <c r="C40" s="308">
        <f>SUM(C41:C44)</f>
        <v>2726270</v>
      </c>
      <c r="D40" s="546">
        <f>民間消費!W42</f>
        <v>1458805</v>
      </c>
      <c r="E40" s="538">
        <f>政府消費!W42</f>
        <v>299756</v>
      </c>
      <c r="F40" s="308">
        <f>SUM(F41:F44)</f>
        <v>828239</v>
      </c>
      <c r="G40" s="561">
        <f>民間住宅1!W42</f>
        <v>92734</v>
      </c>
      <c r="H40" s="546">
        <f>民間設備投資計!W42</f>
        <v>736505</v>
      </c>
      <c r="I40" s="546">
        <f>民間在庫品増加!W42</f>
        <v>-1000</v>
      </c>
      <c r="J40" s="558">
        <f>公的投資!W42</f>
        <v>48461</v>
      </c>
      <c r="K40" s="1997">
        <f>SUM(K41:K44)</f>
        <v>2635261</v>
      </c>
      <c r="L40" s="281">
        <f t="shared" ref="L40" si="21">SUM(L41:L44)</f>
        <v>91009</v>
      </c>
      <c r="M40" s="1127">
        <f>移出入推計WS!GX42+移出入推計WS!GZ42+移出入推計WS!HA42</f>
        <v>2553036</v>
      </c>
      <c r="N40" s="2006">
        <f>移出入推計WS!GY42</f>
        <v>2439209</v>
      </c>
      <c r="O40" s="2004">
        <f>'24R5'!O40</f>
        <v>-22818</v>
      </c>
      <c r="P40" s="293">
        <v>5</v>
      </c>
      <c r="Q40" s="314">
        <f>(C40-'22R3'!C40)/'22R3'!C40*100</f>
        <v>-3.4145218146068412</v>
      </c>
      <c r="R40" s="394">
        <f t="shared" si="3"/>
        <v>2726270</v>
      </c>
      <c r="S40" s="394">
        <f t="shared" si="4"/>
        <v>0</v>
      </c>
      <c r="T40" s="49">
        <f>民間設備製造1!S42</f>
        <v>297837</v>
      </c>
      <c r="U40" s="49">
        <v>2470755</v>
      </c>
    </row>
    <row r="41" spans="1:21">
      <c r="A41" s="300">
        <v>201</v>
      </c>
      <c r="B41" s="92" t="s">
        <v>240</v>
      </c>
      <c r="C41" s="413">
        <f t="shared" si="13"/>
        <v>2499160</v>
      </c>
      <c r="D41" s="546">
        <f>民間消費!W43</f>
        <v>1356145</v>
      </c>
      <c r="E41" s="538">
        <f>政府消費!W43</f>
        <v>266878</v>
      </c>
      <c r="F41" s="1888">
        <f t="shared" si="14"/>
        <v>761886</v>
      </c>
      <c r="G41" s="561">
        <f>民間住宅1!W43</f>
        <v>89613</v>
      </c>
      <c r="H41" s="546">
        <f>民間設備投資計!W43</f>
        <v>673192</v>
      </c>
      <c r="I41" s="546">
        <f>民間在庫品増加!W43</f>
        <v>-919</v>
      </c>
      <c r="J41" s="558">
        <f>公的投資!W43</f>
        <v>34628</v>
      </c>
      <c r="K41" s="411">
        <f t="shared" si="15"/>
        <v>2419537</v>
      </c>
      <c r="L41" s="1336">
        <f t="shared" si="17"/>
        <v>79623</v>
      </c>
      <c r="M41" s="1127">
        <f>移出入推計WS!GX43+移出入推計WS!GZ43+移出入推計WS!HA43</f>
        <v>2350711</v>
      </c>
      <c r="N41" s="2006">
        <f>移出入推計WS!GY43</f>
        <v>2243251</v>
      </c>
      <c r="O41" s="2004">
        <f>'24R5'!O41</f>
        <v>-27837</v>
      </c>
      <c r="P41" s="293">
        <v>201</v>
      </c>
      <c r="Q41" s="314">
        <f>(C41-'22R3'!C41)/'22R3'!C41*100</f>
        <v>-2.7586904585885157</v>
      </c>
      <c r="R41" s="394">
        <f t="shared" si="3"/>
        <v>2499160</v>
      </c>
      <c r="S41" s="394">
        <f t="shared" si="4"/>
        <v>0</v>
      </c>
      <c r="T41" s="49">
        <f>民間設備製造1!S43</f>
        <v>269591</v>
      </c>
      <c r="U41" s="49">
        <v>2272262</v>
      </c>
    </row>
    <row r="42" spans="1:21">
      <c r="A42" s="300">
        <v>442</v>
      </c>
      <c r="B42" s="90" t="s">
        <v>203</v>
      </c>
      <c r="C42" s="413">
        <f t="shared" si="13"/>
        <v>52046</v>
      </c>
      <c r="D42" s="546">
        <f>民間消費!W44</f>
        <v>25846</v>
      </c>
      <c r="E42" s="538">
        <f>政府消費!W44</f>
        <v>9268</v>
      </c>
      <c r="F42" s="1888">
        <f t="shared" si="14"/>
        <v>12249</v>
      </c>
      <c r="G42" s="561">
        <f>民間住宅1!W44</f>
        <v>446</v>
      </c>
      <c r="H42" s="546">
        <f>民間設備投資計!W44</f>
        <v>11823</v>
      </c>
      <c r="I42" s="546">
        <f>民間在庫品増加!W44</f>
        <v>-20</v>
      </c>
      <c r="J42" s="558">
        <f>公的投資!W44</f>
        <v>3505</v>
      </c>
      <c r="K42" s="411">
        <f t="shared" si="15"/>
        <v>50868</v>
      </c>
      <c r="L42" s="1336">
        <f t="shared" si="17"/>
        <v>1178</v>
      </c>
      <c r="M42" s="1127">
        <f>移出入推計WS!GX44+移出入推計WS!GZ44+移出入推計WS!HA44</f>
        <v>51098</v>
      </c>
      <c r="N42" s="2006">
        <f>移出入推計WS!GY44</f>
        <v>47602</v>
      </c>
      <c r="O42" s="2004">
        <f>'24R5'!O42</f>
        <v>-2318</v>
      </c>
      <c r="P42" s="293">
        <v>442</v>
      </c>
      <c r="Q42" s="314">
        <f>(C42-'22R3'!C42)/'22R3'!C42*100</f>
        <v>24.001715429333842</v>
      </c>
      <c r="R42" s="394">
        <f t="shared" si="3"/>
        <v>52046</v>
      </c>
      <c r="S42" s="394">
        <f t="shared" si="4"/>
        <v>0</v>
      </c>
      <c r="T42" s="49">
        <f>民間設備製造1!S44</f>
        <v>3913</v>
      </c>
      <c r="U42" s="49">
        <v>48218</v>
      </c>
    </row>
    <row r="43" spans="1:21">
      <c r="A43" s="300">
        <v>443</v>
      </c>
      <c r="B43" s="90" t="s">
        <v>204</v>
      </c>
      <c r="C43" s="413">
        <f t="shared" si="13"/>
        <v>110318</v>
      </c>
      <c r="D43" s="546">
        <f>民間消費!W45</f>
        <v>52897</v>
      </c>
      <c r="E43" s="538">
        <f>政府消費!W45</f>
        <v>12146</v>
      </c>
      <c r="F43" s="1888">
        <f t="shared" si="14"/>
        <v>37040</v>
      </c>
      <c r="G43" s="561">
        <f>民間住宅1!W45</f>
        <v>2255</v>
      </c>
      <c r="H43" s="546">
        <f>民間設備投資計!W45</f>
        <v>34825</v>
      </c>
      <c r="I43" s="546">
        <f>民間在庫品増加!W45</f>
        <v>-40</v>
      </c>
      <c r="J43" s="558">
        <f>公的投資!W45</f>
        <v>3741</v>
      </c>
      <c r="K43" s="411">
        <f t="shared" si="15"/>
        <v>105824</v>
      </c>
      <c r="L43" s="1336">
        <f t="shared" si="17"/>
        <v>4494</v>
      </c>
      <c r="M43" s="1127">
        <f>移出入推計WS!GX45+移出入推計WS!GZ45+移出入推計WS!HA45</f>
        <v>90329</v>
      </c>
      <c r="N43" s="2006">
        <f>移出入推計WS!GY45</f>
        <v>97514</v>
      </c>
      <c r="O43" s="2004">
        <f>'24R5'!O43</f>
        <v>11679</v>
      </c>
      <c r="P43" s="293">
        <v>443</v>
      </c>
      <c r="Q43" s="314">
        <f>(C43-'22R3'!C43)/'22R3'!C43*100</f>
        <v>-37.850064505952012</v>
      </c>
      <c r="R43" s="394">
        <f t="shared" si="3"/>
        <v>110318</v>
      </c>
      <c r="S43" s="394">
        <f t="shared" si="4"/>
        <v>0</v>
      </c>
      <c r="T43" s="49">
        <f>民間設備製造1!S45</f>
        <v>16623</v>
      </c>
      <c r="U43" s="49">
        <v>98775</v>
      </c>
    </row>
    <row r="44" spans="1:21">
      <c r="A44" s="300">
        <v>446</v>
      </c>
      <c r="B44" s="90" t="s">
        <v>234</v>
      </c>
      <c r="C44" s="413">
        <f t="shared" si="13"/>
        <v>64746</v>
      </c>
      <c r="D44" s="546">
        <f>民間消費!W46</f>
        <v>23917</v>
      </c>
      <c r="E44" s="538">
        <f>政府消費!W46</f>
        <v>11464</v>
      </c>
      <c r="F44" s="1888">
        <f t="shared" si="14"/>
        <v>17064</v>
      </c>
      <c r="G44" s="561">
        <f>民間住宅1!W46</f>
        <v>420</v>
      </c>
      <c r="H44" s="546">
        <f>民間設備投資計!W46</f>
        <v>16665</v>
      </c>
      <c r="I44" s="546">
        <f>民間在庫品増加!W46</f>
        <v>-21</v>
      </c>
      <c r="J44" s="558">
        <f>公的投資!W46</f>
        <v>6587</v>
      </c>
      <c r="K44" s="411">
        <f t="shared" si="15"/>
        <v>59032</v>
      </c>
      <c r="L44" s="1336">
        <f t="shared" si="17"/>
        <v>5714</v>
      </c>
      <c r="M44" s="1127">
        <f>移出入推計WS!GX46+移出入推計WS!GZ46+移出入推計WS!HA46</f>
        <v>60898</v>
      </c>
      <c r="N44" s="2006">
        <f>移出入推計WS!GY46</f>
        <v>50842</v>
      </c>
      <c r="O44" s="2004">
        <f>'24R5'!O44</f>
        <v>-4342</v>
      </c>
      <c r="P44" s="293">
        <v>446</v>
      </c>
      <c r="Q44" s="314">
        <f>(C44-'22R3'!C44)/'22R3'!C44*100</f>
        <v>95.518647138758865</v>
      </c>
      <c r="R44" s="394">
        <f t="shared" si="3"/>
        <v>64746</v>
      </c>
      <c r="S44" s="394">
        <f t="shared" si="4"/>
        <v>0</v>
      </c>
      <c r="T44" s="49">
        <f>民間設備製造1!S46</f>
        <v>7710</v>
      </c>
      <c r="U44" s="49">
        <v>51500</v>
      </c>
    </row>
    <row r="45" spans="1:21">
      <c r="A45" s="301">
        <v>6</v>
      </c>
      <c r="B45" s="306" t="s">
        <v>205</v>
      </c>
      <c r="C45" s="308">
        <f>SUM(C46:C52)</f>
        <v>1083061</v>
      </c>
      <c r="D45" s="546">
        <f>民間消費!W47</f>
        <v>610895</v>
      </c>
      <c r="E45" s="538">
        <f>政府消費!W47</f>
        <v>147360</v>
      </c>
      <c r="F45" s="308">
        <f>SUM(F46:F52)</f>
        <v>285016</v>
      </c>
      <c r="G45" s="561">
        <f>民間住宅1!W47</f>
        <v>21845</v>
      </c>
      <c r="H45" s="546">
        <f>民間設備投資計!W47</f>
        <v>263591</v>
      </c>
      <c r="I45" s="546">
        <f>民間在庫品増加!W47</f>
        <v>-420</v>
      </c>
      <c r="J45" s="558">
        <f>公的投資!W47</f>
        <v>31938</v>
      </c>
      <c r="K45" s="1997">
        <f>SUM(K46:K52)</f>
        <v>1075209</v>
      </c>
      <c r="L45" s="281">
        <f t="shared" ref="L45" si="22">SUM(L46:L52)</f>
        <v>7852</v>
      </c>
      <c r="M45" s="1127">
        <f>移出入推計WS!GX47+移出入推計WS!GZ47+移出入推計WS!HA47</f>
        <v>1044256</v>
      </c>
      <c r="N45" s="2006">
        <f>移出入推計WS!GY47</f>
        <v>1024414</v>
      </c>
      <c r="O45" s="2004">
        <f>'24R5'!O45</f>
        <v>-11990</v>
      </c>
      <c r="P45" s="293">
        <v>6</v>
      </c>
      <c r="Q45" s="314">
        <f>(C45-'22R3'!C45)/'22R3'!C45*100</f>
        <v>-3.9197300323088302</v>
      </c>
      <c r="R45" s="394">
        <f t="shared" si="3"/>
        <v>1083061</v>
      </c>
      <c r="S45" s="394">
        <f t="shared" si="4"/>
        <v>0</v>
      </c>
      <c r="T45" s="49">
        <f>民間設備製造1!S47</f>
        <v>90149</v>
      </c>
      <c r="U45" s="49">
        <v>1037662</v>
      </c>
    </row>
    <row r="46" spans="1:21">
      <c r="A46" s="300">
        <v>208</v>
      </c>
      <c r="B46" s="90" t="s">
        <v>206</v>
      </c>
      <c r="C46" s="413">
        <f t="shared" si="13"/>
        <v>118838</v>
      </c>
      <c r="D46" s="546">
        <f>民間消費!W48</f>
        <v>73000</v>
      </c>
      <c r="E46" s="538">
        <f>政府消費!W48</f>
        <v>15947</v>
      </c>
      <c r="F46" s="1888">
        <f t="shared" si="14"/>
        <v>25795</v>
      </c>
      <c r="G46" s="561">
        <f>民間住宅1!W48</f>
        <v>1993</v>
      </c>
      <c r="H46" s="546">
        <f>民間設備投資計!W48</f>
        <v>23848</v>
      </c>
      <c r="I46" s="546">
        <f>民間在庫品増加!W48</f>
        <v>-46</v>
      </c>
      <c r="J46" s="558">
        <f>公的投資!W48</f>
        <v>3132</v>
      </c>
      <c r="K46" s="411">
        <f t="shared" si="15"/>
        <v>117874</v>
      </c>
      <c r="L46" s="1336">
        <f t="shared" si="17"/>
        <v>964</v>
      </c>
      <c r="M46" s="1127">
        <f>移出入推計WS!GX48+移出入推計WS!GZ48+移出入推計WS!HA48</f>
        <v>106901</v>
      </c>
      <c r="N46" s="2006">
        <f>移出入推計WS!GY48</f>
        <v>112452</v>
      </c>
      <c r="O46" s="2004">
        <f>'24R5'!O46</f>
        <v>6515</v>
      </c>
      <c r="P46" s="293">
        <v>208</v>
      </c>
      <c r="Q46" s="314">
        <f>(C46-'22R3'!C46)/'22R3'!C46*100</f>
        <v>-34.415752846318135</v>
      </c>
      <c r="R46" s="394">
        <f t="shared" si="3"/>
        <v>118838</v>
      </c>
      <c r="S46" s="394">
        <f t="shared" si="4"/>
        <v>0</v>
      </c>
      <c r="T46" s="49">
        <f>民間設備製造1!S48</f>
        <v>5472</v>
      </c>
      <c r="U46" s="49">
        <v>113906</v>
      </c>
    </row>
    <row r="47" spans="1:21">
      <c r="A47" s="300">
        <v>212</v>
      </c>
      <c r="B47" s="90" t="s">
        <v>207</v>
      </c>
      <c r="C47" s="413">
        <f t="shared" si="13"/>
        <v>229356</v>
      </c>
      <c r="D47" s="546">
        <f>民間消費!W49</f>
        <v>121123</v>
      </c>
      <c r="E47" s="538">
        <f>政府消費!W49</f>
        <v>28127</v>
      </c>
      <c r="F47" s="1888">
        <f t="shared" si="14"/>
        <v>73736</v>
      </c>
      <c r="G47" s="561">
        <f>民間住宅1!W49</f>
        <v>4563</v>
      </c>
      <c r="H47" s="546">
        <f>民間設備投資計!W49</f>
        <v>69262</v>
      </c>
      <c r="I47" s="546">
        <f>民間在庫品増加!W49</f>
        <v>-89</v>
      </c>
      <c r="J47" s="558">
        <f>公的投資!W49</f>
        <v>4275</v>
      </c>
      <c r="K47" s="411">
        <f t="shared" si="15"/>
        <v>227261</v>
      </c>
      <c r="L47" s="1336">
        <f t="shared" si="17"/>
        <v>2095</v>
      </c>
      <c r="M47" s="1127">
        <f>移出入推計WS!GX49+移出入推計WS!GZ49+移出入推計WS!HA49</f>
        <v>218934</v>
      </c>
      <c r="N47" s="2006">
        <f>移出入推計WS!GY49</f>
        <v>216149</v>
      </c>
      <c r="O47" s="2004">
        <f>'24R5'!O47</f>
        <v>-690</v>
      </c>
      <c r="P47" s="293">
        <v>212</v>
      </c>
      <c r="Q47" s="314">
        <f>(C47-'22R3'!C47)/'22R3'!C47*100</f>
        <v>-1.2698768004270229</v>
      </c>
      <c r="R47" s="394">
        <f t="shared" si="3"/>
        <v>229356</v>
      </c>
      <c r="S47" s="394">
        <f t="shared" si="4"/>
        <v>0</v>
      </c>
      <c r="T47" s="49">
        <f>民間設備製造1!S49</f>
        <v>30879</v>
      </c>
      <c r="U47" s="49">
        <v>218944</v>
      </c>
    </row>
    <row r="48" spans="1:21">
      <c r="A48" s="300">
        <v>227</v>
      </c>
      <c r="B48" s="90" t="s">
        <v>219</v>
      </c>
      <c r="C48" s="413">
        <f t="shared" si="13"/>
        <v>135653</v>
      </c>
      <c r="D48" s="546">
        <f>民間消費!W50</f>
        <v>78896</v>
      </c>
      <c r="E48" s="538">
        <f>政府消費!W50</f>
        <v>28039</v>
      </c>
      <c r="F48" s="1888">
        <f t="shared" si="14"/>
        <v>27711</v>
      </c>
      <c r="G48" s="561">
        <f>民間住宅1!W50</f>
        <v>1364</v>
      </c>
      <c r="H48" s="546">
        <f>民間設備投資計!W50</f>
        <v>26404</v>
      </c>
      <c r="I48" s="546">
        <f>民間在庫品増加!W50</f>
        <v>-57</v>
      </c>
      <c r="J48" s="558">
        <f>公的投資!W50</f>
        <v>5071</v>
      </c>
      <c r="K48" s="411">
        <f t="shared" si="15"/>
        <v>139717</v>
      </c>
      <c r="L48" s="1336">
        <f t="shared" si="17"/>
        <v>-4064</v>
      </c>
      <c r="M48" s="1127">
        <f>移出入推計WS!GX50+移出入推計WS!GZ50+移出入推計WS!HA50</f>
        <v>142731</v>
      </c>
      <c r="N48" s="2006">
        <f>移出入推計WS!GY50</f>
        <v>137969</v>
      </c>
      <c r="O48" s="2004">
        <f>'24R5'!O48</f>
        <v>-8826</v>
      </c>
      <c r="P48" s="293">
        <v>227</v>
      </c>
      <c r="Q48" s="314">
        <f>(C48-'22R3'!C48)/'22R3'!C48*100</f>
        <v>14.965040891563202</v>
      </c>
      <c r="R48" s="394">
        <f t="shared" si="3"/>
        <v>135653</v>
      </c>
      <c r="S48" s="394">
        <f t="shared" si="4"/>
        <v>0</v>
      </c>
      <c r="T48" s="49">
        <f>民間設備製造1!S50</f>
        <v>4551</v>
      </c>
      <c r="U48" s="49">
        <v>139753</v>
      </c>
    </row>
    <row r="49" spans="1:21">
      <c r="A49" s="300">
        <v>229</v>
      </c>
      <c r="B49" s="90" t="s">
        <v>235</v>
      </c>
      <c r="C49" s="413">
        <f t="shared" si="13"/>
        <v>322611</v>
      </c>
      <c r="D49" s="546">
        <f>民間消費!W51</f>
        <v>180776</v>
      </c>
      <c r="E49" s="538">
        <f>政府消費!W51</f>
        <v>35451</v>
      </c>
      <c r="F49" s="1888">
        <f t="shared" si="14"/>
        <v>91923</v>
      </c>
      <c r="G49" s="561">
        <f>民間住宅1!W51</f>
        <v>7579</v>
      </c>
      <c r="H49" s="546">
        <f>民間設備投資計!W51</f>
        <v>84466</v>
      </c>
      <c r="I49" s="546">
        <f>民間在庫品増加!W51</f>
        <v>-122</v>
      </c>
      <c r="J49" s="558">
        <f>公的投資!W51</f>
        <v>8239</v>
      </c>
      <c r="K49" s="411">
        <f t="shared" si="15"/>
        <v>316389</v>
      </c>
      <c r="L49" s="1336">
        <f t="shared" si="17"/>
        <v>6222</v>
      </c>
      <c r="M49" s="1127">
        <f>移出入推計WS!GX51+移出入推計WS!GZ51+移出入推計WS!HA51</f>
        <v>298311</v>
      </c>
      <c r="N49" s="2006">
        <f>移出入推計WS!GY51</f>
        <v>297827</v>
      </c>
      <c r="O49" s="2004">
        <f>'24R5'!O49</f>
        <v>5738</v>
      </c>
      <c r="P49" s="293">
        <v>229</v>
      </c>
      <c r="Q49" s="314">
        <f>(C49-'22R3'!C49)/'22R3'!C49*100</f>
        <v>-6.8263407336381254</v>
      </c>
      <c r="R49" s="394">
        <f t="shared" si="3"/>
        <v>322611</v>
      </c>
      <c r="S49" s="394">
        <f t="shared" si="4"/>
        <v>0</v>
      </c>
      <c r="T49" s="49">
        <f>民間設備製造1!S51</f>
        <v>32447</v>
      </c>
      <c r="U49" s="49">
        <v>301679</v>
      </c>
    </row>
    <row r="50" spans="1:21">
      <c r="A50" s="300">
        <v>464</v>
      </c>
      <c r="B50" s="90" t="s">
        <v>208</v>
      </c>
      <c r="C50" s="413">
        <f t="shared" si="13"/>
        <v>150142</v>
      </c>
      <c r="D50" s="546">
        <f>民間消費!W52</f>
        <v>88746</v>
      </c>
      <c r="E50" s="538">
        <f>政府消費!W52</f>
        <v>13731</v>
      </c>
      <c r="F50" s="1888">
        <f t="shared" si="14"/>
        <v>39029</v>
      </c>
      <c r="G50" s="561">
        <f>民間住宅1!W52</f>
        <v>5402</v>
      </c>
      <c r="H50" s="546">
        <f>民間設備投資計!W52</f>
        <v>33681</v>
      </c>
      <c r="I50" s="546">
        <f>民間在庫品増加!W52</f>
        <v>-54</v>
      </c>
      <c r="J50" s="558">
        <f>公的投資!W52</f>
        <v>2870</v>
      </c>
      <c r="K50" s="411">
        <f t="shared" si="15"/>
        <v>144376</v>
      </c>
      <c r="L50" s="1336">
        <f t="shared" si="17"/>
        <v>5766</v>
      </c>
      <c r="M50" s="1127">
        <f>移出入推計WS!GX52+移出入推計WS!GZ52+移出入推計WS!HA52</f>
        <v>145810</v>
      </c>
      <c r="N50" s="2006">
        <f>移出入推計WS!GY52</f>
        <v>132659</v>
      </c>
      <c r="O50" s="2004">
        <f>'24R5'!O50</f>
        <v>-7385</v>
      </c>
      <c r="P50" s="293">
        <v>464</v>
      </c>
      <c r="Q50" s="314">
        <f>(C50-'22R3'!C50)/'22R3'!C50*100</f>
        <v>12.905700105278989</v>
      </c>
      <c r="R50" s="394">
        <f t="shared" si="3"/>
        <v>150142</v>
      </c>
      <c r="S50" s="394">
        <f t="shared" si="4"/>
        <v>0</v>
      </c>
      <c r="T50" s="49">
        <f>民間設備製造1!S52</f>
        <v>11240</v>
      </c>
      <c r="U50" s="49">
        <v>134375</v>
      </c>
    </row>
    <row r="51" spans="1:21">
      <c r="A51" s="300">
        <v>481</v>
      </c>
      <c r="B51" s="90" t="s">
        <v>209</v>
      </c>
      <c r="C51" s="413">
        <f t="shared" si="13"/>
        <v>64445</v>
      </c>
      <c r="D51" s="546">
        <f>民間消費!W53</f>
        <v>33254</v>
      </c>
      <c r="E51" s="538">
        <f>政府消費!W53</f>
        <v>10551</v>
      </c>
      <c r="F51" s="1888">
        <f t="shared" si="14"/>
        <v>14643</v>
      </c>
      <c r="G51" s="561">
        <f>民間住宅1!W53</f>
        <v>551</v>
      </c>
      <c r="H51" s="546">
        <f>民間設備投資計!W53</f>
        <v>14116</v>
      </c>
      <c r="I51" s="546">
        <f>民間在庫品増加!W53</f>
        <v>-24</v>
      </c>
      <c r="J51" s="558">
        <f>公的投資!W53</f>
        <v>4935</v>
      </c>
      <c r="K51" s="411">
        <f t="shared" si="15"/>
        <v>63383</v>
      </c>
      <c r="L51" s="1336">
        <f t="shared" si="17"/>
        <v>1062</v>
      </c>
      <c r="M51" s="1127">
        <f>移出入推計WS!GX53+移出入推計WS!GZ53+移出入推計WS!HA53</f>
        <v>64053</v>
      </c>
      <c r="N51" s="2006">
        <f>移出入推計WS!GY53</f>
        <v>59707</v>
      </c>
      <c r="O51" s="2004">
        <f>'24R5'!O51</f>
        <v>-3284</v>
      </c>
      <c r="P51" s="293">
        <v>481</v>
      </c>
      <c r="Q51" s="314">
        <f>(C51-'22R3'!C51)/'22R3'!C51*100</f>
        <v>18.022489194930774</v>
      </c>
      <c r="R51" s="394">
        <f t="shared" si="3"/>
        <v>64445</v>
      </c>
      <c r="S51" s="394">
        <f t="shared" si="4"/>
        <v>0</v>
      </c>
      <c r="T51" s="49">
        <f>民間設備製造1!S53</f>
        <v>4244</v>
      </c>
      <c r="U51" s="49">
        <v>60479</v>
      </c>
    </row>
    <row r="52" spans="1:21">
      <c r="A52" s="302">
        <v>501</v>
      </c>
      <c r="B52" s="201" t="s">
        <v>236</v>
      </c>
      <c r="C52" s="413">
        <f t="shared" si="13"/>
        <v>62016</v>
      </c>
      <c r="D52" s="546">
        <f>民間消費!W54</f>
        <v>35100</v>
      </c>
      <c r="E52" s="538">
        <f>政府消費!W54</f>
        <v>15514</v>
      </c>
      <c r="F52" s="1888">
        <f t="shared" si="14"/>
        <v>12179</v>
      </c>
      <c r="G52" s="561">
        <f>民間住宅1!W54</f>
        <v>393</v>
      </c>
      <c r="H52" s="546">
        <f>民間設備投資計!W54</f>
        <v>11814</v>
      </c>
      <c r="I52" s="546">
        <f>民間在庫品増加!W54</f>
        <v>-28</v>
      </c>
      <c r="J52" s="558">
        <f>公的投資!W54</f>
        <v>3416</v>
      </c>
      <c r="K52" s="411">
        <f t="shared" si="15"/>
        <v>66209</v>
      </c>
      <c r="L52" s="1336">
        <f t="shared" si="17"/>
        <v>-4193</v>
      </c>
      <c r="M52" s="1127">
        <f>移出入推計WS!GX54+移出入推計WS!GZ54+移出入推計WS!HA54</f>
        <v>67516</v>
      </c>
      <c r="N52" s="2006">
        <f>移出入推計WS!GY54</f>
        <v>67651</v>
      </c>
      <c r="O52" s="2004">
        <f>'24R5'!O52</f>
        <v>-4058</v>
      </c>
      <c r="P52" s="293">
        <v>501</v>
      </c>
      <c r="Q52" s="314">
        <f>(C52-'22R3'!C52)/'22R3'!C52*100</f>
        <v>0.16312686747960914</v>
      </c>
      <c r="R52" s="394">
        <f t="shared" si="3"/>
        <v>62016</v>
      </c>
      <c r="S52" s="394">
        <f t="shared" si="4"/>
        <v>0</v>
      </c>
      <c r="T52" s="49">
        <f>民間設備製造1!S54</f>
        <v>1316</v>
      </c>
      <c r="U52" s="49">
        <v>68526</v>
      </c>
    </row>
    <row r="53" spans="1:21">
      <c r="A53" s="300">
        <v>7</v>
      </c>
      <c r="B53" s="93" t="s">
        <v>210</v>
      </c>
      <c r="C53" s="308">
        <f>SUM(C54:C58)</f>
        <v>705806</v>
      </c>
      <c r="D53" s="546">
        <f>民間消費!W55</f>
        <v>397450</v>
      </c>
      <c r="E53" s="538">
        <f>政府消費!W55</f>
        <v>140565</v>
      </c>
      <c r="F53" s="308">
        <f>SUM(F54:F58)</f>
        <v>162708</v>
      </c>
      <c r="G53" s="561">
        <f>民間住宅1!W55</f>
        <v>11225</v>
      </c>
      <c r="H53" s="546">
        <f>民間設備投資計!W55</f>
        <v>151776</v>
      </c>
      <c r="I53" s="546">
        <f>民間在庫品増加!W55</f>
        <v>-293</v>
      </c>
      <c r="J53" s="558">
        <f>公的投資!W55</f>
        <v>23204</v>
      </c>
      <c r="K53" s="1997">
        <f>SUM(K54:K58)</f>
        <v>723927</v>
      </c>
      <c r="L53" s="281">
        <f t="shared" ref="L53" si="23">SUM(L54:L58)</f>
        <v>-18121</v>
      </c>
      <c r="M53" s="1127">
        <f>移出入推計WS!GX55+移出入推計WS!GZ55+移出入推計WS!HA55</f>
        <v>738615</v>
      </c>
      <c r="N53" s="2006">
        <f>移出入推計WS!GY55</f>
        <v>711961</v>
      </c>
      <c r="O53" s="2004">
        <f>'24R5'!O53</f>
        <v>-44775</v>
      </c>
      <c r="P53" s="293">
        <v>7</v>
      </c>
      <c r="Q53" s="314">
        <f>(C53-'22R3'!C53)/'22R3'!C53*100</f>
        <v>16.762120294731687</v>
      </c>
      <c r="R53" s="394">
        <f t="shared" si="3"/>
        <v>705806</v>
      </c>
      <c r="S53" s="394">
        <f t="shared" si="4"/>
        <v>0</v>
      </c>
      <c r="T53" s="49">
        <f>民間設備製造1!S55</f>
        <v>34544</v>
      </c>
      <c r="U53" s="49">
        <v>721168</v>
      </c>
    </row>
    <row r="54" spans="1:21">
      <c r="A54" s="300">
        <v>209</v>
      </c>
      <c r="B54" s="90" t="s">
        <v>221</v>
      </c>
      <c r="C54" s="413">
        <f t="shared" si="13"/>
        <v>324167</v>
      </c>
      <c r="D54" s="546">
        <f>民間消費!W56</f>
        <v>199624</v>
      </c>
      <c r="E54" s="538">
        <f>政府消費!W56</f>
        <v>58341</v>
      </c>
      <c r="F54" s="1888">
        <f t="shared" si="14"/>
        <v>69113</v>
      </c>
      <c r="G54" s="561">
        <f>民間住宅1!W56</f>
        <v>7028</v>
      </c>
      <c r="H54" s="546">
        <f>民間設備投資計!W56</f>
        <v>62222</v>
      </c>
      <c r="I54" s="546">
        <f>民間在庫品増加!W56</f>
        <v>-137</v>
      </c>
      <c r="J54" s="558">
        <f>公的投資!W56</f>
        <v>8708</v>
      </c>
      <c r="K54" s="411">
        <f t="shared" si="15"/>
        <v>335786</v>
      </c>
      <c r="L54" s="1336">
        <f t="shared" si="17"/>
        <v>-11619</v>
      </c>
      <c r="M54" s="1127">
        <f>移出入推計WS!GX56+移出入推計WS!GZ56+移出入推計WS!HA56</f>
        <v>336876</v>
      </c>
      <c r="N54" s="2006">
        <f>移出入推計WS!GY56</f>
        <v>333639</v>
      </c>
      <c r="O54" s="2004">
        <f>'24R5'!O54</f>
        <v>-14856</v>
      </c>
      <c r="P54" s="293">
        <v>209</v>
      </c>
      <c r="Q54" s="314">
        <f>(C54-'22R3'!C54)/'22R3'!C54*100</f>
        <v>8.4772817015466781</v>
      </c>
      <c r="R54" s="394">
        <f t="shared" si="3"/>
        <v>324167</v>
      </c>
      <c r="S54" s="394">
        <f t="shared" si="4"/>
        <v>0</v>
      </c>
      <c r="T54" s="49">
        <f>民間設備製造1!S56</f>
        <v>9770</v>
      </c>
      <c r="U54" s="49">
        <v>337954</v>
      </c>
    </row>
    <row r="55" spans="1:21">
      <c r="A55" s="300">
        <v>222</v>
      </c>
      <c r="B55" s="90" t="s">
        <v>218</v>
      </c>
      <c r="C55" s="413">
        <f t="shared" si="13"/>
        <v>96576</v>
      </c>
      <c r="D55" s="546">
        <f>民間消費!W57</f>
        <v>53109</v>
      </c>
      <c r="E55" s="538">
        <f>政府消費!W57</f>
        <v>23009</v>
      </c>
      <c r="F55" s="1888">
        <f t="shared" si="14"/>
        <v>21936</v>
      </c>
      <c r="G55" s="561">
        <f>民間住宅1!W57</f>
        <v>1128</v>
      </c>
      <c r="H55" s="546">
        <f>民間設備投資計!W57</f>
        <v>20849</v>
      </c>
      <c r="I55" s="546">
        <f>民間在庫品増加!W57</f>
        <v>-41</v>
      </c>
      <c r="J55" s="558">
        <f>公的投資!W57</f>
        <v>2726</v>
      </c>
      <c r="K55" s="411">
        <f t="shared" si="15"/>
        <v>100780</v>
      </c>
      <c r="L55" s="1336">
        <f t="shared" si="17"/>
        <v>-4204</v>
      </c>
      <c r="M55" s="1127">
        <f>移出入推計WS!GX57+移出入推計WS!GZ57+移出入推計WS!HA57</f>
        <v>105203</v>
      </c>
      <c r="N55" s="2006">
        <f>移出入推計WS!GY57</f>
        <v>100716</v>
      </c>
      <c r="O55" s="2004">
        <f>'24R5'!O55</f>
        <v>-8691</v>
      </c>
      <c r="P55" s="293">
        <v>222</v>
      </c>
      <c r="Q55" s="314">
        <f>(C55-'22R3'!C55)/'22R3'!C55*100</f>
        <v>16.996583723015046</v>
      </c>
      <c r="R55" s="394">
        <f t="shared" si="3"/>
        <v>96576</v>
      </c>
      <c r="S55" s="394">
        <f t="shared" si="4"/>
        <v>0</v>
      </c>
      <c r="T55" s="49">
        <f>民間設備製造1!S57</f>
        <v>4367</v>
      </c>
      <c r="U55" s="49">
        <v>102018</v>
      </c>
    </row>
    <row r="56" spans="1:21">
      <c r="A56" s="300">
        <v>225</v>
      </c>
      <c r="B56" s="90" t="s">
        <v>222</v>
      </c>
      <c r="C56" s="413">
        <f t="shared" si="13"/>
        <v>157920</v>
      </c>
      <c r="D56" s="546">
        <f>民間消費!W58</f>
        <v>75543</v>
      </c>
      <c r="E56" s="538">
        <f>政府消費!W58</f>
        <v>25447</v>
      </c>
      <c r="F56" s="1888">
        <f t="shared" si="14"/>
        <v>48600</v>
      </c>
      <c r="G56" s="561">
        <f>民間住宅1!W58</f>
        <v>2072</v>
      </c>
      <c r="H56" s="546">
        <f>民間設備投資計!W58</f>
        <v>46588</v>
      </c>
      <c r="I56" s="546">
        <f>民間在庫品増加!W58</f>
        <v>-60</v>
      </c>
      <c r="J56" s="558">
        <f>公的投資!W58</f>
        <v>5320</v>
      </c>
      <c r="K56" s="411">
        <f t="shared" si="15"/>
        <v>154910</v>
      </c>
      <c r="L56" s="1336">
        <f t="shared" si="17"/>
        <v>3010</v>
      </c>
      <c r="M56" s="1127">
        <f>移出入推計WS!GX58+移出入推計WS!GZ58+移出入推計WS!HA58</f>
        <v>156175</v>
      </c>
      <c r="N56" s="2006">
        <f>移出入推計WS!GY58</f>
        <v>145524</v>
      </c>
      <c r="O56" s="2004">
        <f>'24R5'!O56</f>
        <v>-7641</v>
      </c>
      <c r="P56" s="293">
        <v>225</v>
      </c>
      <c r="Q56" s="314">
        <f>(C56-'22R3'!C56)/'22R3'!C56*100</f>
        <v>24.97428024247796</v>
      </c>
      <c r="R56" s="394">
        <f t="shared" si="3"/>
        <v>157920</v>
      </c>
      <c r="S56" s="394">
        <f t="shared" si="4"/>
        <v>0</v>
      </c>
      <c r="T56" s="49">
        <f>民間設備製造1!S58</f>
        <v>18711</v>
      </c>
      <c r="U56" s="49">
        <v>147406</v>
      </c>
    </row>
    <row r="57" spans="1:21">
      <c r="A57" s="300">
        <v>585</v>
      </c>
      <c r="B57" s="90" t="s">
        <v>220</v>
      </c>
      <c r="C57" s="413">
        <f t="shared" si="13"/>
        <v>65536</v>
      </c>
      <c r="D57" s="546">
        <f>民間消費!W59</f>
        <v>36911</v>
      </c>
      <c r="E57" s="538">
        <f>政府消費!W59</f>
        <v>17957</v>
      </c>
      <c r="F57" s="1888">
        <f t="shared" si="14"/>
        <v>12785</v>
      </c>
      <c r="G57" s="561">
        <f>民間住宅1!W59</f>
        <v>446</v>
      </c>
      <c r="H57" s="546">
        <f>民間設備投資計!W59</f>
        <v>12369</v>
      </c>
      <c r="I57" s="546">
        <f>民間在庫品増加!W59</f>
        <v>-30</v>
      </c>
      <c r="J57" s="558">
        <f>公的投資!W59</f>
        <v>2743</v>
      </c>
      <c r="K57" s="411">
        <f t="shared" si="15"/>
        <v>70396</v>
      </c>
      <c r="L57" s="1336">
        <f t="shared" si="17"/>
        <v>-4860</v>
      </c>
      <c r="M57" s="1127">
        <f>移出入推計WS!GX59+移出入推計WS!GZ59+移出入推計WS!HA59</f>
        <v>74470</v>
      </c>
      <c r="N57" s="2006">
        <f>移出入推計WS!GY59</f>
        <v>72243</v>
      </c>
      <c r="O57" s="2004">
        <f>'24R5'!O57</f>
        <v>-7087</v>
      </c>
      <c r="P57" s="293">
        <v>585</v>
      </c>
      <c r="Q57" s="314">
        <f>(C57-'22R3'!C57)/'22R3'!C57*100</f>
        <v>25.639354319236222</v>
      </c>
      <c r="R57" s="394">
        <f t="shared" si="3"/>
        <v>65536</v>
      </c>
      <c r="S57" s="394">
        <f t="shared" si="4"/>
        <v>0</v>
      </c>
      <c r="T57" s="49">
        <f>民間設備製造1!S59</f>
        <v>1115</v>
      </c>
      <c r="U57" s="49">
        <v>73177</v>
      </c>
    </row>
    <row r="58" spans="1:21">
      <c r="A58" s="300">
        <v>586</v>
      </c>
      <c r="B58" s="90" t="s">
        <v>237</v>
      </c>
      <c r="C58" s="413">
        <f t="shared" si="13"/>
        <v>61607</v>
      </c>
      <c r="D58" s="546">
        <f>民間消費!W60</f>
        <v>32263</v>
      </c>
      <c r="E58" s="538">
        <f>政府消費!W60</f>
        <v>15811</v>
      </c>
      <c r="F58" s="1888">
        <f t="shared" si="14"/>
        <v>10274</v>
      </c>
      <c r="G58" s="561">
        <f>民間住宅1!W60</f>
        <v>551</v>
      </c>
      <c r="H58" s="546">
        <f>民間設備投資計!W60</f>
        <v>9748</v>
      </c>
      <c r="I58" s="546">
        <f>民間在庫品増加!W60</f>
        <v>-25</v>
      </c>
      <c r="J58" s="558">
        <f>公的投資!W60</f>
        <v>3707</v>
      </c>
      <c r="K58" s="411">
        <f t="shared" si="15"/>
        <v>62055</v>
      </c>
      <c r="L58" s="1336">
        <f t="shared" si="17"/>
        <v>-448</v>
      </c>
      <c r="M58" s="1127">
        <f>移出入推計WS!GX60+移出入推計WS!GZ60+移出入推計WS!HA60</f>
        <v>65891</v>
      </c>
      <c r="N58" s="2006">
        <f>移出入推計WS!GY60</f>
        <v>59839</v>
      </c>
      <c r="O58" s="2004">
        <f>'24R5'!O58</f>
        <v>-6500</v>
      </c>
      <c r="P58" s="293">
        <v>586</v>
      </c>
      <c r="Q58" s="314">
        <f>(C58-'22R3'!C58)/'22R3'!C58*100</f>
        <v>38.200457624837362</v>
      </c>
      <c r="R58" s="394">
        <f t="shared" si="3"/>
        <v>61607</v>
      </c>
      <c r="S58" s="394">
        <f t="shared" si="4"/>
        <v>0</v>
      </c>
      <c r="T58" s="49">
        <f>民間設備製造1!S60</f>
        <v>581</v>
      </c>
      <c r="U58" s="49">
        <v>60613</v>
      </c>
    </row>
    <row r="59" spans="1:21">
      <c r="A59" s="301">
        <v>8</v>
      </c>
      <c r="B59" s="127" t="s">
        <v>211</v>
      </c>
      <c r="C59" s="308">
        <f>SUM(C60:C61)</f>
        <v>458923</v>
      </c>
      <c r="D59" s="546">
        <f>民間消費!W61</f>
        <v>270760</v>
      </c>
      <c r="E59" s="538">
        <f>政府消費!W61</f>
        <v>80164</v>
      </c>
      <c r="F59" s="308">
        <f>SUM(F60:F61)</f>
        <v>103369</v>
      </c>
      <c r="G59" s="561">
        <f>民間住宅1!W61</f>
        <v>9992</v>
      </c>
      <c r="H59" s="546">
        <f>民間設備投資計!W61</f>
        <v>93561</v>
      </c>
      <c r="I59" s="546">
        <f>民間在庫品増加!W61</f>
        <v>-184</v>
      </c>
      <c r="J59" s="558">
        <f>公的投資!W61</f>
        <v>7936</v>
      </c>
      <c r="K59" s="1997">
        <f>SUM(K60:K61)</f>
        <v>462229</v>
      </c>
      <c r="L59" s="281">
        <f t="shared" ref="L59" si="24">SUM(L60:L61)</f>
        <v>-3306</v>
      </c>
      <c r="M59" s="1127">
        <f>移出入推計WS!GX61+移出入推計WS!GZ61+移出入推計WS!HA61</f>
        <v>455309</v>
      </c>
      <c r="N59" s="2006">
        <f>移出入推計WS!GY61</f>
        <v>446863</v>
      </c>
      <c r="O59" s="2004">
        <f>'24R5'!O59</f>
        <v>-11752</v>
      </c>
      <c r="P59" s="293">
        <v>8</v>
      </c>
      <c r="Q59" s="314">
        <f>(C59-'22R3'!C59)/'22R3'!C59*100</f>
        <v>-0.24584070565629251</v>
      </c>
      <c r="R59" s="394">
        <f t="shared" si="3"/>
        <v>458923</v>
      </c>
      <c r="S59" s="394">
        <f t="shared" si="4"/>
        <v>0</v>
      </c>
      <c r="T59" s="49">
        <f>民間設備製造1!S61</f>
        <v>21533</v>
      </c>
      <c r="U59" s="49">
        <v>452642</v>
      </c>
    </row>
    <row r="60" spans="1:21">
      <c r="A60" s="300">
        <v>221</v>
      </c>
      <c r="B60" s="492" t="s">
        <v>1144</v>
      </c>
      <c r="C60" s="413">
        <f t="shared" si="13"/>
        <v>189081</v>
      </c>
      <c r="D60" s="546">
        <f>民間消費!W62</f>
        <v>109422</v>
      </c>
      <c r="E60" s="538">
        <f>政府消費!W62</f>
        <v>35516</v>
      </c>
      <c r="F60" s="1888">
        <f t="shared" si="14"/>
        <v>41401</v>
      </c>
      <c r="G60" s="561">
        <f>民間住宅1!W62</f>
        <v>4668</v>
      </c>
      <c r="H60" s="546">
        <f>民間設備投資計!W62</f>
        <v>36808</v>
      </c>
      <c r="I60" s="546">
        <f>民間在庫品増加!W62</f>
        <v>-75</v>
      </c>
      <c r="J60" s="558">
        <f>公的投資!W62</f>
        <v>3004</v>
      </c>
      <c r="K60" s="411">
        <f t="shared" si="15"/>
        <v>189343</v>
      </c>
      <c r="L60" s="1336">
        <f t="shared" si="17"/>
        <v>-262</v>
      </c>
      <c r="M60" s="1127">
        <f>移出入推計WS!GX62+移出入推計WS!GZ62+移出入推計WS!HA62</f>
        <v>184963</v>
      </c>
      <c r="N60" s="2006">
        <f>移出入推計WS!GY62</f>
        <v>182007</v>
      </c>
      <c r="O60" s="2004">
        <f>'24R5'!O60</f>
        <v>-3218</v>
      </c>
      <c r="P60" s="293">
        <v>221</v>
      </c>
      <c r="Q60" s="314">
        <f>(C60-'22R3'!C60)/'22R3'!C60*100</f>
        <v>-5.4278183191369109</v>
      </c>
      <c r="R60" s="394">
        <f t="shared" si="3"/>
        <v>189081</v>
      </c>
      <c r="S60" s="394">
        <f t="shared" si="4"/>
        <v>0</v>
      </c>
      <c r="T60" s="49">
        <f>民間設備製造1!S62</f>
        <v>7452</v>
      </c>
      <c r="U60" s="49">
        <v>184361</v>
      </c>
    </row>
    <row r="61" spans="1:21">
      <c r="A61" s="302">
        <v>223</v>
      </c>
      <c r="B61" s="201" t="s">
        <v>223</v>
      </c>
      <c r="C61" s="413">
        <f t="shared" si="13"/>
        <v>269842</v>
      </c>
      <c r="D61" s="546">
        <f>民間消費!W63</f>
        <v>161338</v>
      </c>
      <c r="E61" s="538">
        <f>政府消費!W63</f>
        <v>44648</v>
      </c>
      <c r="F61" s="1888">
        <f t="shared" si="14"/>
        <v>61968</v>
      </c>
      <c r="G61" s="561">
        <f>民間住宅1!W63</f>
        <v>5324</v>
      </c>
      <c r="H61" s="546">
        <f>民間設備投資計!W63</f>
        <v>56753</v>
      </c>
      <c r="I61" s="546">
        <f>民間在庫品増加!W63</f>
        <v>-109</v>
      </c>
      <c r="J61" s="558">
        <f>公的投資!W63</f>
        <v>4932</v>
      </c>
      <c r="K61" s="411">
        <f t="shared" si="15"/>
        <v>272886</v>
      </c>
      <c r="L61" s="1336">
        <f t="shared" si="17"/>
        <v>-3044</v>
      </c>
      <c r="M61" s="1127">
        <f>移出入推計WS!GX63+移出入推計WS!GZ63+移出入推計WS!HA63</f>
        <v>270346</v>
      </c>
      <c r="N61" s="2006">
        <f>移出入推計WS!GY63</f>
        <v>264856</v>
      </c>
      <c r="O61" s="2004">
        <f>'24R5'!O61</f>
        <v>-8534</v>
      </c>
      <c r="P61" s="293">
        <v>223</v>
      </c>
      <c r="Q61" s="314">
        <f>(C61-'22R3'!C61)/'22R3'!C61*100</f>
        <v>3.7371069617601038</v>
      </c>
      <c r="R61" s="394">
        <f t="shared" si="3"/>
        <v>269842</v>
      </c>
      <c r="S61" s="394">
        <f t="shared" si="4"/>
        <v>0</v>
      </c>
      <c r="T61" s="49">
        <f>民間設備製造1!S63</f>
        <v>14081</v>
      </c>
      <c r="U61" s="49">
        <v>268281</v>
      </c>
    </row>
    <row r="62" spans="1:21">
      <c r="A62" s="301">
        <v>9</v>
      </c>
      <c r="B62" s="346" t="s">
        <v>212</v>
      </c>
      <c r="C62" s="308">
        <f>SUM(C63:C65)</f>
        <v>543972</v>
      </c>
      <c r="D62" s="546">
        <f>民間消費!W64</f>
        <v>314876</v>
      </c>
      <c r="E62" s="538">
        <f>政府消費!W64</f>
        <v>109813</v>
      </c>
      <c r="F62" s="308">
        <f>SUM(F63:F65)</f>
        <v>118158</v>
      </c>
      <c r="G62" s="561">
        <f>民間住宅1!W64</f>
        <v>15290</v>
      </c>
      <c r="H62" s="546">
        <f>民間設備投資計!W64</f>
        <v>103097</v>
      </c>
      <c r="I62" s="546">
        <f>民間在庫品増加!W64</f>
        <v>-229</v>
      </c>
      <c r="J62" s="558">
        <f>公的投資!W64</f>
        <v>20745</v>
      </c>
      <c r="K62" s="1997">
        <f>SUM(K63:K65)</f>
        <v>563592</v>
      </c>
      <c r="L62" s="281">
        <f t="shared" ref="L62" si="25">SUM(L63:L65)</f>
        <v>-19620</v>
      </c>
      <c r="M62" s="1127">
        <f>移出入推計WS!GX64+移出入推計WS!GZ64+移出入推計WS!HA64</f>
        <v>574653</v>
      </c>
      <c r="N62" s="2006">
        <f>移出入推計WS!GY64</f>
        <v>559800</v>
      </c>
      <c r="O62" s="2004">
        <f>'24R5'!O62</f>
        <v>-34473</v>
      </c>
      <c r="P62" s="293">
        <v>9</v>
      </c>
      <c r="Q62" s="314">
        <f>(C62-'22R3'!C62)/'22R3'!C62*100</f>
        <v>20.312918158675249</v>
      </c>
      <c r="R62" s="394">
        <f t="shared" si="3"/>
        <v>543972</v>
      </c>
      <c r="S62" s="394">
        <f t="shared" si="4"/>
        <v>0</v>
      </c>
      <c r="T62" s="49">
        <f>民間設備製造1!S64</f>
        <v>15147</v>
      </c>
      <c r="U62" s="49">
        <v>567041</v>
      </c>
    </row>
    <row r="63" spans="1:21">
      <c r="A63" s="300">
        <v>205</v>
      </c>
      <c r="B63" s="92" t="s">
        <v>241</v>
      </c>
      <c r="C63" s="413">
        <f t="shared" si="13"/>
        <v>174325</v>
      </c>
      <c r="D63" s="546">
        <f>民間消費!W65</f>
        <v>107955</v>
      </c>
      <c r="E63" s="538">
        <f>政府消費!W65</f>
        <v>30920</v>
      </c>
      <c r="F63" s="1888">
        <f t="shared" si="14"/>
        <v>45165</v>
      </c>
      <c r="G63" s="561">
        <f>民間住宅1!W65</f>
        <v>4275</v>
      </c>
      <c r="H63" s="546">
        <f>民間設備投資計!W65</f>
        <v>40969</v>
      </c>
      <c r="I63" s="546">
        <f>民間在庫品増加!W65</f>
        <v>-79</v>
      </c>
      <c r="J63" s="558">
        <f>公的投資!W65</f>
        <v>3539</v>
      </c>
      <c r="K63" s="411">
        <f t="shared" si="15"/>
        <v>187579</v>
      </c>
      <c r="L63" s="1336">
        <f t="shared" si="17"/>
        <v>-13254</v>
      </c>
      <c r="M63" s="1127">
        <f>移出入推計WS!GX65+移出入推計WS!GZ65+移出入推計WS!HA65</f>
        <v>186502</v>
      </c>
      <c r="N63" s="2006">
        <f>移出入推計WS!GY65</f>
        <v>193198</v>
      </c>
      <c r="O63" s="2004">
        <f>'24R5'!O63</f>
        <v>-6558</v>
      </c>
      <c r="P63" s="293">
        <v>205</v>
      </c>
      <c r="Q63" s="314">
        <f>(C63-'22R3'!C63)/'22R3'!C63*100</f>
        <v>13.051965317544212</v>
      </c>
      <c r="R63" s="394">
        <f t="shared" si="3"/>
        <v>174325</v>
      </c>
      <c r="S63" s="394">
        <f t="shared" si="4"/>
        <v>0</v>
      </c>
      <c r="T63" s="49">
        <f>民間設備製造1!S65</f>
        <v>9673</v>
      </c>
      <c r="U63" s="49">
        <v>195697</v>
      </c>
    </row>
    <row r="64" spans="1:21">
      <c r="A64" s="300">
        <v>224</v>
      </c>
      <c r="B64" s="90" t="s">
        <v>224</v>
      </c>
      <c r="C64" s="413">
        <f t="shared" si="13"/>
        <v>173864</v>
      </c>
      <c r="D64" s="546">
        <f>民間消費!W66</f>
        <v>102639</v>
      </c>
      <c r="E64" s="538">
        <f>政府消費!W66</f>
        <v>37149</v>
      </c>
      <c r="F64" s="1888">
        <f t="shared" si="14"/>
        <v>33519</v>
      </c>
      <c r="G64" s="561">
        <f>民間住宅1!W66</f>
        <v>3121</v>
      </c>
      <c r="H64" s="546">
        <f>民間設備投資計!W66</f>
        <v>30472</v>
      </c>
      <c r="I64" s="546">
        <f>民間在庫品増加!W66</f>
        <v>-74</v>
      </c>
      <c r="J64" s="558">
        <f>公的投資!W66</f>
        <v>7652</v>
      </c>
      <c r="K64" s="411">
        <f t="shared" si="15"/>
        <v>180959</v>
      </c>
      <c r="L64" s="1336">
        <f t="shared" si="17"/>
        <v>-7095</v>
      </c>
      <c r="M64" s="1127">
        <f>移出入推計WS!GX66+移出入推計WS!GZ66+移出入推計WS!HA66</f>
        <v>185058</v>
      </c>
      <c r="N64" s="2006">
        <f>移出入推計WS!GY66</f>
        <v>180519</v>
      </c>
      <c r="O64" s="2004">
        <f>'24R5'!O64</f>
        <v>-11634</v>
      </c>
      <c r="P64" s="293">
        <v>224</v>
      </c>
      <c r="Q64" s="314">
        <f>(C64-'22R3'!C64)/'22R3'!C64*100</f>
        <v>16.880218347069658</v>
      </c>
      <c r="R64" s="394">
        <f t="shared" si="3"/>
        <v>173864</v>
      </c>
      <c r="S64" s="394">
        <f t="shared" si="4"/>
        <v>0</v>
      </c>
      <c r="T64" s="49">
        <f>民間設備製造1!S66</f>
        <v>2481</v>
      </c>
      <c r="U64" s="49">
        <v>182854</v>
      </c>
    </row>
    <row r="65" spans="1:21">
      <c r="A65" s="302">
        <v>226</v>
      </c>
      <c r="B65" s="201" t="s">
        <v>225</v>
      </c>
      <c r="C65" s="445">
        <f t="shared" si="13"/>
        <v>195783</v>
      </c>
      <c r="D65" s="548">
        <f>民間消費!W67</f>
        <v>104282</v>
      </c>
      <c r="E65" s="542">
        <f>政府消費!W67</f>
        <v>41744</v>
      </c>
      <c r="F65" s="1889">
        <f t="shared" si="14"/>
        <v>39474</v>
      </c>
      <c r="G65" s="562">
        <f>民間住宅1!W67</f>
        <v>7894</v>
      </c>
      <c r="H65" s="548">
        <f>民間設備投資計!W67</f>
        <v>31656</v>
      </c>
      <c r="I65" s="548">
        <f>民間在庫品増加!W67</f>
        <v>-76</v>
      </c>
      <c r="J65" s="559">
        <f>公的投資!W67</f>
        <v>9554</v>
      </c>
      <c r="K65" s="440">
        <f t="shared" si="15"/>
        <v>195054</v>
      </c>
      <c r="L65" s="1396">
        <f t="shared" si="17"/>
        <v>729</v>
      </c>
      <c r="M65" s="1128">
        <f>移出入推計WS!GX67+移出入推計WS!GZ67+移出入推計WS!HA67</f>
        <v>203093</v>
      </c>
      <c r="N65" s="2007">
        <f>移出入推計WS!GY67</f>
        <v>186083</v>
      </c>
      <c r="O65" s="2005">
        <f>'24R5'!O65</f>
        <v>-16281</v>
      </c>
      <c r="P65" s="293">
        <v>226</v>
      </c>
      <c r="Q65" s="314">
        <f>(C65-'22R3'!C65)/'22R3'!C65*100</f>
        <v>31.24120178578611</v>
      </c>
      <c r="R65" s="394">
        <f t="shared" si="3"/>
        <v>195783</v>
      </c>
      <c r="S65" s="394">
        <f t="shared" si="4"/>
        <v>0</v>
      </c>
      <c r="T65" s="49">
        <f>民間設備製造1!S67</f>
        <v>2993</v>
      </c>
      <c r="U65" s="49">
        <v>188490</v>
      </c>
    </row>
    <row r="66" spans="1:21">
      <c r="A66" s="75"/>
      <c r="B66" s="75"/>
      <c r="C66" s="75"/>
      <c r="D66" s="75"/>
      <c r="E66" s="75"/>
      <c r="F66" s="75"/>
      <c r="G66" s="75"/>
      <c r="H66" s="75"/>
      <c r="I66" s="75"/>
      <c r="J66" s="75"/>
      <c r="K66" s="75"/>
      <c r="L66" s="75"/>
      <c r="M66" s="75"/>
      <c r="N66" s="75"/>
      <c r="O66" s="75" t="str">
        <f>'25R6'!O66</f>
        <v>R5固定</v>
      </c>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18.5</v>
      </c>
      <c r="D70" s="384">
        <f>ROUND((D4-'21R2'!D4)/ABS('21R2'!D4)*100,1)</f>
        <v>18.600000000000001</v>
      </c>
      <c r="E70" s="384">
        <f>ROUND((E4-'21R2'!E4)/ABS('21R2'!E4)*100,1)</f>
        <v>18.8</v>
      </c>
      <c r="F70" s="384">
        <f>ROUND((F4-'21R2'!F4)/ABS('21R2'!F4)*100,1)</f>
        <v>45.2</v>
      </c>
      <c r="G70" s="384">
        <f>ROUND((G4-'21R2'!G4)/ABS('21R2'!G4)*100,1)</f>
        <v>13.9</v>
      </c>
      <c r="H70" s="384">
        <f>ROUND((H4-'21R2'!H4)/ABS('21R2'!H4)*100,1)</f>
        <v>44</v>
      </c>
      <c r="I70" s="384">
        <f>ROUND((I4-'21R2'!I4)/ABS('21R2'!I4)*100,1)</f>
        <v>94.8</v>
      </c>
      <c r="J70" s="384">
        <f>ROUND((J4-'21R2'!J4)/ABS('21R2'!J4)*100,1)</f>
        <v>-16.5</v>
      </c>
      <c r="K70" s="384">
        <f>ROUND((K4-'21R2'!K4)/ABS('21R2'!K4)*100,1)</f>
        <v>22.3</v>
      </c>
      <c r="L70" s="384">
        <f>ROUND((L4-'21R2'!L4)/ABS('21R2'!L4)*100,1)</f>
        <v>-36.6</v>
      </c>
      <c r="M70" s="384">
        <f>ROUND((M4-'21R2'!M4)/ABS('21R2'!M4)*100,1)</f>
        <v>38.6</v>
      </c>
      <c r="N70" s="384">
        <f>ROUND((N4-'21R2'!N4)/ABS('21R2'!N4)*100,1)</f>
        <v>44.1</v>
      </c>
      <c r="O70" s="384">
        <f>ROUND((O4-'21R2'!O4)/ABS('21R2'!O4)*100,1)</f>
        <v>-81.2</v>
      </c>
    </row>
    <row r="71" spans="1:21">
      <c r="A71" s="77">
        <v>100</v>
      </c>
      <c r="B71" s="75" t="s">
        <v>172</v>
      </c>
      <c r="C71" s="384">
        <f>ROUND((C5-'21R2'!C5)/ABS('21R2'!C5)*100,1)</f>
        <v>9.5</v>
      </c>
      <c r="D71" s="384">
        <f>ROUND((D5-'21R2'!D5)/ABS('21R2'!D5)*100,1)</f>
        <v>12.9</v>
      </c>
      <c r="E71" s="384">
        <f>ROUND((E5-'21R2'!E5)/ABS('21R2'!E5)*100,1)</f>
        <v>17.100000000000001</v>
      </c>
      <c r="F71" s="384">
        <f>ROUND((F5-'21R2'!F5)/ABS('21R2'!F5)*100,1)</f>
        <v>45.4</v>
      </c>
      <c r="G71" s="384">
        <f>ROUND((G5-'21R2'!G5)/ABS('21R2'!G5)*100,1)</f>
        <v>9.5</v>
      </c>
      <c r="H71" s="384">
        <f>ROUND((H5-'21R2'!H5)/ABS('21R2'!H5)*100,1)</f>
        <v>44.1</v>
      </c>
      <c r="I71" s="384">
        <f>ROUND((I5-'21R2'!I5)/ABS('21R2'!I5)*100,1)</f>
        <v>94.9</v>
      </c>
      <c r="J71" s="384">
        <f>ROUND((J5-'21R2'!J5)/ABS('21R2'!J5)*100,1)</f>
        <v>-20.7</v>
      </c>
      <c r="K71" s="384">
        <f>ROUND((K5-'21R2'!K5)/ABS('21R2'!K5)*100,1)</f>
        <v>17.100000000000001</v>
      </c>
      <c r="L71" s="384">
        <f>ROUND((L5-'21R2'!L5)/ABS('21R2'!L5)*100,1)</f>
        <v>-70.599999999999994</v>
      </c>
      <c r="M71" s="384">
        <f>ROUND((M5-'21R2'!M5)/ABS('21R2'!M5)*100,1)</f>
        <v>28.8</v>
      </c>
      <c r="N71" s="384">
        <f>ROUND((N5-'21R2'!N5)/ABS('21R2'!N5)*100,1)</f>
        <v>39.700000000000003</v>
      </c>
      <c r="O71" s="384">
        <f>ROUND((O5-'21R2'!O5)/ABS('21R2'!O5)*100,1)</f>
        <v>-72</v>
      </c>
    </row>
    <row r="72" spans="1:21">
      <c r="A72" s="77">
        <v>1</v>
      </c>
      <c r="B72" s="75" t="s">
        <v>323</v>
      </c>
      <c r="C72" s="384">
        <f>ROUND((C6-'21R2'!C6)/ABS('21R2'!C6)*100,1)</f>
        <v>32.200000000000003</v>
      </c>
      <c r="D72" s="384">
        <f>ROUND((D6-'21R2'!D6)/ABS('21R2'!D6)*100,1)</f>
        <v>15.9</v>
      </c>
      <c r="E72" s="384">
        <f>ROUND((E6-'21R2'!E6)/ABS('21R2'!E6)*100,1)</f>
        <v>19.100000000000001</v>
      </c>
      <c r="F72" s="384">
        <f>ROUND((F6-'21R2'!F6)/ABS('21R2'!F6)*100,1)</f>
        <v>39.299999999999997</v>
      </c>
      <c r="G72" s="384">
        <f>ROUND((G6-'21R2'!G6)/ABS('21R2'!G6)*100,1)</f>
        <v>8.3000000000000007</v>
      </c>
      <c r="H72" s="384">
        <f>ROUND((H6-'21R2'!H6)/ABS('21R2'!H6)*100,1)</f>
        <v>40.299999999999997</v>
      </c>
      <c r="I72" s="384">
        <f>ROUND((I6-'21R2'!I6)/ABS('21R2'!I6)*100,1)</f>
        <v>94.9</v>
      </c>
      <c r="J72" s="384">
        <f>ROUND((J6-'21R2'!J6)/ABS('21R2'!J6)*100,1)</f>
        <v>-29.1</v>
      </c>
      <c r="K72" s="384">
        <f>ROUND((K6-'21R2'!K6)/ABS('21R2'!K6)*100,1)</f>
        <v>18.7</v>
      </c>
      <c r="L72" s="384">
        <f>ROUND((L6-'21R2'!L6)/ABS('21R2'!L6)*100,1)</f>
        <v>169.3</v>
      </c>
      <c r="M72" s="384">
        <f>ROUND((M6-'21R2'!M6)/ABS('21R2'!M6)*100,1)</f>
        <v>55.3</v>
      </c>
      <c r="N72" s="384">
        <f>ROUND((N6-'21R2'!N6)/ABS('21R2'!N6)*100,1)</f>
        <v>39.299999999999997</v>
      </c>
      <c r="O72" s="384">
        <f>ROUND((O6-'21R2'!O6)/ABS('21R2'!O6)*100,1)</f>
        <v>-0.1</v>
      </c>
    </row>
    <row r="73" spans="1:21">
      <c r="A73" s="77">
        <v>2</v>
      </c>
      <c r="B73" s="75" t="s">
        <v>324</v>
      </c>
      <c r="C73" s="384">
        <f>ROUND((C7-'21R2'!C7)/ABS('21R2'!C7)*100,1)</f>
        <v>66.2</v>
      </c>
      <c r="D73" s="384">
        <f>ROUND((D7-'21R2'!D7)/ABS('21R2'!D7)*100,1)</f>
        <v>24.8</v>
      </c>
      <c r="E73" s="384">
        <f>ROUND((E7-'21R2'!E7)/ABS('21R2'!E7)*100,1)</f>
        <v>18.8</v>
      </c>
      <c r="F73" s="384">
        <f>ROUND((F7-'21R2'!F7)/ABS('21R2'!F7)*100,1)</f>
        <v>44.1</v>
      </c>
      <c r="G73" s="384">
        <f>ROUND((G7-'21R2'!G7)/ABS('21R2'!G7)*100,1)</f>
        <v>32.4</v>
      </c>
      <c r="H73" s="384">
        <f>ROUND((H7-'21R2'!H7)/ABS('21R2'!H7)*100,1)</f>
        <v>39</v>
      </c>
      <c r="I73" s="384">
        <f>ROUND((I7-'21R2'!I7)/ABS('21R2'!I7)*100,1)</f>
        <v>94.6</v>
      </c>
      <c r="J73" s="384">
        <f>ROUND((J7-'21R2'!J7)/ABS('21R2'!J7)*100,1)</f>
        <v>222.1</v>
      </c>
      <c r="K73" s="384">
        <f>ROUND((K7-'21R2'!K7)/ABS('21R2'!K7)*100,1)</f>
        <v>33</v>
      </c>
      <c r="L73" s="384">
        <f>ROUND((L7-'21R2'!L7)/ABS('21R2'!L7)*100,1)</f>
        <v>189.2</v>
      </c>
      <c r="M73" s="384">
        <f>ROUND((M7-'21R2'!M7)/ABS('21R2'!M7)*100,1)</f>
        <v>84.3</v>
      </c>
      <c r="N73" s="384">
        <f>ROUND((N7-'21R2'!N7)/ABS('21R2'!N7)*100,1)</f>
        <v>47.9</v>
      </c>
      <c r="O73" s="384">
        <f>ROUND((O7-'21R2'!O7)/ABS('21R2'!O7)*100,1)</f>
        <v>25.4</v>
      </c>
    </row>
    <row r="74" spans="1:21">
      <c r="A74" s="77">
        <v>3</v>
      </c>
      <c r="B74" s="75" t="s">
        <v>192</v>
      </c>
      <c r="C74" s="384">
        <f>ROUND((C8-'21R2'!C8)/ABS('21R2'!C8)*100,1)</f>
        <v>22.7</v>
      </c>
      <c r="D74" s="384">
        <f>ROUND((D8-'21R2'!D8)/ABS('21R2'!D8)*100,1)</f>
        <v>26.5</v>
      </c>
      <c r="E74" s="384">
        <f>ROUND((E8-'21R2'!E8)/ABS('21R2'!E8)*100,1)</f>
        <v>21.8</v>
      </c>
      <c r="F74" s="384">
        <f>ROUND((F8-'21R2'!F8)/ABS('21R2'!F8)*100,1)</f>
        <v>49.5</v>
      </c>
      <c r="G74" s="384">
        <f>ROUND((G8-'21R2'!G8)/ABS('21R2'!G8)*100,1)</f>
        <v>9.4</v>
      </c>
      <c r="H74" s="384">
        <f>ROUND((H8-'21R2'!H8)/ABS('21R2'!H8)*100,1)</f>
        <v>50.5</v>
      </c>
      <c r="I74" s="384">
        <f>ROUND((I8-'21R2'!I8)/ABS('21R2'!I8)*100,1)</f>
        <v>94.5</v>
      </c>
      <c r="J74" s="384">
        <f>ROUND((J8-'21R2'!J8)/ABS('21R2'!J8)*100,1)</f>
        <v>-32.299999999999997</v>
      </c>
      <c r="K74" s="384">
        <f>ROUND((K8-'21R2'!K8)/ABS('21R2'!K8)*100,1)</f>
        <v>29.5</v>
      </c>
      <c r="L74" s="384">
        <f>ROUND((L8-'21R2'!L8)/ABS('21R2'!L8)*100,1)</f>
        <v>-40.299999999999997</v>
      </c>
      <c r="M74" s="384">
        <f>ROUND((M8-'21R2'!M8)/ABS('21R2'!M8)*100,1)</f>
        <v>44</v>
      </c>
      <c r="N74" s="384">
        <f>ROUND((N8-'21R2'!N8)/ABS('21R2'!N8)*100,1)</f>
        <v>50.3</v>
      </c>
      <c r="O74" s="384">
        <f>ROUND((O8-'21R2'!O8)/ABS('21R2'!O8)*100,1)</f>
        <v>-1049.8</v>
      </c>
    </row>
    <row r="75" spans="1:21">
      <c r="A75" s="77">
        <v>4</v>
      </c>
      <c r="B75" s="75" t="s">
        <v>325</v>
      </c>
      <c r="C75" s="384">
        <f>ROUND((C9-'21R2'!C9)/ABS('21R2'!C9)*100,1)</f>
        <v>-3.8</v>
      </c>
      <c r="D75" s="384">
        <f>ROUND((D9-'21R2'!D9)/ABS('21R2'!D9)*100,1)</f>
        <v>29</v>
      </c>
      <c r="E75" s="384">
        <f>ROUND((E9-'21R2'!E9)/ABS('21R2'!E9)*100,1)</f>
        <v>17.8</v>
      </c>
      <c r="F75" s="384">
        <f>ROUND((F9-'21R2'!F9)/ABS('21R2'!F9)*100,1)</f>
        <v>67.7</v>
      </c>
      <c r="G75" s="384">
        <f>ROUND((G9-'21R2'!G9)/ABS('21R2'!G9)*100,1)</f>
        <v>11</v>
      </c>
      <c r="H75" s="384">
        <f>ROUND((H9-'21R2'!H9)/ABS('21R2'!H9)*100,1)</f>
        <v>67.900000000000006</v>
      </c>
      <c r="I75" s="384">
        <f>ROUND((I9-'21R2'!I9)/ABS('21R2'!I9)*100,1)</f>
        <v>94.2</v>
      </c>
      <c r="J75" s="384">
        <f>ROUND((J9-'21R2'!J9)/ABS('21R2'!J9)*100,1)</f>
        <v>-12.9</v>
      </c>
      <c r="K75" s="384">
        <f>ROUND((K9-'21R2'!K9)/ABS('21R2'!K9)*100,1)</f>
        <v>33.200000000000003</v>
      </c>
      <c r="L75" s="384">
        <f>ROUND((L9-'21R2'!L9)/ABS('21R2'!L9)*100,1)</f>
        <v>-91.4</v>
      </c>
      <c r="M75" s="384">
        <f>ROUND((M9-'21R2'!M9)/ABS('21R2'!M9)*100,1)</f>
        <v>10.8</v>
      </c>
      <c r="N75" s="384">
        <f>ROUND((N9-'21R2'!N9)/ABS('21R2'!N9)*100,1)</f>
        <v>58.5</v>
      </c>
      <c r="O75" s="384">
        <f>ROUND((O9-'21R2'!O9)/ABS('21R2'!O9)*100,1)</f>
        <v>-86.5</v>
      </c>
      <c r="R75" s="383"/>
      <c r="S75" s="383"/>
    </row>
    <row r="76" spans="1:21">
      <c r="A76" s="77">
        <v>5</v>
      </c>
      <c r="B76" s="75" t="s">
        <v>326</v>
      </c>
      <c r="C76" s="384">
        <f>ROUND((C10-'21R2'!C10)/ABS('21R2'!C10)*100,1)</f>
        <v>5.2</v>
      </c>
      <c r="D76" s="384">
        <f>ROUND((D10-'21R2'!D10)/ABS('21R2'!D10)*100,1)</f>
        <v>15.9</v>
      </c>
      <c r="E76" s="384">
        <f>ROUND((E10-'21R2'!E10)/ABS('21R2'!E10)*100,1)</f>
        <v>25</v>
      </c>
      <c r="F76" s="384">
        <f>ROUND((F10-'21R2'!F10)/ABS('21R2'!F10)*100,1)</f>
        <v>29.6</v>
      </c>
      <c r="G76" s="384">
        <f>ROUND((G10-'21R2'!G10)/ABS('21R2'!G10)*100,1)</f>
        <v>14.5</v>
      </c>
      <c r="H76" s="384">
        <f>ROUND((H10-'21R2'!H10)/ABS('21R2'!H10)*100,1)</f>
        <v>27.3</v>
      </c>
      <c r="I76" s="384">
        <f>ROUND((I10-'21R2'!I10)/ABS('21R2'!I10)*100,1)</f>
        <v>95</v>
      </c>
      <c r="J76" s="384">
        <f>ROUND((J10-'21R2'!J10)/ABS('21R2'!J10)*100,1)</f>
        <v>-66.599999999999994</v>
      </c>
      <c r="K76" s="384">
        <f>ROUND((K10-'21R2'!K10)/ABS('21R2'!K10)*100,1)</f>
        <v>15.4</v>
      </c>
      <c r="L76" s="384">
        <f>ROUND((L10-'21R2'!L10)/ABS('21R2'!L10)*100,1)</f>
        <v>-70.599999999999994</v>
      </c>
      <c r="M76" s="384">
        <f>ROUND((M10-'21R2'!M10)/ABS('21R2'!M10)*100,1)</f>
        <v>23</v>
      </c>
      <c r="N76" s="384">
        <f>ROUND((N10-'21R2'!N10)/ABS('21R2'!N10)*100,1)</f>
        <v>36.200000000000003</v>
      </c>
      <c r="O76" s="384">
        <f>ROUND((O10-'21R2'!O10)/ABS('21R2'!O10)*100,1)</f>
        <v>-194.9</v>
      </c>
      <c r="R76" s="383"/>
      <c r="S76" s="383"/>
    </row>
    <row r="77" spans="1:21">
      <c r="A77" s="77">
        <v>6</v>
      </c>
      <c r="B77" s="75" t="s">
        <v>327</v>
      </c>
      <c r="C77" s="384">
        <f>ROUND((C11-'21R2'!C11)/ABS('21R2'!C11)*100,1)</f>
        <v>-1.6</v>
      </c>
      <c r="D77" s="384">
        <f>ROUND((D11-'21R2'!D11)/ABS('21R2'!D11)*100,1)</f>
        <v>23.5</v>
      </c>
      <c r="E77" s="384">
        <f>ROUND((E11-'21R2'!E11)/ABS('21R2'!E11)*100,1)</f>
        <v>16.600000000000001</v>
      </c>
      <c r="F77" s="384">
        <f>ROUND((F11-'21R2'!F11)/ABS('21R2'!F11)*100,1)</f>
        <v>53.4</v>
      </c>
      <c r="G77" s="384">
        <f>ROUND((G11-'21R2'!G11)/ABS('21R2'!G11)*100,1)</f>
        <v>26.5</v>
      </c>
      <c r="H77" s="384">
        <f>ROUND((H11-'21R2'!H11)/ABS('21R2'!H11)*100,1)</f>
        <v>49.7</v>
      </c>
      <c r="I77" s="384">
        <f>ROUND((I11-'21R2'!I11)/ABS('21R2'!I11)*100,1)</f>
        <v>94.5</v>
      </c>
      <c r="J77" s="384">
        <f>ROUND((J11-'21R2'!J11)/ABS('21R2'!J11)*100,1)</f>
        <v>-38.5</v>
      </c>
      <c r="K77" s="384">
        <f>ROUND((K11-'21R2'!K11)/ABS('21R2'!K11)*100,1)</f>
        <v>25.2</v>
      </c>
      <c r="L77" s="384">
        <f>ROUND((L11-'21R2'!L11)/ABS('21R2'!L11)*100,1)</f>
        <v>-96.8</v>
      </c>
      <c r="M77" s="384">
        <f>ROUND((M11-'21R2'!M11)/ABS('21R2'!M11)*100,1)</f>
        <v>17</v>
      </c>
      <c r="N77" s="384">
        <f>ROUND((N11-'21R2'!N11)/ABS('21R2'!N11)*100,1)</f>
        <v>52.1</v>
      </c>
      <c r="O77" s="384">
        <f>ROUND((O11-'21R2'!O11)/ABS('21R2'!O11)*100,1)</f>
        <v>-152.4</v>
      </c>
      <c r="R77" s="383"/>
      <c r="S77" s="383"/>
    </row>
    <row r="78" spans="1:21">
      <c r="A78" s="77">
        <v>7</v>
      </c>
      <c r="B78" s="75" t="s">
        <v>210</v>
      </c>
      <c r="C78" s="384">
        <f>ROUND((C12-'21R2'!C12)/ABS('21R2'!C12)*100,1)</f>
        <v>10.4</v>
      </c>
      <c r="D78" s="384">
        <f>ROUND((D12-'21R2'!D12)/ABS('21R2'!D12)*100,1)</f>
        <v>17.5</v>
      </c>
      <c r="E78" s="384">
        <f>ROUND((E12-'21R2'!E12)/ABS('21R2'!E12)*100,1)</f>
        <v>17.3</v>
      </c>
      <c r="F78" s="384">
        <f>ROUND((F12-'21R2'!F12)/ABS('21R2'!F12)*100,1)</f>
        <v>90.5</v>
      </c>
      <c r="G78" s="384">
        <f>ROUND((G12-'21R2'!G12)/ABS('21R2'!G12)*100,1)</f>
        <v>13.5</v>
      </c>
      <c r="H78" s="384">
        <f>ROUND((H12-'21R2'!H12)/ABS('21R2'!H12)*100,1)</f>
        <v>88.1</v>
      </c>
      <c r="I78" s="384">
        <f>ROUND((I12-'21R2'!I12)/ABS('21R2'!I12)*100,1)</f>
        <v>94.3</v>
      </c>
      <c r="J78" s="384">
        <f>ROUND((J12-'21R2'!J12)/ABS('21R2'!J12)*100,1)</f>
        <v>-46.3</v>
      </c>
      <c r="K78" s="384">
        <f>ROUND((K12-'21R2'!K12)/ABS('21R2'!K12)*100,1)</f>
        <v>23.4</v>
      </c>
      <c r="L78" s="384">
        <f>ROUND((L12-'21R2'!L12)/ABS('21R2'!L12)*100,1)</f>
        <v>-134.5</v>
      </c>
      <c r="M78" s="384">
        <f>ROUND((M12-'21R2'!M12)/ABS('21R2'!M12)*100,1)</f>
        <v>36.9</v>
      </c>
      <c r="N78" s="384">
        <f>ROUND((N12-'21R2'!N12)/ABS('21R2'!N12)*100,1)</f>
        <v>54.7</v>
      </c>
      <c r="O78" s="384">
        <f>ROUND((O12-'21R2'!O12)/ABS('21R2'!O12)*100,1)</f>
        <v>-67.2</v>
      </c>
      <c r="R78" s="383"/>
      <c r="S78" s="383"/>
    </row>
    <row r="79" spans="1:21">
      <c r="A79" s="77">
        <v>8</v>
      </c>
      <c r="B79" s="75" t="s">
        <v>211</v>
      </c>
      <c r="C79" s="384">
        <f>ROUND((C13-'21R2'!C13)/ABS('21R2'!C13)*100,1)</f>
        <v>1.3</v>
      </c>
      <c r="D79" s="384">
        <f>ROUND((D13-'21R2'!D13)/ABS('21R2'!D13)*100,1)</f>
        <v>26.1</v>
      </c>
      <c r="E79" s="384">
        <f>ROUND((E13-'21R2'!E13)/ABS('21R2'!E13)*100,1)</f>
        <v>21.4</v>
      </c>
      <c r="F79" s="384">
        <f>ROUND((F13-'21R2'!F13)/ABS('21R2'!F13)*100,1)</f>
        <v>28.8</v>
      </c>
      <c r="G79" s="384">
        <f>ROUND((G13-'21R2'!G13)/ABS('21R2'!G13)*100,1)</f>
        <v>17.7</v>
      </c>
      <c r="H79" s="384">
        <f>ROUND((H13-'21R2'!H13)/ABS('21R2'!H13)*100,1)</f>
        <v>24.6</v>
      </c>
      <c r="I79" s="384">
        <f>ROUND((I13-'21R2'!I13)/ABS('21R2'!I13)*100,1)</f>
        <v>94.5</v>
      </c>
      <c r="J79" s="384">
        <f>ROUND((J13-'21R2'!J13)/ABS('21R2'!J13)*100,1)</f>
        <v>-47</v>
      </c>
      <c r="K79" s="384">
        <f>ROUND((K13-'21R2'!K13)/ABS('21R2'!K13)*100,1)</f>
        <v>22.9</v>
      </c>
      <c r="L79" s="384">
        <f>ROUND((L13-'21R2'!L13)/ABS('21R2'!L13)*100,1)</f>
        <v>-104.3</v>
      </c>
      <c r="M79" s="384">
        <f>ROUND((M13-'21R2'!M13)/ABS('21R2'!M13)*100,1)</f>
        <v>21.8</v>
      </c>
      <c r="N79" s="384">
        <f>ROUND((N13-'21R2'!N13)/ABS('21R2'!N13)*100,1)</f>
        <v>51.5</v>
      </c>
      <c r="O79" s="384">
        <f>ROUND((O13-'21R2'!O13)/ABS('21R2'!O13)*100,1)</f>
        <v>-552.9</v>
      </c>
      <c r="R79" s="383"/>
      <c r="S79" s="383"/>
    </row>
    <row r="80" spans="1:21">
      <c r="A80" s="77">
        <v>9</v>
      </c>
      <c r="B80" s="75" t="s">
        <v>212</v>
      </c>
      <c r="C80" s="384">
        <f>ROUND((C14-'21R2'!C14)/ABS('21R2'!C14)*100,1)</f>
        <v>23.2</v>
      </c>
      <c r="D80" s="384">
        <f>ROUND((D14-'21R2'!D14)/ABS('21R2'!D14)*100,1)</f>
        <v>24.8</v>
      </c>
      <c r="E80" s="384">
        <f>ROUND((E14-'21R2'!E14)/ABS('21R2'!E14)*100,1)</f>
        <v>14.9</v>
      </c>
      <c r="F80" s="384">
        <f>ROUND((F14-'21R2'!F14)/ABS('21R2'!F14)*100,1)</f>
        <v>88</v>
      </c>
      <c r="G80" s="384">
        <f>ROUND((G14-'21R2'!G14)/ABS('21R2'!G14)*100,1)</f>
        <v>79.599999999999994</v>
      </c>
      <c r="H80" s="384">
        <f>ROUND((H14-'21R2'!H14)/ABS('21R2'!H14)*100,1)</f>
        <v>77.099999999999994</v>
      </c>
      <c r="I80" s="384">
        <f>ROUND((I14-'21R2'!I14)/ABS('21R2'!I14)*100,1)</f>
        <v>94</v>
      </c>
      <c r="J80" s="384">
        <f>ROUND((J14-'21R2'!J14)/ABS('21R2'!J14)*100,1)</f>
        <v>-16.899999999999999</v>
      </c>
      <c r="K80" s="384">
        <f>ROUND((K14-'21R2'!K14)/ABS('21R2'!K14)*100,1)</f>
        <v>29.3</v>
      </c>
      <c r="L80" s="384">
        <f>ROUND((L14-'21R2'!L14)/ABS('21R2'!L14)*100,1)</f>
        <v>-435.2</v>
      </c>
      <c r="M80" s="384">
        <f>ROUND((M14-'21R2'!M14)/ABS('21R2'!M14)*100,1)</f>
        <v>51.8</v>
      </c>
      <c r="N80" s="384">
        <f>ROUND((N14-'21R2'!N14)/ABS('21R2'!N14)*100,1)</f>
        <v>63.8</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9.5</v>
      </c>
      <c r="D82" s="384">
        <f>ROUND((D16-'21R2'!D16)/ABS('21R2'!D16)*100,1)</f>
        <v>12.9</v>
      </c>
      <c r="E82" s="384">
        <f>ROUND((E16-'21R2'!E16)/ABS('21R2'!E16)*100,1)</f>
        <v>17.100000000000001</v>
      </c>
      <c r="F82" s="384">
        <f>ROUND((F16-'21R2'!F16)/ABS('21R2'!F16)*100,1)</f>
        <v>45.4</v>
      </c>
      <c r="G82" s="384">
        <f>ROUND((G16-'21R2'!G16)/ABS('21R2'!G16)*100,1)</f>
        <v>9.5</v>
      </c>
      <c r="H82" s="384">
        <f>ROUND((H16-'21R2'!H16)/ABS('21R2'!H16)*100,1)</f>
        <v>44.1</v>
      </c>
      <c r="I82" s="384">
        <f>ROUND((I16-'21R2'!I16)/ABS('21R2'!I16)*100,1)</f>
        <v>94.9</v>
      </c>
      <c r="J82" s="384">
        <f>ROUND((J16-'21R2'!J16)/ABS('21R2'!J16)*100,1)</f>
        <v>-20.7</v>
      </c>
      <c r="K82" s="384">
        <f>ROUND((K16-'21R2'!K16)/ABS('21R2'!K16)*100,1)</f>
        <v>17.100000000000001</v>
      </c>
      <c r="L82" s="384">
        <f>ROUND((L16-'21R2'!L16)/ABS('21R2'!L16)*100,1)</f>
        <v>-70.599999999999994</v>
      </c>
      <c r="M82" s="384">
        <f>ROUND((M16-'21R2'!M16)/ABS('21R2'!M16)*100,1)</f>
        <v>28.8</v>
      </c>
      <c r="N82" s="384">
        <f>ROUND((N16-'21R2'!N16)/ABS('21R2'!N16)*100,1)</f>
        <v>39.700000000000003</v>
      </c>
      <c r="O82" s="384">
        <f>ROUND((O16-'21R2'!O16)/ABS('21R2'!O16)*100,1)</f>
        <v>-72</v>
      </c>
      <c r="R82" s="383"/>
      <c r="S82" s="383"/>
    </row>
    <row r="83" spans="1:19">
      <c r="A83" s="293">
        <v>1</v>
      </c>
      <c r="B83" s="65" t="s">
        <v>182</v>
      </c>
      <c r="C83" s="384">
        <f>ROUND((C17-'21R2'!C17)/ABS('21R2'!C17)*100,1)</f>
        <v>32.200000000000003</v>
      </c>
      <c r="D83" s="384">
        <f>ROUND((D17-'21R2'!D17)/ABS('21R2'!D17)*100,1)</f>
        <v>15.9</v>
      </c>
      <c r="E83" s="384">
        <f>ROUND((E17-'21R2'!E17)/ABS('21R2'!E17)*100,1)</f>
        <v>19.100000000000001</v>
      </c>
      <c r="F83" s="384">
        <f>ROUND((F17-'21R2'!F17)/ABS('21R2'!F17)*100,1)</f>
        <v>39.299999999999997</v>
      </c>
      <c r="G83" s="384">
        <f>ROUND((G17-'21R2'!G17)/ABS('21R2'!G17)*100,1)</f>
        <v>8.3000000000000007</v>
      </c>
      <c r="H83" s="384">
        <f>ROUND((H17-'21R2'!H17)/ABS('21R2'!H17)*100,1)</f>
        <v>40.299999999999997</v>
      </c>
      <c r="I83" s="384">
        <f>ROUND((I17-'21R2'!I17)/ABS('21R2'!I17)*100,1)</f>
        <v>94.9</v>
      </c>
      <c r="J83" s="384">
        <f>ROUND((J17-'21R2'!J17)/ABS('21R2'!J17)*100,1)</f>
        <v>-29.1</v>
      </c>
      <c r="K83" s="384">
        <f>ROUND((K17-'21R2'!K17)/ABS('21R2'!K17)*100,1)</f>
        <v>18.7</v>
      </c>
      <c r="L83" s="384">
        <f>ROUND((L17-'21R2'!L17)/ABS('21R2'!L17)*100,1)</f>
        <v>169.3</v>
      </c>
      <c r="M83" s="384">
        <f>ROUND((M17-'21R2'!M17)/ABS('21R2'!M17)*100,1)</f>
        <v>55.3</v>
      </c>
      <c r="N83" s="384">
        <f>ROUND((N17-'21R2'!N17)/ABS('21R2'!N17)*100,1)</f>
        <v>39.299999999999997</v>
      </c>
      <c r="O83" s="384">
        <f>ROUND((O17-'21R2'!O17)/ABS('21R2'!O17)*100,1)</f>
        <v>-0.1</v>
      </c>
      <c r="R83" s="383"/>
      <c r="S83" s="383"/>
    </row>
    <row r="84" spans="1:19">
      <c r="A84" s="293">
        <v>202</v>
      </c>
      <c r="B84" s="90" t="s">
        <v>183</v>
      </c>
      <c r="C84" s="384">
        <f>ROUND((C18-'21R2'!C18)/ABS('21R2'!C18)*100,1)</f>
        <v>18</v>
      </c>
      <c r="D84" s="384">
        <f>ROUND((D18-'21R2'!D18)/ABS('21R2'!D18)*100,1)</f>
        <v>16.600000000000001</v>
      </c>
      <c r="E84" s="384">
        <f>ROUND((E18-'21R2'!E18)/ABS('21R2'!E18)*100,1)</f>
        <v>18.3</v>
      </c>
      <c r="F84" s="384">
        <f>ROUND((F18-'21R2'!F18)/ABS('21R2'!F18)*100,1)</f>
        <v>44.9</v>
      </c>
      <c r="G84" s="384">
        <f>ROUND((G18-'21R2'!G18)/ABS('21R2'!G18)*100,1)</f>
        <v>28.7</v>
      </c>
      <c r="H84" s="384">
        <f>ROUND((H18-'21R2'!H18)/ABS('21R2'!H18)*100,1)</f>
        <v>41.5</v>
      </c>
      <c r="I84" s="384">
        <f>ROUND((I18-'21R2'!I18)/ABS('21R2'!I18)*100,1)</f>
        <v>94.9</v>
      </c>
      <c r="J84" s="384">
        <f>ROUND((J18-'21R2'!J18)/ABS('21R2'!J18)*100,1)</f>
        <v>-24.4</v>
      </c>
      <c r="K84" s="384">
        <f>ROUND((K18-'21R2'!K18)/ABS('21R2'!K18)*100,1)</f>
        <v>21</v>
      </c>
      <c r="L84" s="384">
        <f>ROUND((L18-'21R2'!L18)/ABS('21R2'!L18)*100,1)</f>
        <v>-18.5</v>
      </c>
      <c r="M84" s="384">
        <f>ROUND((M18-'21R2'!M18)/ABS('21R2'!M18)*100,1)</f>
        <v>35.200000000000003</v>
      </c>
      <c r="N84" s="384">
        <f>ROUND((N18-'21R2'!N18)/ABS('21R2'!N18)*100,1)</f>
        <v>39.5</v>
      </c>
      <c r="O84" s="384">
        <f>ROUND((O18-'21R2'!O18)/ABS('21R2'!O18)*100,1)</f>
        <v>-1400.4</v>
      </c>
      <c r="R84" s="383"/>
      <c r="S84" s="383"/>
    </row>
    <row r="85" spans="1:19">
      <c r="A85" s="293">
        <v>204</v>
      </c>
      <c r="B85" s="90" t="s">
        <v>184</v>
      </c>
      <c r="C85" s="384">
        <f>ROUND((C19-'21R2'!C19)/ABS('21R2'!C19)*100,1)</f>
        <v>42.6</v>
      </c>
      <c r="D85" s="384">
        <f>ROUND((D19-'21R2'!D19)/ABS('21R2'!D19)*100,1)</f>
        <v>13.8</v>
      </c>
      <c r="E85" s="384">
        <f>ROUND((E19-'21R2'!E19)/ABS('21R2'!E19)*100,1)</f>
        <v>20.100000000000001</v>
      </c>
      <c r="F85" s="384">
        <f>ROUND((F19-'21R2'!F19)/ABS('21R2'!F19)*100,1)</f>
        <v>31.2</v>
      </c>
      <c r="G85" s="384">
        <f>ROUND((G19-'21R2'!G19)/ABS('21R2'!G19)*100,1)</f>
        <v>-8.3000000000000007</v>
      </c>
      <c r="H85" s="384">
        <f>ROUND((H19-'21R2'!H19)/ABS('21R2'!H19)*100,1)</f>
        <v>37.299999999999997</v>
      </c>
      <c r="I85" s="384">
        <f>ROUND((I19-'21R2'!I19)/ABS('21R2'!I19)*100,1)</f>
        <v>95</v>
      </c>
      <c r="J85" s="384">
        <f>ROUND((J19-'21R2'!J19)/ABS('21R2'!J19)*100,1)</f>
        <v>-39</v>
      </c>
      <c r="K85" s="384">
        <f>ROUND((K19-'21R2'!K19)/ABS('21R2'!K19)*100,1)</f>
        <v>15.6</v>
      </c>
      <c r="L85" s="384">
        <f>ROUND((L19-'21R2'!L19)/ABS('21R2'!L19)*100,1)</f>
        <v>119.7</v>
      </c>
      <c r="M85" s="384">
        <f>ROUND((M19-'21R2'!M19)/ABS('21R2'!M19)*100,1)</f>
        <v>70.400000000000006</v>
      </c>
      <c r="N85" s="384">
        <f>ROUND((N19-'21R2'!N19)/ABS('21R2'!N19)*100,1)</f>
        <v>37.200000000000003</v>
      </c>
      <c r="O85" s="384">
        <f>ROUND((O19-'21R2'!O19)/ABS('21R2'!O19)*100,1)</f>
        <v>4.3</v>
      </c>
      <c r="R85" s="383"/>
      <c r="S85" s="383"/>
    </row>
    <row r="86" spans="1:19">
      <c r="A86" s="293">
        <v>206</v>
      </c>
      <c r="B86" s="90" t="s">
        <v>185</v>
      </c>
      <c r="C86" s="384">
        <f>ROUND((C20-'21R2'!C20)/ABS('21R2'!C20)*100,1)</f>
        <v>85.2</v>
      </c>
      <c r="D86" s="384">
        <f>ROUND((D20-'21R2'!D20)/ABS('21R2'!D20)*100,1)</f>
        <v>23.2</v>
      </c>
      <c r="E86" s="384">
        <f>ROUND((E20-'21R2'!E20)/ABS('21R2'!E20)*100,1)</f>
        <v>17.8</v>
      </c>
      <c r="F86" s="384">
        <f>ROUND((F20-'21R2'!F20)/ABS('21R2'!F20)*100,1)</f>
        <v>47.5</v>
      </c>
      <c r="G86" s="384">
        <f>ROUND((G20-'21R2'!G20)/ABS('21R2'!G20)*100,1)</f>
        <v>-8.1</v>
      </c>
      <c r="H86" s="384">
        <f>ROUND((H20-'21R2'!H20)/ABS('21R2'!H20)*100,1)</f>
        <v>47.8</v>
      </c>
      <c r="I86" s="384">
        <f>ROUND((I20-'21R2'!I20)/ABS('21R2'!I20)*100,1)</f>
        <v>94.6</v>
      </c>
      <c r="J86" s="384">
        <f>ROUND((J20-'21R2'!J20)/ABS('21R2'!J20)*100,1)</f>
        <v>-15.9</v>
      </c>
      <c r="K86" s="384">
        <f>ROUND((K20-'21R2'!K20)/ABS('21R2'!K20)*100,1)</f>
        <v>22.7</v>
      </c>
      <c r="L86" s="384">
        <f>ROUND((L20-'21R2'!L20)/ABS('21R2'!L20)*100,1)</f>
        <v>101.9</v>
      </c>
      <c r="M86" s="384">
        <f>ROUND((M20-'21R2'!M20)/ABS('21R2'!M20)*100,1)</f>
        <v>119.5</v>
      </c>
      <c r="N86" s="384">
        <f>ROUND((N20-'21R2'!N20)/ABS('21R2'!N20)*100,1)</f>
        <v>49.1</v>
      </c>
      <c r="O86" s="384">
        <f>ROUND((O20-'21R2'!O20)/ABS('21R2'!O20)*100,1)</f>
        <v>31.8</v>
      </c>
      <c r="R86" s="383"/>
      <c r="S86" s="383"/>
    </row>
    <row r="87" spans="1:19">
      <c r="A87" s="293">
        <v>2</v>
      </c>
      <c r="B87" s="65" t="s">
        <v>186</v>
      </c>
      <c r="C87" s="384">
        <f>ROUND((C21-'21R2'!C21)/ABS('21R2'!C21)*100,1)</f>
        <v>66.2</v>
      </c>
      <c r="D87" s="384">
        <f>ROUND((D21-'21R2'!D21)/ABS('21R2'!D21)*100,1)</f>
        <v>24.8</v>
      </c>
      <c r="E87" s="384">
        <f>ROUND((E21-'21R2'!E21)/ABS('21R2'!E21)*100,1)</f>
        <v>18.8</v>
      </c>
      <c r="F87" s="384">
        <f>ROUND((F21-'21R2'!F21)/ABS('21R2'!F21)*100,1)</f>
        <v>44.1</v>
      </c>
      <c r="G87" s="384">
        <f>ROUND((G21-'21R2'!G21)/ABS('21R2'!G21)*100,1)</f>
        <v>32.4</v>
      </c>
      <c r="H87" s="384">
        <f>ROUND((H21-'21R2'!H21)/ABS('21R2'!H21)*100,1)</f>
        <v>39</v>
      </c>
      <c r="I87" s="384">
        <f>ROUND((I21-'21R2'!I21)/ABS('21R2'!I21)*100,1)</f>
        <v>94.6</v>
      </c>
      <c r="J87" s="384">
        <f>ROUND((J21-'21R2'!J21)/ABS('21R2'!J21)*100,1)</f>
        <v>222.1</v>
      </c>
      <c r="K87" s="384">
        <f>ROUND((K21-'21R2'!K21)/ABS('21R2'!K21)*100,1)</f>
        <v>33</v>
      </c>
      <c r="L87" s="384">
        <f>ROUND((L21-'21R2'!L21)/ABS('21R2'!L21)*100,1)</f>
        <v>189.2</v>
      </c>
      <c r="M87" s="384">
        <f>ROUND((M21-'21R2'!M21)/ABS('21R2'!M21)*100,1)</f>
        <v>84.3</v>
      </c>
      <c r="N87" s="384">
        <f>ROUND((N21-'21R2'!N21)/ABS('21R2'!N21)*100,1)</f>
        <v>47.9</v>
      </c>
      <c r="O87" s="384">
        <f>ROUND((O21-'21R2'!O21)/ABS('21R2'!O21)*100,1)</f>
        <v>25.4</v>
      </c>
      <c r="R87" s="383"/>
      <c r="S87" s="383"/>
    </row>
    <row r="88" spans="1:19">
      <c r="A88" s="293">
        <v>207</v>
      </c>
      <c r="B88" s="90" t="s">
        <v>187</v>
      </c>
      <c r="C88" s="384">
        <f>ROUND((C22-'21R2'!C22)/ABS('21R2'!C22)*100,1)</f>
        <v>35</v>
      </c>
      <c r="D88" s="384">
        <f>ROUND((D22-'21R2'!D22)/ABS('21R2'!D22)*100,1)</f>
        <v>27.7</v>
      </c>
      <c r="E88" s="384">
        <f>ROUND((E22-'21R2'!E22)/ABS('21R2'!E22)*100,1)</f>
        <v>16.399999999999999</v>
      </c>
      <c r="F88" s="384">
        <f>ROUND((F22-'21R2'!F22)/ABS('21R2'!F22)*100,1)</f>
        <v>52.6</v>
      </c>
      <c r="G88" s="384">
        <f>ROUND((G22-'21R2'!G22)/ABS('21R2'!G22)*100,1)</f>
        <v>19</v>
      </c>
      <c r="H88" s="384">
        <f>ROUND((H22-'21R2'!H22)/ABS('21R2'!H22)*100,1)</f>
        <v>52.3</v>
      </c>
      <c r="I88" s="384">
        <f>ROUND((I22-'21R2'!I22)/ABS('21R2'!I22)*100,1)</f>
        <v>94.5</v>
      </c>
      <c r="J88" s="384">
        <f>ROUND((J22-'21R2'!J22)/ABS('21R2'!J22)*100,1)</f>
        <v>5.0999999999999996</v>
      </c>
      <c r="K88" s="384">
        <f>ROUND((K22-'21R2'!K22)/ABS('21R2'!K22)*100,1)</f>
        <v>31.1</v>
      </c>
      <c r="L88" s="384">
        <f>ROUND((L22-'21R2'!L22)/ABS('21R2'!L22)*100,1)</f>
        <v>157.30000000000001</v>
      </c>
      <c r="M88" s="384">
        <f>ROUND((M22-'21R2'!M22)/ABS('21R2'!M22)*100,1)</f>
        <v>52.8</v>
      </c>
      <c r="N88" s="384">
        <f>ROUND((N22-'21R2'!N22)/ABS('21R2'!N22)*100,1)</f>
        <v>50</v>
      </c>
      <c r="O88" s="384">
        <f>ROUND((O22-'21R2'!O22)/ABS('21R2'!O22)*100,1)</f>
        <v>3.1</v>
      </c>
      <c r="R88" s="383"/>
      <c r="S88" s="383"/>
    </row>
    <row r="89" spans="1:19">
      <c r="A89" s="293">
        <v>214</v>
      </c>
      <c r="B89" s="90" t="s">
        <v>188</v>
      </c>
      <c r="C89" s="384">
        <f>ROUND((C23-'21R2'!C23)/ABS('21R2'!C23)*100,1)</f>
        <v>95.6</v>
      </c>
      <c r="D89" s="384">
        <f>ROUND((D23-'21R2'!D23)/ABS('21R2'!D23)*100,1)</f>
        <v>22.2</v>
      </c>
      <c r="E89" s="384">
        <f>ROUND((E23-'21R2'!E23)/ABS('21R2'!E23)*100,1)</f>
        <v>16</v>
      </c>
      <c r="F89" s="384">
        <f>ROUND((F23-'21R2'!F23)/ABS('21R2'!F23)*100,1)</f>
        <v>57</v>
      </c>
      <c r="G89" s="384">
        <f>ROUND((G23-'21R2'!G23)/ABS('21R2'!G23)*100,1)</f>
        <v>42.2</v>
      </c>
      <c r="H89" s="384">
        <f>ROUND((H23-'21R2'!H23)/ABS('21R2'!H23)*100,1)</f>
        <v>49.4</v>
      </c>
      <c r="I89" s="384">
        <f>ROUND((I23-'21R2'!I23)/ABS('21R2'!I23)*100,1)</f>
        <v>94.6</v>
      </c>
      <c r="J89" s="384">
        <f>ROUND((J23-'21R2'!J23)/ABS('21R2'!J23)*100,1)</f>
        <v>68.5</v>
      </c>
      <c r="K89" s="384">
        <f>ROUND((K23-'21R2'!K23)/ABS('21R2'!K23)*100,1)</f>
        <v>27.2</v>
      </c>
      <c r="L89" s="384">
        <f>ROUND((L23-'21R2'!L23)/ABS('21R2'!L23)*100,1)</f>
        <v>116.4</v>
      </c>
      <c r="M89" s="384">
        <f>ROUND((M23-'21R2'!M23)/ABS('21R2'!M23)*100,1)</f>
        <v>127.9</v>
      </c>
      <c r="N89" s="384">
        <f>ROUND((N23-'21R2'!N23)/ABS('21R2'!N23)*100,1)</f>
        <v>48.7</v>
      </c>
      <c r="O89" s="384">
        <f>ROUND((O23-'21R2'!O23)/ABS('21R2'!O23)*100,1)</f>
        <v>19.2</v>
      </c>
      <c r="R89" s="383"/>
      <c r="S89" s="383"/>
    </row>
    <row r="90" spans="1:19">
      <c r="A90" s="293">
        <v>217</v>
      </c>
      <c r="B90" s="90" t="s">
        <v>189</v>
      </c>
      <c r="C90" s="384">
        <f>ROUND((C24-'21R2'!C24)/ABS('21R2'!C24)*100,1)</f>
        <v>82.4</v>
      </c>
      <c r="D90" s="384">
        <f>ROUND((D24-'21R2'!D24)/ABS('21R2'!D24)*100,1)</f>
        <v>24.4</v>
      </c>
      <c r="E90" s="384">
        <f>ROUND((E24-'21R2'!E24)/ABS('21R2'!E24)*100,1)</f>
        <v>21.6</v>
      </c>
      <c r="F90" s="384">
        <f>ROUND((F24-'21R2'!F24)/ABS('21R2'!F24)*100,1)</f>
        <v>18.899999999999999</v>
      </c>
      <c r="G90" s="384">
        <f>ROUND((G24-'21R2'!G24)/ABS('21R2'!G24)*100,1)</f>
        <v>-0.5</v>
      </c>
      <c r="H90" s="384">
        <f>ROUND((H24-'21R2'!H24)/ABS('21R2'!H24)*100,1)</f>
        <v>17.600000000000001</v>
      </c>
      <c r="I90" s="384">
        <f>ROUND((I24-'21R2'!I24)/ABS('21R2'!I24)*100,1)</f>
        <v>94.8</v>
      </c>
      <c r="J90" s="384">
        <f>ROUND((J24-'21R2'!J24)/ABS('21R2'!J24)*100,1)</f>
        <v>-31.3</v>
      </c>
      <c r="K90" s="384">
        <f>ROUND((K24-'21R2'!K24)/ABS('21R2'!K24)*100,1)</f>
        <v>21.5</v>
      </c>
      <c r="L90" s="384">
        <f>ROUND((L24-'21R2'!L24)/ABS('21R2'!L24)*100,1)</f>
        <v>117</v>
      </c>
      <c r="M90" s="384">
        <f>ROUND((M24-'21R2'!M24)/ABS('21R2'!M24)*100,1)</f>
        <v>113.5</v>
      </c>
      <c r="N90" s="384">
        <f>ROUND((N24-'21R2'!N24)/ABS('21R2'!N24)*100,1)</f>
        <v>41.9</v>
      </c>
      <c r="O90" s="384">
        <f>ROUND((O24-'21R2'!O24)/ABS('21R2'!O24)*100,1)</f>
        <v>23.2</v>
      </c>
      <c r="R90" s="383"/>
      <c r="S90" s="383"/>
    </row>
    <row r="91" spans="1:19">
      <c r="A91" s="293">
        <v>219</v>
      </c>
      <c r="B91" s="90" t="s">
        <v>190</v>
      </c>
      <c r="C91" s="384">
        <f>ROUND((C25-'21R2'!C25)/ABS('21R2'!C25)*100,1)</f>
        <v>14.5</v>
      </c>
      <c r="D91" s="384">
        <f>ROUND((D25-'21R2'!D25)/ABS('21R2'!D25)*100,1)</f>
        <v>26.3</v>
      </c>
      <c r="E91" s="384">
        <f>ROUND((E25-'21R2'!E25)/ABS('21R2'!E25)*100,1)</f>
        <v>23.3</v>
      </c>
      <c r="F91" s="384">
        <f>ROUND((F25-'21R2'!F25)/ABS('21R2'!F25)*100,1)</f>
        <v>40.1</v>
      </c>
      <c r="G91" s="384">
        <f>ROUND((G25-'21R2'!G25)/ABS('21R2'!G25)*100,1)</f>
        <v>157.5</v>
      </c>
      <c r="H91" s="384">
        <f>ROUND((H25-'21R2'!H25)/ABS('21R2'!H25)*100,1)</f>
        <v>26.9</v>
      </c>
      <c r="I91" s="384">
        <f>ROUND((I25-'21R2'!I25)/ABS('21R2'!I25)*100,1)</f>
        <v>94.5</v>
      </c>
      <c r="J91" s="384">
        <f>ROUND((J25-'21R2'!J25)/ABS('21R2'!J25)*100,1)</f>
        <v>76.599999999999994</v>
      </c>
      <c r="K91" s="384">
        <f>ROUND((K25-'21R2'!K25)/ABS('21R2'!K25)*100,1)</f>
        <v>30.6</v>
      </c>
      <c r="L91" s="384">
        <f>ROUND((L25-'21R2'!L25)/ABS('21R2'!L25)*100,1)</f>
        <v>-61.5</v>
      </c>
      <c r="M91" s="384">
        <f>ROUND((M25-'21R2'!M25)/ABS('21R2'!M25)*100,1)</f>
        <v>24.1</v>
      </c>
      <c r="N91" s="384">
        <f>ROUND((N25-'21R2'!N25)/ABS('21R2'!N25)*100,1)</f>
        <v>49.7</v>
      </c>
      <c r="O91" s="384">
        <f>ROUND((O25-'21R2'!O25)/ABS('21R2'!O25)*100,1)</f>
        <v>133.4</v>
      </c>
      <c r="R91" s="383"/>
      <c r="S91" s="383"/>
    </row>
    <row r="92" spans="1:19">
      <c r="A92" s="293">
        <v>301</v>
      </c>
      <c r="B92" s="90" t="s">
        <v>191</v>
      </c>
      <c r="C92" s="384">
        <f>ROUND((C26-'21R2'!C26)/ABS('21R2'!C26)*100,1)</f>
        <v>475.3</v>
      </c>
      <c r="D92" s="384">
        <f>ROUND((D26-'21R2'!D26)/ABS('21R2'!D26)*100,1)</f>
        <v>22.3</v>
      </c>
      <c r="E92" s="384">
        <f>ROUND((E26-'21R2'!E26)/ABS('21R2'!E26)*100,1)</f>
        <v>23.4</v>
      </c>
      <c r="F92" s="384">
        <f>ROUND((F26-'21R2'!F26)/ABS('21R2'!F26)*100,1)</f>
        <v>55.4</v>
      </c>
      <c r="G92" s="384">
        <f>ROUND((G26-'21R2'!G26)/ABS('21R2'!G26)*100,1)</f>
        <v>58.1</v>
      </c>
      <c r="H92" s="384">
        <f>ROUND((H26-'21R2'!H26)/ABS('21R2'!H26)*100,1)</f>
        <v>45.1</v>
      </c>
      <c r="I92" s="384">
        <f>ROUND((I26-'21R2'!I26)/ABS('21R2'!I26)*100,1)</f>
        <v>94.5</v>
      </c>
      <c r="J92" s="384">
        <f>ROUND((J26-'21R2'!J26)/ABS('21R2'!J26)*100,1)</f>
        <v>3348</v>
      </c>
      <c r="K92" s="384">
        <f>ROUND((K26-'21R2'!K26)/ABS('21R2'!K26)*100,1)</f>
        <v>168.7</v>
      </c>
      <c r="L92" s="384">
        <f>ROUND((L26-'21R2'!L26)/ABS('21R2'!L26)*100,1)</f>
        <v>573.4</v>
      </c>
      <c r="M92" s="384">
        <f>ROUND((M26-'21R2'!M26)/ABS('21R2'!M26)*100,1)</f>
        <v>333.2</v>
      </c>
      <c r="N92" s="384">
        <f>ROUND((N26-'21R2'!N26)/ABS('21R2'!N26)*100,1)</f>
        <v>52.1</v>
      </c>
      <c r="O92" s="384">
        <f>ROUND((O26-'21R2'!O26)/ABS('21R2'!O26)*100,1)</f>
        <v>16</v>
      </c>
      <c r="R92" s="383"/>
      <c r="S92" s="383"/>
    </row>
    <row r="93" spans="1:19">
      <c r="A93" s="293">
        <v>3</v>
      </c>
      <c r="B93" s="65" t="s">
        <v>192</v>
      </c>
      <c r="C93" s="384">
        <f>ROUND((C27-'21R2'!C27)/ABS('21R2'!C27)*100,1)</f>
        <v>22.7</v>
      </c>
      <c r="D93" s="384">
        <f>ROUND((D27-'21R2'!D27)/ABS('21R2'!D27)*100,1)</f>
        <v>26.5</v>
      </c>
      <c r="E93" s="384">
        <f>ROUND((E27-'21R2'!E27)/ABS('21R2'!E27)*100,1)</f>
        <v>21.8</v>
      </c>
      <c r="F93" s="384">
        <f>ROUND((F27-'21R2'!F27)/ABS('21R2'!F27)*100,1)</f>
        <v>49.5</v>
      </c>
      <c r="G93" s="384">
        <f>ROUND((G27-'21R2'!G27)/ABS('21R2'!G27)*100,1)</f>
        <v>9.4</v>
      </c>
      <c r="H93" s="384">
        <f>ROUND((H27-'21R2'!H27)/ABS('21R2'!H27)*100,1)</f>
        <v>50.5</v>
      </c>
      <c r="I93" s="384">
        <f>ROUND((I27-'21R2'!I27)/ABS('21R2'!I27)*100,1)</f>
        <v>94.5</v>
      </c>
      <c r="J93" s="384">
        <f>ROUND((J27-'21R2'!J27)/ABS('21R2'!J27)*100,1)</f>
        <v>-32.299999999999997</v>
      </c>
      <c r="K93" s="384">
        <f>ROUND((K27-'21R2'!K27)/ABS('21R2'!K27)*100,1)</f>
        <v>29.5</v>
      </c>
      <c r="L93" s="384">
        <f>ROUND((L27-'21R2'!L27)/ABS('21R2'!L27)*100,1)</f>
        <v>-40.299999999999997</v>
      </c>
      <c r="M93" s="384">
        <f>ROUND((M27-'21R2'!M27)/ABS('21R2'!M27)*100,1)</f>
        <v>44</v>
      </c>
      <c r="N93" s="384">
        <f>ROUND((N27-'21R2'!N27)/ABS('21R2'!N27)*100,1)</f>
        <v>50.3</v>
      </c>
      <c r="O93" s="384">
        <f>ROUND((O27-'21R2'!O27)/ABS('21R2'!O27)*100,1)</f>
        <v>-1049.8</v>
      </c>
      <c r="R93" s="383"/>
      <c r="S93" s="383"/>
    </row>
    <row r="94" spans="1:19">
      <c r="A94" s="293">
        <v>203</v>
      </c>
      <c r="B94" s="90" t="s">
        <v>193</v>
      </c>
      <c r="C94" s="384">
        <f>ROUND((C28-'21R2'!C28)/ABS('21R2'!C28)*100,1)</f>
        <v>29.3</v>
      </c>
      <c r="D94" s="384">
        <f>ROUND((D28-'21R2'!D28)/ABS('21R2'!D28)*100,1)</f>
        <v>26.4</v>
      </c>
      <c r="E94" s="384">
        <f>ROUND((E28-'21R2'!E28)/ABS('21R2'!E28)*100,1)</f>
        <v>20</v>
      </c>
      <c r="F94" s="384">
        <f>ROUND((F28-'21R2'!F28)/ABS('21R2'!F28)*100,1)</f>
        <v>63.5</v>
      </c>
      <c r="G94" s="384">
        <f>ROUND((G28-'21R2'!G28)/ABS('21R2'!G28)*100,1)</f>
        <v>8.5</v>
      </c>
      <c r="H94" s="384">
        <f>ROUND((H28-'21R2'!H28)/ABS('21R2'!H28)*100,1)</f>
        <v>70.900000000000006</v>
      </c>
      <c r="I94" s="384">
        <f>ROUND((I28-'21R2'!I28)/ABS('21R2'!I28)*100,1)</f>
        <v>94.5</v>
      </c>
      <c r="J94" s="384">
        <f>ROUND((J28-'21R2'!J28)/ABS('21R2'!J28)*100,1)</f>
        <v>10.4</v>
      </c>
      <c r="K94" s="384">
        <f>ROUND((K28-'21R2'!K28)/ABS('21R2'!K28)*100,1)</f>
        <v>33</v>
      </c>
      <c r="L94" s="384">
        <f>ROUND((L28-'21R2'!L28)/ABS('21R2'!L28)*100,1)</f>
        <v>-11.1</v>
      </c>
      <c r="M94" s="384">
        <f>ROUND((M28-'21R2'!M28)/ABS('21R2'!M28)*100,1)</f>
        <v>53.1</v>
      </c>
      <c r="N94" s="384">
        <f>ROUND((N28-'21R2'!N28)/ABS('21R2'!N28)*100,1)</f>
        <v>52.1</v>
      </c>
      <c r="O94" s="384">
        <f>ROUND((O28-'21R2'!O28)/ABS('21R2'!O28)*100,1)</f>
        <v>-1493.5</v>
      </c>
      <c r="R94" s="383"/>
      <c r="S94" s="383"/>
    </row>
    <row r="95" spans="1:19">
      <c r="A95" s="293">
        <v>210</v>
      </c>
      <c r="B95" s="90" t="s">
        <v>194</v>
      </c>
      <c r="C95" s="384">
        <f>ROUND((C29-'21R2'!C29)/ABS('21R2'!C29)*100,1)</f>
        <v>44</v>
      </c>
      <c r="D95" s="384">
        <f>ROUND((D29-'21R2'!D29)/ABS('21R2'!D29)*100,1)</f>
        <v>25</v>
      </c>
      <c r="E95" s="384">
        <f>ROUND((E29-'21R2'!E29)/ABS('21R2'!E29)*100,1)</f>
        <v>19.3</v>
      </c>
      <c r="F95" s="384">
        <f>ROUND((F29-'21R2'!F29)/ABS('21R2'!F29)*100,1)</f>
        <v>18</v>
      </c>
      <c r="G95" s="384">
        <f>ROUND((G29-'21R2'!G29)/ABS('21R2'!G29)*100,1)</f>
        <v>13.5</v>
      </c>
      <c r="H95" s="384">
        <f>ROUND((H29-'21R2'!H29)/ABS('21R2'!H29)*100,1)</f>
        <v>14.9</v>
      </c>
      <c r="I95" s="384">
        <f>ROUND((I29-'21R2'!I29)/ABS('21R2'!I29)*100,1)</f>
        <v>94.9</v>
      </c>
      <c r="J95" s="384">
        <f>ROUND((J29-'21R2'!J29)/ABS('21R2'!J29)*100,1)</f>
        <v>-43</v>
      </c>
      <c r="K95" s="384">
        <f>ROUND((K29-'21R2'!K29)/ABS('21R2'!K29)*100,1)</f>
        <v>19.899999999999999</v>
      </c>
      <c r="L95" s="384">
        <f>ROUND((L29-'21R2'!L29)/ABS('21R2'!L29)*100,1)</f>
        <v>144.30000000000001</v>
      </c>
      <c r="M95" s="384">
        <f>ROUND((M29-'21R2'!M29)/ABS('21R2'!M29)*100,1)</f>
        <v>68.5</v>
      </c>
      <c r="N95" s="384">
        <f>ROUND((N29-'21R2'!N29)/ABS('21R2'!N29)*100,1)</f>
        <v>39.4</v>
      </c>
      <c r="O95" s="384">
        <f>ROUND((O29-'21R2'!O29)/ABS('21R2'!O29)*100,1)</f>
        <v>17.899999999999999</v>
      </c>
      <c r="R95" s="383"/>
      <c r="S95" s="383"/>
    </row>
    <row r="96" spans="1:19">
      <c r="A96" s="293">
        <v>216</v>
      </c>
      <c r="B96" s="90" t="s">
        <v>195</v>
      </c>
      <c r="C96" s="384">
        <f>ROUND((C30-'21R2'!C30)/ABS('21R2'!C30)*100,1)</f>
        <v>-1.1000000000000001</v>
      </c>
      <c r="D96" s="384">
        <f>ROUND((D30-'21R2'!D30)/ABS('21R2'!D30)*100,1)</f>
        <v>26.7</v>
      </c>
      <c r="E96" s="384">
        <f>ROUND((E30-'21R2'!E30)/ABS('21R2'!E30)*100,1)</f>
        <v>32</v>
      </c>
      <c r="F96" s="384">
        <f>ROUND((F30-'21R2'!F30)/ABS('21R2'!F30)*100,1)</f>
        <v>72.8</v>
      </c>
      <c r="G96" s="384">
        <f>ROUND((G30-'21R2'!G30)/ABS('21R2'!G30)*100,1)</f>
        <v>14</v>
      </c>
      <c r="H96" s="384">
        <f>ROUND((H30-'21R2'!H30)/ABS('21R2'!H30)*100,1)</f>
        <v>72.2</v>
      </c>
      <c r="I96" s="384">
        <f>ROUND((I30-'21R2'!I30)/ABS('21R2'!I30)*100,1)</f>
        <v>94.2</v>
      </c>
      <c r="J96" s="384">
        <f>ROUND((J30-'21R2'!J30)/ABS('21R2'!J30)*100,1)</f>
        <v>-48.1</v>
      </c>
      <c r="K96" s="384">
        <f>ROUND((K30-'21R2'!K30)/ABS('21R2'!K30)*100,1)</f>
        <v>35.6</v>
      </c>
      <c r="L96" s="384">
        <f>ROUND((L30-'21R2'!L30)/ABS('21R2'!L30)*100,1)</f>
        <v>-86.6</v>
      </c>
      <c r="M96" s="384">
        <f>ROUND((M30-'21R2'!M30)/ABS('21R2'!M30)*100,1)</f>
        <v>15</v>
      </c>
      <c r="N96" s="384">
        <f>ROUND((N30-'21R2'!N30)/ABS('21R2'!N30)*100,1)</f>
        <v>58.8</v>
      </c>
      <c r="O96" s="384">
        <f>ROUND((O30-'21R2'!O30)/ABS('21R2'!O30)*100,1)</f>
        <v>-89.8</v>
      </c>
      <c r="R96" s="383"/>
      <c r="S96" s="383"/>
    </row>
    <row r="97" spans="1:19">
      <c r="A97" s="293">
        <v>381</v>
      </c>
      <c r="B97" s="90" t="s">
        <v>196</v>
      </c>
      <c r="C97" s="384">
        <f>ROUND((C31-'21R2'!C31)/ABS('21R2'!C31)*100,1)</f>
        <v>-9.8000000000000007</v>
      </c>
      <c r="D97" s="384">
        <f>ROUND((D31-'21R2'!D31)/ABS('21R2'!D31)*100,1)</f>
        <v>33.5</v>
      </c>
      <c r="E97" s="384">
        <f>ROUND((E31-'21R2'!E31)/ABS('21R2'!E31)*100,1)</f>
        <v>25.5</v>
      </c>
      <c r="F97" s="384">
        <f>ROUND((F31-'21R2'!F31)/ABS('21R2'!F31)*100,1)</f>
        <v>99.4</v>
      </c>
      <c r="G97" s="384">
        <f>ROUND((G31-'21R2'!G31)/ABS('21R2'!G31)*100,1)</f>
        <v>14.6</v>
      </c>
      <c r="H97" s="384">
        <f>ROUND((H31-'21R2'!H31)/ABS('21R2'!H31)*100,1)</f>
        <v>107.3</v>
      </c>
      <c r="I97" s="384">
        <f>ROUND((I31-'21R2'!I31)/ABS('21R2'!I31)*100,1)</f>
        <v>93.6</v>
      </c>
      <c r="J97" s="384">
        <f>ROUND((J31-'21R2'!J31)/ABS('21R2'!J31)*100,1)</f>
        <v>-31.4</v>
      </c>
      <c r="K97" s="384">
        <f>ROUND((K31-'21R2'!K31)/ABS('21R2'!K31)*100,1)</f>
        <v>42.8</v>
      </c>
      <c r="L97" s="384">
        <f>ROUND((L31-'21R2'!L31)/ABS('21R2'!L31)*100,1)</f>
        <v>-97.6</v>
      </c>
      <c r="M97" s="384">
        <f>ROUND((M31-'21R2'!M31)/ABS('21R2'!M31)*100,1)</f>
        <v>3.8</v>
      </c>
      <c r="N97" s="384">
        <f>ROUND((N31-'21R2'!N31)/ABS('21R2'!N31)*100,1)</f>
        <v>73.3</v>
      </c>
      <c r="O97" s="384">
        <f>ROUND((O31-'21R2'!O31)/ABS('21R2'!O31)*100,1)</f>
        <v>-49.6</v>
      </c>
      <c r="R97" s="383"/>
      <c r="S97" s="383"/>
    </row>
    <row r="98" spans="1:19">
      <c r="A98" s="293">
        <v>382</v>
      </c>
      <c r="B98" s="90" t="s">
        <v>197</v>
      </c>
      <c r="C98" s="384">
        <f>ROUND((C32-'21R2'!C32)/ABS('21R2'!C32)*100,1)</f>
        <v>-10.4</v>
      </c>
      <c r="D98" s="384">
        <f>ROUND((D32-'21R2'!D32)/ABS('21R2'!D32)*100,1)</f>
        <v>33.5</v>
      </c>
      <c r="E98" s="384">
        <f>ROUND((E32-'21R2'!E32)/ABS('21R2'!E32)*100,1)</f>
        <v>26.4</v>
      </c>
      <c r="F98" s="384">
        <f>ROUND((F32-'21R2'!F32)/ABS('21R2'!F32)*100,1)</f>
        <v>100.6</v>
      </c>
      <c r="G98" s="384">
        <f>ROUND((G32-'21R2'!G32)/ABS('21R2'!G32)*100,1)</f>
        <v>-9.9</v>
      </c>
      <c r="H98" s="384">
        <f>ROUND((H32-'21R2'!H32)/ABS('21R2'!H32)*100,1)</f>
        <v>121.9</v>
      </c>
      <c r="I98" s="384">
        <f>ROUND((I32-'21R2'!I32)/ABS('21R2'!I32)*100,1)</f>
        <v>93.7</v>
      </c>
      <c r="J98" s="384">
        <f>ROUND((J32-'21R2'!J32)/ABS('21R2'!J32)*100,1)</f>
        <v>-50</v>
      </c>
      <c r="K98" s="384">
        <f>ROUND((K32-'21R2'!K32)/ABS('21R2'!K32)*100,1)</f>
        <v>45.5</v>
      </c>
      <c r="L98" s="384">
        <f>ROUND((L32-'21R2'!L32)/ABS('21R2'!L32)*100,1)</f>
        <v>-94.4</v>
      </c>
      <c r="M98" s="384">
        <f>ROUND((M32-'21R2'!M32)/ABS('21R2'!M32)*100,1)</f>
        <v>-1.7</v>
      </c>
      <c r="N98" s="384">
        <f>ROUND((N32-'21R2'!N32)/ABS('21R2'!N32)*100,1)</f>
        <v>73.900000000000006</v>
      </c>
      <c r="O98" s="384">
        <f>ROUND((O32-'21R2'!O32)/ABS('21R2'!O32)*100,1)</f>
        <v>-18.8</v>
      </c>
      <c r="R98" s="383"/>
      <c r="S98" s="383"/>
    </row>
    <row r="99" spans="1:19">
      <c r="A99" s="293">
        <v>4</v>
      </c>
      <c r="B99" s="91" t="s">
        <v>198</v>
      </c>
      <c r="C99" s="384">
        <f>ROUND((C33-'21R2'!C33)/ABS('21R2'!C33)*100,1)</f>
        <v>-3.8</v>
      </c>
      <c r="D99" s="384">
        <f>ROUND((D33-'21R2'!D33)/ABS('21R2'!D33)*100,1)</f>
        <v>29</v>
      </c>
      <c r="E99" s="384">
        <f>ROUND((E33-'21R2'!E33)/ABS('21R2'!E33)*100,1)</f>
        <v>17.8</v>
      </c>
      <c r="F99" s="384">
        <f>ROUND((F33-'21R2'!F33)/ABS('21R2'!F33)*100,1)</f>
        <v>67.7</v>
      </c>
      <c r="G99" s="384">
        <f>ROUND((G33-'21R2'!G33)/ABS('21R2'!G33)*100,1)</f>
        <v>11</v>
      </c>
      <c r="H99" s="384">
        <f>ROUND((H33-'21R2'!H33)/ABS('21R2'!H33)*100,1)</f>
        <v>67.900000000000006</v>
      </c>
      <c r="I99" s="384">
        <f>ROUND((I33-'21R2'!I33)/ABS('21R2'!I33)*100,1)</f>
        <v>94.2</v>
      </c>
      <c r="J99" s="384">
        <f>ROUND((J33-'21R2'!J33)/ABS('21R2'!J33)*100,1)</f>
        <v>-12.9</v>
      </c>
      <c r="K99" s="384">
        <f>ROUND((K33-'21R2'!K33)/ABS('21R2'!K33)*100,1)</f>
        <v>33.200000000000003</v>
      </c>
      <c r="L99" s="384">
        <f>ROUND((L33-'21R2'!L33)/ABS('21R2'!L33)*100,1)</f>
        <v>-91.4</v>
      </c>
      <c r="M99" s="384">
        <f>ROUND((M33-'21R2'!M33)/ABS('21R2'!M33)*100,1)</f>
        <v>10.8</v>
      </c>
      <c r="N99" s="384">
        <f>ROUND((N33-'21R2'!N33)/ABS('21R2'!N33)*100,1)</f>
        <v>58.5</v>
      </c>
      <c r="O99" s="384">
        <f>ROUND((O33-'21R2'!O33)/ABS('21R2'!O33)*100,1)</f>
        <v>-86.5</v>
      </c>
      <c r="R99" s="383"/>
      <c r="S99" s="383"/>
    </row>
    <row r="100" spans="1:19">
      <c r="A100" s="293">
        <v>213</v>
      </c>
      <c r="B100" s="92" t="s">
        <v>231</v>
      </c>
      <c r="C100" s="384">
        <f>ROUND((C34-'21R2'!C34)/ABS('21R2'!C34)*100,1)</f>
        <v>-0.3</v>
      </c>
      <c r="D100" s="384">
        <f>ROUND((D34-'21R2'!D34)/ABS('21R2'!D34)*100,1)</f>
        <v>22.2</v>
      </c>
      <c r="E100" s="384">
        <f>ROUND((E34-'21R2'!E34)/ABS('21R2'!E34)*100,1)</f>
        <v>23.4</v>
      </c>
      <c r="F100" s="384">
        <f>ROUND((F34-'21R2'!F34)/ABS('21R2'!F34)*100,1)</f>
        <v>56.5</v>
      </c>
      <c r="G100" s="384">
        <f>ROUND((G34-'21R2'!G34)/ABS('21R2'!G34)*100,1)</f>
        <v>16.100000000000001</v>
      </c>
      <c r="H100" s="384">
        <f>ROUND((H34-'21R2'!H34)/ABS('21R2'!H34)*100,1)</f>
        <v>52.9</v>
      </c>
      <c r="I100" s="384">
        <f>ROUND((I34-'21R2'!I34)/ABS('21R2'!I34)*100,1)</f>
        <v>94.9</v>
      </c>
      <c r="J100" s="384">
        <f>ROUND((J34-'21R2'!J34)/ABS('21R2'!J34)*100,1)</f>
        <v>-89.5</v>
      </c>
      <c r="K100" s="384">
        <f>ROUND((K34-'21R2'!K34)/ABS('21R2'!K34)*100,1)</f>
        <v>10.6</v>
      </c>
      <c r="L100" s="384">
        <f>ROUND((L34-'21R2'!L34)/ABS('21R2'!L34)*100,1)</f>
        <v>-150.1</v>
      </c>
      <c r="M100" s="384">
        <f>ROUND((M34-'21R2'!M34)/ABS('21R2'!M34)*100,1)</f>
        <v>22.6</v>
      </c>
      <c r="N100" s="384">
        <f>ROUND((N34-'21R2'!N34)/ABS('21R2'!N34)*100,1)</f>
        <v>40.1</v>
      </c>
      <c r="O100" s="384">
        <f>ROUND((O34-'21R2'!O34)/ABS('21R2'!O34)*100,1)</f>
        <v>63.9</v>
      </c>
      <c r="R100" s="383"/>
      <c r="S100" s="383"/>
    </row>
    <row r="101" spans="1:19">
      <c r="A101" s="293">
        <v>215</v>
      </c>
      <c r="B101" s="92" t="s">
        <v>232</v>
      </c>
      <c r="C101" s="384">
        <f>ROUND((C35-'21R2'!C35)/ABS('21R2'!C35)*100,1)</f>
        <v>4.3</v>
      </c>
      <c r="D101" s="384">
        <f>ROUND((D35-'21R2'!D35)/ABS('21R2'!D35)*100,1)</f>
        <v>26.8</v>
      </c>
      <c r="E101" s="384">
        <f>ROUND((E35-'21R2'!E35)/ABS('21R2'!E35)*100,1)</f>
        <v>13.9</v>
      </c>
      <c r="F101" s="384">
        <f>ROUND((F35-'21R2'!F35)/ABS('21R2'!F35)*100,1)</f>
        <v>60.8</v>
      </c>
      <c r="G101" s="384">
        <f>ROUND((G35-'21R2'!G35)/ABS('21R2'!G35)*100,1)</f>
        <v>2.1</v>
      </c>
      <c r="H101" s="384">
        <f>ROUND((H35-'21R2'!H35)/ABS('21R2'!H35)*100,1)</f>
        <v>62.2</v>
      </c>
      <c r="I101" s="384">
        <f>ROUND((I35-'21R2'!I35)/ABS('21R2'!I35)*100,1)</f>
        <v>94.3</v>
      </c>
      <c r="J101" s="384">
        <f>ROUND((J35-'21R2'!J35)/ABS('21R2'!J35)*100,1)</f>
        <v>-6.6</v>
      </c>
      <c r="K101" s="384">
        <f>ROUND((K35-'21R2'!K35)/ABS('21R2'!K35)*100,1)</f>
        <v>30.1</v>
      </c>
      <c r="L101" s="384">
        <f>ROUND((L35-'21R2'!L35)/ABS('21R2'!L35)*100,1)</f>
        <v>-89.3</v>
      </c>
      <c r="M101" s="384">
        <f>ROUND((M35-'21R2'!M35)/ABS('21R2'!M35)*100,1)</f>
        <v>21.3</v>
      </c>
      <c r="N101" s="384">
        <f>ROUND((N35-'21R2'!N35)/ABS('21R2'!N35)*100,1)</f>
        <v>55.5</v>
      </c>
      <c r="O101" s="384">
        <f>ROUND((O35-'21R2'!O35)/ABS('21R2'!O35)*100,1)</f>
        <v>-157</v>
      </c>
      <c r="R101" s="383"/>
      <c r="S101" s="383"/>
    </row>
    <row r="102" spans="1:19">
      <c r="A102" s="293">
        <v>218</v>
      </c>
      <c r="B102" s="90" t="s">
        <v>200</v>
      </c>
      <c r="C102" s="384">
        <f>ROUND((C36-'21R2'!C36)/ABS('21R2'!C36)*100,1)</f>
        <v>-4.0999999999999996</v>
      </c>
      <c r="D102" s="384">
        <f>ROUND((D36-'21R2'!D36)/ABS('21R2'!D36)*100,1)</f>
        <v>37.200000000000003</v>
      </c>
      <c r="E102" s="384">
        <f>ROUND((E36-'21R2'!E36)/ABS('21R2'!E36)*100,1)</f>
        <v>16.7</v>
      </c>
      <c r="F102" s="384">
        <f>ROUND((F36-'21R2'!F36)/ABS('21R2'!F36)*100,1)</f>
        <v>73.5</v>
      </c>
      <c r="G102" s="384">
        <f>ROUND((G36-'21R2'!G36)/ABS('21R2'!G36)*100,1)</f>
        <v>35.200000000000003</v>
      </c>
      <c r="H102" s="384">
        <f>ROUND((H36-'21R2'!H36)/ABS('21R2'!H36)*100,1)</f>
        <v>72.3</v>
      </c>
      <c r="I102" s="384">
        <f>ROUND((I36-'21R2'!I36)/ABS('21R2'!I36)*100,1)</f>
        <v>94</v>
      </c>
      <c r="J102" s="384">
        <f>ROUND((J36-'21R2'!J36)/ABS('21R2'!J36)*100,1)</f>
        <v>51.6</v>
      </c>
      <c r="K102" s="384">
        <f>ROUND((K36-'21R2'!K36)/ABS('21R2'!K36)*100,1)</f>
        <v>43.8</v>
      </c>
      <c r="L102" s="384">
        <f>ROUND((L36-'21R2'!L36)/ABS('21R2'!L36)*100,1)</f>
        <v>-86.1</v>
      </c>
      <c r="M102" s="384">
        <f>ROUND((M36-'21R2'!M36)/ABS('21R2'!M36)*100,1)</f>
        <v>4.7</v>
      </c>
      <c r="N102" s="384">
        <f>ROUND((N36-'21R2'!N36)/ABS('21R2'!N36)*100,1)</f>
        <v>66</v>
      </c>
      <c r="O102" s="384">
        <f>ROUND((O36-'21R2'!O36)/ABS('21R2'!O36)*100,1)</f>
        <v>-42.3</v>
      </c>
      <c r="R102" s="383"/>
      <c r="S102" s="383"/>
    </row>
    <row r="103" spans="1:19">
      <c r="A103" s="293">
        <v>220</v>
      </c>
      <c r="B103" s="90" t="s">
        <v>201</v>
      </c>
      <c r="C103" s="384">
        <f>ROUND((C37-'21R2'!C37)/ABS('21R2'!C37)*100,1)</f>
        <v>-6</v>
      </c>
      <c r="D103" s="384">
        <f>ROUND((D37-'21R2'!D37)/ABS('21R2'!D37)*100,1)</f>
        <v>28.2</v>
      </c>
      <c r="E103" s="384">
        <f>ROUND((E37-'21R2'!E37)/ABS('21R2'!E37)*100,1)</f>
        <v>29.1</v>
      </c>
      <c r="F103" s="384">
        <f>ROUND((F37-'21R2'!F37)/ABS('21R2'!F37)*100,1)</f>
        <v>105.2</v>
      </c>
      <c r="G103" s="384">
        <f>ROUND((G37-'21R2'!G37)/ABS('21R2'!G37)*100,1)</f>
        <v>11.5</v>
      </c>
      <c r="H103" s="384">
        <f>ROUND((H37-'21R2'!H37)/ABS('21R2'!H37)*100,1)</f>
        <v>106.4</v>
      </c>
      <c r="I103" s="384">
        <f>ROUND((I37-'21R2'!I37)/ABS('21R2'!I37)*100,1)</f>
        <v>93.9</v>
      </c>
      <c r="J103" s="384">
        <f>ROUND((J37-'21R2'!J37)/ABS('21R2'!J37)*100,1)</f>
        <v>10.9</v>
      </c>
      <c r="K103" s="384">
        <f>ROUND((K37-'21R2'!K37)/ABS('21R2'!K37)*100,1)</f>
        <v>44.2</v>
      </c>
      <c r="L103" s="384">
        <f>ROUND((L37-'21R2'!L37)/ABS('21R2'!L37)*100,1)</f>
        <v>-89.3</v>
      </c>
      <c r="M103" s="384">
        <f>ROUND((M37-'21R2'!M37)/ABS('21R2'!M37)*100,1)</f>
        <v>6.4</v>
      </c>
      <c r="N103" s="384">
        <f>ROUND((N37-'21R2'!N37)/ABS('21R2'!N37)*100,1)</f>
        <v>68.400000000000006</v>
      </c>
      <c r="O103" s="384">
        <f>ROUND((O37-'21R2'!O37)/ABS('21R2'!O37)*100,1)</f>
        <v>-87.5</v>
      </c>
      <c r="R103" s="383"/>
      <c r="S103" s="383"/>
    </row>
    <row r="104" spans="1:19">
      <c r="A104" s="293">
        <v>228</v>
      </c>
      <c r="B104" s="90" t="s">
        <v>239</v>
      </c>
      <c r="C104" s="384">
        <f>ROUND((C38-'21R2'!C38)/ABS('21R2'!C38)*100,1)</f>
        <v>-22.2</v>
      </c>
      <c r="D104" s="384">
        <f>ROUND((D38-'21R2'!D38)/ABS('21R2'!D38)*100,1)</f>
        <v>31.7</v>
      </c>
      <c r="E104" s="384">
        <f>ROUND((E38-'21R2'!E38)/ABS('21R2'!E38)*100,1)</f>
        <v>16.7</v>
      </c>
      <c r="F104" s="384">
        <f>ROUND((F38-'21R2'!F38)/ABS('21R2'!F38)*100,1)</f>
        <v>48.9</v>
      </c>
      <c r="G104" s="384">
        <f>ROUND((G38-'21R2'!G38)/ABS('21R2'!G38)*100,1)</f>
        <v>-7.3</v>
      </c>
      <c r="H104" s="384">
        <f>ROUND((H38-'21R2'!H38)/ABS('21R2'!H38)*100,1)</f>
        <v>50.7</v>
      </c>
      <c r="I104" s="384">
        <f>ROUND((I38-'21R2'!I38)/ABS('21R2'!I38)*100,1)</f>
        <v>94</v>
      </c>
      <c r="J104" s="384">
        <f>ROUND((J38-'21R2'!J38)/ABS('21R2'!J38)*100,1)</f>
        <v>21.5</v>
      </c>
      <c r="K104" s="384">
        <f>ROUND((K38-'21R2'!K38)/ABS('21R2'!K38)*100,1)</f>
        <v>34.1</v>
      </c>
      <c r="L104" s="384">
        <f>ROUND((L38-'21R2'!L38)/ABS('21R2'!L38)*100,1)</f>
        <v>-99.8</v>
      </c>
      <c r="M104" s="384">
        <f>ROUND((M38-'21R2'!M38)/ABS('21R2'!M38)*100,1)</f>
        <v>-7.1</v>
      </c>
      <c r="N104" s="384">
        <f>ROUND((N38-'21R2'!N38)/ABS('21R2'!N38)*100,1)</f>
        <v>64.099999999999994</v>
      </c>
      <c r="O104" s="384">
        <f>ROUND((O38-'21R2'!O38)/ABS('21R2'!O38)*100,1)</f>
        <v>-89.9</v>
      </c>
      <c r="R104" s="383"/>
      <c r="S104" s="383"/>
    </row>
    <row r="105" spans="1:19">
      <c r="A105" s="293">
        <v>365</v>
      </c>
      <c r="B105" s="90" t="s">
        <v>233</v>
      </c>
      <c r="C105" s="384">
        <f>ROUND((C39-'21R2'!C39)/ABS('21R2'!C39)*100,1)</f>
        <v>36.9</v>
      </c>
      <c r="D105" s="384">
        <f>ROUND((D39-'21R2'!D39)/ABS('21R2'!D39)*100,1)</f>
        <v>27.7</v>
      </c>
      <c r="E105" s="384">
        <f>ROUND((E39-'21R2'!E39)/ABS('21R2'!E39)*100,1)</f>
        <v>4.7</v>
      </c>
      <c r="F105" s="384">
        <f>ROUND((F39-'21R2'!F39)/ABS('21R2'!F39)*100,1)</f>
        <v>69.099999999999994</v>
      </c>
      <c r="G105" s="384">
        <f>ROUND((G39-'21R2'!G39)/ABS('21R2'!G39)*100,1)</f>
        <v>27.6</v>
      </c>
      <c r="H105" s="384">
        <f>ROUND((H39-'21R2'!H39)/ABS('21R2'!H39)*100,1)</f>
        <v>63.2</v>
      </c>
      <c r="I105" s="384">
        <f>ROUND((I39-'21R2'!I39)/ABS('21R2'!I39)*100,1)</f>
        <v>94.4</v>
      </c>
      <c r="J105" s="384">
        <f>ROUND((J39-'21R2'!J39)/ABS('21R2'!J39)*100,1)</f>
        <v>326.39999999999998</v>
      </c>
      <c r="K105" s="384">
        <f>ROUND((K39-'21R2'!K39)/ABS('21R2'!K39)*100,1)</f>
        <v>40.5</v>
      </c>
      <c r="L105" s="384">
        <f>ROUND((L39-'21R2'!L39)/ABS('21R2'!L39)*100,1)</f>
        <v>9.3000000000000007</v>
      </c>
      <c r="M105" s="384">
        <f>ROUND((M39-'21R2'!M39)/ABS('21R2'!M39)*100,1)</f>
        <v>46.4</v>
      </c>
      <c r="N105" s="384">
        <f>ROUND((N39-'21R2'!N39)/ABS('21R2'!N39)*100,1)</f>
        <v>53.9</v>
      </c>
      <c r="O105" s="384">
        <f>ROUND((O39-'21R2'!O39)/ABS('21R2'!O39)*100,1)</f>
        <v>-19.8</v>
      </c>
      <c r="R105" s="383"/>
      <c r="S105" s="383"/>
    </row>
    <row r="106" spans="1:19">
      <c r="A106" s="293">
        <v>5</v>
      </c>
      <c r="B106" s="91" t="s">
        <v>202</v>
      </c>
      <c r="C106" s="384">
        <f>ROUND((C40-'21R2'!C40)/ABS('21R2'!C40)*100,1)</f>
        <v>5.2</v>
      </c>
      <c r="D106" s="384">
        <f>ROUND((D40-'21R2'!D40)/ABS('21R2'!D40)*100,1)</f>
        <v>15.9</v>
      </c>
      <c r="E106" s="384">
        <f>ROUND((E40-'21R2'!E40)/ABS('21R2'!E40)*100,1)</f>
        <v>25</v>
      </c>
      <c r="F106" s="384">
        <f>ROUND((F40-'21R2'!F40)/ABS('21R2'!F40)*100,1)</f>
        <v>29.6</v>
      </c>
      <c r="G106" s="384">
        <f>ROUND((G40-'21R2'!G40)/ABS('21R2'!G40)*100,1)</f>
        <v>14.5</v>
      </c>
      <c r="H106" s="384">
        <f>ROUND((H40-'21R2'!H40)/ABS('21R2'!H40)*100,1)</f>
        <v>27.3</v>
      </c>
      <c r="I106" s="384">
        <f>ROUND((I40-'21R2'!I40)/ABS('21R2'!I40)*100,1)</f>
        <v>95</v>
      </c>
      <c r="J106" s="384">
        <f>ROUND((J40-'21R2'!J40)/ABS('21R2'!J40)*100,1)</f>
        <v>-66.599999999999994</v>
      </c>
      <c r="K106" s="384">
        <f>ROUND((K40-'21R2'!K40)/ABS('21R2'!K40)*100,1)</f>
        <v>15.4</v>
      </c>
      <c r="L106" s="384">
        <f>ROUND((L40-'21R2'!L40)/ABS('21R2'!L40)*100,1)</f>
        <v>-70.599999999999994</v>
      </c>
      <c r="M106" s="384">
        <f>ROUND((M40-'21R2'!M40)/ABS('21R2'!M40)*100,1)</f>
        <v>23</v>
      </c>
      <c r="N106" s="384">
        <f>ROUND((N40-'21R2'!N40)/ABS('21R2'!N40)*100,1)</f>
        <v>36.200000000000003</v>
      </c>
      <c r="O106" s="384">
        <f>ROUND((O40-'21R2'!O40)/ABS('21R2'!O40)*100,1)</f>
        <v>-194.9</v>
      </c>
      <c r="R106" s="383"/>
      <c r="S106" s="383"/>
    </row>
    <row r="107" spans="1:19">
      <c r="A107" s="293">
        <v>201</v>
      </c>
      <c r="B107" s="92" t="s">
        <v>240</v>
      </c>
      <c r="C107" s="384">
        <f>ROUND((C41-'21R2'!C41)/ABS('21R2'!C41)*100,1)</f>
        <v>6.5</v>
      </c>
      <c r="D107" s="384">
        <f>ROUND((D41-'21R2'!D41)/ABS('21R2'!D41)*100,1)</f>
        <v>15.3</v>
      </c>
      <c r="E107" s="384">
        <f>ROUND((E41-'21R2'!E41)/ABS('21R2'!E41)*100,1)</f>
        <v>25.8</v>
      </c>
      <c r="F107" s="384">
        <f>ROUND((F41-'21R2'!F41)/ABS('21R2'!F41)*100,1)</f>
        <v>33.9</v>
      </c>
      <c r="G107" s="384">
        <f>ROUND((G41-'21R2'!G41)/ABS('21R2'!G41)*100,1)</f>
        <v>14.3</v>
      </c>
      <c r="H107" s="384">
        <f>ROUND((H41-'21R2'!H41)/ABS('21R2'!H41)*100,1)</f>
        <v>32.299999999999997</v>
      </c>
      <c r="I107" s="384">
        <f>ROUND((I41-'21R2'!I41)/ABS('21R2'!I41)*100,1)</f>
        <v>95</v>
      </c>
      <c r="J107" s="384">
        <f>ROUND((J41-'21R2'!J41)/ABS('21R2'!J41)*100,1)</f>
        <v>-74.7</v>
      </c>
      <c r="K107" s="384">
        <f>ROUND((K41-'21R2'!K41)/ABS('21R2'!K41)*100,1)</f>
        <v>15.5</v>
      </c>
      <c r="L107" s="384">
        <f>ROUND((L41-'21R2'!L41)/ABS('21R2'!L41)*100,1)</f>
        <v>-68.5</v>
      </c>
      <c r="M107" s="384">
        <f>ROUND((M41-'21R2'!M41)/ABS('21R2'!M41)*100,1)</f>
        <v>25.2</v>
      </c>
      <c r="N107" s="384">
        <f>ROUND((N41-'21R2'!N41)/ABS('21R2'!N41)*100,1)</f>
        <v>36.6</v>
      </c>
      <c r="O107" s="384">
        <f>ROUND((O41-'21R2'!O41)/ABS('21R2'!O41)*100,1)</f>
        <v>-253</v>
      </c>
      <c r="R107" s="383"/>
      <c r="S107" s="383"/>
    </row>
    <row r="108" spans="1:19">
      <c r="A108" s="293">
        <v>442</v>
      </c>
      <c r="B108" s="90" t="s">
        <v>203</v>
      </c>
      <c r="C108" s="384">
        <f>ROUND((C42-'21R2'!C42)/ABS('21R2'!C42)*100,1)</f>
        <v>36.200000000000003</v>
      </c>
      <c r="D108" s="384">
        <f>ROUND((D42-'21R2'!D42)/ABS('21R2'!D42)*100,1)</f>
        <v>15.2</v>
      </c>
      <c r="E108" s="384">
        <f>ROUND((E42-'21R2'!E42)/ABS('21R2'!E42)*100,1)</f>
        <v>14.9</v>
      </c>
      <c r="F108" s="384">
        <f>ROUND((F42-'21R2'!F42)/ABS('21R2'!F42)*100,1)</f>
        <v>87.1</v>
      </c>
      <c r="G108" s="384">
        <f>ROUND((G42-'21R2'!G42)/ABS('21R2'!G42)*100,1)</f>
        <v>45.8</v>
      </c>
      <c r="H108" s="384">
        <f>ROUND((H42-'21R2'!H42)/ABS('21R2'!H42)*100,1)</f>
        <v>79.400000000000006</v>
      </c>
      <c r="I108" s="384">
        <f>ROUND((I42-'21R2'!I42)/ABS('21R2'!I42)*100,1)</f>
        <v>94.3</v>
      </c>
      <c r="J108" s="384">
        <f>ROUND((J42-'21R2'!J42)/ABS('21R2'!J42)*100,1)</f>
        <v>34.200000000000003</v>
      </c>
      <c r="K108" s="384">
        <f>ROUND((K42-'21R2'!K42)/ABS('21R2'!K42)*100,1)</f>
        <v>28.2</v>
      </c>
      <c r="L108" s="384">
        <f>ROUND((L42-'21R2'!L42)/ABS('21R2'!L42)*100,1)</f>
        <v>180.9</v>
      </c>
      <c r="M108" s="384">
        <f>ROUND((M42-'21R2'!M42)/ABS('21R2'!M42)*100,1)</f>
        <v>56.5</v>
      </c>
      <c r="N108" s="384">
        <f>ROUND((N42-'21R2'!N42)/ABS('21R2'!N42)*100,1)</f>
        <v>53</v>
      </c>
      <c r="O108" s="384">
        <f>ROUND((O42-'21R2'!O42)/ABS('21R2'!O42)*100,1)</f>
        <v>22.8</v>
      </c>
      <c r="R108" s="383"/>
      <c r="S108" s="383"/>
    </row>
    <row r="109" spans="1:19">
      <c r="A109" s="293">
        <v>443</v>
      </c>
      <c r="B109" s="90" t="s">
        <v>204</v>
      </c>
      <c r="C109" s="384">
        <f>ROUND((C43-'21R2'!C43)/ABS('21R2'!C43)*100,1)</f>
        <v>-37.1</v>
      </c>
      <c r="D109" s="384">
        <f>ROUND((D43-'21R2'!D43)/ABS('21R2'!D43)*100,1)</f>
        <v>30.7</v>
      </c>
      <c r="E109" s="384">
        <f>ROUND((E43-'21R2'!E43)/ABS('21R2'!E43)*100,1)</f>
        <v>21</v>
      </c>
      <c r="F109" s="384">
        <f>ROUND((F43-'21R2'!F43)/ABS('21R2'!F43)*100,1)</f>
        <v>-31.1</v>
      </c>
      <c r="G109" s="384">
        <f>ROUND((G43-'21R2'!G43)/ABS('21R2'!G43)*100,1)</f>
        <v>21.2</v>
      </c>
      <c r="H109" s="384">
        <f>ROUND((H43-'21R2'!H43)/ABS('21R2'!H43)*100,1)</f>
        <v>-34.1</v>
      </c>
      <c r="I109" s="384">
        <f>ROUND((I43-'21R2'!I43)/ABS('21R2'!I43)*100,1)</f>
        <v>95.8</v>
      </c>
      <c r="J109" s="384">
        <f>ROUND((J43-'21R2'!J43)/ABS('21R2'!J43)*100,1)</f>
        <v>53.4</v>
      </c>
      <c r="K109" s="384">
        <f>ROUND((K43-'21R2'!K43)/ABS('21R2'!K43)*100,1)</f>
        <v>-0.8</v>
      </c>
      <c r="L109" s="384">
        <f>ROUND((L43-'21R2'!L43)/ABS('21R2'!L43)*100,1)</f>
        <v>-93.5</v>
      </c>
      <c r="M109" s="384">
        <f>ROUND((M43-'21R2'!M43)/ABS('21R2'!M43)*100,1)</f>
        <v>-34.4</v>
      </c>
      <c r="N109" s="384">
        <f>ROUND((N43-'21R2'!N43)/ABS('21R2'!N43)*100,1)</f>
        <v>16.600000000000001</v>
      </c>
      <c r="O109" s="384">
        <f>ROUND((O43-'21R2'!O43)/ABS('21R2'!O43)*100,1)</f>
        <v>-20.8</v>
      </c>
      <c r="R109" s="383"/>
      <c r="S109" s="383"/>
    </row>
    <row r="110" spans="1:19">
      <c r="A110" s="293">
        <v>446</v>
      </c>
      <c r="B110" s="90" t="s">
        <v>234</v>
      </c>
      <c r="C110" s="384">
        <f>ROUND((C44-'21R2'!C44)/ABS('21R2'!C44)*100,1)</f>
        <v>104</v>
      </c>
      <c r="D110" s="384">
        <f>ROUND((D44-'21R2'!D44)/ABS('21R2'!D44)*100,1)</f>
        <v>21.9</v>
      </c>
      <c r="E110" s="384">
        <f>ROUND((E44-'21R2'!E44)/ABS('21R2'!E44)*100,1)</f>
        <v>18.2</v>
      </c>
      <c r="F110" s="384">
        <f>ROUND((F44-'21R2'!F44)/ABS('21R2'!F44)*100,1)</f>
        <v>69.7</v>
      </c>
      <c r="G110" s="384">
        <f>ROUND((G44-'21R2'!G44)/ABS('21R2'!G44)*100,1)</f>
        <v>6.6</v>
      </c>
      <c r="H110" s="384">
        <f>ROUND((H44-'21R2'!H44)/ABS('21R2'!H44)*100,1)</f>
        <v>66</v>
      </c>
      <c r="I110" s="384">
        <f>ROUND((I44-'21R2'!I44)/ABS('21R2'!I44)*100,1)</f>
        <v>94.4</v>
      </c>
      <c r="J110" s="384">
        <f>ROUND((J44-'21R2'!J44)/ABS('21R2'!J44)*100,1)</f>
        <v>111.7</v>
      </c>
      <c r="K110" s="384">
        <f>ROUND((K44-'21R2'!K44)/ABS('21R2'!K44)*100,1)</f>
        <v>38.9</v>
      </c>
      <c r="L110" s="384">
        <f>ROUND((L44-'21R2'!L44)/ABS('21R2'!L44)*100,1)</f>
        <v>153.1</v>
      </c>
      <c r="M110" s="384">
        <f>ROUND((M44-'21R2'!M44)/ABS('21R2'!M44)*100,1)</f>
        <v>113.8</v>
      </c>
      <c r="N110" s="384">
        <f>ROUND((N44-'21R2'!N44)/ABS('21R2'!N44)*100,1)</f>
        <v>52.6</v>
      </c>
      <c r="O110" s="384">
        <f>ROUND((O44-'21R2'!O44)/ABS('21R2'!O44)*100,1)</f>
        <v>26.6</v>
      </c>
      <c r="R110" s="383"/>
      <c r="S110" s="383"/>
    </row>
    <row r="111" spans="1:19">
      <c r="A111" s="293">
        <v>6</v>
      </c>
      <c r="B111" s="91" t="s">
        <v>205</v>
      </c>
      <c r="C111" s="384">
        <f>ROUND((C45-'21R2'!C45)/ABS('21R2'!C45)*100,1)</f>
        <v>-1.6</v>
      </c>
      <c r="D111" s="384">
        <f>ROUND((D45-'21R2'!D45)/ABS('21R2'!D45)*100,1)</f>
        <v>23.5</v>
      </c>
      <c r="E111" s="384">
        <f>ROUND((E45-'21R2'!E45)/ABS('21R2'!E45)*100,1)</f>
        <v>16.600000000000001</v>
      </c>
      <c r="F111" s="384">
        <f>ROUND((F45-'21R2'!F45)/ABS('21R2'!F45)*100,1)</f>
        <v>53.4</v>
      </c>
      <c r="G111" s="384">
        <f>ROUND((G45-'21R2'!G45)/ABS('21R2'!G45)*100,1)</f>
        <v>26.5</v>
      </c>
      <c r="H111" s="384">
        <f>ROUND((H45-'21R2'!H45)/ABS('21R2'!H45)*100,1)</f>
        <v>49.7</v>
      </c>
      <c r="I111" s="384">
        <f>ROUND((I45-'21R2'!I45)/ABS('21R2'!I45)*100,1)</f>
        <v>94.5</v>
      </c>
      <c r="J111" s="384">
        <f>ROUND((J45-'21R2'!J45)/ABS('21R2'!J45)*100,1)</f>
        <v>-38.5</v>
      </c>
      <c r="K111" s="384">
        <f>ROUND((K45-'21R2'!K45)/ABS('21R2'!K45)*100,1)</f>
        <v>25.2</v>
      </c>
      <c r="L111" s="384">
        <f>ROUND((L45-'21R2'!L45)/ABS('21R2'!L45)*100,1)</f>
        <v>-96.8</v>
      </c>
      <c r="M111" s="384">
        <f>ROUND((M45-'21R2'!M45)/ABS('21R2'!M45)*100,1)</f>
        <v>17</v>
      </c>
      <c r="N111" s="384">
        <f>ROUND((N45-'21R2'!N45)/ABS('21R2'!N45)*100,1)</f>
        <v>52.1</v>
      </c>
      <c r="O111" s="384">
        <f>ROUND((O45-'21R2'!O45)/ABS('21R2'!O45)*100,1)</f>
        <v>-152.4</v>
      </c>
      <c r="R111" s="383"/>
      <c r="S111" s="383"/>
    </row>
    <row r="112" spans="1:19">
      <c r="A112" s="293">
        <v>208</v>
      </c>
      <c r="B112" s="90" t="s">
        <v>206</v>
      </c>
      <c r="C112" s="384">
        <f>ROUND((C46-'21R2'!C46)/ABS('21R2'!C46)*100,1)</f>
        <v>-31.4</v>
      </c>
      <c r="D112" s="384">
        <f>ROUND((D46-'21R2'!D46)/ABS('21R2'!D46)*100,1)</f>
        <v>19.100000000000001</v>
      </c>
      <c r="E112" s="384">
        <f>ROUND((E46-'21R2'!E46)/ABS('21R2'!E46)*100,1)</f>
        <v>15.4</v>
      </c>
      <c r="F112" s="384">
        <f>ROUND((F46-'21R2'!F46)/ABS('21R2'!F46)*100,1)</f>
        <v>26</v>
      </c>
      <c r="G112" s="384">
        <f>ROUND((G46-'21R2'!G46)/ABS('21R2'!G46)*100,1)</f>
        <v>28.2</v>
      </c>
      <c r="H112" s="384">
        <f>ROUND((H46-'21R2'!H46)/ABS('21R2'!H46)*100,1)</f>
        <v>20.6</v>
      </c>
      <c r="I112" s="384">
        <f>ROUND((I46-'21R2'!I46)/ABS('21R2'!I46)*100,1)</f>
        <v>94.7</v>
      </c>
      <c r="J112" s="384">
        <f>ROUND((J46-'21R2'!J46)/ABS('21R2'!J46)*100,1)</f>
        <v>36.1</v>
      </c>
      <c r="K112" s="384">
        <f>ROUND((K46-'21R2'!K46)/ABS('21R2'!K46)*100,1)</f>
        <v>20.399999999999999</v>
      </c>
      <c r="L112" s="384">
        <f>ROUND((L46-'21R2'!L46)/ABS('21R2'!L46)*100,1)</f>
        <v>-98.7</v>
      </c>
      <c r="M112" s="384">
        <f>ROUND((M46-'21R2'!M46)/ABS('21R2'!M46)*100,1)</f>
        <v>-22.3</v>
      </c>
      <c r="N112" s="384">
        <f>ROUND((N46-'21R2'!N46)/ABS('21R2'!N46)*100,1)</f>
        <v>46.5</v>
      </c>
      <c r="O112" s="384">
        <f>ROUND((O46-'21R2'!O46)/ABS('21R2'!O46)*100,1)</f>
        <v>-54.7</v>
      </c>
      <c r="R112" s="383"/>
      <c r="S112" s="383"/>
    </row>
    <row r="113" spans="1:19">
      <c r="A113" s="293">
        <v>212</v>
      </c>
      <c r="B113" s="90" t="s">
        <v>207</v>
      </c>
      <c r="C113" s="384">
        <f>ROUND((C47-'21R2'!C47)/ABS('21R2'!C47)*100,1)</f>
        <v>-5.2</v>
      </c>
      <c r="D113" s="384">
        <f>ROUND((D47-'21R2'!D47)/ABS('21R2'!D47)*100,1)</f>
        <v>23.4</v>
      </c>
      <c r="E113" s="384">
        <f>ROUND((E47-'21R2'!E47)/ABS('21R2'!E47)*100,1)</f>
        <v>15</v>
      </c>
      <c r="F113" s="384">
        <f>ROUND((F47-'21R2'!F47)/ABS('21R2'!F47)*100,1)</f>
        <v>29.1</v>
      </c>
      <c r="G113" s="384">
        <f>ROUND((G47-'21R2'!G47)/ABS('21R2'!G47)*100,1)</f>
        <v>-18.5</v>
      </c>
      <c r="H113" s="384">
        <f>ROUND((H47-'21R2'!H47)/ABS('21R2'!H47)*100,1)</f>
        <v>30.3</v>
      </c>
      <c r="I113" s="384">
        <f>ROUND((I47-'21R2'!I47)/ABS('21R2'!I47)*100,1)</f>
        <v>94.5</v>
      </c>
      <c r="J113" s="384">
        <f>ROUND((J47-'21R2'!J47)/ABS('21R2'!J47)*100,1)</f>
        <v>-15.8</v>
      </c>
      <c r="K113" s="384">
        <f>ROUND((K47-'21R2'!K47)/ABS('21R2'!K47)*100,1)</f>
        <v>23</v>
      </c>
      <c r="L113" s="384">
        <f>ROUND((L47-'21R2'!L47)/ABS('21R2'!L47)*100,1)</f>
        <v>-96.3</v>
      </c>
      <c r="M113" s="384">
        <f>ROUND((M47-'21R2'!M47)/ABS('21R2'!M47)*100,1)</f>
        <v>12.5</v>
      </c>
      <c r="N113" s="384">
        <f>ROUND((N47-'21R2'!N47)/ABS('21R2'!N47)*100,1)</f>
        <v>49.1</v>
      </c>
      <c r="O113" s="384">
        <f>ROUND((O47-'21R2'!O47)/ABS('21R2'!O47)*100,1)</f>
        <v>-109.3</v>
      </c>
      <c r="R113" s="383"/>
      <c r="S113" s="383"/>
    </row>
    <row r="114" spans="1:19">
      <c r="A114" s="293">
        <v>227</v>
      </c>
      <c r="B114" s="90" t="s">
        <v>219</v>
      </c>
      <c r="C114" s="384">
        <f>ROUND((C48-'21R2'!C48)/ABS('21R2'!C48)*100,1)</f>
        <v>21.2</v>
      </c>
      <c r="D114" s="384">
        <f>ROUND((D48-'21R2'!D48)/ABS('21R2'!D48)*100,1)</f>
        <v>18</v>
      </c>
      <c r="E114" s="384">
        <f>ROUND((E48-'21R2'!E48)/ABS('21R2'!E48)*100,1)</f>
        <v>18.100000000000001</v>
      </c>
      <c r="F114" s="384">
        <f>ROUND((F48-'21R2'!F48)/ABS('21R2'!F48)*100,1)</f>
        <v>65.3</v>
      </c>
      <c r="G114" s="384">
        <f>ROUND((G48-'21R2'!G48)/ABS('21R2'!G48)*100,1)</f>
        <v>-19.100000000000001</v>
      </c>
      <c r="H114" s="384">
        <f>ROUND((H48-'21R2'!H48)/ABS('21R2'!H48)*100,1)</f>
        <v>64</v>
      </c>
      <c r="I114" s="384">
        <f>ROUND((I48-'21R2'!I48)/ABS('21R2'!I48)*100,1)</f>
        <v>94.4</v>
      </c>
      <c r="J114" s="384">
        <f>ROUND((J48-'21R2'!J48)/ABS('21R2'!J48)*100,1)</f>
        <v>-40</v>
      </c>
      <c r="K114" s="384">
        <f>ROUND((K48-'21R2'!K48)/ABS('21R2'!K48)*100,1)</f>
        <v>20.6</v>
      </c>
      <c r="L114" s="384">
        <f>ROUND((L48-'21R2'!L48)/ABS('21R2'!L48)*100,1)</f>
        <v>-4.3</v>
      </c>
      <c r="M114" s="384">
        <f>ROUND((M48-'21R2'!M48)/ABS('21R2'!M48)*100,1)</f>
        <v>49.2</v>
      </c>
      <c r="N114" s="384">
        <f>ROUND((N48-'21R2'!N48)/ABS('21R2'!N48)*100,1)</f>
        <v>51.9</v>
      </c>
      <c r="O114" s="384">
        <f>ROUND((O48-'21R2'!O48)/ABS('21R2'!O48)*100,1)</f>
        <v>-0.7</v>
      </c>
      <c r="R114" s="383"/>
      <c r="S114" s="383"/>
    </row>
    <row r="115" spans="1:19">
      <c r="A115" s="293">
        <v>229</v>
      </c>
      <c r="B115" s="90" t="s">
        <v>235</v>
      </c>
      <c r="C115" s="384">
        <f>ROUND((C49-'21R2'!C49)/ABS('21R2'!C49)*100,1)</f>
        <v>-7.8</v>
      </c>
      <c r="D115" s="384">
        <f>ROUND((D49-'21R2'!D49)/ABS('21R2'!D49)*100,1)</f>
        <v>26.9</v>
      </c>
      <c r="E115" s="384">
        <f>ROUND((E49-'21R2'!E49)/ABS('21R2'!E49)*100,1)</f>
        <v>15.4</v>
      </c>
      <c r="F115" s="384">
        <f>ROUND((F49-'21R2'!F49)/ABS('21R2'!F49)*100,1)</f>
        <v>50.5</v>
      </c>
      <c r="G115" s="384">
        <f>ROUND((G49-'21R2'!G49)/ABS('21R2'!G49)*100,1)</f>
        <v>75.8</v>
      </c>
      <c r="H115" s="384">
        <f>ROUND((H49-'21R2'!H49)/ABS('21R2'!H49)*100,1)</f>
        <v>43.1</v>
      </c>
      <c r="I115" s="384">
        <f>ROUND((I49-'21R2'!I49)/ABS('21R2'!I49)*100,1)</f>
        <v>94.6</v>
      </c>
      <c r="J115" s="384">
        <f>ROUND((J49-'21R2'!J49)/ABS('21R2'!J49)*100,1)</f>
        <v>-58.3</v>
      </c>
      <c r="K115" s="384">
        <f>ROUND((K49-'21R2'!K49)/ABS('21R2'!K49)*100,1)</f>
        <v>24.5</v>
      </c>
      <c r="L115" s="384">
        <f>ROUND((L49-'21R2'!L49)/ABS('21R2'!L49)*100,1)</f>
        <v>-93.5</v>
      </c>
      <c r="M115" s="384">
        <f>ROUND((M49-'21R2'!M49)/ABS('21R2'!M49)*100,1)</f>
        <v>6.7</v>
      </c>
      <c r="N115" s="384">
        <f>ROUND((N49-'21R2'!N49)/ABS('21R2'!N49)*100,1)</f>
        <v>49.5</v>
      </c>
      <c r="O115" s="384">
        <f>ROUND((O49-'21R2'!O49)/ABS('21R2'!O49)*100,1)</f>
        <v>-63.4</v>
      </c>
      <c r="R115" s="383"/>
      <c r="S115" s="383"/>
    </row>
    <row r="116" spans="1:19">
      <c r="A116" s="293">
        <v>464</v>
      </c>
      <c r="B116" s="90" t="s">
        <v>208</v>
      </c>
      <c r="C116" s="384">
        <f>ROUND((C50-'21R2'!C50)/ABS('21R2'!C50)*100,1)</f>
        <v>31.1</v>
      </c>
      <c r="D116" s="384">
        <f>ROUND((D50-'21R2'!D50)/ABS('21R2'!D50)*100,1)</f>
        <v>34</v>
      </c>
      <c r="E116" s="384">
        <f>ROUND((E50-'21R2'!E50)/ABS('21R2'!E50)*100,1)</f>
        <v>25.5</v>
      </c>
      <c r="F116" s="384">
        <f>ROUND((F50-'21R2'!F50)/ABS('21R2'!F50)*100,1)</f>
        <v>167.7</v>
      </c>
      <c r="G116" s="384">
        <f>ROUND((G50-'21R2'!G50)/ABS('21R2'!G50)*100,1)</f>
        <v>75.099999999999994</v>
      </c>
      <c r="H116" s="384">
        <f>ROUND((H50-'21R2'!H50)/ABS('21R2'!H50)*100,1)</f>
        <v>172.6</v>
      </c>
      <c r="I116" s="384">
        <f>ROUND((I50-'21R2'!I50)/ABS('21R2'!I50)*100,1)</f>
        <v>93.7</v>
      </c>
      <c r="J116" s="384">
        <f>ROUND((J50-'21R2'!J50)/ABS('21R2'!J50)*100,1)</f>
        <v>-51.8</v>
      </c>
      <c r="K116" s="384">
        <f>ROUND((K50-'21R2'!K50)/ABS('21R2'!K50)*100,1)</f>
        <v>47.8</v>
      </c>
      <c r="L116" s="384">
        <f>ROUND((L50-'21R2'!L50)/ABS('21R2'!L50)*100,1)</f>
        <v>-65.7</v>
      </c>
      <c r="M116" s="384">
        <f>ROUND((M50-'21R2'!M50)/ABS('21R2'!M50)*100,1)</f>
        <v>58.8</v>
      </c>
      <c r="N116" s="384">
        <f>ROUND((N50-'21R2'!N50)/ABS('21R2'!N50)*100,1)</f>
        <v>73.099999999999994</v>
      </c>
      <c r="O116" s="384">
        <f>ROUND((O50-'21R2'!O50)/ABS('21R2'!O50)*100,1)</f>
        <v>-567.4</v>
      </c>
      <c r="R116" s="383"/>
      <c r="S116" s="383"/>
    </row>
    <row r="117" spans="1:19">
      <c r="A117" s="293">
        <v>481</v>
      </c>
      <c r="B117" s="90" t="s">
        <v>209</v>
      </c>
      <c r="C117" s="384">
        <f>ROUND((C51-'21R2'!C51)/ABS('21R2'!C51)*100,1)</f>
        <v>28.9</v>
      </c>
      <c r="D117" s="384">
        <f>ROUND((D51-'21R2'!D51)/ABS('21R2'!D51)*100,1)</f>
        <v>15.7</v>
      </c>
      <c r="E117" s="384">
        <f>ROUND((E51-'21R2'!E51)/ABS('21R2'!E51)*100,1)</f>
        <v>24.7</v>
      </c>
      <c r="F117" s="384">
        <f>ROUND((F51-'21R2'!F51)/ABS('21R2'!F51)*100,1)</f>
        <v>81.599999999999994</v>
      </c>
      <c r="G117" s="384">
        <f>ROUND((G51-'21R2'!G51)/ABS('21R2'!G51)*100,1)</f>
        <v>-13.2</v>
      </c>
      <c r="H117" s="384">
        <f>ROUND((H51-'21R2'!H51)/ABS('21R2'!H51)*100,1)</f>
        <v>79.599999999999994</v>
      </c>
      <c r="I117" s="384">
        <f>ROUND((I51-'21R2'!I51)/ABS('21R2'!I51)*100,1)</f>
        <v>94.4</v>
      </c>
      <c r="J117" s="384">
        <f>ROUND((J51-'21R2'!J51)/ABS('21R2'!J51)*100,1)</f>
        <v>34.9</v>
      </c>
      <c r="K117" s="384">
        <f>ROUND((K51-'21R2'!K51)/ABS('21R2'!K51)*100,1)</f>
        <v>29.6</v>
      </c>
      <c r="L117" s="384">
        <f>ROUND((L51-'21R2'!L51)/ABS('21R2'!L51)*100,1)</f>
        <v>-2.8</v>
      </c>
      <c r="M117" s="384">
        <f>ROUND((M51-'21R2'!M51)/ABS('21R2'!M51)*100,1)</f>
        <v>53.3</v>
      </c>
      <c r="N117" s="384">
        <f>ROUND((N51-'21R2'!N51)/ABS('21R2'!N51)*100,1)</f>
        <v>55.6</v>
      </c>
      <c r="O117" s="384">
        <f>ROUND((O51-'21R2'!O51)/ABS('21R2'!O51)*100,1)</f>
        <v>-41</v>
      </c>
      <c r="R117" s="383"/>
      <c r="S117" s="383"/>
    </row>
    <row r="118" spans="1:19">
      <c r="A118" s="293">
        <v>501</v>
      </c>
      <c r="B118" s="90" t="s">
        <v>236</v>
      </c>
      <c r="C118" s="384">
        <f>ROUND((C52-'21R2'!C52)/ABS('21R2'!C52)*100,1)</f>
        <v>4.9000000000000004</v>
      </c>
      <c r="D118" s="384">
        <f>ROUND((D52-'21R2'!D52)/ABS('21R2'!D52)*100,1)</f>
        <v>14.1</v>
      </c>
      <c r="E118" s="384">
        <f>ROUND((E52-'21R2'!E52)/ABS('21R2'!E52)*100,1)</f>
        <v>8.5</v>
      </c>
      <c r="F118" s="384">
        <f>ROUND((F52-'21R2'!F52)/ABS('21R2'!F52)*100,1)</f>
        <v>58.3</v>
      </c>
      <c r="G118" s="384">
        <f>ROUND((G52-'21R2'!G52)/ABS('21R2'!G52)*100,1)</f>
        <v>-0.3</v>
      </c>
      <c r="H118" s="384">
        <f>ROUND((H52-'21R2'!H52)/ABS('21R2'!H52)*100,1)</f>
        <v>51</v>
      </c>
      <c r="I118" s="384">
        <f>ROUND((I52-'21R2'!I52)/ABS('21R2'!I52)*100,1)</f>
        <v>94.7</v>
      </c>
      <c r="J118" s="384">
        <f>ROUND((J52-'21R2'!J52)/ABS('21R2'!J52)*100,1)</f>
        <v>-48.9</v>
      </c>
      <c r="K118" s="384">
        <f>ROUND((K52-'21R2'!K52)/ABS('21R2'!K52)*100,1)</f>
        <v>11.4</v>
      </c>
      <c r="L118" s="384">
        <f>ROUND((L52-'21R2'!L52)/ABS('21R2'!L52)*100,1)</f>
        <v>-1170.5999999999999</v>
      </c>
      <c r="M118" s="384">
        <f>ROUND((M52-'21R2'!M52)/ABS('21R2'!M52)*100,1)</f>
        <v>31.5</v>
      </c>
      <c r="N118" s="384">
        <f>ROUND((N52-'21R2'!N52)/ABS('21R2'!N52)*100,1)</f>
        <v>45.1</v>
      </c>
      <c r="O118" s="384">
        <f>ROUND((O52-'21R2'!O52)/ABS('21R2'!O52)*100,1)</f>
        <v>19.7</v>
      </c>
      <c r="R118" s="383"/>
      <c r="S118" s="383"/>
    </row>
    <row r="119" spans="1:19">
      <c r="A119" s="293">
        <v>7</v>
      </c>
      <c r="B119" s="93" t="s">
        <v>210</v>
      </c>
      <c r="C119" s="384">
        <f>ROUND((C53-'21R2'!C53)/ABS('21R2'!C53)*100,1)</f>
        <v>10.4</v>
      </c>
      <c r="D119" s="384">
        <f>ROUND((D53-'21R2'!D53)/ABS('21R2'!D53)*100,1)</f>
        <v>17.5</v>
      </c>
      <c r="E119" s="384">
        <f>ROUND((E53-'21R2'!E53)/ABS('21R2'!E53)*100,1)</f>
        <v>17.3</v>
      </c>
      <c r="F119" s="384">
        <f>ROUND((F53-'21R2'!F53)/ABS('21R2'!F53)*100,1)</f>
        <v>90.5</v>
      </c>
      <c r="G119" s="384">
        <f>ROUND((G53-'21R2'!G53)/ABS('21R2'!G53)*100,1)</f>
        <v>13.5</v>
      </c>
      <c r="H119" s="384">
        <f>ROUND((H53-'21R2'!H53)/ABS('21R2'!H53)*100,1)</f>
        <v>88.1</v>
      </c>
      <c r="I119" s="384">
        <f>ROUND((I53-'21R2'!I53)/ABS('21R2'!I53)*100,1)</f>
        <v>94.3</v>
      </c>
      <c r="J119" s="384">
        <f>ROUND((J53-'21R2'!J53)/ABS('21R2'!J53)*100,1)</f>
        <v>-46.3</v>
      </c>
      <c r="K119" s="384">
        <f>ROUND((K53-'21R2'!K53)/ABS('21R2'!K53)*100,1)</f>
        <v>23.4</v>
      </c>
      <c r="L119" s="384">
        <f>ROUND((L53-'21R2'!L53)/ABS('21R2'!L53)*100,1)</f>
        <v>-134.5</v>
      </c>
      <c r="M119" s="384">
        <f>ROUND((M53-'21R2'!M53)/ABS('21R2'!M53)*100,1)</f>
        <v>36.9</v>
      </c>
      <c r="N119" s="384">
        <f>ROUND((N53-'21R2'!N53)/ABS('21R2'!N53)*100,1)</f>
        <v>54.7</v>
      </c>
      <c r="O119" s="384">
        <f>ROUND((O53-'21R2'!O53)/ABS('21R2'!O53)*100,1)</f>
        <v>-67.2</v>
      </c>
      <c r="R119" s="383"/>
      <c r="S119" s="383"/>
    </row>
    <row r="120" spans="1:19">
      <c r="A120" s="293">
        <v>209</v>
      </c>
      <c r="B120" s="90" t="s">
        <v>221</v>
      </c>
      <c r="C120" s="384">
        <f>ROUND((C54-'21R2'!C54)/ABS('21R2'!C54)*100,1)</f>
        <v>9.1</v>
      </c>
      <c r="D120" s="384">
        <f>ROUND((D54-'21R2'!D54)/ABS('21R2'!D54)*100,1)</f>
        <v>19.600000000000001</v>
      </c>
      <c r="E120" s="384">
        <f>ROUND((E54-'21R2'!E54)/ABS('21R2'!E54)*100,1)</f>
        <v>14.3</v>
      </c>
      <c r="F120" s="384">
        <f>ROUND((F54-'21R2'!F54)/ABS('21R2'!F54)*100,1)</f>
        <v>64.900000000000006</v>
      </c>
      <c r="G120" s="384">
        <f>ROUND((G54-'21R2'!G54)/ABS('21R2'!G54)*100,1)</f>
        <v>16</v>
      </c>
      <c r="H120" s="384">
        <f>ROUND((H54-'21R2'!H54)/ABS('21R2'!H54)*100,1)</f>
        <v>62.5</v>
      </c>
      <c r="I120" s="384">
        <f>ROUND((I54-'21R2'!I54)/ABS('21R2'!I54)*100,1)</f>
        <v>94.4</v>
      </c>
      <c r="J120" s="384">
        <f>ROUND((J54-'21R2'!J54)/ABS('21R2'!J54)*100,1)</f>
        <v>-41.1</v>
      </c>
      <c r="K120" s="384">
        <f>ROUND((K54-'21R2'!K54)/ABS('21R2'!K54)*100,1)</f>
        <v>22.3</v>
      </c>
      <c r="L120" s="384">
        <f>ROUND((L54-'21R2'!L54)/ABS('21R2'!L54)*100,1)</f>
        <v>-151.9</v>
      </c>
      <c r="M120" s="384">
        <f>ROUND((M54-'21R2'!M54)/ABS('21R2'!M54)*100,1)</f>
        <v>35.5</v>
      </c>
      <c r="N120" s="384">
        <f>ROUND((N54-'21R2'!N54)/ABS('21R2'!N54)*100,1)</f>
        <v>54.9</v>
      </c>
      <c r="O120" s="384">
        <f>ROUND((O54-'21R2'!O54)/ABS('21R2'!O54)*100,1)</f>
        <v>-38.1</v>
      </c>
      <c r="R120" s="383"/>
      <c r="S120" s="383"/>
    </row>
    <row r="121" spans="1:19">
      <c r="A121" s="293">
        <v>222</v>
      </c>
      <c r="B121" s="90" t="s">
        <v>218</v>
      </c>
      <c r="C121" s="384">
        <f>ROUND((C55-'21R2'!C55)/ABS('21R2'!C55)*100,1)</f>
        <v>24.5</v>
      </c>
      <c r="D121" s="384">
        <f>ROUND((D55-'21R2'!D55)/ABS('21R2'!D55)*100,1)</f>
        <v>13.2</v>
      </c>
      <c r="E121" s="384">
        <f>ROUND((E55-'21R2'!E55)/ABS('21R2'!E55)*100,1)</f>
        <v>21.7</v>
      </c>
      <c r="F121" s="384">
        <f>ROUND((F55-'21R2'!F55)/ABS('21R2'!F55)*100,1)</f>
        <v>85.7</v>
      </c>
      <c r="G121" s="384">
        <f>ROUND((G55-'21R2'!G55)/ABS('21R2'!G55)*100,1)</f>
        <v>1.1000000000000001</v>
      </c>
      <c r="H121" s="384">
        <f>ROUND((H55-'21R2'!H55)/ABS('21R2'!H55)*100,1)</f>
        <v>81.8</v>
      </c>
      <c r="I121" s="384">
        <f>ROUND((I55-'21R2'!I55)/ABS('21R2'!I55)*100,1)</f>
        <v>94.7</v>
      </c>
      <c r="J121" s="384">
        <f>ROUND((J55-'21R2'!J55)/ABS('21R2'!J55)*100,1)</f>
        <v>-72.5</v>
      </c>
      <c r="K121" s="384">
        <f>ROUND((K55-'21R2'!K55)/ABS('21R2'!K55)*100,1)</f>
        <v>15.1</v>
      </c>
      <c r="L121" s="384">
        <f>ROUND((L55-'21R2'!L55)/ABS('21R2'!L55)*100,1)</f>
        <v>57.9</v>
      </c>
      <c r="M121" s="384">
        <f>ROUND((M55-'21R2'!M55)/ABS('21R2'!M55)*100,1)</f>
        <v>56</v>
      </c>
      <c r="N121" s="384">
        <f>ROUND((N55-'21R2'!N55)/ABS('21R2'!N55)*100,1)</f>
        <v>46.7</v>
      </c>
      <c r="O121" s="384">
        <f>ROUND((O55-'21R2'!O55)/ABS('21R2'!O55)*100,1)</f>
        <v>0.8</v>
      </c>
      <c r="R121" s="383"/>
      <c r="S121" s="383"/>
    </row>
    <row r="122" spans="1:19">
      <c r="A122" s="293">
        <v>225</v>
      </c>
      <c r="B122" s="90" t="s">
        <v>222</v>
      </c>
      <c r="C122" s="384">
        <f>ROUND((C56-'21R2'!C56)/ABS('21R2'!C56)*100,1)</f>
        <v>-5.6</v>
      </c>
      <c r="D122" s="384">
        <f>ROUND((D56-'21R2'!D56)/ABS('21R2'!D56)*100,1)</f>
        <v>18.5</v>
      </c>
      <c r="E122" s="384">
        <f>ROUND((E56-'21R2'!E56)/ABS('21R2'!E56)*100,1)</f>
        <v>18.8</v>
      </c>
      <c r="F122" s="384">
        <f>ROUND((F56-'21R2'!F56)/ABS('21R2'!F56)*100,1)</f>
        <v>180.1</v>
      </c>
      <c r="G122" s="384">
        <f>ROUND((G56-'21R2'!G56)/ABS('21R2'!G56)*100,1)</f>
        <v>-0.3</v>
      </c>
      <c r="H122" s="384">
        <f>ROUND((H56-'21R2'!H56)/ABS('21R2'!H56)*100,1)</f>
        <v>187.1</v>
      </c>
      <c r="I122" s="384">
        <f>ROUND((I56-'21R2'!I56)/ABS('21R2'!I56)*100,1)</f>
        <v>93.7</v>
      </c>
      <c r="J122" s="384">
        <f>ROUND((J56-'21R2'!J56)/ABS('21R2'!J56)*100,1)</f>
        <v>-5.4</v>
      </c>
      <c r="K122" s="384">
        <f>ROUND((K56-'21R2'!K56)/ABS('21R2'!K56)*100,1)</f>
        <v>43.2</v>
      </c>
      <c r="L122" s="384">
        <f>ROUND((L56-'21R2'!L56)/ABS('21R2'!L56)*100,1)</f>
        <v>-94.9</v>
      </c>
      <c r="M122" s="384">
        <f>ROUND((M56-'21R2'!M56)/ABS('21R2'!M56)*100,1)</f>
        <v>14.3</v>
      </c>
      <c r="N122" s="384">
        <f>ROUND((N56-'21R2'!N56)/ABS('21R2'!N56)*100,1)</f>
        <v>71.599999999999994</v>
      </c>
      <c r="O122" s="384">
        <f>ROUND((O56-'21R2'!O56)/ABS('21R2'!O56)*100,1)</f>
        <v>-204.6</v>
      </c>
      <c r="R122" s="383"/>
      <c r="S122" s="383"/>
    </row>
    <row r="123" spans="1:19">
      <c r="A123" s="293">
        <v>585</v>
      </c>
      <c r="B123" s="90" t="s">
        <v>220</v>
      </c>
      <c r="C123" s="384">
        <f>ROUND((C57-'21R2'!C57)/ABS('21R2'!C57)*100,1)</f>
        <v>24.1</v>
      </c>
      <c r="D123" s="384">
        <f>ROUND((D57-'21R2'!D57)/ABS('21R2'!D57)*100,1)</f>
        <v>11.6</v>
      </c>
      <c r="E123" s="384">
        <f>ROUND((E57-'21R2'!E57)/ABS('21R2'!E57)*100,1)</f>
        <v>12</v>
      </c>
      <c r="F123" s="384">
        <f>ROUND((F57-'21R2'!F57)/ABS('21R2'!F57)*100,1)</f>
        <v>69.400000000000006</v>
      </c>
      <c r="G123" s="384">
        <f>ROUND((G57-'21R2'!G57)/ABS('21R2'!G57)*100,1)</f>
        <v>69.599999999999994</v>
      </c>
      <c r="H123" s="384">
        <f>ROUND((H57-'21R2'!H57)/ABS('21R2'!H57)*100,1)</f>
        <v>57.7</v>
      </c>
      <c r="I123" s="384">
        <f>ROUND((I57-'21R2'!I57)/ABS('21R2'!I57)*100,1)</f>
        <v>94.6</v>
      </c>
      <c r="J123" s="384">
        <f>ROUND((J57-'21R2'!J57)/ABS('21R2'!J57)*100,1)</f>
        <v>-57.3</v>
      </c>
      <c r="K123" s="384">
        <f>ROUND((K57-'21R2'!K57)/ABS('21R2'!K57)*100,1)</f>
        <v>11.6</v>
      </c>
      <c r="L123" s="384">
        <f>ROUND((L57-'21R2'!L57)/ABS('21R2'!L57)*100,1)</f>
        <v>52.7</v>
      </c>
      <c r="M123" s="384">
        <f>ROUND((M57-'21R2'!M57)/ABS('21R2'!M57)*100,1)</f>
        <v>57.3</v>
      </c>
      <c r="N123" s="384">
        <f>ROUND((N57-'21R2'!N57)/ABS('21R2'!N57)*100,1)</f>
        <v>46</v>
      </c>
      <c r="O123" s="384">
        <f>ROUND((O57-'21R2'!O57)/ABS('21R2'!O57)*100,1)</f>
        <v>13.1</v>
      </c>
      <c r="R123" s="383"/>
      <c r="S123" s="383"/>
    </row>
    <row r="124" spans="1:19">
      <c r="A124" s="293">
        <v>586</v>
      </c>
      <c r="B124" s="90" t="s">
        <v>237</v>
      </c>
      <c r="C124" s="384">
        <f>ROUND((C58-'21R2'!C58)/ABS('21R2'!C58)*100,1)</f>
        <v>38.5</v>
      </c>
      <c r="D124" s="384">
        <f>ROUND((D58-'21R2'!D58)/ABS('21R2'!D58)*100,1)</f>
        <v>17</v>
      </c>
      <c r="E124" s="384">
        <f>ROUND((E58-'21R2'!E58)/ABS('21R2'!E58)*100,1)</f>
        <v>27</v>
      </c>
      <c r="F124" s="384">
        <f>ROUND((F58-'21R2'!F58)/ABS('21R2'!F58)*100,1)</f>
        <v>51.4</v>
      </c>
      <c r="G124" s="384">
        <f>ROUND((G58-'21R2'!G58)/ABS('21R2'!G58)*100,1)</f>
        <v>48.1</v>
      </c>
      <c r="H124" s="384">
        <f>ROUND((H58-'21R2'!H58)/ABS('21R2'!H58)*100,1)</f>
        <v>41.6</v>
      </c>
      <c r="I124" s="384">
        <f>ROUND((I58-'21R2'!I58)/ABS('21R2'!I58)*100,1)</f>
        <v>94.7</v>
      </c>
      <c r="J124" s="384">
        <f>ROUND((J58-'21R2'!J58)/ABS('21R2'!J58)*100,1)</f>
        <v>-42.3</v>
      </c>
      <c r="K124" s="384">
        <f>ROUND((K58-'21R2'!K58)/ABS('21R2'!K58)*100,1)</f>
        <v>16.600000000000001</v>
      </c>
      <c r="L124" s="384">
        <f>ROUND((L58-'21R2'!L58)/ABS('21R2'!L58)*100,1)</f>
        <v>94.9</v>
      </c>
      <c r="M124" s="384">
        <f>ROUND((M58-'21R2'!M58)/ABS('21R2'!M58)*100,1)</f>
        <v>67.2</v>
      </c>
      <c r="N124" s="384">
        <f>ROUND((N58-'21R2'!N58)/ABS('21R2'!N58)*100,1)</f>
        <v>43.3</v>
      </c>
      <c r="O124" s="384">
        <f>ROUND((O58-'21R2'!O58)/ABS('21R2'!O58)*100,1)</f>
        <v>-1.4</v>
      </c>
      <c r="R124" s="383"/>
      <c r="S124" s="383"/>
    </row>
    <row r="125" spans="1:19">
      <c r="A125" s="293">
        <v>8</v>
      </c>
      <c r="B125" s="86" t="s">
        <v>211</v>
      </c>
      <c r="C125" s="384">
        <f>ROUND((C59-'21R2'!C59)/ABS('21R2'!C59)*100,1)</f>
        <v>1.3</v>
      </c>
      <c r="D125" s="384">
        <f>ROUND((D59-'21R2'!D59)/ABS('21R2'!D59)*100,1)</f>
        <v>26.1</v>
      </c>
      <c r="E125" s="384">
        <f>ROUND((E59-'21R2'!E59)/ABS('21R2'!E59)*100,1)</f>
        <v>21.4</v>
      </c>
      <c r="F125" s="384">
        <f>ROUND((F59-'21R2'!F59)/ABS('21R2'!F59)*100,1)</f>
        <v>28.8</v>
      </c>
      <c r="G125" s="384">
        <f>ROUND((G59-'21R2'!G59)/ABS('21R2'!G59)*100,1)</f>
        <v>17.7</v>
      </c>
      <c r="H125" s="384">
        <f>ROUND((H59-'21R2'!H59)/ABS('21R2'!H59)*100,1)</f>
        <v>24.6</v>
      </c>
      <c r="I125" s="384">
        <f>ROUND((I59-'21R2'!I59)/ABS('21R2'!I59)*100,1)</f>
        <v>94.5</v>
      </c>
      <c r="J125" s="384">
        <f>ROUND((J59-'21R2'!J59)/ABS('21R2'!J59)*100,1)</f>
        <v>-47</v>
      </c>
      <c r="K125" s="384">
        <f>ROUND((K59-'21R2'!K59)/ABS('21R2'!K59)*100,1)</f>
        <v>22.9</v>
      </c>
      <c r="L125" s="384">
        <f>ROUND((L59-'21R2'!L59)/ABS('21R2'!L59)*100,1)</f>
        <v>-104.3</v>
      </c>
      <c r="M125" s="384">
        <f>ROUND((M59-'21R2'!M59)/ABS('21R2'!M59)*100,1)</f>
        <v>21.8</v>
      </c>
      <c r="N125" s="384">
        <f>ROUND((N59-'21R2'!N59)/ABS('21R2'!N59)*100,1)</f>
        <v>51.5</v>
      </c>
      <c r="O125" s="384">
        <f>ROUND((O59-'21R2'!O59)/ABS('21R2'!O59)*100,1)</f>
        <v>-552.9</v>
      </c>
      <c r="R125" s="383"/>
      <c r="S125" s="383"/>
    </row>
    <row r="126" spans="1:19">
      <c r="A126" s="293">
        <v>221</v>
      </c>
      <c r="B126" s="90" t="s">
        <v>1144</v>
      </c>
      <c r="C126" s="384">
        <f>ROUND((C60-'21R2'!C60)/ABS('21R2'!C60)*100,1)</f>
        <v>-8.1999999999999993</v>
      </c>
      <c r="D126" s="384">
        <f>ROUND((D60-'21R2'!D60)/ABS('21R2'!D60)*100,1)</f>
        <v>25.3</v>
      </c>
      <c r="E126" s="384">
        <f>ROUND((E60-'21R2'!E60)/ABS('21R2'!E60)*100,1)</f>
        <v>24.6</v>
      </c>
      <c r="F126" s="384">
        <f>ROUND((F60-'21R2'!F60)/ABS('21R2'!F60)*100,1)</f>
        <v>68.900000000000006</v>
      </c>
      <c r="G126" s="384">
        <f>ROUND((G60-'21R2'!G60)/ABS('21R2'!G60)*100,1)</f>
        <v>107.1</v>
      </c>
      <c r="H126" s="384">
        <f>ROUND((H60-'21R2'!H60)/ABS('21R2'!H60)*100,1)</f>
        <v>56.2</v>
      </c>
      <c r="I126" s="384">
        <f>ROUND((I60-'21R2'!I60)/ABS('21R2'!I60)*100,1)</f>
        <v>94.2</v>
      </c>
      <c r="J126" s="384">
        <f>ROUND((J60-'21R2'!J60)/ABS('21R2'!J60)*100,1)</f>
        <v>-56.3</v>
      </c>
      <c r="K126" s="384">
        <f>ROUND((K60-'21R2'!K60)/ABS('21R2'!K60)*100,1)</f>
        <v>28.6</v>
      </c>
      <c r="L126" s="384">
        <f>ROUND((L60-'21R2'!L60)/ABS('21R2'!L60)*100,1)</f>
        <v>-100.4</v>
      </c>
      <c r="M126" s="384">
        <f>ROUND((M60-'21R2'!M60)/ABS('21R2'!M60)*100,1)</f>
        <v>9.3000000000000007</v>
      </c>
      <c r="N126" s="384">
        <f>ROUND((N60-'21R2'!N60)/ABS('21R2'!N60)*100,1)</f>
        <v>57.7</v>
      </c>
      <c r="O126" s="384">
        <f>ROUND((O60-'21R2'!O60)/ABS('21R2'!O60)*100,1)</f>
        <v>-164.6</v>
      </c>
      <c r="R126" s="383"/>
      <c r="S126" s="383"/>
    </row>
    <row r="127" spans="1:19">
      <c r="A127" s="293">
        <v>223</v>
      </c>
      <c r="B127" s="90" t="s">
        <v>223</v>
      </c>
      <c r="C127" s="384">
        <f>ROUND((C61-'21R2'!C61)/ABS('21R2'!C61)*100,1)</f>
        <v>9.1999999999999993</v>
      </c>
      <c r="D127" s="384">
        <f>ROUND((D61-'21R2'!D61)/ABS('21R2'!D61)*100,1)</f>
        <v>26.6</v>
      </c>
      <c r="E127" s="384">
        <f>ROUND((E61-'21R2'!E61)/ABS('21R2'!E61)*100,1)</f>
        <v>18.899999999999999</v>
      </c>
      <c r="F127" s="384">
        <f>ROUND((F61-'21R2'!F61)/ABS('21R2'!F61)*100,1)</f>
        <v>11.1</v>
      </c>
      <c r="G127" s="384">
        <f>ROUND((G61-'21R2'!G61)/ABS('21R2'!G61)*100,1)</f>
        <v>-14.6</v>
      </c>
      <c r="H127" s="384">
        <f>ROUND((H61-'21R2'!H61)/ABS('21R2'!H61)*100,1)</f>
        <v>10.1</v>
      </c>
      <c r="I127" s="384">
        <f>ROUND((I61-'21R2'!I61)/ABS('21R2'!I61)*100,1)</f>
        <v>94.6</v>
      </c>
      <c r="J127" s="384">
        <f>ROUND((J61-'21R2'!J61)/ABS('21R2'!J61)*100,1)</f>
        <v>-39.200000000000003</v>
      </c>
      <c r="K127" s="384">
        <f>ROUND((K61-'21R2'!K61)/ABS('21R2'!K61)*100,1)</f>
        <v>19.2</v>
      </c>
      <c r="L127" s="384">
        <f>ROUND((L61-'21R2'!L61)/ABS('21R2'!L61)*100,1)</f>
        <v>-116.6</v>
      </c>
      <c r="M127" s="384">
        <f>ROUND((M61-'21R2'!M61)/ABS('21R2'!M61)*100,1)</f>
        <v>32.1</v>
      </c>
      <c r="N127" s="384">
        <f>ROUND((N61-'21R2'!N61)/ABS('21R2'!N61)*100,1)</f>
        <v>47.6</v>
      </c>
      <c r="O127" s="384">
        <f>ROUND((O61-'21R2'!O61)/ABS('21R2'!O61)*100,1)</f>
        <v>-25.8</v>
      </c>
      <c r="R127" s="383"/>
      <c r="S127" s="383"/>
    </row>
    <row r="128" spans="1:19">
      <c r="A128" s="293">
        <v>9</v>
      </c>
      <c r="B128" s="94" t="s">
        <v>212</v>
      </c>
      <c r="C128" s="384">
        <f>ROUND((C62-'21R2'!C62)/ABS('21R2'!C62)*100,1)</f>
        <v>23.2</v>
      </c>
      <c r="D128" s="384">
        <f>ROUND((D62-'21R2'!D62)/ABS('21R2'!D62)*100,1)</f>
        <v>24.8</v>
      </c>
      <c r="E128" s="384">
        <f>ROUND((E62-'21R2'!E62)/ABS('21R2'!E62)*100,1)</f>
        <v>14.9</v>
      </c>
      <c r="F128" s="384">
        <f>ROUND((F62-'21R2'!F62)/ABS('21R2'!F62)*100,1)</f>
        <v>88</v>
      </c>
      <c r="G128" s="384">
        <f>ROUND((G62-'21R2'!G62)/ABS('21R2'!G62)*100,1)</f>
        <v>79.599999999999994</v>
      </c>
      <c r="H128" s="384">
        <f>ROUND((H62-'21R2'!H62)/ABS('21R2'!H62)*100,1)</f>
        <v>77.099999999999994</v>
      </c>
      <c r="I128" s="384">
        <f>ROUND((I62-'21R2'!I62)/ABS('21R2'!I62)*100,1)</f>
        <v>94</v>
      </c>
      <c r="J128" s="384">
        <f>ROUND((J62-'21R2'!J62)/ABS('21R2'!J62)*100,1)</f>
        <v>-16.899999999999999</v>
      </c>
      <c r="K128" s="384">
        <f>ROUND((K62-'21R2'!K62)/ABS('21R2'!K62)*100,1)</f>
        <v>29.3</v>
      </c>
      <c r="L128" s="384">
        <f>ROUND((L62-'21R2'!L62)/ABS('21R2'!L62)*100,1)</f>
        <v>-435.2</v>
      </c>
      <c r="M128" s="384">
        <f>ROUND((M62-'21R2'!M62)/ABS('21R2'!M62)*100,1)</f>
        <v>51.8</v>
      </c>
      <c r="N128" s="384">
        <f>ROUND((N62-'21R2'!N62)/ABS('21R2'!N62)*100,1)</f>
        <v>63.8</v>
      </c>
      <c r="O128" s="384">
        <f>ROUND((O62-'21R2'!O62)/ABS('21R2'!O62)*100,1)</f>
        <v>-11.6</v>
      </c>
      <c r="R128" s="383"/>
      <c r="S128" s="383"/>
    </row>
    <row r="129" spans="1:19">
      <c r="A129" s="293">
        <v>205</v>
      </c>
      <c r="B129" s="92" t="s">
        <v>241</v>
      </c>
      <c r="C129" s="384">
        <f>ROUND((C63-'21R2'!C63)/ABS('21R2'!C63)*100,1)</f>
        <v>17.399999999999999</v>
      </c>
      <c r="D129" s="384">
        <f>ROUND((D63-'21R2'!D63)/ABS('21R2'!D63)*100,1)</f>
        <v>25.9</v>
      </c>
      <c r="E129" s="384">
        <f>ROUND((E63-'21R2'!E63)/ABS('21R2'!E63)*100,1)</f>
        <v>-9.9</v>
      </c>
      <c r="F129" s="384">
        <f>ROUND((F63-'21R2'!F63)/ABS('21R2'!F63)*100,1)</f>
        <v>108.2</v>
      </c>
      <c r="G129" s="384">
        <f>ROUND((G63-'21R2'!G63)/ABS('21R2'!G63)*100,1)</f>
        <v>87.8</v>
      </c>
      <c r="H129" s="384">
        <f>ROUND((H63-'21R2'!H63)/ABS('21R2'!H63)*100,1)</f>
        <v>97.6</v>
      </c>
      <c r="I129" s="384">
        <f>ROUND((I63-'21R2'!I63)/ABS('21R2'!I63)*100,1)</f>
        <v>94</v>
      </c>
      <c r="J129" s="384">
        <f>ROUND((J63-'21R2'!J63)/ABS('21R2'!J63)*100,1)</f>
        <v>-55</v>
      </c>
      <c r="K129" s="384">
        <f>ROUND((K63-'21R2'!K63)/ABS('21R2'!K63)*100,1)</f>
        <v>25.3</v>
      </c>
      <c r="L129" s="384">
        <f>ROUND((L63-'21R2'!L63)/ABS('21R2'!L63)*100,1)</f>
        <v>-1074</v>
      </c>
      <c r="M129" s="384">
        <f>ROUND((M63-'21R2'!M63)/ABS('21R2'!M63)*100,1)</f>
        <v>45.4</v>
      </c>
      <c r="N129" s="384">
        <f>ROUND((N63-'21R2'!N63)/ABS('21R2'!N63)*100,1)</f>
        <v>64.599999999999994</v>
      </c>
      <c r="O129" s="384">
        <f>ROUND((O63-'21R2'!O63)/ABS('21R2'!O63)*100,1)</f>
        <v>45.5</v>
      </c>
      <c r="R129" s="383"/>
      <c r="S129" s="383"/>
    </row>
    <row r="130" spans="1:19">
      <c r="A130" s="293">
        <v>224</v>
      </c>
      <c r="B130" s="90" t="s">
        <v>224</v>
      </c>
      <c r="C130" s="384">
        <f>ROUND((C64-'21R2'!C64)/ABS('21R2'!C64)*100,1)</f>
        <v>15.3</v>
      </c>
      <c r="D130" s="384">
        <f>ROUND((D64-'21R2'!D64)/ABS('21R2'!D64)*100,1)</f>
        <v>24.9</v>
      </c>
      <c r="E130" s="384">
        <f>ROUND((E64-'21R2'!E64)/ABS('21R2'!E64)*100,1)</f>
        <v>22.9</v>
      </c>
      <c r="F130" s="384">
        <f>ROUND((F64-'21R2'!F64)/ABS('21R2'!F64)*100,1)</f>
        <v>82</v>
      </c>
      <c r="G130" s="384">
        <f>ROUND((G64-'21R2'!G64)/ABS('21R2'!G64)*100,1)</f>
        <v>10.6</v>
      </c>
      <c r="H130" s="384">
        <f>ROUND((H64-'21R2'!H64)/ABS('21R2'!H64)*100,1)</f>
        <v>81.2</v>
      </c>
      <c r="I130" s="384">
        <f>ROUND((I64-'21R2'!I64)/ABS('21R2'!I64)*100,1)</f>
        <v>93.9</v>
      </c>
      <c r="J130" s="384">
        <f>ROUND((J64-'21R2'!J64)/ABS('21R2'!J64)*100,1)</f>
        <v>3.8</v>
      </c>
      <c r="K130" s="384">
        <f>ROUND((K64-'21R2'!K64)/ABS('21R2'!K64)*100,1)</f>
        <v>30.9</v>
      </c>
      <c r="L130" s="384">
        <f>ROUND((L64-'21R2'!L64)/ABS('21R2'!L64)*100,1)</f>
        <v>-156.1</v>
      </c>
      <c r="M130" s="384">
        <f>ROUND((M64-'21R2'!M64)/ABS('21R2'!M64)*100,1)</f>
        <v>44.4</v>
      </c>
      <c r="N130" s="384">
        <f>ROUND((N64-'21R2'!N64)/ABS('21R2'!N64)*100,1)</f>
        <v>66.599999999999994</v>
      </c>
      <c r="O130" s="384">
        <f>ROUND((O64-'21R2'!O64)/ABS('21R2'!O64)*100,1)</f>
        <v>-62.9</v>
      </c>
      <c r="R130" s="383"/>
      <c r="S130" s="383"/>
    </row>
    <row r="131" spans="1:19">
      <c r="A131" s="396">
        <v>226</v>
      </c>
      <c r="B131" s="201" t="s">
        <v>225</v>
      </c>
      <c r="C131" s="384">
        <f>ROUND((C65-'21R2'!C65)/ABS('21R2'!C65)*100,1)</f>
        <v>37.700000000000003</v>
      </c>
      <c r="D131" s="384">
        <f>ROUND((D65-'21R2'!D65)/ABS('21R2'!D65)*100,1)</f>
        <v>23.6</v>
      </c>
      <c r="E131" s="384">
        <f>ROUND((E65-'21R2'!E65)/ABS('21R2'!E65)*100,1)</f>
        <v>34.4</v>
      </c>
      <c r="F131" s="384">
        <f>ROUND((F65-'21R2'!F65)/ABS('21R2'!F65)*100,1)</f>
        <v>73.5</v>
      </c>
      <c r="G131" s="384">
        <f>ROUND((G65-'21R2'!G65)/ABS('21R2'!G65)*100,1)</f>
        <v>131.19999999999999</v>
      </c>
      <c r="H131" s="384">
        <f>ROUND((H65-'21R2'!H65)/ABS('21R2'!H65)*100,1)</f>
        <v>53.3</v>
      </c>
      <c r="I131" s="384">
        <f>ROUND((I65-'21R2'!I65)/ABS('21R2'!I65)*100,1)</f>
        <v>94.2</v>
      </c>
      <c r="J131" s="384">
        <f>ROUND((J65-'21R2'!J65)/ABS('21R2'!J65)*100,1)</f>
        <v>-1.8</v>
      </c>
      <c r="K131" s="384">
        <f>ROUND((K65-'21R2'!K65)/ABS('21R2'!K65)*100,1)</f>
        <v>31.9</v>
      </c>
      <c r="L131" s="384">
        <f>ROUND((L65-'21R2'!L65)/ABS('21R2'!L65)*100,1)</f>
        <v>112.9</v>
      </c>
      <c r="M131" s="384">
        <f>ROUND((M65-'21R2'!M65)/ABS('21R2'!M65)*100,1)</f>
        <v>66.400000000000006</v>
      </c>
      <c r="N131" s="384">
        <f>ROUND((N65-'21R2'!N65)/ABS('21R2'!N65)*100,1)</f>
        <v>60.4</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CC6F-32CD-46B7-836F-F50F0F4ECDC4}">
  <sheetPr>
    <tabColor theme="0"/>
  </sheetPr>
  <dimension ref="A1:U131"/>
  <sheetViews>
    <sheetView workbookViewId="0">
      <pane xSplit="2" ySplit="3" topLeftCell="C4" activePane="bottomRight" state="frozen"/>
      <selection pane="topRight" activeCell="C1" sqref="C1"/>
      <selection pane="bottomLeft" activeCell="A4" sqref="A4"/>
      <selection pane="bottomRight" activeCell="K65" sqref="K16:K65"/>
    </sheetView>
  </sheetViews>
  <sheetFormatPr defaultColWidth="8.7109375" defaultRowHeight="13"/>
  <cols>
    <col min="1" max="1" width="3.92578125" style="49" customWidth="1"/>
    <col min="2" max="15" width="8.7109375" style="49"/>
    <col min="16" max="16" width="4.2109375" style="49" customWidth="1"/>
    <col min="17" max="17" width="5.5703125" style="49" customWidth="1"/>
    <col min="18" max="18" width="8.5" style="49" customWidth="1"/>
    <col min="19" max="19" width="6.2109375" style="49" customWidth="1"/>
    <col min="20" max="20" width="9.5703125" style="49" customWidth="1"/>
    <col min="21" max="21" width="8.92578125" style="49" customWidth="1"/>
    <col min="22" max="16384" width="8.7109375" style="49"/>
  </cols>
  <sheetData>
    <row r="1" spans="1:21">
      <c r="A1" s="86"/>
      <c r="B1" s="681" t="s">
        <v>1791</v>
      </c>
      <c r="C1" s="682"/>
      <c r="D1" s="682"/>
      <c r="E1" s="239"/>
      <c r="F1" s="682">
        <f>名目県内総支出!AA44</f>
        <v>25682082.28163933</v>
      </c>
      <c r="G1" s="1473">
        <f>C4-F1</f>
        <v>670462.74788480997</v>
      </c>
      <c r="H1" s="239"/>
      <c r="I1" s="239"/>
      <c r="J1" s="239"/>
      <c r="K1" s="239"/>
      <c r="L1" s="239" t="s">
        <v>11</v>
      </c>
      <c r="M1" s="539">
        <f>M4-名目県内総支出!AA45</f>
        <v>1021242.0000000037</v>
      </c>
      <c r="N1" s="239" t="s">
        <v>818</v>
      </c>
      <c r="O1" s="446">
        <f>名目県内総支出!Y43</f>
        <v>-726292</v>
      </c>
    </row>
    <row r="2" spans="1:21" ht="26.25" customHeight="1">
      <c r="A2" s="294"/>
      <c r="B2" s="296" t="s">
        <v>930</v>
      </c>
      <c r="C2" s="312" t="s">
        <v>817</v>
      </c>
      <c r="D2" s="275" t="s">
        <v>68</v>
      </c>
      <c r="E2" s="291" t="s">
        <v>1289</v>
      </c>
      <c r="F2" s="297" t="s">
        <v>69</v>
      </c>
      <c r="G2" s="291"/>
      <c r="H2" s="291"/>
      <c r="I2" s="817"/>
      <c r="J2" s="291" t="s">
        <v>70</v>
      </c>
      <c r="K2" s="284" t="s">
        <v>671</v>
      </c>
      <c r="L2" s="2313" t="s">
        <v>71</v>
      </c>
      <c r="M2" s="2312"/>
      <c r="N2" s="282"/>
      <c r="O2" s="283"/>
      <c r="P2" s="92"/>
      <c r="Q2" s="313" t="s">
        <v>949</v>
      </c>
      <c r="R2" s="683" t="s">
        <v>11</v>
      </c>
      <c r="U2" s="49" t="s">
        <v>671</v>
      </c>
    </row>
    <row r="3" spans="1:21" ht="37.5" customHeight="1">
      <c r="A3" s="357"/>
      <c r="B3" s="92" t="s">
        <v>931</v>
      </c>
      <c r="C3" s="406" t="s">
        <v>82</v>
      </c>
      <c r="D3" s="353"/>
      <c r="E3" s="352"/>
      <c r="F3" s="351" t="s">
        <v>83</v>
      </c>
      <c r="G3" s="297" t="s">
        <v>72</v>
      </c>
      <c r="H3" s="275" t="s">
        <v>73</v>
      </c>
      <c r="I3" s="817" t="s">
        <v>74</v>
      </c>
      <c r="J3" s="352"/>
      <c r="K3" s="1890" t="s">
        <v>75</v>
      </c>
      <c r="L3" s="1354" t="s">
        <v>76</v>
      </c>
      <c r="M3" s="2001" t="s">
        <v>77</v>
      </c>
      <c r="N3" s="2002" t="s">
        <v>78</v>
      </c>
      <c r="O3" s="1098" t="s">
        <v>81</v>
      </c>
      <c r="P3" s="92"/>
      <c r="Q3" s="684" t="s">
        <v>1227</v>
      </c>
      <c r="R3" s="49" t="s">
        <v>287</v>
      </c>
      <c r="T3" s="344" t="s">
        <v>956</v>
      </c>
      <c r="U3" s="345" t="s">
        <v>958</v>
      </c>
    </row>
    <row r="4" spans="1:21">
      <c r="A4" s="303"/>
      <c r="B4" s="203" t="s">
        <v>166</v>
      </c>
      <c r="C4" s="412">
        <f t="shared" ref="C4:J4" si="0">SUM(C5:C14)</f>
        <v>26352545.02952414</v>
      </c>
      <c r="D4" s="547">
        <f t="shared" si="0"/>
        <v>15196542</v>
      </c>
      <c r="E4" s="544">
        <f t="shared" si="0"/>
        <v>3323342</v>
      </c>
      <c r="F4" s="438">
        <f t="shared" si="0"/>
        <v>6075107</v>
      </c>
      <c r="G4" s="544">
        <f t="shared" si="0"/>
        <v>761253</v>
      </c>
      <c r="H4" s="547">
        <f t="shared" si="0"/>
        <v>5323344</v>
      </c>
      <c r="I4" s="557">
        <f t="shared" si="0"/>
        <v>-9490</v>
      </c>
      <c r="J4" s="544">
        <f t="shared" si="0"/>
        <v>824700</v>
      </c>
      <c r="K4" s="438">
        <f>SUM(K5:K14)</f>
        <v>25419691</v>
      </c>
      <c r="L4" s="407">
        <f>SUM(L5:L14)</f>
        <v>932854.0295241382</v>
      </c>
      <c r="M4" s="1401">
        <f>SUM(M5:M14)</f>
        <v>25379031.02952414</v>
      </c>
      <c r="N4" s="544">
        <f>SUM(N5:N14)</f>
        <v>23719885</v>
      </c>
      <c r="O4" s="438">
        <f>SUM(O5:O14)</f>
        <v>-726292</v>
      </c>
      <c r="P4" s="77"/>
      <c r="Q4" s="314">
        <f>(C4-'22R3'!C4)/'22R3'!C4*100</f>
        <v>16.620214245932573</v>
      </c>
      <c r="R4" s="394">
        <f>D4+E4+F4+J4+L4</f>
        <v>26352545.02952414</v>
      </c>
      <c r="S4" s="394">
        <f>R4-C4</f>
        <v>0</v>
      </c>
      <c r="T4" s="49">
        <f>民間設備製造1!S6</f>
        <v>1379939</v>
      </c>
      <c r="U4" s="49">
        <v>23463199</v>
      </c>
    </row>
    <row r="5" spans="1:21">
      <c r="A5" s="298">
        <v>100</v>
      </c>
      <c r="B5" s="75" t="s">
        <v>172</v>
      </c>
      <c r="C5" s="413">
        <f t="shared" ref="C5:O6" si="1">C16</f>
        <v>7547353.0295241382</v>
      </c>
      <c r="D5" s="439">
        <f t="shared" si="1"/>
        <v>4491190</v>
      </c>
      <c r="E5" s="408">
        <f t="shared" si="1"/>
        <v>1134219</v>
      </c>
      <c r="F5" s="439">
        <f t="shared" si="1"/>
        <v>1507023</v>
      </c>
      <c r="G5" s="408">
        <f t="shared" si="1"/>
        <v>200261</v>
      </c>
      <c r="H5" s="439">
        <f t="shared" si="1"/>
        <v>1309556</v>
      </c>
      <c r="I5" s="411">
        <f t="shared" si="1"/>
        <v>-2794</v>
      </c>
      <c r="J5" s="408">
        <f t="shared" si="1"/>
        <v>250085</v>
      </c>
      <c r="K5" s="439">
        <f t="shared" si="1"/>
        <v>7382517</v>
      </c>
      <c r="L5" s="408">
        <f t="shared" si="1"/>
        <v>164836.0295241382</v>
      </c>
      <c r="M5" s="439">
        <f t="shared" si="1"/>
        <v>7388622.0295241382</v>
      </c>
      <c r="N5" s="408">
        <f t="shared" si="1"/>
        <v>6994349</v>
      </c>
      <c r="O5" s="439">
        <f t="shared" si="1"/>
        <v>-229437</v>
      </c>
      <c r="P5" s="77">
        <v>100</v>
      </c>
      <c r="Q5" s="314">
        <f>(C5-'22R3'!C5)/'22R3'!C5*100</f>
        <v>8.6264233184581176</v>
      </c>
      <c r="R5" s="394">
        <f t="shared" ref="R5:R65" si="2">D5+E5+F5+J5+L5</f>
        <v>7547353.0295241382</v>
      </c>
      <c r="S5" s="394">
        <f t="shared" ref="S5:S65" si="3">R5-C5</f>
        <v>0</v>
      </c>
      <c r="T5" s="49">
        <f>民間設備製造1!S7</f>
        <v>202112</v>
      </c>
      <c r="U5" s="49">
        <v>6918660</v>
      </c>
    </row>
    <row r="6" spans="1:21">
      <c r="A6" s="298">
        <v>1</v>
      </c>
      <c r="B6" s="75" t="s">
        <v>323</v>
      </c>
      <c r="C6" s="413">
        <f t="shared" si="1"/>
        <v>4760106</v>
      </c>
      <c r="D6" s="439">
        <f t="shared" si="1"/>
        <v>2982957</v>
      </c>
      <c r="E6" s="408">
        <f t="shared" si="1"/>
        <v>537775</v>
      </c>
      <c r="F6" s="439">
        <f t="shared" si="1"/>
        <v>941324</v>
      </c>
      <c r="G6" s="408">
        <f t="shared" si="1"/>
        <v>174400</v>
      </c>
      <c r="H6" s="439">
        <f t="shared" si="1"/>
        <v>768615</v>
      </c>
      <c r="I6" s="411">
        <f t="shared" si="1"/>
        <v>-1691</v>
      </c>
      <c r="J6" s="408">
        <f t="shared" si="1"/>
        <v>99981</v>
      </c>
      <c r="K6" s="439">
        <f t="shared" si="1"/>
        <v>4562037</v>
      </c>
      <c r="L6" s="408">
        <f t="shared" si="1"/>
        <v>198069</v>
      </c>
      <c r="M6" s="439">
        <f t="shared" si="1"/>
        <v>4592218</v>
      </c>
      <c r="N6" s="408">
        <f t="shared" si="1"/>
        <v>4225086</v>
      </c>
      <c r="O6" s="439">
        <f t="shared" si="1"/>
        <v>-169063</v>
      </c>
      <c r="P6" s="77">
        <v>1</v>
      </c>
      <c r="Q6" s="314">
        <f>(C6-'22R3'!C6)/'22R3'!C6*100</f>
        <v>28.784614152572825</v>
      </c>
      <c r="R6" s="394">
        <f t="shared" si="2"/>
        <v>4760106</v>
      </c>
      <c r="S6" s="394">
        <f t="shared" si="3"/>
        <v>0</v>
      </c>
      <c r="T6" s="49">
        <f>民間設備製造1!S8</f>
        <v>103127</v>
      </c>
      <c r="U6" s="49">
        <v>4179364</v>
      </c>
    </row>
    <row r="7" spans="1:21">
      <c r="A7" s="298">
        <v>2</v>
      </c>
      <c r="B7" s="75" t="s">
        <v>324</v>
      </c>
      <c r="C7" s="413">
        <f t="shared" ref="C7:J7" si="4">C21</f>
        <v>3537070</v>
      </c>
      <c r="D7" s="439">
        <f t="shared" si="4"/>
        <v>1952040</v>
      </c>
      <c r="E7" s="408">
        <f t="shared" si="4"/>
        <v>359711</v>
      </c>
      <c r="F7" s="439">
        <f t="shared" si="4"/>
        <v>669484</v>
      </c>
      <c r="G7" s="408">
        <f t="shared" si="4"/>
        <v>99672</v>
      </c>
      <c r="H7" s="439">
        <f t="shared" si="4"/>
        <v>570931</v>
      </c>
      <c r="I7" s="411">
        <f t="shared" si="4"/>
        <v>-1119</v>
      </c>
      <c r="J7" s="408">
        <f t="shared" si="4"/>
        <v>233708</v>
      </c>
      <c r="K7" s="439">
        <f>K21</f>
        <v>3214943</v>
      </c>
      <c r="L7" s="408">
        <f>L21</f>
        <v>322127</v>
      </c>
      <c r="M7" s="439">
        <f>M21</f>
        <v>3229577</v>
      </c>
      <c r="N7" s="408">
        <f>N21</f>
        <v>2795162</v>
      </c>
      <c r="O7" s="439">
        <f>O21</f>
        <v>-112288</v>
      </c>
      <c r="P7" s="77">
        <v>2</v>
      </c>
      <c r="Q7" s="314">
        <f>(C7-'22R3'!C7)/'22R3'!C7*100</f>
        <v>60.335787354620663</v>
      </c>
      <c r="R7" s="394">
        <f t="shared" si="2"/>
        <v>3537070</v>
      </c>
      <c r="S7" s="394">
        <f t="shared" si="3"/>
        <v>0</v>
      </c>
      <c r="T7" s="49">
        <f>民間設備製造1!S9</f>
        <v>117843</v>
      </c>
      <c r="U7" s="49">
        <v>2764914</v>
      </c>
    </row>
    <row r="8" spans="1:21">
      <c r="A8" s="298">
        <v>3</v>
      </c>
      <c r="B8" s="75" t="s">
        <v>192</v>
      </c>
      <c r="C8" s="413">
        <f t="shared" ref="C8:J8" si="5">C27</f>
        <v>3732853</v>
      </c>
      <c r="D8" s="439">
        <f t="shared" si="5"/>
        <v>2017448</v>
      </c>
      <c r="E8" s="408">
        <f t="shared" si="5"/>
        <v>346463</v>
      </c>
      <c r="F8" s="439">
        <f t="shared" si="5"/>
        <v>1093265</v>
      </c>
      <c r="G8" s="408">
        <f t="shared" si="5"/>
        <v>113280</v>
      </c>
      <c r="H8" s="439">
        <f t="shared" si="5"/>
        <v>981280</v>
      </c>
      <c r="I8" s="411">
        <f t="shared" si="5"/>
        <v>-1295</v>
      </c>
      <c r="J8" s="408">
        <f t="shared" si="5"/>
        <v>80492</v>
      </c>
      <c r="K8" s="439">
        <f>K27</f>
        <v>3537668</v>
      </c>
      <c r="L8" s="408">
        <f>L27</f>
        <v>195185</v>
      </c>
      <c r="M8" s="439">
        <f>M27</f>
        <v>3528076</v>
      </c>
      <c r="N8" s="408">
        <f>N27</f>
        <v>3235876</v>
      </c>
      <c r="O8" s="439">
        <f>O27</f>
        <v>-97015</v>
      </c>
      <c r="P8" s="77">
        <v>3</v>
      </c>
      <c r="Q8" s="314">
        <f>(C8-'22R3'!C8)/'22R3'!C8*100</f>
        <v>26.101676478526908</v>
      </c>
      <c r="R8" s="394">
        <f t="shared" si="2"/>
        <v>3732853</v>
      </c>
      <c r="S8" s="394">
        <f t="shared" si="3"/>
        <v>0</v>
      </c>
      <c r="T8" s="49">
        <f>民間設備製造1!S10</f>
        <v>392618</v>
      </c>
      <c r="U8" s="49">
        <v>3200858</v>
      </c>
    </row>
    <row r="9" spans="1:21">
      <c r="A9" s="298">
        <v>4</v>
      </c>
      <c r="B9" s="75" t="s">
        <v>325</v>
      </c>
      <c r="C9" s="413">
        <f t="shared" ref="C9:J9" si="6">C33</f>
        <v>1275031</v>
      </c>
      <c r="D9" s="439">
        <f t="shared" si="6"/>
        <v>699563</v>
      </c>
      <c r="E9" s="408">
        <f t="shared" si="6"/>
        <v>162721</v>
      </c>
      <c r="F9" s="439">
        <f t="shared" si="6"/>
        <v>331647</v>
      </c>
      <c r="G9" s="408">
        <f t="shared" si="6"/>
        <v>25570</v>
      </c>
      <c r="H9" s="439">
        <f t="shared" si="6"/>
        <v>306542</v>
      </c>
      <c r="I9" s="411">
        <f t="shared" si="6"/>
        <v>-465</v>
      </c>
      <c r="J9" s="408">
        <f t="shared" si="6"/>
        <v>42920</v>
      </c>
      <c r="K9" s="439">
        <f>K33</f>
        <v>1236851</v>
      </c>
      <c r="L9" s="408">
        <f>L33</f>
        <v>38180</v>
      </c>
      <c r="M9" s="439">
        <f>M33</f>
        <v>1193578</v>
      </c>
      <c r="N9" s="408">
        <f>N33</f>
        <v>1162717</v>
      </c>
      <c r="O9" s="439">
        <f>O33</f>
        <v>7319</v>
      </c>
      <c r="P9" s="77">
        <v>4</v>
      </c>
      <c r="Q9" s="314">
        <f>(C9-'22R3'!C9)/'22R3'!C9*100</f>
        <v>-3.4017661515896274</v>
      </c>
      <c r="R9" s="394">
        <f t="shared" si="2"/>
        <v>1275031</v>
      </c>
      <c r="S9" s="394">
        <f t="shared" si="3"/>
        <v>0</v>
      </c>
      <c r="T9" s="49">
        <f>民間設備製造1!S11</f>
        <v>105029</v>
      </c>
      <c r="U9" s="49">
        <v>1150135</v>
      </c>
    </row>
    <row r="10" spans="1:21">
      <c r="A10" s="298">
        <v>5</v>
      </c>
      <c r="B10" s="75" t="s">
        <v>326</v>
      </c>
      <c r="C10" s="413">
        <f t="shared" ref="C10:J10" si="7">C40</f>
        <v>2766933</v>
      </c>
      <c r="D10" s="439">
        <f t="shared" si="7"/>
        <v>1484247</v>
      </c>
      <c r="E10" s="408">
        <f t="shared" si="7"/>
        <v>301635</v>
      </c>
      <c r="F10" s="439">
        <f t="shared" si="7"/>
        <v>845813</v>
      </c>
      <c r="G10" s="408">
        <f t="shared" si="7"/>
        <v>89119</v>
      </c>
      <c r="H10" s="439">
        <f t="shared" si="7"/>
        <v>757694</v>
      </c>
      <c r="I10" s="411">
        <f t="shared" si="7"/>
        <v>-1000</v>
      </c>
      <c r="J10" s="408">
        <f t="shared" si="7"/>
        <v>40115</v>
      </c>
      <c r="K10" s="439">
        <f>K40</f>
        <v>2671810</v>
      </c>
      <c r="L10" s="408">
        <f>L40</f>
        <v>95123</v>
      </c>
      <c r="M10" s="439">
        <f>M40</f>
        <v>2615726</v>
      </c>
      <c r="N10" s="408">
        <f>N40</f>
        <v>2497785</v>
      </c>
      <c r="O10" s="439">
        <f>O40</f>
        <v>-22818</v>
      </c>
      <c r="P10" s="77">
        <v>5</v>
      </c>
      <c r="Q10" s="314">
        <f>(C10-'22R3'!C10)/'22R3'!C10*100</f>
        <v>-1.9739252121233593</v>
      </c>
      <c r="R10" s="394">
        <f t="shared" si="2"/>
        <v>2766933</v>
      </c>
      <c r="S10" s="394">
        <f t="shared" si="3"/>
        <v>0</v>
      </c>
      <c r="T10" s="49">
        <f>民間設備製造1!S12</f>
        <v>297837</v>
      </c>
      <c r="U10" s="49">
        <v>2470755</v>
      </c>
    </row>
    <row r="11" spans="1:21">
      <c r="A11" s="298">
        <v>6</v>
      </c>
      <c r="B11" s="75" t="s">
        <v>327</v>
      </c>
      <c r="C11" s="413">
        <f t="shared" ref="C11:J11" si="8">C45</f>
        <v>1079919</v>
      </c>
      <c r="D11" s="439">
        <f t="shared" si="8"/>
        <v>607477</v>
      </c>
      <c r="E11" s="408">
        <f t="shared" si="8"/>
        <v>148209</v>
      </c>
      <c r="F11" s="439">
        <f t="shared" si="8"/>
        <v>292904</v>
      </c>
      <c r="G11" s="408">
        <f t="shared" si="8"/>
        <v>22096</v>
      </c>
      <c r="H11" s="439">
        <f t="shared" si="8"/>
        <v>271228</v>
      </c>
      <c r="I11" s="411">
        <f t="shared" si="8"/>
        <v>-420</v>
      </c>
      <c r="J11" s="408">
        <f t="shared" si="8"/>
        <v>31874</v>
      </c>
      <c r="K11" s="439">
        <f>K45</f>
        <v>1080464</v>
      </c>
      <c r="L11" s="408">
        <f>L45</f>
        <v>-545</v>
      </c>
      <c r="M11" s="439">
        <f>M45</f>
        <v>1060459</v>
      </c>
      <c r="N11" s="408">
        <f>N45</f>
        <v>1049014</v>
      </c>
      <c r="O11" s="439">
        <f>O45</f>
        <v>-11990</v>
      </c>
      <c r="P11" s="77">
        <v>6</v>
      </c>
      <c r="Q11" s="314">
        <f>(C11-'22R3'!C11)/'22R3'!C11*100</f>
        <v>-4.1984624474160919</v>
      </c>
      <c r="R11" s="394">
        <f>D11+E11+F11+J11+L11</f>
        <v>1079919</v>
      </c>
      <c r="S11" s="394">
        <f t="shared" si="3"/>
        <v>0</v>
      </c>
      <c r="T11" s="49">
        <f>民間設備製造1!S13</f>
        <v>90149</v>
      </c>
      <c r="U11" s="49">
        <v>1037662</v>
      </c>
    </row>
    <row r="12" spans="1:21">
      <c r="A12" s="298">
        <v>7</v>
      </c>
      <c r="B12" s="75" t="s">
        <v>210</v>
      </c>
      <c r="C12" s="413">
        <f t="shared" ref="C12:J12" si="9">C53</f>
        <v>671671</v>
      </c>
      <c r="D12" s="439">
        <f t="shared" si="9"/>
        <v>381957</v>
      </c>
      <c r="E12" s="408">
        <f t="shared" si="9"/>
        <v>142102</v>
      </c>
      <c r="F12" s="439">
        <f t="shared" si="9"/>
        <v>166459</v>
      </c>
      <c r="G12" s="408">
        <f t="shared" si="9"/>
        <v>11362</v>
      </c>
      <c r="H12" s="439">
        <f t="shared" si="9"/>
        <v>155390</v>
      </c>
      <c r="I12" s="411">
        <f t="shared" si="9"/>
        <v>-293</v>
      </c>
      <c r="J12" s="408">
        <f t="shared" si="9"/>
        <v>20970</v>
      </c>
      <c r="K12" s="439">
        <f>K53</f>
        <v>711488</v>
      </c>
      <c r="L12" s="408">
        <f>L53</f>
        <v>-39817</v>
      </c>
      <c r="M12" s="439">
        <f>M53</f>
        <v>734016</v>
      </c>
      <c r="N12" s="408">
        <f>N53</f>
        <v>729058</v>
      </c>
      <c r="O12" s="439">
        <f>O53</f>
        <v>-44775</v>
      </c>
      <c r="P12" s="77">
        <v>7</v>
      </c>
      <c r="Q12" s="314">
        <f>(C12-'22R3'!C12)/'22R3'!C12*100</f>
        <v>11.115136596292363</v>
      </c>
      <c r="R12" s="394">
        <f t="shared" si="2"/>
        <v>671671</v>
      </c>
      <c r="S12" s="394">
        <f t="shared" si="3"/>
        <v>0</v>
      </c>
      <c r="T12" s="49">
        <f>民間設備製造1!S14</f>
        <v>34544</v>
      </c>
      <c r="U12" s="49">
        <v>721168</v>
      </c>
    </row>
    <row r="13" spans="1:21">
      <c r="A13" s="298">
        <v>8</v>
      </c>
      <c r="B13" s="75" t="s">
        <v>211</v>
      </c>
      <c r="C13" s="413">
        <f t="shared" ref="C13:J13" si="10">C59</f>
        <v>456952</v>
      </c>
      <c r="D13" s="439">
        <f t="shared" si="10"/>
        <v>269954</v>
      </c>
      <c r="E13" s="408">
        <f t="shared" si="10"/>
        <v>80560</v>
      </c>
      <c r="F13" s="439">
        <f t="shared" si="10"/>
        <v>106387</v>
      </c>
      <c r="G13" s="408">
        <f t="shared" si="10"/>
        <v>10344</v>
      </c>
      <c r="H13" s="439">
        <f t="shared" si="10"/>
        <v>96227</v>
      </c>
      <c r="I13" s="411">
        <f t="shared" si="10"/>
        <v>-184</v>
      </c>
      <c r="J13" s="408">
        <f t="shared" si="10"/>
        <v>7352</v>
      </c>
      <c r="K13" s="439">
        <f>K59</f>
        <v>464253</v>
      </c>
      <c r="L13" s="408">
        <f>L59</f>
        <v>-7301</v>
      </c>
      <c r="M13" s="439">
        <f>M59</f>
        <v>462045</v>
      </c>
      <c r="N13" s="408">
        <f>N59</f>
        <v>457594</v>
      </c>
      <c r="O13" s="439">
        <f>O59</f>
        <v>-11752</v>
      </c>
      <c r="P13" s="77">
        <v>8</v>
      </c>
      <c r="Q13" s="314">
        <f>(C13-'22R3'!C13)/'22R3'!C13*100</f>
        <v>-0.67426867280797476</v>
      </c>
      <c r="R13" s="394">
        <f t="shared" si="2"/>
        <v>456952</v>
      </c>
      <c r="S13" s="394">
        <f t="shared" si="3"/>
        <v>0</v>
      </c>
      <c r="T13" s="49">
        <f>民間設備製造1!S15</f>
        <v>21533</v>
      </c>
      <c r="U13" s="49">
        <v>452642</v>
      </c>
    </row>
    <row r="14" spans="1:21">
      <c r="A14" s="298">
        <v>9</v>
      </c>
      <c r="B14" s="75" t="s">
        <v>212</v>
      </c>
      <c r="C14" s="413">
        <f t="shared" ref="C14:J14" si="11">C62</f>
        <v>524657</v>
      </c>
      <c r="D14" s="439">
        <f t="shared" si="11"/>
        <v>309709</v>
      </c>
      <c r="E14" s="408">
        <f t="shared" si="11"/>
        <v>109947</v>
      </c>
      <c r="F14" s="439">
        <f t="shared" si="11"/>
        <v>120801</v>
      </c>
      <c r="G14" s="408">
        <f t="shared" si="11"/>
        <v>15149</v>
      </c>
      <c r="H14" s="439">
        <f t="shared" si="11"/>
        <v>105881</v>
      </c>
      <c r="I14" s="411">
        <f t="shared" si="11"/>
        <v>-229</v>
      </c>
      <c r="J14" s="408">
        <f t="shared" si="11"/>
        <v>17203</v>
      </c>
      <c r="K14" s="439">
        <f>K62</f>
        <v>557660</v>
      </c>
      <c r="L14" s="408">
        <f>L62</f>
        <v>-33003</v>
      </c>
      <c r="M14" s="439">
        <f>M62</f>
        <v>574714</v>
      </c>
      <c r="N14" s="408">
        <f>N62</f>
        <v>573244</v>
      </c>
      <c r="O14" s="439">
        <f>O62</f>
        <v>-34473</v>
      </c>
      <c r="P14" s="77">
        <v>9</v>
      </c>
      <c r="Q14" s="314">
        <f>(C14-'22R3'!C14)/'22R3'!C14*100</f>
        <v>16.040926191745314</v>
      </c>
      <c r="R14" s="394">
        <f t="shared" si="2"/>
        <v>524657</v>
      </c>
      <c r="S14" s="394">
        <f t="shared" si="3"/>
        <v>0</v>
      </c>
      <c r="T14" s="49">
        <f>民間設備製造1!S16</f>
        <v>15147</v>
      </c>
      <c r="U14" s="49">
        <v>567041</v>
      </c>
    </row>
    <row r="15" spans="1:21">
      <c r="A15" s="298"/>
      <c r="B15" s="87"/>
      <c r="C15" s="413" t="s">
        <v>11</v>
      </c>
      <c r="D15" s="439" t="s">
        <v>11</v>
      </c>
      <c r="E15" s="408" t="s">
        <v>11</v>
      </c>
      <c r="F15" s="1355"/>
      <c r="G15" s="408" t="s">
        <v>11</v>
      </c>
      <c r="H15" s="439" t="s">
        <v>11</v>
      </c>
      <c r="I15" s="411" t="s">
        <v>11</v>
      </c>
      <c r="J15" s="408" t="s">
        <v>11</v>
      </c>
      <c r="K15" s="439" t="s">
        <v>11</v>
      </c>
      <c r="L15" s="281" t="s">
        <v>11</v>
      </c>
      <c r="M15" s="1094" t="s">
        <v>11</v>
      </c>
      <c r="N15" s="281" t="s">
        <v>11</v>
      </c>
      <c r="O15" s="1094" t="str">
        <f>'12H23'!O15</f>
        <v>　</v>
      </c>
      <c r="P15" s="77" t="s">
        <v>11</v>
      </c>
      <c r="Q15" s="314" t="s">
        <v>11</v>
      </c>
      <c r="R15" s="394" t="s">
        <v>11</v>
      </c>
      <c r="S15" s="394" t="s">
        <v>11</v>
      </c>
      <c r="T15" s="49" t="s">
        <v>11</v>
      </c>
      <c r="U15" s="49" t="s">
        <v>106</v>
      </c>
    </row>
    <row r="16" spans="1:21">
      <c r="A16" s="299">
        <v>100</v>
      </c>
      <c r="B16" s="305" t="s">
        <v>172</v>
      </c>
      <c r="C16" s="412">
        <f t="shared" ref="C16:C65" si="12">K16+L16</f>
        <v>7547353.0295241382</v>
      </c>
      <c r="D16" s="560">
        <f>民間消費!X18</f>
        <v>4491190</v>
      </c>
      <c r="E16" s="547">
        <f>政府消費!X18</f>
        <v>1134219</v>
      </c>
      <c r="F16" s="1996">
        <f t="shared" ref="F16:F65" si="13">G16+H16+I16</f>
        <v>1507023</v>
      </c>
      <c r="G16" s="560">
        <f>民間住宅1!X18</f>
        <v>200261</v>
      </c>
      <c r="H16" s="547">
        <f>民間設備投資計!X18</f>
        <v>1309556</v>
      </c>
      <c r="I16" s="544">
        <f>民間在庫品増加!X18</f>
        <v>-2794</v>
      </c>
      <c r="J16" s="547">
        <f>公的投資!X18</f>
        <v>250085</v>
      </c>
      <c r="K16" s="410">
        <f t="shared" ref="K16:K65" si="14">D16+E16+F16+J16</f>
        <v>7382517</v>
      </c>
      <c r="L16" s="1886">
        <f>M16-N16+O16</f>
        <v>164836.0295241382</v>
      </c>
      <c r="M16" s="1126">
        <f>移出入推計WS!HH18+移出入推計WS!HJ18+移出入推計WS!HK18</f>
        <v>7388622.0295241382</v>
      </c>
      <c r="N16" s="1405">
        <f>移出入推計WS!HI18</f>
        <v>6994349</v>
      </c>
      <c r="O16" s="2003">
        <f>'24R5'!O16</f>
        <v>-229437</v>
      </c>
      <c r="P16" s="293">
        <v>100</v>
      </c>
      <c r="Q16" s="314">
        <f>(C16-'22R3'!C16)/'22R3'!C16*100</f>
        <v>8.6264233184581176</v>
      </c>
      <c r="R16" s="394">
        <f t="shared" si="2"/>
        <v>7547353.0295241382</v>
      </c>
      <c r="S16" s="394">
        <f t="shared" si="3"/>
        <v>0</v>
      </c>
      <c r="T16" s="49">
        <f>民間設備製造1!S18</f>
        <v>202112</v>
      </c>
      <c r="U16" s="49">
        <v>6918660</v>
      </c>
    </row>
    <row r="17" spans="1:21">
      <c r="A17" s="300">
        <v>1</v>
      </c>
      <c r="B17" s="65" t="s">
        <v>182</v>
      </c>
      <c r="C17" s="413">
        <f>SUM(C18:C20)</f>
        <v>4760106</v>
      </c>
      <c r="D17" s="561">
        <f>民間消費!X19</f>
        <v>2982957</v>
      </c>
      <c r="E17" s="546">
        <f>政府消費!X19</f>
        <v>537775</v>
      </c>
      <c r="F17" s="408">
        <f>SUM(F18:F20)</f>
        <v>941324</v>
      </c>
      <c r="G17" s="561">
        <f>民間住宅1!X19</f>
        <v>174400</v>
      </c>
      <c r="H17" s="546">
        <f>民間設備投資計!X19</f>
        <v>768615</v>
      </c>
      <c r="I17" s="538">
        <f>民間在庫品増加!X19</f>
        <v>-1691</v>
      </c>
      <c r="J17" s="546">
        <f>公的投資!X19</f>
        <v>99981</v>
      </c>
      <c r="K17" s="411">
        <f>SUM(K18:K20)</f>
        <v>4562037</v>
      </c>
      <c r="L17" s="408">
        <f t="shared" ref="L17" si="15">SUM(L18:L20)</f>
        <v>198069</v>
      </c>
      <c r="M17" s="1127">
        <f>移出入推計WS!HH19+移出入推計WS!HJ19+移出入推計WS!HK19</f>
        <v>4592218</v>
      </c>
      <c r="N17" s="2006">
        <f>移出入推計WS!HI19</f>
        <v>4225086</v>
      </c>
      <c r="O17" s="2004">
        <f>'24R5'!O17</f>
        <v>-169063</v>
      </c>
      <c r="P17" s="293">
        <v>1</v>
      </c>
      <c r="Q17" s="314">
        <f>(C17-'22R3'!C17)/'22R3'!C17*100</f>
        <v>28.784614152572825</v>
      </c>
      <c r="R17" s="394">
        <f t="shared" si="2"/>
        <v>4760106</v>
      </c>
      <c r="S17" s="394">
        <f t="shared" si="3"/>
        <v>0</v>
      </c>
      <c r="T17" s="49">
        <f>民間設備製造1!S19</f>
        <v>103127</v>
      </c>
      <c r="U17" s="49">
        <v>4179364</v>
      </c>
    </row>
    <row r="18" spans="1:21">
      <c r="A18" s="300">
        <v>202</v>
      </c>
      <c r="B18" s="90" t="s">
        <v>183</v>
      </c>
      <c r="C18" s="413">
        <f t="shared" si="12"/>
        <v>2294105</v>
      </c>
      <c r="D18" s="561">
        <f>民間消費!X20</f>
        <v>1401766</v>
      </c>
      <c r="E18" s="546">
        <f>政府消費!X20</f>
        <v>210422</v>
      </c>
      <c r="F18" s="572">
        <f t="shared" si="13"/>
        <v>497601</v>
      </c>
      <c r="G18" s="561">
        <f>民間住宅1!X20</f>
        <v>93012</v>
      </c>
      <c r="H18" s="546">
        <f>民間設備投資計!X20</f>
        <v>405367</v>
      </c>
      <c r="I18" s="538">
        <f>民間在庫品増加!X20</f>
        <v>-778</v>
      </c>
      <c r="J18" s="546">
        <f>公的投資!X20</f>
        <v>40979</v>
      </c>
      <c r="K18" s="411">
        <f t="shared" si="14"/>
        <v>2150768</v>
      </c>
      <c r="L18" s="1336">
        <f t="shared" ref="L18:L65" si="16">M18-N18+O18</f>
        <v>143337</v>
      </c>
      <c r="M18" s="1127">
        <f>移出入推計WS!HH20+移出入推計WS!HJ20+移出入推計WS!HK20</f>
        <v>2107623</v>
      </c>
      <c r="N18" s="2006">
        <f>移出入推計WS!HI20</f>
        <v>1943851</v>
      </c>
      <c r="O18" s="2004">
        <f>'24R5'!O18</f>
        <v>-20435</v>
      </c>
      <c r="P18" s="293">
        <v>202</v>
      </c>
      <c r="Q18" s="314">
        <f>(C18-'22R3'!C18)/'22R3'!C18*100</f>
        <v>14.036199616847952</v>
      </c>
      <c r="R18" s="394">
        <f t="shared" si="2"/>
        <v>2294105</v>
      </c>
      <c r="S18" s="394">
        <f t="shared" si="3"/>
        <v>0</v>
      </c>
      <c r="T18" s="49">
        <f>民間設備製造1!S20</f>
        <v>88650</v>
      </c>
      <c r="U18" s="49">
        <v>1922816</v>
      </c>
    </row>
    <row r="19" spans="1:21">
      <c r="A19" s="300">
        <v>204</v>
      </c>
      <c r="B19" s="90" t="s">
        <v>184</v>
      </c>
      <c r="C19" s="413">
        <f t="shared" si="12"/>
        <v>2039098</v>
      </c>
      <c r="D19" s="561">
        <f>民間消費!X21</f>
        <v>1310690</v>
      </c>
      <c r="E19" s="546">
        <f>政府消費!X21</f>
        <v>265269</v>
      </c>
      <c r="F19" s="572">
        <f t="shared" si="13"/>
        <v>374560</v>
      </c>
      <c r="G19" s="561">
        <f>民間住宅1!X21</f>
        <v>74101</v>
      </c>
      <c r="H19" s="546">
        <f>民間設備投資計!X21</f>
        <v>301208</v>
      </c>
      <c r="I19" s="538">
        <f>民間在庫品増加!X21</f>
        <v>-749</v>
      </c>
      <c r="J19" s="546">
        <f>公的投資!X21</f>
        <v>35432</v>
      </c>
      <c r="K19" s="411">
        <f t="shared" si="14"/>
        <v>1985951</v>
      </c>
      <c r="L19" s="1336">
        <f t="shared" si="16"/>
        <v>53147</v>
      </c>
      <c r="M19" s="1127">
        <f>移出入推計WS!HH21+移出入推計WS!HJ21+移出入推計WS!HK21</f>
        <v>2043688</v>
      </c>
      <c r="N19" s="2006">
        <f>移出入推計WS!HI21</f>
        <v>1870872</v>
      </c>
      <c r="O19" s="2004">
        <f>'24R5'!O19</f>
        <v>-119669</v>
      </c>
      <c r="P19" s="293">
        <v>204</v>
      </c>
      <c r="Q19" s="314">
        <f>(C19-'22R3'!C19)/'22R3'!C19*100</f>
        <v>40.507483955078357</v>
      </c>
      <c r="R19" s="394">
        <f t="shared" si="2"/>
        <v>2039098</v>
      </c>
      <c r="S19" s="394">
        <f t="shared" si="3"/>
        <v>0</v>
      </c>
      <c r="T19" s="49">
        <f>民間設備製造1!S21</f>
        <v>14438</v>
      </c>
      <c r="U19" s="49">
        <v>1850626</v>
      </c>
    </row>
    <row r="20" spans="1:21">
      <c r="A20" s="300">
        <v>206</v>
      </c>
      <c r="B20" s="90" t="s">
        <v>185</v>
      </c>
      <c r="C20" s="413">
        <f t="shared" si="12"/>
        <v>426903</v>
      </c>
      <c r="D20" s="561">
        <f>民間消費!X22</f>
        <v>270501</v>
      </c>
      <c r="E20" s="546">
        <f>政府消費!X22</f>
        <v>62084</v>
      </c>
      <c r="F20" s="572">
        <f t="shared" si="13"/>
        <v>69163</v>
      </c>
      <c r="G20" s="561">
        <f>民間住宅1!X22</f>
        <v>7287</v>
      </c>
      <c r="H20" s="546">
        <f>民間設備投資計!X22</f>
        <v>62040</v>
      </c>
      <c r="I20" s="538">
        <f>民間在庫品増加!X22</f>
        <v>-164</v>
      </c>
      <c r="J20" s="546">
        <f>公的投資!X22</f>
        <v>23570</v>
      </c>
      <c r="K20" s="411">
        <f t="shared" si="14"/>
        <v>425318</v>
      </c>
      <c r="L20" s="1336">
        <f t="shared" si="16"/>
        <v>1585</v>
      </c>
      <c r="M20" s="1127">
        <f>移出入推計WS!HH22+移出入推計WS!HJ22+移出入推計WS!HK22</f>
        <v>440907</v>
      </c>
      <c r="N20" s="2006">
        <f>移出入推計WS!HI22</f>
        <v>410363</v>
      </c>
      <c r="O20" s="2004">
        <f>'24R5'!O20</f>
        <v>-28959</v>
      </c>
      <c r="P20" s="293">
        <v>206</v>
      </c>
      <c r="Q20" s="314">
        <f>(C20-'22R3'!C20)/'22R3'!C20*100</f>
        <v>83.059896056671406</v>
      </c>
      <c r="R20" s="394">
        <f t="shared" si="2"/>
        <v>426903</v>
      </c>
      <c r="S20" s="394">
        <f t="shared" si="3"/>
        <v>0</v>
      </c>
      <c r="T20" s="49">
        <f>民間設備製造1!S22</f>
        <v>39</v>
      </c>
      <c r="U20" s="49">
        <v>405922</v>
      </c>
    </row>
    <row r="21" spans="1:21">
      <c r="A21" s="301">
        <v>2</v>
      </c>
      <c r="B21" s="128" t="s">
        <v>186</v>
      </c>
      <c r="C21" s="308">
        <f>SUM(C22:C26)</f>
        <v>3537070</v>
      </c>
      <c r="D21" s="561">
        <f>民間消費!X23</f>
        <v>1952040</v>
      </c>
      <c r="E21" s="546">
        <f>政府消費!X23</f>
        <v>359711</v>
      </c>
      <c r="F21" s="281">
        <f>SUM(F22:F26)</f>
        <v>669484</v>
      </c>
      <c r="G21" s="561">
        <f>民間住宅1!X23</f>
        <v>99672</v>
      </c>
      <c r="H21" s="546">
        <f>民間設備投資計!X23</f>
        <v>570931</v>
      </c>
      <c r="I21" s="538">
        <f>民間在庫品増加!X23</f>
        <v>-1119</v>
      </c>
      <c r="J21" s="546">
        <f>公的投資!X23</f>
        <v>233708</v>
      </c>
      <c r="K21" s="1997">
        <f>SUM(K22:K26)</f>
        <v>3214943</v>
      </c>
      <c r="L21" s="281">
        <f t="shared" ref="L21" si="17">SUM(L22:L26)</f>
        <v>322127</v>
      </c>
      <c r="M21" s="1127">
        <f>移出入推計WS!HH23+移出入推計WS!HJ23+移出入推計WS!HK23</f>
        <v>3229577</v>
      </c>
      <c r="N21" s="2006">
        <f>移出入推計WS!HI23</f>
        <v>2795162</v>
      </c>
      <c r="O21" s="2004">
        <f>'24R5'!O21</f>
        <v>-112288</v>
      </c>
      <c r="P21" s="293">
        <v>2</v>
      </c>
      <c r="Q21" s="314">
        <f>(C21-'22R3'!C21)/'22R3'!C21*100</f>
        <v>60.335787354620663</v>
      </c>
      <c r="R21" s="394">
        <f t="shared" si="2"/>
        <v>3537070</v>
      </c>
      <c r="S21" s="394">
        <f t="shared" si="3"/>
        <v>0</v>
      </c>
      <c r="T21" s="49">
        <f>民間設備製造1!S23</f>
        <v>117843</v>
      </c>
      <c r="U21" s="49">
        <v>2764914</v>
      </c>
    </row>
    <row r="22" spans="1:21">
      <c r="A22" s="300">
        <v>207</v>
      </c>
      <c r="B22" s="90" t="s">
        <v>187</v>
      </c>
      <c r="C22" s="413">
        <f t="shared" si="12"/>
        <v>1001855</v>
      </c>
      <c r="D22" s="561">
        <f>民間消費!X24</f>
        <v>570068</v>
      </c>
      <c r="E22" s="546">
        <f>政府消費!X24</f>
        <v>95047</v>
      </c>
      <c r="F22" s="572">
        <f t="shared" si="13"/>
        <v>237634</v>
      </c>
      <c r="G22" s="561">
        <f>民間住宅1!X24</f>
        <v>30664</v>
      </c>
      <c r="H22" s="546">
        <f>民間設備投資計!X24</f>
        <v>207301</v>
      </c>
      <c r="I22" s="538">
        <f>民間在庫品増加!X24</f>
        <v>-331</v>
      </c>
      <c r="J22" s="546">
        <f>公的投資!X24</f>
        <v>25630</v>
      </c>
      <c r="K22" s="411">
        <f t="shared" si="14"/>
        <v>928379</v>
      </c>
      <c r="L22" s="1336">
        <f t="shared" si="16"/>
        <v>73476</v>
      </c>
      <c r="M22" s="1127">
        <f>移出入推計WS!HH24+移出入推計WS!HJ24+移出入推計WS!HK24</f>
        <v>914251</v>
      </c>
      <c r="N22" s="2006">
        <f>移出入推計WS!HI24</f>
        <v>827309</v>
      </c>
      <c r="O22" s="2004">
        <f>'24R5'!O22</f>
        <v>-13466</v>
      </c>
      <c r="P22" s="293">
        <v>207</v>
      </c>
      <c r="Q22" s="314">
        <f>(C22-'22R3'!C22)/'22R3'!C22*100</f>
        <v>28.451676844708679</v>
      </c>
      <c r="R22" s="394">
        <f t="shared" si="2"/>
        <v>1001855</v>
      </c>
      <c r="S22" s="394">
        <f t="shared" si="3"/>
        <v>0</v>
      </c>
      <c r="T22" s="49">
        <f>民間設備製造1!S24</f>
        <v>65698</v>
      </c>
      <c r="U22" s="49">
        <v>818356</v>
      </c>
    </row>
    <row r="23" spans="1:21">
      <c r="A23" s="300">
        <v>214</v>
      </c>
      <c r="B23" s="90" t="s">
        <v>188</v>
      </c>
      <c r="C23" s="413">
        <f t="shared" si="12"/>
        <v>944369</v>
      </c>
      <c r="D23" s="561">
        <f>民間消費!X25</f>
        <v>613699</v>
      </c>
      <c r="E23" s="546">
        <f>政府消費!X25</f>
        <v>111003</v>
      </c>
      <c r="F23" s="572">
        <f t="shared" si="13"/>
        <v>162128</v>
      </c>
      <c r="G23" s="561">
        <f>民間住宅1!X25</f>
        <v>28366</v>
      </c>
      <c r="H23" s="546">
        <f>民間設備投資計!X25</f>
        <v>134101</v>
      </c>
      <c r="I23" s="538">
        <f>民間在庫品増加!X25</f>
        <v>-339</v>
      </c>
      <c r="J23" s="546">
        <f>公的投資!X25</f>
        <v>22733</v>
      </c>
      <c r="K23" s="411">
        <f t="shared" si="14"/>
        <v>909563</v>
      </c>
      <c r="L23" s="1336">
        <f t="shared" si="16"/>
        <v>34806</v>
      </c>
      <c r="M23" s="1127">
        <f>移出入推計WS!HH25+移出入推計WS!HJ25+移出入推計WS!HK25</f>
        <v>945749</v>
      </c>
      <c r="N23" s="2006">
        <f>移出入推計WS!HI25</f>
        <v>846070</v>
      </c>
      <c r="O23" s="2004">
        <f>'24R5'!O23</f>
        <v>-64873</v>
      </c>
      <c r="P23" s="293">
        <v>214</v>
      </c>
      <c r="Q23" s="314">
        <f>(C23-'22R3'!C23)/'22R3'!C23*100</f>
        <v>89.927135895677424</v>
      </c>
      <c r="R23" s="394">
        <f t="shared" si="2"/>
        <v>944369</v>
      </c>
      <c r="S23" s="394">
        <f t="shared" si="3"/>
        <v>0</v>
      </c>
      <c r="T23" s="49">
        <f>民間設備製造1!S25</f>
        <v>5148</v>
      </c>
      <c r="U23" s="49">
        <v>836914</v>
      </c>
    </row>
    <row r="24" spans="1:21">
      <c r="A24" s="300">
        <v>217</v>
      </c>
      <c r="B24" s="90" t="s">
        <v>189</v>
      </c>
      <c r="C24" s="413">
        <f t="shared" si="12"/>
        <v>642989</v>
      </c>
      <c r="D24" s="561">
        <f>民間消費!X26</f>
        <v>418573</v>
      </c>
      <c r="E24" s="546">
        <f>政府消費!X26</f>
        <v>73913</v>
      </c>
      <c r="F24" s="572">
        <f t="shared" si="13"/>
        <v>112718</v>
      </c>
      <c r="G24" s="561">
        <f>民間住宅1!X26</f>
        <v>21914</v>
      </c>
      <c r="H24" s="546">
        <f>民間設備投資計!X26</f>
        <v>91031</v>
      </c>
      <c r="I24" s="538">
        <f>民間在庫品増加!X26</f>
        <v>-227</v>
      </c>
      <c r="J24" s="546">
        <f>公的投資!X26</f>
        <v>9312</v>
      </c>
      <c r="K24" s="411">
        <f t="shared" si="14"/>
        <v>614516</v>
      </c>
      <c r="L24" s="1336">
        <f t="shared" si="16"/>
        <v>28473</v>
      </c>
      <c r="M24" s="1127">
        <f>移出入推計WS!HH26+移出入推計WS!HJ26+移出入推計WS!HK26</f>
        <v>634883</v>
      </c>
      <c r="N24" s="2006">
        <f>移出入推計WS!HI26</f>
        <v>566797</v>
      </c>
      <c r="O24" s="2004">
        <f>'24R5'!O24</f>
        <v>-39613</v>
      </c>
      <c r="P24" s="293">
        <v>217</v>
      </c>
      <c r="Q24" s="314">
        <f>(C24-'22R3'!C24)/'22R3'!C24*100</f>
        <v>81.824325852863993</v>
      </c>
      <c r="R24" s="394">
        <f t="shared" si="2"/>
        <v>642989</v>
      </c>
      <c r="S24" s="394">
        <f t="shared" si="3"/>
        <v>0</v>
      </c>
      <c r="T24" s="49">
        <f>民間設備製造1!S26</f>
        <v>4112</v>
      </c>
      <c r="U24" s="49">
        <v>560663</v>
      </c>
    </row>
    <row r="25" spans="1:21">
      <c r="A25" s="300">
        <v>219</v>
      </c>
      <c r="B25" s="90" t="s">
        <v>190</v>
      </c>
      <c r="C25" s="413">
        <f t="shared" si="12"/>
        <v>527934</v>
      </c>
      <c r="D25" s="561">
        <f>民間消費!X27</f>
        <v>280315</v>
      </c>
      <c r="E25" s="546">
        <f>政府消費!X27</f>
        <v>59686</v>
      </c>
      <c r="F25" s="572">
        <f t="shared" si="13"/>
        <v>138962</v>
      </c>
      <c r="G25" s="561">
        <f>民間住宅1!X27</f>
        <v>17892</v>
      </c>
      <c r="H25" s="546">
        <f>民間設備投資計!X27</f>
        <v>121249</v>
      </c>
      <c r="I25" s="538">
        <f>民間在庫品増加!X27</f>
        <v>-179</v>
      </c>
      <c r="J25" s="546">
        <f>公的投資!X27</f>
        <v>15319</v>
      </c>
      <c r="K25" s="411">
        <f t="shared" si="14"/>
        <v>494282</v>
      </c>
      <c r="L25" s="1336">
        <f t="shared" si="16"/>
        <v>33652</v>
      </c>
      <c r="M25" s="1127">
        <f>移出入推計WS!HH27+移出入推計WS!HJ27+移出入推計WS!HK27</f>
        <v>465121</v>
      </c>
      <c r="N25" s="2006">
        <f>移出入推計WS!HI27</f>
        <v>446654</v>
      </c>
      <c r="O25" s="2004">
        <f>'24R5'!O25</f>
        <v>15185</v>
      </c>
      <c r="P25" s="293">
        <v>219</v>
      </c>
      <c r="Q25" s="314">
        <f>(C25-'22R3'!C25)/'22R3'!C25*100</f>
        <v>3.320566690216785</v>
      </c>
      <c r="R25" s="394">
        <f t="shared" si="2"/>
        <v>527934</v>
      </c>
      <c r="S25" s="394">
        <f t="shared" si="3"/>
        <v>0</v>
      </c>
      <c r="T25" s="49">
        <f>民間設備製造1!S27</f>
        <v>42260</v>
      </c>
      <c r="U25" s="49">
        <v>441821</v>
      </c>
    </row>
    <row r="26" spans="1:21">
      <c r="A26" s="302">
        <v>301</v>
      </c>
      <c r="B26" s="201" t="s">
        <v>191</v>
      </c>
      <c r="C26" s="413">
        <f t="shared" si="12"/>
        <v>419923</v>
      </c>
      <c r="D26" s="561">
        <f>民間消費!X28</f>
        <v>69385</v>
      </c>
      <c r="E26" s="546">
        <f>政府消費!X28</f>
        <v>20062</v>
      </c>
      <c r="F26" s="572">
        <f t="shared" si="13"/>
        <v>18042</v>
      </c>
      <c r="G26" s="561">
        <f>民間住宅1!X28</f>
        <v>836</v>
      </c>
      <c r="H26" s="546">
        <f>民間設備投資計!X28</f>
        <v>17249</v>
      </c>
      <c r="I26" s="538">
        <f>民間在庫品増加!X28</f>
        <v>-43</v>
      </c>
      <c r="J26" s="546">
        <f>公的投資!X28</f>
        <v>160714</v>
      </c>
      <c r="K26" s="411">
        <f t="shared" si="14"/>
        <v>268203</v>
      </c>
      <c r="L26" s="1336">
        <f t="shared" si="16"/>
        <v>151720</v>
      </c>
      <c r="M26" s="1127">
        <f>移出入推計WS!HH28+移出入推計WS!HJ28+移出入推計WS!HK28</f>
        <v>269573</v>
      </c>
      <c r="N26" s="2006">
        <f>移出入推計WS!HI28</f>
        <v>108332</v>
      </c>
      <c r="O26" s="2004">
        <f>'24R5'!O26</f>
        <v>-9521</v>
      </c>
      <c r="P26" s="293">
        <v>301</v>
      </c>
      <c r="Q26" s="314">
        <f>(C26-'22R3'!C26)/'22R3'!C26*100</f>
        <v>553.41393582920989</v>
      </c>
      <c r="R26" s="394">
        <f t="shared" si="2"/>
        <v>419923</v>
      </c>
      <c r="S26" s="394">
        <f t="shared" si="3"/>
        <v>0</v>
      </c>
      <c r="T26" s="49">
        <f>民間設備製造1!S28</f>
        <v>625</v>
      </c>
      <c r="U26" s="49">
        <v>107160</v>
      </c>
    </row>
    <row r="27" spans="1:21">
      <c r="A27" s="300">
        <v>3</v>
      </c>
      <c r="B27" s="65" t="s">
        <v>192</v>
      </c>
      <c r="C27" s="308">
        <f>SUM(C28:C32)</f>
        <v>3732853</v>
      </c>
      <c r="D27" s="561">
        <f>民間消費!X29</f>
        <v>2017448</v>
      </c>
      <c r="E27" s="546">
        <f>政府消費!X29</f>
        <v>346463</v>
      </c>
      <c r="F27" s="281">
        <f>SUM(F28:F32)</f>
        <v>1093265</v>
      </c>
      <c r="G27" s="561">
        <f>民間住宅1!X29</f>
        <v>113280</v>
      </c>
      <c r="H27" s="546">
        <f>民間設備投資計!X29</f>
        <v>981280</v>
      </c>
      <c r="I27" s="538">
        <f>民間在庫品増加!X29</f>
        <v>-1295</v>
      </c>
      <c r="J27" s="546">
        <f>公的投資!X29</f>
        <v>80492</v>
      </c>
      <c r="K27" s="1997">
        <f>SUM(K28:K32)</f>
        <v>3537668</v>
      </c>
      <c r="L27" s="281">
        <f t="shared" ref="L27" si="18">SUM(L28:L32)</f>
        <v>195185</v>
      </c>
      <c r="M27" s="1127">
        <f>移出入推計WS!HH29+移出入推計WS!HJ29+移出入推計WS!HK29</f>
        <v>3528076</v>
      </c>
      <c r="N27" s="2006">
        <f>移出入推計WS!HI29</f>
        <v>3235876</v>
      </c>
      <c r="O27" s="2004">
        <f>'24R5'!O27</f>
        <v>-97015</v>
      </c>
      <c r="P27" s="293">
        <v>3</v>
      </c>
      <c r="Q27" s="314">
        <f>(C27-'22R3'!C27)/'22R3'!C27*100</f>
        <v>26.101676478526908</v>
      </c>
      <c r="R27" s="394">
        <f t="shared" si="2"/>
        <v>3732853</v>
      </c>
      <c r="S27" s="394">
        <f t="shared" si="3"/>
        <v>0</v>
      </c>
      <c r="T27" s="49">
        <f>民間設備製造1!S29</f>
        <v>392618</v>
      </c>
      <c r="U27" s="49">
        <v>3200858</v>
      </c>
    </row>
    <row r="28" spans="1:21">
      <c r="A28" s="300">
        <v>203</v>
      </c>
      <c r="B28" s="90" t="s">
        <v>193</v>
      </c>
      <c r="C28" s="413">
        <f t="shared" si="12"/>
        <v>1546643</v>
      </c>
      <c r="D28" s="561">
        <f>民間消費!X30</f>
        <v>892506</v>
      </c>
      <c r="E28" s="546">
        <f>政府消費!X30</f>
        <v>148968</v>
      </c>
      <c r="F28" s="572">
        <f t="shared" si="13"/>
        <v>376201</v>
      </c>
      <c r="G28" s="561">
        <f>民間住宅1!X30</f>
        <v>57907</v>
      </c>
      <c r="H28" s="546">
        <f>民間設備投資計!X30</f>
        <v>318816</v>
      </c>
      <c r="I28" s="538">
        <f>民間在庫品増加!X30</f>
        <v>-522</v>
      </c>
      <c r="J28" s="546">
        <f>公的投資!X30</f>
        <v>31013</v>
      </c>
      <c r="K28" s="411">
        <f t="shared" si="14"/>
        <v>1448688</v>
      </c>
      <c r="L28" s="1336">
        <f t="shared" si="16"/>
        <v>97955</v>
      </c>
      <c r="M28" s="1127">
        <f>移出入推計WS!HH30+移出入推計WS!HJ30+移出入推計WS!HK30</f>
        <v>1483197</v>
      </c>
      <c r="N28" s="2006">
        <f>移出入推計WS!HI30</f>
        <v>1305808</v>
      </c>
      <c r="O28" s="2004">
        <f>'24R5'!O28</f>
        <v>-79434</v>
      </c>
      <c r="P28" s="293">
        <v>203</v>
      </c>
      <c r="Q28" s="314">
        <f>(C28-'22R3'!C28)/'22R3'!C28*100</f>
        <v>35.036477868812383</v>
      </c>
      <c r="R28" s="394">
        <f t="shared" si="2"/>
        <v>1546643</v>
      </c>
      <c r="S28" s="394">
        <f t="shared" si="3"/>
        <v>0</v>
      </c>
      <c r="T28" s="49">
        <f>民間設備製造1!S30</f>
        <v>96260</v>
      </c>
      <c r="U28" s="49">
        <v>1291677</v>
      </c>
    </row>
    <row r="29" spans="1:21">
      <c r="A29" s="300">
        <v>210</v>
      </c>
      <c r="B29" s="90" t="s">
        <v>194</v>
      </c>
      <c r="C29" s="413">
        <f t="shared" si="12"/>
        <v>1250563</v>
      </c>
      <c r="D29" s="561">
        <f>民間消費!X31</f>
        <v>705415</v>
      </c>
      <c r="E29" s="546">
        <f>政府消費!X31</f>
        <v>118659</v>
      </c>
      <c r="F29" s="572">
        <f t="shared" si="13"/>
        <v>351790</v>
      </c>
      <c r="G29" s="561">
        <f>民間住宅1!X31</f>
        <v>33694</v>
      </c>
      <c r="H29" s="546">
        <f>民間設備投資計!X31</f>
        <v>318536</v>
      </c>
      <c r="I29" s="538">
        <f>民間在庫品増加!X31</f>
        <v>-440</v>
      </c>
      <c r="J29" s="546">
        <f>公的投資!X31</f>
        <v>17153</v>
      </c>
      <c r="K29" s="411">
        <f t="shared" si="14"/>
        <v>1193017</v>
      </c>
      <c r="L29" s="1336">
        <f t="shared" si="16"/>
        <v>57546</v>
      </c>
      <c r="M29" s="1127">
        <f>移出入推計WS!HH31+移出入推計WS!HJ31+移出入推計WS!HK31</f>
        <v>1197777</v>
      </c>
      <c r="N29" s="2006">
        <f>移出入推計WS!HI31</f>
        <v>1099256</v>
      </c>
      <c r="O29" s="2004">
        <f>'24R5'!O29</f>
        <v>-40975</v>
      </c>
      <c r="P29" s="293">
        <v>210</v>
      </c>
      <c r="Q29" s="314">
        <f>(C29-'22R3'!C29)/'22R3'!C29*100</f>
        <v>48.039770440415367</v>
      </c>
      <c r="R29" s="394">
        <f t="shared" si="2"/>
        <v>1250563</v>
      </c>
      <c r="S29" s="394">
        <f t="shared" si="3"/>
        <v>0</v>
      </c>
      <c r="T29" s="49">
        <f>民間設備製造1!S31</f>
        <v>119582</v>
      </c>
      <c r="U29" s="49">
        <v>1087360</v>
      </c>
    </row>
    <row r="30" spans="1:21">
      <c r="A30" s="300">
        <v>216</v>
      </c>
      <c r="B30" s="90" t="s">
        <v>195</v>
      </c>
      <c r="C30" s="413">
        <f t="shared" si="12"/>
        <v>602447</v>
      </c>
      <c r="D30" s="561">
        <f>民間消費!X32</f>
        <v>241954</v>
      </c>
      <c r="E30" s="546">
        <f>政府消費!X32</f>
        <v>48270</v>
      </c>
      <c r="F30" s="572">
        <f t="shared" si="13"/>
        <v>256741</v>
      </c>
      <c r="G30" s="561">
        <f>民間住宅1!X32</f>
        <v>10578</v>
      </c>
      <c r="H30" s="546">
        <f>民間設備投資計!X32</f>
        <v>246373</v>
      </c>
      <c r="I30" s="538">
        <f>民間在庫品増加!X32</f>
        <v>-210</v>
      </c>
      <c r="J30" s="546">
        <f>公的投資!X32</f>
        <v>24709</v>
      </c>
      <c r="K30" s="411">
        <f t="shared" si="14"/>
        <v>571674</v>
      </c>
      <c r="L30" s="1336">
        <f t="shared" si="16"/>
        <v>30773</v>
      </c>
      <c r="M30" s="1127">
        <f>移出入推計WS!HH32+移出入推計WS!HJ32+移出入推計WS!HK32</f>
        <v>551316</v>
      </c>
      <c r="N30" s="2006">
        <f>移出入推計WS!HI32</f>
        <v>524295</v>
      </c>
      <c r="O30" s="2004">
        <f>'24R5'!O30</f>
        <v>3752</v>
      </c>
      <c r="P30" s="293">
        <v>216</v>
      </c>
      <c r="Q30" s="314">
        <f>(C30-'22R3'!C30)/'22R3'!C30*100</f>
        <v>9.2188848360031628</v>
      </c>
      <c r="R30" s="394">
        <f t="shared" si="2"/>
        <v>602447</v>
      </c>
      <c r="S30" s="394">
        <f t="shared" si="3"/>
        <v>0</v>
      </c>
      <c r="T30" s="49">
        <f>民間設備製造1!S32</f>
        <v>137373</v>
      </c>
      <c r="U30" s="49">
        <v>518621</v>
      </c>
    </row>
    <row r="31" spans="1:21">
      <c r="A31" s="300">
        <v>381</v>
      </c>
      <c r="B31" s="90" t="s">
        <v>196</v>
      </c>
      <c r="C31" s="413">
        <f t="shared" si="12"/>
        <v>139510</v>
      </c>
      <c r="D31" s="561">
        <f>民間消費!X33</f>
        <v>80113</v>
      </c>
      <c r="E31" s="546">
        <f>政府消費!X33</f>
        <v>13459</v>
      </c>
      <c r="F31" s="572">
        <f t="shared" si="13"/>
        <v>40267</v>
      </c>
      <c r="G31" s="561">
        <f>民間住宅1!X33</f>
        <v>4075</v>
      </c>
      <c r="H31" s="546">
        <f>民間設備投資計!X33</f>
        <v>36245</v>
      </c>
      <c r="I31" s="538">
        <f>民間在庫品増加!X33</f>
        <v>-53</v>
      </c>
      <c r="J31" s="546">
        <f>公的投資!X33</f>
        <v>3548</v>
      </c>
      <c r="K31" s="411">
        <f t="shared" si="14"/>
        <v>137387</v>
      </c>
      <c r="L31" s="1336">
        <f t="shared" si="16"/>
        <v>2123</v>
      </c>
      <c r="M31" s="1127">
        <f>移出入推計WS!HH33+移出入推計WS!HJ33+移出入推計WS!HK33</f>
        <v>127867</v>
      </c>
      <c r="N31" s="2006">
        <f>移出入推計WS!HI33</f>
        <v>131426</v>
      </c>
      <c r="O31" s="2004">
        <f>'24R5'!O31</f>
        <v>5682</v>
      </c>
      <c r="P31" s="293">
        <v>381</v>
      </c>
      <c r="Q31" s="314">
        <f>(C31-'22R3'!C31)/'22R3'!C31*100</f>
        <v>-17.577970377459927</v>
      </c>
      <c r="R31" s="394">
        <f t="shared" si="2"/>
        <v>139510</v>
      </c>
      <c r="S31" s="394">
        <f t="shared" si="3"/>
        <v>0</v>
      </c>
      <c r="T31" s="49">
        <f>民間設備製造1!S33</f>
        <v>12809</v>
      </c>
      <c r="U31" s="49">
        <v>130004</v>
      </c>
    </row>
    <row r="32" spans="1:21">
      <c r="A32" s="300">
        <v>382</v>
      </c>
      <c r="B32" s="90" t="s">
        <v>197</v>
      </c>
      <c r="C32" s="413">
        <f t="shared" si="12"/>
        <v>193690</v>
      </c>
      <c r="D32" s="561">
        <f>民間消費!X34</f>
        <v>97460</v>
      </c>
      <c r="E32" s="546">
        <f>政府消費!X34</f>
        <v>17107</v>
      </c>
      <c r="F32" s="572">
        <f t="shared" si="13"/>
        <v>68266</v>
      </c>
      <c r="G32" s="561">
        <f>民間住宅1!X34</f>
        <v>7026</v>
      </c>
      <c r="H32" s="546">
        <f>民間設備投資計!X34</f>
        <v>61310</v>
      </c>
      <c r="I32" s="538">
        <f>民間在庫品増加!X34</f>
        <v>-70</v>
      </c>
      <c r="J32" s="546">
        <f>公的投資!X34</f>
        <v>4069</v>
      </c>
      <c r="K32" s="411">
        <f t="shared" si="14"/>
        <v>186902</v>
      </c>
      <c r="L32" s="1336">
        <f t="shared" si="16"/>
        <v>6788</v>
      </c>
      <c r="M32" s="1127">
        <f>移出入推計WS!HH34+移出入推計WS!HJ34+移出入推計WS!HK34</f>
        <v>167919</v>
      </c>
      <c r="N32" s="2006">
        <f>移出入推計WS!HI34</f>
        <v>175091</v>
      </c>
      <c r="O32" s="2004">
        <f>'24R5'!O32</f>
        <v>13960</v>
      </c>
      <c r="P32" s="293">
        <v>382</v>
      </c>
      <c r="Q32" s="314">
        <f>(C32-'22R3'!C32)/'22R3'!C32*100</f>
        <v>-22.285883948417954</v>
      </c>
      <c r="R32" s="394">
        <f t="shared" si="2"/>
        <v>193690</v>
      </c>
      <c r="S32" s="394">
        <f t="shared" si="3"/>
        <v>0</v>
      </c>
      <c r="T32" s="49">
        <f>民間設備製造1!S34</f>
        <v>26594</v>
      </c>
      <c r="U32" s="49">
        <v>173196</v>
      </c>
    </row>
    <row r="33" spans="1:21">
      <c r="A33" s="301">
        <v>4</v>
      </c>
      <c r="B33" s="306" t="s">
        <v>198</v>
      </c>
      <c r="C33" s="308">
        <f>SUM(C34:C39)</f>
        <v>1275031</v>
      </c>
      <c r="D33" s="561">
        <f>民間消費!X35</f>
        <v>699563</v>
      </c>
      <c r="E33" s="546">
        <f>政府消費!X35</f>
        <v>162721</v>
      </c>
      <c r="F33" s="281">
        <f>SUM(F34:F39)</f>
        <v>331647</v>
      </c>
      <c r="G33" s="561">
        <f>民間住宅1!X35</f>
        <v>25570</v>
      </c>
      <c r="H33" s="546">
        <f>民間設備投資計!X35</f>
        <v>306542</v>
      </c>
      <c r="I33" s="538">
        <f>民間在庫品増加!X35</f>
        <v>-465</v>
      </c>
      <c r="J33" s="546">
        <f>公的投資!X35</f>
        <v>42920</v>
      </c>
      <c r="K33" s="1997">
        <f>SUM(K34:K39)</f>
        <v>1236851</v>
      </c>
      <c r="L33" s="281">
        <f t="shared" ref="L33" si="19">SUM(L34:L39)</f>
        <v>38180</v>
      </c>
      <c r="M33" s="1127">
        <f>移出入推計WS!HH35+移出入推計WS!HJ35+移出入推計WS!HK35</f>
        <v>1193578</v>
      </c>
      <c r="N33" s="2006">
        <f>移出入推計WS!HI35</f>
        <v>1162717</v>
      </c>
      <c r="O33" s="2004">
        <f>'24R5'!O33</f>
        <v>7319</v>
      </c>
      <c r="P33" s="293">
        <v>4</v>
      </c>
      <c r="Q33" s="314">
        <f>(C33-'22R3'!C33)/'22R3'!C33*100</f>
        <v>-3.4017661515896274</v>
      </c>
      <c r="R33" s="394">
        <f t="shared" si="2"/>
        <v>1275031</v>
      </c>
      <c r="S33" s="394">
        <f t="shared" si="3"/>
        <v>0</v>
      </c>
      <c r="T33" s="49">
        <f>民間設備製造1!S35</f>
        <v>105029</v>
      </c>
      <c r="U33" s="49">
        <v>1150135</v>
      </c>
    </row>
    <row r="34" spans="1:21">
      <c r="A34" s="300">
        <v>213</v>
      </c>
      <c r="B34" s="92" t="s">
        <v>231</v>
      </c>
      <c r="C34" s="413">
        <f t="shared" si="12"/>
        <v>141966</v>
      </c>
      <c r="D34" s="561">
        <f>民間消費!X36</f>
        <v>94692</v>
      </c>
      <c r="E34" s="546">
        <f>政府消費!X36</f>
        <v>20829</v>
      </c>
      <c r="F34" s="572">
        <f t="shared" si="13"/>
        <v>31869</v>
      </c>
      <c r="G34" s="561">
        <f>民間住宅1!X36</f>
        <v>3056</v>
      </c>
      <c r="H34" s="546">
        <f>民間設備投資計!X36</f>
        <v>28874</v>
      </c>
      <c r="I34" s="538">
        <f>民間在庫品増加!X36</f>
        <v>-61</v>
      </c>
      <c r="J34" s="546">
        <f>公的投資!X36</f>
        <v>2183</v>
      </c>
      <c r="K34" s="411">
        <f t="shared" si="14"/>
        <v>149573</v>
      </c>
      <c r="L34" s="1336">
        <f t="shared" si="16"/>
        <v>-7607</v>
      </c>
      <c r="M34" s="1127">
        <f>移出入推計WS!HH36+移出入推計WS!HJ36+移出入推計WS!HK36</f>
        <v>145801</v>
      </c>
      <c r="N34" s="2006">
        <f>移出入推計WS!HI36</f>
        <v>152784</v>
      </c>
      <c r="O34" s="2004">
        <f>'24R5'!O34</f>
        <v>-624</v>
      </c>
      <c r="P34" s="293">
        <v>213</v>
      </c>
      <c r="Q34" s="314">
        <f>(C34-'22R3'!C34)/'22R3'!C34*100</f>
        <v>-3.5367022035591251</v>
      </c>
      <c r="R34" s="394">
        <f t="shared" si="2"/>
        <v>141966</v>
      </c>
      <c r="S34" s="394">
        <f t="shared" si="3"/>
        <v>0</v>
      </c>
      <c r="T34" s="49">
        <f>民間設備製造1!S36</f>
        <v>4739</v>
      </c>
      <c r="U34" s="49">
        <v>151131</v>
      </c>
    </row>
    <row r="35" spans="1:21">
      <c r="A35" s="300">
        <v>215</v>
      </c>
      <c r="B35" s="92" t="s">
        <v>232</v>
      </c>
      <c r="C35" s="413">
        <f t="shared" si="12"/>
        <v>335789</v>
      </c>
      <c r="D35" s="561">
        <f>民間消費!X37</f>
        <v>199884</v>
      </c>
      <c r="E35" s="546">
        <f>政府消費!X37</f>
        <v>45201</v>
      </c>
      <c r="F35" s="572">
        <f t="shared" si="13"/>
        <v>75892</v>
      </c>
      <c r="G35" s="561">
        <f>民間住宅1!X37</f>
        <v>7026</v>
      </c>
      <c r="H35" s="546">
        <f>民間設備投資計!X37</f>
        <v>68990</v>
      </c>
      <c r="I35" s="538">
        <f>民間在庫品増加!X37</f>
        <v>-124</v>
      </c>
      <c r="J35" s="546">
        <f>公的投資!X37</f>
        <v>6764</v>
      </c>
      <c r="K35" s="411">
        <f t="shared" si="14"/>
        <v>327741</v>
      </c>
      <c r="L35" s="1336">
        <f t="shared" si="16"/>
        <v>8048</v>
      </c>
      <c r="M35" s="1127">
        <f>移出入推計WS!HH37+移出入推計WS!HJ37+移出入推計WS!HK37</f>
        <v>320872</v>
      </c>
      <c r="N35" s="2006">
        <f>移出入推計WS!HI37</f>
        <v>310014</v>
      </c>
      <c r="O35" s="2004">
        <f>'24R5'!O35</f>
        <v>-2810</v>
      </c>
      <c r="P35" s="293">
        <v>215</v>
      </c>
      <c r="Q35" s="314">
        <f>(C35-'22R3'!C35)/'22R3'!C35*100</f>
        <v>4.4938820219823992</v>
      </c>
      <c r="R35" s="394">
        <f t="shared" si="2"/>
        <v>335789</v>
      </c>
      <c r="S35" s="394">
        <f t="shared" si="3"/>
        <v>0</v>
      </c>
      <c r="T35" s="49">
        <f>民間設備製造1!S37</f>
        <v>17795</v>
      </c>
      <c r="U35" s="49">
        <v>306659</v>
      </c>
    </row>
    <row r="36" spans="1:21">
      <c r="A36" s="300">
        <v>218</v>
      </c>
      <c r="B36" s="90" t="s">
        <v>200</v>
      </c>
      <c r="C36" s="413">
        <f t="shared" si="12"/>
        <v>256364</v>
      </c>
      <c r="D36" s="561">
        <f>民間消費!X38</f>
        <v>132467</v>
      </c>
      <c r="E36" s="546">
        <f>政府消費!X38</f>
        <v>25359</v>
      </c>
      <c r="F36" s="572">
        <f t="shared" si="13"/>
        <v>69137</v>
      </c>
      <c r="G36" s="561">
        <f>民間住宅1!X38</f>
        <v>6765</v>
      </c>
      <c r="H36" s="546">
        <f>民間設備投資計!X38</f>
        <v>62457</v>
      </c>
      <c r="I36" s="538">
        <f>民間在庫品増加!X38</f>
        <v>-85</v>
      </c>
      <c r="J36" s="546">
        <f>公的投資!X38</f>
        <v>10952</v>
      </c>
      <c r="K36" s="411">
        <f t="shared" si="14"/>
        <v>237915</v>
      </c>
      <c r="L36" s="1336">
        <f t="shared" si="16"/>
        <v>18449</v>
      </c>
      <c r="M36" s="1127">
        <f>移出入推計WS!HH38+移出入推計WS!HJ38+移出入推計WS!HK38</f>
        <v>221602</v>
      </c>
      <c r="N36" s="2006">
        <f>移出入推計WS!HI38</f>
        <v>212814</v>
      </c>
      <c r="O36" s="2004">
        <f>'24R5'!O36</f>
        <v>9661</v>
      </c>
      <c r="P36" s="293">
        <v>218</v>
      </c>
      <c r="Q36" s="314">
        <f>(C36-'22R3'!C36)/'22R3'!C36*100</f>
        <v>-1.3233154479180298</v>
      </c>
      <c r="R36" s="394">
        <f t="shared" si="2"/>
        <v>256364</v>
      </c>
      <c r="S36" s="394">
        <f t="shared" si="3"/>
        <v>0</v>
      </c>
      <c r="T36" s="49">
        <f>民間設備製造1!S38</f>
        <v>24156</v>
      </c>
      <c r="U36" s="49">
        <v>210511</v>
      </c>
    </row>
    <row r="37" spans="1:21">
      <c r="A37" s="300">
        <v>220</v>
      </c>
      <c r="B37" s="90" t="s">
        <v>201</v>
      </c>
      <c r="C37" s="413">
        <f t="shared" si="12"/>
        <v>224403</v>
      </c>
      <c r="D37" s="561">
        <f>民間消費!X39</f>
        <v>109036</v>
      </c>
      <c r="E37" s="546">
        <f>政府消費!X39</f>
        <v>31277</v>
      </c>
      <c r="F37" s="572">
        <f t="shared" si="13"/>
        <v>66561</v>
      </c>
      <c r="G37" s="561">
        <f>民間住宅1!X39</f>
        <v>3578</v>
      </c>
      <c r="H37" s="546">
        <f>民間設備投資計!X39</f>
        <v>63062</v>
      </c>
      <c r="I37" s="538">
        <f>民間在庫品増加!X39</f>
        <v>-79</v>
      </c>
      <c r="J37" s="546">
        <f>公的投資!X39</f>
        <v>7499</v>
      </c>
      <c r="K37" s="411">
        <f t="shared" si="14"/>
        <v>214373</v>
      </c>
      <c r="L37" s="1336">
        <f t="shared" si="16"/>
        <v>10030</v>
      </c>
      <c r="M37" s="1127">
        <f>移出入推計WS!HH39+移出入推計WS!HJ39+移出入推計WS!HK39</f>
        <v>206405</v>
      </c>
      <c r="N37" s="2006">
        <f>移出入推計WS!HI39</f>
        <v>198127</v>
      </c>
      <c r="O37" s="2004">
        <f>'24R5'!O37</f>
        <v>1752</v>
      </c>
      <c r="P37" s="293">
        <v>220</v>
      </c>
      <c r="Q37" s="314">
        <f>(C37-'22R3'!C37)/'22R3'!C37*100</f>
        <v>-11.687131050767414</v>
      </c>
      <c r="R37" s="394">
        <f t="shared" si="2"/>
        <v>224403</v>
      </c>
      <c r="S37" s="394">
        <f t="shared" si="3"/>
        <v>0</v>
      </c>
      <c r="T37" s="49">
        <f>民間設備製造1!S39</f>
        <v>26130</v>
      </c>
      <c r="U37" s="49">
        <v>195983</v>
      </c>
    </row>
    <row r="38" spans="1:21">
      <c r="A38" s="300">
        <v>228</v>
      </c>
      <c r="B38" s="90" t="s">
        <v>239</v>
      </c>
      <c r="C38" s="413">
        <f t="shared" si="12"/>
        <v>221635</v>
      </c>
      <c r="D38" s="561">
        <f>民間消費!X40</f>
        <v>119161</v>
      </c>
      <c r="E38" s="546">
        <f>政府消費!X40</f>
        <v>26605</v>
      </c>
      <c r="F38" s="572">
        <f t="shared" si="13"/>
        <v>71198</v>
      </c>
      <c r="G38" s="561">
        <f>民間住宅1!X40</f>
        <v>4414</v>
      </c>
      <c r="H38" s="546">
        <f>民間設備投資計!X40</f>
        <v>66871</v>
      </c>
      <c r="I38" s="538">
        <f>民間在庫品増加!X40</f>
        <v>-87</v>
      </c>
      <c r="J38" s="546">
        <f>公的投資!X40</f>
        <v>5200</v>
      </c>
      <c r="K38" s="411">
        <f t="shared" si="14"/>
        <v>222164</v>
      </c>
      <c r="L38" s="1336">
        <f t="shared" si="16"/>
        <v>-529</v>
      </c>
      <c r="M38" s="1127">
        <f>移出入推計WS!HH40+移出入推計WS!HJ40+移出入推計WS!HK40</f>
        <v>213433</v>
      </c>
      <c r="N38" s="2006">
        <f>移出入推計WS!HI40</f>
        <v>216267</v>
      </c>
      <c r="O38" s="2004">
        <f>'24R5'!O38</f>
        <v>2305</v>
      </c>
      <c r="P38" s="293">
        <v>228</v>
      </c>
      <c r="Q38" s="314">
        <f>(C38-'22R3'!C38)/'22R3'!C38*100</f>
        <v>-17.452224080329842</v>
      </c>
      <c r="R38" s="394">
        <f t="shared" si="2"/>
        <v>221635</v>
      </c>
      <c r="S38" s="394">
        <f t="shared" si="3"/>
        <v>0</v>
      </c>
      <c r="T38" s="49">
        <f>民間設備製造1!S40</f>
        <v>28092</v>
      </c>
      <c r="U38" s="49">
        <v>213927</v>
      </c>
    </row>
    <row r="39" spans="1:21">
      <c r="A39" s="302">
        <v>365</v>
      </c>
      <c r="B39" s="201" t="s">
        <v>233</v>
      </c>
      <c r="C39" s="413">
        <f t="shared" si="12"/>
        <v>94874</v>
      </c>
      <c r="D39" s="561">
        <f>民間消費!X41</f>
        <v>44323</v>
      </c>
      <c r="E39" s="546">
        <f>政府消費!X41</f>
        <v>13450</v>
      </c>
      <c r="F39" s="572">
        <f t="shared" si="13"/>
        <v>16990</v>
      </c>
      <c r="G39" s="561">
        <f>民間住宅1!X41</f>
        <v>731</v>
      </c>
      <c r="H39" s="546">
        <f>民間設備投資計!X41</f>
        <v>16288</v>
      </c>
      <c r="I39" s="538">
        <f>民間在庫品増加!X41</f>
        <v>-29</v>
      </c>
      <c r="J39" s="546">
        <f>公的投資!X41</f>
        <v>10322</v>
      </c>
      <c r="K39" s="411">
        <f t="shared" si="14"/>
        <v>85085</v>
      </c>
      <c r="L39" s="1724">
        <f t="shared" si="16"/>
        <v>9789</v>
      </c>
      <c r="M39" s="1127">
        <f>移出入推計WS!HH41+移出入推計WS!HJ41+移出入推計WS!HK41</f>
        <v>85465</v>
      </c>
      <c r="N39" s="2006">
        <f>移出入推計WS!HI41</f>
        <v>72711</v>
      </c>
      <c r="O39" s="2004">
        <f>'24R5'!O39</f>
        <v>-2965</v>
      </c>
      <c r="P39" s="293">
        <v>365</v>
      </c>
      <c r="Q39" s="314">
        <f>(C39-'22R3'!C39)/'22R3'!C39*100</f>
        <v>37.462690892231009</v>
      </c>
      <c r="R39" s="394">
        <f t="shared" si="2"/>
        <v>94874</v>
      </c>
      <c r="S39" s="394">
        <f t="shared" si="3"/>
        <v>0</v>
      </c>
      <c r="T39" s="49">
        <f>民間設備製造1!S41</f>
        <v>4117</v>
      </c>
      <c r="U39" s="49">
        <v>71924</v>
      </c>
    </row>
    <row r="40" spans="1:21">
      <c r="A40" s="300">
        <v>5</v>
      </c>
      <c r="B40" s="91" t="s">
        <v>202</v>
      </c>
      <c r="C40" s="308">
        <f>SUM(C41:C44)</f>
        <v>2766933</v>
      </c>
      <c r="D40" s="561">
        <f>民間消費!X42</f>
        <v>1484247</v>
      </c>
      <c r="E40" s="546">
        <f>政府消費!X42</f>
        <v>301635</v>
      </c>
      <c r="F40" s="281">
        <f>SUM(F41:F44)</f>
        <v>845813</v>
      </c>
      <c r="G40" s="561">
        <f>民間住宅1!X42</f>
        <v>89119</v>
      </c>
      <c r="H40" s="546">
        <f>民間設備投資計!X42</f>
        <v>757694</v>
      </c>
      <c r="I40" s="538">
        <f>民間在庫品増加!X42</f>
        <v>-1000</v>
      </c>
      <c r="J40" s="546">
        <f>公的投資!X42</f>
        <v>40115</v>
      </c>
      <c r="K40" s="1997">
        <f>SUM(K41:K44)</f>
        <v>2671810</v>
      </c>
      <c r="L40" s="281">
        <f t="shared" ref="L40" si="20">SUM(L41:L44)</f>
        <v>95123</v>
      </c>
      <c r="M40" s="1127">
        <f>移出入推計WS!HH42+移出入推計WS!HJ42+移出入推計WS!HK42</f>
        <v>2615726</v>
      </c>
      <c r="N40" s="2006">
        <f>移出入推計WS!HI42</f>
        <v>2497785</v>
      </c>
      <c r="O40" s="2004">
        <f>'24R5'!O40</f>
        <v>-22818</v>
      </c>
      <c r="P40" s="293">
        <v>5</v>
      </c>
      <c r="Q40" s="314">
        <f>(C40-'22R3'!C40)/'22R3'!C40*100</f>
        <v>-1.9739252121233593</v>
      </c>
      <c r="R40" s="394">
        <f t="shared" si="2"/>
        <v>2766933</v>
      </c>
      <c r="S40" s="394">
        <f t="shared" si="3"/>
        <v>0</v>
      </c>
      <c r="T40" s="49">
        <f>民間設備製造1!S42</f>
        <v>297837</v>
      </c>
      <c r="U40" s="49">
        <v>2470755</v>
      </c>
    </row>
    <row r="41" spans="1:21">
      <c r="A41" s="300">
        <v>201</v>
      </c>
      <c r="B41" s="92" t="s">
        <v>240</v>
      </c>
      <c r="C41" s="413">
        <f t="shared" si="12"/>
        <v>2537562</v>
      </c>
      <c r="D41" s="561">
        <f>民間消費!X43</f>
        <v>1383051</v>
      </c>
      <c r="E41" s="546">
        <f>政府消費!X43</f>
        <v>268458</v>
      </c>
      <c r="F41" s="572">
        <f t="shared" si="13"/>
        <v>777668</v>
      </c>
      <c r="G41" s="561">
        <f>民間住宅1!X43</f>
        <v>86168</v>
      </c>
      <c r="H41" s="546">
        <f>民間設備投資計!X43</f>
        <v>692419</v>
      </c>
      <c r="I41" s="538">
        <f>民間在庫品増加!X43</f>
        <v>-919</v>
      </c>
      <c r="J41" s="546">
        <f>公的投資!X43</f>
        <v>24504</v>
      </c>
      <c r="K41" s="411">
        <f t="shared" si="14"/>
        <v>2453681</v>
      </c>
      <c r="L41" s="1336">
        <f t="shared" si="16"/>
        <v>83881</v>
      </c>
      <c r="M41" s="1127">
        <f>移出入推計WS!HH43+移出入推計WS!HJ43+移出入推計WS!HK43</f>
        <v>2408838</v>
      </c>
      <c r="N41" s="2006">
        <f>移出入推計WS!HI43</f>
        <v>2297120</v>
      </c>
      <c r="O41" s="2004">
        <f>'24R5'!O41</f>
        <v>-27837</v>
      </c>
      <c r="P41" s="293">
        <v>201</v>
      </c>
      <c r="Q41" s="314">
        <f>(C41-'22R3'!C41)/'22R3'!C41*100</f>
        <v>-1.2644840976475258</v>
      </c>
      <c r="R41" s="394">
        <f t="shared" si="2"/>
        <v>2537562</v>
      </c>
      <c r="S41" s="394">
        <f t="shared" si="3"/>
        <v>0</v>
      </c>
      <c r="T41" s="49">
        <f>民間設備製造1!S43</f>
        <v>269591</v>
      </c>
      <c r="U41" s="49">
        <v>2272262</v>
      </c>
    </row>
    <row r="42" spans="1:21">
      <c r="A42" s="300">
        <v>442</v>
      </c>
      <c r="B42" s="90" t="s">
        <v>203</v>
      </c>
      <c r="C42" s="413">
        <f t="shared" si="12"/>
        <v>50531</v>
      </c>
      <c r="D42" s="561">
        <f>民間消費!X44</f>
        <v>24558</v>
      </c>
      <c r="E42" s="546">
        <f>政府消費!X44</f>
        <v>9326</v>
      </c>
      <c r="F42" s="572">
        <f t="shared" si="13"/>
        <v>12632</v>
      </c>
      <c r="G42" s="561">
        <f>民間住宅1!X44</f>
        <v>470</v>
      </c>
      <c r="H42" s="546">
        <f>民間設備投資計!X44</f>
        <v>12182</v>
      </c>
      <c r="I42" s="538">
        <f>民間在庫品増加!X44</f>
        <v>-20</v>
      </c>
      <c r="J42" s="546">
        <f>公的投資!X44</f>
        <v>3897</v>
      </c>
      <c r="K42" s="411">
        <f t="shared" si="14"/>
        <v>50413</v>
      </c>
      <c r="L42" s="1336">
        <f t="shared" si="16"/>
        <v>118</v>
      </c>
      <c r="M42" s="1127">
        <f>移出入推計WS!HH44+移出入推計WS!HJ44+移出入推計WS!HK44</f>
        <v>51182</v>
      </c>
      <c r="N42" s="2006">
        <f>移出入推計WS!HI44</f>
        <v>48746</v>
      </c>
      <c r="O42" s="2004">
        <f>'24R5'!O42</f>
        <v>-2318</v>
      </c>
      <c r="P42" s="293">
        <v>442</v>
      </c>
      <c r="Q42" s="314">
        <f>(C42-'22R3'!C42)/'22R3'!C42*100</f>
        <v>20.392166206042123</v>
      </c>
      <c r="R42" s="394">
        <f t="shared" si="2"/>
        <v>50531</v>
      </c>
      <c r="S42" s="394">
        <f t="shared" si="3"/>
        <v>0</v>
      </c>
      <c r="T42" s="49">
        <f>民間設備製造1!S44</f>
        <v>3913</v>
      </c>
      <c r="U42" s="49">
        <v>48218</v>
      </c>
    </row>
    <row r="43" spans="1:21">
      <c r="A43" s="300">
        <v>443</v>
      </c>
      <c r="B43" s="90" t="s">
        <v>204</v>
      </c>
      <c r="C43" s="413">
        <f t="shared" si="12"/>
        <v>112228</v>
      </c>
      <c r="D43" s="561">
        <f>民間消費!X45</f>
        <v>53213</v>
      </c>
      <c r="E43" s="546">
        <f>政府消費!X45</f>
        <v>12286</v>
      </c>
      <c r="F43" s="572">
        <f t="shared" si="13"/>
        <v>37885</v>
      </c>
      <c r="G43" s="561">
        <f>民間住宅1!X45</f>
        <v>2063</v>
      </c>
      <c r="H43" s="546">
        <f>民間設備投資計!X45</f>
        <v>35862</v>
      </c>
      <c r="I43" s="538">
        <f>民間在庫品増加!X45</f>
        <v>-40</v>
      </c>
      <c r="J43" s="546">
        <f>公的投資!X45</f>
        <v>4043</v>
      </c>
      <c r="K43" s="411">
        <f t="shared" si="14"/>
        <v>107427</v>
      </c>
      <c r="L43" s="1336">
        <f t="shared" si="16"/>
        <v>4801</v>
      </c>
      <c r="M43" s="1127">
        <f>移出入推計WS!HH45+移出入推計WS!HJ45+移出入推計WS!HK45</f>
        <v>92978</v>
      </c>
      <c r="N43" s="2006">
        <f>移出入推計WS!HI45</f>
        <v>99856</v>
      </c>
      <c r="O43" s="2004">
        <f>'24R5'!O43</f>
        <v>11679</v>
      </c>
      <c r="P43" s="293">
        <v>443</v>
      </c>
      <c r="Q43" s="314">
        <f>(C43-'22R3'!C43)/'22R3'!C43*100</f>
        <v>-36.77402635448415</v>
      </c>
      <c r="R43" s="394">
        <f t="shared" si="2"/>
        <v>112228</v>
      </c>
      <c r="S43" s="394">
        <f t="shared" si="3"/>
        <v>0</v>
      </c>
      <c r="T43" s="49">
        <f>民間設備製造1!S45</f>
        <v>16623</v>
      </c>
      <c r="U43" s="49">
        <v>98775</v>
      </c>
    </row>
    <row r="44" spans="1:21">
      <c r="A44" s="300">
        <v>446</v>
      </c>
      <c r="B44" s="90" t="s">
        <v>234</v>
      </c>
      <c r="C44" s="413">
        <f t="shared" si="12"/>
        <v>66612</v>
      </c>
      <c r="D44" s="561">
        <f>民間消費!X46</f>
        <v>23425</v>
      </c>
      <c r="E44" s="546">
        <f>政府消費!X46</f>
        <v>11565</v>
      </c>
      <c r="F44" s="572">
        <f t="shared" si="13"/>
        <v>17628</v>
      </c>
      <c r="G44" s="561">
        <f>民間住宅1!X46</f>
        <v>418</v>
      </c>
      <c r="H44" s="546">
        <f>民間設備投資計!X46</f>
        <v>17231</v>
      </c>
      <c r="I44" s="538">
        <f>民間在庫品増加!X46</f>
        <v>-21</v>
      </c>
      <c r="J44" s="546">
        <f>公的投資!X46</f>
        <v>7671</v>
      </c>
      <c r="K44" s="411">
        <f t="shared" si="14"/>
        <v>60289</v>
      </c>
      <c r="L44" s="1336">
        <f t="shared" si="16"/>
        <v>6323</v>
      </c>
      <c r="M44" s="1127">
        <f>移出入推計WS!HH46+移出入推計WS!HJ46+移出入推計WS!HK46</f>
        <v>62728</v>
      </c>
      <c r="N44" s="2006">
        <f>移出入推計WS!HI46</f>
        <v>52063</v>
      </c>
      <c r="O44" s="2004">
        <f>'24R5'!O44</f>
        <v>-4342</v>
      </c>
      <c r="P44" s="293">
        <v>446</v>
      </c>
      <c r="Q44" s="314">
        <f>(C44-'22R3'!C44)/'22R3'!C44*100</f>
        <v>101.1535557904273</v>
      </c>
      <c r="R44" s="394">
        <f t="shared" si="2"/>
        <v>66612</v>
      </c>
      <c r="S44" s="394">
        <f t="shared" si="3"/>
        <v>0</v>
      </c>
      <c r="T44" s="49">
        <f>民間設備製造1!S46</f>
        <v>7710</v>
      </c>
      <c r="U44" s="49">
        <v>51500</v>
      </c>
    </row>
    <row r="45" spans="1:21">
      <c r="A45" s="301">
        <v>6</v>
      </c>
      <c r="B45" s="306" t="s">
        <v>205</v>
      </c>
      <c r="C45" s="308">
        <f>SUM(C46:C52)</f>
        <v>1079919</v>
      </c>
      <c r="D45" s="561">
        <f>民間消費!X47</f>
        <v>607477</v>
      </c>
      <c r="E45" s="546">
        <f>政府消費!X47</f>
        <v>148209</v>
      </c>
      <c r="F45" s="281">
        <f>SUM(F46:F52)</f>
        <v>292904</v>
      </c>
      <c r="G45" s="561">
        <f>民間住宅1!X47</f>
        <v>22096</v>
      </c>
      <c r="H45" s="546">
        <f>民間設備投資計!X47</f>
        <v>271228</v>
      </c>
      <c r="I45" s="538">
        <f>民間在庫品増加!X47</f>
        <v>-420</v>
      </c>
      <c r="J45" s="546">
        <f>公的投資!X47</f>
        <v>31874</v>
      </c>
      <c r="K45" s="1997">
        <f>SUM(K46:K52)</f>
        <v>1080464</v>
      </c>
      <c r="L45" s="281">
        <f t="shared" ref="L45" si="21">SUM(L46:L52)</f>
        <v>-545</v>
      </c>
      <c r="M45" s="1127">
        <f>移出入推計WS!HH47+移出入推計WS!HJ47+移出入推計WS!HK47</f>
        <v>1060459</v>
      </c>
      <c r="N45" s="2006">
        <f>移出入推計WS!HI47</f>
        <v>1049014</v>
      </c>
      <c r="O45" s="2004">
        <f>'24R5'!O45</f>
        <v>-11990</v>
      </c>
      <c r="P45" s="293">
        <v>6</v>
      </c>
      <c r="Q45" s="314">
        <f>(C45-'22R3'!C45)/'22R3'!C45*100</f>
        <v>-4.1984624474160919</v>
      </c>
      <c r="R45" s="394">
        <f t="shared" si="2"/>
        <v>1079919</v>
      </c>
      <c r="S45" s="394">
        <f t="shared" si="3"/>
        <v>0</v>
      </c>
      <c r="T45" s="49">
        <f>民間設備製造1!S47</f>
        <v>90149</v>
      </c>
      <c r="U45" s="49">
        <v>1037662</v>
      </c>
    </row>
    <row r="46" spans="1:21">
      <c r="A46" s="300">
        <v>208</v>
      </c>
      <c r="B46" s="90" t="s">
        <v>206</v>
      </c>
      <c r="C46" s="413">
        <f t="shared" si="12"/>
        <v>116177</v>
      </c>
      <c r="D46" s="561">
        <f>民間消費!X48</f>
        <v>71687</v>
      </c>
      <c r="E46" s="546">
        <f>政府消費!X48</f>
        <v>15974</v>
      </c>
      <c r="F46" s="572">
        <f t="shared" si="13"/>
        <v>26458</v>
      </c>
      <c r="G46" s="561">
        <f>民間住宅1!X48</f>
        <v>2011</v>
      </c>
      <c r="H46" s="546">
        <f>民間設備投資計!X48</f>
        <v>24493</v>
      </c>
      <c r="I46" s="538">
        <f>民間在庫品増加!X48</f>
        <v>-46</v>
      </c>
      <c r="J46" s="546">
        <f>公的投資!X48</f>
        <v>3157</v>
      </c>
      <c r="K46" s="411">
        <f t="shared" si="14"/>
        <v>117276</v>
      </c>
      <c r="L46" s="1336">
        <f t="shared" si="16"/>
        <v>-1099</v>
      </c>
      <c r="M46" s="1127">
        <f>移出入推計WS!HH48+移出入推計WS!HJ48+移出入推計WS!HK48</f>
        <v>107538</v>
      </c>
      <c r="N46" s="2006">
        <f>移出入推計WS!HI48</f>
        <v>115152</v>
      </c>
      <c r="O46" s="2004">
        <f>'24R5'!O46</f>
        <v>6515</v>
      </c>
      <c r="P46" s="293">
        <v>208</v>
      </c>
      <c r="Q46" s="314">
        <f>(C46-'22R3'!C46)/'22R3'!C46*100</f>
        <v>-35.884303997262677</v>
      </c>
      <c r="R46" s="394">
        <f t="shared" si="2"/>
        <v>116177</v>
      </c>
      <c r="S46" s="394">
        <f t="shared" si="3"/>
        <v>0</v>
      </c>
      <c r="T46" s="49">
        <f>民間設備製造1!S48</f>
        <v>5472</v>
      </c>
      <c r="U46" s="49">
        <v>113906</v>
      </c>
    </row>
    <row r="47" spans="1:21">
      <c r="A47" s="300">
        <v>212</v>
      </c>
      <c r="B47" s="90" t="s">
        <v>207</v>
      </c>
      <c r="C47" s="413">
        <f t="shared" si="12"/>
        <v>226825</v>
      </c>
      <c r="D47" s="561">
        <f>民間消費!X49</f>
        <v>119530</v>
      </c>
      <c r="E47" s="546">
        <f>政府消費!X49</f>
        <v>28405</v>
      </c>
      <c r="F47" s="572">
        <f t="shared" si="13"/>
        <v>75761</v>
      </c>
      <c r="G47" s="561">
        <f>民間住宅1!X49</f>
        <v>4545</v>
      </c>
      <c r="H47" s="546">
        <f>民間設備投資計!X49</f>
        <v>71305</v>
      </c>
      <c r="I47" s="538">
        <f>民間在庫品増加!X49</f>
        <v>-89</v>
      </c>
      <c r="J47" s="546">
        <f>公的投資!X49</f>
        <v>3724</v>
      </c>
      <c r="K47" s="411">
        <f t="shared" si="14"/>
        <v>227420</v>
      </c>
      <c r="L47" s="1336">
        <f t="shared" si="16"/>
        <v>-595</v>
      </c>
      <c r="M47" s="1127">
        <f>移出入推計WS!HH49+移出入推計WS!HJ49+移出入推計WS!HK49</f>
        <v>221434</v>
      </c>
      <c r="N47" s="2006">
        <f>移出入推計WS!HI49</f>
        <v>221339</v>
      </c>
      <c r="O47" s="2004">
        <f>'24R5'!O47</f>
        <v>-690</v>
      </c>
      <c r="P47" s="293">
        <v>212</v>
      </c>
      <c r="Q47" s="314">
        <f>(C47-'22R3'!C47)/'22R3'!C47*100</f>
        <v>-2.3593880485222081</v>
      </c>
      <c r="R47" s="394">
        <f t="shared" si="2"/>
        <v>226825</v>
      </c>
      <c r="S47" s="394">
        <f t="shared" si="3"/>
        <v>0</v>
      </c>
      <c r="T47" s="49">
        <f>民間設備製造1!S49</f>
        <v>30879</v>
      </c>
      <c r="U47" s="49">
        <v>218944</v>
      </c>
    </row>
    <row r="48" spans="1:21">
      <c r="A48" s="300">
        <v>227</v>
      </c>
      <c r="B48" s="90" t="s">
        <v>219</v>
      </c>
      <c r="C48" s="413">
        <f t="shared" si="12"/>
        <v>129362</v>
      </c>
      <c r="D48" s="561">
        <f>民間消費!X50</f>
        <v>75957</v>
      </c>
      <c r="E48" s="546">
        <f>政府消費!X50</f>
        <v>28044</v>
      </c>
      <c r="F48" s="572">
        <f t="shared" si="13"/>
        <v>28523</v>
      </c>
      <c r="G48" s="561">
        <f>民間住宅1!X50</f>
        <v>1410</v>
      </c>
      <c r="H48" s="546">
        <f>民間設備投資計!X50</f>
        <v>27170</v>
      </c>
      <c r="I48" s="538">
        <f>民間在庫品増加!X50</f>
        <v>-57</v>
      </c>
      <c r="J48" s="546">
        <f>公的投資!X50</f>
        <v>4950</v>
      </c>
      <c r="K48" s="411">
        <f t="shared" si="14"/>
        <v>137474</v>
      </c>
      <c r="L48" s="1336">
        <f t="shared" si="16"/>
        <v>-8112</v>
      </c>
      <c r="M48" s="1127">
        <f>移出入推計WS!HH50+移出入推計WS!HJ50+移出入推計WS!HK50</f>
        <v>141996</v>
      </c>
      <c r="N48" s="2006">
        <f>移出入推計WS!HI50</f>
        <v>141282</v>
      </c>
      <c r="O48" s="2004">
        <f>'24R5'!O48</f>
        <v>-8826</v>
      </c>
      <c r="P48" s="293">
        <v>227</v>
      </c>
      <c r="Q48" s="314">
        <f>(C48-'22R3'!C48)/'22R3'!C48*100</f>
        <v>9.6334590448747832</v>
      </c>
      <c r="R48" s="394">
        <f t="shared" si="2"/>
        <v>129362</v>
      </c>
      <c r="S48" s="394">
        <f t="shared" si="3"/>
        <v>0</v>
      </c>
      <c r="T48" s="49">
        <f>民間設備製造1!S50</f>
        <v>4551</v>
      </c>
      <c r="U48" s="49">
        <v>139753</v>
      </c>
    </row>
    <row r="49" spans="1:21">
      <c r="A49" s="300">
        <v>229</v>
      </c>
      <c r="B49" s="90" t="s">
        <v>235</v>
      </c>
      <c r="C49" s="413">
        <f t="shared" si="12"/>
        <v>331187</v>
      </c>
      <c r="D49" s="561">
        <f>民間消費!X51</f>
        <v>184494</v>
      </c>
      <c r="E49" s="546">
        <f>政府消費!X51</f>
        <v>35765</v>
      </c>
      <c r="F49" s="572">
        <f t="shared" si="13"/>
        <v>94503</v>
      </c>
      <c r="G49" s="561">
        <f>民間住宅1!X51</f>
        <v>7679</v>
      </c>
      <c r="H49" s="546">
        <f>民間設備投資計!X51</f>
        <v>86946</v>
      </c>
      <c r="I49" s="538">
        <f>民間在庫品増加!X51</f>
        <v>-122</v>
      </c>
      <c r="J49" s="546">
        <f>公的投資!X51</f>
        <v>7950</v>
      </c>
      <c r="K49" s="411">
        <f t="shared" si="14"/>
        <v>322712</v>
      </c>
      <c r="L49" s="1336">
        <f t="shared" si="16"/>
        <v>8475</v>
      </c>
      <c r="M49" s="1127">
        <f>移出入推計WS!HH51+移出入推計WS!HJ51+移出入推計WS!HK51</f>
        <v>307716</v>
      </c>
      <c r="N49" s="2006">
        <f>移出入推計WS!HI51</f>
        <v>304979</v>
      </c>
      <c r="O49" s="2004">
        <f>'24R5'!O49</f>
        <v>5738</v>
      </c>
      <c r="P49" s="293">
        <v>229</v>
      </c>
      <c r="Q49" s="314">
        <f>(C49-'22R3'!C49)/'22R3'!C49*100</f>
        <v>-4.3494961689198757</v>
      </c>
      <c r="R49" s="394">
        <f t="shared" si="2"/>
        <v>331187</v>
      </c>
      <c r="S49" s="394">
        <f t="shared" si="3"/>
        <v>0</v>
      </c>
      <c r="T49" s="49">
        <f>民間設備製造1!S51</f>
        <v>32447</v>
      </c>
      <c r="U49" s="49">
        <v>301679</v>
      </c>
    </row>
    <row r="50" spans="1:21">
      <c r="A50" s="300">
        <v>464</v>
      </c>
      <c r="B50" s="90" t="s">
        <v>208</v>
      </c>
      <c r="C50" s="413">
        <f t="shared" si="12"/>
        <v>156257</v>
      </c>
      <c r="D50" s="561">
        <f>民間消費!X52</f>
        <v>91046</v>
      </c>
      <c r="E50" s="546">
        <f>政府消費!X52</f>
        <v>13876</v>
      </c>
      <c r="F50" s="572">
        <f t="shared" si="13"/>
        <v>40162</v>
      </c>
      <c r="G50" s="561">
        <f>民間住宅1!X52</f>
        <v>5563</v>
      </c>
      <c r="H50" s="546">
        <f>民間設備投資計!X52</f>
        <v>34653</v>
      </c>
      <c r="I50" s="538">
        <f>民間在庫品増加!X52</f>
        <v>-54</v>
      </c>
      <c r="J50" s="546">
        <f>公的投資!X52</f>
        <v>3255</v>
      </c>
      <c r="K50" s="411">
        <f t="shared" si="14"/>
        <v>148339</v>
      </c>
      <c r="L50" s="1336">
        <f t="shared" si="16"/>
        <v>7918</v>
      </c>
      <c r="M50" s="1127">
        <f>移出入推計WS!HH52+移出入推計WS!HJ52+移出入推計WS!HK52</f>
        <v>151148</v>
      </c>
      <c r="N50" s="2006">
        <f>移出入推計WS!HI52</f>
        <v>135845</v>
      </c>
      <c r="O50" s="2004">
        <f>'24R5'!O50</f>
        <v>-7385</v>
      </c>
      <c r="P50" s="293">
        <v>464</v>
      </c>
      <c r="Q50" s="314">
        <f>(C50-'22R3'!C50)/'22R3'!C50*100</f>
        <v>17.504135960294782</v>
      </c>
      <c r="R50" s="394">
        <f t="shared" si="2"/>
        <v>156257</v>
      </c>
      <c r="S50" s="394">
        <f t="shared" si="3"/>
        <v>0</v>
      </c>
      <c r="T50" s="49">
        <f>民間設備製造1!S52</f>
        <v>11240</v>
      </c>
      <c r="U50" s="49">
        <v>134375</v>
      </c>
    </row>
    <row r="51" spans="1:21">
      <c r="A51" s="300">
        <v>481</v>
      </c>
      <c r="B51" s="90" t="s">
        <v>209</v>
      </c>
      <c r="C51" s="413">
        <f t="shared" si="12"/>
        <v>62158</v>
      </c>
      <c r="D51" s="561">
        <f>民間消費!X53</f>
        <v>31551</v>
      </c>
      <c r="E51" s="546">
        <f>政府消費!X53</f>
        <v>10399</v>
      </c>
      <c r="F51" s="572">
        <f t="shared" si="13"/>
        <v>15013</v>
      </c>
      <c r="G51" s="561">
        <f>民間住宅1!X53</f>
        <v>522</v>
      </c>
      <c r="H51" s="546">
        <f>民間設備投資計!X53</f>
        <v>14515</v>
      </c>
      <c r="I51" s="538">
        <f>民間在庫品増加!X53</f>
        <v>-24</v>
      </c>
      <c r="J51" s="546">
        <f>公的投資!X53</f>
        <v>5655</v>
      </c>
      <c r="K51" s="411">
        <f t="shared" si="14"/>
        <v>62618</v>
      </c>
      <c r="L51" s="1336">
        <f t="shared" si="16"/>
        <v>-460</v>
      </c>
      <c r="M51" s="1127">
        <f>移出入推計WS!HH53+移出入推計WS!HJ53+移出入推計WS!HK53</f>
        <v>63965</v>
      </c>
      <c r="N51" s="2006">
        <f>移出入推計WS!HI53</f>
        <v>61141</v>
      </c>
      <c r="O51" s="2004">
        <f>'24R5'!O51</f>
        <v>-3284</v>
      </c>
      <c r="P51" s="293">
        <v>481</v>
      </c>
      <c r="Q51" s="314">
        <f>(C51-'22R3'!C51)/'22R3'!C51*100</f>
        <v>13.834151344223866</v>
      </c>
      <c r="R51" s="394">
        <f t="shared" si="2"/>
        <v>62158</v>
      </c>
      <c r="S51" s="394">
        <f t="shared" si="3"/>
        <v>0</v>
      </c>
      <c r="T51" s="49">
        <f>民間設備製造1!S53</f>
        <v>4244</v>
      </c>
      <c r="U51" s="49">
        <v>60479</v>
      </c>
    </row>
    <row r="52" spans="1:21">
      <c r="A52" s="302">
        <v>501</v>
      </c>
      <c r="B52" s="201" t="s">
        <v>236</v>
      </c>
      <c r="C52" s="413">
        <f t="shared" si="12"/>
        <v>57953</v>
      </c>
      <c r="D52" s="561">
        <f>民間消費!X54</f>
        <v>33212</v>
      </c>
      <c r="E52" s="546">
        <f>政府消費!X54</f>
        <v>15746</v>
      </c>
      <c r="F52" s="572">
        <f t="shared" si="13"/>
        <v>12484</v>
      </c>
      <c r="G52" s="561">
        <f>民間住宅1!X54</f>
        <v>366</v>
      </c>
      <c r="H52" s="546">
        <f>民間設備投資計!X54</f>
        <v>12146</v>
      </c>
      <c r="I52" s="538">
        <f>民間在庫品増加!X54</f>
        <v>-28</v>
      </c>
      <c r="J52" s="546">
        <f>公的投資!X54</f>
        <v>3183</v>
      </c>
      <c r="K52" s="411">
        <f t="shared" si="14"/>
        <v>64625</v>
      </c>
      <c r="L52" s="1336">
        <f t="shared" si="16"/>
        <v>-6672</v>
      </c>
      <c r="M52" s="1127">
        <f>移出入推計WS!HH54+移出入推計WS!HJ54+移出入推計WS!HK54</f>
        <v>66662</v>
      </c>
      <c r="N52" s="2006">
        <f>移出入推計WS!HI54</f>
        <v>69276</v>
      </c>
      <c r="O52" s="2004">
        <f>'24R5'!O52</f>
        <v>-4058</v>
      </c>
      <c r="P52" s="293">
        <v>501</v>
      </c>
      <c r="Q52" s="314">
        <f>(C52-'22R3'!C52)/'22R3'!C52*100</f>
        <v>-6.3990955342001126</v>
      </c>
      <c r="R52" s="394">
        <f t="shared" si="2"/>
        <v>57953</v>
      </c>
      <c r="S52" s="394">
        <f t="shared" si="3"/>
        <v>0</v>
      </c>
      <c r="T52" s="49">
        <f>民間設備製造1!S54</f>
        <v>1316</v>
      </c>
      <c r="U52" s="49">
        <v>68526</v>
      </c>
    </row>
    <row r="53" spans="1:21">
      <c r="A53" s="300">
        <v>7</v>
      </c>
      <c r="B53" s="93" t="s">
        <v>210</v>
      </c>
      <c r="C53" s="308">
        <f>SUM(C54:C58)</f>
        <v>671671</v>
      </c>
      <c r="D53" s="561">
        <f>民間消費!X55</f>
        <v>381957</v>
      </c>
      <c r="E53" s="546">
        <f>政府消費!X55</f>
        <v>142102</v>
      </c>
      <c r="F53" s="281">
        <f>SUM(F54:F58)</f>
        <v>166459</v>
      </c>
      <c r="G53" s="561">
        <f>民間住宅1!X55</f>
        <v>11362</v>
      </c>
      <c r="H53" s="546">
        <f>民間設備投資計!X55</f>
        <v>155390</v>
      </c>
      <c r="I53" s="538">
        <f>民間在庫品増加!X55</f>
        <v>-293</v>
      </c>
      <c r="J53" s="546">
        <f>公的投資!X55</f>
        <v>20970</v>
      </c>
      <c r="K53" s="1997">
        <f>SUM(K54:K58)</f>
        <v>711488</v>
      </c>
      <c r="L53" s="281">
        <f t="shared" ref="L53" si="22">SUM(L54:L58)</f>
        <v>-39817</v>
      </c>
      <c r="M53" s="1127">
        <f>移出入推計WS!HH55+移出入推計WS!HJ55+移出入推計WS!HK55</f>
        <v>734016</v>
      </c>
      <c r="N53" s="2006">
        <f>移出入推計WS!HI55</f>
        <v>729058</v>
      </c>
      <c r="O53" s="2004">
        <f>'24R5'!O53</f>
        <v>-44775</v>
      </c>
      <c r="P53" s="293">
        <v>7</v>
      </c>
      <c r="Q53" s="314">
        <f>(C53-'22R3'!C53)/'22R3'!C53*100</f>
        <v>11.115136596292363</v>
      </c>
      <c r="R53" s="394">
        <f t="shared" si="2"/>
        <v>671671</v>
      </c>
      <c r="S53" s="394">
        <f t="shared" si="3"/>
        <v>0</v>
      </c>
      <c r="T53" s="49">
        <f>民間設備製造1!S55</f>
        <v>34544</v>
      </c>
      <c r="U53" s="49">
        <v>721168</v>
      </c>
    </row>
    <row r="54" spans="1:21">
      <c r="A54" s="300">
        <v>209</v>
      </c>
      <c r="B54" s="90" t="s">
        <v>221</v>
      </c>
      <c r="C54" s="413">
        <f t="shared" si="12"/>
        <v>311457</v>
      </c>
      <c r="D54" s="561">
        <f>民間消費!X56</f>
        <v>193789</v>
      </c>
      <c r="E54" s="546">
        <f>政府消費!X56</f>
        <v>59042</v>
      </c>
      <c r="F54" s="572">
        <f t="shared" si="13"/>
        <v>70877</v>
      </c>
      <c r="G54" s="561">
        <f>民間住宅1!X56</f>
        <v>7026</v>
      </c>
      <c r="H54" s="546">
        <f>民間設備投資計!X56</f>
        <v>63988</v>
      </c>
      <c r="I54" s="538">
        <f>民間在庫品増加!X56</f>
        <v>-137</v>
      </c>
      <c r="J54" s="546">
        <f>公的投資!X56</f>
        <v>7935</v>
      </c>
      <c r="K54" s="411">
        <f t="shared" si="14"/>
        <v>331643</v>
      </c>
      <c r="L54" s="1336">
        <f t="shared" si="16"/>
        <v>-20186</v>
      </c>
      <c r="M54" s="1127">
        <f>移出入推計WS!HH56+移出入推計WS!HJ56+移出入推計WS!HK56</f>
        <v>336321</v>
      </c>
      <c r="N54" s="2006">
        <f>移出入推計WS!HI56</f>
        <v>341651</v>
      </c>
      <c r="O54" s="2004">
        <f>'24R5'!O54</f>
        <v>-14856</v>
      </c>
      <c r="P54" s="293">
        <v>209</v>
      </c>
      <c r="Q54" s="314">
        <f>(C54-'22R3'!C54)/'22R3'!C54*100</f>
        <v>4.2240842742124389</v>
      </c>
      <c r="R54" s="394">
        <f t="shared" si="2"/>
        <v>311457</v>
      </c>
      <c r="S54" s="394">
        <f t="shared" si="3"/>
        <v>0</v>
      </c>
      <c r="T54" s="49">
        <f>民間設備製造1!S56</f>
        <v>9770</v>
      </c>
      <c r="U54" s="49">
        <v>337954</v>
      </c>
    </row>
    <row r="55" spans="1:21">
      <c r="A55" s="300">
        <v>222</v>
      </c>
      <c r="B55" s="90" t="s">
        <v>218</v>
      </c>
      <c r="C55" s="413">
        <f t="shared" si="12"/>
        <v>89942</v>
      </c>
      <c r="D55" s="561">
        <f>民間消費!X57</f>
        <v>50267</v>
      </c>
      <c r="E55" s="546">
        <f>政府消費!X57</f>
        <v>23214</v>
      </c>
      <c r="F55" s="572">
        <f t="shared" si="13"/>
        <v>22569</v>
      </c>
      <c r="G55" s="561">
        <f>民間住宅1!X57</f>
        <v>1201</v>
      </c>
      <c r="H55" s="546">
        <f>民間設備投資計!X57</f>
        <v>21409</v>
      </c>
      <c r="I55" s="538">
        <f>民間在庫品増加!X57</f>
        <v>-41</v>
      </c>
      <c r="J55" s="546">
        <f>公的投資!X57</f>
        <v>2062</v>
      </c>
      <c r="K55" s="411">
        <f t="shared" si="14"/>
        <v>98112</v>
      </c>
      <c r="L55" s="1336">
        <f t="shared" si="16"/>
        <v>-8170</v>
      </c>
      <c r="M55" s="1127">
        <f>移出入推計WS!HH57+移出入推計WS!HJ57+移出入推計WS!HK57</f>
        <v>103655</v>
      </c>
      <c r="N55" s="2006">
        <f>移出入推計WS!HI57</f>
        <v>103134</v>
      </c>
      <c r="O55" s="2004">
        <f>'24R5'!O55</f>
        <v>-8691</v>
      </c>
      <c r="P55" s="293">
        <v>222</v>
      </c>
      <c r="Q55" s="314">
        <f>(C55-'22R3'!C55)/'22R3'!C55*100</f>
        <v>8.9598526881980955</v>
      </c>
      <c r="R55" s="394">
        <f t="shared" si="2"/>
        <v>89942</v>
      </c>
      <c r="S55" s="394">
        <f t="shared" si="3"/>
        <v>0</v>
      </c>
      <c r="T55" s="49">
        <f>民間設備製造1!S57</f>
        <v>4367</v>
      </c>
      <c r="U55" s="49">
        <v>102018</v>
      </c>
    </row>
    <row r="56" spans="1:21">
      <c r="A56" s="300">
        <v>225</v>
      </c>
      <c r="B56" s="90" t="s">
        <v>222</v>
      </c>
      <c r="C56" s="413">
        <f t="shared" si="12"/>
        <v>152560</v>
      </c>
      <c r="D56" s="561">
        <f>民間消費!X58</f>
        <v>72668</v>
      </c>
      <c r="E56" s="546">
        <f>政府消費!X58</f>
        <v>25654</v>
      </c>
      <c r="F56" s="572">
        <f t="shared" si="13"/>
        <v>49313</v>
      </c>
      <c r="G56" s="561">
        <f>民間住宅1!X58</f>
        <v>2116</v>
      </c>
      <c r="H56" s="546">
        <f>民間設備投資計!X58</f>
        <v>47257</v>
      </c>
      <c r="I56" s="538">
        <f>民間在庫品増加!X58</f>
        <v>-60</v>
      </c>
      <c r="J56" s="546">
        <f>公的投資!X58</f>
        <v>5517</v>
      </c>
      <c r="K56" s="411">
        <f t="shared" si="14"/>
        <v>153152</v>
      </c>
      <c r="L56" s="1336">
        <f t="shared" si="16"/>
        <v>-592</v>
      </c>
      <c r="M56" s="1127">
        <f>移出入推計WS!HH58+移出入推計WS!HJ58+移出入推計WS!HK58</f>
        <v>156068</v>
      </c>
      <c r="N56" s="2006">
        <f>移出入推計WS!HI58</f>
        <v>149019</v>
      </c>
      <c r="O56" s="2004">
        <f>'24R5'!O56</f>
        <v>-7641</v>
      </c>
      <c r="P56" s="293">
        <v>225</v>
      </c>
      <c r="Q56" s="314">
        <f>(C56-'22R3'!C56)/'22R3'!C56*100</f>
        <v>20.732498694227694</v>
      </c>
      <c r="R56" s="394">
        <f t="shared" si="2"/>
        <v>152560</v>
      </c>
      <c r="S56" s="394">
        <f t="shared" si="3"/>
        <v>0</v>
      </c>
      <c r="T56" s="49">
        <f>民間設備製造1!S58</f>
        <v>18711</v>
      </c>
      <c r="U56" s="49">
        <v>147406</v>
      </c>
    </row>
    <row r="57" spans="1:21">
      <c r="A57" s="300">
        <v>585</v>
      </c>
      <c r="B57" s="90" t="s">
        <v>220</v>
      </c>
      <c r="C57" s="413">
        <f t="shared" si="12"/>
        <v>59930</v>
      </c>
      <c r="D57" s="561">
        <f>民間消費!X59</f>
        <v>34348</v>
      </c>
      <c r="E57" s="546">
        <f>政府消費!X59</f>
        <v>18188</v>
      </c>
      <c r="F57" s="572">
        <f t="shared" si="13"/>
        <v>13130</v>
      </c>
      <c r="G57" s="561">
        <f>民間住宅1!X59</f>
        <v>444</v>
      </c>
      <c r="H57" s="546">
        <f>民間設備投資計!X59</f>
        <v>12716</v>
      </c>
      <c r="I57" s="538">
        <f>民間在庫品増加!X59</f>
        <v>-30</v>
      </c>
      <c r="J57" s="546">
        <f>公的投資!X59</f>
        <v>2397</v>
      </c>
      <c r="K57" s="411">
        <f t="shared" si="14"/>
        <v>68063</v>
      </c>
      <c r="L57" s="1336">
        <f t="shared" si="16"/>
        <v>-8133</v>
      </c>
      <c r="M57" s="1127">
        <f>移出入推計WS!HH59+移出入推計WS!HJ59+移出入推計WS!HK59</f>
        <v>72932</v>
      </c>
      <c r="N57" s="2006">
        <f>移出入推計WS!HI59</f>
        <v>73978</v>
      </c>
      <c r="O57" s="2004">
        <f>'24R5'!O57</f>
        <v>-7087</v>
      </c>
      <c r="P57" s="293">
        <v>585</v>
      </c>
      <c r="Q57" s="314">
        <f>(C57-'22R3'!C57)/'22R3'!C57*100</f>
        <v>14.892067021970016</v>
      </c>
      <c r="R57" s="394">
        <f t="shared" si="2"/>
        <v>59930</v>
      </c>
      <c r="S57" s="394">
        <f t="shared" si="3"/>
        <v>0</v>
      </c>
      <c r="T57" s="49">
        <f>民間設備製造1!S59</f>
        <v>1115</v>
      </c>
      <c r="U57" s="49">
        <v>73177</v>
      </c>
    </row>
    <row r="58" spans="1:21">
      <c r="A58" s="300">
        <v>586</v>
      </c>
      <c r="B58" s="90" t="s">
        <v>237</v>
      </c>
      <c r="C58" s="413">
        <f t="shared" si="12"/>
        <v>57782</v>
      </c>
      <c r="D58" s="561">
        <f>民間消費!X60</f>
        <v>30885</v>
      </c>
      <c r="E58" s="546">
        <f>政府消費!X60</f>
        <v>16004</v>
      </c>
      <c r="F58" s="572">
        <f t="shared" si="13"/>
        <v>10570</v>
      </c>
      <c r="G58" s="561">
        <f>民間住宅1!X60</f>
        <v>575</v>
      </c>
      <c r="H58" s="546">
        <f>民間設備投資計!X60</f>
        <v>10020</v>
      </c>
      <c r="I58" s="538">
        <f>民間在庫品増加!X60</f>
        <v>-25</v>
      </c>
      <c r="J58" s="546">
        <f>公的投資!X60</f>
        <v>3059</v>
      </c>
      <c r="K58" s="411">
        <f t="shared" si="14"/>
        <v>60518</v>
      </c>
      <c r="L58" s="1336">
        <f t="shared" si="16"/>
        <v>-2736</v>
      </c>
      <c r="M58" s="1127">
        <f>移出入推計WS!HH60+移出入推計WS!HJ60+移出入推計WS!HK60</f>
        <v>65040</v>
      </c>
      <c r="N58" s="2006">
        <f>移出入推計WS!HI60</f>
        <v>61276</v>
      </c>
      <c r="O58" s="2004">
        <f>'24R5'!O58</f>
        <v>-6500</v>
      </c>
      <c r="P58" s="293">
        <v>586</v>
      </c>
      <c r="Q58" s="314">
        <f>(C58-'22R3'!C58)/'22R3'!C58*100</f>
        <v>29.619991924267573</v>
      </c>
      <c r="R58" s="394">
        <f t="shared" si="2"/>
        <v>57782</v>
      </c>
      <c r="S58" s="394">
        <f t="shared" si="3"/>
        <v>0</v>
      </c>
      <c r="T58" s="49">
        <f>民間設備製造1!S60</f>
        <v>581</v>
      </c>
      <c r="U58" s="49">
        <v>60613</v>
      </c>
    </row>
    <row r="59" spans="1:21">
      <c r="A59" s="301">
        <v>8</v>
      </c>
      <c r="B59" s="127" t="s">
        <v>211</v>
      </c>
      <c r="C59" s="308">
        <f>SUM(C60:C61)</f>
        <v>456952</v>
      </c>
      <c r="D59" s="561">
        <f>民間消費!X61</f>
        <v>269954</v>
      </c>
      <c r="E59" s="546">
        <f>政府消費!X61</f>
        <v>80560</v>
      </c>
      <c r="F59" s="281">
        <f>SUM(F60:F61)</f>
        <v>106387</v>
      </c>
      <c r="G59" s="561">
        <f>民間住宅1!X61</f>
        <v>10344</v>
      </c>
      <c r="H59" s="546">
        <f>民間設備投資計!X61</f>
        <v>96227</v>
      </c>
      <c r="I59" s="538">
        <f>民間在庫品増加!X61</f>
        <v>-184</v>
      </c>
      <c r="J59" s="546">
        <f>公的投資!X61</f>
        <v>7352</v>
      </c>
      <c r="K59" s="1997">
        <f>SUM(K60:K61)</f>
        <v>464253</v>
      </c>
      <c r="L59" s="281">
        <f t="shared" ref="L59" si="23">SUM(L60:L61)</f>
        <v>-7301</v>
      </c>
      <c r="M59" s="1127">
        <f>移出入推計WS!HH61+移出入推計WS!HJ61+移出入推計WS!HK61</f>
        <v>462045</v>
      </c>
      <c r="N59" s="2006">
        <f>移出入推計WS!HI61</f>
        <v>457594</v>
      </c>
      <c r="O59" s="2004">
        <f>'24R5'!O59</f>
        <v>-11752</v>
      </c>
      <c r="P59" s="293">
        <v>8</v>
      </c>
      <c r="Q59" s="314">
        <f>(C59-'22R3'!C59)/'22R3'!C59*100</f>
        <v>-0.67426867280797476</v>
      </c>
      <c r="R59" s="394">
        <f t="shared" si="2"/>
        <v>456952</v>
      </c>
      <c r="S59" s="394">
        <f t="shared" si="3"/>
        <v>0</v>
      </c>
      <c r="T59" s="49">
        <f>民間設備製造1!S61</f>
        <v>21533</v>
      </c>
      <c r="U59" s="49">
        <v>452642</v>
      </c>
    </row>
    <row r="60" spans="1:21">
      <c r="A60" s="300">
        <v>221</v>
      </c>
      <c r="B60" s="492" t="s">
        <v>1144</v>
      </c>
      <c r="C60" s="413">
        <f t="shared" si="12"/>
        <v>185638</v>
      </c>
      <c r="D60" s="561">
        <f>民間消費!X62</f>
        <v>107935</v>
      </c>
      <c r="E60" s="546">
        <f>政府消費!X62</f>
        <v>35737</v>
      </c>
      <c r="F60" s="572">
        <f t="shared" si="13"/>
        <v>42489</v>
      </c>
      <c r="G60" s="561">
        <f>民間住宅1!X62</f>
        <v>4728</v>
      </c>
      <c r="H60" s="546">
        <f>民間設備投資計!X62</f>
        <v>37836</v>
      </c>
      <c r="I60" s="538">
        <f>民間在庫品増加!X62</f>
        <v>-75</v>
      </c>
      <c r="J60" s="546">
        <f>公的投資!X62</f>
        <v>2661</v>
      </c>
      <c r="K60" s="411">
        <f t="shared" si="14"/>
        <v>188822</v>
      </c>
      <c r="L60" s="1336">
        <f t="shared" si="16"/>
        <v>-3184</v>
      </c>
      <c r="M60" s="1127">
        <f>移出入推計WS!HH62+移出入推計WS!HJ62+移出入推計WS!HK62</f>
        <v>186412</v>
      </c>
      <c r="N60" s="2006">
        <f>移出入推計WS!HI62</f>
        <v>186378</v>
      </c>
      <c r="O60" s="2004">
        <f>'24R5'!O60</f>
        <v>-3218</v>
      </c>
      <c r="P60" s="293">
        <v>221</v>
      </c>
      <c r="Q60" s="314">
        <f>(C60-'22R3'!C60)/'22R3'!C60*100</f>
        <v>-7.1498952148969908</v>
      </c>
      <c r="R60" s="394">
        <f t="shared" si="2"/>
        <v>185638</v>
      </c>
      <c r="S60" s="394">
        <f t="shared" si="3"/>
        <v>0</v>
      </c>
      <c r="T60" s="49">
        <f>民間設備製造1!S62</f>
        <v>7452</v>
      </c>
      <c r="U60" s="49">
        <v>184361</v>
      </c>
    </row>
    <row r="61" spans="1:21">
      <c r="A61" s="302">
        <v>223</v>
      </c>
      <c r="B61" s="201" t="s">
        <v>223</v>
      </c>
      <c r="C61" s="413">
        <f t="shared" si="12"/>
        <v>271314</v>
      </c>
      <c r="D61" s="561">
        <f>民間消費!X63</f>
        <v>162019</v>
      </c>
      <c r="E61" s="546">
        <f>政府消費!X63</f>
        <v>44823</v>
      </c>
      <c r="F61" s="572">
        <f t="shared" si="13"/>
        <v>63898</v>
      </c>
      <c r="G61" s="561">
        <f>民間住宅1!X63</f>
        <v>5616</v>
      </c>
      <c r="H61" s="546">
        <f>民間設備投資計!X63</f>
        <v>58391</v>
      </c>
      <c r="I61" s="538">
        <f>民間在庫品増加!X63</f>
        <v>-109</v>
      </c>
      <c r="J61" s="546">
        <f>公的投資!X63</f>
        <v>4691</v>
      </c>
      <c r="K61" s="411">
        <f t="shared" si="14"/>
        <v>275431</v>
      </c>
      <c r="L61" s="1336">
        <f t="shared" si="16"/>
        <v>-4117</v>
      </c>
      <c r="M61" s="1127">
        <f>移出入推計WS!HH63+移出入推計WS!HJ63+移出入推計WS!HK63</f>
        <v>275633</v>
      </c>
      <c r="N61" s="2006">
        <f>移出入推計WS!HI63</f>
        <v>271216</v>
      </c>
      <c r="O61" s="2004">
        <f>'24R5'!O61</f>
        <v>-8534</v>
      </c>
      <c r="P61" s="293">
        <v>223</v>
      </c>
      <c r="Q61" s="314">
        <f>(C61-'22R3'!C61)/'22R3'!C61*100</f>
        <v>4.3029974511861786</v>
      </c>
      <c r="R61" s="394">
        <f t="shared" si="2"/>
        <v>271314</v>
      </c>
      <c r="S61" s="394">
        <f t="shared" si="3"/>
        <v>0</v>
      </c>
      <c r="T61" s="49">
        <f>民間設備製造1!S63</f>
        <v>14081</v>
      </c>
      <c r="U61" s="49">
        <v>268281</v>
      </c>
    </row>
    <row r="62" spans="1:21">
      <c r="A62" s="301">
        <v>9</v>
      </c>
      <c r="B62" s="346" t="s">
        <v>212</v>
      </c>
      <c r="C62" s="308">
        <f>SUM(C63:C65)</f>
        <v>524657</v>
      </c>
      <c r="D62" s="561">
        <f>民間消費!X64</f>
        <v>309709</v>
      </c>
      <c r="E62" s="546">
        <f>政府消費!X64</f>
        <v>109947</v>
      </c>
      <c r="F62" s="281">
        <f>SUM(F63:F65)</f>
        <v>120801</v>
      </c>
      <c r="G62" s="561">
        <f>民間住宅1!X64</f>
        <v>15149</v>
      </c>
      <c r="H62" s="546">
        <f>民間設備投資計!X64</f>
        <v>105881</v>
      </c>
      <c r="I62" s="538">
        <f>民間在庫品増加!X64</f>
        <v>-229</v>
      </c>
      <c r="J62" s="546">
        <f>公的投資!X64</f>
        <v>17203</v>
      </c>
      <c r="K62" s="1997">
        <f>SUM(K63:K65)</f>
        <v>557660</v>
      </c>
      <c r="L62" s="281">
        <f t="shared" ref="L62" si="24">SUM(L63:L65)</f>
        <v>-33003</v>
      </c>
      <c r="M62" s="1127">
        <f>移出入推計WS!HH64+移出入推計WS!HJ64+移出入推計WS!HK64</f>
        <v>574714</v>
      </c>
      <c r="N62" s="2006">
        <f>移出入推計WS!HI64</f>
        <v>573244</v>
      </c>
      <c r="O62" s="2004">
        <f>'24R5'!O62</f>
        <v>-34473</v>
      </c>
      <c r="P62" s="293">
        <v>9</v>
      </c>
      <c r="Q62" s="314">
        <f>(C62-'22R3'!C62)/'22R3'!C62*100</f>
        <v>16.040926191745314</v>
      </c>
      <c r="R62" s="394">
        <f t="shared" si="2"/>
        <v>524657</v>
      </c>
      <c r="S62" s="394">
        <f t="shared" si="3"/>
        <v>0</v>
      </c>
      <c r="T62" s="49">
        <f>民間設備製造1!S64</f>
        <v>15147</v>
      </c>
      <c r="U62" s="49">
        <v>567041</v>
      </c>
    </row>
    <row r="63" spans="1:21">
      <c r="A63" s="300">
        <v>205</v>
      </c>
      <c r="B63" s="92" t="s">
        <v>241</v>
      </c>
      <c r="C63" s="413">
        <f t="shared" si="12"/>
        <v>170528</v>
      </c>
      <c r="D63" s="561">
        <f>民間消費!X65</f>
        <v>106862</v>
      </c>
      <c r="E63" s="546">
        <f>政府消費!X65</f>
        <v>30916</v>
      </c>
      <c r="F63" s="572">
        <f t="shared" si="13"/>
        <v>46332</v>
      </c>
      <c r="G63" s="561">
        <f>民間住宅1!X65</f>
        <v>4388</v>
      </c>
      <c r="H63" s="546">
        <f>民間設備投資計!X65</f>
        <v>42023</v>
      </c>
      <c r="I63" s="538">
        <f>民間在庫品増加!X65</f>
        <v>-79</v>
      </c>
      <c r="J63" s="546">
        <f>公的投資!X65</f>
        <v>2914</v>
      </c>
      <c r="K63" s="411">
        <f t="shared" si="14"/>
        <v>187024</v>
      </c>
      <c r="L63" s="1336">
        <f t="shared" si="16"/>
        <v>-16496</v>
      </c>
      <c r="M63" s="1127">
        <f>移出入推計WS!HH65+移出入推計WS!HJ65+移出入推計WS!HK65</f>
        <v>187900</v>
      </c>
      <c r="N63" s="2006">
        <f>移出入推計WS!HI65</f>
        <v>197838</v>
      </c>
      <c r="O63" s="2004">
        <f>'24R5'!O63</f>
        <v>-6558</v>
      </c>
      <c r="P63" s="293">
        <v>205</v>
      </c>
      <c r="Q63" s="314">
        <f>(C63-'22R3'!C63)/'22R3'!C63*100</f>
        <v>10.589562837631892</v>
      </c>
      <c r="R63" s="394">
        <f t="shared" si="2"/>
        <v>170528</v>
      </c>
      <c r="S63" s="394">
        <f t="shared" si="3"/>
        <v>0</v>
      </c>
      <c r="T63" s="49">
        <f>民間設備製造1!S65</f>
        <v>9673</v>
      </c>
      <c r="U63" s="49">
        <v>195697</v>
      </c>
    </row>
    <row r="64" spans="1:21">
      <c r="A64" s="300">
        <v>224</v>
      </c>
      <c r="B64" s="90" t="s">
        <v>224</v>
      </c>
      <c r="C64" s="413">
        <f t="shared" si="12"/>
        <v>168855</v>
      </c>
      <c r="D64" s="561">
        <f>民間消費!X66</f>
        <v>101122</v>
      </c>
      <c r="E64" s="546">
        <f>政府消費!X66</f>
        <v>37143</v>
      </c>
      <c r="F64" s="572">
        <f t="shared" si="13"/>
        <v>34571</v>
      </c>
      <c r="G64" s="561">
        <f>民間住宅1!X66</f>
        <v>3343</v>
      </c>
      <c r="H64" s="546">
        <f>民間設備投資計!X66</f>
        <v>31302</v>
      </c>
      <c r="I64" s="538">
        <f>民間在庫品増加!X66</f>
        <v>-74</v>
      </c>
      <c r="J64" s="546">
        <f>公的投資!X66</f>
        <v>6833</v>
      </c>
      <c r="K64" s="411">
        <f t="shared" si="14"/>
        <v>179669</v>
      </c>
      <c r="L64" s="1336">
        <f t="shared" si="16"/>
        <v>-10814</v>
      </c>
      <c r="M64" s="1127">
        <f>移出入推計WS!HH66+移出入推計WS!HJ66+移出入推計WS!HK66</f>
        <v>185674</v>
      </c>
      <c r="N64" s="2006">
        <f>移出入推計WS!HI66</f>
        <v>184854</v>
      </c>
      <c r="O64" s="2004">
        <f>'24R5'!O64</f>
        <v>-11634</v>
      </c>
      <c r="P64" s="293">
        <v>224</v>
      </c>
      <c r="Q64" s="314">
        <f>(C64-'22R3'!C64)/'22R3'!C64*100</f>
        <v>13.512913938448715</v>
      </c>
      <c r="R64" s="394">
        <f t="shared" si="2"/>
        <v>168855</v>
      </c>
      <c r="S64" s="394">
        <f t="shared" si="3"/>
        <v>0</v>
      </c>
      <c r="T64" s="49">
        <f>民間設備製造1!S66</f>
        <v>2481</v>
      </c>
      <c r="U64" s="49">
        <v>182854</v>
      </c>
    </row>
    <row r="65" spans="1:21">
      <c r="A65" s="302">
        <v>226</v>
      </c>
      <c r="B65" s="201" t="s">
        <v>225</v>
      </c>
      <c r="C65" s="445">
        <f t="shared" si="12"/>
        <v>185274</v>
      </c>
      <c r="D65" s="562">
        <f>民間消費!X67</f>
        <v>101725</v>
      </c>
      <c r="E65" s="548">
        <f>政府消費!X67</f>
        <v>41888</v>
      </c>
      <c r="F65" s="573">
        <f t="shared" si="13"/>
        <v>39898</v>
      </c>
      <c r="G65" s="562">
        <f>民間住宅1!X67</f>
        <v>7418</v>
      </c>
      <c r="H65" s="548">
        <f>民間設備投資計!X67</f>
        <v>32556</v>
      </c>
      <c r="I65" s="542">
        <f>民間在庫品増加!X67</f>
        <v>-76</v>
      </c>
      <c r="J65" s="548">
        <f>公的投資!X67</f>
        <v>7456</v>
      </c>
      <c r="K65" s="440">
        <f t="shared" si="14"/>
        <v>190967</v>
      </c>
      <c r="L65" s="1396">
        <f t="shared" si="16"/>
        <v>-5693</v>
      </c>
      <c r="M65" s="1128">
        <f>移出入推計WS!HH67+移出入推計WS!HJ67+移出入推計WS!HK67</f>
        <v>201140</v>
      </c>
      <c r="N65" s="2007">
        <f>移出入推計WS!HI67</f>
        <v>190552</v>
      </c>
      <c r="O65" s="2005">
        <f>'24R5'!O65</f>
        <v>-16281</v>
      </c>
      <c r="P65" s="293">
        <v>226</v>
      </c>
      <c r="Q65" s="314">
        <f>(C65-'22R3'!C65)/'22R3'!C65*100</f>
        <v>24.196597353497165</v>
      </c>
      <c r="R65" s="394">
        <f t="shared" si="2"/>
        <v>185274</v>
      </c>
      <c r="S65" s="394">
        <f t="shared" si="3"/>
        <v>0</v>
      </c>
      <c r="T65" s="49">
        <f>民間設備製造1!S67</f>
        <v>2993</v>
      </c>
      <c r="U65" s="49">
        <v>188490</v>
      </c>
    </row>
    <row r="66" spans="1:21">
      <c r="A66" s="75"/>
      <c r="B66" s="75"/>
      <c r="C66" s="75"/>
      <c r="D66" s="75"/>
      <c r="E66" s="75"/>
      <c r="F66" s="75"/>
      <c r="G66" s="75"/>
      <c r="H66" s="75"/>
      <c r="I66" s="75"/>
      <c r="J66" s="75"/>
      <c r="K66" s="75"/>
      <c r="L66" s="75"/>
      <c r="M66" s="75"/>
      <c r="N66" s="75"/>
      <c r="O66" s="75" t="str">
        <f>'25R6'!O66</f>
        <v>R5固定</v>
      </c>
      <c r="P66" s="75"/>
    </row>
    <row r="67" spans="1:21">
      <c r="A67" s="75"/>
      <c r="B67" s="75"/>
      <c r="C67" s="75"/>
      <c r="D67" s="75"/>
      <c r="E67" s="75"/>
      <c r="F67" s="75"/>
      <c r="G67" s="75"/>
      <c r="H67" s="75"/>
      <c r="I67" s="75"/>
      <c r="J67" s="75"/>
      <c r="K67" s="75"/>
      <c r="L67" s="75"/>
      <c r="M67" s="75"/>
      <c r="N67" s="75"/>
      <c r="O67" s="75"/>
      <c r="P67" s="75"/>
    </row>
    <row r="68" spans="1:21">
      <c r="A68" s="75"/>
      <c r="B68" s="75"/>
      <c r="C68" s="75"/>
      <c r="D68" s="75"/>
      <c r="E68" s="75"/>
      <c r="F68" s="75"/>
      <c r="G68" s="75"/>
      <c r="H68" s="75"/>
      <c r="I68" s="75"/>
      <c r="J68" s="75"/>
      <c r="K68" s="75"/>
      <c r="L68" s="75"/>
      <c r="M68" s="75"/>
      <c r="N68" s="75"/>
      <c r="O68" s="75"/>
      <c r="P68" s="75"/>
    </row>
    <row r="69" spans="1:21">
      <c r="A69" s="75"/>
      <c r="B69" s="75"/>
      <c r="C69" s="75"/>
      <c r="D69" s="75"/>
      <c r="E69" s="75"/>
      <c r="F69" s="75"/>
      <c r="G69" s="75"/>
      <c r="H69" s="75"/>
      <c r="I69" s="75"/>
      <c r="J69" s="75"/>
      <c r="K69" s="75"/>
      <c r="L69" s="75"/>
      <c r="M69" s="75"/>
      <c r="N69" s="75"/>
      <c r="O69" s="75"/>
      <c r="P69" s="75"/>
    </row>
    <row r="70" spans="1:21">
      <c r="A70" s="395"/>
      <c r="B70" s="203" t="s">
        <v>166</v>
      </c>
      <c r="C70" s="384">
        <f>ROUND((C4-'21R2'!C4)/ABS('21R2'!C4)*100,1)</f>
        <v>20.399999999999999</v>
      </c>
      <c r="D70" s="384">
        <f>ROUND((D4-'21R2'!D4)/ABS('21R2'!D4)*100,1)</f>
        <v>20</v>
      </c>
      <c r="E70" s="384">
        <f>ROUND((E4-'21R2'!E4)/ABS('21R2'!E4)*100,1)</f>
        <v>19.600000000000001</v>
      </c>
      <c r="F70" s="384">
        <f>ROUND((F4-'21R2'!F4)/ABS('21R2'!F4)*100,1)</f>
        <v>48.8</v>
      </c>
      <c r="G70" s="384">
        <f>ROUND((G4-'21R2'!G4)/ABS('21R2'!G4)*100,1)</f>
        <v>13.9</v>
      </c>
      <c r="H70" s="384">
        <f>ROUND((H4-'21R2'!H4)/ABS('21R2'!H4)*100,1)</f>
        <v>48</v>
      </c>
      <c r="I70" s="384">
        <f>ROUND((I4-'21R2'!I4)/ABS('21R2'!I4)*100,1)</f>
        <v>94.8</v>
      </c>
      <c r="J70" s="384">
        <f>ROUND((J4-'21R2'!J4)/ABS('21R2'!J4)*100,1)</f>
        <v>-15.4</v>
      </c>
      <c r="K70" s="384">
        <f>ROUND((K4-'21R2'!K4)/ABS('21R2'!K4)*100,1)</f>
        <v>24</v>
      </c>
      <c r="L70" s="384">
        <f>ROUND((L4-'21R2'!L4)/ABS('21R2'!L4)*100,1)</f>
        <v>-33.200000000000003</v>
      </c>
      <c r="M70" s="384">
        <f>ROUND((M4-'21R2'!M4)/ABS('21R2'!M4)*100,1)</f>
        <v>42</v>
      </c>
      <c r="N70" s="384">
        <f>ROUND((N4-'21R2'!N4)/ABS('21R2'!N4)*100,1)</f>
        <v>47.5</v>
      </c>
      <c r="O70" s="384">
        <f>ROUND((O4-'21R2'!O4)/ABS('21R2'!O4)*100,1)</f>
        <v>-81.2</v>
      </c>
    </row>
    <row r="71" spans="1:21">
      <c r="A71" s="77">
        <v>100</v>
      </c>
      <c r="B71" s="75" t="s">
        <v>172</v>
      </c>
      <c r="C71" s="384">
        <f>ROUND((C5-'21R2'!C5)/ABS('21R2'!C5)*100,1)</f>
        <v>10.5</v>
      </c>
      <c r="D71" s="384">
        <f>ROUND((D5-'21R2'!D5)/ABS('21R2'!D5)*100,1)</f>
        <v>14.1</v>
      </c>
      <c r="E71" s="384">
        <f>ROUND((E5-'21R2'!E5)/ABS('21R2'!E5)*100,1)</f>
        <v>18.3</v>
      </c>
      <c r="F71" s="384">
        <f>ROUND((F5-'21R2'!F5)/ABS('21R2'!F5)*100,1)</f>
        <v>48.8</v>
      </c>
      <c r="G71" s="384">
        <f>ROUND((G5-'21R2'!G5)/ABS('21R2'!G5)*100,1)</f>
        <v>8.6</v>
      </c>
      <c r="H71" s="384">
        <f>ROUND((H5-'21R2'!H5)/ABS('21R2'!H5)*100,1)</f>
        <v>48.2</v>
      </c>
      <c r="I71" s="384">
        <f>ROUND((I5-'21R2'!I5)/ABS('21R2'!I5)*100,1)</f>
        <v>94.9</v>
      </c>
      <c r="J71" s="384">
        <f>ROUND((J5-'21R2'!J5)/ABS('21R2'!J5)*100,1)</f>
        <v>-23.9</v>
      </c>
      <c r="K71" s="384">
        <f>ROUND((K5-'21R2'!K5)/ABS('21R2'!K5)*100,1)</f>
        <v>18.399999999999999</v>
      </c>
      <c r="L71" s="384">
        <f>ROUND((L5-'21R2'!L5)/ABS('21R2'!L5)*100,1)</f>
        <v>-72.099999999999994</v>
      </c>
      <c r="M71" s="384">
        <f>ROUND((M5-'21R2'!M5)/ABS('21R2'!M5)*100,1)</f>
        <v>31.6</v>
      </c>
      <c r="N71" s="384">
        <f>ROUND((N5-'21R2'!N5)/ABS('21R2'!N5)*100,1)</f>
        <v>43</v>
      </c>
      <c r="O71" s="384">
        <f>ROUND((O5-'21R2'!O5)/ABS('21R2'!O5)*100,1)</f>
        <v>-72</v>
      </c>
    </row>
    <row r="72" spans="1:21">
      <c r="A72" s="77">
        <v>1</v>
      </c>
      <c r="B72" s="75" t="s">
        <v>323</v>
      </c>
      <c r="C72" s="384">
        <f>ROUND((C6-'21R2'!C6)/ABS('21R2'!C6)*100,1)</f>
        <v>35.1</v>
      </c>
      <c r="D72" s="384">
        <f>ROUND((D6-'21R2'!D6)/ABS('21R2'!D6)*100,1)</f>
        <v>18</v>
      </c>
      <c r="E72" s="384">
        <f>ROUND((E6-'21R2'!E6)/ABS('21R2'!E6)*100,1)</f>
        <v>19.5</v>
      </c>
      <c r="F72" s="384">
        <f>ROUND((F6-'21R2'!F6)/ABS('21R2'!F6)*100,1)</f>
        <v>42.4</v>
      </c>
      <c r="G72" s="384">
        <f>ROUND((G6-'21R2'!G6)/ABS('21R2'!G6)*100,1)</f>
        <v>7.8</v>
      </c>
      <c r="H72" s="384">
        <f>ROUND((H6-'21R2'!H6)/ABS('21R2'!H6)*100,1)</f>
        <v>44.3</v>
      </c>
      <c r="I72" s="384">
        <f>ROUND((I6-'21R2'!I6)/ABS('21R2'!I6)*100,1)</f>
        <v>94.9</v>
      </c>
      <c r="J72" s="384">
        <f>ROUND((J6-'21R2'!J6)/ABS('21R2'!J6)*100,1)</f>
        <v>-26.9</v>
      </c>
      <c r="K72" s="384">
        <f>ROUND((K6-'21R2'!K6)/ABS('21R2'!K6)*100,1)</f>
        <v>20.8</v>
      </c>
      <c r="L72" s="384">
        <f>ROUND((L6-'21R2'!L6)/ABS('21R2'!L6)*100,1)</f>
        <v>178.4</v>
      </c>
      <c r="M72" s="384">
        <f>ROUND((M6-'21R2'!M6)/ABS('21R2'!M6)*100,1)</f>
        <v>59.6</v>
      </c>
      <c r="N72" s="384">
        <f>ROUND((N6-'21R2'!N6)/ABS('21R2'!N6)*100,1)</f>
        <v>42.7</v>
      </c>
      <c r="O72" s="384">
        <f>ROUND((O6-'21R2'!O6)/ABS('21R2'!O6)*100,1)</f>
        <v>-0.1</v>
      </c>
    </row>
    <row r="73" spans="1:21">
      <c r="A73" s="77">
        <v>2</v>
      </c>
      <c r="B73" s="75" t="s">
        <v>324</v>
      </c>
      <c r="C73" s="384">
        <f>ROUND((C7-'21R2'!C7)/ABS('21R2'!C7)*100,1)</f>
        <v>72.8</v>
      </c>
      <c r="D73" s="384">
        <f>ROUND((D7-'21R2'!D7)/ABS('21R2'!D7)*100,1)</f>
        <v>27</v>
      </c>
      <c r="E73" s="384">
        <f>ROUND((E7-'21R2'!E7)/ABS('21R2'!E7)*100,1)</f>
        <v>19.3</v>
      </c>
      <c r="F73" s="384">
        <f>ROUND((F7-'21R2'!F7)/ABS('21R2'!F7)*100,1)</f>
        <v>48.3</v>
      </c>
      <c r="G73" s="384">
        <f>ROUND((G7-'21R2'!G7)/ABS('21R2'!G7)*100,1)</f>
        <v>36.6</v>
      </c>
      <c r="H73" s="384">
        <f>ROUND((H7-'21R2'!H7)/ABS('21R2'!H7)*100,1)</f>
        <v>43</v>
      </c>
      <c r="I73" s="384">
        <f>ROUND((I7-'21R2'!I7)/ABS('21R2'!I7)*100,1)</f>
        <v>94.6</v>
      </c>
      <c r="J73" s="384">
        <f>ROUND((J7-'21R2'!J7)/ABS('21R2'!J7)*100,1)</f>
        <v>272.2</v>
      </c>
      <c r="K73" s="384">
        <f>ROUND((K7-'21R2'!K7)/ABS('21R2'!K7)*100,1)</f>
        <v>36.6</v>
      </c>
      <c r="L73" s="384">
        <f>ROUND((L7-'21R2'!L7)/ABS('21R2'!L7)*100,1)</f>
        <v>205.4</v>
      </c>
      <c r="M73" s="384">
        <f>ROUND((M7-'21R2'!M7)/ABS('21R2'!M7)*100,1)</f>
        <v>91.1</v>
      </c>
      <c r="N73" s="384">
        <f>ROUND((N7-'21R2'!N7)/ABS('21R2'!N7)*100,1)</f>
        <v>51.5</v>
      </c>
      <c r="O73" s="384">
        <f>ROUND((O7-'21R2'!O7)/ABS('21R2'!O7)*100,1)</f>
        <v>25.4</v>
      </c>
    </row>
    <row r="74" spans="1:21">
      <c r="A74" s="77">
        <v>3</v>
      </c>
      <c r="B74" s="75" t="s">
        <v>192</v>
      </c>
      <c r="C74" s="384">
        <f>ROUND((C8-'21R2'!C8)/ABS('21R2'!C8)*100,1)</f>
        <v>25.6</v>
      </c>
      <c r="D74" s="384">
        <f>ROUND((D8-'21R2'!D8)/ABS('21R2'!D8)*100,1)</f>
        <v>28.5</v>
      </c>
      <c r="E74" s="384">
        <f>ROUND((E8-'21R2'!E8)/ABS('21R2'!E8)*100,1)</f>
        <v>22.7</v>
      </c>
      <c r="F74" s="384">
        <f>ROUND((F8-'21R2'!F8)/ABS('21R2'!F8)*100,1)</f>
        <v>53.7</v>
      </c>
      <c r="G74" s="384">
        <f>ROUND((G8-'21R2'!G8)/ABS('21R2'!G8)*100,1)</f>
        <v>12.4</v>
      </c>
      <c r="H74" s="384">
        <f>ROUND((H8-'21R2'!H8)/ABS('21R2'!H8)*100,1)</f>
        <v>54.7</v>
      </c>
      <c r="I74" s="384">
        <f>ROUND((I8-'21R2'!I8)/ABS('21R2'!I8)*100,1)</f>
        <v>94.5</v>
      </c>
      <c r="J74" s="384">
        <f>ROUND((J8-'21R2'!J8)/ABS('21R2'!J8)*100,1)</f>
        <v>-31.8</v>
      </c>
      <c r="K74" s="384">
        <f>ROUND((K8-'21R2'!K8)/ABS('21R2'!K8)*100,1)</f>
        <v>31.9</v>
      </c>
      <c r="L74" s="384">
        <f>ROUND((L8-'21R2'!L8)/ABS('21R2'!L8)*100,1)</f>
        <v>-32.6</v>
      </c>
      <c r="M74" s="384">
        <f>ROUND((M8-'21R2'!M8)/ABS('21R2'!M8)*100,1)</f>
        <v>48.1</v>
      </c>
      <c r="N74" s="384">
        <f>ROUND((N8-'21R2'!N8)/ABS('21R2'!N8)*100,1)</f>
        <v>53.9</v>
      </c>
      <c r="O74" s="384">
        <f>ROUND((O8-'21R2'!O8)/ABS('21R2'!O8)*100,1)</f>
        <v>-1049.8</v>
      </c>
    </row>
    <row r="75" spans="1:21">
      <c r="A75" s="77">
        <v>4</v>
      </c>
      <c r="B75" s="75" t="s">
        <v>325</v>
      </c>
      <c r="C75" s="384">
        <f>ROUND((C9-'21R2'!C9)/ABS('21R2'!C9)*100,1)</f>
        <v>-1.9</v>
      </c>
      <c r="D75" s="384">
        <f>ROUND((D9-'21R2'!D9)/ABS('21R2'!D9)*100,1)</f>
        <v>31</v>
      </c>
      <c r="E75" s="384">
        <f>ROUND((E9-'21R2'!E9)/ABS('21R2'!E9)*100,1)</f>
        <v>18.600000000000001</v>
      </c>
      <c r="F75" s="384">
        <f>ROUND((F9-'21R2'!F9)/ABS('21R2'!F9)*100,1)</f>
        <v>71.900000000000006</v>
      </c>
      <c r="G75" s="384">
        <f>ROUND((G9-'21R2'!G9)/ABS('21R2'!G9)*100,1)</f>
        <v>8.4</v>
      </c>
      <c r="H75" s="384">
        <f>ROUND((H9-'21R2'!H9)/ABS('21R2'!H9)*100,1)</f>
        <v>72.8</v>
      </c>
      <c r="I75" s="384">
        <f>ROUND((I9-'21R2'!I9)/ABS('21R2'!I9)*100,1)</f>
        <v>94.2</v>
      </c>
      <c r="J75" s="384">
        <f>ROUND((J9-'21R2'!J9)/ABS('21R2'!J9)*100,1)</f>
        <v>-12.2</v>
      </c>
      <c r="K75" s="384">
        <f>ROUND((K9-'21R2'!K9)/ABS('21R2'!K9)*100,1)</f>
        <v>35.4</v>
      </c>
      <c r="L75" s="384">
        <f>ROUND((L9-'21R2'!L9)/ABS('21R2'!L9)*100,1)</f>
        <v>-90.1</v>
      </c>
      <c r="M75" s="384">
        <f>ROUND((M9-'21R2'!M9)/ABS('21R2'!M9)*100,1)</f>
        <v>13.9</v>
      </c>
      <c r="N75" s="384">
        <f>ROUND((N9-'21R2'!N9)/ABS('21R2'!N9)*100,1)</f>
        <v>62.4</v>
      </c>
      <c r="O75" s="384">
        <f>ROUND((O9-'21R2'!O9)/ABS('21R2'!O9)*100,1)</f>
        <v>-86.5</v>
      </c>
      <c r="R75" s="383"/>
      <c r="S75" s="383"/>
    </row>
    <row r="76" spans="1:21">
      <c r="A76" s="77">
        <v>5</v>
      </c>
      <c r="B76" s="75" t="s">
        <v>326</v>
      </c>
      <c r="C76" s="384">
        <f>ROUND((C10-'21R2'!C10)/ABS('21R2'!C10)*100,1)</f>
        <v>6.7</v>
      </c>
      <c r="D76" s="384">
        <f>ROUND((D10-'21R2'!D10)/ABS('21R2'!D10)*100,1)</f>
        <v>17.899999999999999</v>
      </c>
      <c r="E76" s="384">
        <f>ROUND((E10-'21R2'!E10)/ABS('21R2'!E10)*100,1)</f>
        <v>25.7</v>
      </c>
      <c r="F76" s="384">
        <f>ROUND((F10-'21R2'!F10)/ABS('21R2'!F10)*100,1)</f>
        <v>32.299999999999997</v>
      </c>
      <c r="G76" s="384">
        <f>ROUND((G10-'21R2'!G10)/ABS('21R2'!G10)*100,1)</f>
        <v>10</v>
      </c>
      <c r="H76" s="384">
        <f>ROUND((H10-'21R2'!H10)/ABS('21R2'!H10)*100,1)</f>
        <v>31</v>
      </c>
      <c r="I76" s="384">
        <f>ROUND((I10-'21R2'!I10)/ABS('21R2'!I10)*100,1)</f>
        <v>95</v>
      </c>
      <c r="J76" s="384">
        <f>ROUND((J10-'21R2'!J10)/ABS('21R2'!J10)*100,1)</f>
        <v>-72.400000000000006</v>
      </c>
      <c r="K76" s="384">
        <f>ROUND((K10-'21R2'!K10)/ABS('21R2'!K10)*100,1)</f>
        <v>17</v>
      </c>
      <c r="L76" s="384">
        <f>ROUND((L10-'21R2'!L10)/ABS('21R2'!L10)*100,1)</f>
        <v>-69.2</v>
      </c>
      <c r="M76" s="384">
        <f>ROUND((M10-'21R2'!M10)/ABS('21R2'!M10)*100,1)</f>
        <v>26</v>
      </c>
      <c r="N76" s="384">
        <f>ROUND((N10-'21R2'!N10)/ABS('21R2'!N10)*100,1)</f>
        <v>39.5</v>
      </c>
      <c r="O76" s="384">
        <f>ROUND((O10-'21R2'!O10)/ABS('21R2'!O10)*100,1)</f>
        <v>-194.9</v>
      </c>
      <c r="R76" s="383"/>
      <c r="S76" s="383"/>
    </row>
    <row r="77" spans="1:21">
      <c r="A77" s="77">
        <v>6</v>
      </c>
      <c r="B77" s="75" t="s">
        <v>327</v>
      </c>
      <c r="C77" s="384">
        <f>ROUND((C11-'21R2'!C11)/ABS('21R2'!C11)*100,1)</f>
        <v>-1.9</v>
      </c>
      <c r="D77" s="384">
        <f>ROUND((D11-'21R2'!D11)/ABS('21R2'!D11)*100,1)</f>
        <v>22.9</v>
      </c>
      <c r="E77" s="384">
        <f>ROUND((E11-'21R2'!E11)/ABS('21R2'!E11)*100,1)</f>
        <v>17.3</v>
      </c>
      <c r="F77" s="384">
        <f>ROUND((F11-'21R2'!F11)/ABS('21R2'!F11)*100,1)</f>
        <v>57.7</v>
      </c>
      <c r="G77" s="384">
        <f>ROUND((G11-'21R2'!G11)/ABS('21R2'!G11)*100,1)</f>
        <v>28</v>
      </c>
      <c r="H77" s="384">
        <f>ROUND((H11-'21R2'!H11)/ABS('21R2'!H11)*100,1)</f>
        <v>54</v>
      </c>
      <c r="I77" s="384">
        <f>ROUND((I11-'21R2'!I11)/ABS('21R2'!I11)*100,1)</f>
        <v>94.5</v>
      </c>
      <c r="J77" s="384">
        <f>ROUND((J11-'21R2'!J11)/ABS('21R2'!J11)*100,1)</f>
        <v>-38.6</v>
      </c>
      <c r="K77" s="384">
        <f>ROUND((K11-'21R2'!K11)/ABS('21R2'!K11)*100,1)</f>
        <v>25.8</v>
      </c>
      <c r="L77" s="384">
        <f>ROUND((L11-'21R2'!L11)/ABS('21R2'!L11)*100,1)</f>
        <v>-100.2</v>
      </c>
      <c r="M77" s="384">
        <f>ROUND((M11-'21R2'!M11)/ABS('21R2'!M11)*100,1)</f>
        <v>18.8</v>
      </c>
      <c r="N77" s="384">
        <f>ROUND((N11-'21R2'!N11)/ABS('21R2'!N11)*100,1)</f>
        <v>55.8</v>
      </c>
      <c r="O77" s="384">
        <f>ROUND((O11-'21R2'!O11)/ABS('21R2'!O11)*100,1)</f>
        <v>-152.4</v>
      </c>
      <c r="R77" s="383"/>
      <c r="S77" s="383"/>
    </row>
    <row r="78" spans="1:21">
      <c r="A78" s="77">
        <v>7</v>
      </c>
      <c r="B78" s="75" t="s">
        <v>210</v>
      </c>
      <c r="C78" s="384">
        <f>ROUND((C12-'21R2'!C12)/ABS('21R2'!C12)*100,1)</f>
        <v>5.0999999999999996</v>
      </c>
      <c r="D78" s="384">
        <f>ROUND((D12-'21R2'!D12)/ABS('21R2'!D12)*100,1)</f>
        <v>12.9</v>
      </c>
      <c r="E78" s="384">
        <f>ROUND((E12-'21R2'!E12)/ABS('21R2'!E12)*100,1)</f>
        <v>18.600000000000001</v>
      </c>
      <c r="F78" s="384">
        <f>ROUND((F12-'21R2'!F12)/ABS('21R2'!F12)*100,1)</f>
        <v>94.9</v>
      </c>
      <c r="G78" s="384">
        <f>ROUND((G12-'21R2'!G12)/ABS('21R2'!G12)*100,1)</f>
        <v>14.9</v>
      </c>
      <c r="H78" s="384">
        <f>ROUND((H12-'21R2'!H12)/ABS('21R2'!H12)*100,1)</f>
        <v>92.6</v>
      </c>
      <c r="I78" s="384">
        <f>ROUND((I12-'21R2'!I12)/ABS('21R2'!I12)*100,1)</f>
        <v>94.3</v>
      </c>
      <c r="J78" s="384">
        <f>ROUND((J12-'21R2'!J12)/ABS('21R2'!J12)*100,1)</f>
        <v>-51.4</v>
      </c>
      <c r="K78" s="384">
        <f>ROUND((K12-'21R2'!K12)/ABS('21R2'!K12)*100,1)</f>
        <v>21.3</v>
      </c>
      <c r="L78" s="384">
        <f>ROUND((L12-'21R2'!L12)/ABS('21R2'!L12)*100,1)</f>
        <v>-175.9</v>
      </c>
      <c r="M78" s="384">
        <f>ROUND((M12-'21R2'!M12)/ABS('21R2'!M12)*100,1)</f>
        <v>36.1</v>
      </c>
      <c r="N78" s="384">
        <f>ROUND((N12-'21R2'!N12)/ABS('21R2'!N12)*100,1)</f>
        <v>58.4</v>
      </c>
      <c r="O78" s="384">
        <f>ROUND((O12-'21R2'!O12)/ABS('21R2'!O12)*100,1)</f>
        <v>-67.2</v>
      </c>
      <c r="R78" s="383"/>
      <c r="S78" s="383"/>
    </row>
    <row r="79" spans="1:21">
      <c r="A79" s="77">
        <v>8</v>
      </c>
      <c r="B79" s="75" t="s">
        <v>211</v>
      </c>
      <c r="C79" s="384">
        <f>ROUND((C13-'21R2'!C13)/ABS('21R2'!C13)*100,1)</f>
        <v>0.9</v>
      </c>
      <c r="D79" s="384">
        <f>ROUND((D13-'21R2'!D13)/ABS('21R2'!D13)*100,1)</f>
        <v>25.7</v>
      </c>
      <c r="E79" s="384">
        <f>ROUND((E13-'21R2'!E13)/ABS('21R2'!E13)*100,1)</f>
        <v>22</v>
      </c>
      <c r="F79" s="384">
        <f>ROUND((F13-'21R2'!F13)/ABS('21R2'!F13)*100,1)</f>
        <v>32.5</v>
      </c>
      <c r="G79" s="384">
        <f>ROUND((G13-'21R2'!G13)/ABS('21R2'!G13)*100,1)</f>
        <v>21.8</v>
      </c>
      <c r="H79" s="384">
        <f>ROUND((H13-'21R2'!H13)/ABS('21R2'!H13)*100,1)</f>
        <v>28.1</v>
      </c>
      <c r="I79" s="384">
        <f>ROUND((I13-'21R2'!I13)/ABS('21R2'!I13)*100,1)</f>
        <v>94.5</v>
      </c>
      <c r="J79" s="384">
        <f>ROUND((J13-'21R2'!J13)/ABS('21R2'!J13)*100,1)</f>
        <v>-50.9</v>
      </c>
      <c r="K79" s="384">
        <f>ROUND((K13-'21R2'!K13)/ABS('21R2'!K13)*100,1)</f>
        <v>23.5</v>
      </c>
      <c r="L79" s="384">
        <f>ROUND((L13-'21R2'!L13)/ABS('21R2'!L13)*100,1)</f>
        <v>-109.5</v>
      </c>
      <c r="M79" s="384">
        <f>ROUND((M13-'21R2'!M13)/ABS('21R2'!M13)*100,1)</f>
        <v>23.6</v>
      </c>
      <c r="N79" s="384">
        <f>ROUND((N13-'21R2'!N13)/ABS('21R2'!N13)*100,1)</f>
        <v>55.2</v>
      </c>
      <c r="O79" s="384">
        <f>ROUND((O13-'21R2'!O13)/ABS('21R2'!O13)*100,1)</f>
        <v>-552.9</v>
      </c>
      <c r="R79" s="383"/>
      <c r="S79" s="383"/>
    </row>
    <row r="80" spans="1:21">
      <c r="A80" s="77">
        <v>9</v>
      </c>
      <c r="B80" s="75" t="s">
        <v>212</v>
      </c>
      <c r="C80" s="384">
        <f>ROUND((C14-'21R2'!C14)/ABS('21R2'!C14)*100,1)</f>
        <v>18.8</v>
      </c>
      <c r="D80" s="384">
        <f>ROUND((D14-'21R2'!D14)/ABS('21R2'!D14)*100,1)</f>
        <v>22.7</v>
      </c>
      <c r="E80" s="384">
        <f>ROUND((E14-'21R2'!E14)/ABS('21R2'!E14)*100,1)</f>
        <v>15</v>
      </c>
      <c r="F80" s="384">
        <f>ROUND((F14-'21R2'!F14)/ABS('21R2'!F14)*100,1)</f>
        <v>92.2</v>
      </c>
      <c r="G80" s="384">
        <f>ROUND((G14-'21R2'!G14)/ABS('21R2'!G14)*100,1)</f>
        <v>78</v>
      </c>
      <c r="H80" s="384">
        <f>ROUND((H14-'21R2'!H14)/ABS('21R2'!H14)*100,1)</f>
        <v>81.900000000000006</v>
      </c>
      <c r="I80" s="384">
        <f>ROUND((I14-'21R2'!I14)/ABS('21R2'!I14)*100,1)</f>
        <v>94</v>
      </c>
      <c r="J80" s="384">
        <f>ROUND((J14-'21R2'!J14)/ABS('21R2'!J14)*100,1)</f>
        <v>-31.1</v>
      </c>
      <c r="K80" s="384">
        <f>ROUND((K14-'21R2'!K14)/ABS('21R2'!K14)*100,1)</f>
        <v>28</v>
      </c>
      <c r="L80" s="384">
        <f>ROUND((L14-'21R2'!L14)/ABS('21R2'!L14)*100,1)</f>
        <v>-663.9</v>
      </c>
      <c r="M80" s="384">
        <f>ROUND((M14-'21R2'!M14)/ABS('21R2'!M14)*100,1)</f>
        <v>51.8</v>
      </c>
      <c r="N80" s="384">
        <f>ROUND((N14-'21R2'!N14)/ABS('21R2'!N14)*100,1)</f>
        <v>67.7</v>
      </c>
      <c r="O80" s="384">
        <f>ROUND((O14-'21R2'!O14)/ABS('21R2'!O14)*100,1)</f>
        <v>-11.6</v>
      </c>
      <c r="R80" s="383"/>
      <c r="S80" s="383"/>
    </row>
    <row r="81" spans="1:19">
      <c r="A81" s="77"/>
      <c r="B81" s="87" t="s">
        <v>11</v>
      </c>
      <c r="C81" s="384"/>
      <c r="D81" s="384"/>
      <c r="E81" s="384"/>
      <c r="F81" s="384"/>
      <c r="G81" s="384"/>
      <c r="H81" s="384"/>
      <c r="I81" s="384"/>
      <c r="J81" s="384"/>
      <c r="K81" s="384"/>
      <c r="L81" s="384"/>
      <c r="M81" s="384"/>
      <c r="N81" s="384"/>
      <c r="O81" s="384"/>
      <c r="P81" s="49" t="s">
        <v>11</v>
      </c>
      <c r="R81" s="383"/>
      <c r="S81" s="383"/>
    </row>
    <row r="82" spans="1:19">
      <c r="A82" s="293">
        <v>100</v>
      </c>
      <c r="B82" s="87" t="s">
        <v>172</v>
      </c>
      <c r="C82" s="384">
        <f>ROUND((C16-'21R2'!C16)/ABS('21R2'!C16)*100,1)</f>
        <v>10.5</v>
      </c>
      <c r="D82" s="384">
        <f>ROUND((D16-'21R2'!D16)/ABS('21R2'!D16)*100,1)</f>
        <v>14.1</v>
      </c>
      <c r="E82" s="384">
        <f>ROUND((E16-'21R2'!E16)/ABS('21R2'!E16)*100,1)</f>
        <v>18.3</v>
      </c>
      <c r="F82" s="384">
        <f>ROUND((F16-'21R2'!F16)/ABS('21R2'!F16)*100,1)</f>
        <v>48.8</v>
      </c>
      <c r="G82" s="384">
        <f>ROUND((G16-'21R2'!G16)/ABS('21R2'!G16)*100,1)</f>
        <v>8.6</v>
      </c>
      <c r="H82" s="384">
        <f>ROUND((H16-'21R2'!H16)/ABS('21R2'!H16)*100,1)</f>
        <v>48.2</v>
      </c>
      <c r="I82" s="384">
        <f>ROUND((I16-'21R2'!I16)/ABS('21R2'!I16)*100,1)</f>
        <v>94.9</v>
      </c>
      <c r="J82" s="384">
        <f>ROUND((J16-'21R2'!J16)/ABS('21R2'!J16)*100,1)</f>
        <v>-23.9</v>
      </c>
      <c r="K82" s="384">
        <f>ROUND((K16-'21R2'!K16)/ABS('21R2'!K16)*100,1)</f>
        <v>18.399999999999999</v>
      </c>
      <c r="L82" s="384">
        <f>ROUND((L16-'21R2'!L16)/ABS('21R2'!L16)*100,1)</f>
        <v>-72.099999999999994</v>
      </c>
      <c r="M82" s="384">
        <f>ROUND((M16-'21R2'!M16)/ABS('21R2'!M16)*100,1)</f>
        <v>31.6</v>
      </c>
      <c r="N82" s="384">
        <f>ROUND((N16-'21R2'!N16)/ABS('21R2'!N16)*100,1)</f>
        <v>43</v>
      </c>
      <c r="O82" s="384">
        <f>ROUND((O16-'21R2'!O16)/ABS('21R2'!O16)*100,1)</f>
        <v>-72</v>
      </c>
      <c r="R82" s="383"/>
      <c r="S82" s="383"/>
    </row>
    <row r="83" spans="1:19">
      <c r="A83" s="293">
        <v>1</v>
      </c>
      <c r="B83" s="65" t="s">
        <v>182</v>
      </c>
      <c r="C83" s="384">
        <f>ROUND((C17-'21R2'!C17)/ABS('21R2'!C17)*100,1)</f>
        <v>35.1</v>
      </c>
      <c r="D83" s="384">
        <f>ROUND((D17-'21R2'!D17)/ABS('21R2'!D17)*100,1)</f>
        <v>18</v>
      </c>
      <c r="E83" s="384">
        <f>ROUND((E17-'21R2'!E17)/ABS('21R2'!E17)*100,1)</f>
        <v>19.5</v>
      </c>
      <c r="F83" s="384">
        <f>ROUND((F17-'21R2'!F17)/ABS('21R2'!F17)*100,1)</f>
        <v>42.4</v>
      </c>
      <c r="G83" s="384">
        <f>ROUND((G17-'21R2'!G17)/ABS('21R2'!G17)*100,1)</f>
        <v>7.8</v>
      </c>
      <c r="H83" s="384">
        <f>ROUND((H17-'21R2'!H17)/ABS('21R2'!H17)*100,1)</f>
        <v>44.3</v>
      </c>
      <c r="I83" s="384">
        <f>ROUND((I17-'21R2'!I17)/ABS('21R2'!I17)*100,1)</f>
        <v>94.9</v>
      </c>
      <c r="J83" s="384">
        <f>ROUND((J17-'21R2'!J17)/ABS('21R2'!J17)*100,1)</f>
        <v>-26.9</v>
      </c>
      <c r="K83" s="384">
        <f>ROUND((K17-'21R2'!K17)/ABS('21R2'!K17)*100,1)</f>
        <v>20.8</v>
      </c>
      <c r="L83" s="384">
        <f>ROUND((L17-'21R2'!L17)/ABS('21R2'!L17)*100,1)</f>
        <v>178.4</v>
      </c>
      <c r="M83" s="384">
        <f>ROUND((M17-'21R2'!M17)/ABS('21R2'!M17)*100,1)</f>
        <v>59.6</v>
      </c>
      <c r="N83" s="384">
        <f>ROUND((N17-'21R2'!N17)/ABS('21R2'!N17)*100,1)</f>
        <v>42.7</v>
      </c>
      <c r="O83" s="384">
        <f>ROUND((O17-'21R2'!O17)/ABS('21R2'!O17)*100,1)</f>
        <v>-0.1</v>
      </c>
      <c r="R83" s="383"/>
      <c r="S83" s="383"/>
    </row>
    <row r="84" spans="1:19">
      <c r="A84" s="293">
        <v>202</v>
      </c>
      <c r="B84" s="90" t="s">
        <v>183</v>
      </c>
      <c r="C84" s="384">
        <f>ROUND((C18-'21R2'!C18)/ABS('21R2'!C18)*100,1)</f>
        <v>22.1</v>
      </c>
      <c r="D84" s="384">
        <f>ROUND((D18-'21R2'!D18)/ABS('21R2'!D18)*100,1)</f>
        <v>19.899999999999999</v>
      </c>
      <c r="E84" s="384">
        <f>ROUND((E18-'21R2'!E18)/ABS('21R2'!E18)*100,1)</f>
        <v>18.899999999999999</v>
      </c>
      <c r="F84" s="384">
        <f>ROUND((F18-'21R2'!F18)/ABS('21R2'!F18)*100,1)</f>
        <v>48.1</v>
      </c>
      <c r="G84" s="384">
        <f>ROUND((G18-'21R2'!G18)/ABS('21R2'!G18)*100,1)</f>
        <v>27.9</v>
      </c>
      <c r="H84" s="384">
        <f>ROUND((H18-'21R2'!H18)/ABS('21R2'!H18)*100,1)</f>
        <v>45.5</v>
      </c>
      <c r="I84" s="384">
        <f>ROUND((I18-'21R2'!I18)/ABS('21R2'!I18)*100,1)</f>
        <v>94.9</v>
      </c>
      <c r="J84" s="384">
        <f>ROUND((J18-'21R2'!J18)/ABS('21R2'!J18)*100,1)</f>
        <v>-22.1</v>
      </c>
      <c r="K84" s="384">
        <f>ROUND((K18-'21R2'!K18)/ABS('21R2'!K18)*100,1)</f>
        <v>24</v>
      </c>
      <c r="L84" s="384">
        <f>ROUND((L18-'21R2'!L18)/ABS('21R2'!L18)*100,1)</f>
        <v>-0.3</v>
      </c>
      <c r="M84" s="384">
        <f>ROUND((M18-'21R2'!M18)/ABS('21R2'!M18)*100,1)</f>
        <v>40</v>
      </c>
      <c r="N84" s="384">
        <f>ROUND((N18-'21R2'!N18)/ABS('21R2'!N18)*100,1)</f>
        <v>42.9</v>
      </c>
      <c r="O84" s="384">
        <f>ROUND((O18-'21R2'!O18)/ABS('21R2'!O18)*100,1)</f>
        <v>-1400.4</v>
      </c>
      <c r="R84" s="383"/>
      <c r="S84" s="383"/>
    </row>
    <row r="85" spans="1:19">
      <c r="A85" s="293">
        <v>204</v>
      </c>
      <c r="B85" s="90" t="s">
        <v>184</v>
      </c>
      <c r="C85" s="384">
        <f>ROUND((C19-'21R2'!C19)/ABS('21R2'!C19)*100,1)</f>
        <v>43.9</v>
      </c>
      <c r="D85" s="384">
        <f>ROUND((D19-'21R2'!D19)/ABS('21R2'!D19)*100,1)</f>
        <v>15.1</v>
      </c>
      <c r="E85" s="384">
        <f>ROUND((E19-'21R2'!E19)/ABS('21R2'!E19)*100,1)</f>
        <v>20</v>
      </c>
      <c r="F85" s="384">
        <f>ROUND((F19-'21R2'!F19)/ABS('21R2'!F19)*100,1)</f>
        <v>34</v>
      </c>
      <c r="G85" s="384">
        <f>ROUND((G19-'21R2'!G19)/ABS('21R2'!G19)*100,1)</f>
        <v>-8.5</v>
      </c>
      <c r="H85" s="384">
        <f>ROUND((H19-'21R2'!H19)/ABS('21R2'!H19)*100,1)</f>
        <v>41.1</v>
      </c>
      <c r="I85" s="384">
        <f>ROUND((I19-'21R2'!I19)/ABS('21R2'!I19)*100,1)</f>
        <v>95</v>
      </c>
      <c r="J85" s="384">
        <f>ROUND((J19-'21R2'!J19)/ABS('21R2'!J19)*100,1)</f>
        <v>-40</v>
      </c>
      <c r="K85" s="384">
        <f>ROUND((K19-'21R2'!K19)/ABS('21R2'!K19)*100,1)</f>
        <v>16.899999999999999</v>
      </c>
      <c r="L85" s="384">
        <f>ROUND((L19-'21R2'!L19)/ABS('21R2'!L19)*100,1)</f>
        <v>118.9</v>
      </c>
      <c r="M85" s="384">
        <f>ROUND((M19-'21R2'!M19)/ABS('21R2'!M19)*100,1)</f>
        <v>73.900000000000006</v>
      </c>
      <c r="N85" s="384">
        <f>ROUND((N19-'21R2'!N19)/ABS('21R2'!N19)*100,1)</f>
        <v>40.4</v>
      </c>
      <c r="O85" s="384">
        <f>ROUND((O19-'21R2'!O19)/ABS('21R2'!O19)*100,1)</f>
        <v>4.3</v>
      </c>
      <c r="R85" s="383"/>
      <c r="S85" s="383"/>
    </row>
    <row r="86" spans="1:19">
      <c r="A86" s="293">
        <v>206</v>
      </c>
      <c r="B86" s="90" t="s">
        <v>185</v>
      </c>
      <c r="C86" s="384">
        <f>ROUND((C20-'21R2'!C20)/ABS('21R2'!C20)*100,1)</f>
        <v>87.1</v>
      </c>
      <c r="D86" s="384">
        <f>ROUND((D20-'21R2'!D20)/ABS('21R2'!D20)*100,1)</f>
        <v>23.2</v>
      </c>
      <c r="E86" s="384">
        <f>ROUND((E20-'21R2'!E20)/ABS('21R2'!E20)*100,1)</f>
        <v>19.399999999999999</v>
      </c>
      <c r="F86" s="384">
        <f>ROUND((F20-'21R2'!F20)/ABS('21R2'!F20)*100,1)</f>
        <v>51.1</v>
      </c>
      <c r="G86" s="384">
        <f>ROUND((G20-'21R2'!G20)/ABS('21R2'!G20)*100,1)</f>
        <v>-8.8000000000000007</v>
      </c>
      <c r="H86" s="384">
        <f>ROUND((H20-'21R2'!H20)/ABS('21R2'!H20)*100,1)</f>
        <v>52</v>
      </c>
      <c r="I86" s="384">
        <f>ROUND((I20-'21R2'!I20)/ABS('21R2'!I20)*100,1)</f>
        <v>94.6</v>
      </c>
      <c r="J86" s="384">
        <f>ROUND((J20-'21R2'!J20)/ABS('21R2'!J20)*100,1)</f>
        <v>-6.5</v>
      </c>
      <c r="K86" s="384">
        <f>ROUND((K20-'21R2'!K20)/ABS('21R2'!K20)*100,1)</f>
        <v>24.1</v>
      </c>
      <c r="L86" s="384">
        <f>ROUND((L20-'21R2'!L20)/ABS('21R2'!L20)*100,1)</f>
        <v>101.4</v>
      </c>
      <c r="M86" s="384">
        <f>ROUND((M20-'21R2'!M20)/ABS('21R2'!M20)*100,1)</f>
        <v>124.1</v>
      </c>
      <c r="N86" s="384">
        <f>ROUND((N20-'21R2'!N20)/ABS('21R2'!N20)*100,1)</f>
        <v>52.7</v>
      </c>
      <c r="O86" s="384">
        <f>ROUND((O20-'21R2'!O20)/ABS('21R2'!O20)*100,1)</f>
        <v>31.8</v>
      </c>
      <c r="R86" s="383"/>
      <c r="S86" s="383"/>
    </row>
    <row r="87" spans="1:19">
      <c r="A87" s="293">
        <v>2</v>
      </c>
      <c r="B87" s="65" t="s">
        <v>186</v>
      </c>
      <c r="C87" s="384">
        <f>ROUND((C21-'21R2'!C21)/ABS('21R2'!C21)*100,1)</f>
        <v>72.8</v>
      </c>
      <c r="D87" s="384">
        <f>ROUND((D21-'21R2'!D21)/ABS('21R2'!D21)*100,1)</f>
        <v>27</v>
      </c>
      <c r="E87" s="384">
        <f>ROUND((E21-'21R2'!E21)/ABS('21R2'!E21)*100,1)</f>
        <v>19.3</v>
      </c>
      <c r="F87" s="384">
        <f>ROUND((F21-'21R2'!F21)/ABS('21R2'!F21)*100,1)</f>
        <v>48.3</v>
      </c>
      <c r="G87" s="384">
        <f>ROUND((G21-'21R2'!G21)/ABS('21R2'!G21)*100,1)</f>
        <v>36.6</v>
      </c>
      <c r="H87" s="384">
        <f>ROUND((H21-'21R2'!H21)/ABS('21R2'!H21)*100,1)</f>
        <v>43</v>
      </c>
      <c r="I87" s="384">
        <f>ROUND((I21-'21R2'!I21)/ABS('21R2'!I21)*100,1)</f>
        <v>94.6</v>
      </c>
      <c r="J87" s="384">
        <f>ROUND((J21-'21R2'!J21)/ABS('21R2'!J21)*100,1)</f>
        <v>272.2</v>
      </c>
      <c r="K87" s="384">
        <f>ROUND((K21-'21R2'!K21)/ABS('21R2'!K21)*100,1)</f>
        <v>36.6</v>
      </c>
      <c r="L87" s="384">
        <f>ROUND((L21-'21R2'!L21)/ABS('21R2'!L21)*100,1)</f>
        <v>205.4</v>
      </c>
      <c r="M87" s="384">
        <f>ROUND((M21-'21R2'!M21)/ABS('21R2'!M21)*100,1)</f>
        <v>91.1</v>
      </c>
      <c r="N87" s="384">
        <f>ROUND((N21-'21R2'!N21)/ABS('21R2'!N21)*100,1)</f>
        <v>51.5</v>
      </c>
      <c r="O87" s="384">
        <f>ROUND((O21-'21R2'!O21)/ABS('21R2'!O21)*100,1)</f>
        <v>25.4</v>
      </c>
      <c r="R87" s="383"/>
      <c r="S87" s="383"/>
    </row>
    <row r="88" spans="1:19">
      <c r="A88" s="293">
        <v>207</v>
      </c>
      <c r="B88" s="90" t="s">
        <v>187</v>
      </c>
      <c r="C88" s="384">
        <f>ROUND((C22-'21R2'!C22)/ABS('21R2'!C22)*100,1)</f>
        <v>41.4</v>
      </c>
      <c r="D88" s="384">
        <f>ROUND((D22-'21R2'!D22)/ABS('21R2'!D22)*100,1)</f>
        <v>32.299999999999997</v>
      </c>
      <c r="E88" s="384">
        <f>ROUND((E22-'21R2'!E22)/ABS('21R2'!E22)*100,1)</f>
        <v>17.5</v>
      </c>
      <c r="F88" s="384">
        <f>ROUND((F22-'21R2'!F22)/ABS('21R2'!F22)*100,1)</f>
        <v>56.7</v>
      </c>
      <c r="G88" s="384">
        <f>ROUND((G22-'21R2'!G22)/ABS('21R2'!G22)*100,1)</f>
        <v>20.7</v>
      </c>
      <c r="H88" s="384">
        <f>ROUND((H22-'21R2'!H22)/ABS('21R2'!H22)*100,1)</f>
        <v>56.7</v>
      </c>
      <c r="I88" s="384">
        <f>ROUND((I22-'21R2'!I22)/ABS('21R2'!I22)*100,1)</f>
        <v>94.5</v>
      </c>
      <c r="J88" s="384">
        <f>ROUND((J22-'21R2'!J22)/ABS('21R2'!J22)*100,1)</f>
        <v>10.8</v>
      </c>
      <c r="K88" s="384">
        <f>ROUND((K22-'21R2'!K22)/ABS('21R2'!K22)*100,1)</f>
        <v>35.200000000000003</v>
      </c>
      <c r="L88" s="384">
        <f>ROUND((L22-'21R2'!L22)/ABS('21R2'!L22)*100,1)</f>
        <v>235.4</v>
      </c>
      <c r="M88" s="384">
        <f>ROUND((M22-'21R2'!M22)/ABS('21R2'!M22)*100,1)</f>
        <v>59.2</v>
      </c>
      <c r="N88" s="384">
        <f>ROUND((N22-'21R2'!N22)/ABS('21R2'!N22)*100,1)</f>
        <v>53.6</v>
      </c>
      <c r="O88" s="384">
        <f>ROUND((O22-'21R2'!O22)/ABS('21R2'!O22)*100,1)</f>
        <v>3.1</v>
      </c>
      <c r="R88" s="383"/>
      <c r="S88" s="383"/>
    </row>
    <row r="89" spans="1:19">
      <c r="A89" s="293">
        <v>214</v>
      </c>
      <c r="B89" s="90" t="s">
        <v>188</v>
      </c>
      <c r="C89" s="384">
        <f>ROUND((C23-'21R2'!C23)/ABS('21R2'!C23)*100,1)</f>
        <v>96.8</v>
      </c>
      <c r="D89" s="384">
        <f>ROUND((D23-'21R2'!D23)/ABS('21R2'!D23)*100,1)</f>
        <v>23</v>
      </c>
      <c r="E89" s="384">
        <f>ROUND((E23-'21R2'!E23)/ABS('21R2'!E23)*100,1)</f>
        <v>16.5</v>
      </c>
      <c r="F89" s="384">
        <f>ROUND((F23-'21R2'!F23)/ABS('21R2'!F23)*100,1)</f>
        <v>61.5</v>
      </c>
      <c r="G89" s="384">
        <f>ROUND((G23-'21R2'!G23)/ABS('21R2'!G23)*100,1)</f>
        <v>46.6</v>
      </c>
      <c r="H89" s="384">
        <f>ROUND((H23-'21R2'!H23)/ABS('21R2'!H23)*100,1)</f>
        <v>53.6</v>
      </c>
      <c r="I89" s="384">
        <f>ROUND((I23-'21R2'!I23)/ABS('21R2'!I23)*100,1)</f>
        <v>94.6</v>
      </c>
      <c r="J89" s="384">
        <f>ROUND((J23-'21R2'!J23)/ABS('21R2'!J23)*100,1)</f>
        <v>61.6</v>
      </c>
      <c r="K89" s="384">
        <f>ROUND((K23-'21R2'!K23)/ABS('21R2'!K23)*100,1)</f>
        <v>28.4</v>
      </c>
      <c r="L89" s="384">
        <f>ROUND((L23-'21R2'!L23)/ABS('21R2'!L23)*100,1)</f>
        <v>115.2</v>
      </c>
      <c r="M89" s="384">
        <f>ROUND((M23-'21R2'!M23)/ABS('21R2'!M23)*100,1)</f>
        <v>132.1</v>
      </c>
      <c r="N89" s="384">
        <f>ROUND((N23-'21R2'!N23)/ABS('21R2'!N23)*100,1)</f>
        <v>52.3</v>
      </c>
      <c r="O89" s="384">
        <f>ROUND((O23-'21R2'!O23)/ABS('21R2'!O23)*100,1)</f>
        <v>19.2</v>
      </c>
      <c r="R89" s="383"/>
      <c r="S89" s="383"/>
    </row>
    <row r="90" spans="1:19">
      <c r="A90" s="293">
        <v>217</v>
      </c>
      <c r="B90" s="90" t="s">
        <v>189</v>
      </c>
      <c r="C90" s="384">
        <f>ROUND((C24-'21R2'!C24)/ABS('21R2'!C24)*100,1)</f>
        <v>86</v>
      </c>
      <c r="D90" s="384">
        <f>ROUND((D24-'21R2'!D24)/ABS('21R2'!D24)*100,1)</f>
        <v>26.5</v>
      </c>
      <c r="E90" s="384">
        <f>ROUND((E24-'21R2'!E24)/ABS('21R2'!E24)*100,1)</f>
        <v>21.4</v>
      </c>
      <c r="F90" s="384">
        <f>ROUND((F24-'21R2'!F24)/ABS('21R2'!F24)*100,1)</f>
        <v>22.6</v>
      </c>
      <c r="G90" s="384">
        <f>ROUND((G24-'21R2'!G24)/ABS('21R2'!G24)*100,1)</f>
        <v>4.2</v>
      </c>
      <c r="H90" s="384">
        <f>ROUND((H24-'21R2'!H24)/ABS('21R2'!H24)*100,1)</f>
        <v>20.9</v>
      </c>
      <c r="I90" s="384">
        <f>ROUND((I24-'21R2'!I24)/ABS('21R2'!I24)*100,1)</f>
        <v>94.8</v>
      </c>
      <c r="J90" s="384">
        <f>ROUND((J24-'21R2'!J24)/ABS('21R2'!J24)*100,1)</f>
        <v>-32.200000000000003</v>
      </c>
      <c r="K90" s="384">
        <f>ROUND((K24-'21R2'!K24)/ABS('21R2'!K24)*100,1)</f>
        <v>23.5</v>
      </c>
      <c r="L90" s="384">
        <f>ROUND((L24-'21R2'!L24)/ABS('21R2'!L24)*100,1)</f>
        <v>118.8</v>
      </c>
      <c r="M90" s="384">
        <f>ROUND((M24-'21R2'!M24)/ABS('21R2'!M24)*100,1)</f>
        <v>119</v>
      </c>
      <c r="N90" s="384">
        <f>ROUND((N24-'21R2'!N24)/ABS('21R2'!N24)*100,1)</f>
        <v>45.3</v>
      </c>
      <c r="O90" s="384">
        <f>ROUND((O24-'21R2'!O24)/ABS('21R2'!O24)*100,1)</f>
        <v>23.2</v>
      </c>
      <c r="R90" s="383"/>
      <c r="S90" s="383"/>
    </row>
    <row r="91" spans="1:19">
      <c r="A91" s="293">
        <v>219</v>
      </c>
      <c r="B91" s="90" t="s">
        <v>190</v>
      </c>
      <c r="C91" s="384">
        <f>ROUND((C25-'21R2'!C25)/ABS('21R2'!C25)*100,1)</f>
        <v>17.3</v>
      </c>
      <c r="D91" s="384">
        <f>ROUND((D25-'21R2'!D25)/ABS('21R2'!D25)*100,1)</f>
        <v>28</v>
      </c>
      <c r="E91" s="384">
        <f>ROUND((E25-'21R2'!E25)/ABS('21R2'!E25)*100,1)</f>
        <v>23.4</v>
      </c>
      <c r="F91" s="384">
        <f>ROUND((F25-'21R2'!F25)/ABS('21R2'!F25)*100,1)</f>
        <v>44.5</v>
      </c>
      <c r="G91" s="384">
        <f>ROUND((G25-'21R2'!G25)/ABS('21R2'!G25)*100,1)</f>
        <v>169.9</v>
      </c>
      <c r="H91" s="384">
        <f>ROUND((H25-'21R2'!H25)/ABS('21R2'!H25)*100,1)</f>
        <v>30.6</v>
      </c>
      <c r="I91" s="384">
        <f>ROUND((I25-'21R2'!I25)/ABS('21R2'!I25)*100,1)</f>
        <v>94.5</v>
      </c>
      <c r="J91" s="384">
        <f>ROUND((J25-'21R2'!J25)/ABS('21R2'!J25)*100,1)</f>
        <v>90</v>
      </c>
      <c r="K91" s="384">
        <f>ROUND((K25-'21R2'!K25)/ABS('21R2'!K25)*100,1)</f>
        <v>33</v>
      </c>
      <c r="L91" s="384">
        <f>ROUND((L25-'21R2'!L25)/ABS('21R2'!L25)*100,1)</f>
        <v>-57.2</v>
      </c>
      <c r="M91" s="384">
        <f>ROUND((M25-'21R2'!M25)/ABS('21R2'!M25)*100,1)</f>
        <v>27.9</v>
      </c>
      <c r="N91" s="384">
        <f>ROUND((N25-'21R2'!N25)/ABS('21R2'!N25)*100,1)</f>
        <v>53.3</v>
      </c>
      <c r="O91" s="384">
        <f>ROUND((O25-'21R2'!O25)/ABS('21R2'!O25)*100,1)</f>
        <v>133.4</v>
      </c>
      <c r="R91" s="383"/>
      <c r="S91" s="383"/>
    </row>
    <row r="92" spans="1:19">
      <c r="A92" s="293">
        <v>301</v>
      </c>
      <c r="B92" s="90" t="s">
        <v>191</v>
      </c>
      <c r="C92" s="384">
        <f>ROUND((C26-'21R2'!C26)/ABS('21R2'!C26)*100,1)</f>
        <v>569</v>
      </c>
      <c r="D92" s="384">
        <f>ROUND((D26-'21R2'!D26)/ABS('21R2'!D26)*100,1)</f>
        <v>20.8</v>
      </c>
      <c r="E92" s="384">
        <f>ROUND((E26-'21R2'!E26)/ABS('21R2'!E26)*100,1)</f>
        <v>24.2</v>
      </c>
      <c r="F92" s="384">
        <f>ROUND((F26-'21R2'!F26)/ABS('21R2'!F26)*100,1)</f>
        <v>59.1</v>
      </c>
      <c r="G92" s="384">
        <f>ROUND((G26-'21R2'!G26)/ABS('21R2'!G26)*100,1)</f>
        <v>52.8</v>
      </c>
      <c r="H92" s="384">
        <f>ROUND((H26-'21R2'!H26)/ABS('21R2'!H26)*100,1)</f>
        <v>49</v>
      </c>
      <c r="I92" s="384">
        <f>ROUND((I26-'21R2'!I26)/ABS('21R2'!I26)*100,1)</f>
        <v>94.5</v>
      </c>
      <c r="J92" s="384">
        <f>ROUND((J26-'21R2'!J26)/ABS('21R2'!J26)*100,1)</f>
        <v>4145</v>
      </c>
      <c r="K92" s="384">
        <f>ROUND((K26-'21R2'!K26)/ABS('21R2'!K26)*100,1)</f>
        <v>202.3</v>
      </c>
      <c r="L92" s="384">
        <f>ROUND((L26-'21R2'!L26)/ABS('21R2'!L26)*100,1)</f>
        <v>684.9</v>
      </c>
      <c r="M92" s="384">
        <f>ROUND((M26-'21R2'!M26)/ABS('21R2'!M26)*100,1)</f>
        <v>390.5</v>
      </c>
      <c r="N92" s="384">
        <f>ROUND((N26-'21R2'!N26)/ABS('21R2'!N26)*100,1)</f>
        <v>55.7</v>
      </c>
      <c r="O92" s="384">
        <f>ROUND((O26-'21R2'!O26)/ABS('21R2'!O26)*100,1)</f>
        <v>16</v>
      </c>
      <c r="R92" s="383"/>
      <c r="S92" s="383"/>
    </row>
    <row r="93" spans="1:19">
      <c r="A93" s="293">
        <v>3</v>
      </c>
      <c r="B93" s="65" t="s">
        <v>192</v>
      </c>
      <c r="C93" s="384">
        <f>ROUND((C27-'21R2'!C27)/ABS('21R2'!C27)*100,1)</f>
        <v>25.6</v>
      </c>
      <c r="D93" s="384">
        <f>ROUND((D27-'21R2'!D27)/ABS('21R2'!D27)*100,1)</f>
        <v>28.5</v>
      </c>
      <c r="E93" s="384">
        <f>ROUND((E27-'21R2'!E27)/ABS('21R2'!E27)*100,1)</f>
        <v>22.7</v>
      </c>
      <c r="F93" s="384">
        <f>ROUND((F27-'21R2'!F27)/ABS('21R2'!F27)*100,1)</f>
        <v>53.7</v>
      </c>
      <c r="G93" s="384">
        <f>ROUND((G27-'21R2'!G27)/ABS('21R2'!G27)*100,1)</f>
        <v>12.4</v>
      </c>
      <c r="H93" s="384">
        <f>ROUND((H27-'21R2'!H27)/ABS('21R2'!H27)*100,1)</f>
        <v>54.7</v>
      </c>
      <c r="I93" s="384">
        <f>ROUND((I27-'21R2'!I27)/ABS('21R2'!I27)*100,1)</f>
        <v>94.5</v>
      </c>
      <c r="J93" s="384">
        <f>ROUND((J27-'21R2'!J27)/ABS('21R2'!J27)*100,1)</f>
        <v>-31.8</v>
      </c>
      <c r="K93" s="384">
        <f>ROUND((K27-'21R2'!K27)/ABS('21R2'!K27)*100,1)</f>
        <v>31.9</v>
      </c>
      <c r="L93" s="384">
        <f>ROUND((L27-'21R2'!L27)/ABS('21R2'!L27)*100,1)</f>
        <v>-32.6</v>
      </c>
      <c r="M93" s="384">
        <f>ROUND((M27-'21R2'!M27)/ABS('21R2'!M27)*100,1)</f>
        <v>48.1</v>
      </c>
      <c r="N93" s="384">
        <f>ROUND((N27-'21R2'!N27)/ABS('21R2'!N27)*100,1)</f>
        <v>53.9</v>
      </c>
      <c r="O93" s="384">
        <f>ROUND((O27-'21R2'!O27)/ABS('21R2'!O27)*100,1)</f>
        <v>-1049.8</v>
      </c>
      <c r="R93" s="383"/>
      <c r="S93" s="383"/>
    </row>
    <row r="94" spans="1:19">
      <c r="A94" s="293">
        <v>203</v>
      </c>
      <c r="B94" s="90" t="s">
        <v>193</v>
      </c>
      <c r="C94" s="384">
        <f>ROUND((C28-'21R2'!C28)/ABS('21R2'!C28)*100,1)</f>
        <v>32.5</v>
      </c>
      <c r="D94" s="384">
        <f>ROUND((D28-'21R2'!D28)/ABS('21R2'!D28)*100,1)</f>
        <v>28.6</v>
      </c>
      <c r="E94" s="384">
        <f>ROUND((E28-'21R2'!E28)/ABS('21R2'!E28)*100,1)</f>
        <v>20.6</v>
      </c>
      <c r="F94" s="384">
        <f>ROUND((F28-'21R2'!F28)/ABS('21R2'!F28)*100,1)</f>
        <v>68.2</v>
      </c>
      <c r="G94" s="384">
        <f>ROUND((G28-'21R2'!G28)/ABS('21R2'!G28)*100,1)</f>
        <v>12.1</v>
      </c>
      <c r="H94" s="384">
        <f>ROUND((H28-'21R2'!H28)/ABS('21R2'!H28)*100,1)</f>
        <v>75.7</v>
      </c>
      <c r="I94" s="384">
        <f>ROUND((I28-'21R2'!I28)/ABS('21R2'!I28)*100,1)</f>
        <v>94.5</v>
      </c>
      <c r="J94" s="384">
        <f>ROUND((J28-'21R2'!J28)/ABS('21R2'!J28)*100,1)</f>
        <v>12.3</v>
      </c>
      <c r="K94" s="384">
        <f>ROUND((K28-'21R2'!K28)/ABS('21R2'!K28)*100,1)</f>
        <v>35.5</v>
      </c>
      <c r="L94" s="384">
        <f>ROUND((L28-'21R2'!L28)/ABS('21R2'!L28)*100,1)</f>
        <v>-0.6</v>
      </c>
      <c r="M94" s="384">
        <f>ROUND((M28-'21R2'!M28)/ABS('21R2'!M28)*100,1)</f>
        <v>57.5</v>
      </c>
      <c r="N94" s="384">
        <f>ROUND((N28-'21R2'!N28)/ABS('21R2'!N28)*100,1)</f>
        <v>55.8</v>
      </c>
      <c r="O94" s="384">
        <f>ROUND((O28-'21R2'!O28)/ABS('21R2'!O28)*100,1)</f>
        <v>-1493.5</v>
      </c>
      <c r="R94" s="383"/>
      <c r="S94" s="383"/>
    </row>
    <row r="95" spans="1:19">
      <c r="A95" s="293">
        <v>210</v>
      </c>
      <c r="B95" s="90" t="s">
        <v>194</v>
      </c>
      <c r="C95" s="384">
        <f>ROUND((C29-'21R2'!C29)/ABS('21R2'!C29)*100,1)</f>
        <v>46</v>
      </c>
      <c r="D95" s="384">
        <f>ROUND((D29-'21R2'!D29)/ABS('21R2'!D29)*100,1)</f>
        <v>26.7</v>
      </c>
      <c r="E95" s="384">
        <f>ROUND((E29-'21R2'!E29)/ABS('21R2'!E29)*100,1)</f>
        <v>20.5</v>
      </c>
      <c r="F95" s="384">
        <f>ROUND((F29-'21R2'!F29)/ABS('21R2'!F29)*100,1)</f>
        <v>20.8</v>
      </c>
      <c r="G95" s="384">
        <f>ROUND((G29-'21R2'!G29)/ABS('21R2'!G29)*100,1)</f>
        <v>14.1</v>
      </c>
      <c r="H95" s="384">
        <f>ROUND((H29-'21R2'!H29)/ABS('21R2'!H29)*100,1)</f>
        <v>17.899999999999999</v>
      </c>
      <c r="I95" s="384">
        <f>ROUND((I29-'21R2'!I29)/ABS('21R2'!I29)*100,1)</f>
        <v>94.9</v>
      </c>
      <c r="J95" s="384">
        <f>ROUND((J29-'21R2'!J29)/ABS('21R2'!J29)*100,1)</f>
        <v>-51.9</v>
      </c>
      <c r="K95" s="384">
        <f>ROUND((K29-'21R2'!K29)/ABS('21R2'!K29)*100,1)</f>
        <v>21.5</v>
      </c>
      <c r="L95" s="384">
        <f>ROUND((L29-'21R2'!L29)/ABS('21R2'!L29)*100,1)</f>
        <v>145.80000000000001</v>
      </c>
      <c r="M95" s="384">
        <f>ROUND((M29-'21R2'!M29)/ABS('21R2'!M29)*100,1)</f>
        <v>72.5</v>
      </c>
      <c r="N95" s="384">
        <f>ROUND((N29-'21R2'!N29)/ABS('21R2'!N29)*100,1)</f>
        <v>42.8</v>
      </c>
      <c r="O95" s="384">
        <f>ROUND((O29-'21R2'!O29)/ABS('21R2'!O29)*100,1)</f>
        <v>17.899999999999999</v>
      </c>
      <c r="R95" s="383"/>
      <c r="S95" s="383"/>
    </row>
    <row r="96" spans="1:19">
      <c r="A96" s="293">
        <v>216</v>
      </c>
      <c r="B96" s="90" t="s">
        <v>195</v>
      </c>
      <c r="C96" s="384">
        <f>ROUND((C30-'21R2'!C30)/ABS('21R2'!C30)*100,1)</f>
        <v>2.5</v>
      </c>
      <c r="D96" s="384">
        <f>ROUND((D30-'21R2'!D30)/ABS('21R2'!D30)*100,1)</f>
        <v>28.4</v>
      </c>
      <c r="E96" s="384">
        <f>ROUND((E30-'21R2'!E30)/ABS('21R2'!E30)*100,1)</f>
        <v>32.700000000000003</v>
      </c>
      <c r="F96" s="384">
        <f>ROUND((F30-'21R2'!F30)/ABS('21R2'!F30)*100,1)</f>
        <v>78.3</v>
      </c>
      <c r="G96" s="384">
        <f>ROUND((G30-'21R2'!G30)/ABS('21R2'!G30)*100,1)</f>
        <v>18.2</v>
      </c>
      <c r="H96" s="384">
        <f>ROUND((H30-'21R2'!H30)/ABS('21R2'!H30)*100,1)</f>
        <v>77.599999999999994</v>
      </c>
      <c r="I96" s="384">
        <f>ROUND((I30-'21R2'!I30)/ABS('21R2'!I30)*100,1)</f>
        <v>94.2</v>
      </c>
      <c r="J96" s="384">
        <f>ROUND((J30-'21R2'!J30)/ABS('21R2'!J30)*100,1)</f>
        <v>-41.7</v>
      </c>
      <c r="K96" s="384">
        <f>ROUND((K30-'21R2'!K30)/ABS('21R2'!K30)*100,1)</f>
        <v>39</v>
      </c>
      <c r="L96" s="384">
        <f>ROUND((L30-'21R2'!L30)/ABS('21R2'!L30)*100,1)</f>
        <v>-82.6</v>
      </c>
      <c r="M96" s="384">
        <f>ROUND((M30-'21R2'!M30)/ABS('21R2'!M30)*100,1)</f>
        <v>19.2</v>
      </c>
      <c r="N96" s="384">
        <f>ROUND((N30-'21R2'!N30)/ABS('21R2'!N30)*100,1)</f>
        <v>62.6</v>
      </c>
      <c r="O96" s="384">
        <f>ROUND((O30-'21R2'!O30)/ABS('21R2'!O30)*100,1)</f>
        <v>-89.8</v>
      </c>
      <c r="R96" s="383"/>
      <c r="S96" s="383"/>
    </row>
    <row r="97" spans="1:19">
      <c r="A97" s="293">
        <v>381</v>
      </c>
      <c r="B97" s="90" t="s">
        <v>196</v>
      </c>
      <c r="C97" s="384">
        <f>ROUND((C31-'21R2'!C31)/ABS('21R2'!C31)*100,1)</f>
        <v>-7.7</v>
      </c>
      <c r="D97" s="384">
        <f>ROUND((D31-'21R2'!D31)/ABS('21R2'!D31)*100,1)</f>
        <v>35.6</v>
      </c>
      <c r="E97" s="384">
        <f>ROUND((E31-'21R2'!E31)/ABS('21R2'!E31)*100,1)</f>
        <v>27</v>
      </c>
      <c r="F97" s="384">
        <f>ROUND((F31-'21R2'!F31)/ABS('21R2'!F31)*100,1)</f>
        <v>105.1</v>
      </c>
      <c r="G97" s="384">
        <f>ROUND((G31-'21R2'!G31)/ABS('21R2'!G31)*100,1)</f>
        <v>17.100000000000001</v>
      </c>
      <c r="H97" s="384">
        <f>ROUND((H31-'21R2'!H31)/ABS('21R2'!H31)*100,1)</f>
        <v>113.3</v>
      </c>
      <c r="I97" s="384">
        <f>ROUND((I31-'21R2'!I31)/ABS('21R2'!I31)*100,1)</f>
        <v>93.6</v>
      </c>
      <c r="J97" s="384">
        <f>ROUND((J31-'21R2'!J31)/ABS('21R2'!J31)*100,1)</f>
        <v>-30.7</v>
      </c>
      <c r="K97" s="384">
        <f>ROUND((K31-'21R2'!K31)/ABS('21R2'!K31)*100,1)</f>
        <v>45.5</v>
      </c>
      <c r="L97" s="384">
        <f>ROUND((L31-'21R2'!L31)/ABS('21R2'!L31)*100,1)</f>
        <v>-96.3</v>
      </c>
      <c r="M97" s="384">
        <f>ROUND((M31-'21R2'!M31)/ABS('21R2'!M31)*100,1)</f>
        <v>7.1</v>
      </c>
      <c r="N97" s="384">
        <f>ROUND((N31-'21R2'!N31)/ABS('21R2'!N31)*100,1)</f>
        <v>77.400000000000006</v>
      </c>
      <c r="O97" s="384">
        <f>ROUND((O31-'21R2'!O31)/ABS('21R2'!O31)*100,1)</f>
        <v>-49.6</v>
      </c>
      <c r="R97" s="383"/>
      <c r="S97" s="383"/>
    </row>
    <row r="98" spans="1:19">
      <c r="A98" s="293">
        <v>382</v>
      </c>
      <c r="B98" s="90" t="s">
        <v>197</v>
      </c>
      <c r="C98" s="384">
        <f>ROUND((C32-'21R2'!C32)/ABS('21R2'!C32)*100,1)</f>
        <v>-7.2</v>
      </c>
      <c r="D98" s="384">
        <f>ROUND((D32-'21R2'!D32)/ABS('21R2'!D32)*100,1)</f>
        <v>36.1</v>
      </c>
      <c r="E98" s="384">
        <f>ROUND((E32-'21R2'!E32)/ABS('21R2'!E32)*100,1)</f>
        <v>27</v>
      </c>
      <c r="F98" s="384">
        <f>ROUND((F32-'21R2'!F32)/ABS('21R2'!F32)*100,1)</f>
        <v>106.9</v>
      </c>
      <c r="G98" s="384">
        <f>ROUND((G32-'21R2'!G32)/ABS('21R2'!G32)*100,1)</f>
        <v>-1.5</v>
      </c>
      <c r="H98" s="384">
        <f>ROUND((H32-'21R2'!H32)/ABS('21R2'!H32)*100,1)</f>
        <v>127.3</v>
      </c>
      <c r="I98" s="384">
        <f>ROUND((I32-'21R2'!I32)/ABS('21R2'!I32)*100,1)</f>
        <v>93.7</v>
      </c>
      <c r="J98" s="384">
        <f>ROUND((J32-'21R2'!J32)/ABS('21R2'!J32)*100,1)</f>
        <v>-44.2</v>
      </c>
      <c r="K98" s="384">
        <f>ROUND((K32-'21R2'!K32)/ABS('21R2'!K32)*100,1)</f>
        <v>49.1</v>
      </c>
      <c r="L98" s="384">
        <f>ROUND((L32-'21R2'!L32)/ABS('21R2'!L32)*100,1)</f>
        <v>-91.9</v>
      </c>
      <c r="M98" s="384">
        <f>ROUND((M32-'21R2'!M32)/ABS('21R2'!M32)*100,1)</f>
        <v>2.1</v>
      </c>
      <c r="N98" s="384">
        <f>ROUND((N32-'21R2'!N32)/ABS('21R2'!N32)*100,1)</f>
        <v>78.099999999999994</v>
      </c>
      <c r="O98" s="384">
        <f>ROUND((O32-'21R2'!O32)/ABS('21R2'!O32)*100,1)</f>
        <v>-18.8</v>
      </c>
      <c r="R98" s="383"/>
      <c r="S98" s="383"/>
    </row>
    <row r="99" spans="1:19">
      <c r="A99" s="293">
        <v>4</v>
      </c>
      <c r="B99" s="91" t="s">
        <v>198</v>
      </c>
      <c r="C99" s="384">
        <f>ROUND((C33-'21R2'!C33)/ABS('21R2'!C33)*100,1)</f>
        <v>-1.9</v>
      </c>
      <c r="D99" s="384">
        <f>ROUND((D33-'21R2'!D33)/ABS('21R2'!D33)*100,1)</f>
        <v>31</v>
      </c>
      <c r="E99" s="384">
        <f>ROUND((E33-'21R2'!E33)/ABS('21R2'!E33)*100,1)</f>
        <v>18.600000000000001</v>
      </c>
      <c r="F99" s="384">
        <f>ROUND((F33-'21R2'!F33)/ABS('21R2'!F33)*100,1)</f>
        <v>71.900000000000006</v>
      </c>
      <c r="G99" s="384">
        <f>ROUND((G33-'21R2'!G33)/ABS('21R2'!G33)*100,1)</f>
        <v>8.4</v>
      </c>
      <c r="H99" s="384">
        <f>ROUND((H33-'21R2'!H33)/ABS('21R2'!H33)*100,1)</f>
        <v>72.8</v>
      </c>
      <c r="I99" s="384">
        <f>ROUND((I33-'21R2'!I33)/ABS('21R2'!I33)*100,1)</f>
        <v>94.2</v>
      </c>
      <c r="J99" s="384">
        <f>ROUND((J33-'21R2'!J33)/ABS('21R2'!J33)*100,1)</f>
        <v>-12.2</v>
      </c>
      <c r="K99" s="384">
        <f>ROUND((K33-'21R2'!K33)/ABS('21R2'!K33)*100,1)</f>
        <v>35.4</v>
      </c>
      <c r="L99" s="384">
        <f>ROUND((L33-'21R2'!L33)/ABS('21R2'!L33)*100,1)</f>
        <v>-90.1</v>
      </c>
      <c r="M99" s="384">
        <f>ROUND((M33-'21R2'!M33)/ABS('21R2'!M33)*100,1)</f>
        <v>13.9</v>
      </c>
      <c r="N99" s="384">
        <f>ROUND((N33-'21R2'!N33)/ABS('21R2'!N33)*100,1)</f>
        <v>62.4</v>
      </c>
      <c r="O99" s="384">
        <f>ROUND((O33-'21R2'!O33)/ABS('21R2'!O33)*100,1)</f>
        <v>-86.5</v>
      </c>
      <c r="R99" s="383"/>
      <c r="S99" s="383"/>
    </row>
    <row r="100" spans="1:19">
      <c r="A100" s="293">
        <v>213</v>
      </c>
      <c r="B100" s="92" t="s">
        <v>231</v>
      </c>
      <c r="C100" s="384">
        <f>ROUND((C34-'21R2'!C34)/ABS('21R2'!C34)*100,1)</f>
        <v>-2.6</v>
      </c>
      <c r="D100" s="384">
        <f>ROUND((D34-'21R2'!D34)/ABS('21R2'!D34)*100,1)</f>
        <v>20.3</v>
      </c>
      <c r="E100" s="384">
        <f>ROUND((E34-'21R2'!E34)/ABS('21R2'!E34)*100,1)</f>
        <v>24.7</v>
      </c>
      <c r="F100" s="384">
        <f>ROUND((F34-'21R2'!F34)/ABS('21R2'!F34)*100,1)</f>
        <v>59.5</v>
      </c>
      <c r="G100" s="384">
        <f>ROUND((G34-'21R2'!G34)/ABS('21R2'!G34)*100,1)</f>
        <v>8.3000000000000007</v>
      </c>
      <c r="H100" s="384">
        <f>ROUND((H34-'21R2'!H34)/ABS('21R2'!H34)*100,1)</f>
        <v>57.3</v>
      </c>
      <c r="I100" s="384">
        <f>ROUND((I34-'21R2'!I34)/ABS('21R2'!I34)*100,1)</f>
        <v>94.9</v>
      </c>
      <c r="J100" s="384">
        <f>ROUND((J34-'21R2'!J34)/ABS('21R2'!J34)*100,1)</f>
        <v>-89.3</v>
      </c>
      <c r="K100" s="384">
        <f>ROUND((K34-'21R2'!K34)/ABS('21R2'!K34)*100,1)</f>
        <v>10.1</v>
      </c>
      <c r="L100" s="384">
        <f>ROUND((L34-'21R2'!L34)/ABS('21R2'!L34)*100,1)</f>
        <v>-176.9</v>
      </c>
      <c r="M100" s="384">
        <f>ROUND((M34-'21R2'!M34)/ABS('21R2'!M34)*100,1)</f>
        <v>23.4</v>
      </c>
      <c r="N100" s="384">
        <f>ROUND((N34-'21R2'!N34)/ABS('21R2'!N34)*100,1)</f>
        <v>43.4</v>
      </c>
      <c r="O100" s="384">
        <f>ROUND((O34-'21R2'!O34)/ABS('21R2'!O34)*100,1)</f>
        <v>63.9</v>
      </c>
      <c r="R100" s="383"/>
      <c r="S100" s="383"/>
    </row>
    <row r="101" spans="1:19">
      <c r="A101" s="293">
        <v>215</v>
      </c>
      <c r="B101" s="92" t="s">
        <v>232</v>
      </c>
      <c r="C101" s="384">
        <f>ROUND((C35-'21R2'!C35)/ABS('21R2'!C35)*100,1)</f>
        <v>6.1</v>
      </c>
      <c r="D101" s="384">
        <f>ROUND((D35-'21R2'!D35)/ABS('21R2'!D35)*100,1)</f>
        <v>28.2</v>
      </c>
      <c r="E101" s="384">
        <f>ROUND((E35-'21R2'!E35)/ABS('21R2'!E35)*100,1)</f>
        <v>14.8</v>
      </c>
      <c r="F101" s="384">
        <f>ROUND((F35-'21R2'!F35)/ABS('21R2'!F35)*100,1)</f>
        <v>65.2</v>
      </c>
      <c r="G101" s="384">
        <f>ROUND((G35-'21R2'!G35)/ABS('21R2'!G35)*100,1)</f>
        <v>3.2</v>
      </c>
      <c r="H101" s="384">
        <f>ROUND((H35-'21R2'!H35)/ABS('21R2'!H35)*100,1)</f>
        <v>67</v>
      </c>
      <c r="I101" s="384">
        <f>ROUND((I35-'21R2'!I35)/ABS('21R2'!I35)*100,1)</f>
        <v>94.3</v>
      </c>
      <c r="J101" s="384">
        <f>ROUND((J35-'21R2'!J35)/ABS('21R2'!J35)*100,1)</f>
        <v>-5.2</v>
      </c>
      <c r="K101" s="384">
        <f>ROUND((K35-'21R2'!K35)/ABS('21R2'!K35)*100,1)</f>
        <v>32</v>
      </c>
      <c r="L101" s="384">
        <f>ROUND((L35-'21R2'!L35)/ABS('21R2'!L35)*100,1)</f>
        <v>-88.2</v>
      </c>
      <c r="M101" s="384">
        <f>ROUND((M35-'21R2'!M35)/ABS('21R2'!M35)*100,1)</f>
        <v>24.4</v>
      </c>
      <c r="N101" s="384">
        <f>ROUND((N35-'21R2'!N35)/ABS('21R2'!N35)*100,1)</f>
        <v>59.2</v>
      </c>
      <c r="O101" s="384">
        <f>ROUND((O35-'21R2'!O35)/ABS('21R2'!O35)*100,1)</f>
        <v>-157</v>
      </c>
      <c r="R101" s="383"/>
      <c r="S101" s="383"/>
    </row>
    <row r="102" spans="1:19">
      <c r="A102" s="293">
        <v>218</v>
      </c>
      <c r="B102" s="90" t="s">
        <v>200</v>
      </c>
      <c r="C102" s="384">
        <f>ROUND((C36-'21R2'!C36)/ABS('21R2'!C36)*100,1)</f>
        <v>1.4</v>
      </c>
      <c r="D102" s="384">
        <f>ROUND((D36-'21R2'!D36)/ABS('21R2'!D36)*100,1)</f>
        <v>43.3</v>
      </c>
      <c r="E102" s="384">
        <f>ROUND((E36-'21R2'!E36)/ABS('21R2'!E36)*100,1)</f>
        <v>17.100000000000001</v>
      </c>
      <c r="F102" s="384">
        <f>ROUND((F36-'21R2'!F36)/ABS('21R2'!F36)*100,1)</f>
        <v>77.599999999999994</v>
      </c>
      <c r="G102" s="384">
        <f>ROUND((G36-'21R2'!G36)/ABS('21R2'!G36)*100,1)</f>
        <v>32.1</v>
      </c>
      <c r="H102" s="384">
        <f>ROUND((H36-'21R2'!H36)/ABS('21R2'!H36)*100,1)</f>
        <v>77.3</v>
      </c>
      <c r="I102" s="384">
        <f>ROUND((I36-'21R2'!I36)/ABS('21R2'!I36)*100,1)</f>
        <v>94</v>
      </c>
      <c r="J102" s="384">
        <f>ROUND((J36-'21R2'!J36)/ABS('21R2'!J36)*100,1)</f>
        <v>66.2</v>
      </c>
      <c r="K102" s="384">
        <f>ROUND((K36-'21R2'!K36)/ABS('21R2'!K36)*100,1)</f>
        <v>49.1</v>
      </c>
      <c r="L102" s="384">
        <f>ROUND((L36-'21R2'!L36)/ABS('21R2'!L36)*100,1)</f>
        <v>-80.2</v>
      </c>
      <c r="M102" s="384">
        <f>ROUND((M36-'21R2'!M36)/ABS('21R2'!M36)*100,1)</f>
        <v>9.9</v>
      </c>
      <c r="N102" s="384">
        <f>ROUND((N36-'21R2'!N36)/ABS('21R2'!N36)*100,1)</f>
        <v>70</v>
      </c>
      <c r="O102" s="384">
        <f>ROUND((O36-'21R2'!O36)/ABS('21R2'!O36)*100,1)</f>
        <v>-42.3</v>
      </c>
      <c r="R102" s="383"/>
      <c r="S102" s="383"/>
    </row>
    <row r="103" spans="1:19">
      <c r="A103" s="293">
        <v>220</v>
      </c>
      <c r="B103" s="90" t="s">
        <v>201</v>
      </c>
      <c r="C103" s="384">
        <f>ROUND((C37-'21R2'!C37)/ABS('21R2'!C37)*100,1)</f>
        <v>-4.4000000000000004</v>
      </c>
      <c r="D103" s="384">
        <f>ROUND((D37-'21R2'!D37)/ABS('21R2'!D37)*100,1)</f>
        <v>29.3</v>
      </c>
      <c r="E103" s="384">
        <f>ROUND((E37-'21R2'!E37)/ABS('21R2'!E37)*100,1)</f>
        <v>28.7</v>
      </c>
      <c r="F103" s="384">
        <f>ROUND((F37-'21R2'!F37)/ABS('21R2'!F37)*100,1)</f>
        <v>110.8</v>
      </c>
      <c r="G103" s="384">
        <f>ROUND((G37-'21R2'!G37)/ABS('21R2'!G37)*100,1)</f>
        <v>14.3</v>
      </c>
      <c r="H103" s="384">
        <f>ROUND((H37-'21R2'!H37)/ABS('21R2'!H37)*100,1)</f>
        <v>112.1</v>
      </c>
      <c r="I103" s="384">
        <f>ROUND((I37-'21R2'!I37)/ABS('21R2'!I37)*100,1)</f>
        <v>93.9</v>
      </c>
      <c r="J103" s="384">
        <f>ROUND((J37-'21R2'!J37)/ABS('21R2'!J37)*100,1)</f>
        <v>19</v>
      </c>
      <c r="K103" s="384">
        <f>ROUND((K37-'21R2'!K37)/ABS('21R2'!K37)*100,1)</f>
        <v>46.3</v>
      </c>
      <c r="L103" s="384">
        <f>ROUND((L37-'21R2'!L37)/ABS('21R2'!L37)*100,1)</f>
        <v>-88.6</v>
      </c>
      <c r="M103" s="384">
        <f>ROUND((M37-'21R2'!M37)/ABS('21R2'!M37)*100,1)</f>
        <v>9.1999999999999993</v>
      </c>
      <c r="N103" s="384">
        <f>ROUND((N37-'21R2'!N37)/ABS('21R2'!N37)*100,1)</f>
        <v>72.5</v>
      </c>
      <c r="O103" s="384">
        <f>ROUND((O37-'21R2'!O37)/ABS('21R2'!O37)*100,1)</f>
        <v>-87.5</v>
      </c>
      <c r="R103" s="383"/>
      <c r="S103" s="383"/>
    </row>
    <row r="104" spans="1:19">
      <c r="A104" s="293">
        <v>228</v>
      </c>
      <c r="B104" s="90" t="s">
        <v>239</v>
      </c>
      <c r="C104" s="384">
        <f>ROUND((C38-'21R2'!C38)/ABS('21R2'!C38)*100,1)</f>
        <v>-21.8</v>
      </c>
      <c r="D104" s="384">
        <f>ROUND((D38-'21R2'!D38)/ABS('21R2'!D38)*100,1)</f>
        <v>34.5</v>
      </c>
      <c r="E104" s="384">
        <f>ROUND((E38-'21R2'!E38)/ABS('21R2'!E38)*100,1)</f>
        <v>18.5</v>
      </c>
      <c r="F104" s="384">
        <f>ROUND((F38-'21R2'!F38)/ABS('21R2'!F38)*100,1)</f>
        <v>52.4</v>
      </c>
      <c r="G104" s="384">
        <f>ROUND((G38-'21R2'!G38)/ABS('21R2'!G38)*100,1)</f>
        <v>-12.3</v>
      </c>
      <c r="H104" s="384">
        <f>ROUND((H38-'21R2'!H38)/ABS('21R2'!H38)*100,1)</f>
        <v>55.1</v>
      </c>
      <c r="I104" s="384">
        <f>ROUND((I38-'21R2'!I38)/ABS('21R2'!I38)*100,1)</f>
        <v>94</v>
      </c>
      <c r="J104" s="384">
        <f>ROUND((J38-'21R2'!J38)/ABS('21R2'!J38)*100,1)</f>
        <v>-18</v>
      </c>
      <c r="K104" s="384">
        <f>ROUND((K38-'21R2'!K38)/ABS('21R2'!K38)*100,1)</f>
        <v>35.4</v>
      </c>
      <c r="L104" s="384">
        <f>ROUND((L38-'21R2'!L38)/ABS('21R2'!L38)*100,1)</f>
        <v>-100.4</v>
      </c>
      <c r="M104" s="384">
        <f>ROUND((M38-'21R2'!M38)/ABS('21R2'!M38)*100,1)</f>
        <v>-5.2</v>
      </c>
      <c r="N104" s="384">
        <f>ROUND((N38-'21R2'!N38)/ABS('21R2'!N38)*100,1)</f>
        <v>68.099999999999994</v>
      </c>
      <c r="O104" s="384">
        <f>ROUND((O38-'21R2'!O38)/ABS('21R2'!O38)*100,1)</f>
        <v>-89.9</v>
      </c>
      <c r="R104" s="383"/>
      <c r="S104" s="383"/>
    </row>
    <row r="105" spans="1:19">
      <c r="A105" s="293">
        <v>365</v>
      </c>
      <c r="B105" s="90" t="s">
        <v>233</v>
      </c>
      <c r="C105" s="384">
        <f>ROUND((C39-'21R2'!C39)/ABS('21R2'!C39)*100,1)</f>
        <v>42.8</v>
      </c>
      <c r="D105" s="384">
        <f>ROUND((D39-'21R2'!D39)/ABS('21R2'!D39)*100,1)</f>
        <v>30.1</v>
      </c>
      <c r="E105" s="384">
        <f>ROUND((E39-'21R2'!E39)/ABS('21R2'!E39)*100,1)</f>
        <v>5.2</v>
      </c>
      <c r="F105" s="384">
        <f>ROUND((F39-'21R2'!F39)/ABS('21R2'!F39)*100,1)</f>
        <v>72.3</v>
      </c>
      <c r="G105" s="384">
        <f>ROUND((G39-'21R2'!G39)/ABS('21R2'!G39)*100,1)</f>
        <v>7.8</v>
      </c>
      <c r="H105" s="384">
        <f>ROUND((H39-'21R2'!H39)/ABS('21R2'!H39)*100,1)</f>
        <v>67.900000000000006</v>
      </c>
      <c r="I105" s="384">
        <f>ROUND((I39-'21R2'!I39)/ABS('21R2'!I39)*100,1)</f>
        <v>94.4</v>
      </c>
      <c r="J105" s="384">
        <f>ROUND((J39-'21R2'!J39)/ABS('21R2'!J39)*100,1)</f>
        <v>383.5</v>
      </c>
      <c r="K105" s="384">
        <f>ROUND((K39-'21R2'!K39)/ABS('21R2'!K39)*100,1)</f>
        <v>44.6</v>
      </c>
      <c r="L105" s="384">
        <f>ROUND((L39-'21R2'!L39)/ABS('21R2'!L39)*100,1)</f>
        <v>29.1</v>
      </c>
      <c r="M105" s="384">
        <f>ROUND((M39-'21R2'!M39)/ABS('21R2'!M39)*100,1)</f>
        <v>52.1</v>
      </c>
      <c r="N105" s="384">
        <f>ROUND((N39-'21R2'!N39)/ABS('21R2'!N39)*100,1)</f>
        <v>57.6</v>
      </c>
      <c r="O105" s="384">
        <f>ROUND((O39-'21R2'!O39)/ABS('21R2'!O39)*100,1)</f>
        <v>-19.8</v>
      </c>
      <c r="R105" s="383"/>
      <c r="S105" s="383"/>
    </row>
    <row r="106" spans="1:19">
      <c r="A106" s="293">
        <v>5</v>
      </c>
      <c r="B106" s="91" t="s">
        <v>202</v>
      </c>
      <c r="C106" s="384">
        <f>ROUND((C40-'21R2'!C40)/ABS('21R2'!C40)*100,1)</f>
        <v>6.7</v>
      </c>
      <c r="D106" s="384">
        <f>ROUND((D40-'21R2'!D40)/ABS('21R2'!D40)*100,1)</f>
        <v>17.899999999999999</v>
      </c>
      <c r="E106" s="384">
        <f>ROUND((E40-'21R2'!E40)/ABS('21R2'!E40)*100,1)</f>
        <v>25.7</v>
      </c>
      <c r="F106" s="384">
        <f>ROUND((F40-'21R2'!F40)/ABS('21R2'!F40)*100,1)</f>
        <v>32.299999999999997</v>
      </c>
      <c r="G106" s="384">
        <f>ROUND((G40-'21R2'!G40)/ABS('21R2'!G40)*100,1)</f>
        <v>10</v>
      </c>
      <c r="H106" s="384">
        <f>ROUND((H40-'21R2'!H40)/ABS('21R2'!H40)*100,1)</f>
        <v>31</v>
      </c>
      <c r="I106" s="384">
        <f>ROUND((I40-'21R2'!I40)/ABS('21R2'!I40)*100,1)</f>
        <v>95</v>
      </c>
      <c r="J106" s="384">
        <f>ROUND((J40-'21R2'!J40)/ABS('21R2'!J40)*100,1)</f>
        <v>-72.400000000000006</v>
      </c>
      <c r="K106" s="384">
        <f>ROUND((K40-'21R2'!K40)/ABS('21R2'!K40)*100,1)</f>
        <v>17</v>
      </c>
      <c r="L106" s="384">
        <f>ROUND((L40-'21R2'!L40)/ABS('21R2'!L40)*100,1)</f>
        <v>-69.2</v>
      </c>
      <c r="M106" s="384">
        <f>ROUND((M40-'21R2'!M40)/ABS('21R2'!M40)*100,1)</f>
        <v>26</v>
      </c>
      <c r="N106" s="384">
        <f>ROUND((N40-'21R2'!N40)/ABS('21R2'!N40)*100,1)</f>
        <v>39.5</v>
      </c>
      <c r="O106" s="384">
        <f>ROUND((O40-'21R2'!O40)/ABS('21R2'!O40)*100,1)</f>
        <v>-194.9</v>
      </c>
      <c r="R106" s="383"/>
      <c r="S106" s="383"/>
    </row>
    <row r="107" spans="1:19">
      <c r="A107" s="293">
        <v>201</v>
      </c>
      <c r="B107" s="92" t="s">
        <v>240</v>
      </c>
      <c r="C107" s="384">
        <f>ROUND((C41-'21R2'!C41)/ABS('21R2'!C41)*100,1)</f>
        <v>8.1</v>
      </c>
      <c r="D107" s="384">
        <f>ROUND((D41-'21R2'!D41)/ABS('21R2'!D41)*100,1)</f>
        <v>17.600000000000001</v>
      </c>
      <c r="E107" s="384">
        <f>ROUND((E41-'21R2'!E41)/ABS('21R2'!E41)*100,1)</f>
        <v>26.6</v>
      </c>
      <c r="F107" s="384">
        <f>ROUND((F41-'21R2'!F41)/ABS('21R2'!F41)*100,1)</f>
        <v>36.700000000000003</v>
      </c>
      <c r="G107" s="384">
        <f>ROUND((G41-'21R2'!G41)/ABS('21R2'!G41)*100,1)</f>
        <v>9.9</v>
      </c>
      <c r="H107" s="384">
        <f>ROUND((H41-'21R2'!H41)/ABS('21R2'!H41)*100,1)</f>
        <v>36</v>
      </c>
      <c r="I107" s="384">
        <f>ROUND((I41-'21R2'!I41)/ABS('21R2'!I41)*100,1)</f>
        <v>95</v>
      </c>
      <c r="J107" s="384">
        <f>ROUND((J41-'21R2'!J41)/ABS('21R2'!J41)*100,1)</f>
        <v>-82.1</v>
      </c>
      <c r="K107" s="384">
        <f>ROUND((K41-'21R2'!K41)/ABS('21R2'!K41)*100,1)</f>
        <v>17.2</v>
      </c>
      <c r="L107" s="384">
        <f>ROUND((L41-'21R2'!L41)/ABS('21R2'!L41)*100,1)</f>
        <v>-66.8</v>
      </c>
      <c r="M107" s="384">
        <f>ROUND((M41-'21R2'!M41)/ABS('21R2'!M41)*100,1)</f>
        <v>28.3</v>
      </c>
      <c r="N107" s="384">
        <f>ROUND((N41-'21R2'!N41)/ABS('21R2'!N41)*100,1)</f>
        <v>39.9</v>
      </c>
      <c r="O107" s="384">
        <f>ROUND((O41-'21R2'!O41)/ABS('21R2'!O41)*100,1)</f>
        <v>-253</v>
      </c>
      <c r="R107" s="383"/>
      <c r="S107" s="383"/>
    </row>
    <row r="108" spans="1:19">
      <c r="A108" s="293">
        <v>442</v>
      </c>
      <c r="B108" s="90" t="s">
        <v>203</v>
      </c>
      <c r="C108" s="384">
        <f>ROUND((C42-'21R2'!C42)/ABS('21R2'!C42)*100,1)</f>
        <v>32.299999999999997</v>
      </c>
      <c r="D108" s="384">
        <f>ROUND((D42-'21R2'!D42)/ABS('21R2'!D42)*100,1)</f>
        <v>9.4</v>
      </c>
      <c r="E108" s="384">
        <f>ROUND((E42-'21R2'!E42)/ABS('21R2'!E42)*100,1)</f>
        <v>15.7</v>
      </c>
      <c r="F108" s="384">
        <f>ROUND((F42-'21R2'!F42)/ABS('21R2'!F42)*100,1)</f>
        <v>92.9</v>
      </c>
      <c r="G108" s="384">
        <f>ROUND((G42-'21R2'!G42)/ABS('21R2'!G42)*100,1)</f>
        <v>53.6</v>
      </c>
      <c r="H108" s="384">
        <f>ROUND((H42-'21R2'!H42)/ABS('21R2'!H42)*100,1)</f>
        <v>84.8</v>
      </c>
      <c r="I108" s="384">
        <f>ROUND((I42-'21R2'!I42)/ABS('21R2'!I42)*100,1)</f>
        <v>94.3</v>
      </c>
      <c r="J108" s="384">
        <f>ROUND((J42-'21R2'!J42)/ABS('21R2'!J42)*100,1)</f>
        <v>49.3</v>
      </c>
      <c r="K108" s="384">
        <f>ROUND((K42-'21R2'!K42)/ABS('21R2'!K42)*100,1)</f>
        <v>27.1</v>
      </c>
      <c r="L108" s="384">
        <f>ROUND((L42-'21R2'!L42)/ABS('21R2'!L42)*100,1)</f>
        <v>108.1</v>
      </c>
      <c r="M108" s="384">
        <f>ROUND((M42-'21R2'!M42)/ABS('21R2'!M42)*100,1)</f>
        <v>56.7</v>
      </c>
      <c r="N108" s="384">
        <f>ROUND((N42-'21R2'!N42)/ABS('21R2'!N42)*100,1)</f>
        <v>56.7</v>
      </c>
      <c r="O108" s="384">
        <f>ROUND((O42-'21R2'!O42)/ABS('21R2'!O42)*100,1)</f>
        <v>22.8</v>
      </c>
      <c r="R108" s="383"/>
      <c r="S108" s="383"/>
    </row>
    <row r="109" spans="1:19">
      <c r="A109" s="293">
        <v>443</v>
      </c>
      <c r="B109" s="90" t="s">
        <v>204</v>
      </c>
      <c r="C109" s="384">
        <f>ROUND((C43-'21R2'!C43)/ABS('21R2'!C43)*100,1)</f>
        <v>-36</v>
      </c>
      <c r="D109" s="384">
        <f>ROUND((D43-'21R2'!D43)/ABS('21R2'!D43)*100,1)</f>
        <v>31.5</v>
      </c>
      <c r="E109" s="384">
        <f>ROUND((E43-'21R2'!E43)/ABS('21R2'!E43)*100,1)</f>
        <v>22.4</v>
      </c>
      <c r="F109" s="384">
        <f>ROUND((F43-'21R2'!F43)/ABS('21R2'!F43)*100,1)</f>
        <v>-29.5</v>
      </c>
      <c r="G109" s="384">
        <f>ROUND((G43-'21R2'!G43)/ABS('21R2'!G43)*100,1)</f>
        <v>10.9</v>
      </c>
      <c r="H109" s="384">
        <f>ROUND((H43-'21R2'!H43)/ABS('21R2'!H43)*100,1)</f>
        <v>-32.1</v>
      </c>
      <c r="I109" s="384">
        <f>ROUND((I43-'21R2'!I43)/ABS('21R2'!I43)*100,1)</f>
        <v>95.8</v>
      </c>
      <c r="J109" s="384">
        <f>ROUND((J43-'21R2'!J43)/ABS('21R2'!J43)*100,1)</f>
        <v>65.8</v>
      </c>
      <c r="K109" s="384">
        <f>ROUND((K43-'21R2'!K43)/ABS('21R2'!K43)*100,1)</f>
        <v>0.7</v>
      </c>
      <c r="L109" s="384">
        <f>ROUND((L43-'21R2'!L43)/ABS('21R2'!L43)*100,1)</f>
        <v>-93</v>
      </c>
      <c r="M109" s="384">
        <f>ROUND((M43-'21R2'!M43)/ABS('21R2'!M43)*100,1)</f>
        <v>-32.4</v>
      </c>
      <c r="N109" s="384">
        <f>ROUND((N43-'21R2'!N43)/ABS('21R2'!N43)*100,1)</f>
        <v>19.399999999999999</v>
      </c>
      <c r="O109" s="384">
        <f>ROUND((O43-'21R2'!O43)/ABS('21R2'!O43)*100,1)</f>
        <v>-20.8</v>
      </c>
      <c r="R109" s="383"/>
      <c r="S109" s="383"/>
    </row>
    <row r="110" spans="1:19">
      <c r="A110" s="293">
        <v>446</v>
      </c>
      <c r="B110" s="90" t="s">
        <v>234</v>
      </c>
      <c r="C110" s="384">
        <f>ROUND((C44-'21R2'!C44)/ABS('21R2'!C44)*100,1)</f>
        <v>109.9</v>
      </c>
      <c r="D110" s="384">
        <f>ROUND((D44-'21R2'!D44)/ABS('21R2'!D44)*100,1)</f>
        <v>19.399999999999999</v>
      </c>
      <c r="E110" s="384">
        <f>ROUND((E44-'21R2'!E44)/ABS('21R2'!E44)*100,1)</f>
        <v>19.2</v>
      </c>
      <c r="F110" s="384">
        <f>ROUND((F44-'21R2'!F44)/ABS('21R2'!F44)*100,1)</f>
        <v>75.3</v>
      </c>
      <c r="G110" s="384">
        <f>ROUND((G44-'21R2'!G44)/ABS('21R2'!G44)*100,1)</f>
        <v>6.1</v>
      </c>
      <c r="H110" s="384">
        <f>ROUND((H44-'21R2'!H44)/ABS('21R2'!H44)*100,1)</f>
        <v>71.7</v>
      </c>
      <c r="I110" s="384">
        <f>ROUND((I44-'21R2'!I44)/ABS('21R2'!I44)*100,1)</f>
        <v>94.4</v>
      </c>
      <c r="J110" s="384">
        <f>ROUND((J44-'21R2'!J44)/ABS('21R2'!J44)*100,1)</f>
        <v>146.6</v>
      </c>
      <c r="K110" s="384">
        <f>ROUND((K44-'21R2'!K44)/ABS('21R2'!K44)*100,1)</f>
        <v>41.9</v>
      </c>
      <c r="L110" s="384">
        <f>ROUND((L44-'21R2'!L44)/ABS('21R2'!L44)*100,1)</f>
        <v>158.80000000000001</v>
      </c>
      <c r="M110" s="384">
        <f>ROUND((M44-'21R2'!M44)/ABS('21R2'!M44)*100,1)</f>
        <v>120.2</v>
      </c>
      <c r="N110" s="384">
        <f>ROUND((N44-'21R2'!N44)/ABS('21R2'!N44)*100,1)</f>
        <v>56.3</v>
      </c>
      <c r="O110" s="384">
        <f>ROUND((O44-'21R2'!O44)/ABS('21R2'!O44)*100,1)</f>
        <v>26.6</v>
      </c>
      <c r="R110" s="383"/>
      <c r="S110" s="383"/>
    </row>
    <row r="111" spans="1:19">
      <c r="A111" s="293">
        <v>6</v>
      </c>
      <c r="B111" s="91" t="s">
        <v>205</v>
      </c>
      <c r="C111" s="384">
        <f>ROUND((C45-'21R2'!C45)/ABS('21R2'!C45)*100,1)</f>
        <v>-1.9</v>
      </c>
      <c r="D111" s="384">
        <f>ROUND((D45-'21R2'!D45)/ABS('21R2'!D45)*100,1)</f>
        <v>22.9</v>
      </c>
      <c r="E111" s="384">
        <f>ROUND((E45-'21R2'!E45)/ABS('21R2'!E45)*100,1)</f>
        <v>17.3</v>
      </c>
      <c r="F111" s="384">
        <f>ROUND((F45-'21R2'!F45)/ABS('21R2'!F45)*100,1)</f>
        <v>57.7</v>
      </c>
      <c r="G111" s="384">
        <f>ROUND((G45-'21R2'!G45)/ABS('21R2'!G45)*100,1)</f>
        <v>28</v>
      </c>
      <c r="H111" s="384">
        <f>ROUND((H45-'21R2'!H45)/ABS('21R2'!H45)*100,1)</f>
        <v>54</v>
      </c>
      <c r="I111" s="384">
        <f>ROUND((I45-'21R2'!I45)/ABS('21R2'!I45)*100,1)</f>
        <v>94.5</v>
      </c>
      <c r="J111" s="384">
        <f>ROUND((J45-'21R2'!J45)/ABS('21R2'!J45)*100,1)</f>
        <v>-38.6</v>
      </c>
      <c r="K111" s="384">
        <f>ROUND((K45-'21R2'!K45)/ABS('21R2'!K45)*100,1)</f>
        <v>25.8</v>
      </c>
      <c r="L111" s="384">
        <f>ROUND((L45-'21R2'!L45)/ABS('21R2'!L45)*100,1)</f>
        <v>-100.2</v>
      </c>
      <c r="M111" s="384">
        <f>ROUND((M45-'21R2'!M45)/ABS('21R2'!M45)*100,1)</f>
        <v>18.8</v>
      </c>
      <c r="N111" s="384">
        <f>ROUND((N45-'21R2'!N45)/ABS('21R2'!N45)*100,1)</f>
        <v>55.8</v>
      </c>
      <c r="O111" s="384">
        <f>ROUND((O45-'21R2'!O45)/ABS('21R2'!O45)*100,1)</f>
        <v>-152.4</v>
      </c>
      <c r="R111" s="383"/>
      <c r="S111" s="383"/>
    </row>
    <row r="112" spans="1:19">
      <c r="A112" s="293">
        <v>208</v>
      </c>
      <c r="B112" s="90" t="s">
        <v>206</v>
      </c>
      <c r="C112" s="384">
        <f>ROUND((C46-'21R2'!C46)/ABS('21R2'!C46)*100,1)</f>
        <v>-32.9</v>
      </c>
      <c r="D112" s="384">
        <f>ROUND((D46-'21R2'!D46)/ABS('21R2'!D46)*100,1)</f>
        <v>17</v>
      </c>
      <c r="E112" s="384">
        <f>ROUND((E46-'21R2'!E46)/ABS('21R2'!E46)*100,1)</f>
        <v>15.6</v>
      </c>
      <c r="F112" s="384">
        <f>ROUND((F46-'21R2'!F46)/ABS('21R2'!F46)*100,1)</f>
        <v>29.3</v>
      </c>
      <c r="G112" s="384">
        <f>ROUND((G46-'21R2'!G46)/ABS('21R2'!G46)*100,1)</f>
        <v>29.4</v>
      </c>
      <c r="H112" s="384">
        <f>ROUND((H46-'21R2'!H46)/ABS('21R2'!H46)*100,1)</f>
        <v>23.8</v>
      </c>
      <c r="I112" s="384">
        <f>ROUND((I46-'21R2'!I46)/ABS('21R2'!I46)*100,1)</f>
        <v>94.7</v>
      </c>
      <c r="J112" s="384">
        <f>ROUND((J46-'21R2'!J46)/ABS('21R2'!J46)*100,1)</f>
        <v>37.1</v>
      </c>
      <c r="K112" s="384">
        <f>ROUND((K46-'21R2'!K46)/ABS('21R2'!K46)*100,1)</f>
        <v>19.8</v>
      </c>
      <c r="L112" s="384">
        <f>ROUND((L46-'21R2'!L46)/ABS('21R2'!L46)*100,1)</f>
        <v>-101.5</v>
      </c>
      <c r="M112" s="384">
        <f>ROUND((M46-'21R2'!M46)/ABS('21R2'!M46)*100,1)</f>
        <v>-21.9</v>
      </c>
      <c r="N112" s="384">
        <f>ROUND((N46-'21R2'!N46)/ABS('21R2'!N46)*100,1)</f>
        <v>50</v>
      </c>
      <c r="O112" s="384">
        <f>ROUND((O46-'21R2'!O46)/ABS('21R2'!O46)*100,1)</f>
        <v>-54.7</v>
      </c>
      <c r="R112" s="383"/>
      <c r="S112" s="383"/>
    </row>
    <row r="113" spans="1:19">
      <c r="A113" s="293">
        <v>212</v>
      </c>
      <c r="B113" s="90" t="s">
        <v>207</v>
      </c>
      <c r="C113" s="384">
        <f>ROUND((C47-'21R2'!C47)/ABS('21R2'!C47)*100,1)</f>
        <v>-6.2</v>
      </c>
      <c r="D113" s="384">
        <f>ROUND((D47-'21R2'!D47)/ABS('21R2'!D47)*100,1)</f>
        <v>21.8</v>
      </c>
      <c r="E113" s="384">
        <f>ROUND((E47-'21R2'!E47)/ABS('21R2'!E47)*100,1)</f>
        <v>16.2</v>
      </c>
      <c r="F113" s="384">
        <f>ROUND((F47-'21R2'!F47)/ABS('21R2'!F47)*100,1)</f>
        <v>32.6</v>
      </c>
      <c r="G113" s="384">
        <f>ROUND((G47-'21R2'!G47)/ABS('21R2'!G47)*100,1)</f>
        <v>-18.899999999999999</v>
      </c>
      <c r="H113" s="384">
        <f>ROUND((H47-'21R2'!H47)/ABS('21R2'!H47)*100,1)</f>
        <v>34.1</v>
      </c>
      <c r="I113" s="384">
        <f>ROUND((I47-'21R2'!I47)/ABS('21R2'!I47)*100,1)</f>
        <v>94.5</v>
      </c>
      <c r="J113" s="384">
        <f>ROUND((J47-'21R2'!J47)/ABS('21R2'!J47)*100,1)</f>
        <v>-26.7</v>
      </c>
      <c r="K113" s="384">
        <f>ROUND((K47-'21R2'!K47)/ABS('21R2'!K47)*100,1)</f>
        <v>23.1</v>
      </c>
      <c r="L113" s="384">
        <f>ROUND((L47-'21R2'!L47)/ABS('21R2'!L47)*100,1)</f>
        <v>-101</v>
      </c>
      <c r="M113" s="384">
        <f>ROUND((M47-'21R2'!M47)/ABS('21R2'!M47)*100,1)</f>
        <v>13.8</v>
      </c>
      <c r="N113" s="384">
        <f>ROUND((N47-'21R2'!N47)/ABS('21R2'!N47)*100,1)</f>
        <v>52.7</v>
      </c>
      <c r="O113" s="384">
        <f>ROUND((O47-'21R2'!O47)/ABS('21R2'!O47)*100,1)</f>
        <v>-109.3</v>
      </c>
      <c r="R113" s="383"/>
      <c r="S113" s="383"/>
    </row>
    <row r="114" spans="1:19">
      <c r="A114" s="293">
        <v>227</v>
      </c>
      <c r="B114" s="90" t="s">
        <v>219</v>
      </c>
      <c r="C114" s="384">
        <f>ROUND((C48-'21R2'!C48)/ABS('21R2'!C48)*100,1)</f>
        <v>15.6</v>
      </c>
      <c r="D114" s="384">
        <f>ROUND((D48-'21R2'!D48)/ABS('21R2'!D48)*100,1)</f>
        <v>13.6</v>
      </c>
      <c r="E114" s="384">
        <f>ROUND((E48-'21R2'!E48)/ABS('21R2'!E48)*100,1)</f>
        <v>18.2</v>
      </c>
      <c r="F114" s="384">
        <f>ROUND((F48-'21R2'!F48)/ABS('21R2'!F48)*100,1)</f>
        <v>70.099999999999994</v>
      </c>
      <c r="G114" s="384">
        <f>ROUND((G48-'21R2'!G48)/ABS('21R2'!G48)*100,1)</f>
        <v>-16.3</v>
      </c>
      <c r="H114" s="384">
        <f>ROUND((H48-'21R2'!H48)/ABS('21R2'!H48)*100,1)</f>
        <v>68.7</v>
      </c>
      <c r="I114" s="384">
        <f>ROUND((I48-'21R2'!I48)/ABS('21R2'!I48)*100,1)</f>
        <v>94.4</v>
      </c>
      <c r="J114" s="384">
        <f>ROUND((J48-'21R2'!J48)/ABS('21R2'!J48)*100,1)</f>
        <v>-41.4</v>
      </c>
      <c r="K114" s="384">
        <f>ROUND((K48-'21R2'!K48)/ABS('21R2'!K48)*100,1)</f>
        <v>18.7</v>
      </c>
      <c r="L114" s="384">
        <f>ROUND((L48-'21R2'!L48)/ABS('21R2'!L48)*100,1)</f>
        <v>-108.1</v>
      </c>
      <c r="M114" s="384">
        <f>ROUND((M48-'21R2'!M48)/ABS('21R2'!M48)*100,1)</f>
        <v>48.4</v>
      </c>
      <c r="N114" s="384">
        <f>ROUND((N48-'21R2'!N48)/ABS('21R2'!N48)*100,1)</f>
        <v>55.6</v>
      </c>
      <c r="O114" s="384">
        <f>ROUND((O48-'21R2'!O48)/ABS('21R2'!O48)*100,1)</f>
        <v>-0.7</v>
      </c>
      <c r="R114" s="383"/>
      <c r="S114" s="383"/>
    </row>
    <row r="115" spans="1:19">
      <c r="A115" s="293">
        <v>229</v>
      </c>
      <c r="B115" s="90" t="s">
        <v>235</v>
      </c>
      <c r="C115" s="384">
        <f>ROUND((C49-'21R2'!C49)/ABS('21R2'!C49)*100,1)</f>
        <v>-5.4</v>
      </c>
      <c r="D115" s="384">
        <f>ROUND((D49-'21R2'!D49)/ABS('21R2'!D49)*100,1)</f>
        <v>29.5</v>
      </c>
      <c r="E115" s="384">
        <f>ROUND((E49-'21R2'!E49)/ABS('21R2'!E49)*100,1)</f>
        <v>16.5</v>
      </c>
      <c r="F115" s="384">
        <f>ROUND((F49-'21R2'!F49)/ABS('21R2'!F49)*100,1)</f>
        <v>54.7</v>
      </c>
      <c r="G115" s="384">
        <f>ROUND((G49-'21R2'!G49)/ABS('21R2'!G49)*100,1)</f>
        <v>78.099999999999994</v>
      </c>
      <c r="H115" s="384">
        <f>ROUND((H49-'21R2'!H49)/ABS('21R2'!H49)*100,1)</f>
        <v>47.3</v>
      </c>
      <c r="I115" s="384">
        <f>ROUND((I49-'21R2'!I49)/ABS('21R2'!I49)*100,1)</f>
        <v>94.6</v>
      </c>
      <c r="J115" s="384">
        <f>ROUND((J49-'21R2'!J49)/ABS('21R2'!J49)*100,1)</f>
        <v>-59.8</v>
      </c>
      <c r="K115" s="384">
        <f>ROUND((K49-'21R2'!K49)/ABS('21R2'!K49)*100,1)</f>
        <v>27</v>
      </c>
      <c r="L115" s="384">
        <f>ROUND((L49-'21R2'!L49)/ABS('21R2'!L49)*100,1)</f>
        <v>-91.2</v>
      </c>
      <c r="M115" s="384">
        <f>ROUND((M49-'21R2'!M49)/ABS('21R2'!M49)*100,1)</f>
        <v>10.1</v>
      </c>
      <c r="N115" s="384">
        <f>ROUND((N49-'21R2'!N49)/ABS('21R2'!N49)*100,1)</f>
        <v>53.1</v>
      </c>
      <c r="O115" s="384">
        <f>ROUND((O49-'21R2'!O49)/ABS('21R2'!O49)*100,1)</f>
        <v>-63.4</v>
      </c>
      <c r="R115" s="383"/>
      <c r="S115" s="383"/>
    </row>
    <row r="116" spans="1:19">
      <c r="A116" s="293">
        <v>464</v>
      </c>
      <c r="B116" s="90" t="s">
        <v>208</v>
      </c>
      <c r="C116" s="384">
        <f>ROUND((C50-'21R2'!C50)/ABS('21R2'!C50)*100,1)</f>
        <v>36.5</v>
      </c>
      <c r="D116" s="384">
        <f>ROUND((D50-'21R2'!D50)/ABS('21R2'!D50)*100,1)</f>
        <v>37.5</v>
      </c>
      <c r="E116" s="384">
        <f>ROUND((E50-'21R2'!E50)/ABS('21R2'!E50)*100,1)</f>
        <v>26.8</v>
      </c>
      <c r="F116" s="384">
        <f>ROUND((F50-'21R2'!F50)/ABS('21R2'!F50)*100,1)</f>
        <v>175.5</v>
      </c>
      <c r="G116" s="384">
        <f>ROUND((G50-'21R2'!G50)/ABS('21R2'!G50)*100,1)</f>
        <v>80.3</v>
      </c>
      <c r="H116" s="384">
        <f>ROUND((H50-'21R2'!H50)/ABS('21R2'!H50)*100,1)</f>
        <v>180.4</v>
      </c>
      <c r="I116" s="384">
        <f>ROUND((I50-'21R2'!I50)/ABS('21R2'!I50)*100,1)</f>
        <v>93.7</v>
      </c>
      <c r="J116" s="384">
        <f>ROUND((J50-'21R2'!J50)/ABS('21R2'!J50)*100,1)</f>
        <v>-45.4</v>
      </c>
      <c r="K116" s="384">
        <f>ROUND((K50-'21R2'!K50)/ABS('21R2'!K50)*100,1)</f>
        <v>51.8</v>
      </c>
      <c r="L116" s="384">
        <f>ROUND((L50-'21R2'!L50)/ABS('21R2'!L50)*100,1)</f>
        <v>-52.9</v>
      </c>
      <c r="M116" s="384">
        <f>ROUND((M50-'21R2'!M50)/ABS('21R2'!M50)*100,1)</f>
        <v>64.599999999999994</v>
      </c>
      <c r="N116" s="384">
        <f>ROUND((N50-'21R2'!N50)/ABS('21R2'!N50)*100,1)</f>
        <v>77.3</v>
      </c>
      <c r="O116" s="384">
        <f>ROUND((O50-'21R2'!O50)/ABS('21R2'!O50)*100,1)</f>
        <v>-567.4</v>
      </c>
      <c r="R116" s="383"/>
      <c r="S116" s="383"/>
    </row>
    <row r="117" spans="1:19">
      <c r="A117" s="293">
        <v>481</v>
      </c>
      <c r="B117" s="90" t="s">
        <v>209</v>
      </c>
      <c r="C117" s="384">
        <f>ROUND((C51-'21R2'!C51)/ABS('21R2'!C51)*100,1)</f>
        <v>24.3</v>
      </c>
      <c r="D117" s="384">
        <f>ROUND((D51-'21R2'!D51)/ABS('21R2'!D51)*100,1)</f>
        <v>9.8000000000000007</v>
      </c>
      <c r="E117" s="384">
        <f>ROUND((E51-'21R2'!E51)/ABS('21R2'!E51)*100,1)</f>
        <v>22.9</v>
      </c>
      <c r="F117" s="384">
        <f>ROUND((F51-'21R2'!F51)/ABS('21R2'!F51)*100,1)</f>
        <v>86.2</v>
      </c>
      <c r="G117" s="384">
        <f>ROUND((G51-'21R2'!G51)/ABS('21R2'!G51)*100,1)</f>
        <v>-17.8</v>
      </c>
      <c r="H117" s="384">
        <f>ROUND((H51-'21R2'!H51)/ABS('21R2'!H51)*100,1)</f>
        <v>84.6</v>
      </c>
      <c r="I117" s="384">
        <f>ROUND((I51-'21R2'!I51)/ABS('21R2'!I51)*100,1)</f>
        <v>94.4</v>
      </c>
      <c r="J117" s="384">
        <f>ROUND((J51-'21R2'!J51)/ABS('21R2'!J51)*100,1)</f>
        <v>54.6</v>
      </c>
      <c r="K117" s="384">
        <f>ROUND((K51-'21R2'!K51)/ABS('21R2'!K51)*100,1)</f>
        <v>28</v>
      </c>
      <c r="L117" s="384">
        <f>ROUND((L51-'21R2'!L51)/ABS('21R2'!L51)*100,1)</f>
        <v>-142.1</v>
      </c>
      <c r="M117" s="384">
        <f>ROUND((M51-'21R2'!M51)/ABS('21R2'!M51)*100,1)</f>
        <v>53.1</v>
      </c>
      <c r="N117" s="384">
        <f>ROUND((N51-'21R2'!N51)/ABS('21R2'!N51)*100,1)</f>
        <v>59.4</v>
      </c>
      <c r="O117" s="384">
        <f>ROUND((O51-'21R2'!O51)/ABS('21R2'!O51)*100,1)</f>
        <v>-41</v>
      </c>
      <c r="R117" s="383"/>
      <c r="S117" s="383"/>
    </row>
    <row r="118" spans="1:19">
      <c r="A118" s="293">
        <v>501</v>
      </c>
      <c r="B118" s="90" t="s">
        <v>236</v>
      </c>
      <c r="C118" s="384">
        <f>ROUND((C52-'21R2'!C52)/ABS('21R2'!C52)*100,1)</f>
        <v>-1.9</v>
      </c>
      <c r="D118" s="384">
        <f>ROUND((D52-'21R2'!D52)/ABS('21R2'!D52)*100,1)</f>
        <v>8</v>
      </c>
      <c r="E118" s="384">
        <f>ROUND((E52-'21R2'!E52)/ABS('21R2'!E52)*100,1)</f>
        <v>10.199999999999999</v>
      </c>
      <c r="F118" s="384">
        <f>ROUND((F52-'21R2'!F52)/ABS('21R2'!F52)*100,1)</f>
        <v>62.3</v>
      </c>
      <c r="G118" s="384">
        <f>ROUND((G52-'21R2'!G52)/ABS('21R2'!G52)*100,1)</f>
        <v>-7.1</v>
      </c>
      <c r="H118" s="384">
        <f>ROUND((H52-'21R2'!H52)/ABS('21R2'!H52)*100,1)</f>
        <v>55.2</v>
      </c>
      <c r="I118" s="384">
        <f>ROUND((I52-'21R2'!I52)/ABS('21R2'!I52)*100,1)</f>
        <v>94.7</v>
      </c>
      <c r="J118" s="384">
        <f>ROUND((J52-'21R2'!J52)/ABS('21R2'!J52)*100,1)</f>
        <v>-52.4</v>
      </c>
      <c r="K118" s="384">
        <f>ROUND((K52-'21R2'!K52)/ABS('21R2'!K52)*100,1)</f>
        <v>8.6999999999999993</v>
      </c>
      <c r="L118" s="384">
        <f>ROUND((L52-'21R2'!L52)/ABS('21R2'!L52)*100,1)</f>
        <v>-1921.8</v>
      </c>
      <c r="M118" s="384">
        <f>ROUND((M52-'21R2'!M52)/ABS('21R2'!M52)*100,1)</f>
        <v>29.9</v>
      </c>
      <c r="N118" s="384">
        <f>ROUND((N52-'21R2'!N52)/ABS('21R2'!N52)*100,1)</f>
        <v>48.6</v>
      </c>
      <c r="O118" s="384">
        <f>ROUND((O52-'21R2'!O52)/ABS('21R2'!O52)*100,1)</f>
        <v>19.7</v>
      </c>
      <c r="R118" s="383"/>
      <c r="S118" s="383"/>
    </row>
    <row r="119" spans="1:19">
      <c r="A119" s="293">
        <v>7</v>
      </c>
      <c r="B119" s="93" t="s">
        <v>210</v>
      </c>
      <c r="C119" s="384">
        <f>ROUND((C53-'21R2'!C53)/ABS('21R2'!C53)*100,1)</f>
        <v>5.0999999999999996</v>
      </c>
      <c r="D119" s="384">
        <f>ROUND((D53-'21R2'!D53)/ABS('21R2'!D53)*100,1)</f>
        <v>12.9</v>
      </c>
      <c r="E119" s="384">
        <f>ROUND((E53-'21R2'!E53)/ABS('21R2'!E53)*100,1)</f>
        <v>18.600000000000001</v>
      </c>
      <c r="F119" s="384">
        <f>ROUND((F53-'21R2'!F53)/ABS('21R2'!F53)*100,1)</f>
        <v>94.9</v>
      </c>
      <c r="G119" s="384">
        <f>ROUND((G53-'21R2'!G53)/ABS('21R2'!G53)*100,1)</f>
        <v>14.9</v>
      </c>
      <c r="H119" s="384">
        <f>ROUND((H53-'21R2'!H53)/ABS('21R2'!H53)*100,1)</f>
        <v>92.6</v>
      </c>
      <c r="I119" s="384">
        <f>ROUND((I53-'21R2'!I53)/ABS('21R2'!I53)*100,1)</f>
        <v>94.3</v>
      </c>
      <c r="J119" s="384">
        <f>ROUND((J53-'21R2'!J53)/ABS('21R2'!J53)*100,1)</f>
        <v>-51.4</v>
      </c>
      <c r="K119" s="384">
        <f>ROUND((K53-'21R2'!K53)/ABS('21R2'!K53)*100,1)</f>
        <v>21.3</v>
      </c>
      <c r="L119" s="384">
        <f>ROUND((L53-'21R2'!L53)/ABS('21R2'!L53)*100,1)</f>
        <v>-175.9</v>
      </c>
      <c r="M119" s="384">
        <f>ROUND((M53-'21R2'!M53)/ABS('21R2'!M53)*100,1)</f>
        <v>36.1</v>
      </c>
      <c r="N119" s="384">
        <f>ROUND((N53-'21R2'!N53)/ABS('21R2'!N53)*100,1)</f>
        <v>58.4</v>
      </c>
      <c r="O119" s="384">
        <f>ROUND((O53-'21R2'!O53)/ABS('21R2'!O53)*100,1)</f>
        <v>-67.2</v>
      </c>
      <c r="R119" s="383"/>
      <c r="S119" s="383"/>
    </row>
    <row r="120" spans="1:19">
      <c r="A120" s="293">
        <v>209</v>
      </c>
      <c r="B120" s="90" t="s">
        <v>221</v>
      </c>
      <c r="C120" s="384">
        <f>ROUND((C54-'21R2'!C54)/ABS('21R2'!C54)*100,1)</f>
        <v>4.9000000000000004</v>
      </c>
      <c r="D120" s="384">
        <f>ROUND((D54-'21R2'!D54)/ABS('21R2'!D54)*100,1)</f>
        <v>16.100000000000001</v>
      </c>
      <c r="E120" s="384">
        <f>ROUND((E54-'21R2'!E54)/ABS('21R2'!E54)*100,1)</f>
        <v>15.7</v>
      </c>
      <c r="F120" s="384">
        <f>ROUND((F54-'21R2'!F54)/ABS('21R2'!F54)*100,1)</f>
        <v>69.099999999999994</v>
      </c>
      <c r="G120" s="384">
        <f>ROUND((G54-'21R2'!G54)/ABS('21R2'!G54)*100,1)</f>
        <v>15.9</v>
      </c>
      <c r="H120" s="384">
        <f>ROUND((H54-'21R2'!H54)/ABS('21R2'!H54)*100,1)</f>
        <v>67.2</v>
      </c>
      <c r="I120" s="384">
        <f>ROUND((I54-'21R2'!I54)/ABS('21R2'!I54)*100,1)</f>
        <v>94.4</v>
      </c>
      <c r="J120" s="384">
        <f>ROUND((J54-'21R2'!J54)/ABS('21R2'!J54)*100,1)</f>
        <v>-46.3</v>
      </c>
      <c r="K120" s="384">
        <f>ROUND((K54-'21R2'!K54)/ABS('21R2'!K54)*100,1)</f>
        <v>20.7</v>
      </c>
      <c r="L120" s="384">
        <f>ROUND((L54-'21R2'!L54)/ABS('21R2'!L54)*100,1)</f>
        <v>-190.2</v>
      </c>
      <c r="M120" s="384">
        <f>ROUND((M54-'21R2'!M54)/ABS('21R2'!M54)*100,1)</f>
        <v>35.299999999999997</v>
      </c>
      <c r="N120" s="384">
        <f>ROUND((N54-'21R2'!N54)/ABS('21R2'!N54)*100,1)</f>
        <v>58.6</v>
      </c>
      <c r="O120" s="384">
        <f>ROUND((O54-'21R2'!O54)/ABS('21R2'!O54)*100,1)</f>
        <v>-38.1</v>
      </c>
      <c r="R120" s="383"/>
      <c r="S120" s="383"/>
    </row>
    <row r="121" spans="1:19">
      <c r="A121" s="293">
        <v>222</v>
      </c>
      <c r="B121" s="90" t="s">
        <v>218</v>
      </c>
      <c r="C121" s="384">
        <f>ROUND((C55-'21R2'!C55)/ABS('21R2'!C55)*100,1)</f>
        <v>15.9</v>
      </c>
      <c r="D121" s="384">
        <f>ROUND((D55-'21R2'!D55)/ABS('21R2'!D55)*100,1)</f>
        <v>7.1</v>
      </c>
      <c r="E121" s="384">
        <f>ROUND((E55-'21R2'!E55)/ABS('21R2'!E55)*100,1)</f>
        <v>22.8</v>
      </c>
      <c r="F121" s="384">
        <f>ROUND((F55-'21R2'!F55)/ABS('21R2'!F55)*100,1)</f>
        <v>91.1</v>
      </c>
      <c r="G121" s="384">
        <f>ROUND((G55-'21R2'!G55)/ABS('21R2'!G55)*100,1)</f>
        <v>7.6</v>
      </c>
      <c r="H121" s="384">
        <f>ROUND((H55-'21R2'!H55)/ABS('21R2'!H55)*100,1)</f>
        <v>86.7</v>
      </c>
      <c r="I121" s="384">
        <f>ROUND((I55-'21R2'!I55)/ABS('21R2'!I55)*100,1)</f>
        <v>94.7</v>
      </c>
      <c r="J121" s="384">
        <f>ROUND((J55-'21R2'!J55)/ABS('21R2'!J55)*100,1)</f>
        <v>-79.2</v>
      </c>
      <c r="K121" s="384">
        <f>ROUND((K55-'21R2'!K55)/ABS('21R2'!K55)*100,1)</f>
        <v>12</v>
      </c>
      <c r="L121" s="384">
        <f>ROUND((L55-'21R2'!L55)/ABS('21R2'!L55)*100,1)</f>
        <v>18.2</v>
      </c>
      <c r="M121" s="384">
        <f>ROUND((M55-'21R2'!M55)/ABS('21R2'!M55)*100,1)</f>
        <v>53.7</v>
      </c>
      <c r="N121" s="384">
        <f>ROUND((N55-'21R2'!N55)/ABS('21R2'!N55)*100,1)</f>
        <v>50.2</v>
      </c>
      <c r="O121" s="384">
        <f>ROUND((O55-'21R2'!O55)/ABS('21R2'!O55)*100,1)</f>
        <v>0.8</v>
      </c>
      <c r="R121" s="383"/>
      <c r="S121" s="383"/>
    </row>
    <row r="122" spans="1:19">
      <c r="A122" s="293">
        <v>225</v>
      </c>
      <c r="B122" s="90" t="s">
        <v>222</v>
      </c>
      <c r="C122" s="384">
        <f>ROUND((C56-'21R2'!C56)/ABS('21R2'!C56)*100,1)</f>
        <v>-8.8000000000000007</v>
      </c>
      <c r="D122" s="384">
        <f>ROUND((D56-'21R2'!D56)/ABS('21R2'!D56)*100,1)</f>
        <v>14</v>
      </c>
      <c r="E122" s="384">
        <f>ROUND((E56-'21R2'!E56)/ABS('21R2'!E56)*100,1)</f>
        <v>19.8</v>
      </c>
      <c r="F122" s="384">
        <f>ROUND((F56-'21R2'!F56)/ABS('21R2'!F56)*100,1)</f>
        <v>184.2</v>
      </c>
      <c r="G122" s="384">
        <f>ROUND((G56-'21R2'!G56)/ABS('21R2'!G56)*100,1)</f>
        <v>1.8</v>
      </c>
      <c r="H122" s="384">
        <f>ROUND((H56-'21R2'!H56)/ABS('21R2'!H56)*100,1)</f>
        <v>191.3</v>
      </c>
      <c r="I122" s="384">
        <f>ROUND((I56-'21R2'!I56)/ABS('21R2'!I56)*100,1)</f>
        <v>93.7</v>
      </c>
      <c r="J122" s="384">
        <f>ROUND((J56-'21R2'!J56)/ABS('21R2'!J56)*100,1)</f>
        <v>-1.9</v>
      </c>
      <c r="K122" s="384">
        <f>ROUND((K56-'21R2'!K56)/ABS('21R2'!K56)*100,1)</f>
        <v>41.6</v>
      </c>
      <c r="L122" s="384">
        <f>ROUND((L56-'21R2'!L56)/ABS('21R2'!L56)*100,1)</f>
        <v>-101</v>
      </c>
      <c r="M122" s="384">
        <f>ROUND((M56-'21R2'!M56)/ABS('21R2'!M56)*100,1)</f>
        <v>14.2</v>
      </c>
      <c r="N122" s="384">
        <f>ROUND((N56-'21R2'!N56)/ABS('21R2'!N56)*100,1)</f>
        <v>75.7</v>
      </c>
      <c r="O122" s="384">
        <f>ROUND((O56-'21R2'!O56)/ABS('21R2'!O56)*100,1)</f>
        <v>-204.6</v>
      </c>
      <c r="R122" s="383"/>
      <c r="S122" s="383"/>
    </row>
    <row r="123" spans="1:19">
      <c r="A123" s="293">
        <v>585</v>
      </c>
      <c r="B123" s="90" t="s">
        <v>220</v>
      </c>
      <c r="C123" s="384">
        <f>ROUND((C57-'21R2'!C57)/ABS('21R2'!C57)*100,1)</f>
        <v>13.5</v>
      </c>
      <c r="D123" s="384">
        <f>ROUND((D57-'21R2'!D57)/ABS('21R2'!D57)*100,1)</f>
        <v>3.9</v>
      </c>
      <c r="E123" s="384">
        <f>ROUND((E57-'21R2'!E57)/ABS('21R2'!E57)*100,1)</f>
        <v>13.4</v>
      </c>
      <c r="F123" s="384">
        <f>ROUND((F57-'21R2'!F57)/ABS('21R2'!F57)*100,1)</f>
        <v>73.900000000000006</v>
      </c>
      <c r="G123" s="384">
        <f>ROUND((G57-'21R2'!G57)/ABS('21R2'!G57)*100,1)</f>
        <v>68.8</v>
      </c>
      <c r="H123" s="384">
        <f>ROUND((H57-'21R2'!H57)/ABS('21R2'!H57)*100,1)</f>
        <v>62.1</v>
      </c>
      <c r="I123" s="384">
        <f>ROUND((I57-'21R2'!I57)/ABS('21R2'!I57)*100,1)</f>
        <v>94.6</v>
      </c>
      <c r="J123" s="384">
        <f>ROUND((J57-'21R2'!J57)/ABS('21R2'!J57)*100,1)</f>
        <v>-62.7</v>
      </c>
      <c r="K123" s="384">
        <f>ROUND((K57-'21R2'!K57)/ABS('21R2'!K57)*100,1)</f>
        <v>7.9</v>
      </c>
      <c r="L123" s="384">
        <f>ROUND((L57-'21R2'!L57)/ABS('21R2'!L57)*100,1)</f>
        <v>20.9</v>
      </c>
      <c r="M123" s="384">
        <f>ROUND((M57-'21R2'!M57)/ABS('21R2'!M57)*100,1)</f>
        <v>54.1</v>
      </c>
      <c r="N123" s="384">
        <f>ROUND((N57-'21R2'!N57)/ABS('21R2'!N57)*100,1)</f>
        <v>49.6</v>
      </c>
      <c r="O123" s="384">
        <f>ROUND((O57-'21R2'!O57)/ABS('21R2'!O57)*100,1)</f>
        <v>13.1</v>
      </c>
      <c r="R123" s="383"/>
      <c r="S123" s="383"/>
    </row>
    <row r="124" spans="1:19">
      <c r="A124" s="293">
        <v>586</v>
      </c>
      <c r="B124" s="90" t="s">
        <v>237</v>
      </c>
      <c r="C124" s="384">
        <f>ROUND((C58-'21R2'!C58)/ABS('21R2'!C58)*100,1)</f>
        <v>29.9</v>
      </c>
      <c r="D124" s="384">
        <f>ROUND((D58-'21R2'!D58)/ABS('21R2'!D58)*100,1)</f>
        <v>12</v>
      </c>
      <c r="E124" s="384">
        <f>ROUND((E58-'21R2'!E58)/ABS('21R2'!E58)*100,1)</f>
        <v>28.5</v>
      </c>
      <c r="F124" s="384">
        <f>ROUND((F58-'21R2'!F58)/ABS('21R2'!F58)*100,1)</f>
        <v>55.7</v>
      </c>
      <c r="G124" s="384">
        <f>ROUND((G58-'21R2'!G58)/ABS('21R2'!G58)*100,1)</f>
        <v>54.6</v>
      </c>
      <c r="H124" s="384">
        <f>ROUND((H58-'21R2'!H58)/ABS('21R2'!H58)*100,1)</f>
        <v>45.5</v>
      </c>
      <c r="I124" s="384">
        <f>ROUND((I58-'21R2'!I58)/ABS('21R2'!I58)*100,1)</f>
        <v>94.7</v>
      </c>
      <c r="J124" s="384">
        <f>ROUND((J58-'21R2'!J58)/ABS('21R2'!J58)*100,1)</f>
        <v>-52.4</v>
      </c>
      <c r="K124" s="384">
        <f>ROUND((K58-'21R2'!K58)/ABS('21R2'!K58)*100,1)</f>
        <v>13.7</v>
      </c>
      <c r="L124" s="384">
        <f>ROUND((L58-'21R2'!L58)/ABS('21R2'!L58)*100,1)</f>
        <v>68.8</v>
      </c>
      <c r="M124" s="384">
        <f>ROUND((M58-'21R2'!M58)/ABS('21R2'!M58)*100,1)</f>
        <v>65.099999999999994</v>
      </c>
      <c r="N124" s="384">
        <f>ROUND((N58-'21R2'!N58)/ABS('21R2'!N58)*100,1)</f>
        <v>46.8</v>
      </c>
      <c r="O124" s="384">
        <f>ROUND((O58-'21R2'!O58)/ABS('21R2'!O58)*100,1)</f>
        <v>-1.4</v>
      </c>
      <c r="R124" s="383"/>
      <c r="S124" s="383"/>
    </row>
    <row r="125" spans="1:19">
      <c r="A125" s="293">
        <v>8</v>
      </c>
      <c r="B125" s="86" t="s">
        <v>211</v>
      </c>
      <c r="C125" s="384">
        <f>ROUND((C59-'21R2'!C59)/ABS('21R2'!C59)*100,1)</f>
        <v>0.9</v>
      </c>
      <c r="D125" s="384">
        <f>ROUND((D59-'21R2'!D59)/ABS('21R2'!D59)*100,1)</f>
        <v>25.7</v>
      </c>
      <c r="E125" s="384">
        <f>ROUND((E59-'21R2'!E59)/ABS('21R2'!E59)*100,1)</f>
        <v>22</v>
      </c>
      <c r="F125" s="384">
        <f>ROUND((F59-'21R2'!F59)/ABS('21R2'!F59)*100,1)</f>
        <v>32.5</v>
      </c>
      <c r="G125" s="384">
        <f>ROUND((G59-'21R2'!G59)/ABS('21R2'!G59)*100,1)</f>
        <v>21.8</v>
      </c>
      <c r="H125" s="384">
        <f>ROUND((H59-'21R2'!H59)/ABS('21R2'!H59)*100,1)</f>
        <v>28.1</v>
      </c>
      <c r="I125" s="384">
        <f>ROUND((I59-'21R2'!I59)/ABS('21R2'!I59)*100,1)</f>
        <v>94.5</v>
      </c>
      <c r="J125" s="384">
        <f>ROUND((J59-'21R2'!J59)/ABS('21R2'!J59)*100,1)</f>
        <v>-50.9</v>
      </c>
      <c r="K125" s="384">
        <f>ROUND((K59-'21R2'!K59)/ABS('21R2'!K59)*100,1)</f>
        <v>23.5</v>
      </c>
      <c r="L125" s="384">
        <f>ROUND((L59-'21R2'!L59)/ABS('21R2'!L59)*100,1)</f>
        <v>-109.5</v>
      </c>
      <c r="M125" s="384">
        <f>ROUND((M59-'21R2'!M59)/ABS('21R2'!M59)*100,1)</f>
        <v>23.6</v>
      </c>
      <c r="N125" s="384">
        <f>ROUND((N59-'21R2'!N59)/ABS('21R2'!N59)*100,1)</f>
        <v>55.2</v>
      </c>
      <c r="O125" s="384">
        <f>ROUND((O59-'21R2'!O59)/ABS('21R2'!O59)*100,1)</f>
        <v>-552.9</v>
      </c>
      <c r="R125" s="383"/>
      <c r="S125" s="383"/>
    </row>
    <row r="126" spans="1:19">
      <c r="A126" s="293">
        <v>221</v>
      </c>
      <c r="B126" s="90" t="s">
        <v>1144</v>
      </c>
      <c r="C126" s="384">
        <f>ROUND((C60-'21R2'!C60)/ABS('21R2'!C60)*100,1)</f>
        <v>-9.8000000000000007</v>
      </c>
      <c r="D126" s="384">
        <f>ROUND((D60-'21R2'!D60)/ABS('21R2'!D60)*100,1)</f>
        <v>23.6</v>
      </c>
      <c r="E126" s="384">
        <f>ROUND((E60-'21R2'!E60)/ABS('21R2'!E60)*100,1)</f>
        <v>25.4</v>
      </c>
      <c r="F126" s="384">
        <f>ROUND((F60-'21R2'!F60)/ABS('21R2'!F60)*100,1)</f>
        <v>73.3</v>
      </c>
      <c r="G126" s="384">
        <f>ROUND((G60-'21R2'!G60)/ABS('21R2'!G60)*100,1)</f>
        <v>109.8</v>
      </c>
      <c r="H126" s="384">
        <f>ROUND((H60-'21R2'!H60)/ABS('21R2'!H60)*100,1)</f>
        <v>60.6</v>
      </c>
      <c r="I126" s="384">
        <f>ROUND((I60-'21R2'!I60)/ABS('21R2'!I60)*100,1)</f>
        <v>94.2</v>
      </c>
      <c r="J126" s="384">
        <f>ROUND((J60-'21R2'!J60)/ABS('21R2'!J60)*100,1)</f>
        <v>-61.3</v>
      </c>
      <c r="K126" s="384">
        <f>ROUND((K60-'21R2'!K60)/ABS('21R2'!K60)*100,1)</f>
        <v>28.3</v>
      </c>
      <c r="L126" s="384">
        <f>ROUND((L60-'21R2'!L60)/ABS('21R2'!L60)*100,1)</f>
        <v>-105.4</v>
      </c>
      <c r="M126" s="384">
        <f>ROUND((M60-'21R2'!M60)/ABS('21R2'!M60)*100,1)</f>
        <v>10.199999999999999</v>
      </c>
      <c r="N126" s="384">
        <f>ROUND((N60-'21R2'!N60)/ABS('21R2'!N60)*100,1)</f>
        <v>61.5</v>
      </c>
      <c r="O126" s="384">
        <f>ROUND((O60-'21R2'!O60)/ABS('21R2'!O60)*100,1)</f>
        <v>-164.6</v>
      </c>
      <c r="R126" s="383"/>
      <c r="S126" s="383"/>
    </row>
    <row r="127" spans="1:19">
      <c r="A127" s="293">
        <v>223</v>
      </c>
      <c r="B127" s="90" t="s">
        <v>223</v>
      </c>
      <c r="C127" s="384">
        <f>ROUND((C61-'21R2'!C61)/ABS('21R2'!C61)*100,1)</f>
        <v>9.8000000000000007</v>
      </c>
      <c r="D127" s="384">
        <f>ROUND((D61-'21R2'!D61)/ABS('21R2'!D61)*100,1)</f>
        <v>27.2</v>
      </c>
      <c r="E127" s="384">
        <f>ROUND((E61-'21R2'!E61)/ABS('21R2'!E61)*100,1)</f>
        <v>19.3</v>
      </c>
      <c r="F127" s="384">
        <f>ROUND((F61-'21R2'!F61)/ABS('21R2'!F61)*100,1)</f>
        <v>14.6</v>
      </c>
      <c r="G127" s="384">
        <f>ROUND((G61-'21R2'!G61)/ABS('21R2'!G61)*100,1)</f>
        <v>-10</v>
      </c>
      <c r="H127" s="384">
        <f>ROUND((H61-'21R2'!H61)/ABS('21R2'!H61)*100,1)</f>
        <v>13.3</v>
      </c>
      <c r="I127" s="384">
        <f>ROUND((I61-'21R2'!I61)/ABS('21R2'!I61)*100,1)</f>
        <v>94.6</v>
      </c>
      <c r="J127" s="384">
        <f>ROUND((J61-'21R2'!J61)/ABS('21R2'!J61)*100,1)</f>
        <v>-42.2</v>
      </c>
      <c r="K127" s="384">
        <f>ROUND((K61-'21R2'!K61)/ABS('21R2'!K61)*100,1)</f>
        <v>20.399999999999999</v>
      </c>
      <c r="L127" s="384">
        <f>ROUND((L61-'21R2'!L61)/ABS('21R2'!L61)*100,1)</f>
        <v>-122.4</v>
      </c>
      <c r="M127" s="384">
        <f>ROUND((M61-'21R2'!M61)/ABS('21R2'!M61)*100,1)</f>
        <v>34.700000000000003</v>
      </c>
      <c r="N127" s="384">
        <f>ROUND((N61-'21R2'!N61)/ABS('21R2'!N61)*100,1)</f>
        <v>51.1</v>
      </c>
      <c r="O127" s="384">
        <f>ROUND((O61-'21R2'!O61)/ABS('21R2'!O61)*100,1)</f>
        <v>-25.8</v>
      </c>
      <c r="R127" s="383"/>
      <c r="S127" s="383"/>
    </row>
    <row r="128" spans="1:19">
      <c r="A128" s="293">
        <v>9</v>
      </c>
      <c r="B128" s="94" t="s">
        <v>212</v>
      </c>
      <c r="C128" s="384">
        <f>ROUND((C62-'21R2'!C62)/ABS('21R2'!C62)*100,1)</f>
        <v>18.8</v>
      </c>
      <c r="D128" s="384">
        <f>ROUND((D62-'21R2'!D62)/ABS('21R2'!D62)*100,1)</f>
        <v>22.7</v>
      </c>
      <c r="E128" s="384">
        <f>ROUND((E62-'21R2'!E62)/ABS('21R2'!E62)*100,1)</f>
        <v>15</v>
      </c>
      <c r="F128" s="384">
        <f>ROUND((F62-'21R2'!F62)/ABS('21R2'!F62)*100,1)</f>
        <v>92.2</v>
      </c>
      <c r="G128" s="384">
        <f>ROUND((G62-'21R2'!G62)/ABS('21R2'!G62)*100,1)</f>
        <v>78</v>
      </c>
      <c r="H128" s="384">
        <f>ROUND((H62-'21R2'!H62)/ABS('21R2'!H62)*100,1)</f>
        <v>81.900000000000006</v>
      </c>
      <c r="I128" s="384">
        <f>ROUND((I62-'21R2'!I62)/ABS('21R2'!I62)*100,1)</f>
        <v>94</v>
      </c>
      <c r="J128" s="384">
        <f>ROUND((J62-'21R2'!J62)/ABS('21R2'!J62)*100,1)</f>
        <v>-31.1</v>
      </c>
      <c r="K128" s="384">
        <f>ROUND((K62-'21R2'!K62)/ABS('21R2'!K62)*100,1)</f>
        <v>28</v>
      </c>
      <c r="L128" s="384">
        <f>ROUND((L62-'21R2'!L62)/ABS('21R2'!L62)*100,1)</f>
        <v>-663.9</v>
      </c>
      <c r="M128" s="384">
        <f>ROUND((M62-'21R2'!M62)/ABS('21R2'!M62)*100,1)</f>
        <v>51.8</v>
      </c>
      <c r="N128" s="384">
        <f>ROUND((N62-'21R2'!N62)/ABS('21R2'!N62)*100,1)</f>
        <v>67.7</v>
      </c>
      <c r="O128" s="384">
        <f>ROUND((O62-'21R2'!O62)/ABS('21R2'!O62)*100,1)</f>
        <v>-11.6</v>
      </c>
      <c r="R128" s="383"/>
      <c r="S128" s="383"/>
    </row>
    <row r="129" spans="1:19">
      <c r="A129" s="293">
        <v>205</v>
      </c>
      <c r="B129" s="92" t="s">
        <v>241</v>
      </c>
      <c r="C129" s="384">
        <f>ROUND((C63-'21R2'!C63)/ABS('21R2'!C63)*100,1)</f>
        <v>14.8</v>
      </c>
      <c r="D129" s="384">
        <f>ROUND((D63-'21R2'!D63)/ABS('21R2'!D63)*100,1)</f>
        <v>24.6</v>
      </c>
      <c r="E129" s="384">
        <f>ROUND((E63-'21R2'!E63)/ABS('21R2'!E63)*100,1)</f>
        <v>-9.9</v>
      </c>
      <c r="F129" s="384">
        <f>ROUND((F63-'21R2'!F63)/ABS('21R2'!F63)*100,1)</f>
        <v>113.6</v>
      </c>
      <c r="G129" s="384">
        <f>ROUND((G63-'21R2'!G63)/ABS('21R2'!G63)*100,1)</f>
        <v>92.8</v>
      </c>
      <c r="H129" s="384">
        <f>ROUND((H63-'21R2'!H63)/ABS('21R2'!H63)*100,1)</f>
        <v>102.7</v>
      </c>
      <c r="I129" s="384">
        <f>ROUND((I63-'21R2'!I63)/ABS('21R2'!I63)*100,1)</f>
        <v>94</v>
      </c>
      <c r="J129" s="384">
        <f>ROUND((J63-'21R2'!J63)/ABS('21R2'!J63)*100,1)</f>
        <v>-62.9</v>
      </c>
      <c r="K129" s="384">
        <f>ROUND((K63-'21R2'!K63)/ABS('21R2'!K63)*100,1)</f>
        <v>25</v>
      </c>
      <c r="L129" s="384">
        <f>ROUND((L63-'21R2'!L63)/ABS('21R2'!L63)*100,1)</f>
        <v>-1361.1</v>
      </c>
      <c r="M129" s="384">
        <f>ROUND((M63-'21R2'!M63)/ABS('21R2'!M63)*100,1)</f>
        <v>46.5</v>
      </c>
      <c r="N129" s="384">
        <f>ROUND((N63-'21R2'!N63)/ABS('21R2'!N63)*100,1)</f>
        <v>68.599999999999994</v>
      </c>
      <c r="O129" s="384">
        <f>ROUND((O63-'21R2'!O63)/ABS('21R2'!O63)*100,1)</f>
        <v>45.5</v>
      </c>
      <c r="R129" s="383"/>
      <c r="S129" s="383"/>
    </row>
    <row r="130" spans="1:19">
      <c r="A130" s="293">
        <v>224</v>
      </c>
      <c r="B130" s="90" t="s">
        <v>224</v>
      </c>
      <c r="C130" s="384">
        <f>ROUND((C64-'21R2'!C64)/ABS('21R2'!C64)*100,1)</f>
        <v>11.9</v>
      </c>
      <c r="D130" s="384">
        <f>ROUND((D64-'21R2'!D64)/ABS('21R2'!D64)*100,1)</f>
        <v>23</v>
      </c>
      <c r="E130" s="384">
        <f>ROUND((E64-'21R2'!E64)/ABS('21R2'!E64)*100,1)</f>
        <v>22.9</v>
      </c>
      <c r="F130" s="384">
        <f>ROUND((F64-'21R2'!F64)/ABS('21R2'!F64)*100,1)</f>
        <v>87.7</v>
      </c>
      <c r="G130" s="384">
        <f>ROUND((G64-'21R2'!G64)/ABS('21R2'!G64)*100,1)</f>
        <v>18.399999999999999</v>
      </c>
      <c r="H130" s="384">
        <f>ROUND((H64-'21R2'!H64)/ABS('21R2'!H64)*100,1)</f>
        <v>86.1</v>
      </c>
      <c r="I130" s="384">
        <f>ROUND((I64-'21R2'!I64)/ABS('21R2'!I64)*100,1)</f>
        <v>93.9</v>
      </c>
      <c r="J130" s="384">
        <f>ROUND((J64-'21R2'!J64)/ABS('21R2'!J64)*100,1)</f>
        <v>-7.3</v>
      </c>
      <c r="K130" s="384">
        <f>ROUND((K64-'21R2'!K64)/ABS('21R2'!K64)*100,1)</f>
        <v>30</v>
      </c>
      <c r="L130" s="384">
        <f>ROUND((L64-'21R2'!L64)/ABS('21R2'!L64)*100,1)</f>
        <v>-185.5</v>
      </c>
      <c r="M130" s="384">
        <f>ROUND((M64-'21R2'!M64)/ABS('21R2'!M64)*100,1)</f>
        <v>44.9</v>
      </c>
      <c r="N130" s="384">
        <f>ROUND((N64-'21R2'!N64)/ABS('21R2'!N64)*100,1)</f>
        <v>70.599999999999994</v>
      </c>
      <c r="O130" s="384">
        <f>ROUND((O64-'21R2'!O64)/ABS('21R2'!O64)*100,1)</f>
        <v>-62.9</v>
      </c>
      <c r="R130" s="383"/>
      <c r="S130" s="383"/>
    </row>
    <row r="131" spans="1:19">
      <c r="A131" s="396">
        <v>226</v>
      </c>
      <c r="B131" s="201" t="s">
        <v>225</v>
      </c>
      <c r="C131" s="384">
        <f>ROUND((C65-'21R2'!C65)/ABS('21R2'!C65)*100,1)</f>
        <v>30.3</v>
      </c>
      <c r="D131" s="384">
        <f>ROUND((D65-'21R2'!D65)/ABS('21R2'!D65)*100,1)</f>
        <v>20.6</v>
      </c>
      <c r="E131" s="384">
        <f>ROUND((E65-'21R2'!E65)/ABS('21R2'!E65)*100,1)</f>
        <v>34.799999999999997</v>
      </c>
      <c r="F131" s="384">
        <f>ROUND((F65-'21R2'!F65)/ABS('21R2'!F65)*100,1)</f>
        <v>75.3</v>
      </c>
      <c r="G131" s="384">
        <f>ROUND((G65-'21R2'!G65)/ABS('21R2'!G65)*100,1)</f>
        <v>117.3</v>
      </c>
      <c r="H131" s="384">
        <f>ROUND((H65-'21R2'!H65)/ABS('21R2'!H65)*100,1)</f>
        <v>57.7</v>
      </c>
      <c r="I131" s="384">
        <f>ROUND((I65-'21R2'!I65)/ABS('21R2'!I65)*100,1)</f>
        <v>94.2</v>
      </c>
      <c r="J131" s="384">
        <f>ROUND((J65-'21R2'!J65)/ABS('21R2'!J65)*100,1)</f>
        <v>-23.4</v>
      </c>
      <c r="K131" s="384">
        <f>ROUND((K65-'21R2'!K65)/ABS('21R2'!K65)*100,1)</f>
        <v>29.1</v>
      </c>
      <c r="L131" s="384">
        <f>ROUND((L65-'21R2'!L65)/ABS('21R2'!L65)*100,1)</f>
        <v>-0.5</v>
      </c>
      <c r="M131" s="384">
        <f>ROUND((M65-'21R2'!M65)/ABS('21R2'!M65)*100,1)</f>
        <v>64.8</v>
      </c>
      <c r="N131" s="384">
        <f>ROUND((N65-'21R2'!N65)/ABS('21R2'!N65)*100,1)</f>
        <v>64.3</v>
      </c>
      <c r="O131" s="384">
        <f>ROUND((O65-'21R2'!O65)/ABS('21R2'!O65)*100,1)</f>
        <v>-39.1</v>
      </c>
      <c r="R131" s="383"/>
      <c r="S131" s="383"/>
    </row>
  </sheetData>
  <mergeCells count="1">
    <mergeCell ref="L2:M2"/>
  </mergeCells>
  <phoneticPr fontId="13"/>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2AC7-EFF8-4E41-86BA-57628C574584}">
  <sheetPr codeName="Sheet8"/>
  <dimension ref="A1:Z83"/>
  <sheetViews>
    <sheetView workbookViewId="0">
      <pane xSplit="2" ySplit="5" topLeftCell="Q43" activePane="bottomRight" state="frozen"/>
      <selection pane="topRight" activeCell="C1" sqref="C1"/>
      <selection pane="bottomLeft" activeCell="A6" sqref="A6"/>
      <selection pane="bottomRight" activeCell="Y52" sqref="Y52"/>
    </sheetView>
  </sheetViews>
  <sheetFormatPr defaultColWidth="9" defaultRowHeight="13"/>
  <cols>
    <col min="1" max="1" width="2.0703125" style="1609" customWidth="1"/>
    <col min="2" max="2" width="34.5703125" style="1609" customWidth="1"/>
    <col min="3" max="7" width="8" style="1609" customWidth="1"/>
    <col min="8" max="8" width="8.5703125" style="1609" customWidth="1"/>
    <col min="9" max="18" width="9.7109375" style="1609" customWidth="1"/>
    <col min="19" max="19" width="10" style="1609" customWidth="1"/>
    <col min="20" max="16384" width="9" style="1609"/>
  </cols>
  <sheetData>
    <row r="1" spans="1:26" ht="22.5" customHeight="1">
      <c r="A1" s="1607"/>
      <c r="B1" s="1608" t="s">
        <v>1470</v>
      </c>
      <c r="C1" s="1608"/>
      <c r="D1" s="1608"/>
      <c r="E1" s="1608"/>
      <c r="F1" s="1608"/>
      <c r="G1" s="1608"/>
    </row>
    <row r="2" spans="1:26" ht="15" customHeight="1" thickBot="1">
      <c r="B2" s="1610"/>
      <c r="C2" s="1610"/>
      <c r="D2" s="1610"/>
      <c r="E2" s="1610"/>
      <c r="F2" s="1610"/>
      <c r="G2" s="1610"/>
      <c r="M2" s="1611"/>
      <c r="N2" s="1611"/>
      <c r="S2" s="1785"/>
    </row>
    <row r="3" spans="1:26" ht="14.15" customHeight="1">
      <c r="A3" s="1612"/>
      <c r="B3" s="1613"/>
      <c r="C3" s="1614"/>
      <c r="D3" s="1614"/>
      <c r="E3" s="1614"/>
      <c r="F3" s="1614"/>
      <c r="G3" s="1614"/>
      <c r="H3" s="1615"/>
      <c r="I3" s="1615"/>
      <c r="J3" s="1615"/>
      <c r="K3" s="1615"/>
      <c r="L3" s="1615"/>
      <c r="M3" s="1615"/>
      <c r="N3" s="1615"/>
      <c r="O3" s="1615"/>
      <c r="P3" s="1615"/>
      <c r="Q3" s="1605"/>
      <c r="R3" s="1606"/>
      <c r="S3" s="1772" t="s">
        <v>11</v>
      </c>
      <c r="T3" s="628"/>
      <c r="U3" s="1677" t="s">
        <v>14</v>
      </c>
      <c r="V3" s="1677" t="s">
        <v>14</v>
      </c>
      <c r="W3" s="1677" t="s">
        <v>14</v>
      </c>
      <c r="X3" s="1677" t="s">
        <v>14</v>
      </c>
    </row>
    <row r="4" spans="1:26" ht="14.15" customHeight="1">
      <c r="A4" s="1616"/>
      <c r="B4" s="1617" t="s">
        <v>1471</v>
      </c>
      <c r="C4" s="1618" t="s">
        <v>1699</v>
      </c>
      <c r="D4" s="1619" t="s">
        <v>1700</v>
      </c>
      <c r="E4" s="1619" t="s">
        <v>1701</v>
      </c>
      <c r="F4" s="1619" t="s">
        <v>1702</v>
      </c>
      <c r="G4" s="1620" t="s">
        <v>1703</v>
      </c>
      <c r="H4" s="1914" t="s">
        <v>1472</v>
      </c>
      <c r="I4" s="1915" t="s">
        <v>1473</v>
      </c>
      <c r="J4" s="1915" t="s">
        <v>1474</v>
      </c>
      <c r="K4" s="1916" t="s">
        <v>1475</v>
      </c>
      <c r="L4" s="1917" t="s">
        <v>1476</v>
      </c>
      <c r="M4" s="1918" t="s">
        <v>1477</v>
      </c>
      <c r="N4" s="1918" t="s">
        <v>1478</v>
      </c>
      <c r="O4" s="1915" t="s">
        <v>1479</v>
      </c>
      <c r="P4" s="1919" t="s">
        <v>1480</v>
      </c>
      <c r="Q4" s="1918" t="s">
        <v>1129</v>
      </c>
      <c r="R4" s="1918" t="s">
        <v>1160</v>
      </c>
      <c r="S4" s="1920" t="s">
        <v>1200</v>
      </c>
      <c r="T4" s="1921" t="s">
        <v>1234</v>
      </c>
      <c r="U4" s="1621" t="s">
        <v>1561</v>
      </c>
      <c r="V4" s="1621" t="s">
        <v>1603</v>
      </c>
      <c r="W4" s="1621" t="s">
        <v>1745</v>
      </c>
      <c r="X4" s="1621" t="s">
        <v>1783</v>
      </c>
    </row>
    <row r="5" spans="1:26" ht="14.15" customHeight="1">
      <c r="A5" s="1622"/>
      <c r="B5" s="1623"/>
      <c r="C5" s="1624">
        <v>2006</v>
      </c>
      <c r="D5" s="1625">
        <v>2007</v>
      </c>
      <c r="E5" s="1625">
        <v>2008</v>
      </c>
      <c r="F5" s="1625">
        <v>2009</v>
      </c>
      <c r="G5" s="1626">
        <v>2010</v>
      </c>
      <c r="H5" s="1922">
        <v>2011</v>
      </c>
      <c r="I5" s="1923">
        <v>2012</v>
      </c>
      <c r="J5" s="1923">
        <v>2013</v>
      </c>
      <c r="K5" s="1923">
        <v>2014</v>
      </c>
      <c r="L5" s="1923">
        <v>2015</v>
      </c>
      <c r="M5" s="1923">
        <v>2016</v>
      </c>
      <c r="N5" s="1923">
        <v>2017</v>
      </c>
      <c r="O5" s="1923">
        <v>2018</v>
      </c>
      <c r="P5" s="1924">
        <v>2019</v>
      </c>
      <c r="Q5" s="1923">
        <v>2020</v>
      </c>
      <c r="R5" s="1923">
        <v>2021</v>
      </c>
      <c r="S5" s="1922">
        <v>2022</v>
      </c>
      <c r="T5" s="1925">
        <v>2023</v>
      </c>
      <c r="U5" s="1627">
        <v>2024</v>
      </c>
      <c r="V5" s="1627">
        <v>2025</v>
      </c>
      <c r="W5" s="1627">
        <v>2026</v>
      </c>
      <c r="X5" s="1627">
        <v>2027</v>
      </c>
    </row>
    <row r="6" spans="1:26" ht="14.15" customHeight="1">
      <c r="A6" s="1628"/>
      <c r="B6" s="1629" t="s">
        <v>294</v>
      </c>
      <c r="C6" s="1630">
        <v>101.90465270038412</v>
      </c>
      <c r="D6" s="1630">
        <v>101.85291093963697</v>
      </c>
      <c r="E6" s="1630">
        <v>102.20736446195475</v>
      </c>
      <c r="F6" s="1630">
        <v>99.817094854098386</v>
      </c>
      <c r="G6" s="1630">
        <v>98.651653453720229</v>
      </c>
      <c r="H6" s="1773">
        <v>98.3</v>
      </c>
      <c r="I6" s="1773">
        <v>97.5</v>
      </c>
      <c r="J6" s="1773">
        <v>97.7</v>
      </c>
      <c r="K6" s="1773">
        <v>99.8</v>
      </c>
      <c r="L6" s="1773">
        <v>99.9</v>
      </c>
      <c r="M6" s="1773">
        <v>99.8</v>
      </c>
      <c r="N6" s="1773">
        <v>100.3</v>
      </c>
      <c r="O6" s="1773">
        <v>100.7</v>
      </c>
      <c r="P6" s="1773">
        <v>101.4</v>
      </c>
      <c r="Q6" s="1774">
        <v>101.4</v>
      </c>
      <c r="R6" s="1786">
        <v>102.6</v>
      </c>
      <c r="S6" s="1787">
        <v>105.7</v>
      </c>
      <c r="T6" s="1664">
        <v>108.4</v>
      </c>
      <c r="U6" s="1664"/>
      <c r="V6" s="1664"/>
      <c r="W6" s="1664"/>
      <c r="X6" s="1664"/>
      <c r="Z6" s="1609" t="s">
        <v>294</v>
      </c>
    </row>
    <row r="7" spans="1:26" ht="14.15" customHeight="1">
      <c r="A7" s="1628"/>
      <c r="B7" s="1631" t="s">
        <v>295</v>
      </c>
      <c r="C7" s="1632">
        <v>101.82271275371315</v>
      </c>
      <c r="D7" s="1632">
        <v>101.76834452124794</v>
      </c>
      <c r="E7" s="1632">
        <v>102.14111369465057</v>
      </c>
      <c r="F7" s="1632">
        <v>99.776178623399659</v>
      </c>
      <c r="G7" s="1632">
        <v>98.619090745098561</v>
      </c>
      <c r="H7" s="1775">
        <v>98.2</v>
      </c>
      <c r="I7" s="1775">
        <v>97.5</v>
      </c>
      <c r="J7" s="1775">
        <v>97.6</v>
      </c>
      <c r="K7" s="1775">
        <v>99.8</v>
      </c>
      <c r="L7" s="1775">
        <v>100</v>
      </c>
      <c r="M7" s="1775">
        <v>99.8</v>
      </c>
      <c r="N7" s="1775">
        <v>100.3</v>
      </c>
      <c r="O7" s="1775">
        <v>100.7</v>
      </c>
      <c r="P7" s="1775">
        <v>101.4</v>
      </c>
      <c r="Q7" s="1774">
        <v>101.5</v>
      </c>
      <c r="R7" s="1774">
        <v>102.6</v>
      </c>
      <c r="S7" s="1788">
        <v>105.8</v>
      </c>
      <c r="T7" s="1664">
        <v>108.4</v>
      </c>
      <c r="U7" s="1664"/>
      <c r="V7" s="1664"/>
      <c r="W7" s="1664"/>
      <c r="X7" s="1664"/>
      <c r="Z7" s="1609" t="s">
        <v>295</v>
      </c>
    </row>
    <row r="8" spans="1:26" ht="14.15" customHeight="1">
      <c r="A8" s="1628"/>
      <c r="B8" s="1633" t="s">
        <v>1481</v>
      </c>
      <c r="C8" s="1634">
        <v>92.100000000000009</v>
      </c>
      <c r="D8" s="1634">
        <v>92.500000000000028</v>
      </c>
      <c r="E8" s="1634">
        <v>95.59999999999998</v>
      </c>
      <c r="F8" s="1634">
        <v>94.5</v>
      </c>
      <c r="G8" s="1634">
        <v>93.899999999999977</v>
      </c>
      <c r="H8" s="1775">
        <v>93.8</v>
      </c>
      <c r="I8" s="1775">
        <v>93.2</v>
      </c>
      <c r="J8" s="1775">
        <v>93.8</v>
      </c>
      <c r="K8" s="1775">
        <v>97.9</v>
      </c>
      <c r="L8" s="1775">
        <v>100.6</v>
      </c>
      <c r="M8" s="1775">
        <v>102.2</v>
      </c>
      <c r="N8" s="1775">
        <v>103.2</v>
      </c>
      <c r="O8" s="1775">
        <v>103.6</v>
      </c>
      <c r="P8" s="1775">
        <v>104.5</v>
      </c>
      <c r="Q8" s="1774">
        <v>104.9</v>
      </c>
      <c r="R8" s="1774">
        <v>105.6</v>
      </c>
      <c r="S8" s="1788">
        <v>112</v>
      </c>
      <c r="T8" s="1664">
        <v>120.7</v>
      </c>
      <c r="U8" s="1664"/>
      <c r="V8" s="1664"/>
      <c r="W8" s="1664"/>
      <c r="X8" s="1664"/>
      <c r="Z8" s="1609" t="s">
        <v>1481</v>
      </c>
    </row>
    <row r="9" spans="1:26" ht="14.15" customHeight="1">
      <c r="A9" s="1628"/>
      <c r="B9" s="1633" t="s">
        <v>148</v>
      </c>
      <c r="C9" s="1634">
        <v>79.40000000000002</v>
      </c>
      <c r="D9" s="1634">
        <v>80.600000000000009</v>
      </c>
      <c r="E9" s="1634">
        <v>81.400000000000034</v>
      </c>
      <c r="F9" s="1634">
        <v>80.90000000000002</v>
      </c>
      <c r="G9" s="1634">
        <v>86.600000000000023</v>
      </c>
      <c r="H9" s="1775">
        <v>97.5</v>
      </c>
      <c r="I9" s="1775">
        <v>97.1</v>
      </c>
      <c r="J9" s="1775">
        <v>96.7</v>
      </c>
      <c r="K9" s="1775">
        <v>100.2</v>
      </c>
      <c r="L9" s="1775">
        <v>99.9</v>
      </c>
      <c r="M9" s="1775">
        <v>101</v>
      </c>
      <c r="N9" s="1775">
        <v>103</v>
      </c>
      <c r="O9" s="1775">
        <v>105.2</v>
      </c>
      <c r="P9" s="1775">
        <v>108.5</v>
      </c>
      <c r="Q9" s="1774">
        <v>112.3</v>
      </c>
      <c r="R9" s="1774">
        <v>117.8</v>
      </c>
      <c r="S9" s="1788">
        <v>121.5</v>
      </c>
      <c r="T9" s="1664">
        <v>125.3</v>
      </c>
      <c r="U9" s="1664"/>
      <c r="V9" s="1664"/>
      <c r="W9" s="1664"/>
      <c r="X9" s="1664"/>
      <c r="Z9" s="1609" t="s">
        <v>148</v>
      </c>
    </row>
    <row r="10" spans="1:26" ht="14.15" customHeight="1">
      <c r="A10" s="1628"/>
      <c r="B10" s="1633" t="s">
        <v>150</v>
      </c>
      <c r="C10" s="1634">
        <v>95.800000000000026</v>
      </c>
      <c r="D10" s="1634">
        <v>96.200000000000045</v>
      </c>
      <c r="E10" s="1634">
        <v>96.600000000000037</v>
      </c>
      <c r="F10" s="1634">
        <v>96.400000000000034</v>
      </c>
      <c r="G10" s="1634">
        <v>95.200000000000031</v>
      </c>
      <c r="H10" s="1775">
        <v>95.2</v>
      </c>
      <c r="I10" s="1775">
        <v>95.3</v>
      </c>
      <c r="J10" s="1775">
        <v>95.9</v>
      </c>
      <c r="K10" s="1775">
        <v>98.9</v>
      </c>
      <c r="L10" s="1775">
        <v>100.5</v>
      </c>
      <c r="M10" s="1775">
        <v>101.9</v>
      </c>
      <c r="N10" s="1775">
        <v>102.3</v>
      </c>
      <c r="O10" s="1775">
        <v>102.1</v>
      </c>
      <c r="P10" s="1775">
        <v>103</v>
      </c>
      <c r="Q10" s="1774">
        <v>103.7</v>
      </c>
      <c r="R10" s="1774">
        <v>104</v>
      </c>
      <c r="S10" s="1788">
        <v>106.2</v>
      </c>
      <c r="T10" s="1664">
        <v>110.3</v>
      </c>
      <c r="U10" s="1664"/>
      <c r="V10" s="1664"/>
      <c r="W10" s="1664"/>
      <c r="X10" s="1664"/>
      <c r="Z10" s="1609" t="s">
        <v>150</v>
      </c>
    </row>
    <row r="11" spans="1:26" ht="14.15" customHeight="1">
      <c r="A11" s="1628"/>
      <c r="B11" s="1633" t="s">
        <v>1482</v>
      </c>
      <c r="C11" s="1634">
        <v>101.50000000000009</v>
      </c>
      <c r="D11" s="1634">
        <v>102.40000000000009</v>
      </c>
      <c r="E11" s="1634">
        <v>103.10000000000005</v>
      </c>
      <c r="F11" s="1634">
        <v>101.60000000000005</v>
      </c>
      <c r="G11" s="1634">
        <v>101.10000000000005</v>
      </c>
      <c r="H11" s="1775">
        <v>100.8</v>
      </c>
      <c r="I11" s="1775">
        <v>100.5</v>
      </c>
      <c r="J11" s="1775">
        <v>100.5</v>
      </c>
      <c r="K11" s="1775">
        <v>100.7</v>
      </c>
      <c r="L11" s="1775">
        <v>99.5</v>
      </c>
      <c r="M11" s="1775">
        <v>98.2</v>
      </c>
      <c r="N11" s="1775">
        <v>98.3</v>
      </c>
      <c r="O11" s="1775">
        <v>98.4</v>
      </c>
      <c r="P11" s="1775">
        <v>98.3</v>
      </c>
      <c r="Q11" s="1774">
        <v>97.5</v>
      </c>
      <c r="R11" s="1774">
        <v>99.1</v>
      </c>
      <c r="S11" s="1788">
        <v>100.8</v>
      </c>
      <c r="T11" s="1664">
        <v>98.9</v>
      </c>
      <c r="U11" s="1664"/>
      <c r="V11" s="1664"/>
      <c r="W11" s="1664"/>
      <c r="X11" s="1664"/>
      <c r="Z11" s="1609" t="s">
        <v>1649</v>
      </c>
    </row>
    <row r="12" spans="1:26" ht="14.15" customHeight="1">
      <c r="A12" s="1628"/>
      <c r="B12" s="1633" t="s">
        <v>151</v>
      </c>
      <c r="C12" s="1634">
        <v>135.40000000000006</v>
      </c>
      <c r="D12" s="1634">
        <v>131.30000000000001</v>
      </c>
      <c r="E12" s="1634">
        <v>129.70000000000002</v>
      </c>
      <c r="F12" s="1634">
        <v>122.60000000000004</v>
      </c>
      <c r="G12" s="1634">
        <v>112.80000000000001</v>
      </c>
      <c r="H12" s="1775">
        <v>104.8</v>
      </c>
      <c r="I12" s="1775">
        <v>98.9</v>
      </c>
      <c r="J12" s="1775">
        <v>96.9</v>
      </c>
      <c r="K12" s="1775">
        <v>99.9</v>
      </c>
      <c r="L12" s="1775">
        <v>100</v>
      </c>
      <c r="M12" s="1775">
        <v>99.7</v>
      </c>
      <c r="N12" s="1775">
        <v>98.9</v>
      </c>
      <c r="O12" s="1775">
        <v>98.1</v>
      </c>
      <c r="P12" s="1775">
        <v>100.6</v>
      </c>
      <c r="Q12" s="1774">
        <v>102.2</v>
      </c>
      <c r="R12" s="1774">
        <v>102.7</v>
      </c>
      <c r="S12" s="1788">
        <v>108.6</v>
      </c>
      <c r="T12" s="1664">
        <v>115.9</v>
      </c>
      <c r="U12" s="1664"/>
      <c r="V12" s="1664"/>
      <c r="W12" s="1664"/>
      <c r="X12" s="1664"/>
      <c r="Z12" s="1609" t="s">
        <v>151</v>
      </c>
    </row>
    <row r="13" spans="1:26" ht="14.15" customHeight="1">
      <c r="A13" s="1628"/>
      <c r="B13" s="1633" t="s">
        <v>152</v>
      </c>
      <c r="C13" s="1634">
        <v>100.29999999999994</v>
      </c>
      <c r="D13" s="1634">
        <v>100.29999999999994</v>
      </c>
      <c r="E13" s="1634">
        <v>100.09999999999994</v>
      </c>
      <c r="F13" s="1634">
        <v>99.999999999999972</v>
      </c>
      <c r="G13" s="1634">
        <v>99.999999999999972</v>
      </c>
      <c r="H13" s="1775">
        <v>99.5</v>
      </c>
      <c r="I13" s="1775">
        <v>99.4</v>
      </c>
      <c r="J13" s="1775">
        <v>99.3</v>
      </c>
      <c r="K13" s="1775">
        <v>99.9</v>
      </c>
      <c r="L13" s="1775">
        <v>100</v>
      </c>
      <c r="M13" s="1775">
        <v>99.4</v>
      </c>
      <c r="N13" s="1775">
        <v>99.4</v>
      </c>
      <c r="O13" s="1775">
        <v>98.5</v>
      </c>
      <c r="P13" s="1775">
        <v>98.8</v>
      </c>
      <c r="Q13" s="1774">
        <v>98.6</v>
      </c>
      <c r="R13" s="1774">
        <v>98.1</v>
      </c>
      <c r="S13" s="1788">
        <v>97.1</v>
      </c>
      <c r="T13" s="1664">
        <v>97.3</v>
      </c>
      <c r="U13" s="1664"/>
      <c r="V13" s="1664"/>
      <c r="W13" s="1664"/>
      <c r="X13" s="1664"/>
      <c r="Z13" s="1609" t="s">
        <v>152</v>
      </c>
    </row>
    <row r="14" spans="1:26" ht="14.15" customHeight="1">
      <c r="A14" s="1628"/>
      <c r="B14" s="1633" t="s">
        <v>153</v>
      </c>
      <c r="C14" s="1634">
        <v>95.3</v>
      </c>
      <c r="D14" s="1634">
        <v>97.400000000000034</v>
      </c>
      <c r="E14" s="1634">
        <v>98.500000000000028</v>
      </c>
      <c r="F14" s="1634">
        <v>94.100000000000009</v>
      </c>
      <c r="G14" s="1634">
        <v>95.799999999999983</v>
      </c>
      <c r="H14" s="1775">
        <v>98.1</v>
      </c>
      <c r="I14" s="1775">
        <v>98.2</v>
      </c>
      <c r="J14" s="1775">
        <v>99.4</v>
      </c>
      <c r="K14" s="1775">
        <v>102.9</v>
      </c>
      <c r="L14" s="1775">
        <v>99.1</v>
      </c>
      <c r="M14" s="1775">
        <v>98.2</v>
      </c>
      <c r="N14" s="1775">
        <v>100.2</v>
      </c>
      <c r="O14" s="1775">
        <v>102.8</v>
      </c>
      <c r="P14" s="1775">
        <v>103.5</v>
      </c>
      <c r="Q14" s="1774">
        <v>102.9</v>
      </c>
      <c r="R14" s="1774">
        <v>107.6</v>
      </c>
      <c r="S14" s="1788">
        <v>110</v>
      </c>
      <c r="T14" s="1664">
        <v>113</v>
      </c>
      <c r="U14" s="1664"/>
      <c r="V14" s="1664"/>
      <c r="W14" s="1664"/>
      <c r="X14" s="1664"/>
      <c r="Z14" s="1609" t="s">
        <v>153</v>
      </c>
    </row>
    <row r="15" spans="1:26" ht="14.15" customHeight="1">
      <c r="A15" s="1628"/>
      <c r="B15" s="1633" t="s">
        <v>1483</v>
      </c>
      <c r="C15" s="1634">
        <v>154.00000000000003</v>
      </c>
      <c r="D15" s="1634">
        <v>143.80000000000004</v>
      </c>
      <c r="E15" s="1634">
        <v>134.00000000000006</v>
      </c>
      <c r="F15" s="1634">
        <v>120.9</v>
      </c>
      <c r="G15" s="1634">
        <v>107.89999999999998</v>
      </c>
      <c r="H15" s="1775">
        <v>101.7</v>
      </c>
      <c r="I15" s="1775">
        <v>97.9</v>
      </c>
      <c r="J15" s="1775">
        <v>98.1</v>
      </c>
      <c r="K15" s="1775">
        <v>99.5</v>
      </c>
      <c r="L15" s="1775">
        <v>100.5</v>
      </c>
      <c r="M15" s="1775">
        <v>97.8</v>
      </c>
      <c r="N15" s="1775">
        <v>95.8</v>
      </c>
      <c r="O15" s="1775">
        <v>93.7</v>
      </c>
      <c r="P15" s="1775">
        <v>91.6</v>
      </c>
      <c r="Q15" s="1774">
        <v>92</v>
      </c>
      <c r="R15" s="1774">
        <v>88.5</v>
      </c>
      <c r="S15" s="1788">
        <v>91.1</v>
      </c>
      <c r="T15" s="1664">
        <v>95</v>
      </c>
      <c r="U15" s="1664"/>
      <c r="V15" s="1664"/>
      <c r="W15" s="1664"/>
      <c r="X15" s="1664"/>
      <c r="Z15" s="1609" t="s">
        <v>1650</v>
      </c>
    </row>
    <row r="16" spans="1:26" ht="14.15" customHeight="1">
      <c r="A16" s="1628"/>
      <c r="B16" s="1633" t="s">
        <v>1239</v>
      </c>
      <c r="C16" s="1634">
        <v>103.10000000000001</v>
      </c>
      <c r="D16" s="1634">
        <v>102.2</v>
      </c>
      <c r="E16" s="1634">
        <v>101.69999999999999</v>
      </c>
      <c r="F16" s="1634">
        <v>99.9</v>
      </c>
      <c r="G16" s="1634">
        <v>98.09999999999998</v>
      </c>
      <c r="H16" s="1775">
        <v>97.1</v>
      </c>
      <c r="I16" s="1775">
        <v>96.7</v>
      </c>
      <c r="J16" s="1775">
        <v>96.8</v>
      </c>
      <c r="K16" s="1775">
        <v>99.5</v>
      </c>
      <c r="L16" s="1775">
        <v>100.1</v>
      </c>
      <c r="M16" s="1775">
        <v>100.9</v>
      </c>
      <c r="N16" s="1775">
        <v>101.1</v>
      </c>
      <c r="O16" s="1775">
        <v>101.9</v>
      </c>
      <c r="P16" s="1775">
        <v>103.5</v>
      </c>
      <c r="Q16" s="1774">
        <v>104.8</v>
      </c>
      <c r="R16" s="1774">
        <v>106.5</v>
      </c>
      <c r="S16" s="1788">
        <v>108.5</v>
      </c>
      <c r="T16" s="1664">
        <v>111.3</v>
      </c>
      <c r="U16" s="1664"/>
      <c r="V16" s="1664"/>
      <c r="W16" s="1664"/>
      <c r="X16" s="1664"/>
      <c r="Z16" s="1609" t="s">
        <v>1239</v>
      </c>
    </row>
    <row r="17" spans="1:26" ht="14.15" customHeight="1">
      <c r="A17" s="1628"/>
      <c r="B17" s="1633" t="s">
        <v>1240</v>
      </c>
      <c r="C17" s="1634">
        <v>105.5000000000001</v>
      </c>
      <c r="D17" s="1634">
        <v>105.50000000000009</v>
      </c>
      <c r="E17" s="1634">
        <v>104.70000000000009</v>
      </c>
      <c r="F17" s="1634">
        <v>101.90000000000008</v>
      </c>
      <c r="G17" s="1634">
        <v>100.40000000000005</v>
      </c>
      <c r="H17" s="1775">
        <v>99.6</v>
      </c>
      <c r="I17" s="1775">
        <v>98.2</v>
      </c>
      <c r="J17" s="1775">
        <v>98</v>
      </c>
      <c r="K17" s="1775">
        <v>99.5</v>
      </c>
      <c r="L17" s="1775">
        <v>100</v>
      </c>
      <c r="M17" s="1775">
        <v>99.5</v>
      </c>
      <c r="N17" s="1775">
        <v>100</v>
      </c>
      <c r="O17" s="1775">
        <v>100</v>
      </c>
      <c r="P17" s="1775">
        <v>99.5</v>
      </c>
      <c r="Q17" s="1774">
        <v>100</v>
      </c>
      <c r="R17" s="1774">
        <v>102.1</v>
      </c>
      <c r="S17" s="1788">
        <v>103.9</v>
      </c>
      <c r="T17" s="1664">
        <v>104.9</v>
      </c>
      <c r="U17" s="1664"/>
      <c r="V17" s="1664"/>
      <c r="W17" s="1664"/>
      <c r="X17" s="1664"/>
      <c r="Z17" s="1609" t="s">
        <v>1240</v>
      </c>
    </row>
    <row r="18" spans="1:26" ht="14.15" customHeight="1">
      <c r="A18" s="1628"/>
      <c r="B18" s="1633" t="s">
        <v>1241</v>
      </c>
      <c r="C18" s="1634">
        <v>92.900000000000034</v>
      </c>
      <c r="D18" s="1634">
        <v>93.600000000000037</v>
      </c>
      <c r="E18" s="1634">
        <v>95.300000000000026</v>
      </c>
      <c r="F18" s="1634">
        <v>95.200000000000031</v>
      </c>
      <c r="G18" s="1634">
        <v>95.000000000000043</v>
      </c>
      <c r="H18" s="1775">
        <v>94.6</v>
      </c>
      <c r="I18" s="1775">
        <v>94.8</v>
      </c>
      <c r="J18" s="1775">
        <v>94.6</v>
      </c>
      <c r="K18" s="1775">
        <v>98.6</v>
      </c>
      <c r="L18" s="1775">
        <v>100.3</v>
      </c>
      <c r="M18" s="1775">
        <v>101.1</v>
      </c>
      <c r="N18" s="1775">
        <v>101.6</v>
      </c>
      <c r="O18" s="1775">
        <v>102.8</v>
      </c>
      <c r="P18" s="1775">
        <v>104.6</v>
      </c>
      <c r="Q18" s="1774">
        <v>105</v>
      </c>
      <c r="R18" s="1774">
        <v>106.2</v>
      </c>
      <c r="S18" s="1788">
        <v>111.2</v>
      </c>
      <c r="T18" s="1664">
        <v>118.9</v>
      </c>
      <c r="U18" s="1664"/>
      <c r="V18" s="1664"/>
      <c r="W18" s="1664"/>
      <c r="X18" s="1664"/>
      <c r="Z18" s="1609" t="s">
        <v>1241</v>
      </c>
    </row>
    <row r="19" spans="1:26" ht="14.15" customHeight="1">
      <c r="A19" s="1628"/>
      <c r="B19" s="1633" t="s">
        <v>1484</v>
      </c>
      <c r="C19" s="1634">
        <v>113.99999999999999</v>
      </c>
      <c r="D19" s="1634">
        <v>111.19999999999999</v>
      </c>
      <c r="E19" s="1634">
        <v>108.69999999999997</v>
      </c>
      <c r="F19" s="1634">
        <v>104.89999999999998</v>
      </c>
      <c r="G19" s="1634">
        <v>104.69999999999997</v>
      </c>
      <c r="H19" s="1775">
        <v>103.3</v>
      </c>
      <c r="I19" s="1775">
        <v>100.6</v>
      </c>
      <c r="J19" s="1775">
        <v>99.6</v>
      </c>
      <c r="K19" s="1775">
        <v>99.7</v>
      </c>
      <c r="L19" s="1775">
        <v>100.2</v>
      </c>
      <c r="M19" s="1775">
        <v>101.1</v>
      </c>
      <c r="N19" s="1775">
        <v>102.8</v>
      </c>
      <c r="O19" s="1775">
        <v>104.9</v>
      </c>
      <c r="P19" s="1775">
        <v>106.2</v>
      </c>
      <c r="Q19" s="1774">
        <v>104</v>
      </c>
      <c r="R19" s="1774">
        <v>104.5</v>
      </c>
      <c r="S19" s="1788">
        <v>109.3</v>
      </c>
      <c r="T19" s="1664">
        <v>113.7</v>
      </c>
      <c r="U19" s="1664"/>
      <c r="V19" s="1664"/>
      <c r="W19" s="1664"/>
      <c r="X19" s="1664"/>
      <c r="Z19" s="1609" t="s">
        <v>1747</v>
      </c>
    </row>
    <row r="20" spans="1:26" ht="14.15" customHeight="1">
      <c r="A20" s="1628"/>
      <c r="B20" s="1633" t="s">
        <v>1485</v>
      </c>
      <c r="C20" s="1634">
        <v>97.700000000000045</v>
      </c>
      <c r="D20" s="1634">
        <v>98.200000000000017</v>
      </c>
      <c r="E20" s="1634">
        <v>98.700000000000017</v>
      </c>
      <c r="F20" s="1634">
        <v>97.200000000000031</v>
      </c>
      <c r="G20" s="1634">
        <v>96.600000000000037</v>
      </c>
      <c r="H20" s="1775">
        <v>96.4</v>
      </c>
      <c r="I20" s="1775">
        <v>95.9</v>
      </c>
      <c r="J20" s="1775">
        <v>96.8</v>
      </c>
      <c r="K20" s="1775">
        <v>99.6</v>
      </c>
      <c r="L20" s="1775">
        <v>99.9</v>
      </c>
      <c r="M20" s="1775">
        <v>99.9</v>
      </c>
      <c r="N20" s="1775">
        <v>100.4</v>
      </c>
      <c r="O20" s="1775">
        <v>101</v>
      </c>
      <c r="P20" s="1775">
        <v>102.4</v>
      </c>
      <c r="Q20" s="1774">
        <v>103.3</v>
      </c>
      <c r="R20" s="1774">
        <v>104.6</v>
      </c>
      <c r="S20" s="1788">
        <v>107.9</v>
      </c>
      <c r="T20" s="1664">
        <v>110</v>
      </c>
      <c r="U20" s="1664"/>
      <c r="V20" s="1664"/>
      <c r="W20" s="1664"/>
      <c r="X20" s="1664"/>
      <c r="Z20" s="1609" t="s">
        <v>1655</v>
      </c>
    </row>
    <row r="21" spans="1:26" ht="14.15" customHeight="1">
      <c r="A21" s="1628"/>
      <c r="B21" s="1633" t="s">
        <v>1486</v>
      </c>
      <c r="C21" s="1634">
        <v>101.9</v>
      </c>
      <c r="D21" s="1634">
        <v>101.6</v>
      </c>
      <c r="E21" s="1634">
        <v>101.9</v>
      </c>
      <c r="F21" s="1634">
        <v>99.4</v>
      </c>
      <c r="G21" s="1634">
        <v>98.1</v>
      </c>
      <c r="H21" s="1775">
        <v>97.7</v>
      </c>
      <c r="I21" s="1775">
        <v>96.8</v>
      </c>
      <c r="J21" s="1775">
        <v>97</v>
      </c>
      <c r="K21" s="1775">
        <v>99.7</v>
      </c>
      <c r="L21" s="1775">
        <v>100.1</v>
      </c>
      <c r="M21" s="1775">
        <v>100.2</v>
      </c>
      <c r="N21" s="1775">
        <v>100.7</v>
      </c>
      <c r="O21" s="1775">
        <v>101.2</v>
      </c>
      <c r="P21" s="1775">
        <v>102.1</v>
      </c>
      <c r="Q21" s="1774">
        <v>102.5</v>
      </c>
      <c r="R21" s="1774">
        <v>103.5</v>
      </c>
      <c r="S21" s="1788">
        <v>107</v>
      </c>
      <c r="T21" s="1664">
        <v>110.9</v>
      </c>
      <c r="U21" s="1664"/>
      <c r="V21" s="1664"/>
      <c r="W21" s="1664"/>
      <c r="X21" s="1664"/>
      <c r="Z21" s="1609" t="s">
        <v>1486</v>
      </c>
    </row>
    <row r="22" spans="1:26" ht="14.15" customHeight="1">
      <c r="A22" s="1628"/>
      <c r="B22" s="1631" t="s">
        <v>1487</v>
      </c>
      <c r="C22" s="1632">
        <v>101.50000000000009</v>
      </c>
      <c r="D22" s="1632">
        <v>102.40000000000009</v>
      </c>
      <c r="E22" s="1632">
        <v>103.10000000000005</v>
      </c>
      <c r="F22" s="1632">
        <v>101.60000000000005</v>
      </c>
      <c r="G22" s="1632">
        <v>101.10000000000005</v>
      </c>
      <c r="H22" s="1775">
        <v>100.8</v>
      </c>
      <c r="I22" s="1775">
        <v>100.5</v>
      </c>
      <c r="J22" s="1775">
        <v>100.5</v>
      </c>
      <c r="K22" s="1775">
        <v>100.7</v>
      </c>
      <c r="L22" s="1775">
        <v>99.5</v>
      </c>
      <c r="M22" s="1775">
        <v>98.2</v>
      </c>
      <c r="N22" s="1775">
        <v>98.3</v>
      </c>
      <c r="O22" s="1775">
        <v>98.4</v>
      </c>
      <c r="P22" s="1775">
        <v>98.3</v>
      </c>
      <c r="Q22" s="1774">
        <v>97.5</v>
      </c>
      <c r="R22" s="1774">
        <v>99.1</v>
      </c>
      <c r="S22" s="1788">
        <v>100.8</v>
      </c>
      <c r="T22" s="1664">
        <v>98.9</v>
      </c>
      <c r="U22" s="1664"/>
      <c r="V22" s="1664"/>
      <c r="W22" s="1664"/>
      <c r="X22" s="1664"/>
      <c r="Z22" s="1609" t="s">
        <v>1487</v>
      </c>
    </row>
    <row r="23" spans="1:26" ht="14.15" customHeight="1">
      <c r="A23" s="1635"/>
      <c r="B23" s="1636" t="s">
        <v>296</v>
      </c>
      <c r="C23" s="1637">
        <v>106.29999999999995</v>
      </c>
      <c r="D23" s="1637">
        <v>106.4</v>
      </c>
      <c r="E23" s="1637">
        <v>105.69999999999999</v>
      </c>
      <c r="F23" s="1637">
        <v>101.89999999999996</v>
      </c>
      <c r="G23" s="1637">
        <v>100.29999999999997</v>
      </c>
      <c r="H23" s="1776">
        <v>99.6</v>
      </c>
      <c r="I23" s="1776">
        <v>98.2</v>
      </c>
      <c r="J23" s="1776">
        <v>98.2</v>
      </c>
      <c r="K23" s="1776">
        <v>99.4</v>
      </c>
      <c r="L23" s="1776">
        <v>99.6</v>
      </c>
      <c r="M23" s="1776">
        <v>99.2</v>
      </c>
      <c r="N23" s="1776">
        <v>99.9</v>
      </c>
      <c r="O23" s="1776">
        <v>100.3</v>
      </c>
      <c r="P23" s="1776">
        <v>100.1</v>
      </c>
      <c r="Q23" s="1774">
        <v>99.5</v>
      </c>
      <c r="R23" s="1774">
        <v>101</v>
      </c>
      <c r="S23" s="1788">
        <v>103.8</v>
      </c>
      <c r="T23" s="1664">
        <v>106.8</v>
      </c>
      <c r="U23" s="1664"/>
      <c r="V23" s="1664"/>
      <c r="W23" s="1664"/>
      <c r="X23" s="1664"/>
      <c r="Z23" s="1609" t="s">
        <v>296</v>
      </c>
    </row>
    <row r="24" spans="1:26" ht="14.15" customHeight="1">
      <c r="A24" s="1628"/>
      <c r="B24" s="1638" t="s">
        <v>1488</v>
      </c>
      <c r="C24" s="1639">
        <v>101.70000000000006</v>
      </c>
      <c r="D24" s="1639">
        <v>101.60000000000007</v>
      </c>
      <c r="E24" s="1639">
        <v>101.50000000000006</v>
      </c>
      <c r="F24" s="1639">
        <v>100.20000000000007</v>
      </c>
      <c r="G24" s="1639">
        <v>99.700000000000045</v>
      </c>
      <c r="H24" s="1775">
        <v>99.5</v>
      </c>
      <c r="I24" s="1775">
        <v>98.7</v>
      </c>
      <c r="J24" s="1775">
        <v>98.4</v>
      </c>
      <c r="K24" s="1775">
        <v>100.2</v>
      </c>
      <c r="L24" s="1775">
        <v>100</v>
      </c>
      <c r="M24" s="1775">
        <v>99.6</v>
      </c>
      <c r="N24" s="1775">
        <v>100.2</v>
      </c>
      <c r="O24" s="1775">
        <v>100.4</v>
      </c>
      <c r="P24" s="1775">
        <v>100.8</v>
      </c>
      <c r="Q24" s="1774">
        <v>99.8</v>
      </c>
      <c r="R24" s="1774">
        <v>100.9</v>
      </c>
      <c r="S24" s="1788">
        <v>102.6</v>
      </c>
      <c r="T24" s="1664">
        <v>103.7</v>
      </c>
      <c r="U24" s="1664"/>
      <c r="V24" s="1664"/>
      <c r="W24" s="1664"/>
      <c r="X24" s="1664"/>
      <c r="Z24" s="1609" t="s">
        <v>1657</v>
      </c>
    </row>
    <row r="25" spans="1:26" ht="14.15" customHeight="1">
      <c r="A25" s="1628"/>
      <c r="B25" s="1631" t="s">
        <v>1245</v>
      </c>
      <c r="C25" s="1632">
        <v>101.70000000000006</v>
      </c>
      <c r="D25" s="1632">
        <v>101.60000000000007</v>
      </c>
      <c r="E25" s="1632">
        <v>101.50000000000006</v>
      </c>
      <c r="F25" s="1632">
        <v>100.20000000000007</v>
      </c>
      <c r="G25" s="1632">
        <v>99.700000000000045</v>
      </c>
      <c r="H25" s="1775">
        <v>99.5</v>
      </c>
      <c r="I25" s="1775">
        <v>98.7</v>
      </c>
      <c r="J25" s="1775">
        <v>98.4</v>
      </c>
      <c r="K25" s="1775">
        <v>100.2</v>
      </c>
      <c r="L25" s="1775">
        <v>100</v>
      </c>
      <c r="M25" s="1775">
        <v>99.6</v>
      </c>
      <c r="N25" s="1775">
        <v>100.2</v>
      </c>
      <c r="O25" s="1775">
        <v>100.4</v>
      </c>
      <c r="P25" s="1775">
        <v>100.8</v>
      </c>
      <c r="Q25" s="1774">
        <v>99.8</v>
      </c>
      <c r="R25" s="1774">
        <v>100.9</v>
      </c>
      <c r="S25" s="1788">
        <v>102.6</v>
      </c>
      <c r="T25" s="1664">
        <v>103.7</v>
      </c>
      <c r="U25" s="1664"/>
      <c r="V25" s="1664"/>
      <c r="W25" s="1664"/>
      <c r="X25" s="1664"/>
      <c r="Z25" s="1609" t="s">
        <v>1245</v>
      </c>
    </row>
    <row r="26" spans="1:26" ht="14.15" customHeight="1">
      <c r="A26" s="1628"/>
      <c r="B26" s="1631" t="s">
        <v>1246</v>
      </c>
      <c r="C26" s="1632">
        <v>101.70000000000006</v>
      </c>
      <c r="D26" s="1632">
        <v>101.60000000000007</v>
      </c>
      <c r="E26" s="1632">
        <v>101.50000000000006</v>
      </c>
      <c r="F26" s="1632">
        <v>100.20000000000007</v>
      </c>
      <c r="G26" s="1632">
        <v>99.700000000000045</v>
      </c>
      <c r="H26" s="1775">
        <v>99.5</v>
      </c>
      <c r="I26" s="1775">
        <v>98.7</v>
      </c>
      <c r="J26" s="1775">
        <v>98.4</v>
      </c>
      <c r="K26" s="1775">
        <v>100.2</v>
      </c>
      <c r="L26" s="1775">
        <v>100</v>
      </c>
      <c r="M26" s="1775">
        <v>99.6</v>
      </c>
      <c r="N26" s="1775">
        <v>100.2</v>
      </c>
      <c r="O26" s="1775">
        <v>100.4</v>
      </c>
      <c r="P26" s="1775">
        <v>100.8</v>
      </c>
      <c r="Q26" s="1774">
        <v>99.8</v>
      </c>
      <c r="R26" s="1774">
        <v>100.9</v>
      </c>
      <c r="S26" s="1788">
        <v>102.6</v>
      </c>
      <c r="T26" s="1664">
        <v>103.7</v>
      </c>
      <c r="U26" s="1664"/>
      <c r="V26" s="1664"/>
      <c r="W26" s="1664"/>
      <c r="X26" s="1664"/>
      <c r="Z26" s="1609" t="s">
        <v>1246</v>
      </c>
    </row>
    <row r="27" spans="1:26" ht="14.15" customHeight="1">
      <c r="A27" s="1635"/>
      <c r="B27" s="1640" t="s">
        <v>1489</v>
      </c>
      <c r="C27" s="1641">
        <v>101.70000000000006</v>
      </c>
      <c r="D27" s="1641">
        <v>101.60000000000007</v>
      </c>
      <c r="E27" s="1641">
        <v>101.50000000000006</v>
      </c>
      <c r="F27" s="1641">
        <v>100.20000000000007</v>
      </c>
      <c r="G27" s="1641">
        <v>99.700000000000045</v>
      </c>
      <c r="H27" s="1776">
        <v>99.5</v>
      </c>
      <c r="I27" s="1776">
        <v>98.7</v>
      </c>
      <c r="J27" s="1776">
        <v>98.4</v>
      </c>
      <c r="K27" s="1776">
        <v>100.2</v>
      </c>
      <c r="L27" s="1776">
        <v>100</v>
      </c>
      <c r="M27" s="1776">
        <v>99.6</v>
      </c>
      <c r="N27" s="1776">
        <v>100.2</v>
      </c>
      <c r="O27" s="1776">
        <v>100.4</v>
      </c>
      <c r="P27" s="1776">
        <v>100.8</v>
      </c>
      <c r="Q27" s="1774">
        <v>99.8</v>
      </c>
      <c r="R27" s="1774">
        <v>100.9</v>
      </c>
      <c r="S27" s="1788">
        <v>102.6</v>
      </c>
      <c r="T27" s="1664">
        <v>103.7</v>
      </c>
      <c r="U27" s="1664"/>
      <c r="V27" s="1664"/>
      <c r="W27" s="1664"/>
      <c r="X27" s="1664"/>
      <c r="Z27" s="1609" t="s">
        <v>1660</v>
      </c>
    </row>
    <row r="28" spans="1:26" ht="14.15" customHeight="1">
      <c r="A28" s="1628"/>
      <c r="B28" s="1633" t="s">
        <v>1490</v>
      </c>
      <c r="C28" s="1634">
        <v>99.582596109745438</v>
      </c>
      <c r="D28" s="1634">
        <v>100.16782847320911</v>
      </c>
      <c r="E28" s="1634">
        <v>100.978640819066</v>
      </c>
      <c r="F28" s="1634">
        <v>98.087022274577379</v>
      </c>
      <c r="G28" s="1634">
        <v>97.326063838231519</v>
      </c>
      <c r="H28" s="1775">
        <v>96.9</v>
      </c>
      <c r="I28" s="1775">
        <v>96.6</v>
      </c>
      <c r="J28" s="1775">
        <v>97.8</v>
      </c>
      <c r="K28" s="1775">
        <v>99.6</v>
      </c>
      <c r="L28" s="1775">
        <v>99.9</v>
      </c>
      <c r="M28" s="1775">
        <v>99.3</v>
      </c>
      <c r="N28" s="1775">
        <v>100.3</v>
      </c>
      <c r="O28" s="1775">
        <v>101.4</v>
      </c>
      <c r="P28" s="1775">
        <v>102</v>
      </c>
      <c r="Q28" s="1774">
        <v>102</v>
      </c>
      <c r="R28" s="1774">
        <v>105.4</v>
      </c>
      <c r="S28" s="1788">
        <v>110.5</v>
      </c>
      <c r="T28" s="1664">
        <v>113.9</v>
      </c>
      <c r="U28" s="1664"/>
      <c r="V28" s="1664"/>
      <c r="W28" s="1664"/>
      <c r="X28" s="1664"/>
      <c r="Z28" s="1609" t="s">
        <v>960</v>
      </c>
    </row>
    <row r="29" spans="1:26" ht="14.15" customHeight="1">
      <c r="A29" s="1628"/>
      <c r="B29" s="1631" t="s">
        <v>305</v>
      </c>
      <c r="C29" s="1632">
        <v>99.706433422217415</v>
      </c>
      <c r="D29" s="1632">
        <v>100.25828105265518</v>
      </c>
      <c r="E29" s="1632">
        <v>101.04117178404772</v>
      </c>
      <c r="F29" s="1632">
        <v>98.045151488247711</v>
      </c>
      <c r="G29" s="1632">
        <v>97.320559794010961</v>
      </c>
      <c r="H29" s="1775">
        <v>96.9</v>
      </c>
      <c r="I29" s="1775">
        <v>96.6</v>
      </c>
      <c r="J29" s="1775">
        <v>97.7</v>
      </c>
      <c r="K29" s="1775">
        <v>99.6</v>
      </c>
      <c r="L29" s="1775">
        <v>99.9</v>
      </c>
      <c r="M29" s="1775">
        <v>99.3</v>
      </c>
      <c r="N29" s="1775">
        <v>100.3</v>
      </c>
      <c r="O29" s="1775">
        <v>101.4</v>
      </c>
      <c r="P29" s="1775">
        <v>102.1</v>
      </c>
      <c r="Q29" s="1774">
        <v>101.9</v>
      </c>
      <c r="R29" s="1774">
        <v>105.4</v>
      </c>
      <c r="S29" s="1788">
        <v>110.2</v>
      </c>
      <c r="T29" s="1664">
        <v>113.5</v>
      </c>
      <c r="U29" s="1664"/>
      <c r="V29" s="1664"/>
      <c r="W29" s="1664"/>
      <c r="X29" s="1664"/>
      <c r="Z29" s="1609" t="s">
        <v>305</v>
      </c>
    </row>
    <row r="30" spans="1:26" ht="14.15" customHeight="1">
      <c r="A30" s="1628"/>
      <c r="B30" s="1631" t="s">
        <v>306</v>
      </c>
      <c r="C30" s="1632">
        <v>100.66606309903099</v>
      </c>
      <c r="D30" s="1632">
        <v>101.0780077673428</v>
      </c>
      <c r="E30" s="1632">
        <v>101.65826398394773</v>
      </c>
      <c r="F30" s="1632">
        <v>98.67524163819661</v>
      </c>
      <c r="G30" s="1632">
        <v>97.790527080167095</v>
      </c>
      <c r="H30" s="1775">
        <v>97.3</v>
      </c>
      <c r="I30" s="1775">
        <v>96.9</v>
      </c>
      <c r="J30" s="1775">
        <v>98</v>
      </c>
      <c r="K30" s="1775">
        <v>99.6</v>
      </c>
      <c r="L30" s="1775">
        <v>99.9</v>
      </c>
      <c r="M30" s="1775">
        <v>99.2</v>
      </c>
      <c r="N30" s="1775">
        <v>100.2</v>
      </c>
      <c r="O30" s="1775">
        <v>101.2</v>
      </c>
      <c r="P30" s="1775">
        <v>101.7</v>
      </c>
      <c r="Q30" s="1774">
        <v>101.4</v>
      </c>
      <c r="R30" s="1774">
        <v>104.9</v>
      </c>
      <c r="S30" s="1788">
        <v>109.6</v>
      </c>
      <c r="T30" s="1664">
        <v>112.9</v>
      </c>
      <c r="U30" s="1664"/>
      <c r="V30" s="1664"/>
      <c r="W30" s="1664"/>
      <c r="X30" s="1664"/>
      <c r="Z30" s="1609" t="s">
        <v>1248</v>
      </c>
    </row>
    <row r="31" spans="1:26" ht="14.15" customHeight="1">
      <c r="A31" s="1628"/>
      <c r="B31" s="1638" t="s">
        <v>307</v>
      </c>
      <c r="C31" s="1639">
        <v>94</v>
      </c>
      <c r="D31" s="1639">
        <v>95.7</v>
      </c>
      <c r="E31" s="1639">
        <v>98.000000000000028</v>
      </c>
      <c r="F31" s="1639">
        <v>95.100000000000009</v>
      </c>
      <c r="G31" s="1639">
        <v>94.800000000000011</v>
      </c>
      <c r="H31" s="1775">
        <v>94.7</v>
      </c>
      <c r="I31" s="1775">
        <v>94.2</v>
      </c>
      <c r="J31" s="1775">
        <v>96.4</v>
      </c>
      <c r="K31" s="1775">
        <v>99.8</v>
      </c>
      <c r="L31" s="1775">
        <v>99.9</v>
      </c>
      <c r="M31" s="1775">
        <v>99.8</v>
      </c>
      <c r="N31" s="1775">
        <v>101.6</v>
      </c>
      <c r="O31" s="1775">
        <v>103.2</v>
      </c>
      <c r="P31" s="1775">
        <v>104.8</v>
      </c>
      <c r="Q31" s="1774">
        <v>105.3</v>
      </c>
      <c r="R31" s="1774">
        <v>113.4</v>
      </c>
      <c r="S31" s="1788">
        <v>119.3</v>
      </c>
      <c r="T31" s="1926">
        <v>119.4</v>
      </c>
      <c r="U31" s="1926"/>
      <c r="V31" s="1664"/>
      <c r="W31" s="1664"/>
      <c r="X31" s="1664"/>
      <c r="Z31" s="1609" t="s">
        <v>1249</v>
      </c>
    </row>
    <row r="32" spans="1:26" ht="14.15" customHeight="1">
      <c r="A32" s="1628"/>
      <c r="B32" s="1638" t="s">
        <v>308</v>
      </c>
      <c r="C32" s="1639">
        <v>102.09999999999997</v>
      </c>
      <c r="D32" s="1639">
        <v>102.2</v>
      </c>
      <c r="E32" s="1639">
        <v>102.39999999999998</v>
      </c>
      <c r="F32" s="1639">
        <v>99.4</v>
      </c>
      <c r="G32" s="1639">
        <v>98.4</v>
      </c>
      <c r="H32" s="1775">
        <v>97.8</v>
      </c>
      <c r="I32" s="1775">
        <v>97.5</v>
      </c>
      <c r="J32" s="1775">
        <v>98.3</v>
      </c>
      <c r="K32" s="1775">
        <v>99.5</v>
      </c>
      <c r="L32" s="1775">
        <v>99.9</v>
      </c>
      <c r="M32" s="1775">
        <v>99.1</v>
      </c>
      <c r="N32" s="1775">
        <v>99.9</v>
      </c>
      <c r="O32" s="1775">
        <v>100.8</v>
      </c>
      <c r="P32" s="1775">
        <v>101.1</v>
      </c>
      <c r="Q32" s="1774">
        <v>100.7</v>
      </c>
      <c r="R32" s="1774">
        <v>103.3</v>
      </c>
      <c r="S32" s="1788">
        <v>107.8</v>
      </c>
      <c r="T32" s="1926">
        <v>111.6</v>
      </c>
      <c r="U32" s="1926"/>
      <c r="V32" s="1664"/>
      <c r="W32" s="1664"/>
      <c r="X32" s="1664"/>
      <c r="Z32" s="1609" t="s">
        <v>1250</v>
      </c>
    </row>
    <row r="33" spans="1:26" ht="14.15" customHeight="1">
      <c r="A33" s="1628"/>
      <c r="B33" s="1638" t="s">
        <v>309</v>
      </c>
      <c r="C33" s="1639">
        <v>94.163306493056595</v>
      </c>
      <c r="D33" s="1639">
        <v>95.601527385285024</v>
      </c>
      <c r="E33" s="1639">
        <v>97.662696189995984</v>
      </c>
      <c r="F33" s="1639">
        <v>94.616219897280644</v>
      </c>
      <c r="G33" s="1639">
        <v>94.650265708309902</v>
      </c>
      <c r="H33" s="1775">
        <v>94.9</v>
      </c>
      <c r="I33" s="1775">
        <v>94.7</v>
      </c>
      <c r="J33" s="1775">
        <v>96.2</v>
      </c>
      <c r="K33" s="1775">
        <v>99.6</v>
      </c>
      <c r="L33" s="1775">
        <v>99.8</v>
      </c>
      <c r="M33" s="1775">
        <v>99.5</v>
      </c>
      <c r="N33" s="1775">
        <v>101.1</v>
      </c>
      <c r="O33" s="1775">
        <v>102.8</v>
      </c>
      <c r="P33" s="1775">
        <v>104.4</v>
      </c>
      <c r="Q33" s="1774">
        <v>104.8</v>
      </c>
      <c r="R33" s="1774">
        <v>108.3</v>
      </c>
      <c r="S33" s="1788">
        <v>113.3</v>
      </c>
      <c r="T33" s="1926">
        <v>117.2</v>
      </c>
      <c r="U33" s="1926"/>
      <c r="V33" s="1664"/>
      <c r="W33" s="1664"/>
      <c r="X33" s="1664"/>
      <c r="Z33" s="1609" t="s">
        <v>1251</v>
      </c>
    </row>
    <row r="34" spans="1:26" ht="14.15" customHeight="1">
      <c r="A34" s="1628"/>
      <c r="B34" s="1631" t="s">
        <v>307</v>
      </c>
      <c r="C34" s="1632">
        <v>93.000000000000043</v>
      </c>
      <c r="D34" s="1632">
        <v>94.70000000000006</v>
      </c>
      <c r="E34" s="1632">
        <v>97.400000000000048</v>
      </c>
      <c r="F34" s="1632">
        <v>94.100000000000023</v>
      </c>
      <c r="G34" s="1632">
        <v>94.200000000000031</v>
      </c>
      <c r="H34" s="1775">
        <v>94.8</v>
      </c>
      <c r="I34" s="1775">
        <v>94.3</v>
      </c>
      <c r="J34" s="1775">
        <v>96.3</v>
      </c>
      <c r="K34" s="1775">
        <v>99.9</v>
      </c>
      <c r="L34" s="1775">
        <v>99.8</v>
      </c>
      <c r="M34" s="1775">
        <v>99.5</v>
      </c>
      <c r="N34" s="1775">
        <v>101.2</v>
      </c>
      <c r="O34" s="1775">
        <v>103</v>
      </c>
      <c r="P34" s="1775">
        <v>105.1</v>
      </c>
      <c r="Q34" s="1774">
        <v>105.5</v>
      </c>
      <c r="R34" s="1774">
        <v>111.2</v>
      </c>
      <c r="S34" s="1788">
        <v>117.9</v>
      </c>
      <c r="T34" s="1664">
        <v>120.5</v>
      </c>
      <c r="U34" s="1664"/>
      <c r="V34" s="1664"/>
      <c r="W34" s="1664"/>
      <c r="X34" s="1664"/>
      <c r="Z34" s="1609" t="s">
        <v>1249</v>
      </c>
    </row>
    <row r="35" spans="1:26" ht="14.15" customHeight="1">
      <c r="A35" s="1628"/>
      <c r="B35" s="1631" t="s">
        <v>308</v>
      </c>
      <c r="C35" s="1632">
        <v>98.499999999999972</v>
      </c>
      <c r="D35" s="1632">
        <v>99.599999999999952</v>
      </c>
      <c r="E35" s="1632">
        <v>100.99999999999993</v>
      </c>
      <c r="F35" s="1632">
        <v>97.799999999999926</v>
      </c>
      <c r="G35" s="1632">
        <v>97.09999999999998</v>
      </c>
      <c r="H35" s="1775">
        <v>96.8</v>
      </c>
      <c r="I35" s="1775">
        <v>96.4</v>
      </c>
      <c r="J35" s="1775">
        <v>97.7</v>
      </c>
      <c r="K35" s="1775">
        <v>99.5</v>
      </c>
      <c r="L35" s="1775">
        <v>99.8</v>
      </c>
      <c r="M35" s="1775">
        <v>99.2</v>
      </c>
      <c r="N35" s="1775">
        <v>100.5</v>
      </c>
      <c r="O35" s="1775">
        <v>102.1</v>
      </c>
      <c r="P35" s="1775">
        <v>103</v>
      </c>
      <c r="Q35" s="1774">
        <v>102.9</v>
      </c>
      <c r="R35" s="1774">
        <v>106.4</v>
      </c>
      <c r="S35" s="1788">
        <v>111.1</v>
      </c>
      <c r="T35" s="1664">
        <v>114.5</v>
      </c>
      <c r="U35" s="1664"/>
      <c r="V35" s="1664"/>
      <c r="W35" s="1664"/>
      <c r="X35" s="1664"/>
      <c r="Z35" s="1609" t="s">
        <v>1250</v>
      </c>
    </row>
    <row r="36" spans="1:26" ht="14.15" customHeight="1">
      <c r="A36" s="1628"/>
      <c r="B36" s="1631" t="s">
        <v>1491</v>
      </c>
      <c r="C36" s="1632">
        <v>93.199999999999989</v>
      </c>
      <c r="D36" s="1632">
        <v>94.7</v>
      </c>
      <c r="E36" s="1632">
        <v>96.899999999999991</v>
      </c>
      <c r="F36" s="1632">
        <v>93.899999999999977</v>
      </c>
      <c r="G36" s="1632">
        <v>94.09999999999998</v>
      </c>
      <c r="H36" s="1775">
        <v>94.4</v>
      </c>
      <c r="I36" s="1775">
        <v>94.3</v>
      </c>
      <c r="J36" s="1775">
        <v>95.8</v>
      </c>
      <c r="K36" s="1775">
        <v>99.6</v>
      </c>
      <c r="L36" s="1775">
        <v>99.8</v>
      </c>
      <c r="M36" s="1775">
        <v>99.6</v>
      </c>
      <c r="N36" s="1775">
        <v>101.2</v>
      </c>
      <c r="O36" s="1775">
        <v>103</v>
      </c>
      <c r="P36" s="1775">
        <v>104.7</v>
      </c>
      <c r="Q36" s="1774">
        <v>105.2</v>
      </c>
      <c r="R36" s="1774">
        <v>108.6</v>
      </c>
      <c r="S36" s="1788">
        <v>113.6</v>
      </c>
      <c r="T36" s="1664">
        <v>117.7</v>
      </c>
      <c r="U36" s="1664"/>
      <c r="V36" s="1664"/>
      <c r="W36" s="1664"/>
      <c r="X36" s="1664"/>
      <c r="Z36" s="1609" t="s">
        <v>1669</v>
      </c>
    </row>
    <row r="37" spans="1:26" ht="14.15" customHeight="1">
      <c r="A37" s="1628"/>
      <c r="B37" s="1631" t="s">
        <v>1492</v>
      </c>
      <c r="C37" s="1632">
        <v>77.949422984036715</v>
      </c>
      <c r="D37" s="1632">
        <v>80.142446201101848</v>
      </c>
      <c r="E37" s="1632">
        <v>81.468589783465504</v>
      </c>
      <c r="F37" s="1632">
        <v>77.153602215735077</v>
      </c>
      <c r="G37" s="1632">
        <v>78.53668910881683</v>
      </c>
      <c r="H37" s="1777" t="s">
        <v>878</v>
      </c>
      <c r="I37" s="1777" t="s">
        <v>878</v>
      </c>
      <c r="J37" s="1777" t="s">
        <v>878</v>
      </c>
      <c r="K37" s="1777" t="s">
        <v>878</v>
      </c>
      <c r="L37" s="1777" t="s">
        <v>878</v>
      </c>
      <c r="M37" s="1777" t="s">
        <v>878</v>
      </c>
      <c r="N37" s="1777" t="s">
        <v>878</v>
      </c>
      <c r="O37" s="1777" t="s">
        <v>878</v>
      </c>
      <c r="P37" s="1777" t="s">
        <v>878</v>
      </c>
      <c r="Q37" s="1774" t="s">
        <v>878</v>
      </c>
      <c r="R37" s="1774" t="s">
        <v>878</v>
      </c>
      <c r="S37" s="1788" t="s">
        <v>878</v>
      </c>
      <c r="T37" s="1664" t="s">
        <v>878</v>
      </c>
      <c r="U37" s="1664"/>
      <c r="V37" s="1664"/>
      <c r="W37" s="1664"/>
      <c r="X37" s="1664"/>
      <c r="Z37" s="1609" t="s">
        <v>311</v>
      </c>
    </row>
    <row r="38" spans="1:26" ht="14.15" customHeight="1">
      <c r="A38" s="1628"/>
      <c r="B38" s="1631" t="s">
        <v>312</v>
      </c>
      <c r="C38" s="1632">
        <v>100.42500000000003</v>
      </c>
      <c r="D38" s="1632">
        <v>102.95000000000003</v>
      </c>
      <c r="E38" s="1632">
        <v>103.92500000000004</v>
      </c>
      <c r="F38" s="1632">
        <v>98.1</v>
      </c>
      <c r="G38" s="1632">
        <v>99.45</v>
      </c>
      <c r="H38" s="1777" t="s">
        <v>878</v>
      </c>
      <c r="I38" s="1777" t="s">
        <v>878</v>
      </c>
      <c r="J38" s="1777" t="s">
        <v>878</v>
      </c>
      <c r="K38" s="1777" t="s">
        <v>878</v>
      </c>
      <c r="L38" s="1777" t="s">
        <v>878</v>
      </c>
      <c r="M38" s="1777" t="s">
        <v>878</v>
      </c>
      <c r="N38" s="1777" t="s">
        <v>878</v>
      </c>
      <c r="O38" s="1777" t="s">
        <v>878</v>
      </c>
      <c r="P38" s="1777" t="s">
        <v>878</v>
      </c>
      <c r="Q38" s="1774" t="s">
        <v>878</v>
      </c>
      <c r="R38" s="1774" t="s">
        <v>878</v>
      </c>
      <c r="S38" s="1788" t="s">
        <v>878</v>
      </c>
      <c r="T38" s="1664" t="s">
        <v>878</v>
      </c>
      <c r="U38" s="1664"/>
      <c r="V38" s="1664"/>
      <c r="W38" s="1664"/>
      <c r="X38" s="1664"/>
      <c r="Z38" s="1609" t="s">
        <v>1254</v>
      </c>
    </row>
    <row r="39" spans="1:26" ht="14.15" customHeight="1">
      <c r="A39" s="1635"/>
      <c r="B39" s="1640" t="s">
        <v>313</v>
      </c>
      <c r="C39" s="1641">
        <v>118.39999999999998</v>
      </c>
      <c r="D39" s="1641">
        <v>130.42499999999993</v>
      </c>
      <c r="E39" s="1641">
        <v>121.34999999999991</v>
      </c>
      <c r="F39" s="1641">
        <v>107.14999999999995</v>
      </c>
      <c r="G39" s="1641">
        <v>110.22499999999995</v>
      </c>
      <c r="H39" s="1778" t="s">
        <v>878</v>
      </c>
      <c r="I39" s="1778" t="s">
        <v>878</v>
      </c>
      <c r="J39" s="1778" t="s">
        <v>878</v>
      </c>
      <c r="K39" s="1778" t="s">
        <v>878</v>
      </c>
      <c r="L39" s="1778" t="s">
        <v>878</v>
      </c>
      <c r="M39" s="1778" t="s">
        <v>878</v>
      </c>
      <c r="N39" s="1778" t="s">
        <v>878</v>
      </c>
      <c r="O39" s="1778" t="s">
        <v>878</v>
      </c>
      <c r="P39" s="1778" t="s">
        <v>878</v>
      </c>
      <c r="Q39" s="1774" t="s">
        <v>878</v>
      </c>
      <c r="R39" s="1774" t="s">
        <v>878</v>
      </c>
      <c r="S39" s="1788" t="s">
        <v>878</v>
      </c>
      <c r="T39" s="1664" t="s">
        <v>878</v>
      </c>
      <c r="U39" s="1664"/>
      <c r="V39" s="1664"/>
      <c r="W39" s="1664"/>
      <c r="X39" s="1664"/>
      <c r="Z39" s="1609" t="s">
        <v>1672</v>
      </c>
    </row>
    <row r="40" spans="1:26" ht="14.15" customHeight="1">
      <c r="A40" s="1628"/>
      <c r="B40" s="1642" t="s">
        <v>1493</v>
      </c>
      <c r="C40" s="1643" t="s">
        <v>878</v>
      </c>
      <c r="D40" s="1643" t="s">
        <v>878</v>
      </c>
      <c r="E40" s="1643" t="s">
        <v>878</v>
      </c>
      <c r="F40" s="1643" t="s">
        <v>878</v>
      </c>
      <c r="G40" s="1643" t="s">
        <v>878</v>
      </c>
      <c r="H40" s="1777" t="s">
        <v>878</v>
      </c>
      <c r="I40" s="1777" t="s">
        <v>878</v>
      </c>
      <c r="J40" s="1777" t="s">
        <v>878</v>
      </c>
      <c r="K40" s="1777" t="s">
        <v>878</v>
      </c>
      <c r="L40" s="1777" t="s">
        <v>878</v>
      </c>
      <c r="M40" s="1777" t="s">
        <v>878</v>
      </c>
      <c r="N40" s="1777" t="s">
        <v>878</v>
      </c>
      <c r="O40" s="1777" t="s">
        <v>878</v>
      </c>
      <c r="P40" s="1777" t="s">
        <v>878</v>
      </c>
      <c r="Q40" s="1779" t="s">
        <v>878</v>
      </c>
      <c r="R40" s="1779" t="s">
        <v>878</v>
      </c>
      <c r="S40" s="1788" t="s">
        <v>878</v>
      </c>
      <c r="T40" s="1664" t="s">
        <v>878</v>
      </c>
      <c r="U40" s="1664"/>
      <c r="V40" s="1664"/>
      <c r="W40" s="1664"/>
      <c r="X40" s="1664"/>
      <c r="Z40" s="1609" t="s">
        <v>1673</v>
      </c>
    </row>
    <row r="41" spans="1:26" ht="14.15" customHeight="1">
      <c r="A41" s="1628"/>
      <c r="B41" s="1609" t="s">
        <v>1748</v>
      </c>
      <c r="C41" s="1645" t="s">
        <v>878</v>
      </c>
      <c r="D41" s="1645" t="s">
        <v>878</v>
      </c>
      <c r="E41" s="1645" t="s">
        <v>878</v>
      </c>
      <c r="F41" s="1645" t="s">
        <v>878</v>
      </c>
      <c r="G41" s="1645" t="s">
        <v>878</v>
      </c>
      <c r="H41" s="1777" t="s">
        <v>878</v>
      </c>
      <c r="I41" s="1777" t="s">
        <v>878</v>
      </c>
      <c r="J41" s="1777" t="s">
        <v>878</v>
      </c>
      <c r="K41" s="1777" t="s">
        <v>878</v>
      </c>
      <c r="L41" s="1777" t="s">
        <v>878</v>
      </c>
      <c r="M41" s="1777" t="s">
        <v>878</v>
      </c>
      <c r="N41" s="1777" t="s">
        <v>878</v>
      </c>
      <c r="O41" s="1777" t="s">
        <v>878</v>
      </c>
      <c r="P41" s="1777" t="s">
        <v>878</v>
      </c>
      <c r="Q41" s="1779" t="s">
        <v>878</v>
      </c>
      <c r="R41" s="1779" t="s">
        <v>878</v>
      </c>
      <c r="S41" s="1788" t="s">
        <v>878</v>
      </c>
      <c r="T41" s="1664" t="s">
        <v>878</v>
      </c>
      <c r="U41" s="1664"/>
      <c r="V41" s="1664"/>
      <c r="W41" s="1664"/>
      <c r="X41" s="1664"/>
      <c r="Z41" s="1609" t="s">
        <v>1748</v>
      </c>
    </row>
    <row r="42" spans="1:26" ht="14.15" customHeight="1">
      <c r="A42" s="1628"/>
      <c r="B42" s="1609" t="s">
        <v>1749</v>
      </c>
      <c r="C42" s="1645" t="s">
        <v>878</v>
      </c>
      <c r="D42" s="1645" t="s">
        <v>878</v>
      </c>
      <c r="E42" s="1645" t="s">
        <v>878</v>
      </c>
      <c r="F42" s="1645" t="s">
        <v>878</v>
      </c>
      <c r="G42" s="1645" t="s">
        <v>878</v>
      </c>
      <c r="H42" s="1777"/>
      <c r="I42" s="1777"/>
      <c r="J42" s="1777"/>
      <c r="K42" s="1777"/>
      <c r="L42" s="1777"/>
      <c r="M42" s="1777"/>
      <c r="N42" s="1777"/>
      <c r="O42" s="1777"/>
      <c r="P42" s="1777"/>
      <c r="Q42" s="1779"/>
      <c r="R42" s="1779"/>
      <c r="S42" s="1788"/>
      <c r="T42" s="1664"/>
      <c r="U42" s="1664"/>
      <c r="V42" s="1664"/>
      <c r="W42" s="1664"/>
      <c r="X42" s="1664"/>
      <c r="Z42" s="1609" t="s">
        <v>1749</v>
      </c>
    </row>
    <row r="43" spans="1:26" ht="14.15" customHeight="1">
      <c r="A43" s="1628"/>
      <c r="B43" s="1609" t="s">
        <v>1750</v>
      </c>
      <c r="C43" s="1645">
        <v>101.70000000000006</v>
      </c>
      <c r="D43" s="1645">
        <v>101.60000000000007</v>
      </c>
      <c r="E43" s="1645">
        <v>101.50000000000006</v>
      </c>
      <c r="F43" s="1645">
        <v>100.20000000000007</v>
      </c>
      <c r="G43" s="1645">
        <v>99.700000000000045</v>
      </c>
      <c r="H43" s="1777">
        <v>99.500000000000028</v>
      </c>
      <c r="I43" s="1777">
        <v>98.7</v>
      </c>
      <c r="J43" s="1777">
        <v>98.40000000000002</v>
      </c>
      <c r="K43" s="1777">
        <v>100.2</v>
      </c>
      <c r="L43" s="1777">
        <v>100</v>
      </c>
      <c r="M43" s="1777">
        <v>99.6</v>
      </c>
      <c r="N43" s="1777">
        <v>100.2</v>
      </c>
      <c r="O43" s="1777">
        <v>100.4</v>
      </c>
      <c r="P43" s="1777">
        <v>100.8</v>
      </c>
      <c r="Q43" s="1779">
        <v>99.899999999999991</v>
      </c>
      <c r="R43" s="1779">
        <v>100.89999999999999</v>
      </c>
      <c r="S43" s="1788">
        <v>102.3</v>
      </c>
      <c r="T43" s="1664"/>
      <c r="U43" s="1664"/>
      <c r="V43" s="1664"/>
      <c r="W43" s="1664"/>
      <c r="X43" s="1664"/>
      <c r="Z43" s="1609" t="s">
        <v>1750</v>
      </c>
    </row>
    <row r="44" spans="1:26" ht="14.15" customHeight="1">
      <c r="A44" s="1635"/>
      <c r="B44" s="1609" t="s">
        <v>158</v>
      </c>
      <c r="C44" s="1646" t="s">
        <v>878</v>
      </c>
      <c r="D44" s="1646" t="s">
        <v>878</v>
      </c>
      <c r="E44" s="1646" t="s">
        <v>878</v>
      </c>
      <c r="F44" s="1646" t="s">
        <v>878</v>
      </c>
      <c r="G44" s="1646" t="s">
        <v>878</v>
      </c>
      <c r="H44" s="1778" t="s">
        <v>878</v>
      </c>
      <c r="I44" s="1778" t="s">
        <v>878</v>
      </c>
      <c r="J44" s="1778" t="s">
        <v>878</v>
      </c>
      <c r="K44" s="1778" t="s">
        <v>878</v>
      </c>
      <c r="L44" s="1778" t="s">
        <v>878</v>
      </c>
      <c r="M44" s="1778" t="s">
        <v>878</v>
      </c>
      <c r="N44" s="1778" t="s">
        <v>878</v>
      </c>
      <c r="O44" s="1778" t="s">
        <v>878</v>
      </c>
      <c r="P44" s="1778" t="s">
        <v>878</v>
      </c>
      <c r="Q44" s="1780" t="s">
        <v>878</v>
      </c>
      <c r="R44" s="1780" t="s">
        <v>878</v>
      </c>
      <c r="S44" s="1788" t="s">
        <v>878</v>
      </c>
      <c r="T44" s="1664" t="s">
        <v>878</v>
      </c>
      <c r="U44" s="1664"/>
      <c r="V44" s="1664"/>
      <c r="W44" s="1664"/>
      <c r="X44" s="1664"/>
      <c r="Z44" s="1609" t="s">
        <v>158</v>
      </c>
    </row>
    <row r="45" spans="1:26" ht="14.15" customHeight="1">
      <c r="A45" s="1628"/>
      <c r="B45" s="1638" t="s">
        <v>1494</v>
      </c>
      <c r="C45" s="1678">
        <v>101.3</v>
      </c>
      <c r="D45" s="1679">
        <v>100.6</v>
      </c>
      <c r="E45" s="1679">
        <v>100.4</v>
      </c>
      <c r="F45" s="1679">
        <v>99.9</v>
      </c>
      <c r="G45" s="1679">
        <v>98.2</v>
      </c>
      <c r="H45" s="1781">
        <v>96.9</v>
      </c>
      <c r="I45" s="1781">
        <v>96.6</v>
      </c>
      <c r="J45" s="1781">
        <v>96.4</v>
      </c>
      <c r="K45" s="1781">
        <v>98.3</v>
      </c>
      <c r="L45" s="1781">
        <v>99.9</v>
      </c>
      <c r="M45" s="1781">
        <v>100.1</v>
      </c>
      <c r="N45" s="1781">
        <v>100</v>
      </c>
      <c r="O45" s="1781">
        <v>100</v>
      </c>
      <c r="P45" s="1781">
        <v>100.4</v>
      </c>
      <c r="Q45" s="1782">
        <v>101.4</v>
      </c>
      <c r="R45" s="1782">
        <v>101.3</v>
      </c>
      <c r="S45" s="1836">
        <v>102.1</v>
      </c>
      <c r="T45" s="1647">
        <v>104.7</v>
      </c>
      <c r="U45" s="1648">
        <f>U53</f>
        <v>108.54097825620711</v>
      </c>
      <c r="V45" s="1648">
        <f>V53</f>
        <v>111.85074799675513</v>
      </c>
      <c r="W45" s="1648">
        <f>V45*W48/V48</f>
        <v>113.89501754238772</v>
      </c>
      <c r="X45" s="1648">
        <f>W45*X48/W48</f>
        <v>116.23132559453927</v>
      </c>
      <c r="Z45" s="1609" t="s">
        <v>1751</v>
      </c>
    </row>
    <row r="46" spans="1:26" ht="14.15" customHeight="1">
      <c r="A46" s="1649" t="s">
        <v>315</v>
      </c>
      <c r="B46" s="1650" t="s">
        <v>1495</v>
      </c>
      <c r="C46" s="1632">
        <v>101.3</v>
      </c>
      <c r="D46" s="1632">
        <v>100.6</v>
      </c>
      <c r="E46" s="1632">
        <v>100.4</v>
      </c>
      <c r="F46" s="1632">
        <v>99.9</v>
      </c>
      <c r="G46" s="1632">
        <v>98.2</v>
      </c>
      <c r="H46" s="1775">
        <v>96.9</v>
      </c>
      <c r="I46" s="1775">
        <v>96.6</v>
      </c>
      <c r="J46" s="1775">
        <v>96.4</v>
      </c>
      <c r="K46" s="1775">
        <v>98.3</v>
      </c>
      <c r="L46" s="1775">
        <v>99.9</v>
      </c>
      <c r="M46" s="1775">
        <v>100.1</v>
      </c>
      <c r="N46" s="1775">
        <v>100</v>
      </c>
      <c r="O46" s="1775">
        <v>100</v>
      </c>
      <c r="P46" s="1775">
        <v>100.4</v>
      </c>
      <c r="Q46" s="1774">
        <v>101.4</v>
      </c>
      <c r="R46" s="1774">
        <v>101.3</v>
      </c>
      <c r="S46" s="1788">
        <v>102.1</v>
      </c>
      <c r="T46" s="1664">
        <v>104.7</v>
      </c>
      <c r="U46" s="1664"/>
      <c r="V46" s="1664"/>
      <c r="W46" s="1664"/>
      <c r="X46" s="1664"/>
      <c r="Z46" s="1609" t="s">
        <v>1678</v>
      </c>
    </row>
    <row r="47" spans="1:26" ht="14.15" customHeight="1" thickBot="1">
      <c r="A47" s="1651" t="s">
        <v>316</v>
      </c>
      <c r="B47" s="1652" t="s">
        <v>1469</v>
      </c>
      <c r="C47" s="1680">
        <v>101.3</v>
      </c>
      <c r="D47" s="1680">
        <v>100.6</v>
      </c>
      <c r="E47" s="1680">
        <v>100.4</v>
      </c>
      <c r="F47" s="1680">
        <v>99.9</v>
      </c>
      <c r="G47" s="1680">
        <v>98.2</v>
      </c>
      <c r="H47" s="1783">
        <v>96.9</v>
      </c>
      <c r="I47" s="1783">
        <v>96.6</v>
      </c>
      <c r="J47" s="1783">
        <v>96.4</v>
      </c>
      <c r="K47" s="1783">
        <v>98.3</v>
      </c>
      <c r="L47" s="1783">
        <v>99.9</v>
      </c>
      <c r="M47" s="1783">
        <v>100.1</v>
      </c>
      <c r="N47" s="1783">
        <v>100</v>
      </c>
      <c r="O47" s="1783">
        <v>100</v>
      </c>
      <c r="P47" s="1783">
        <v>100.4</v>
      </c>
      <c r="Q47" s="1784">
        <v>101.4</v>
      </c>
      <c r="R47" s="1784">
        <v>101.3</v>
      </c>
      <c r="S47" s="1789">
        <v>102.1</v>
      </c>
      <c r="T47" s="1664">
        <v>104.7</v>
      </c>
      <c r="U47" s="1664"/>
      <c r="V47" s="1664"/>
      <c r="W47" s="1664"/>
      <c r="X47" s="1664"/>
      <c r="Z47" s="1609" t="s">
        <v>1752</v>
      </c>
    </row>
    <row r="48" spans="1:26">
      <c r="O48" s="1653" t="s">
        <v>1516</v>
      </c>
      <c r="P48" s="1654">
        <f>ｱｼﾞｱ太平洋研見通し!T21</f>
        <v>103.8</v>
      </c>
      <c r="Q48" s="1654">
        <f>ｱｼﾞｱ太平洋研見通し!U21</f>
        <v>101.8</v>
      </c>
      <c r="R48" s="1654">
        <f>ｱｼﾞｱ太平洋研見通し!V21</f>
        <v>102</v>
      </c>
      <c r="S48" s="1654">
        <f>ｱｼﾞｱ太平洋研見通し!W21</f>
        <v>103.1</v>
      </c>
      <c r="T48" s="1655">
        <f>ｱｼﾞｱ太平洋研見通し!X21</f>
        <v>107.5</v>
      </c>
      <c r="U48" s="1655">
        <f>ｱｼﾞｱ太平洋研見通し!Y21</f>
        <v>111.5</v>
      </c>
      <c r="V48" s="1655">
        <f>ｱｼﾞｱ太平洋研見通し!Z21</f>
        <v>114.9</v>
      </c>
      <c r="W48" s="1655">
        <f>ｱｼﾞｱ太平洋研見通し!AA21</f>
        <v>117</v>
      </c>
      <c r="X48" s="1995">
        <f>ｱｼﾞｱ太平洋研見通し!AB21</f>
        <v>119.4</v>
      </c>
    </row>
    <row r="49" spans="16:24">
      <c r="Q49" s="1656" t="s">
        <v>1563</v>
      </c>
      <c r="R49" s="1657">
        <f>T61</f>
        <v>102.44311666631674</v>
      </c>
      <c r="S49" s="1657">
        <f>T65</f>
        <v>102.17479177773107</v>
      </c>
      <c r="T49" s="1657">
        <f>T69</f>
        <v>104.40043249028245</v>
      </c>
      <c r="U49" s="1658">
        <f>T49*U54/T54</f>
        <v>108.28509974573483</v>
      </c>
      <c r="V49" s="1658">
        <f>U49*V54/U54</f>
        <v>111.58706691286935</v>
      </c>
      <c r="W49" s="1658">
        <f t="shared" ref="W49:X49" si="0">V49*W54/V54</f>
        <v>113.62651722198184</v>
      </c>
      <c r="X49" s="1658">
        <f t="shared" si="0"/>
        <v>115.95731757525327</v>
      </c>
    </row>
    <row r="50" spans="16:24">
      <c r="Q50" s="1659" t="s">
        <v>1564</v>
      </c>
      <c r="R50" s="1660">
        <f t="shared" ref="R50:R52" si="1">T62</f>
        <v>99.709940748781051</v>
      </c>
      <c r="S50" s="1660">
        <f t="shared" ref="S50:S52" si="2">T66</f>
        <v>99.350616640305489</v>
      </c>
      <c r="T50" s="1660">
        <f>T70</f>
        <v>103.21630630443718</v>
      </c>
      <c r="U50" s="1661">
        <f>T50*U54/T54</f>
        <v>107.0569130506488</v>
      </c>
      <c r="V50" s="1661">
        <f>U50*V54/U54</f>
        <v>110.32142878492868</v>
      </c>
      <c r="W50" s="1661">
        <f t="shared" ref="W50:X50" si="3">V50*W54/V54</f>
        <v>112.33774732668978</v>
      </c>
      <c r="X50" s="1661">
        <f t="shared" si="3"/>
        <v>114.64211137441674</v>
      </c>
    </row>
    <row r="51" spans="16:24">
      <c r="Q51" s="1659" t="s">
        <v>1565</v>
      </c>
      <c r="R51" s="1660">
        <f t="shared" si="1"/>
        <v>102.74679098035637</v>
      </c>
      <c r="S51" s="1660">
        <f t="shared" si="2"/>
        <v>104.19205696890441</v>
      </c>
      <c r="T51" s="1660">
        <f>T71</f>
        <v>106.96605043284349</v>
      </c>
      <c r="U51" s="1661">
        <f>T51*U54/T54</f>
        <v>110.94618254197255</v>
      </c>
      <c r="V51" s="1661">
        <f>U51*V54/U54</f>
        <v>114.32929483473225</v>
      </c>
      <c r="W51" s="1661">
        <f t="shared" ref="W51:X51" si="4">V51*W54/V54</f>
        <v>116.418864192025</v>
      </c>
      <c r="X51" s="1661">
        <f t="shared" si="4"/>
        <v>118.80694345750243</v>
      </c>
    </row>
    <row r="52" spans="16:24">
      <c r="Q52" s="1662" t="s">
        <v>1566</v>
      </c>
      <c r="R52" s="1663">
        <f t="shared" si="1"/>
        <v>100.31732239597375</v>
      </c>
      <c r="S52" s="1663">
        <f t="shared" si="2"/>
        <v>102.67910264391918</v>
      </c>
      <c r="T52" s="1663">
        <f>T72</f>
        <v>104.00573678292166</v>
      </c>
      <c r="U52" s="1698">
        <f>T52*AVERAGE(U49:U51)/AVERAGE(T49:T51)</f>
        <v>107.87571768647224</v>
      </c>
      <c r="V52" s="1994">
        <f>U52*V54/U54</f>
        <v>111.16520145449024</v>
      </c>
      <c r="W52" s="1994">
        <f t="shared" ref="W52:X52" si="5">V52*W54/V54</f>
        <v>113.1969414288543</v>
      </c>
      <c r="X52" s="1994">
        <f t="shared" si="5"/>
        <v>115.51892997098466</v>
      </c>
    </row>
    <row r="53" spans="16:24">
      <c r="R53" s="1664">
        <f>R48</f>
        <v>102</v>
      </c>
      <c r="S53" s="1665">
        <f>AVERAGE(S49:S52)</f>
        <v>102.09914200771503</v>
      </c>
      <c r="T53" s="1647">
        <f>AVERAGE(T49:T52)</f>
        <v>104.64713150262119</v>
      </c>
      <c r="U53" s="1647">
        <f>AVERAGE(U49:U52)</f>
        <v>108.54097825620711</v>
      </c>
      <c r="V53" s="1647">
        <f>AVERAGE(V49:V52)</f>
        <v>111.85074799675513</v>
      </c>
      <c r="W53" s="1647">
        <f t="shared" ref="W53:X53" si="6">AVERAGE(W49:W52)</f>
        <v>113.89501754238773</v>
      </c>
      <c r="X53" s="1647">
        <f t="shared" si="6"/>
        <v>116.23132559453927</v>
      </c>
    </row>
    <row r="54" spans="16:24">
      <c r="Q54" s="1735" t="s">
        <v>1555</v>
      </c>
      <c r="R54" s="1648">
        <f t="shared" ref="R54:X54" si="7">R48</f>
        <v>102</v>
      </c>
      <c r="S54" s="1648">
        <f t="shared" si="7"/>
        <v>103.1</v>
      </c>
      <c r="T54" s="1648">
        <f t="shared" si="7"/>
        <v>107.5</v>
      </c>
      <c r="U54" s="1648">
        <f t="shared" si="7"/>
        <v>111.5</v>
      </c>
      <c r="V54" s="1648">
        <f t="shared" si="7"/>
        <v>114.9</v>
      </c>
      <c r="W54" s="1648">
        <f t="shared" si="7"/>
        <v>117</v>
      </c>
      <c r="X54" s="1648">
        <f t="shared" si="7"/>
        <v>119.4</v>
      </c>
    </row>
    <row r="55" spans="16:24">
      <c r="S55" s="1664" t="s">
        <v>1569</v>
      </c>
    </row>
    <row r="56" spans="16:24">
      <c r="R56" s="1609" t="s">
        <v>1567</v>
      </c>
      <c r="S56" s="1609" t="s">
        <v>1568</v>
      </c>
      <c r="T56" s="1609" t="s">
        <v>1602</v>
      </c>
    </row>
    <row r="57" spans="16:24">
      <c r="P57" s="1666" t="s">
        <v>1192</v>
      </c>
      <c r="Q57" s="1667" t="s">
        <v>48</v>
      </c>
      <c r="R57" s="1668">
        <f>兵庫QE名目!C83</f>
        <v>5154235</v>
      </c>
      <c r="S57" s="1669">
        <f>兵庫QE実質!C83</f>
        <v>5005549</v>
      </c>
      <c r="T57" s="1829">
        <f>R57/S57*100</f>
        <v>102.97042342408396</v>
      </c>
    </row>
    <row r="58" spans="16:24">
      <c r="P58" s="1670">
        <v>-2020</v>
      </c>
      <c r="Q58" s="1830" t="s">
        <v>49</v>
      </c>
      <c r="R58" s="1831">
        <f>兵庫QE名目!C84</f>
        <v>5377488</v>
      </c>
      <c r="S58" s="1609">
        <f>兵庫QE実質!C84</f>
        <v>5381418</v>
      </c>
      <c r="T58" s="1832">
        <f t="shared" ref="T58:T66" si="8">R58/S58*100</f>
        <v>99.926970921047214</v>
      </c>
    </row>
    <row r="59" spans="16:24">
      <c r="P59" s="1670"/>
      <c r="Q59" s="1830" t="s">
        <v>50</v>
      </c>
      <c r="R59" s="1831">
        <f>兵庫QE名目!C85</f>
        <v>5760015</v>
      </c>
      <c r="S59" s="1609">
        <f>兵庫QE実質!C85</f>
        <v>5582853</v>
      </c>
      <c r="T59" s="1832">
        <f t="shared" si="8"/>
        <v>103.17332374683697</v>
      </c>
    </row>
    <row r="60" spans="16:24">
      <c r="P60" s="1670"/>
      <c r="Q60" s="1833" t="s">
        <v>51</v>
      </c>
      <c r="R60" s="1831">
        <f>兵庫QE名目!C86</f>
        <v>5604263</v>
      </c>
      <c r="S60" s="1609">
        <f>兵庫QE実質!C86</f>
        <v>5614058</v>
      </c>
      <c r="T60" s="1832">
        <f t="shared" si="8"/>
        <v>99.825527274566809</v>
      </c>
    </row>
    <row r="61" spans="16:24">
      <c r="P61" s="1666" t="s">
        <v>1232</v>
      </c>
      <c r="Q61" s="1667" t="s">
        <v>48</v>
      </c>
      <c r="R61" s="1668">
        <f>兵庫QE名目!C87</f>
        <v>5562274</v>
      </c>
      <c r="S61" s="1669">
        <f>兵庫QE実質!C87</f>
        <v>5429622</v>
      </c>
      <c r="T61" s="1829">
        <f t="shared" si="8"/>
        <v>102.44311666631674</v>
      </c>
    </row>
    <row r="62" spans="16:24">
      <c r="P62" s="1670">
        <v>-2021</v>
      </c>
      <c r="Q62" s="1830" t="s">
        <v>49</v>
      </c>
      <c r="R62" s="1831">
        <f>兵庫QE名目!C88</f>
        <v>5519021</v>
      </c>
      <c r="S62" s="1609">
        <f>兵庫QE実質!C88</f>
        <v>5535076</v>
      </c>
      <c r="T62" s="1832">
        <f t="shared" si="8"/>
        <v>99.709940748781051</v>
      </c>
    </row>
    <row r="63" spans="16:24">
      <c r="P63" s="1670"/>
      <c r="Q63" s="1830" t="s">
        <v>50</v>
      </c>
      <c r="R63" s="1831">
        <f>兵庫QE名目!C89</f>
        <v>5856115</v>
      </c>
      <c r="S63" s="1609">
        <f>兵庫QE実質!C89</f>
        <v>5699560</v>
      </c>
      <c r="T63" s="1832">
        <f t="shared" si="8"/>
        <v>102.74679098035637</v>
      </c>
    </row>
    <row r="64" spans="16:24">
      <c r="P64" s="1671"/>
      <c r="Q64" s="1672" t="s">
        <v>52</v>
      </c>
      <c r="R64" s="1673">
        <f>兵庫QE名目!C90</f>
        <v>5659483</v>
      </c>
      <c r="S64" s="1674">
        <f>兵庫QE実質!C90</f>
        <v>5641581</v>
      </c>
      <c r="T64" s="1834">
        <f t="shared" si="8"/>
        <v>100.31732239597375</v>
      </c>
    </row>
    <row r="65" spans="16:21">
      <c r="P65" s="1675" t="s">
        <v>1545</v>
      </c>
      <c r="Q65" s="1835" t="s">
        <v>48</v>
      </c>
      <c r="R65" s="1831">
        <f>兵庫QE名目!C91</f>
        <v>5707584</v>
      </c>
      <c r="S65" s="1609">
        <f>兵庫QE実質!C91</f>
        <v>5586098</v>
      </c>
      <c r="T65" s="1832">
        <f t="shared" si="8"/>
        <v>102.17479177773107</v>
      </c>
    </row>
    <row r="66" spans="16:21">
      <c r="P66" s="1670">
        <v>-2022</v>
      </c>
      <c r="Q66" s="1830" t="s">
        <v>49</v>
      </c>
      <c r="R66" s="1831">
        <f>兵庫QE名目!C92</f>
        <v>5640671</v>
      </c>
      <c r="S66" s="1609">
        <f>兵庫QE実質!C92</f>
        <v>5677540</v>
      </c>
      <c r="T66" s="1832">
        <f t="shared" si="8"/>
        <v>99.350616640305489</v>
      </c>
    </row>
    <row r="67" spans="16:21">
      <c r="P67" s="1670"/>
      <c r="Q67" s="1830" t="s">
        <v>50</v>
      </c>
      <c r="R67" s="1831">
        <f>兵庫QE名目!C93</f>
        <v>6063264</v>
      </c>
      <c r="S67" s="1609">
        <f>兵庫QE実質!C93</f>
        <v>5819315</v>
      </c>
      <c r="T67" s="1832">
        <f t="shared" ref="T67:T68" si="9">R67/S67*100</f>
        <v>104.19205696890441</v>
      </c>
    </row>
    <row r="68" spans="16:21">
      <c r="P68" s="1670"/>
      <c r="Q68" s="1833" t="s">
        <v>1572</v>
      </c>
      <c r="R68" s="1831">
        <f>兵庫QE名目!C94</f>
        <v>5950599</v>
      </c>
      <c r="S68" s="1609">
        <f>兵庫QE実質!C94</f>
        <v>5795336</v>
      </c>
      <c r="T68" s="1832">
        <f t="shared" si="9"/>
        <v>102.67910264391918</v>
      </c>
    </row>
    <row r="69" spans="16:21">
      <c r="P69" s="1666" t="s">
        <v>1589</v>
      </c>
      <c r="Q69" s="1667" t="s">
        <v>48</v>
      </c>
      <c r="R69" s="1668">
        <f>兵庫QE名目!C95</f>
        <v>5884213</v>
      </c>
      <c r="S69" s="1669">
        <f>兵庫QE実質!C95</f>
        <v>5636196</v>
      </c>
      <c r="T69" s="1829">
        <f t="shared" ref="T69" si="10">R69/S69*100</f>
        <v>104.40043249028245</v>
      </c>
      <c r="U69" s="1676">
        <f t="shared" ref="U69:U78" si="11">T69/T65</f>
        <v>1.0217826792091047</v>
      </c>
    </row>
    <row r="70" spans="16:21">
      <c r="P70" s="1670">
        <v>-2023</v>
      </c>
      <c r="Q70" s="1830" t="s">
        <v>49</v>
      </c>
      <c r="R70" s="1831">
        <f>兵庫QE名目!C96</f>
        <v>5870446</v>
      </c>
      <c r="S70" s="1609">
        <f>兵庫QE実質!C96</f>
        <v>5687518</v>
      </c>
      <c r="T70" s="1832">
        <f t="shared" ref="T70" si="12">R70/S70*100</f>
        <v>103.21630630443718</v>
      </c>
      <c r="U70" s="1676">
        <f t="shared" si="11"/>
        <v>1.0389095689071286</v>
      </c>
    </row>
    <row r="71" spans="16:21">
      <c r="P71" s="1670"/>
      <c r="Q71" s="1830" t="s">
        <v>50</v>
      </c>
      <c r="R71" s="1831">
        <f>兵庫QE名目!C97</f>
        <v>6240501</v>
      </c>
      <c r="S71" s="1609">
        <f>兵庫QE実質!C97</f>
        <v>5834095</v>
      </c>
      <c r="T71" s="1832">
        <f t="shared" ref="T71" si="13">R71/S71*100</f>
        <v>106.96605043284349</v>
      </c>
      <c r="U71" s="1676">
        <f t="shared" si="11"/>
        <v>1.0266238477734149</v>
      </c>
    </row>
    <row r="72" spans="16:21">
      <c r="P72" s="1670"/>
      <c r="Q72" s="1833" t="s">
        <v>1590</v>
      </c>
      <c r="R72" s="1831">
        <f>兵庫QE名目!C98</f>
        <v>5994380</v>
      </c>
      <c r="S72" s="1609">
        <f>兵庫QE実質!C98</f>
        <v>5763509</v>
      </c>
      <c r="T72" s="1832">
        <f t="shared" ref="T72" si="14">R72/S72*100</f>
        <v>104.00573678292166</v>
      </c>
      <c r="U72" s="1676">
        <f t="shared" si="11"/>
        <v>1.01292019607537</v>
      </c>
    </row>
    <row r="73" spans="16:21">
      <c r="P73" s="1666" t="s">
        <v>1720</v>
      </c>
      <c r="Q73" s="1667" t="s">
        <v>48</v>
      </c>
      <c r="R73" s="1668">
        <f>兵庫QE名目!C99</f>
        <v>6022410</v>
      </c>
      <c r="S73" s="1669">
        <f>兵庫QE実質!C99</f>
        <v>5568563</v>
      </c>
      <c r="T73" s="1829">
        <f t="shared" ref="T73" si="15">R73/S73*100</f>
        <v>108.15016369573263</v>
      </c>
      <c r="U73" s="1676">
        <f t="shared" si="11"/>
        <v>1.035916816779463</v>
      </c>
    </row>
    <row r="74" spans="16:21">
      <c r="P74" s="1670">
        <v>-2024</v>
      </c>
      <c r="Q74" s="1830" t="s">
        <v>49</v>
      </c>
      <c r="R74" s="1831">
        <f>兵庫QE名目!C100</f>
        <v>6035008</v>
      </c>
      <c r="S74" s="1609">
        <f>兵庫QE実質!C100</f>
        <v>5699825</v>
      </c>
      <c r="T74" s="1832">
        <f t="shared" ref="T74" si="16">R74/S74*100</f>
        <v>105.88058405301916</v>
      </c>
      <c r="U74" s="1676">
        <f t="shared" si="11"/>
        <v>1.0258125662889319</v>
      </c>
    </row>
    <row r="75" spans="16:21">
      <c r="P75" s="1670"/>
      <c r="Q75" s="1830" t="s">
        <v>50</v>
      </c>
      <c r="R75" s="1831">
        <f>兵庫QE名目!C101</f>
        <v>6449817</v>
      </c>
      <c r="S75" s="1609">
        <f>兵庫QE実質!C101</f>
        <v>5851640</v>
      </c>
      <c r="T75" s="1832">
        <f t="shared" ref="T75" si="17">R75/S75*100</f>
        <v>110.22238210142798</v>
      </c>
      <c r="U75" s="1676">
        <f t="shared" si="11"/>
        <v>1.0304426652700327</v>
      </c>
    </row>
    <row r="76" spans="16:21">
      <c r="P76" s="1671"/>
      <c r="Q76" s="1672" t="s">
        <v>1590</v>
      </c>
      <c r="R76" s="1831">
        <f>兵庫QE名目!C102</f>
        <v>6257326</v>
      </c>
      <c r="S76" s="1609">
        <f>兵庫QE実質!C102</f>
        <v>5806969</v>
      </c>
      <c r="T76" s="1832">
        <f t="shared" ref="T76" si="18">R76/S76*100</f>
        <v>107.75545727900391</v>
      </c>
      <c r="U76" s="1676">
        <f t="shared" si="11"/>
        <v>1.0360530160361112</v>
      </c>
    </row>
    <row r="77" spans="16:21">
      <c r="P77" s="1666" t="s">
        <v>1779</v>
      </c>
      <c r="Q77" s="1667" t="s">
        <v>48</v>
      </c>
      <c r="R77" s="1668">
        <f>兵庫QE名目!C103</f>
        <v>6297887</v>
      </c>
      <c r="S77" s="1669">
        <f>兵庫QE実質!C103</f>
        <v>5638087</v>
      </c>
      <c r="T77" s="1657">
        <f t="shared" ref="T77:T78" si="19">R77/S77*100</f>
        <v>111.70255088295021</v>
      </c>
      <c r="U77" s="1676">
        <f t="shared" si="11"/>
        <v>1.0328468036092093</v>
      </c>
    </row>
    <row r="78" spans="16:21">
      <c r="P78" s="1670">
        <v>-2024</v>
      </c>
      <c r="Q78" s="1830" t="s">
        <v>49</v>
      </c>
      <c r="R78" s="1831">
        <f>兵庫QE名目!C104</f>
        <v>6248134</v>
      </c>
      <c r="S78" s="1609">
        <f>兵庫QE実質!C104</f>
        <v>5699275</v>
      </c>
      <c r="T78" s="1660">
        <f t="shared" si="19"/>
        <v>109.63033017357471</v>
      </c>
      <c r="U78" s="1676">
        <f t="shared" si="11"/>
        <v>1.0354148605628948</v>
      </c>
    </row>
    <row r="79" spans="16:21">
      <c r="P79" s="1670"/>
      <c r="Q79" s="1830" t="s">
        <v>50</v>
      </c>
      <c r="R79" s="1831">
        <f>兵庫QE名目!C105</f>
        <v>6651396</v>
      </c>
      <c r="S79" s="1609">
        <f>兵庫QE実質!C105</f>
        <v>5835985</v>
      </c>
      <c r="T79" s="1660">
        <f t="shared" ref="T79" si="20">R79/S79*100</f>
        <v>113.97212295782117</v>
      </c>
      <c r="U79" s="1676">
        <f t="shared" ref="U79" si="21">T79/T75</f>
        <v>1.0340197769718189</v>
      </c>
    </row>
    <row r="80" spans="16:21">
      <c r="P80" s="1671"/>
      <c r="Q80" s="1672" t="s">
        <v>1590</v>
      </c>
      <c r="R80" s="1674"/>
      <c r="S80" s="1674"/>
      <c r="T80" s="1674"/>
    </row>
    <row r="82" spans="17:19">
      <c r="Q82" s="2276">
        <v>2024</v>
      </c>
      <c r="R82" s="2277">
        <f>SUM(R72:R75)</f>
        <v>24501615</v>
      </c>
      <c r="S82" s="2277"/>
    </row>
    <row r="83" spans="17:19">
      <c r="Q83" s="2276">
        <v>2025</v>
      </c>
      <c r="R83" s="2277">
        <f>SUM(R76:R79)</f>
        <v>25454743</v>
      </c>
      <c r="S83" s="2278">
        <f>R83/R82</f>
        <v>1.0389006194081492</v>
      </c>
    </row>
  </sheetData>
  <phoneticPr fontId="13"/>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27146-B10B-4C1B-8BA5-D268C7DC8ED4}">
  <sheetPr codeName="Sheet9"/>
  <dimension ref="A1:P57"/>
  <sheetViews>
    <sheetView workbookViewId="0">
      <pane xSplit="2" ySplit="3" topLeftCell="C46" activePane="bottomRight" state="frozen"/>
      <selection pane="topRight" activeCell="C1" sqref="C1"/>
      <selection pane="bottomLeft" activeCell="A4" sqref="A4"/>
      <selection pane="bottomRight" activeCell="I57" sqref="I57"/>
    </sheetView>
  </sheetViews>
  <sheetFormatPr defaultColWidth="8.7109375" defaultRowHeight="12.5"/>
  <cols>
    <col min="1" max="1" width="7.92578125" style="239" customWidth="1"/>
    <col min="2" max="2" width="5.0703125" style="239" customWidth="1"/>
    <col min="3" max="16384" width="8.7109375" style="239"/>
  </cols>
  <sheetData>
    <row r="1" spans="1:15">
      <c r="A1" s="1037" t="s">
        <v>1502</v>
      </c>
      <c r="B1" s="1038"/>
      <c r="C1" s="1038"/>
      <c r="D1" s="1038"/>
      <c r="E1" s="1038"/>
      <c r="F1" s="1038"/>
      <c r="G1" s="1038"/>
      <c r="H1" s="1038"/>
      <c r="I1" s="1038"/>
      <c r="J1" s="1038"/>
      <c r="K1" s="1039" t="s">
        <v>11</v>
      </c>
      <c r="L1" s="1039"/>
    </row>
    <row r="2" spans="1:15">
      <c r="A2" s="1040" t="s">
        <v>627</v>
      </c>
      <c r="B2" s="1041"/>
      <c r="C2" s="1041" t="s">
        <v>963</v>
      </c>
      <c r="D2" s="1041" t="s">
        <v>964</v>
      </c>
      <c r="E2" s="1041" t="s">
        <v>965</v>
      </c>
      <c r="F2" s="1041" t="s">
        <v>966</v>
      </c>
      <c r="G2" s="1041" t="s">
        <v>967</v>
      </c>
      <c r="H2" s="1041" t="s">
        <v>968</v>
      </c>
      <c r="I2" s="1041" t="s">
        <v>969</v>
      </c>
      <c r="J2" s="1041" t="s">
        <v>970</v>
      </c>
      <c r="K2" s="1042" t="s">
        <v>971</v>
      </c>
      <c r="L2" s="1042"/>
      <c r="M2" s="1033"/>
      <c r="N2" s="1033"/>
      <c r="O2" s="1033"/>
    </row>
    <row r="3" spans="1:15">
      <c r="A3" s="1057" t="s">
        <v>10</v>
      </c>
      <c r="B3" s="1057"/>
      <c r="C3" s="1057"/>
      <c r="D3" s="1057" t="s">
        <v>973</v>
      </c>
      <c r="E3" s="1057"/>
      <c r="F3" s="1057" t="s">
        <v>974</v>
      </c>
      <c r="G3" s="1057" t="s">
        <v>975</v>
      </c>
      <c r="H3" s="1057" t="s">
        <v>973</v>
      </c>
      <c r="I3" s="1057" t="s">
        <v>976</v>
      </c>
      <c r="J3" s="1057" t="s">
        <v>975</v>
      </c>
      <c r="K3" s="1057" t="s">
        <v>977</v>
      </c>
      <c r="L3" s="1057"/>
      <c r="M3" s="1034" t="s">
        <v>978</v>
      </c>
      <c r="N3" s="1034" t="s">
        <v>979</v>
      </c>
      <c r="O3" s="1034" t="s">
        <v>980</v>
      </c>
    </row>
    <row r="4" spans="1:15" hidden="1">
      <c r="A4" s="1043" t="s">
        <v>885</v>
      </c>
      <c r="B4" s="1043">
        <v>1990</v>
      </c>
      <c r="C4" s="1044">
        <v>98.554494038945933</v>
      </c>
      <c r="D4" s="1044">
        <v>94.070579248695239</v>
      </c>
      <c r="E4" s="1044">
        <v>96.200024287180042</v>
      </c>
      <c r="F4" s="1044">
        <v>108.49999854334848</v>
      </c>
      <c r="G4" s="1044">
        <v>120.800007082059</v>
      </c>
      <c r="H4" s="1044">
        <v>93.424806201550396</v>
      </c>
      <c r="I4" s="1044">
        <v>100.72366278005616</v>
      </c>
      <c r="J4" s="1044">
        <v>99.892502015584313</v>
      </c>
      <c r="K4" s="1044">
        <v>114.05531059746019</v>
      </c>
      <c r="L4" s="1044">
        <v>-732.81326182354667</v>
      </c>
      <c r="M4" s="1044">
        <v>115.11364392396126</v>
      </c>
      <c r="N4" s="1044">
        <v>113.48889737695882</v>
      </c>
      <c r="O4" s="1044">
        <v>94.799959749766572</v>
      </c>
    </row>
    <row r="5" spans="1:15" hidden="1">
      <c r="A5" s="1045" t="s">
        <v>886</v>
      </c>
      <c r="B5" s="1045">
        <v>1991</v>
      </c>
      <c r="C5" s="1046">
        <v>102.21627356851751</v>
      </c>
      <c r="D5" s="1046">
        <v>96.60071837536205</v>
      </c>
      <c r="E5" s="1046">
        <v>98.899961612284059</v>
      </c>
      <c r="F5" s="1046">
        <v>110.19998767862333</v>
      </c>
      <c r="G5" s="1046">
        <v>118.1000666378132</v>
      </c>
      <c r="H5" s="1046">
        <v>95.715592381413757</v>
      </c>
      <c r="I5" s="1046">
        <v>103.79500008279123</v>
      </c>
      <c r="J5" s="1046">
        <v>98.185185185183272</v>
      </c>
      <c r="K5" s="1046">
        <v>149.5723404209235</v>
      </c>
      <c r="L5" s="1046">
        <v>405.75560591990978</v>
      </c>
      <c r="M5" s="1046">
        <v>115.14915205621887</v>
      </c>
      <c r="N5" s="1046">
        <v>112.00608915709887</v>
      </c>
      <c r="O5" s="1046">
        <v>98.299993891414957</v>
      </c>
    </row>
    <row r="6" spans="1:15" hidden="1">
      <c r="A6" s="1045" t="s">
        <v>887</v>
      </c>
      <c r="B6" s="1045">
        <v>1992</v>
      </c>
      <c r="C6" s="1046">
        <v>103.5874219373196</v>
      </c>
      <c r="D6" s="1046">
        <v>98.247548459231069</v>
      </c>
      <c r="E6" s="1046">
        <v>100.19995101471075</v>
      </c>
      <c r="F6" s="1046">
        <v>110.50000675105682</v>
      </c>
      <c r="G6" s="1046">
        <v>115.30511114257385</v>
      </c>
      <c r="H6" s="1046">
        <v>98.703592311979918</v>
      </c>
      <c r="I6" s="1046">
        <v>104.50093908379725</v>
      </c>
      <c r="J6" s="1046">
        <v>97.604327666152415</v>
      </c>
      <c r="K6" s="1046">
        <v>146.80204604332903</v>
      </c>
      <c r="L6" s="1046">
        <v>671.39174970152328</v>
      </c>
      <c r="M6" s="1046">
        <v>113.65155888543677</v>
      </c>
      <c r="N6" s="1046">
        <v>110.09668279018459</v>
      </c>
      <c r="O6" s="1046">
        <v>99.700041176711892</v>
      </c>
    </row>
    <row r="7" spans="1:15" hidden="1">
      <c r="A7" s="1045" t="s">
        <v>888</v>
      </c>
      <c r="B7" s="1045">
        <v>1993</v>
      </c>
      <c r="C7" s="1046">
        <v>104.51360025182146</v>
      </c>
      <c r="D7" s="1046">
        <v>99.325760468670452</v>
      </c>
      <c r="E7" s="1046">
        <v>101.79997727748875</v>
      </c>
      <c r="F7" s="1046">
        <v>109.39999147342499</v>
      </c>
      <c r="G7" s="1046">
        <v>111.50083110652875</v>
      </c>
      <c r="H7" s="1046">
        <v>99.201577656472011</v>
      </c>
      <c r="I7" s="1046">
        <v>103.75117432608735</v>
      </c>
      <c r="J7" s="1046">
        <v>96.684036001897937</v>
      </c>
      <c r="K7" s="1046">
        <v>152.98666340188007</v>
      </c>
      <c r="L7" s="1046">
        <v>-1250.9771018310144</v>
      </c>
      <c r="M7" s="1046">
        <v>110.50757308446664</v>
      </c>
      <c r="N7" s="1046">
        <v>105.99839389977387</v>
      </c>
      <c r="O7" s="1046">
        <v>100.70002096344848</v>
      </c>
    </row>
    <row r="8" spans="1:15" hidden="1">
      <c r="A8" s="1045" t="s">
        <v>889</v>
      </c>
      <c r="B8" s="1045">
        <v>1994</v>
      </c>
      <c r="C8" s="1046">
        <v>104.68135162160152</v>
      </c>
      <c r="D8" s="1046">
        <v>100.00413488603247</v>
      </c>
      <c r="E8" s="1046">
        <v>102.19996638765846</v>
      </c>
      <c r="F8" s="1046">
        <v>107.6000086097644</v>
      </c>
      <c r="G8" s="1046">
        <v>110.20013342228145</v>
      </c>
      <c r="H8" s="1046">
        <v>99.998390833608141</v>
      </c>
      <c r="I8" s="1046">
        <v>103.38433534919109</v>
      </c>
      <c r="J8" s="1046">
        <v>95.811518324595866</v>
      </c>
      <c r="K8" s="1046">
        <v>165.32237655321481</v>
      </c>
      <c r="L8" s="1046">
        <v>42.915692027586026</v>
      </c>
      <c r="M8" s="1046">
        <v>109.52532481296606</v>
      </c>
      <c r="N8" s="1046">
        <v>104.682750832915</v>
      </c>
      <c r="O8" s="1046">
        <v>101.00000942843317</v>
      </c>
    </row>
    <row r="9" spans="1:15" hidden="1">
      <c r="A9" s="1045" t="s">
        <v>890</v>
      </c>
      <c r="B9" s="1045">
        <v>1995</v>
      </c>
      <c r="C9" s="1046">
        <v>104.09621816150801</v>
      </c>
      <c r="D9" s="1046">
        <v>100.61747461722233</v>
      </c>
      <c r="E9" s="1046">
        <v>100.9999832488226</v>
      </c>
      <c r="F9" s="1046">
        <v>106.79999062027395</v>
      </c>
      <c r="G9" s="1046">
        <v>107.60037822409778</v>
      </c>
      <c r="H9" s="1046">
        <v>100.29717184088938</v>
      </c>
      <c r="I9" s="1046">
        <v>103.27935883066274</v>
      </c>
      <c r="J9" s="1046">
        <v>96.799431009957573</v>
      </c>
      <c r="K9" s="1046">
        <v>624.07343382658507</v>
      </c>
      <c r="L9" s="1046">
        <v>78.284207580389065</v>
      </c>
      <c r="M9" s="1046">
        <v>109.01329058516897</v>
      </c>
      <c r="N9" s="1046">
        <v>105.042489911289</v>
      </c>
      <c r="O9" s="1046">
        <v>100.69998385999752</v>
      </c>
    </row>
    <row r="10" spans="1:15" hidden="1">
      <c r="A10" s="1045" t="s">
        <v>891</v>
      </c>
      <c r="B10" s="1045">
        <v>1996</v>
      </c>
      <c r="C10" s="1046">
        <v>99.509470730728182</v>
      </c>
      <c r="D10" s="1046">
        <v>102.15403058080419</v>
      </c>
      <c r="E10" s="1046">
        <v>102.19998487015607</v>
      </c>
      <c r="F10" s="1046">
        <v>105.99998662949668</v>
      </c>
      <c r="G10" s="1046">
        <v>109.3998532648569</v>
      </c>
      <c r="H10" s="1046">
        <v>101.39276183860714</v>
      </c>
      <c r="I10" s="1046">
        <v>103.62624006574519</v>
      </c>
      <c r="J10" s="1046">
        <v>98.419540229876162</v>
      </c>
      <c r="K10" s="1046">
        <v>-23975.563425598961</v>
      </c>
      <c r="L10" s="1046">
        <v>144.50520364897824</v>
      </c>
      <c r="M10" s="1046">
        <v>108.19022197892795</v>
      </c>
      <c r="N10" s="1046">
        <v>112.10934567885558</v>
      </c>
      <c r="O10" s="1046">
        <v>101.79999669380189</v>
      </c>
    </row>
    <row r="11" spans="1:15" hidden="1">
      <c r="A11" s="1045" t="s">
        <v>892</v>
      </c>
      <c r="B11" s="1045">
        <v>1997</v>
      </c>
      <c r="C11" s="1046">
        <v>100.74929672891626</v>
      </c>
      <c r="D11" s="1046">
        <v>104.16703512857212</v>
      </c>
      <c r="E11" s="1046">
        <v>103.39999572782288</v>
      </c>
      <c r="F11" s="1046">
        <v>105.19999604541556</v>
      </c>
      <c r="G11" s="1046">
        <v>104.1999564110333</v>
      </c>
      <c r="H11" s="1046">
        <v>102.68760843215519</v>
      </c>
      <c r="I11" s="1046">
        <v>104.41759613752895</v>
      </c>
      <c r="J11" s="1046">
        <v>96.969696969703833</v>
      </c>
      <c r="K11" s="1046">
        <v>-3.2325627584214636</v>
      </c>
      <c r="L11" s="1046">
        <v>183.02418666370318</v>
      </c>
      <c r="M11" s="1046">
        <v>109.11247943484572</v>
      </c>
      <c r="N11" s="1046">
        <v>113.34350431586742</v>
      </c>
      <c r="O11" s="1046">
        <v>102.49999512126283</v>
      </c>
    </row>
    <row r="12" spans="1:15" hidden="1">
      <c r="A12" s="1045" t="s">
        <v>879</v>
      </c>
      <c r="B12" s="1045">
        <v>1998</v>
      </c>
      <c r="C12" s="1046">
        <v>102.20529804125984</v>
      </c>
      <c r="D12" s="1046">
        <v>104.63117157006022</v>
      </c>
      <c r="E12" s="1046">
        <v>100.8000101390512</v>
      </c>
      <c r="F12" s="1046">
        <v>103.49999182672659</v>
      </c>
      <c r="G12" s="1046">
        <v>101.69965138834256</v>
      </c>
      <c r="H12" s="1046">
        <v>101.99037090122533</v>
      </c>
      <c r="I12" s="1046">
        <v>102.16499632891886</v>
      </c>
      <c r="J12" s="1046">
        <v>95.886889460155189</v>
      </c>
      <c r="K12" s="1046">
        <v>74.011086266493194</v>
      </c>
      <c r="L12" s="1046">
        <v>142.26037163258869</v>
      </c>
      <c r="M12" s="1046">
        <v>107.22522357393007</v>
      </c>
      <c r="N12" s="1046">
        <v>108.89811553033728</v>
      </c>
      <c r="O12" s="1046">
        <v>102.60000191700786</v>
      </c>
    </row>
    <row r="13" spans="1:15" hidden="1">
      <c r="A13" s="1045" t="s">
        <v>880</v>
      </c>
      <c r="B13" s="1045">
        <v>1999</v>
      </c>
      <c r="C13" s="1046">
        <v>101.18423788940396</v>
      </c>
      <c r="D13" s="1046">
        <v>104.03806707842998</v>
      </c>
      <c r="E13" s="1046">
        <v>100.199963191884</v>
      </c>
      <c r="F13" s="1046">
        <v>101.39999254178751</v>
      </c>
      <c r="G13" s="1046">
        <v>100.89987222358154</v>
      </c>
      <c r="H13" s="1046">
        <v>100.19758789365343</v>
      </c>
      <c r="I13" s="1046">
        <v>100.85014060163751</v>
      </c>
      <c r="J13" s="1046">
        <v>99.230769230770605</v>
      </c>
      <c r="K13" s="1046">
        <v>72.036458930800976</v>
      </c>
      <c r="L13" s="1046">
        <v>137.65176888532508</v>
      </c>
      <c r="M13" s="1046">
        <v>105.09856890431817</v>
      </c>
      <c r="N13" s="1046">
        <v>106.71049840816238</v>
      </c>
      <c r="O13" s="1046">
        <v>101.20000074245985</v>
      </c>
    </row>
    <row r="14" spans="1:15" hidden="1">
      <c r="A14" s="1045" t="s">
        <v>881</v>
      </c>
      <c r="B14" s="1045">
        <v>2000</v>
      </c>
      <c r="C14" s="1046">
        <v>100.33619927471931</v>
      </c>
      <c r="D14" s="1046">
        <v>103.47211805086222</v>
      </c>
      <c r="E14" s="1046">
        <v>99.800007758319708</v>
      </c>
      <c r="F14" s="1046">
        <v>99.300014284693916</v>
      </c>
      <c r="G14" s="1046">
        <v>99.400354121581742</v>
      </c>
      <c r="H14" s="1046">
        <v>99.6</v>
      </c>
      <c r="I14" s="1046">
        <v>100.24405171622817</v>
      </c>
      <c r="J14" s="1046">
        <v>99.433427762040139</v>
      </c>
      <c r="K14" s="1046">
        <v>81.130631236309029</v>
      </c>
      <c r="L14" s="1046">
        <v>39.100062388145687</v>
      </c>
      <c r="M14" s="1046">
        <v>103.95829961634433</v>
      </c>
      <c r="N14" s="1046">
        <v>105.94202798630208</v>
      </c>
      <c r="O14" s="1046">
        <v>99.800048951091711</v>
      </c>
    </row>
    <row r="15" spans="1:15" hidden="1">
      <c r="A15" s="1041" t="s">
        <v>882</v>
      </c>
      <c r="B15" s="1041">
        <v>2001</v>
      </c>
      <c r="C15" s="1047">
        <v>109.08633478254457</v>
      </c>
      <c r="D15" s="1047">
        <v>108.10000261849314</v>
      </c>
      <c r="E15" s="1047">
        <v>96.3999926226995</v>
      </c>
      <c r="F15" s="1047">
        <v>111.89999147775696</v>
      </c>
      <c r="G15" s="1047">
        <v>95.698051948052068</v>
      </c>
      <c r="H15" s="1047">
        <v>106.40000209939382</v>
      </c>
      <c r="I15" s="1047">
        <v>97.899974779580191</v>
      </c>
      <c r="J15" s="1047">
        <v>69.400139705454336</v>
      </c>
      <c r="K15" s="1047">
        <v>77.797732497302974</v>
      </c>
      <c r="L15" s="1047">
        <v>68.361849682017478</v>
      </c>
      <c r="M15" s="1047">
        <v>98.796378094179232</v>
      </c>
      <c r="N15" s="1047">
        <v>96.880998372277219</v>
      </c>
      <c r="O15" s="1047">
        <v>105.51304227598676</v>
      </c>
    </row>
    <row r="16" spans="1:15" hidden="1">
      <c r="A16" s="1038" t="s">
        <v>883</v>
      </c>
      <c r="B16" s="1038">
        <v>2002</v>
      </c>
      <c r="C16" s="1048">
        <v>107.36164447305885</v>
      </c>
      <c r="D16" s="1048">
        <v>106.70000372853372</v>
      </c>
      <c r="E16" s="1048">
        <v>95.400029653878562</v>
      </c>
      <c r="F16" s="1048">
        <v>109.09999228351943</v>
      </c>
      <c r="G16" s="1048">
        <v>97.899681918277437</v>
      </c>
      <c r="H16" s="1048">
        <v>104.60000468226499</v>
      </c>
      <c r="I16" s="1048">
        <v>96.300005306161268</v>
      </c>
      <c r="J16" s="1048">
        <v>72.798674930540713</v>
      </c>
      <c r="K16" s="1048">
        <v>70.92744917947492</v>
      </c>
      <c r="L16" s="1048">
        <v>26.682612801654042</v>
      </c>
      <c r="M16" s="1048">
        <v>97.53446225499097</v>
      </c>
      <c r="N16" s="1048">
        <v>95.52093481675594</v>
      </c>
      <c r="O16" s="1048">
        <v>108.34920142065758</v>
      </c>
    </row>
    <row r="17" spans="1:16" hidden="1">
      <c r="A17" s="1038" t="s">
        <v>884</v>
      </c>
      <c r="B17" s="1038">
        <v>2003</v>
      </c>
      <c r="C17" s="1048">
        <v>106.70645702644916</v>
      </c>
      <c r="D17" s="1048">
        <v>105.99999821262264</v>
      </c>
      <c r="E17" s="1048">
        <v>95.800046241182187</v>
      </c>
      <c r="F17" s="1048">
        <v>106.89999607866628</v>
      </c>
      <c r="G17" s="1048">
        <v>96.199114000367018</v>
      </c>
      <c r="H17" s="1048">
        <v>103.20001567364932</v>
      </c>
      <c r="I17" s="1048">
        <v>96.399972990547624</v>
      </c>
      <c r="J17" s="1048">
        <v>63.30040716463693</v>
      </c>
      <c r="K17" s="1048">
        <v>71.739323720084386</v>
      </c>
      <c r="L17" s="1048">
        <v>12.464683957738433</v>
      </c>
      <c r="M17" s="1048">
        <v>97.242382090657784</v>
      </c>
      <c r="N17" s="1048">
        <v>95.105059292196287</v>
      </c>
      <c r="O17" s="1048">
        <v>108.33473257443291</v>
      </c>
    </row>
    <row r="18" spans="1:16" hidden="1">
      <c r="A18" s="1038" t="s">
        <v>982</v>
      </c>
      <c r="B18" s="1038">
        <v>2004</v>
      </c>
      <c r="C18" s="1048">
        <v>105.24818337272626</v>
      </c>
      <c r="D18" s="1048">
        <v>105.30000256507634</v>
      </c>
      <c r="E18" s="1048">
        <v>96.400014517584452</v>
      </c>
      <c r="F18" s="1048">
        <v>105.70000295297601</v>
      </c>
      <c r="G18" s="1048">
        <v>96.100213814260584</v>
      </c>
      <c r="H18" s="1048">
        <v>102.70000700314894</v>
      </c>
      <c r="I18" s="1048">
        <v>97.000044652304155</v>
      </c>
      <c r="J18" s="1048">
        <v>75.400606323083622</v>
      </c>
      <c r="K18" s="1048">
        <v>80.357971676782512</v>
      </c>
      <c r="L18" s="1048">
        <v>401.72244236579263</v>
      </c>
      <c r="M18" s="1048">
        <v>98.641324820363991</v>
      </c>
      <c r="N18" s="1048">
        <v>97.258368088240502</v>
      </c>
      <c r="O18" s="1048">
        <v>106.06511150856896</v>
      </c>
    </row>
    <row r="19" spans="1:16" hidden="1">
      <c r="A19" s="1038" t="s">
        <v>983</v>
      </c>
      <c r="B19" s="1038">
        <v>2005</v>
      </c>
      <c r="C19" s="1048">
        <v>104.34029739417359</v>
      </c>
      <c r="D19" s="1048">
        <v>104.49999600493301</v>
      </c>
      <c r="E19" s="1048">
        <v>97.200004556748596</v>
      </c>
      <c r="F19" s="1048">
        <v>105.29999773489349</v>
      </c>
      <c r="G19" s="1048">
        <v>98.099836809514215</v>
      </c>
      <c r="H19" s="1048">
        <v>102.79999494352006</v>
      </c>
      <c r="I19" s="1048">
        <v>98.399992728616851</v>
      </c>
      <c r="J19" s="1048">
        <v>94.704486626402101</v>
      </c>
      <c r="K19" s="1048">
        <v>92.937343568662214</v>
      </c>
      <c r="L19" s="1048">
        <v>89.653508783262041</v>
      </c>
      <c r="M19" s="1048">
        <v>99.871973886573642</v>
      </c>
      <c r="N19" s="1048">
        <v>99.3820831644111</v>
      </c>
      <c r="O19" s="1048">
        <v>104.02832591352987</v>
      </c>
    </row>
    <row r="20" spans="1:16">
      <c r="A20" s="1041" t="s">
        <v>984</v>
      </c>
      <c r="B20" s="1041">
        <v>2006</v>
      </c>
      <c r="C20" s="1047">
        <v>104.49741920711142</v>
      </c>
      <c r="D20" s="1047">
        <v>103.90280598057018</v>
      </c>
      <c r="E20" s="1047">
        <v>99.099984298485793</v>
      </c>
      <c r="F20" s="1047">
        <v>105.09999752191726</v>
      </c>
      <c r="G20" s="1047">
        <v>100.99996835543179</v>
      </c>
      <c r="H20" s="1047">
        <v>101.89997594850209</v>
      </c>
      <c r="I20" s="1047">
        <v>99.729109750896242</v>
      </c>
      <c r="J20" s="1047">
        <v>93.296089385474801</v>
      </c>
      <c r="K20" s="1047">
        <v>75.557812004162813</v>
      </c>
      <c r="L20" s="1047">
        <v>51.06681169911711</v>
      </c>
      <c r="M20" s="1047">
        <v>99.279720595216233</v>
      </c>
      <c r="N20" s="1047">
        <v>98.427269247688812</v>
      </c>
      <c r="O20" s="1047">
        <v>92.430133368488882</v>
      </c>
    </row>
    <row r="21" spans="1:16">
      <c r="A21" s="1038" t="s">
        <v>985</v>
      </c>
      <c r="B21" s="1038">
        <v>2007</v>
      </c>
      <c r="C21" s="1048">
        <v>103.74978639410661</v>
      </c>
      <c r="D21" s="1048">
        <v>103.77346491617342</v>
      </c>
      <c r="E21" s="1048">
        <v>100.89996657267015</v>
      </c>
      <c r="F21" s="1048">
        <v>105.10002017882417</v>
      </c>
      <c r="G21" s="1048">
        <v>103.10091942260877</v>
      </c>
      <c r="H21" s="1048">
        <v>102.09999454124706</v>
      </c>
      <c r="I21" s="1048">
        <v>101.23817941711795</v>
      </c>
      <c r="J21" s="1048">
        <v>104.41176470588233</v>
      </c>
      <c r="K21" s="1048">
        <v>95.015079406921387</v>
      </c>
      <c r="L21" s="1048">
        <v>122.26173183755328</v>
      </c>
      <c r="M21" s="1048">
        <v>101.06164840651491</v>
      </c>
      <c r="N21" s="1048">
        <v>100.60629848146073</v>
      </c>
      <c r="O21" s="1048">
        <v>105.91971502024788</v>
      </c>
    </row>
    <row r="22" spans="1:16">
      <c r="A22" s="1038" t="s">
        <v>986</v>
      </c>
      <c r="B22" s="1038">
        <v>2008</v>
      </c>
      <c r="C22" s="1048">
        <v>103.37182260276781</v>
      </c>
      <c r="D22" s="1048">
        <v>104.0757956006028</v>
      </c>
      <c r="E22" s="1048">
        <v>103.09991809991814</v>
      </c>
      <c r="F22" s="1048">
        <v>105.00000334224822</v>
      </c>
      <c r="G22" s="1048">
        <v>103.95012700076603</v>
      </c>
      <c r="H22" s="1048">
        <v>102.10002402649934</v>
      </c>
      <c r="I22" s="1048">
        <v>103.33704218110944</v>
      </c>
      <c r="J22" s="1048">
        <v>98.991935483869597</v>
      </c>
      <c r="K22" s="1048">
        <v>120.43406887697823</v>
      </c>
      <c r="L22" s="1048">
        <v>4.5115132640361777</v>
      </c>
      <c r="M22" s="1048">
        <v>103.32515207852904</v>
      </c>
      <c r="N22" s="1048">
        <v>102.24811645946079</v>
      </c>
      <c r="O22" s="1048">
        <v>184.13426181283347</v>
      </c>
    </row>
    <row r="23" spans="1:16">
      <c r="A23" s="1038" t="s">
        <v>987</v>
      </c>
      <c r="B23" s="1038">
        <v>2009</v>
      </c>
      <c r="C23" s="1048">
        <v>103.18958245572398</v>
      </c>
      <c r="D23" s="1048">
        <v>101.56447730551055</v>
      </c>
      <c r="E23" s="1048">
        <v>99.900145086697449</v>
      </c>
      <c r="F23" s="1048">
        <v>101.90000175620379</v>
      </c>
      <c r="G23" s="1048">
        <v>98.300180173621882</v>
      </c>
      <c r="H23" s="1048">
        <v>100.59999830871394</v>
      </c>
      <c r="I23" s="1048">
        <v>99.932177824318885</v>
      </c>
      <c r="J23" s="1048">
        <v>87.59689922480338</v>
      </c>
      <c r="K23" s="1048">
        <v>84.867377260962115</v>
      </c>
      <c r="L23" s="1048">
        <v>73.458740261189064</v>
      </c>
      <c r="M23" s="1048">
        <v>98.076068719907624</v>
      </c>
      <c r="N23" s="1048">
        <v>96.031790701711301</v>
      </c>
      <c r="O23" s="1048">
        <v>108.51239148445715</v>
      </c>
    </row>
    <row r="24" spans="1:16">
      <c r="A24" s="1038" t="s">
        <v>944</v>
      </c>
      <c r="B24" s="1038">
        <v>2010</v>
      </c>
      <c r="C24" s="1048">
        <v>101.3961703079741</v>
      </c>
      <c r="D24" s="1048">
        <v>100.38556162183994</v>
      </c>
      <c r="E24" s="1048">
        <v>99.799843323738287</v>
      </c>
      <c r="F24" s="1048">
        <v>100.80001319372838</v>
      </c>
      <c r="G24" s="1048">
        <v>99.277533039647565</v>
      </c>
      <c r="H24" s="1048">
        <v>100.09999669835766</v>
      </c>
      <c r="I24" s="1048">
        <v>99.866917704406887</v>
      </c>
      <c r="J24" s="1048">
        <v>91.583166332665726</v>
      </c>
      <c r="K24" s="1048">
        <v>79.814760111786086</v>
      </c>
      <c r="L24" s="1048">
        <v>44.266517826091679</v>
      </c>
      <c r="M24" s="1048">
        <v>98.852931180041082</v>
      </c>
      <c r="N24" s="1048">
        <v>96.347040501640166</v>
      </c>
      <c r="O24" s="1048">
        <v>223.87512332191685</v>
      </c>
    </row>
    <row r="25" spans="1:16">
      <c r="A25" s="993" t="s">
        <v>96</v>
      </c>
      <c r="B25" s="1049">
        <v>2011</v>
      </c>
      <c r="C25" s="1050">
        <v>100.05919301671888</v>
      </c>
      <c r="D25" s="1050">
        <v>99.904887283505559</v>
      </c>
      <c r="E25" s="1050">
        <v>99.900004908849922</v>
      </c>
      <c r="F25" s="1050">
        <v>99.8999871692846</v>
      </c>
      <c r="G25" s="1050">
        <v>99.699858757062174</v>
      </c>
      <c r="H25" s="1050">
        <v>100</v>
      </c>
      <c r="I25" s="1050">
        <v>99.986811440592788</v>
      </c>
      <c r="J25" s="1050">
        <v>106.66666666669092</v>
      </c>
      <c r="K25" s="1050">
        <v>96.926016208571866</v>
      </c>
      <c r="L25" s="1050">
        <v>54.284226295304407</v>
      </c>
      <c r="M25" s="1050">
        <v>98.895485615813499</v>
      </c>
      <c r="N25" s="1050">
        <v>96.590624859580785</v>
      </c>
      <c r="O25" s="1050">
        <v>-17208.853211005491</v>
      </c>
      <c r="P25" s="239" t="s">
        <v>627</v>
      </c>
    </row>
    <row r="26" spans="1:16">
      <c r="A26" s="993" t="s">
        <v>118</v>
      </c>
      <c r="B26" s="1049">
        <v>2012</v>
      </c>
      <c r="C26" s="1050">
        <v>99.894387897757483</v>
      </c>
      <c r="D26" s="1050">
        <v>99.098286654237583</v>
      </c>
      <c r="E26" s="1050">
        <v>99.199869017703975</v>
      </c>
      <c r="F26" s="1050">
        <v>99.599988613801486</v>
      </c>
      <c r="G26" s="1050">
        <v>98.350525044140909</v>
      </c>
      <c r="H26" s="1050">
        <v>99.299977080503339</v>
      </c>
      <c r="I26" s="1050">
        <v>99.63084626665875</v>
      </c>
      <c r="J26" s="1050">
        <v>104.3824701195241</v>
      </c>
      <c r="K26" s="1050">
        <v>86.325136577182278</v>
      </c>
      <c r="L26" s="1050">
        <v>65.743179045035461</v>
      </c>
      <c r="M26" s="1050">
        <v>97.599059263225229</v>
      </c>
      <c r="N26" s="1050">
        <v>95.659657985530998</v>
      </c>
      <c r="O26" s="1050">
        <v>-3500.472893095136</v>
      </c>
      <c r="P26" s="239" t="s">
        <v>11</v>
      </c>
    </row>
    <row r="27" spans="1:16">
      <c r="A27" s="993" t="s">
        <v>119</v>
      </c>
      <c r="B27" s="1049">
        <v>2013</v>
      </c>
      <c r="C27" s="1050">
        <v>99.723304527095536</v>
      </c>
      <c r="D27" s="1050">
        <v>99.284703139558601</v>
      </c>
      <c r="E27" s="1050">
        <v>102.10001544129001</v>
      </c>
      <c r="F27" s="1050">
        <v>100.29999942124488</v>
      </c>
      <c r="G27" s="1050">
        <v>100.97656249999989</v>
      </c>
      <c r="H27" s="1050">
        <v>99.000023340843583</v>
      </c>
      <c r="I27" s="1050">
        <v>101.10546177238859</v>
      </c>
      <c r="J27" s="1050">
        <v>114.60957178841238</v>
      </c>
      <c r="K27" s="1050">
        <v>96.879204972197329</v>
      </c>
      <c r="L27" s="1050">
        <v>100.66955526804824</v>
      </c>
      <c r="M27" s="1050">
        <v>98.213582195957258</v>
      </c>
      <c r="N27" s="1050">
        <v>98.36002786317502</v>
      </c>
      <c r="O27" s="1050">
        <v>90.013163383044073</v>
      </c>
      <c r="P27" s="239" t="s">
        <v>627</v>
      </c>
    </row>
    <row r="28" spans="1:16">
      <c r="A28" s="993" t="s">
        <v>67</v>
      </c>
      <c r="B28" s="1049">
        <v>2014</v>
      </c>
      <c r="C28" s="1050">
        <v>101.75895611763883</v>
      </c>
      <c r="D28" s="1050">
        <v>101.35469022246002</v>
      </c>
      <c r="E28" s="1050">
        <v>105.80011004046884</v>
      </c>
      <c r="F28" s="1050">
        <v>101.59998257298615</v>
      </c>
      <c r="G28" s="1050">
        <v>101.67482852771738</v>
      </c>
      <c r="H28" s="1050">
        <v>101.00000851491853</v>
      </c>
      <c r="I28" s="1050">
        <v>104.17191097467382</v>
      </c>
      <c r="J28" s="1050">
        <v>103.44827586206434</v>
      </c>
      <c r="K28" s="1050">
        <v>95.844153746233403</v>
      </c>
      <c r="L28" s="1050">
        <v>111.42480391529148</v>
      </c>
      <c r="M28" s="1050">
        <v>100.96064651325358</v>
      </c>
      <c r="N28" s="1050">
        <v>101.15305849480549</v>
      </c>
      <c r="O28" s="1050">
        <v>86.309473645264333</v>
      </c>
      <c r="P28" s="239" t="s">
        <v>11</v>
      </c>
    </row>
    <row r="29" spans="1:16">
      <c r="A29" s="239" t="s">
        <v>157</v>
      </c>
      <c r="B29" s="1061">
        <v>2015</v>
      </c>
      <c r="C29" s="1050">
        <v>103.25611308193714</v>
      </c>
      <c r="D29" s="1050">
        <v>101.29747674440814</v>
      </c>
      <c r="E29" s="1050">
        <v>105.70008051108857</v>
      </c>
      <c r="F29" s="1050">
        <v>102.00001312272811</v>
      </c>
      <c r="G29" s="1050">
        <v>98.83040935672993</v>
      </c>
      <c r="H29" s="1050">
        <v>100.70001693567644</v>
      </c>
      <c r="I29" s="1050">
        <v>104.68386754158745</v>
      </c>
      <c r="J29" s="1050">
        <v>79.090909090913001</v>
      </c>
      <c r="K29" s="1050">
        <v>46.778303549334133</v>
      </c>
      <c r="L29" s="1050">
        <v>85.544979886283883</v>
      </c>
      <c r="M29" s="1050">
        <v>99.077543797054261</v>
      </c>
      <c r="N29" s="1050">
        <v>98.48338931026386</v>
      </c>
      <c r="O29" s="1050">
        <v>345.77200486433338</v>
      </c>
      <c r="P29" s="239" t="s">
        <v>11</v>
      </c>
    </row>
    <row r="30" spans="1:16">
      <c r="A30" s="239" t="s">
        <v>1000</v>
      </c>
      <c r="B30" s="1061">
        <v>2016</v>
      </c>
      <c r="C30" s="1050">
        <v>103.09761612581258</v>
      </c>
      <c r="D30" s="1050">
        <v>100.9074227619773</v>
      </c>
      <c r="E30" s="1050">
        <v>105.39995710915721</v>
      </c>
      <c r="F30" s="1050">
        <v>101.19998488905505</v>
      </c>
      <c r="G30" s="1050">
        <v>96.97586752381271</v>
      </c>
      <c r="H30" s="1050">
        <v>100.39999095524578</v>
      </c>
      <c r="I30" s="1050">
        <v>104.51114783558747</v>
      </c>
      <c r="J30" s="1050">
        <v>77.380952380963208</v>
      </c>
      <c r="K30" s="1050">
        <v>60.4348222509538</v>
      </c>
      <c r="L30" s="1050">
        <v>59.756804424955753</v>
      </c>
      <c r="M30" s="1050">
        <v>97.103750544226557</v>
      </c>
      <c r="N30" s="1050">
        <v>94.678282039578733</v>
      </c>
      <c r="O30" s="1050">
        <v>54.527116325439529</v>
      </c>
      <c r="P30" s="239" t="s">
        <v>11</v>
      </c>
    </row>
    <row r="31" spans="1:16">
      <c r="A31" s="239" t="s">
        <v>1036</v>
      </c>
      <c r="B31" s="1061">
        <v>2017</v>
      </c>
      <c r="C31" s="1050">
        <v>102.691022148261</v>
      </c>
      <c r="D31" s="1050">
        <v>101.19121643819477</v>
      </c>
      <c r="E31" s="1050">
        <v>107.30000424472503</v>
      </c>
      <c r="F31" s="1050">
        <v>102.00000945273398</v>
      </c>
      <c r="G31" s="1050">
        <v>99.924709819094431</v>
      </c>
      <c r="H31" s="1050">
        <v>101.09997801050727</v>
      </c>
      <c r="I31" s="1050">
        <v>106.38619090935765</v>
      </c>
      <c r="J31" s="1050">
        <v>85.526315789472065</v>
      </c>
      <c r="K31" s="1050">
        <v>65.37136563621948</v>
      </c>
      <c r="L31" s="1050">
        <v>43.455947717704738</v>
      </c>
      <c r="M31" s="1050">
        <v>99.011032024675174</v>
      </c>
      <c r="N31" s="1050">
        <v>97.918036614266668</v>
      </c>
      <c r="O31" s="1050">
        <v>91.877396286563112</v>
      </c>
      <c r="P31" s="239" t="s">
        <v>11</v>
      </c>
    </row>
    <row r="32" spans="1:16">
      <c r="A32" s="239" t="s">
        <v>1062</v>
      </c>
      <c r="B32" s="1061">
        <v>2018</v>
      </c>
      <c r="C32" s="1050">
        <v>102.70457159335875</v>
      </c>
      <c r="D32" s="1050">
        <v>101.57017779396278</v>
      </c>
      <c r="E32" s="1050">
        <v>109.09996640143871</v>
      </c>
      <c r="F32" s="1050">
        <v>102.70000724915604</v>
      </c>
      <c r="G32" s="1050">
        <v>100.87631803932744</v>
      </c>
      <c r="H32" s="1050">
        <v>101.19999810151916</v>
      </c>
      <c r="I32" s="1050">
        <v>108.38430755700419</v>
      </c>
      <c r="J32" s="1050">
        <v>95.57522123893564</v>
      </c>
      <c r="K32" s="1050">
        <v>77.168052615434064</v>
      </c>
      <c r="L32" s="1050">
        <v>12.47176011129028</v>
      </c>
      <c r="M32" s="1050">
        <v>100.31240261153587</v>
      </c>
      <c r="N32" s="1050">
        <v>99.369310703685073</v>
      </c>
      <c r="O32" s="1050">
        <v>110.73299691665422</v>
      </c>
      <c r="P32" s="239" t="s">
        <v>11</v>
      </c>
    </row>
    <row r="33" spans="1:15">
      <c r="A33" s="239" t="s">
        <v>1170</v>
      </c>
      <c r="B33" s="1061">
        <v>2019</v>
      </c>
      <c r="C33" s="1050">
        <v>103.22176753961915</v>
      </c>
      <c r="D33" s="1050">
        <v>102.22694815122424</v>
      </c>
      <c r="E33" s="1050">
        <v>110.84918586954527</v>
      </c>
      <c r="F33" s="1050">
        <v>103.05164091727437</v>
      </c>
      <c r="G33" s="1050">
        <v>85.528221391925086</v>
      </c>
      <c r="H33" s="1050">
        <v>101.58933541326508</v>
      </c>
      <c r="I33" s="1050">
        <v>110.13423943627197</v>
      </c>
      <c r="J33" s="1050">
        <v>60.928530555746221</v>
      </c>
      <c r="K33" s="1050">
        <v>83.745982215683995</v>
      </c>
      <c r="L33" s="1050">
        <v>39.584695270242975</v>
      </c>
      <c r="M33" s="1050">
        <v>99.978284891968016</v>
      </c>
      <c r="N33" s="1050">
        <v>99.207651486153665</v>
      </c>
      <c r="O33" s="1050">
        <v>110.73299691665319</v>
      </c>
    </row>
    <row r="34" spans="1:15">
      <c r="A34" s="1034" t="s">
        <v>1129</v>
      </c>
      <c r="B34" s="1051">
        <v>2020</v>
      </c>
      <c r="C34" s="1052">
        <v>103.76470843741569</v>
      </c>
      <c r="D34" s="1052">
        <v>102.46221778263663</v>
      </c>
      <c r="E34" s="1052">
        <v>111.39927846601721</v>
      </c>
      <c r="F34" s="1052">
        <v>102.55022476371434</v>
      </c>
      <c r="G34" s="1052">
        <v>102.40086768456457</v>
      </c>
      <c r="H34" s="1052">
        <v>100.79740740415757</v>
      </c>
      <c r="I34" s="1052">
        <v>110.43372647138885</v>
      </c>
      <c r="J34" s="1052">
        <v>129.2332689273637</v>
      </c>
      <c r="K34" s="1052">
        <v>81.300470316354009</v>
      </c>
      <c r="L34" s="1052">
        <v>66.299586800912664</v>
      </c>
      <c r="M34" s="1052">
        <v>99.084272592987105</v>
      </c>
      <c r="N34" s="1052">
        <v>97.720283290011807</v>
      </c>
      <c r="O34" s="1052">
        <v>110.73299691665422</v>
      </c>
    </row>
    <row r="36" spans="1:15">
      <c r="A36" s="1037" t="s">
        <v>1502</v>
      </c>
      <c r="B36" s="1038"/>
      <c r="C36" s="1038"/>
      <c r="D36" s="1038"/>
      <c r="E36" s="1038"/>
      <c r="F36" s="1038"/>
      <c r="G36" s="1038"/>
      <c r="H36" s="1038"/>
      <c r="I36" s="1038"/>
      <c r="J36" s="1038"/>
      <c r="K36" s="1039" t="s">
        <v>11</v>
      </c>
      <c r="L36" s="1039"/>
    </row>
    <row r="37" spans="1:15">
      <c r="A37" s="1040" t="s">
        <v>627</v>
      </c>
      <c r="B37" s="1041"/>
      <c r="C37" s="1041" t="s">
        <v>963</v>
      </c>
      <c r="D37" s="1041" t="s">
        <v>964</v>
      </c>
      <c r="E37" s="1041" t="s">
        <v>965</v>
      </c>
      <c r="F37" s="1041" t="s">
        <v>966</v>
      </c>
      <c r="G37" s="1041" t="s">
        <v>967</v>
      </c>
      <c r="H37" s="1041" t="s">
        <v>1503</v>
      </c>
      <c r="I37" s="1041" t="s">
        <v>969</v>
      </c>
      <c r="J37" s="1041" t="s">
        <v>970</v>
      </c>
      <c r="K37" s="1042" t="s">
        <v>971</v>
      </c>
      <c r="L37" s="1042"/>
      <c r="M37" s="1033"/>
      <c r="N37" s="1033"/>
      <c r="O37" s="1033"/>
    </row>
    <row r="38" spans="1:15">
      <c r="A38" s="1038" t="s">
        <v>10</v>
      </c>
      <c r="B38" s="1038"/>
      <c r="C38" s="1038"/>
      <c r="D38" s="1038" t="s">
        <v>973</v>
      </c>
      <c r="E38" s="1038"/>
      <c r="F38" s="1038" t="s">
        <v>974</v>
      </c>
      <c r="G38" s="1038" t="s">
        <v>975</v>
      </c>
      <c r="H38" s="1038" t="s">
        <v>1504</v>
      </c>
      <c r="I38" s="1038" t="s">
        <v>976</v>
      </c>
      <c r="J38" s="1038" t="s">
        <v>975</v>
      </c>
      <c r="K38" s="1038" t="s">
        <v>977</v>
      </c>
      <c r="L38" s="1038"/>
      <c r="M38" s="239" t="s">
        <v>978</v>
      </c>
      <c r="N38" s="239" t="s">
        <v>979</v>
      </c>
      <c r="O38" s="239" t="s">
        <v>980</v>
      </c>
    </row>
    <row r="39" spans="1:15">
      <c r="A39" s="1062" t="s">
        <v>984</v>
      </c>
      <c r="B39" s="1063">
        <v>2006</v>
      </c>
      <c r="C39" s="1066"/>
      <c r="D39" s="1066"/>
      <c r="E39" s="1066"/>
      <c r="F39" s="1066"/>
      <c r="G39" s="1066"/>
      <c r="H39" s="1066"/>
      <c r="I39" s="1066"/>
      <c r="J39" s="1066"/>
      <c r="K39" s="1066"/>
      <c r="L39" s="1066"/>
      <c r="M39" s="1066"/>
      <c r="N39" s="1066"/>
      <c r="O39" s="1066"/>
    </row>
    <row r="40" spans="1:15">
      <c r="A40" s="1064" t="s">
        <v>985</v>
      </c>
      <c r="B40" s="1065">
        <v>2007</v>
      </c>
      <c r="C40" s="1067"/>
      <c r="D40" s="1067"/>
      <c r="E40" s="1067"/>
      <c r="F40" s="1067"/>
      <c r="G40" s="1067"/>
      <c r="H40" s="1067"/>
      <c r="I40" s="1067"/>
      <c r="J40" s="1067"/>
      <c r="K40" s="1067"/>
      <c r="L40" s="1067"/>
      <c r="M40" s="1067"/>
      <c r="N40" s="1067"/>
      <c r="O40" s="1067"/>
    </row>
    <row r="41" spans="1:15">
      <c r="A41" s="1064" t="s">
        <v>986</v>
      </c>
      <c r="B41" s="1065">
        <v>2008</v>
      </c>
      <c r="C41" s="1067"/>
      <c r="D41" s="1067"/>
      <c r="E41" s="1067"/>
      <c r="F41" s="1067"/>
      <c r="G41" s="1067"/>
      <c r="H41" s="1067"/>
      <c r="I41" s="1067"/>
      <c r="J41" s="1067"/>
      <c r="K41" s="1067"/>
      <c r="L41" s="1067"/>
      <c r="M41" s="1067"/>
      <c r="N41" s="1067"/>
      <c r="O41" s="1067"/>
    </row>
    <row r="42" spans="1:15">
      <c r="A42" s="1064" t="s">
        <v>987</v>
      </c>
      <c r="B42" s="1065">
        <v>2009</v>
      </c>
      <c r="C42" s="1067"/>
      <c r="D42" s="1067"/>
      <c r="E42" s="1067"/>
      <c r="F42" s="1067"/>
      <c r="G42" s="1067"/>
      <c r="H42" s="1067"/>
      <c r="I42" s="1067"/>
      <c r="J42" s="1067"/>
      <c r="K42" s="1067"/>
      <c r="L42" s="1067"/>
      <c r="M42" s="1067"/>
      <c r="N42" s="1067"/>
      <c r="O42" s="1067"/>
    </row>
    <row r="43" spans="1:15">
      <c r="A43" s="1064" t="s">
        <v>944</v>
      </c>
      <c r="B43" s="1065">
        <v>2010</v>
      </c>
      <c r="C43" s="1067"/>
      <c r="D43" s="1067"/>
      <c r="E43" s="1067"/>
      <c r="F43" s="1067"/>
      <c r="G43" s="1067"/>
      <c r="H43" s="1067"/>
      <c r="I43" s="1067"/>
      <c r="J43" s="1067"/>
      <c r="K43" s="1067"/>
      <c r="L43" s="1067"/>
      <c r="M43" s="1067"/>
      <c r="N43" s="1067"/>
      <c r="O43" s="1067"/>
    </row>
    <row r="44" spans="1:15">
      <c r="A44" s="993" t="s">
        <v>96</v>
      </c>
      <c r="B44" s="1058">
        <v>2011</v>
      </c>
      <c r="C44" s="384">
        <f>兵庫QE名目!C134/兵庫QE実質!C134*100</f>
        <v>96.875907888175732</v>
      </c>
      <c r="D44" s="384">
        <f>兵庫QE名目!D134/兵庫QE実質!D134*100</f>
        <v>98.264843839333608</v>
      </c>
      <c r="E44" s="384">
        <f>兵庫QE名目!E134/兵庫QE実質!E134*100</f>
        <v>94.700185452297546</v>
      </c>
      <c r="F44" s="384">
        <f>兵庫QE名目!F134/兵庫QE実質!F134*100</f>
        <v>97.799958859712788</v>
      </c>
      <c r="G44" s="384">
        <f>兵庫QE名目!G134/兵庫QE実質!G134*100</f>
        <v>100.22596808376258</v>
      </c>
      <c r="H44" s="384">
        <f>兵庫QE名目!H134/兵庫QE実質!H134*100</f>
        <v>99.500010217325823</v>
      </c>
      <c r="I44" s="384">
        <f>兵庫QE名目!I134/兵庫QE実質!I134*100</f>
        <v>94.887344537222987</v>
      </c>
      <c r="J44" s="384">
        <f>兵庫QE名目!J134/兵庫QE実質!J134*100</f>
        <v>121.47007553747822</v>
      </c>
      <c r="K44" s="384">
        <f>兵庫QE名目!K134/兵庫QE実質!K134*100</f>
        <v>200.94380854507011</v>
      </c>
      <c r="L44" s="384">
        <f>兵庫QE名目!L134/兵庫QE実質!L134*100</f>
        <v>124.39197033753177</v>
      </c>
      <c r="M44" s="384">
        <f>兵庫QE名目!M134/兵庫QE実質!M134*100</f>
        <v>96.985699964557355</v>
      </c>
      <c r="N44" s="384">
        <f>兵庫QE名目!N134/兵庫QE実質!N134*100</f>
        <v>97.855542963590594</v>
      </c>
      <c r="O44" s="384"/>
    </row>
    <row r="45" spans="1:15">
      <c r="A45" s="993" t="s">
        <v>118</v>
      </c>
      <c r="B45" s="1058">
        <v>2012</v>
      </c>
      <c r="C45" s="384">
        <f>兵庫QE名目!C135/兵庫QE実質!C135*100</f>
        <v>96.552143755323897</v>
      </c>
      <c r="D45" s="384">
        <f>兵庫QE名目!D135/兵庫QE実質!D135*100</f>
        <v>97.486829301428031</v>
      </c>
      <c r="E45" s="384">
        <f>兵庫QE名目!E135/兵庫QE実質!E135*100</f>
        <v>94.199959609746585</v>
      </c>
      <c r="F45" s="384">
        <f>兵庫QE名目!F135/兵庫QE実質!F135*100</f>
        <v>97.499982971121696</v>
      </c>
      <c r="G45" s="384">
        <f>兵庫QE名目!G135/兵庫QE実質!G135*100</f>
        <v>98.826291079812208</v>
      </c>
      <c r="H45" s="384">
        <f>兵庫QE名目!H135/兵庫QE実質!H135*100</f>
        <v>98.700003136853056</v>
      </c>
      <c r="I45" s="384">
        <f>兵庫QE名目!I135/兵庫QE実質!I135*100</f>
        <v>94.719254209003878</v>
      </c>
      <c r="J45" s="384">
        <f>兵庫QE名目!J135/兵庫QE実質!J135*100</f>
        <v>123.63636363636363</v>
      </c>
      <c r="K45" s="384">
        <f>兵庫QE名目!K135/兵庫QE実質!K135*100</f>
        <v>146.6310259010047</v>
      </c>
      <c r="L45" s="384">
        <f>兵庫QE名目!L135/兵庫QE実質!L135*100</f>
        <v>106.54035420057262</v>
      </c>
      <c r="M45" s="384">
        <f>兵庫QE名目!M135/兵庫QE実質!M135*100</f>
        <v>96.337415354538422</v>
      </c>
      <c r="N45" s="384">
        <f>兵庫QE名目!N135/兵庫QE実質!N135*100</f>
        <v>96.809632130540891</v>
      </c>
      <c r="O45" s="384"/>
    </row>
    <row r="46" spans="1:15">
      <c r="A46" s="993" t="s">
        <v>119</v>
      </c>
      <c r="B46" s="1058">
        <v>2013</v>
      </c>
      <c r="C46" s="384">
        <f>兵庫QE名目!C136/兵庫QE実質!C136*100</f>
        <v>96.399922846853627</v>
      </c>
      <c r="D46" s="384">
        <f>兵庫QE名目!D136/兵庫QE実質!D136*100</f>
        <v>97.651434919351516</v>
      </c>
      <c r="E46" s="384">
        <f>兵庫QE名目!E136/兵庫QE実質!E136*100</f>
        <v>96.400013280653411</v>
      </c>
      <c r="F46" s="384">
        <f>兵庫QE名目!F136/兵庫QE実質!F136*100</f>
        <v>98.300012973332301</v>
      </c>
      <c r="G46" s="384">
        <f>兵庫QE名目!G136/兵庫QE実質!G136*100</f>
        <v>101.54783231816553</v>
      </c>
      <c r="H46" s="384">
        <f>兵庫QE名目!H136/兵庫QE実質!H136*100</f>
        <v>98.399993307296143</v>
      </c>
      <c r="I46" s="384">
        <f>兵庫QE名目!I136/兵庫QE実質!I136*100</f>
        <v>96.198460828482496</v>
      </c>
      <c r="J46" s="384">
        <f>兵庫QE名目!J136/兵庫QE実質!J136*100</f>
        <v>138.09456895946042</v>
      </c>
      <c r="K46" s="384">
        <f>兵庫QE名目!K136/兵庫QE実質!K136*100</f>
        <v>186.29406431656977</v>
      </c>
      <c r="L46" s="384">
        <f>兵庫QE名目!L136/兵庫QE実質!L136*100</f>
        <v>127.45063991342798</v>
      </c>
      <c r="M46" s="384">
        <f>兵庫QE名目!M136/兵庫QE実質!M136*100</f>
        <v>99.306888642425648</v>
      </c>
      <c r="N46" s="384">
        <f>兵庫QE名目!N136/兵庫QE実質!N136*100</f>
        <v>100.4316939714746</v>
      </c>
      <c r="O46" s="384"/>
    </row>
    <row r="47" spans="1:15">
      <c r="A47" s="993" t="s">
        <v>67</v>
      </c>
      <c r="B47" s="1058">
        <v>2014</v>
      </c>
      <c r="C47" s="384">
        <f>兵庫QE名目!C137/兵庫QE実質!C137*100</f>
        <v>98.332213684869757</v>
      </c>
      <c r="D47" s="384">
        <f>兵庫QE名目!D137/兵庫QE実質!D137*100</f>
        <v>99.833896022157703</v>
      </c>
      <c r="E47" s="384">
        <f>兵庫QE名目!E137/兵庫QE実質!E137*100</f>
        <v>99.799871456437941</v>
      </c>
      <c r="F47" s="384">
        <f>兵庫QE名目!F137/兵庫QE実質!F137*100</f>
        <v>99.499995388442656</v>
      </c>
      <c r="G47" s="384">
        <f>兵庫QE名目!G137/兵庫QE実質!G137*100</f>
        <v>102.01814664086997</v>
      </c>
      <c r="H47" s="384">
        <f>兵庫QE名目!H137/兵庫QE実質!H137*100</f>
        <v>100.20003578915077</v>
      </c>
      <c r="I47" s="384">
        <f>兵庫QE名目!I137/兵庫QE実質!I137*100</f>
        <v>99.590118943541157</v>
      </c>
      <c r="J47" s="384">
        <f>兵庫QE名目!J137/兵庫QE実質!J137*100</f>
        <v>124.25316788129473</v>
      </c>
      <c r="K47" s="384">
        <f>兵庫QE名目!K137/兵庫QE実質!K137*100</f>
        <v>-21134.404283801872</v>
      </c>
      <c r="L47" s="384">
        <f>兵庫QE名目!L137/兵庫QE実質!L137*100</f>
        <v>-689.17947541485057</v>
      </c>
      <c r="M47" s="384">
        <f>兵庫QE名目!M137/兵庫QE実質!M137*100</f>
        <v>102.20765458687455</v>
      </c>
      <c r="N47" s="384">
        <f>兵庫QE名目!N137/兵庫QE実質!N137*100</f>
        <v>102.80009910355703</v>
      </c>
      <c r="O47" s="384"/>
    </row>
    <row r="48" spans="1:15">
      <c r="A48" s="239" t="s">
        <v>157</v>
      </c>
      <c r="B48" s="1060">
        <v>2015</v>
      </c>
      <c r="C48" s="384">
        <f>兵庫QE名目!C138/兵庫QE実質!C138*100</f>
        <v>99.922041565395446</v>
      </c>
      <c r="D48" s="384">
        <f>兵庫QE名目!D138/兵庫QE実質!D138*100</f>
        <v>99.945416604686429</v>
      </c>
      <c r="E48" s="384">
        <f>兵庫QE名目!E138/兵庫QE実質!E138*100</f>
        <v>99.899948904387003</v>
      </c>
      <c r="F48" s="384">
        <f>兵庫QE名目!F138/兵庫QE実質!F138*100</f>
        <v>99.900013241638433</v>
      </c>
      <c r="G48" s="384">
        <f>兵庫QE名目!G138/兵庫QE実質!G138*100</f>
        <v>98.674925662695671</v>
      </c>
      <c r="H48" s="384">
        <f>兵庫QE名目!H138/兵庫QE実質!H138*100</f>
        <v>100</v>
      </c>
      <c r="I48" s="384">
        <f>兵庫QE名目!I138/兵庫QE実質!I138*100</f>
        <v>99.799888855466222</v>
      </c>
      <c r="J48" s="384">
        <f>兵庫QE名目!J138/兵庫QE実質!J138*100</f>
        <v>94.544531844709468</v>
      </c>
      <c r="K48" s="384">
        <f>兵庫QE名目!K138/兵庫QE実質!K138*100</f>
        <v>98.698197668828328</v>
      </c>
      <c r="L48" s="384">
        <f>兵庫QE名目!L138/兵庫QE実質!L138*100</f>
        <v>68.374915711395829</v>
      </c>
      <c r="M48" s="384">
        <f>兵庫QE名目!M138/兵庫QE実質!M138*100</f>
        <v>99.131208147671529</v>
      </c>
      <c r="N48" s="384">
        <f>兵庫QE名目!N138/兵庫QE実質!N138*100</f>
        <v>98.97682094383164</v>
      </c>
      <c r="O48" s="384"/>
    </row>
    <row r="49" spans="1:15">
      <c r="A49" s="239" t="s">
        <v>1000</v>
      </c>
      <c r="B49" s="1060">
        <v>2016</v>
      </c>
      <c r="C49" s="384">
        <f>兵庫QE名目!C139/兵庫QE実質!C139*100</f>
        <v>100.12280247453755</v>
      </c>
      <c r="D49" s="384">
        <f>兵庫QE名目!D139/兵庫QE実質!D139*100</f>
        <v>99.805333657725939</v>
      </c>
      <c r="E49" s="384">
        <f>兵庫QE名目!E139/兵庫QE実質!E139*100</f>
        <v>99.80015021909162</v>
      </c>
      <c r="F49" s="384">
        <f>兵庫QE名目!F139/兵庫QE実質!F139*100</f>
        <v>99.100017690860255</v>
      </c>
      <c r="G49" s="384">
        <f>兵庫QE名目!G139/兵庫QE実質!G139*100</f>
        <v>96.45081714461918</v>
      </c>
      <c r="H49" s="384">
        <f>兵庫QE名目!H139/兵庫QE実質!H139*100</f>
        <v>99.600049234249298</v>
      </c>
      <c r="I49" s="384">
        <f>兵庫QE名目!I139/兵庫QE実質!I139*100</f>
        <v>99.526904145640529</v>
      </c>
      <c r="J49" s="384">
        <f>兵庫QE名目!J139/兵庫QE実質!J139*100</f>
        <v>95.346923508509434</v>
      </c>
      <c r="K49" s="384">
        <f>兵庫QE名目!K139/兵庫QE実質!K139*100</f>
        <v>119.39092915914109</v>
      </c>
      <c r="L49" s="384">
        <f>兵庫QE名目!L139/兵庫QE実質!L139*100</f>
        <v>-8725.7158514865059</v>
      </c>
      <c r="M49" s="384">
        <f>兵庫QE名目!M139/兵庫QE実質!M139*100</f>
        <v>98.283380964774793</v>
      </c>
      <c r="N49" s="384">
        <f>兵庫QE名目!N139/兵庫QE実質!N139*100</f>
        <v>94.720485126220169</v>
      </c>
      <c r="O49" s="384"/>
    </row>
    <row r="50" spans="1:15">
      <c r="A50" s="239" t="s">
        <v>1036</v>
      </c>
      <c r="B50" s="1060">
        <v>2017</v>
      </c>
      <c r="C50" s="384">
        <f>兵庫QE名目!C140/兵庫QE実質!C140*100</f>
        <v>100.00907040673212</v>
      </c>
      <c r="D50" s="384">
        <f>兵庫QE名目!D140/兵庫QE実質!D140*100</f>
        <v>100.26637507850525</v>
      </c>
      <c r="E50" s="384">
        <f>兵庫QE名目!E140/兵庫QE実質!E140*100</f>
        <v>101.60012542106671</v>
      </c>
      <c r="F50" s="384">
        <f>兵庫QE名目!F140/兵庫QE実質!F140*100</f>
        <v>99.900008021450148</v>
      </c>
      <c r="G50" s="384">
        <f>兵庫QE名目!G140/兵庫QE実質!G140*100</f>
        <v>99.32436257950063</v>
      </c>
      <c r="H50" s="384">
        <f>兵庫QE名目!H140/兵庫QE実質!H140*100</f>
        <v>100.19998615054359</v>
      </c>
      <c r="I50" s="384">
        <f>兵庫QE名目!I140/兵庫QE実質!I140*100</f>
        <v>101.07634839603237</v>
      </c>
      <c r="J50" s="384">
        <f>兵庫QE名目!J140/兵庫QE実質!J140*100</f>
        <v>107.74595637334916</v>
      </c>
      <c r="K50" s="384">
        <f>兵庫QE名目!K140/兵庫QE実質!K140*100</f>
        <v>90.08621608372232</v>
      </c>
      <c r="L50" s="384">
        <f>兵庫QE名目!L140/兵庫QE実質!L140*100</f>
        <v>371.12810110781714</v>
      </c>
      <c r="M50" s="384">
        <f>兵庫QE名目!M140/兵庫QE実質!M140*100</f>
        <v>102.8841709471411</v>
      </c>
      <c r="N50" s="384">
        <f>兵庫QE名目!N140/兵庫QE実質!N140*100</f>
        <v>97.707793377697499</v>
      </c>
      <c r="O50" s="384"/>
    </row>
    <row r="51" spans="1:15">
      <c r="A51" s="239" t="s">
        <v>1062</v>
      </c>
      <c r="B51" s="1060">
        <v>2018</v>
      </c>
      <c r="C51" s="384">
        <f>兵庫QE名目!C141/兵庫QE実質!C141*100</f>
        <v>100.03012464956535</v>
      </c>
      <c r="D51" s="384">
        <f>兵庫QE名目!D141/兵庫QE実質!D141*100</f>
        <v>100.7011094015833</v>
      </c>
      <c r="E51" s="384">
        <f>兵庫QE名目!E141/兵庫QE実質!E141*100</f>
        <v>103.20006752816231</v>
      </c>
      <c r="F51" s="384">
        <f>兵庫QE名目!F141/兵庫QE実質!F141*100</f>
        <v>100.79999957642565</v>
      </c>
      <c r="G51" s="384">
        <f>兵庫QE名目!G141/兵庫QE実質!G141*100</f>
        <v>100.39954874494687</v>
      </c>
      <c r="H51" s="384">
        <f>兵庫QE名目!H141/兵庫QE実質!H141*100</f>
        <v>100.40002364068366</v>
      </c>
      <c r="I51" s="384">
        <f>兵庫QE名目!I141/兵庫QE実質!I141*100</f>
        <v>102.84358879754802</v>
      </c>
      <c r="J51" s="384">
        <f>兵庫QE名目!J141/兵庫QE実質!J141*100</f>
        <v>120.70188538361022</v>
      </c>
      <c r="K51" s="384">
        <f>兵庫QE名目!K141/兵庫QE実質!K141*100</f>
        <v>72.064427747104489</v>
      </c>
      <c r="L51" s="384">
        <f>兵庫QE名目!L141/兵庫QE実質!L141*100</f>
        <v>577.92221838442833</v>
      </c>
      <c r="M51" s="384">
        <f>兵庫QE名目!M141/兵庫QE実質!M141*100</f>
        <v>106.34874450500843</v>
      </c>
      <c r="N51" s="384">
        <f>兵庫QE名目!N141/兵庫QE実質!N141*100</f>
        <v>98.979349826211404</v>
      </c>
      <c r="O51" s="384"/>
    </row>
    <row r="52" spans="1:15">
      <c r="A52" s="239" t="s">
        <v>1170</v>
      </c>
      <c r="B52" s="1060">
        <v>2019</v>
      </c>
      <c r="C52" s="384">
        <f>兵庫QE名目!C142/兵庫QE実質!C142*100</f>
        <v>100.44478868380781</v>
      </c>
      <c r="D52" s="384">
        <f>兵庫QE名目!D142/兵庫QE実質!D142*100</f>
        <v>101.36023138001467</v>
      </c>
      <c r="E52" s="384">
        <f>兵庫QE名目!E142/兵庫QE実質!E142*100</f>
        <v>104.8000558146025</v>
      </c>
      <c r="F52" s="384">
        <f>兵庫QE名目!F142/兵庫QE実質!F142*100</f>
        <v>101.09999330718391</v>
      </c>
      <c r="G52" s="384">
        <f>兵庫QE名目!G142/兵庫QE実質!G142*100</f>
        <v>98.099422058222771</v>
      </c>
      <c r="H52" s="384">
        <f>兵庫QE名目!H142/兵庫QE実質!H142*100</f>
        <v>100.79999048126147</v>
      </c>
      <c r="I52" s="384">
        <f>兵庫QE名目!I142/兵庫QE実質!I142*100</f>
        <v>104.42256685380475</v>
      </c>
      <c r="J52" s="384">
        <f>兵庫QE名目!J142/兵庫QE実質!J142*100</f>
        <v>111.84485708853541</v>
      </c>
      <c r="K52" s="384">
        <f>兵庫QE名目!K142/兵庫QE実質!K142*100</f>
        <v>448.82943143812713</v>
      </c>
      <c r="L52" s="384">
        <f>兵庫QE名目!L142/兵庫QE実質!L142*100</f>
        <v>6014.4457904300425</v>
      </c>
      <c r="M52" s="384">
        <f>兵庫QE名目!M142/兵庫QE実質!M142*100</f>
        <v>107.64744457513982</v>
      </c>
      <c r="N52" s="384">
        <f>兵庫QE名目!N142/兵庫QE実質!N142*100</f>
        <v>97.16548357372281</v>
      </c>
      <c r="O52" s="384"/>
    </row>
    <row r="53" spans="1:15">
      <c r="A53" s="1034" t="s">
        <v>1129</v>
      </c>
      <c r="B53" s="1059">
        <v>2020</v>
      </c>
      <c r="C53" s="398">
        <f>兵庫QE名目!C143/兵庫QE実質!C143*100</f>
        <v>101.44609323681316</v>
      </c>
      <c r="D53" s="398">
        <f>兵庫QE名目!D143/兵庫QE実質!D143*100</f>
        <v>101.44418986581213</v>
      </c>
      <c r="E53" s="398">
        <f>兵庫QE名目!E143/兵庫QE実質!E143*100</f>
        <v>105.30001496333983</v>
      </c>
      <c r="F53" s="398">
        <f>兵庫QE名目!F143/兵庫QE実質!F143*100</f>
        <v>100.7000075883858</v>
      </c>
      <c r="G53" s="398">
        <f>兵庫QE名目!G143/兵庫QE実質!G143*100</f>
        <v>96.950105787514389</v>
      </c>
      <c r="H53" s="398">
        <f>兵庫QE名目!H143/兵庫QE実質!H143*100</f>
        <v>99.800011320113953</v>
      </c>
      <c r="I53" s="398">
        <f>兵庫QE名目!I143/兵庫QE実質!I143*100</f>
        <v>104.80249946483727</v>
      </c>
      <c r="J53" s="398">
        <f>兵庫QE名目!J143/兵庫QE実質!J143*100</f>
        <v>99.096442123454935</v>
      </c>
      <c r="K53" s="398">
        <f>兵庫QE名目!K143/兵庫QE実質!K143*100</f>
        <v>103.50432824303255</v>
      </c>
      <c r="L53" s="398">
        <f>兵庫QE名目!L143/兵庫QE実質!L143*100</f>
        <v>-488.29343578629363</v>
      </c>
      <c r="M53" s="398">
        <f>兵庫QE名目!M143/兵庫QE実質!M143*100</f>
        <v>104.10135681544261</v>
      </c>
      <c r="N53" s="398">
        <f>兵庫QE名目!N143/兵庫QE実質!N143*100</f>
        <v>95.74937096037462</v>
      </c>
      <c r="O53" s="398"/>
    </row>
    <row r="54" spans="1:15">
      <c r="A54" s="1034" t="s">
        <v>1160</v>
      </c>
      <c r="B54" s="1059">
        <v>2021</v>
      </c>
      <c r="C54" s="398">
        <f>兵庫QE名目!C144/兵庫QE実質!C144*100</f>
        <v>101.30483323223125</v>
      </c>
      <c r="D54" s="398">
        <f>兵庫QE名目!D144/兵庫QE実質!D144*100</f>
        <v>102.56153384411402</v>
      </c>
      <c r="E54" s="398">
        <f>兵庫QE名目!E144/兵庫QE実質!E144*100</f>
        <v>113.39986689317656</v>
      </c>
      <c r="F54" s="398">
        <f>兵庫QE名目!F144/兵庫QE実質!F144*100</f>
        <v>103.29997232855487</v>
      </c>
      <c r="G54" s="398">
        <f>兵庫QE名目!G144/兵庫QE実質!G144*100</f>
        <v>107.77392620224877</v>
      </c>
      <c r="H54" s="398">
        <f>兵庫QE名目!H144/兵庫QE実質!H144*100</f>
        <v>100.899985577603</v>
      </c>
      <c r="I54" s="398">
        <f>兵庫QE名目!I144/兵庫QE実質!I144*100</f>
        <v>108.29185371114045</v>
      </c>
      <c r="J54" s="398">
        <f>兵庫QE名目!J144/兵庫QE実質!J144*100</f>
        <v>136.11793611793613</v>
      </c>
      <c r="K54" s="398">
        <f>兵庫QE名目!K144/兵庫QE実質!K144*100</f>
        <v>58.574250549147358</v>
      </c>
      <c r="L54" s="398">
        <f>兵庫QE名目!L144/兵庫QE実質!L144*100</f>
        <v>249.83931949599034</v>
      </c>
      <c r="M54" s="398">
        <f>兵庫QE名目!M144/兵庫QE実質!M144*100</f>
        <v>109.29133414959288</v>
      </c>
      <c r="N54" s="398">
        <f>兵庫QE名目!N144/兵庫QE実質!N144*100</f>
        <v>106.3010959969846</v>
      </c>
      <c r="O54" s="398"/>
    </row>
    <row r="55" spans="1:15">
      <c r="A55" s="1034" t="s">
        <v>1200</v>
      </c>
      <c r="B55" s="1059">
        <v>2022</v>
      </c>
      <c r="C55" s="398">
        <f>兵庫QE名目!C145/兵庫QE実質!C145*100</f>
        <v>102.1147953852668</v>
      </c>
      <c r="D55" s="398">
        <f>兵庫QE名目!D145/兵庫QE実質!D145*100</f>
        <v>105.70577851340974</v>
      </c>
      <c r="E55" s="398">
        <f>兵庫QE名目!E145/兵庫QE実質!E145*100</f>
        <v>119.30007550840192</v>
      </c>
      <c r="F55" s="398">
        <f>兵庫QE名目!F145/兵庫QE実質!F145*100</f>
        <v>107.79999678211634</v>
      </c>
      <c r="G55" s="398">
        <f>兵庫QE名目!G145/兵庫QE実質!G145*100</f>
        <v>119.47419668938657</v>
      </c>
      <c r="H55" s="398">
        <f>兵庫QE名目!H145/兵庫QE実質!H145*100</f>
        <v>102.60005350030328</v>
      </c>
      <c r="I55" s="398">
        <f>兵庫QE名目!I145/兵庫QE実質!I145*100</f>
        <v>113.29069643832771</v>
      </c>
      <c r="J55" s="398">
        <f>兵庫QE名目!J145/兵庫QE実質!J145*100</f>
        <v>166.92676836643128</v>
      </c>
      <c r="K55" s="398">
        <f>兵庫QE名目!K145/兵庫QE実質!K145*100</f>
        <v>-52.897353664281241</v>
      </c>
      <c r="L55" s="398">
        <f>兵庫QE名目!L145/兵庫QE実質!L145*100</f>
        <v>1019.8577140779977</v>
      </c>
      <c r="M55" s="398">
        <f>兵庫QE名目!M145/兵庫QE実質!M145*100</f>
        <v>120.86668850401709</v>
      </c>
      <c r="N55" s="398">
        <f>兵庫QE名目!N145/兵庫QE実質!N145*100</f>
        <v>118.94844480212232</v>
      </c>
      <c r="O55" s="398"/>
    </row>
    <row r="56" spans="1:15">
      <c r="A56" s="1696" t="s">
        <v>1234</v>
      </c>
      <c r="B56" s="1697">
        <v>2023</v>
      </c>
      <c r="C56" s="398">
        <f>兵庫QE名目!C146/兵庫QE実質!C146*100</f>
        <v>104.66038645770719</v>
      </c>
      <c r="D56" s="398">
        <f>兵庫QE名目!D146/兵庫QE実質!D146*100</f>
        <v>108.39582420828597</v>
      </c>
      <c r="E56" s="398">
        <f>兵庫QE名目!E146/兵庫QE実質!E146*100</f>
        <v>119.3999754277114</v>
      </c>
      <c r="F56" s="398">
        <f>兵庫QE名目!F146/兵庫QE実質!F146*100</f>
        <v>111.60004241076848</v>
      </c>
      <c r="G56" s="398">
        <f>兵庫QE名目!G146/兵庫QE実質!G146*100</f>
        <v>121.67889160554198</v>
      </c>
      <c r="H56" s="398">
        <f>兵庫QE名目!H146/兵庫QE実質!H146*100</f>
        <v>103.70003607636409</v>
      </c>
      <c r="I56" s="398">
        <f>兵庫QE名目!I146/兵庫QE実質!I146*100</f>
        <v>117.1970201936535</v>
      </c>
      <c r="J56" s="398">
        <f>兵庫QE名目!J146/兵庫QE実質!J146*100</f>
        <v>158.28220858895705</v>
      </c>
      <c r="K56" s="398">
        <f>兵庫QE名目!K146/兵庫QE実質!K146*100</f>
        <v>0.23718779493246753</v>
      </c>
      <c r="L56" s="398">
        <f>兵庫QE名目!L146/兵庫QE実質!L146*100</f>
        <v>205.46240769052844</v>
      </c>
      <c r="M56" s="398">
        <f>兵庫QE名目!M146/兵庫QE実質!M146*100</f>
        <v>121.76841123757079</v>
      </c>
      <c r="N56" s="398">
        <f>兵庫QE名目!N146/兵庫QE実質!N146*100</f>
        <v>120.09548915540265</v>
      </c>
      <c r="O56" s="1695"/>
    </row>
    <row r="57" spans="1:15">
      <c r="A57" s="1696" t="s">
        <v>1561</v>
      </c>
      <c r="B57" s="1697">
        <v>2024</v>
      </c>
      <c r="C57" s="398">
        <f>兵庫QE名目!C147/兵庫QE実質!C147*100</f>
        <v>108.01484817222247</v>
      </c>
      <c r="D57" s="398">
        <f>兵庫QE名目!D147/兵庫QE実質!D147*100</f>
        <v>111.26767750282218</v>
      </c>
      <c r="E57" s="398">
        <f>兵庫QE名目!E147/兵庫QE実質!E147*100</f>
        <v>123.31915290875759</v>
      </c>
      <c r="F57" s="398">
        <f>兵庫QE名目!F147/兵庫QE実質!F147*100</f>
        <v>115.29750473881361</v>
      </c>
      <c r="G57" s="398">
        <f>兵庫QE名目!G147/兵庫QE実質!G147*100</f>
        <v>66.67590027700831</v>
      </c>
      <c r="H57" s="398">
        <f>兵庫QE名目!H147/兵庫QE実質!H147*100</f>
        <v>106.0046641442871</v>
      </c>
      <c r="I57" s="398">
        <f>兵庫QE名目!I147/兵庫QE実質!I147*100</f>
        <v>121.48276973135148</v>
      </c>
      <c r="J57" s="398">
        <f>兵庫QE名目!J147/兵庫QE実質!J147*100</f>
        <v>152.90585241730278</v>
      </c>
      <c r="K57" s="398">
        <f>兵庫QE名目!K147/兵庫QE実質!K147*100</f>
        <v>11.613138735627247</v>
      </c>
      <c r="L57" s="398">
        <f>兵庫QE名目!L147/兵庫QE実質!L147*100</f>
        <v>325.70863960838699</v>
      </c>
      <c r="M57" s="398">
        <f>兵庫QE名目!M147/兵庫QE実質!M147*100</f>
        <v>126.60367314565954</v>
      </c>
      <c r="N57" s="398">
        <f>兵庫QE名目!N147/兵庫QE実質!N147*100</f>
        <v>123.77917381202248</v>
      </c>
      <c r="O57" s="1695"/>
    </row>
  </sheetData>
  <phoneticPr fontId="13"/>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tabColor indexed="43"/>
  </sheetPr>
  <dimension ref="A1:X68"/>
  <sheetViews>
    <sheetView workbookViewId="0">
      <pane xSplit="2" ySplit="4" topLeftCell="M54" activePane="bottomRight" state="frozen"/>
      <selection pane="topRight" activeCell="C1" sqref="C1"/>
      <selection pane="bottomLeft" activeCell="A5" sqref="A5"/>
      <selection pane="bottomRight" activeCell="Q58" sqref="Q58"/>
    </sheetView>
  </sheetViews>
  <sheetFormatPr defaultColWidth="8.7109375" defaultRowHeight="13"/>
  <cols>
    <col min="1" max="1" width="3.7109375" style="75" customWidth="1"/>
    <col min="2" max="7" width="8.7109375" style="75"/>
    <col min="8" max="8" width="8.5" style="75" customWidth="1"/>
    <col min="9" max="16384" width="8.7109375" style="75"/>
  </cols>
  <sheetData>
    <row r="1" spans="1:24">
      <c r="A1" s="86"/>
      <c r="B1" s="65" t="s">
        <v>681</v>
      </c>
      <c r="R1" s="628"/>
      <c r="S1" s="628"/>
      <c r="U1" s="628" t="s">
        <v>948</v>
      </c>
      <c r="V1" s="75" t="s">
        <v>14</v>
      </c>
      <c r="W1" s="75" t="s">
        <v>14</v>
      </c>
      <c r="X1" s="75" t="s">
        <v>14</v>
      </c>
    </row>
    <row r="2" spans="1:24">
      <c r="A2" s="728"/>
      <c r="B2" s="729" t="s">
        <v>319</v>
      </c>
      <c r="C2" s="83">
        <v>2006</v>
      </c>
      <c r="D2" s="83">
        <v>2007</v>
      </c>
      <c r="E2" s="83">
        <v>2008</v>
      </c>
      <c r="F2" s="83">
        <v>2009</v>
      </c>
      <c r="G2" s="83">
        <v>2010</v>
      </c>
      <c r="H2" s="805">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5" t="s">
        <v>750</v>
      </c>
      <c r="F3" s="75" t="s">
        <v>856</v>
      </c>
      <c r="G3" s="75" t="s">
        <v>911</v>
      </c>
      <c r="H3" s="75" t="s">
        <v>96</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1561</v>
      </c>
      <c r="V3" s="75" t="s">
        <v>1603</v>
      </c>
      <c r="W3" s="75" t="s">
        <v>1745</v>
      </c>
      <c r="X3" s="491" t="s">
        <v>1783</v>
      </c>
    </row>
    <row r="4" spans="1:24">
      <c r="A4" s="730"/>
      <c r="B4" s="730" t="s">
        <v>320</v>
      </c>
      <c r="C4" s="73"/>
      <c r="D4" s="73"/>
      <c r="X4" s="477"/>
    </row>
    <row r="5" spans="1:24">
      <c r="A5" s="895" t="s">
        <v>1303</v>
      </c>
      <c r="B5" s="382"/>
      <c r="C5" s="382">
        <f>+名目県内総支出!H44-名目県内総支出!H38-C6</f>
        <v>-68548.013012185693</v>
      </c>
      <c r="D5" s="382">
        <f>+名目県内総支出!I44-名目県内総支出!I38-D6</f>
        <v>-639889.05185812712</v>
      </c>
      <c r="E5" s="382">
        <f>+名目県内総支出!J44-名目県内総支出!J38-E6</f>
        <v>388724.63779063523</v>
      </c>
      <c r="F5" s="382">
        <f>+名目県内総支出!K44-名目県内総支出!K38-F6</f>
        <v>1967898.3709057793</v>
      </c>
      <c r="G5" s="382">
        <f>+名目県内総支出!L44-名目県内総支出!L38-G6</f>
        <v>1904695.886770267</v>
      </c>
      <c r="H5" s="382">
        <f>+名目県内総支出!M44-名目県内総支出!M38-H6</f>
        <v>726900</v>
      </c>
      <c r="I5" s="382">
        <f>+名目県内総支出!N44-名目県内総支出!N38-I6</f>
        <v>699222</v>
      </c>
      <c r="J5" s="382">
        <f>+名目県内総支出!O44-名目県内総支出!O38-J6</f>
        <v>673149</v>
      </c>
      <c r="K5" s="382">
        <f>+名目県内総支出!P44-名目県内総支出!P38-K6</f>
        <v>685596</v>
      </c>
      <c r="L5" s="382">
        <f>+名目県内総支出!Q44-名目県内総支出!Q38-L6</f>
        <v>672595</v>
      </c>
      <c r="M5" s="382">
        <f>+名目県内総支出!R44-名目県内総支出!R38-M6</f>
        <v>677003</v>
      </c>
      <c r="N5" s="382">
        <f>+名目県内総支出!S44-名目県内総支出!S38-N6</f>
        <v>591620</v>
      </c>
      <c r="O5" s="382">
        <f>+名目県内総支出!T44-名目県内総支出!T38-O6</f>
        <v>604053</v>
      </c>
      <c r="P5" s="382">
        <f>+名目県内総支出!U44-名目県内総支出!U38-P6</f>
        <v>600695</v>
      </c>
      <c r="Q5" s="382">
        <f>+名目県内総支出!V44-名目県内総支出!V38-Q6</f>
        <v>607442</v>
      </c>
      <c r="R5" s="462">
        <f>+名目県内総支出!W44-名目県内総支出!W38-R6</f>
        <v>624349</v>
      </c>
      <c r="S5" s="462">
        <f>+名目県内総支出!X44-名目県内総支出!X38-S6</f>
        <v>672640</v>
      </c>
      <c r="T5" s="462">
        <f>+名目県内総支出!Y44-名目県内総支出!Y38-T6</f>
        <v>665472</v>
      </c>
      <c r="U5" s="462">
        <f>+名目県内総支出!Z44-名目県内総支出!Z38-U6</f>
        <v>-102754.02952414006</v>
      </c>
      <c r="V5" s="462">
        <f>+名目県内総支出!AA44-名目県内総支出!AA38-V6</f>
        <v>11125058.28163933</v>
      </c>
      <c r="W5" s="462">
        <f>+名目県内総支出!AB44-名目県内総支出!AB38-W6</f>
        <v>22660268</v>
      </c>
      <c r="X5" s="462">
        <f>+名目県内総支出!AC44-名目県内総支出!AC38-X6</f>
        <v>20583108</v>
      </c>
    </row>
    <row r="6" spans="1:24">
      <c r="A6" s="92"/>
      <c r="B6" s="87" t="s">
        <v>166</v>
      </c>
      <c r="C6" s="75">
        <f>'7H18'!K4</f>
        <v>20467429.534518912</v>
      </c>
      <c r="D6" s="75">
        <f>'8H19'!K4</f>
        <v>20403222.140490592</v>
      </c>
      <c r="E6" s="75">
        <f>'9H20'!K4</f>
        <v>20341422.704863016</v>
      </c>
      <c r="F6" s="75">
        <f>'10H21'!K4</f>
        <v>19368783.530719314</v>
      </c>
      <c r="G6" s="75">
        <f>'11H22'!K4</f>
        <v>19734851.370742407</v>
      </c>
      <c r="H6" s="75">
        <f>'12H23'!K4</f>
        <v>19780561</v>
      </c>
      <c r="I6" s="75">
        <f>'13H24'!K4</f>
        <v>19733064</v>
      </c>
      <c r="J6" s="75">
        <f>'14H25'!K4</f>
        <v>20526770</v>
      </c>
      <c r="K6" s="75">
        <f>'15H26'!K4</f>
        <v>20371296</v>
      </c>
      <c r="L6" s="75">
        <f>'16H27'!K4</f>
        <v>20889834</v>
      </c>
      <c r="M6" s="75">
        <f>'17H28'!K4</f>
        <v>20669698</v>
      </c>
      <c r="N6" s="75">
        <f>'18H29'!K4</f>
        <v>21184464</v>
      </c>
      <c r="O6" s="75">
        <f>'19H30'!K4</f>
        <v>21199617</v>
      </c>
      <c r="P6" s="75">
        <f>'20R1'!K4</f>
        <v>21630579</v>
      </c>
      <c r="Q6" s="75">
        <f>'21R2'!K4</f>
        <v>20499884</v>
      </c>
      <c r="R6" s="75">
        <f>'22R3'!K4</f>
        <v>21480024</v>
      </c>
      <c r="S6" s="75">
        <f>'23R4'!K4</f>
        <v>23017376</v>
      </c>
      <c r="T6" s="75">
        <f>'24R5'!K4</f>
        <v>23321968</v>
      </c>
      <c r="U6" s="130">
        <f>'25R6'!C4</f>
        <v>24764561.02952414</v>
      </c>
      <c r="V6" s="130">
        <f>'25R6'!D4</f>
        <v>14348115</v>
      </c>
      <c r="W6" s="130">
        <f>'25R6'!E4</f>
        <v>3137399</v>
      </c>
      <c r="X6" s="130">
        <f>'25R6'!F4</f>
        <v>5574619</v>
      </c>
    </row>
    <row r="7" spans="1:24">
      <c r="A7" s="90">
        <v>100</v>
      </c>
      <c r="B7" s="75" t="s">
        <v>172</v>
      </c>
      <c r="C7" s="75">
        <f>'7H18'!K5</f>
        <v>5982839.5345189115</v>
      </c>
      <c r="D7" s="75">
        <f>'8H19'!K5</f>
        <v>5913146.1404905906</v>
      </c>
      <c r="E7" s="75">
        <f>'9H20'!K5</f>
        <v>5876538.7048630146</v>
      </c>
      <c r="F7" s="75">
        <f>'10H21'!K5</f>
        <v>5575787.5307193147</v>
      </c>
      <c r="G7" s="75">
        <f>'11H22'!K5</f>
        <v>5755923.3707424086</v>
      </c>
      <c r="H7" s="75">
        <f>'12H23'!K5</f>
        <v>5761865</v>
      </c>
      <c r="I7" s="75">
        <f>'13H24'!K5</f>
        <v>5705706</v>
      </c>
      <c r="J7" s="75">
        <f>'14H25'!K5</f>
        <v>6057589</v>
      </c>
      <c r="K7" s="75">
        <f>'15H26'!K5</f>
        <v>5916993</v>
      </c>
      <c r="L7" s="75">
        <f>'16H27'!K5</f>
        <v>6160558</v>
      </c>
      <c r="M7" s="75">
        <f>'17H28'!K5</f>
        <v>6105495</v>
      </c>
      <c r="N7" s="75">
        <f>'18H29'!K5</f>
        <v>6488576</v>
      </c>
      <c r="O7" s="75">
        <f>'19H30'!K5</f>
        <v>6389329</v>
      </c>
      <c r="P7" s="75">
        <f>'20R1'!K5</f>
        <v>6561398</v>
      </c>
      <c r="Q7" s="75">
        <f>'21R2'!K5</f>
        <v>6235919</v>
      </c>
      <c r="R7" s="75">
        <f>'22R3'!K5</f>
        <v>6640435</v>
      </c>
      <c r="S7" s="75">
        <f>'23R4'!K5</f>
        <v>7075674</v>
      </c>
      <c r="T7" s="75">
        <f>'24R5'!K5</f>
        <v>7049872</v>
      </c>
      <c r="U7" s="75">
        <f>'25R6'!C5</f>
        <v>7631737.0295241382</v>
      </c>
      <c r="V7" s="75">
        <f>'25R6'!D5</f>
        <v>4248698</v>
      </c>
      <c r="W7" s="75">
        <f>'25R6'!E5</f>
        <v>1067351</v>
      </c>
      <c r="X7" s="75">
        <f>'25R6'!F5</f>
        <v>1379674</v>
      </c>
    </row>
    <row r="8" spans="1:24">
      <c r="A8" s="90" t="s">
        <v>932</v>
      </c>
      <c r="B8" s="75" t="s">
        <v>323</v>
      </c>
      <c r="C8" s="75">
        <f>'7H18'!K6</f>
        <v>4015152</v>
      </c>
      <c r="D8" s="75">
        <f>'8H19'!K6</f>
        <v>3988551</v>
      </c>
      <c r="E8" s="75">
        <f>'9H20'!K6</f>
        <v>4103257</v>
      </c>
      <c r="F8" s="75">
        <f>'10H21'!K6</f>
        <v>3874343</v>
      </c>
      <c r="G8" s="75">
        <f>'11H22'!K6</f>
        <v>3785464</v>
      </c>
      <c r="H8" s="75">
        <f>'12H23'!K6</f>
        <v>3723516</v>
      </c>
      <c r="I8" s="75">
        <f>'13H24'!K6</f>
        <v>3670813</v>
      </c>
      <c r="J8" s="75">
        <f>'14H25'!K6</f>
        <v>3850672</v>
      </c>
      <c r="K8" s="75">
        <f>'15H26'!K6</f>
        <v>3779135</v>
      </c>
      <c r="L8" s="75">
        <f>'16H27'!K6</f>
        <v>3990293</v>
      </c>
      <c r="M8" s="75">
        <f>'17H28'!K6</f>
        <v>3923748</v>
      </c>
      <c r="N8" s="75">
        <f>'18H29'!K6</f>
        <v>3879565</v>
      </c>
      <c r="O8" s="75">
        <f>'19H30'!K6</f>
        <v>3919725</v>
      </c>
      <c r="P8" s="75">
        <f>'20R1'!K6</f>
        <v>3932875</v>
      </c>
      <c r="Q8" s="75">
        <f>'21R2'!K6</f>
        <v>3776133</v>
      </c>
      <c r="R8" s="75">
        <f>'22R3'!K6</f>
        <v>3969635</v>
      </c>
      <c r="S8" s="75">
        <f>'23R4'!K6</f>
        <v>4162837</v>
      </c>
      <c r="T8" s="75">
        <f>'24R5'!K6</f>
        <v>4237720</v>
      </c>
      <c r="U8" s="75">
        <f>'25R6'!C6</f>
        <v>4172900</v>
      </c>
      <c r="V8" s="75">
        <f>'25R6'!D6</f>
        <v>2774440</v>
      </c>
      <c r="W8" s="75">
        <f>'25R6'!E6</f>
        <v>505394</v>
      </c>
      <c r="X8" s="75">
        <f>'25R6'!F6</f>
        <v>871661</v>
      </c>
    </row>
    <row r="9" spans="1:24">
      <c r="A9" s="90">
        <v>2</v>
      </c>
      <c r="B9" s="75" t="s">
        <v>324</v>
      </c>
      <c r="C9" s="75">
        <f>'7H18'!K7</f>
        <v>2367948</v>
      </c>
      <c r="D9" s="75">
        <f>'8H19'!K7</f>
        <v>2369219</v>
      </c>
      <c r="E9" s="75">
        <f>'9H20'!K7</f>
        <v>2340942</v>
      </c>
      <c r="F9" s="75">
        <f>'10H21'!K7</f>
        <v>2221375</v>
      </c>
      <c r="G9" s="75">
        <f>'11H22'!K7</f>
        <v>2228094</v>
      </c>
      <c r="H9" s="75">
        <f>'12H23'!K7</f>
        <v>2264288</v>
      </c>
      <c r="I9" s="75">
        <f>'13H24'!K7</f>
        <v>2311109</v>
      </c>
      <c r="J9" s="75">
        <f>'14H25'!K7</f>
        <v>2404204</v>
      </c>
      <c r="K9" s="75">
        <f>'15H26'!K7</f>
        <v>2429668</v>
      </c>
      <c r="L9" s="75">
        <f>'16H27'!K7</f>
        <v>2471752</v>
      </c>
      <c r="M9" s="75">
        <f>'17H28'!K7</f>
        <v>2423454</v>
      </c>
      <c r="N9" s="75">
        <f>'18H29'!K7</f>
        <v>2448359</v>
      </c>
      <c r="O9" s="75">
        <f>'19H30'!K7</f>
        <v>2446861</v>
      </c>
      <c r="P9" s="75">
        <f>'20R1'!K7</f>
        <v>2506267</v>
      </c>
      <c r="Q9" s="75">
        <f>'21R2'!K7</f>
        <v>2352987</v>
      </c>
      <c r="R9" s="75">
        <f>'22R3'!K7</f>
        <v>2472523</v>
      </c>
      <c r="S9" s="75">
        <f>'23R4'!K7</f>
        <v>2698171</v>
      </c>
      <c r="T9" s="75">
        <f>'24R5'!K7</f>
        <v>2567482</v>
      </c>
      <c r="U9" s="75">
        <f>'25R6'!C7</f>
        <v>2619097</v>
      </c>
      <c r="V9" s="75">
        <f>'25R6'!D7</f>
        <v>1821201</v>
      </c>
      <c r="W9" s="75">
        <f>'25R6'!E7</f>
        <v>339629</v>
      </c>
      <c r="X9" s="75">
        <f>'25R6'!F7</f>
        <v>619003</v>
      </c>
    </row>
    <row r="10" spans="1:24">
      <c r="A10" s="90">
        <v>3</v>
      </c>
      <c r="B10" s="75" t="s">
        <v>192</v>
      </c>
      <c r="C10" s="75">
        <f>'7H18'!K8</f>
        <v>2548541</v>
      </c>
      <c r="D10" s="75">
        <f>'8H19'!K8</f>
        <v>2577936</v>
      </c>
      <c r="E10" s="75">
        <f>'9H20'!K8</f>
        <v>2650593</v>
      </c>
      <c r="F10" s="75">
        <f>'10H21'!K8</f>
        <v>2574628</v>
      </c>
      <c r="G10" s="75">
        <f>'11H22'!K8</f>
        <v>2482714</v>
      </c>
      <c r="H10" s="75">
        <f>'12H23'!K8</f>
        <v>2634305</v>
      </c>
      <c r="I10" s="75">
        <f>'13H24'!K8</f>
        <v>2596859</v>
      </c>
      <c r="J10" s="75">
        <f>'14H25'!K8</f>
        <v>2669548</v>
      </c>
      <c r="K10" s="75">
        <f>'15H26'!K8</f>
        <v>2824977</v>
      </c>
      <c r="L10" s="75">
        <f>'16H27'!K8</f>
        <v>2676773</v>
      </c>
      <c r="M10" s="75">
        <f>'17H28'!K8</f>
        <v>2683357</v>
      </c>
      <c r="N10" s="75">
        <f>'18H29'!K8</f>
        <v>2795007</v>
      </c>
      <c r="O10" s="75">
        <f>'19H30'!K8</f>
        <v>2768488</v>
      </c>
      <c r="P10" s="75">
        <f>'20R1'!K8</f>
        <v>2855131</v>
      </c>
      <c r="Q10" s="75">
        <f>'21R2'!K8</f>
        <v>2681620</v>
      </c>
      <c r="R10" s="75">
        <f>'22R3'!K8</f>
        <v>2830429</v>
      </c>
      <c r="S10" s="75">
        <f>'23R4'!K8</f>
        <v>2955884</v>
      </c>
      <c r="T10" s="75">
        <f>'24R5'!K8</f>
        <v>3414495</v>
      </c>
      <c r="U10" s="75">
        <f>'25R6'!C8</f>
        <v>3229129</v>
      </c>
      <c r="V10" s="75">
        <f>'25R6'!D8</f>
        <v>1887919</v>
      </c>
      <c r="W10" s="75">
        <f>'25R6'!E8</f>
        <v>328970</v>
      </c>
      <c r="X10" s="75">
        <f>'25R6'!F8</f>
        <v>1006518</v>
      </c>
    </row>
    <row r="11" spans="1:24">
      <c r="A11" s="90">
        <v>4</v>
      </c>
      <c r="B11" s="75" t="s">
        <v>325</v>
      </c>
      <c r="C11" s="75">
        <f>'7H18'!K9</f>
        <v>917993</v>
      </c>
      <c r="D11" s="75">
        <f>'8H19'!K9</f>
        <v>966181</v>
      </c>
      <c r="E11" s="75">
        <f>'9H20'!K9</f>
        <v>897469</v>
      </c>
      <c r="F11" s="75">
        <f>'10H21'!K9</f>
        <v>835577</v>
      </c>
      <c r="G11" s="75">
        <f>'11H22'!K9</f>
        <v>835125</v>
      </c>
      <c r="H11" s="75">
        <f>'12H23'!K9</f>
        <v>964389</v>
      </c>
      <c r="I11" s="75">
        <f>'13H24'!K9</f>
        <v>968135</v>
      </c>
      <c r="J11" s="75">
        <f>'14H25'!K9</f>
        <v>1001869</v>
      </c>
      <c r="K11" s="75">
        <f>'15H26'!K9</f>
        <v>901890</v>
      </c>
      <c r="L11" s="75">
        <f>'16H27'!K9</f>
        <v>934750</v>
      </c>
      <c r="M11" s="75">
        <f>'17H28'!K9</f>
        <v>948868</v>
      </c>
      <c r="N11" s="75">
        <f>'18H29'!K9</f>
        <v>941232</v>
      </c>
      <c r="O11" s="75">
        <f>'19H30'!K9</f>
        <v>951009</v>
      </c>
      <c r="P11" s="75">
        <f>'20R1'!K9</f>
        <v>1012174</v>
      </c>
      <c r="Q11" s="75">
        <f>'21R2'!K9</f>
        <v>913145</v>
      </c>
      <c r="R11" s="75">
        <f>'22R3'!K9</f>
        <v>945947</v>
      </c>
      <c r="S11" s="75">
        <f>'23R4'!K9</f>
        <v>1020934</v>
      </c>
      <c r="T11" s="75">
        <f>'24R5'!K9</f>
        <v>977715</v>
      </c>
      <c r="U11" s="75">
        <f>'25R6'!C9</f>
        <v>1322637</v>
      </c>
      <c r="V11" s="75">
        <f>'25R6'!D9</f>
        <v>654485</v>
      </c>
      <c r="W11" s="75">
        <f>'25R6'!E9</f>
        <v>154744</v>
      </c>
      <c r="X11" s="75">
        <f>'25R6'!F9</f>
        <v>301375</v>
      </c>
    </row>
    <row r="12" spans="1:24">
      <c r="A12" s="90">
        <v>5</v>
      </c>
      <c r="B12" s="75" t="s">
        <v>326</v>
      </c>
      <c r="C12" s="75">
        <f>'7H18'!K10</f>
        <v>2145507</v>
      </c>
      <c r="D12" s="75">
        <f>'8H19'!K10</f>
        <v>2173154</v>
      </c>
      <c r="E12" s="75">
        <f>'9H20'!K10</f>
        <v>2107739</v>
      </c>
      <c r="F12" s="75">
        <f>'10H21'!K10</f>
        <v>2004416</v>
      </c>
      <c r="G12" s="75">
        <f>'11H22'!K10</f>
        <v>2377170</v>
      </c>
      <c r="H12" s="75">
        <f>'12H23'!K10</f>
        <v>2074729</v>
      </c>
      <c r="I12" s="75">
        <f>'13H24'!K10</f>
        <v>2090752</v>
      </c>
      <c r="J12" s="75">
        <f>'14H25'!K10</f>
        <v>2159132</v>
      </c>
      <c r="K12" s="75">
        <f>'15H26'!K10</f>
        <v>2116847</v>
      </c>
      <c r="L12" s="75">
        <f>'16H27'!K10</f>
        <v>2173804</v>
      </c>
      <c r="M12" s="75">
        <f>'17H28'!K10</f>
        <v>2206655</v>
      </c>
      <c r="N12" s="75">
        <f>'18H29'!K10</f>
        <v>2237790</v>
      </c>
      <c r="O12" s="75">
        <f>'19H30'!K10</f>
        <v>2355667</v>
      </c>
      <c r="P12" s="75">
        <f>'20R1'!K10</f>
        <v>2310721</v>
      </c>
      <c r="Q12" s="75">
        <f>'21R2'!K10</f>
        <v>2283062</v>
      </c>
      <c r="R12" s="75">
        <f>'22R3'!K10</f>
        <v>2293502</v>
      </c>
      <c r="S12" s="75">
        <f>'23R4'!K10</f>
        <v>2518602</v>
      </c>
      <c r="T12" s="75">
        <f>'24R5'!K10</f>
        <v>2644047</v>
      </c>
      <c r="U12" s="75">
        <f>'25R6'!C10</f>
        <v>2768310</v>
      </c>
      <c r="V12" s="75">
        <f>'25R6'!D10</f>
        <v>1383797</v>
      </c>
      <c r="W12" s="75">
        <f>'25R6'!E10</f>
        <v>285419</v>
      </c>
      <c r="X12" s="75">
        <f>'25R6'!F10</f>
        <v>767837</v>
      </c>
    </row>
    <row r="13" spans="1:24">
      <c r="A13" s="90">
        <v>6</v>
      </c>
      <c r="B13" s="75" t="s">
        <v>327</v>
      </c>
      <c r="C13" s="75">
        <f>'7H18'!K11</f>
        <v>955517</v>
      </c>
      <c r="D13" s="75">
        <f>'8H19'!K11</f>
        <v>921501</v>
      </c>
      <c r="E13" s="75">
        <f>'9H20'!K11</f>
        <v>901258</v>
      </c>
      <c r="F13" s="75">
        <f>'10H21'!K11</f>
        <v>859260</v>
      </c>
      <c r="G13" s="75">
        <f>'11H22'!K11</f>
        <v>863529</v>
      </c>
      <c r="H13" s="75">
        <f>'12H23'!K11</f>
        <v>896662</v>
      </c>
      <c r="I13" s="75">
        <f>'13H24'!K11</f>
        <v>914063</v>
      </c>
      <c r="J13" s="75">
        <f>'14H25'!K11</f>
        <v>889761</v>
      </c>
      <c r="K13" s="75">
        <f>'15H26'!K11</f>
        <v>882854</v>
      </c>
      <c r="L13" s="75">
        <f>'16H27'!K11</f>
        <v>929635</v>
      </c>
      <c r="M13" s="75">
        <f>'17H28'!K11</f>
        <v>897176</v>
      </c>
      <c r="N13" s="75">
        <f>'18H29'!K11</f>
        <v>867172</v>
      </c>
      <c r="O13" s="75">
        <f>'19H30'!K11</f>
        <v>892893</v>
      </c>
      <c r="P13" s="75">
        <f>'20R1'!K11</f>
        <v>930324</v>
      </c>
      <c r="Q13" s="75">
        <f>'21R2'!K11</f>
        <v>858568</v>
      </c>
      <c r="R13" s="75">
        <f>'22R3'!K11</f>
        <v>851074</v>
      </c>
      <c r="S13" s="75">
        <f>'23R4'!K11</f>
        <v>997626</v>
      </c>
      <c r="T13" s="75">
        <f>'24R5'!K11</f>
        <v>927126</v>
      </c>
      <c r="U13" s="75">
        <f>'25R6'!C11</f>
        <v>1171474</v>
      </c>
      <c r="V13" s="75">
        <f>'25R6'!D11</f>
        <v>597615</v>
      </c>
      <c r="W13" s="75">
        <f>'25R6'!E11</f>
        <v>140457</v>
      </c>
      <c r="X13" s="75">
        <f>'25R6'!F11</f>
        <v>268584</v>
      </c>
    </row>
    <row r="14" spans="1:24">
      <c r="A14" s="90">
        <v>7</v>
      </c>
      <c r="B14" s="75" t="s">
        <v>210</v>
      </c>
      <c r="C14" s="75">
        <f>'7H18'!K12</f>
        <v>668582</v>
      </c>
      <c r="D14" s="75">
        <f>'8H19'!K12</f>
        <v>648584</v>
      </c>
      <c r="E14" s="75">
        <f>'9H20'!K12</f>
        <v>635682</v>
      </c>
      <c r="F14" s="75">
        <f>'10H21'!K12</f>
        <v>615730</v>
      </c>
      <c r="G14" s="75">
        <f>'11H22'!K12</f>
        <v>598298</v>
      </c>
      <c r="H14" s="75">
        <f>'12H23'!K12</f>
        <v>647388</v>
      </c>
      <c r="I14" s="75">
        <f>'13H24'!K12</f>
        <v>649666</v>
      </c>
      <c r="J14" s="75">
        <f>'14H25'!K12</f>
        <v>645686</v>
      </c>
      <c r="K14" s="75">
        <f>'15H26'!K12</f>
        <v>641760</v>
      </c>
      <c r="L14" s="75">
        <f>'16H27'!K12</f>
        <v>645594</v>
      </c>
      <c r="M14" s="75">
        <f>'17H28'!K12</f>
        <v>632982</v>
      </c>
      <c r="N14" s="75">
        <f>'18H29'!K12</f>
        <v>688611</v>
      </c>
      <c r="O14" s="75">
        <f>'19H30'!K12</f>
        <v>625623</v>
      </c>
      <c r="P14" s="75">
        <f>'20R1'!K12</f>
        <v>641641</v>
      </c>
      <c r="Q14" s="75">
        <f>'21R2'!K12</f>
        <v>586691</v>
      </c>
      <c r="R14" s="75">
        <f>'22R3'!K12</f>
        <v>604859</v>
      </c>
      <c r="S14" s="75">
        <f>'23R4'!K12</f>
        <v>656109</v>
      </c>
      <c r="T14" s="75">
        <f>'24R5'!K12</f>
        <v>615481</v>
      </c>
      <c r="U14" s="75">
        <f>'25R6'!C12</f>
        <v>769839</v>
      </c>
      <c r="V14" s="75">
        <f>'25R6'!D12</f>
        <v>404610</v>
      </c>
      <c r="W14" s="75">
        <f>'25R6'!E12</f>
        <v>135377</v>
      </c>
      <c r="X14" s="75">
        <f>'25R6'!F12</f>
        <v>151037</v>
      </c>
    </row>
    <row r="15" spans="1:24">
      <c r="A15" s="90">
        <v>8</v>
      </c>
      <c r="B15" s="75" t="s">
        <v>211</v>
      </c>
      <c r="C15" s="75">
        <f>'7H18'!K13</f>
        <v>386678</v>
      </c>
      <c r="D15" s="75">
        <f>'8H19'!K13</f>
        <v>388172</v>
      </c>
      <c r="E15" s="75">
        <f>'9H20'!K13</f>
        <v>378046</v>
      </c>
      <c r="F15" s="75">
        <f>'10H21'!K13</f>
        <v>354205</v>
      </c>
      <c r="G15" s="75">
        <f>'11H22'!K13</f>
        <v>356721</v>
      </c>
      <c r="H15" s="75">
        <f>'12H23'!K13</f>
        <v>362280</v>
      </c>
      <c r="I15" s="75">
        <f>'13H24'!K13</f>
        <v>364673</v>
      </c>
      <c r="J15" s="75">
        <f>'14H25'!K13</f>
        <v>375013</v>
      </c>
      <c r="K15" s="75">
        <f>'15H26'!K13</f>
        <v>418486</v>
      </c>
      <c r="L15" s="75">
        <f>'16H27'!K13</f>
        <v>426709</v>
      </c>
      <c r="M15" s="75">
        <f>'17H28'!K13</f>
        <v>383348</v>
      </c>
      <c r="N15" s="75">
        <f>'18H29'!K13</f>
        <v>374635</v>
      </c>
      <c r="O15" s="75">
        <f>'19H30'!K13</f>
        <v>403559</v>
      </c>
      <c r="P15" s="75">
        <f>'20R1'!K13</f>
        <v>407098</v>
      </c>
      <c r="Q15" s="75">
        <f>'21R2'!K13</f>
        <v>376018</v>
      </c>
      <c r="R15" s="75">
        <f>'22R3'!K13</f>
        <v>385241</v>
      </c>
      <c r="S15" s="75">
        <f>'23R4'!K13</f>
        <v>424796</v>
      </c>
      <c r="T15" s="75">
        <f>'24R5'!K13</f>
        <v>388745</v>
      </c>
      <c r="U15" s="75">
        <f>'25R6'!C13</f>
        <v>508863</v>
      </c>
      <c r="V15" s="75">
        <f>'25R6'!D13</f>
        <v>263937</v>
      </c>
      <c r="W15" s="75">
        <f>'25R6'!E13</f>
        <v>76937</v>
      </c>
      <c r="X15" s="75">
        <f>'25R6'!F13</f>
        <v>97987</v>
      </c>
    </row>
    <row r="16" spans="1:24">
      <c r="A16" s="90">
        <v>9</v>
      </c>
      <c r="B16" s="75" t="s">
        <v>212</v>
      </c>
      <c r="C16" s="75">
        <f>'7H18'!K14</f>
        <v>478672</v>
      </c>
      <c r="D16" s="75">
        <f>'8H19'!K14</f>
        <v>456778</v>
      </c>
      <c r="E16" s="75">
        <f>'9H20'!K14</f>
        <v>449898</v>
      </c>
      <c r="F16" s="75">
        <f>'10H21'!K14</f>
        <v>453462</v>
      </c>
      <c r="G16" s="75">
        <f>'11H22'!K14</f>
        <v>451813</v>
      </c>
      <c r="H16" s="75">
        <f>'12H23'!K14</f>
        <v>451139</v>
      </c>
      <c r="I16" s="75">
        <f>'13H24'!K14</f>
        <v>461288</v>
      </c>
      <c r="J16" s="75">
        <f>'14H25'!K14</f>
        <v>473296</v>
      </c>
      <c r="K16" s="75">
        <f>'15H26'!K14</f>
        <v>458686</v>
      </c>
      <c r="L16" s="75">
        <f>'16H27'!K14</f>
        <v>479966</v>
      </c>
      <c r="M16" s="75">
        <f>'17H28'!K14</f>
        <v>464615</v>
      </c>
      <c r="N16" s="75">
        <f>'18H29'!K14</f>
        <v>463517</v>
      </c>
      <c r="O16" s="75">
        <f>'19H30'!K14</f>
        <v>446463</v>
      </c>
      <c r="P16" s="75">
        <f>'20R1'!K14</f>
        <v>472950</v>
      </c>
      <c r="Q16" s="75">
        <f>'21R2'!K14</f>
        <v>435741</v>
      </c>
      <c r="R16" s="75">
        <f>'22R3'!K14</f>
        <v>486379</v>
      </c>
      <c r="S16" s="75">
        <f>'23R4'!K14</f>
        <v>506743</v>
      </c>
      <c r="T16" s="75">
        <f>'24R5'!K14</f>
        <v>499285</v>
      </c>
      <c r="U16" s="75">
        <f>'25R6'!C14</f>
        <v>570575</v>
      </c>
      <c r="V16" s="75">
        <f>'25R6'!D14</f>
        <v>311413</v>
      </c>
      <c r="W16" s="75">
        <f>'25R6'!E14</f>
        <v>103121</v>
      </c>
      <c r="X16" s="75">
        <f>'25R6'!F14</f>
        <v>110943</v>
      </c>
    </row>
    <row r="17" spans="1:24">
      <c r="A17" s="92"/>
      <c r="B17" s="87"/>
      <c r="G17" s="75" t="s">
        <v>347</v>
      </c>
      <c r="H17" s="75" t="s">
        <v>347</v>
      </c>
      <c r="I17" s="75" t="s">
        <v>11</v>
      </c>
      <c r="J17" s="75" t="s">
        <v>11</v>
      </c>
      <c r="K17" s="75" t="s">
        <v>11</v>
      </c>
      <c r="L17" s="75" t="s">
        <v>11</v>
      </c>
      <c r="M17" s="75" t="s">
        <v>11</v>
      </c>
      <c r="N17" s="75" t="s">
        <v>11</v>
      </c>
      <c r="O17" s="75" t="str">
        <f>'19H30'!K15</f>
        <v>　</v>
      </c>
      <c r="P17" s="75" t="s">
        <v>1110</v>
      </c>
      <c r="Q17" s="75">
        <f>'21R2'!K15</f>
        <v>0</v>
      </c>
      <c r="R17" s="75">
        <f>'22R3'!K15</f>
        <v>0</v>
      </c>
      <c r="S17" s="75">
        <f>'23R4'!K15</f>
        <v>0</v>
      </c>
      <c r="T17" s="75" t="s">
        <v>11</v>
      </c>
      <c r="U17" s="75" t="str">
        <f>'25R6'!C15</f>
        <v xml:space="preserve"> </v>
      </c>
      <c r="V17" s="75" t="str">
        <f>'25R6'!D15</f>
        <v xml:space="preserve"> </v>
      </c>
      <c r="W17" s="75" t="str">
        <f>'25R6'!E15</f>
        <v xml:space="preserve"> </v>
      </c>
      <c r="X17" s="75">
        <f>'25R6'!F15</f>
        <v>0</v>
      </c>
    </row>
    <row r="18" spans="1:24">
      <c r="A18" s="89">
        <v>100</v>
      </c>
      <c r="B18" s="87" t="s">
        <v>172</v>
      </c>
      <c r="C18" s="75">
        <f>'7H18'!K16</f>
        <v>5982839.5345189115</v>
      </c>
      <c r="D18" s="75">
        <f>'8H19'!K16</f>
        <v>5913146.1404905906</v>
      </c>
      <c r="E18" s="75">
        <f>'9H20'!K16</f>
        <v>5876538.7048630146</v>
      </c>
      <c r="F18" s="75">
        <f>'10H21'!K16</f>
        <v>5575787.5307193147</v>
      </c>
      <c r="G18" s="75">
        <f>'11H22'!K16</f>
        <v>5755923.3707424086</v>
      </c>
      <c r="H18" s="75">
        <f>'12H23'!K16</f>
        <v>5761865</v>
      </c>
      <c r="I18" s="75">
        <f>'13H24'!K16</f>
        <v>5705706</v>
      </c>
      <c r="J18" s="75">
        <f>'14H25'!K16</f>
        <v>6057589</v>
      </c>
      <c r="K18" s="75">
        <f>'15H26'!K16</f>
        <v>5916993</v>
      </c>
      <c r="L18" s="75">
        <f>'16H27'!K16</f>
        <v>6160558</v>
      </c>
      <c r="M18" s="75">
        <f>'17H28'!K16</f>
        <v>6105495</v>
      </c>
      <c r="N18" s="75">
        <f>'18H29'!K16</f>
        <v>6488576</v>
      </c>
      <c r="O18" s="75">
        <f>'19H30'!K16</f>
        <v>6389329</v>
      </c>
      <c r="P18" s="75">
        <f>'20R1'!K16</f>
        <v>6561398</v>
      </c>
      <c r="Q18" s="75">
        <f>'21R2'!K16</f>
        <v>6235919</v>
      </c>
      <c r="R18" s="75">
        <f>'22R3'!K16</f>
        <v>6640435</v>
      </c>
      <c r="S18" s="75">
        <f>'23R4'!K16</f>
        <v>7075674</v>
      </c>
      <c r="T18" s="75">
        <f>'24R5'!K16</f>
        <v>7049872</v>
      </c>
      <c r="U18" s="75">
        <f>'25R6'!C16</f>
        <v>7631737.0295241382</v>
      </c>
      <c r="V18" s="75">
        <f>'25R6'!D16</f>
        <v>4248698</v>
      </c>
      <c r="W18" s="75">
        <f>'25R6'!E16</f>
        <v>1067351</v>
      </c>
      <c r="X18" s="75">
        <f>'25R6'!F16</f>
        <v>1379674</v>
      </c>
    </row>
    <row r="19" spans="1:24">
      <c r="A19" s="92">
        <v>1</v>
      </c>
      <c r="B19" s="65" t="s">
        <v>182</v>
      </c>
      <c r="C19" s="75">
        <f>'7H18'!K17</f>
        <v>4015152</v>
      </c>
      <c r="D19" s="75">
        <f>'8H19'!K17</f>
        <v>3988551</v>
      </c>
      <c r="E19" s="75">
        <f>'9H20'!K17</f>
        <v>4103257</v>
      </c>
      <c r="F19" s="75">
        <f>'10H21'!K17</f>
        <v>3874343</v>
      </c>
      <c r="G19" s="75">
        <f>'11H22'!K17</f>
        <v>3785464</v>
      </c>
      <c r="H19" s="75">
        <f>'12H23'!K17</f>
        <v>3723516</v>
      </c>
      <c r="I19" s="75">
        <f>'13H24'!K17</f>
        <v>3670813</v>
      </c>
      <c r="J19" s="75">
        <f>'14H25'!K17</f>
        <v>3850672</v>
      </c>
      <c r="K19" s="75">
        <f>'15H26'!K17</f>
        <v>3779135</v>
      </c>
      <c r="L19" s="75">
        <f>'16H27'!K17</f>
        <v>3990293</v>
      </c>
      <c r="M19" s="75">
        <f>'17H28'!K17</f>
        <v>3923748</v>
      </c>
      <c r="N19" s="75">
        <f>'18H29'!K17</f>
        <v>3879565</v>
      </c>
      <c r="O19" s="75">
        <f>'19H30'!K17</f>
        <v>3919725</v>
      </c>
      <c r="P19" s="75">
        <f>'20R1'!K17</f>
        <v>3932875</v>
      </c>
      <c r="Q19" s="75">
        <f>'21R2'!K17</f>
        <v>3776133</v>
      </c>
      <c r="R19" s="75">
        <f>'22R3'!K17</f>
        <v>3969635</v>
      </c>
      <c r="S19" s="75">
        <f>'23R4'!K17</f>
        <v>4162837</v>
      </c>
      <c r="T19" s="75">
        <f>'24R5'!K17</f>
        <v>4237720</v>
      </c>
      <c r="U19" s="75">
        <f>'25R6'!C17</f>
        <v>4172900</v>
      </c>
      <c r="V19" s="75">
        <f>'25R6'!D17</f>
        <v>2774440</v>
      </c>
      <c r="W19" s="75">
        <f>'25R6'!E17</f>
        <v>505394</v>
      </c>
      <c r="X19" s="75">
        <f>'25R6'!F17</f>
        <v>871661</v>
      </c>
    </row>
    <row r="20" spans="1:24">
      <c r="A20" s="89">
        <v>202</v>
      </c>
      <c r="B20" s="90" t="s">
        <v>183</v>
      </c>
      <c r="C20" s="75">
        <f>'7H18'!K18</f>
        <v>2033536</v>
      </c>
      <c r="D20" s="75">
        <f>'8H19'!K18</f>
        <v>1989281</v>
      </c>
      <c r="E20" s="75">
        <f>'9H20'!K18</f>
        <v>2077223</v>
      </c>
      <c r="F20" s="75">
        <f>'10H21'!K18</f>
        <v>1991896</v>
      </c>
      <c r="G20" s="75">
        <f>'11H22'!K18</f>
        <v>1866064</v>
      </c>
      <c r="H20" s="75">
        <f>'12H23'!K18</f>
        <v>1770924</v>
      </c>
      <c r="I20" s="75">
        <f>'13H24'!K18</f>
        <v>1710214</v>
      </c>
      <c r="J20" s="75">
        <f>'14H25'!K18</f>
        <v>1786433</v>
      </c>
      <c r="K20" s="75">
        <f>'15H26'!K18</f>
        <v>1767310</v>
      </c>
      <c r="L20" s="75">
        <f>'16H27'!K18</f>
        <v>1851840</v>
      </c>
      <c r="M20" s="75">
        <f>'17H28'!K18</f>
        <v>1827298</v>
      </c>
      <c r="N20" s="75">
        <f>'18H29'!K18</f>
        <v>1781745</v>
      </c>
      <c r="O20" s="75">
        <f>'19H30'!K18</f>
        <v>1806829</v>
      </c>
      <c r="P20" s="75">
        <f>'20R1'!K18</f>
        <v>1822999</v>
      </c>
      <c r="Q20" s="75">
        <f>'21R2'!K18</f>
        <v>1735028</v>
      </c>
      <c r="R20" s="75">
        <f>'22R3'!K18</f>
        <v>1848336</v>
      </c>
      <c r="S20" s="75">
        <f>'23R4'!K18</f>
        <v>1929347</v>
      </c>
      <c r="T20" s="75">
        <f>'24R5'!K18</f>
        <v>1993840</v>
      </c>
      <c r="U20" s="75">
        <f>'25R6'!C18</f>
        <v>2084290</v>
      </c>
      <c r="V20" s="75">
        <f>'25R6'!D18</f>
        <v>1273203</v>
      </c>
      <c r="W20" s="75">
        <f>'25R6'!E18</f>
        <v>198500</v>
      </c>
      <c r="X20" s="75">
        <f>'25R6'!F18</f>
        <v>462897</v>
      </c>
    </row>
    <row r="21" spans="1:24">
      <c r="A21" s="89">
        <v>204</v>
      </c>
      <c r="B21" s="90" t="s">
        <v>184</v>
      </c>
      <c r="C21" s="75">
        <f>'7H18'!K19</f>
        <v>1647694</v>
      </c>
      <c r="D21" s="75">
        <f>'8H19'!K19</f>
        <v>1663052</v>
      </c>
      <c r="E21" s="75">
        <f>'9H20'!K19</f>
        <v>1695056</v>
      </c>
      <c r="F21" s="75">
        <f>'10H21'!K19</f>
        <v>1563327</v>
      </c>
      <c r="G21" s="75">
        <f>'11H22'!K19</f>
        <v>1609948</v>
      </c>
      <c r="H21" s="75">
        <f>'12H23'!K19</f>
        <v>1631184</v>
      </c>
      <c r="I21" s="75">
        <f>'13H24'!K19</f>
        <v>1632985</v>
      </c>
      <c r="J21" s="75">
        <f>'14H25'!K19</f>
        <v>1703710</v>
      </c>
      <c r="K21" s="75">
        <f>'15H26'!K19</f>
        <v>1664417</v>
      </c>
      <c r="L21" s="75">
        <f>'16H27'!K19</f>
        <v>1763792</v>
      </c>
      <c r="M21" s="75">
        <f>'17H28'!K19</f>
        <v>1724303</v>
      </c>
      <c r="N21" s="75">
        <f>'18H29'!K19</f>
        <v>1741712</v>
      </c>
      <c r="O21" s="75">
        <f>'19H30'!K19</f>
        <v>1749143</v>
      </c>
      <c r="P21" s="75">
        <f>'20R1'!K19</f>
        <v>1748969</v>
      </c>
      <c r="Q21" s="75">
        <f>'21R2'!K19</f>
        <v>1698508</v>
      </c>
      <c r="R21" s="75">
        <f>'22R3'!K19</f>
        <v>1774331</v>
      </c>
      <c r="S21" s="75">
        <f>'23R4'!K19</f>
        <v>1865826</v>
      </c>
      <c r="T21" s="75">
        <f>'24R5'!K19</f>
        <v>1902114</v>
      </c>
      <c r="U21" s="75">
        <f>'25R6'!C19</f>
        <v>1738491</v>
      </c>
      <c r="V21" s="75">
        <f>'25R6'!D19</f>
        <v>1238974</v>
      </c>
      <c r="W21" s="75">
        <f>'25R6'!E19</f>
        <v>247191</v>
      </c>
      <c r="X21" s="75">
        <f>'25R6'!F19</f>
        <v>345749</v>
      </c>
    </row>
    <row r="22" spans="1:24">
      <c r="A22" s="89">
        <v>206</v>
      </c>
      <c r="B22" s="90" t="s">
        <v>185</v>
      </c>
      <c r="C22" s="75">
        <f>'7H18'!K20</f>
        <v>333922</v>
      </c>
      <c r="D22" s="75">
        <f>'8H19'!K20</f>
        <v>336218</v>
      </c>
      <c r="E22" s="75">
        <f>'9H20'!K20</f>
        <v>330978</v>
      </c>
      <c r="F22" s="75">
        <f>'10H21'!K20</f>
        <v>319120</v>
      </c>
      <c r="G22" s="75">
        <f>'11H22'!K20</f>
        <v>309452</v>
      </c>
      <c r="H22" s="75">
        <f>'12H23'!K20</f>
        <v>321408</v>
      </c>
      <c r="I22" s="75">
        <f>'13H24'!K20</f>
        <v>327614</v>
      </c>
      <c r="J22" s="75">
        <f>'14H25'!K20</f>
        <v>360529</v>
      </c>
      <c r="K22" s="75">
        <f>'15H26'!K20</f>
        <v>347408</v>
      </c>
      <c r="L22" s="75">
        <f>'16H27'!K20</f>
        <v>374661</v>
      </c>
      <c r="M22" s="75">
        <f>'17H28'!K20</f>
        <v>372147</v>
      </c>
      <c r="N22" s="75">
        <f>'18H29'!K20</f>
        <v>356108</v>
      </c>
      <c r="O22" s="75">
        <f>'19H30'!K20</f>
        <v>363753</v>
      </c>
      <c r="P22" s="75">
        <f>'20R1'!K20</f>
        <v>360907</v>
      </c>
      <c r="Q22" s="75">
        <f>'21R2'!K20</f>
        <v>342597</v>
      </c>
      <c r="R22" s="75">
        <f>'22R3'!K20</f>
        <v>346968</v>
      </c>
      <c r="S22" s="75">
        <f>'23R4'!K20</f>
        <v>367664</v>
      </c>
      <c r="T22" s="75">
        <f>'24R5'!K20</f>
        <v>341766</v>
      </c>
      <c r="U22" s="75">
        <f>'25R6'!C20</f>
        <v>350119</v>
      </c>
      <c r="V22" s="75">
        <f>'25R6'!D20</f>
        <v>262263</v>
      </c>
      <c r="W22" s="75">
        <f>'25R6'!E20</f>
        <v>59703</v>
      </c>
      <c r="X22" s="75">
        <f>'25R6'!F20</f>
        <v>63015</v>
      </c>
    </row>
    <row r="23" spans="1:24">
      <c r="A23" s="92">
        <v>2</v>
      </c>
      <c r="B23" s="65" t="s">
        <v>186</v>
      </c>
      <c r="C23" s="75">
        <f>'7H18'!K21</f>
        <v>2367948</v>
      </c>
      <c r="D23" s="75">
        <f>'8H19'!K21</f>
        <v>2369219</v>
      </c>
      <c r="E23" s="75">
        <f>'9H20'!K21</f>
        <v>2340942</v>
      </c>
      <c r="F23" s="75">
        <f>'10H21'!K21</f>
        <v>2221375</v>
      </c>
      <c r="G23" s="75">
        <f>'11H22'!K21</f>
        <v>2228094</v>
      </c>
      <c r="H23" s="75">
        <f>'12H23'!K21</f>
        <v>2264288</v>
      </c>
      <c r="I23" s="75">
        <f>'13H24'!K21</f>
        <v>2311109</v>
      </c>
      <c r="J23" s="75">
        <f>'14H25'!K21</f>
        <v>2404204</v>
      </c>
      <c r="K23" s="75">
        <f>'15H26'!K21</f>
        <v>2429668</v>
      </c>
      <c r="L23" s="75">
        <f>'16H27'!K21</f>
        <v>2471752</v>
      </c>
      <c r="M23" s="75">
        <f>'17H28'!K21</f>
        <v>2423454</v>
      </c>
      <c r="N23" s="75">
        <f>'18H29'!K21</f>
        <v>2448359</v>
      </c>
      <c r="O23" s="75">
        <f>'19H30'!K21</f>
        <v>2446861</v>
      </c>
      <c r="P23" s="75">
        <f>'20R1'!K21</f>
        <v>2506267</v>
      </c>
      <c r="Q23" s="75">
        <f>'21R2'!K21</f>
        <v>2352987</v>
      </c>
      <c r="R23" s="75">
        <f>'22R3'!K21</f>
        <v>2472523</v>
      </c>
      <c r="S23" s="75">
        <f>'23R4'!K21</f>
        <v>2698171</v>
      </c>
      <c r="T23" s="75">
        <f>'24R5'!K21</f>
        <v>2567482</v>
      </c>
      <c r="U23" s="75">
        <f>'25R6'!C21</f>
        <v>2619097</v>
      </c>
      <c r="V23" s="75">
        <f>'25R6'!D21</f>
        <v>1821201</v>
      </c>
      <c r="W23" s="75">
        <f>'25R6'!E21</f>
        <v>339629</v>
      </c>
      <c r="X23" s="75">
        <f>'25R6'!F21</f>
        <v>619003</v>
      </c>
    </row>
    <row r="24" spans="1:24">
      <c r="A24" s="89">
        <v>207</v>
      </c>
      <c r="B24" s="90" t="s">
        <v>187</v>
      </c>
      <c r="C24" s="75">
        <f>'7H18'!K22</f>
        <v>694961</v>
      </c>
      <c r="D24" s="75">
        <f>'8H19'!K22</f>
        <v>688145</v>
      </c>
      <c r="E24" s="75">
        <f>'9H20'!K22</f>
        <v>669150</v>
      </c>
      <c r="F24" s="75">
        <f>'10H21'!K22</f>
        <v>634155</v>
      </c>
      <c r="G24" s="75">
        <f>'11H22'!K22</f>
        <v>627476</v>
      </c>
      <c r="H24" s="75">
        <f>'12H23'!K22</f>
        <v>656939</v>
      </c>
      <c r="I24" s="75">
        <f>'13H24'!K22</f>
        <v>647247</v>
      </c>
      <c r="J24" s="75">
        <f>'14H25'!K22</f>
        <v>696914</v>
      </c>
      <c r="K24" s="75">
        <f>'15H26'!K22</f>
        <v>681146</v>
      </c>
      <c r="L24" s="75">
        <f>'16H27'!K22</f>
        <v>712442</v>
      </c>
      <c r="M24" s="75">
        <f>'17H28'!K22</f>
        <v>707150</v>
      </c>
      <c r="N24" s="75">
        <f>'18H29'!K22</f>
        <v>705484</v>
      </c>
      <c r="O24" s="75">
        <f>'19H30'!K22</f>
        <v>706122</v>
      </c>
      <c r="P24" s="75">
        <f>'20R1'!K22</f>
        <v>731962</v>
      </c>
      <c r="Q24" s="75">
        <f>'21R2'!K22</f>
        <v>686672</v>
      </c>
      <c r="R24" s="75">
        <f>'22R3'!K22</f>
        <v>739010</v>
      </c>
      <c r="S24" s="75">
        <f>'23R4'!K22</f>
        <v>807088</v>
      </c>
      <c r="T24" s="75">
        <f>'24R5'!K22</f>
        <v>753189</v>
      </c>
      <c r="U24" s="75">
        <f>'25R6'!C22</f>
        <v>797975</v>
      </c>
      <c r="V24" s="75">
        <f>'25R6'!D22</f>
        <v>510496</v>
      </c>
      <c r="W24" s="75">
        <f>'25R6'!E22</f>
        <v>90179</v>
      </c>
      <c r="X24" s="75">
        <f>'25R6'!F22</f>
        <v>217241</v>
      </c>
    </row>
    <row r="25" spans="1:24">
      <c r="A25" s="89">
        <v>214</v>
      </c>
      <c r="B25" s="90" t="s">
        <v>188</v>
      </c>
      <c r="C25" s="75">
        <f>'7H18'!K23</f>
        <v>735562</v>
      </c>
      <c r="D25" s="75">
        <f>'8H19'!K23</f>
        <v>729855</v>
      </c>
      <c r="E25" s="75">
        <f>'9H20'!K23</f>
        <v>726125</v>
      </c>
      <c r="F25" s="75">
        <f>'10H21'!K23</f>
        <v>697284</v>
      </c>
      <c r="G25" s="75">
        <f>'11H22'!K23</f>
        <v>714790</v>
      </c>
      <c r="H25" s="75">
        <f>'12H23'!K23</f>
        <v>707713</v>
      </c>
      <c r="I25" s="75">
        <f>'13H24'!K23</f>
        <v>722157</v>
      </c>
      <c r="J25" s="75">
        <f>'14H25'!K23</f>
        <v>760854</v>
      </c>
      <c r="K25" s="75">
        <f>'15H26'!K23</f>
        <v>761778</v>
      </c>
      <c r="L25" s="75">
        <f>'16H27'!K23</f>
        <v>769459</v>
      </c>
      <c r="M25" s="75">
        <f>'17H28'!K23</f>
        <v>739669</v>
      </c>
      <c r="N25" s="75">
        <f>'18H29'!K23</f>
        <v>760952</v>
      </c>
      <c r="O25" s="75">
        <f>'19H30'!K23</f>
        <v>755054</v>
      </c>
      <c r="P25" s="75">
        <f>'20R1'!K23</f>
        <v>771495</v>
      </c>
      <c r="Q25" s="75">
        <f>'21R2'!K23</f>
        <v>708541</v>
      </c>
      <c r="R25" s="75">
        <f>'22R3'!K23</f>
        <v>772922</v>
      </c>
      <c r="S25" s="75">
        <f>'23R4'!K23</f>
        <v>837174</v>
      </c>
      <c r="T25" s="75">
        <f>'24R5'!K23</f>
        <v>801876</v>
      </c>
      <c r="U25" s="75">
        <f>'25R6'!C23</f>
        <v>708330</v>
      </c>
      <c r="V25" s="75">
        <f>'25R6'!D23</f>
        <v>587029</v>
      </c>
      <c r="W25" s="75">
        <f>'25R6'!E23</f>
        <v>104945</v>
      </c>
      <c r="X25" s="75">
        <f>'25R6'!F23</f>
        <v>148043</v>
      </c>
    </row>
    <row r="26" spans="1:24">
      <c r="A26" s="89">
        <v>217</v>
      </c>
      <c r="B26" s="90" t="s">
        <v>189</v>
      </c>
      <c r="C26" s="75">
        <f>'7H18'!K24</f>
        <v>492296</v>
      </c>
      <c r="D26" s="75">
        <f>'8H19'!K24</f>
        <v>510173</v>
      </c>
      <c r="E26" s="75">
        <f>'9H20'!K24</f>
        <v>501967</v>
      </c>
      <c r="F26" s="75">
        <f>'10H21'!K24</f>
        <v>469401</v>
      </c>
      <c r="G26" s="75">
        <f>'11H22'!K24</f>
        <v>469663</v>
      </c>
      <c r="H26" s="75">
        <f>'12H23'!K24</f>
        <v>467592</v>
      </c>
      <c r="I26" s="75">
        <f>'13H24'!K24</f>
        <v>482662</v>
      </c>
      <c r="J26" s="75">
        <f>'14H25'!K24</f>
        <v>500179</v>
      </c>
      <c r="K26" s="75">
        <f>'15H26'!K24</f>
        <v>504723</v>
      </c>
      <c r="L26" s="75">
        <f>'16H27'!K24</f>
        <v>510578</v>
      </c>
      <c r="M26" s="75">
        <f>'17H28'!K24</f>
        <v>494205</v>
      </c>
      <c r="N26" s="75">
        <f>'18H29'!K24</f>
        <v>520262</v>
      </c>
      <c r="O26" s="75">
        <f>'19H30'!K24</f>
        <v>505567</v>
      </c>
      <c r="P26" s="75">
        <f>'20R1'!K24</f>
        <v>516528</v>
      </c>
      <c r="Q26" s="75">
        <f>'21R2'!K24</f>
        <v>497459</v>
      </c>
      <c r="R26" s="75">
        <f>'22R3'!K24</f>
        <v>511541</v>
      </c>
      <c r="S26" s="75">
        <f>'23R4'!K24</f>
        <v>562889</v>
      </c>
      <c r="T26" s="75">
        <f>'24R5'!K24</f>
        <v>528230</v>
      </c>
      <c r="U26" s="75">
        <f>'25R6'!C24</f>
        <v>484521</v>
      </c>
      <c r="V26" s="75">
        <f>'25R6'!D24</f>
        <v>391198</v>
      </c>
      <c r="W26" s="75">
        <f>'25R6'!E24</f>
        <v>69445</v>
      </c>
      <c r="X26" s="75">
        <f>'25R6'!F24</f>
        <v>105926</v>
      </c>
    </row>
    <row r="27" spans="1:24">
      <c r="A27" s="89">
        <v>219</v>
      </c>
      <c r="B27" s="90" t="s">
        <v>190</v>
      </c>
      <c r="C27" s="75">
        <f>'7H18'!K25</f>
        <v>354049</v>
      </c>
      <c r="D27" s="75">
        <f>'8H19'!K25</f>
        <v>350061</v>
      </c>
      <c r="E27" s="75">
        <f>'9H20'!K25</f>
        <v>353284</v>
      </c>
      <c r="F27" s="75">
        <f>'10H21'!K25</f>
        <v>335282</v>
      </c>
      <c r="G27" s="75">
        <f>'11H22'!K25</f>
        <v>330920</v>
      </c>
      <c r="H27" s="75">
        <f>'12H23'!K25</f>
        <v>342628</v>
      </c>
      <c r="I27" s="75">
        <f>'13H24'!K25</f>
        <v>369300</v>
      </c>
      <c r="J27" s="75">
        <f>'14H25'!K25</f>
        <v>355518</v>
      </c>
      <c r="K27" s="75">
        <f>'15H26'!K25</f>
        <v>388271</v>
      </c>
      <c r="L27" s="75">
        <f>'16H27'!K25</f>
        <v>384436</v>
      </c>
      <c r="M27" s="75">
        <f>'17H28'!K25</f>
        <v>391998</v>
      </c>
      <c r="N27" s="75">
        <f>'18H29'!K25</f>
        <v>368860</v>
      </c>
      <c r="O27" s="75">
        <f>'19H30'!K25</f>
        <v>389250</v>
      </c>
      <c r="P27" s="75">
        <f>'20R1'!K25</f>
        <v>389673</v>
      </c>
      <c r="Q27" s="75">
        <f>'21R2'!K25</f>
        <v>371606</v>
      </c>
      <c r="R27" s="75">
        <f>'22R3'!K25</f>
        <v>358692</v>
      </c>
      <c r="S27" s="75">
        <f>'23R4'!K25</f>
        <v>395286</v>
      </c>
      <c r="T27" s="75">
        <f>'24R5'!K25</f>
        <v>392258</v>
      </c>
      <c r="U27" s="75">
        <f>'25R6'!C25</f>
        <v>513949</v>
      </c>
      <c r="V27" s="75">
        <f>'25R6'!D25</f>
        <v>263289</v>
      </c>
      <c r="W27" s="75">
        <f>'25R6'!E25</f>
        <v>56171</v>
      </c>
      <c r="X27" s="75">
        <f>'25R6'!F25</f>
        <v>131470</v>
      </c>
    </row>
    <row r="28" spans="1:24">
      <c r="A28" s="89">
        <v>301</v>
      </c>
      <c r="B28" s="90" t="s">
        <v>191</v>
      </c>
      <c r="C28" s="75">
        <f>'7H18'!K26</f>
        <v>91080</v>
      </c>
      <c r="D28" s="75">
        <f>'8H19'!K26</f>
        <v>90985</v>
      </c>
      <c r="E28" s="75">
        <f>'9H20'!K26</f>
        <v>90416</v>
      </c>
      <c r="F28" s="75">
        <f>'10H21'!K26</f>
        <v>85253</v>
      </c>
      <c r="G28" s="75">
        <f>'11H22'!K26</f>
        <v>85245</v>
      </c>
      <c r="H28" s="75">
        <f>'12H23'!K26</f>
        <v>89416</v>
      </c>
      <c r="I28" s="75">
        <f>'13H24'!K26</f>
        <v>89743</v>
      </c>
      <c r="J28" s="75">
        <f>'14H25'!K26</f>
        <v>90739</v>
      </c>
      <c r="K28" s="75">
        <f>'15H26'!K26</f>
        <v>93750</v>
      </c>
      <c r="L28" s="75">
        <f>'16H27'!K26</f>
        <v>94837</v>
      </c>
      <c r="M28" s="75">
        <f>'17H28'!K26</f>
        <v>90432</v>
      </c>
      <c r="N28" s="75">
        <f>'18H29'!K26</f>
        <v>92801</v>
      </c>
      <c r="O28" s="75">
        <f>'19H30'!K26</f>
        <v>90868</v>
      </c>
      <c r="P28" s="75">
        <f>'20R1'!K26</f>
        <v>96609</v>
      </c>
      <c r="Q28" s="75">
        <f>'21R2'!K26</f>
        <v>88709</v>
      </c>
      <c r="R28" s="75">
        <f>'22R3'!K26</f>
        <v>90358</v>
      </c>
      <c r="S28" s="75">
        <f>'23R4'!K26</f>
        <v>95734</v>
      </c>
      <c r="T28" s="75">
        <f>'24R5'!K26</f>
        <v>91929</v>
      </c>
      <c r="U28" s="75">
        <f>'25R6'!C26</f>
        <v>114322</v>
      </c>
      <c r="V28" s="75">
        <f>'25R6'!D26</f>
        <v>69189</v>
      </c>
      <c r="W28" s="75">
        <f>'25R6'!E26</f>
        <v>18889</v>
      </c>
      <c r="X28" s="75">
        <f>'25R6'!F26</f>
        <v>16323</v>
      </c>
    </row>
    <row r="29" spans="1:24">
      <c r="A29" s="92">
        <v>3</v>
      </c>
      <c r="B29" s="65" t="s">
        <v>192</v>
      </c>
      <c r="C29" s="75">
        <f>'7H18'!K27</f>
        <v>2548541</v>
      </c>
      <c r="D29" s="75">
        <f>'8H19'!K27</f>
        <v>2577936</v>
      </c>
      <c r="E29" s="75">
        <f>'9H20'!K27</f>
        <v>2650593</v>
      </c>
      <c r="F29" s="75">
        <f>'10H21'!K27</f>
        <v>2574628</v>
      </c>
      <c r="G29" s="75">
        <f>'11H22'!K27</f>
        <v>2482714</v>
      </c>
      <c r="H29" s="75">
        <f>'12H23'!K27</f>
        <v>2634305</v>
      </c>
      <c r="I29" s="75">
        <f>'13H24'!K27</f>
        <v>2596859</v>
      </c>
      <c r="J29" s="75">
        <f>'14H25'!K27</f>
        <v>2669548</v>
      </c>
      <c r="K29" s="75">
        <f>'15H26'!K27</f>
        <v>2824977</v>
      </c>
      <c r="L29" s="75">
        <f>'16H27'!K27</f>
        <v>2676773</v>
      </c>
      <c r="M29" s="75">
        <f>'17H28'!K27</f>
        <v>2683357</v>
      </c>
      <c r="N29" s="75">
        <f>'18H29'!K27</f>
        <v>2795007</v>
      </c>
      <c r="O29" s="75">
        <f>'19H30'!K27</f>
        <v>2768488</v>
      </c>
      <c r="P29" s="75">
        <f>'20R1'!K27</f>
        <v>2855131</v>
      </c>
      <c r="Q29" s="75">
        <f>'21R2'!K27</f>
        <v>2681620</v>
      </c>
      <c r="R29" s="75">
        <f>'22R3'!K27</f>
        <v>2830429</v>
      </c>
      <c r="S29" s="75">
        <f>'23R4'!K27</f>
        <v>2955884</v>
      </c>
      <c r="T29" s="75">
        <f>'24R5'!K27</f>
        <v>3414495</v>
      </c>
      <c r="U29" s="75">
        <f>'25R6'!C27</f>
        <v>3229129</v>
      </c>
      <c r="V29" s="75">
        <f>'25R6'!D27</f>
        <v>1887919</v>
      </c>
      <c r="W29" s="75">
        <f>'25R6'!E27</f>
        <v>328970</v>
      </c>
      <c r="X29" s="75">
        <f>'25R6'!F27</f>
        <v>1006518</v>
      </c>
    </row>
    <row r="30" spans="1:24">
      <c r="A30" s="89">
        <v>203</v>
      </c>
      <c r="B30" s="90" t="s">
        <v>193</v>
      </c>
      <c r="C30" s="75">
        <f>'7H18'!K28</f>
        <v>1006623</v>
      </c>
      <c r="D30" s="75">
        <f>'8H19'!K28</f>
        <v>1013397</v>
      </c>
      <c r="E30" s="75">
        <f>'9H20'!K28</f>
        <v>1041746</v>
      </c>
      <c r="F30" s="75">
        <f>'10H21'!K28</f>
        <v>972078</v>
      </c>
      <c r="G30" s="75">
        <f>'11H22'!K28</f>
        <v>979490</v>
      </c>
      <c r="H30" s="75">
        <f>'12H23'!K28</f>
        <v>996683</v>
      </c>
      <c r="I30" s="75">
        <f>'13H24'!K28</f>
        <v>1002198</v>
      </c>
      <c r="J30" s="75">
        <f>'14H25'!K28</f>
        <v>1076681</v>
      </c>
      <c r="K30" s="75">
        <f>'15H26'!K28</f>
        <v>1075531</v>
      </c>
      <c r="L30" s="75">
        <f>'16H27'!K28</f>
        <v>1084974</v>
      </c>
      <c r="M30" s="75">
        <f>'17H28'!K28</f>
        <v>1089564</v>
      </c>
      <c r="N30" s="75">
        <f>'18H29'!K28</f>
        <v>1130730</v>
      </c>
      <c r="O30" s="75">
        <f>'19H30'!K28</f>
        <v>1142398</v>
      </c>
      <c r="P30" s="75">
        <f>'20R1'!K28</f>
        <v>1148749</v>
      </c>
      <c r="Q30" s="75">
        <f>'21R2'!K28</f>
        <v>1068794</v>
      </c>
      <c r="R30" s="75">
        <f>'22R3'!K28</f>
        <v>1168489</v>
      </c>
      <c r="S30" s="75">
        <f>'23R4'!K28</f>
        <v>1238918</v>
      </c>
      <c r="T30" s="75">
        <f>'24R5'!K28</f>
        <v>1742381</v>
      </c>
      <c r="U30" s="75">
        <f>'25R6'!C28</f>
        <v>1273475</v>
      </c>
      <c r="V30" s="75">
        <f>'25R6'!D28</f>
        <v>832325</v>
      </c>
      <c r="W30" s="75">
        <f>'25R6'!E28</f>
        <v>139794</v>
      </c>
      <c r="X30" s="75">
        <f>'25R6'!F28</f>
        <v>351672</v>
      </c>
    </row>
    <row r="31" spans="1:24">
      <c r="A31" s="89">
        <v>210</v>
      </c>
      <c r="B31" s="90" t="s">
        <v>194</v>
      </c>
      <c r="C31" s="75">
        <f>'7H18'!K29</f>
        <v>913016</v>
      </c>
      <c r="D31" s="75">
        <f>'8H19'!K29</f>
        <v>937020</v>
      </c>
      <c r="E31" s="75">
        <f>'9H20'!K29</f>
        <v>950291</v>
      </c>
      <c r="F31" s="75">
        <f>'10H21'!K29</f>
        <v>938383</v>
      </c>
      <c r="G31" s="75">
        <f>'11H22'!K29</f>
        <v>924337</v>
      </c>
      <c r="H31" s="75">
        <f>'12H23'!K29</f>
        <v>1038814</v>
      </c>
      <c r="I31" s="75">
        <f>'13H24'!K29</f>
        <v>979913</v>
      </c>
      <c r="J31" s="75">
        <f>'14H25'!K29</f>
        <v>967867</v>
      </c>
      <c r="K31" s="75">
        <f>'15H26'!K29</f>
        <v>1009780</v>
      </c>
      <c r="L31" s="75">
        <f>'16H27'!K29</f>
        <v>951638</v>
      </c>
      <c r="M31" s="75">
        <f>'17H28'!K29</f>
        <v>982821</v>
      </c>
      <c r="N31" s="75">
        <f>'18H29'!K29</f>
        <v>1015661</v>
      </c>
      <c r="O31" s="75">
        <f>'19H30'!K29</f>
        <v>966951</v>
      </c>
      <c r="P31" s="75">
        <f>'20R1'!K29</f>
        <v>976189</v>
      </c>
      <c r="Q31" s="75">
        <f>'21R2'!K29</f>
        <v>981871</v>
      </c>
      <c r="R31" s="75">
        <f>'22R3'!K29</f>
        <v>928980</v>
      </c>
      <c r="S31" s="75">
        <f>'23R4'!K29</f>
        <v>1025801</v>
      </c>
      <c r="T31" s="75">
        <f>'24R5'!K29</f>
        <v>992823</v>
      </c>
      <c r="U31" s="75">
        <f>'25R6'!C29</f>
        <v>1058835</v>
      </c>
      <c r="V31" s="75">
        <f>'25R6'!D29</f>
        <v>663046</v>
      </c>
      <c r="W31" s="75">
        <f>'25R6'!E29</f>
        <v>113661</v>
      </c>
      <c r="X31" s="75">
        <f>'25R6'!F29</f>
        <v>320004</v>
      </c>
    </row>
    <row r="32" spans="1:24">
      <c r="A32" s="89">
        <v>216</v>
      </c>
      <c r="B32" s="90" t="s">
        <v>195</v>
      </c>
      <c r="C32" s="75">
        <f>'7H18'!K30</f>
        <v>412734</v>
      </c>
      <c r="D32" s="75">
        <f>'8H19'!K30</f>
        <v>402178</v>
      </c>
      <c r="E32" s="75">
        <f>'9H20'!K30</f>
        <v>436212</v>
      </c>
      <c r="F32" s="75">
        <f>'10H21'!K30</f>
        <v>454160</v>
      </c>
      <c r="G32" s="75">
        <f>'11H22'!K30</f>
        <v>374318</v>
      </c>
      <c r="H32" s="75">
        <f>'12H23'!K30</f>
        <v>387631</v>
      </c>
      <c r="I32" s="75">
        <f>'13H24'!K30</f>
        <v>400922</v>
      </c>
      <c r="J32" s="75">
        <f>'14H25'!K30</f>
        <v>394685</v>
      </c>
      <c r="K32" s="75">
        <f>'15H26'!K30</f>
        <v>518780</v>
      </c>
      <c r="L32" s="75">
        <f>'16H27'!K30</f>
        <v>412132</v>
      </c>
      <c r="M32" s="75">
        <f>'17H28'!K30</f>
        <v>391259</v>
      </c>
      <c r="N32" s="75">
        <f>'18H29'!K30</f>
        <v>398839</v>
      </c>
      <c r="O32" s="75">
        <f>'19H30'!K30</f>
        <v>409989</v>
      </c>
      <c r="P32" s="75">
        <f>'20R1'!K30</f>
        <v>485420</v>
      </c>
      <c r="Q32" s="75">
        <f>'21R2'!K30</f>
        <v>411167</v>
      </c>
      <c r="R32" s="75">
        <f>'22R3'!K30</f>
        <v>441493</v>
      </c>
      <c r="S32" s="75">
        <f>'23R4'!K30</f>
        <v>431218</v>
      </c>
      <c r="T32" s="75">
        <f>'24R5'!K30</f>
        <v>426293</v>
      </c>
      <c r="U32" s="75">
        <f>'25R6'!C30</f>
        <v>535458</v>
      </c>
      <c r="V32" s="75">
        <f>'25R6'!D30</f>
        <v>227278</v>
      </c>
      <c r="W32" s="75">
        <f>'25R6'!E30</f>
        <v>46214</v>
      </c>
      <c r="X32" s="75">
        <f>'25R6'!F30</f>
        <v>234154</v>
      </c>
    </row>
    <row r="33" spans="1:24">
      <c r="A33" s="89">
        <v>381</v>
      </c>
      <c r="B33" s="90" t="s">
        <v>196</v>
      </c>
      <c r="C33" s="75">
        <f>'7H18'!K31</f>
        <v>95263</v>
      </c>
      <c r="D33" s="75">
        <f>'8H19'!K31</f>
        <v>99191</v>
      </c>
      <c r="E33" s="75">
        <f>'9H20'!K31</f>
        <v>92617</v>
      </c>
      <c r="F33" s="75">
        <f>'10H21'!K31</f>
        <v>87505</v>
      </c>
      <c r="G33" s="75">
        <f>'11H22'!K31</f>
        <v>87321</v>
      </c>
      <c r="H33" s="75">
        <f>'12H23'!K31</f>
        <v>90796</v>
      </c>
      <c r="I33" s="75">
        <f>'13H24'!K31</f>
        <v>93222</v>
      </c>
      <c r="J33" s="75">
        <f>'14H25'!K31</f>
        <v>93463</v>
      </c>
      <c r="K33" s="75">
        <f>'15H26'!K31</f>
        <v>93141</v>
      </c>
      <c r="L33" s="75">
        <f>'16H27'!K31</f>
        <v>100202</v>
      </c>
      <c r="M33" s="75">
        <f>'17H28'!K31</f>
        <v>90150</v>
      </c>
      <c r="N33" s="75">
        <f>'18H29'!K31</f>
        <v>97394</v>
      </c>
      <c r="O33" s="75">
        <f>'19H30'!K31</f>
        <v>105883</v>
      </c>
      <c r="P33" s="75">
        <f>'20R1'!K31</f>
        <v>107331</v>
      </c>
      <c r="Q33" s="75">
        <f>'21R2'!K31</f>
        <v>94437</v>
      </c>
      <c r="R33" s="75">
        <f>'22R3'!K31</f>
        <v>150839</v>
      </c>
      <c r="S33" s="75">
        <f>'23R4'!K31</f>
        <v>119570</v>
      </c>
      <c r="T33" s="75">
        <f>'24R5'!K31</f>
        <v>112628</v>
      </c>
      <c r="U33" s="75">
        <f>'25R6'!C31</f>
        <v>158087</v>
      </c>
      <c r="V33" s="75">
        <f>'25R6'!D31</f>
        <v>75074</v>
      </c>
      <c r="W33" s="75">
        <f>'25R6'!E31</f>
        <v>12847</v>
      </c>
      <c r="X33" s="75">
        <f>'25R6'!F31</f>
        <v>36931</v>
      </c>
    </row>
    <row r="34" spans="1:24">
      <c r="A34" s="89">
        <v>382</v>
      </c>
      <c r="B34" s="90" t="s">
        <v>197</v>
      </c>
      <c r="C34" s="75">
        <f>'7H18'!K32</f>
        <v>120905</v>
      </c>
      <c r="D34" s="75">
        <f>'8H19'!K32</f>
        <v>126150</v>
      </c>
      <c r="E34" s="75">
        <f>'9H20'!K32</f>
        <v>129727</v>
      </c>
      <c r="F34" s="75">
        <f>'10H21'!K32</f>
        <v>122502</v>
      </c>
      <c r="G34" s="75">
        <f>'11H22'!K32</f>
        <v>117248</v>
      </c>
      <c r="H34" s="75">
        <f>'12H23'!K32</f>
        <v>120381</v>
      </c>
      <c r="I34" s="75">
        <f>'13H24'!K32</f>
        <v>120604</v>
      </c>
      <c r="J34" s="75">
        <f>'14H25'!K32</f>
        <v>136852</v>
      </c>
      <c r="K34" s="75">
        <f>'15H26'!K32</f>
        <v>127745</v>
      </c>
      <c r="L34" s="75">
        <f>'16H27'!K32</f>
        <v>127827</v>
      </c>
      <c r="M34" s="75">
        <f>'17H28'!K32</f>
        <v>129563</v>
      </c>
      <c r="N34" s="75">
        <f>'18H29'!K32</f>
        <v>152383</v>
      </c>
      <c r="O34" s="75">
        <f>'19H30'!K32</f>
        <v>143267</v>
      </c>
      <c r="P34" s="75">
        <f>'20R1'!K32</f>
        <v>137442</v>
      </c>
      <c r="Q34" s="75">
        <f>'21R2'!K32</f>
        <v>125351</v>
      </c>
      <c r="R34" s="75">
        <f>'22R3'!K32</f>
        <v>140628</v>
      </c>
      <c r="S34" s="75">
        <f>'23R4'!K32</f>
        <v>140377</v>
      </c>
      <c r="T34" s="75">
        <f>'24R5'!K32</f>
        <v>140370</v>
      </c>
      <c r="U34" s="75">
        <f>'25R6'!C32</f>
        <v>203274</v>
      </c>
      <c r="V34" s="75">
        <f>'25R6'!D32</f>
        <v>90196</v>
      </c>
      <c r="W34" s="75">
        <f>'25R6'!E32</f>
        <v>16454</v>
      </c>
      <c r="X34" s="75">
        <f>'25R6'!F32</f>
        <v>63757</v>
      </c>
    </row>
    <row r="35" spans="1:24">
      <c r="A35" s="92">
        <v>4</v>
      </c>
      <c r="B35" s="91" t="s">
        <v>198</v>
      </c>
      <c r="C35" s="75">
        <f>'7H18'!K33</f>
        <v>917993</v>
      </c>
      <c r="D35" s="75">
        <f>'8H19'!K33</f>
        <v>966181</v>
      </c>
      <c r="E35" s="75">
        <f>'9H20'!K33</f>
        <v>897469</v>
      </c>
      <c r="F35" s="75">
        <f>'10H21'!K33</f>
        <v>835577</v>
      </c>
      <c r="G35" s="75">
        <f>'11H22'!K33</f>
        <v>835125</v>
      </c>
      <c r="H35" s="75">
        <f>'12H23'!K33</f>
        <v>964389</v>
      </c>
      <c r="I35" s="75">
        <f>'13H24'!K33</f>
        <v>968135</v>
      </c>
      <c r="J35" s="75">
        <f>'14H25'!K33</f>
        <v>1001869</v>
      </c>
      <c r="K35" s="75">
        <f>'15H26'!K33</f>
        <v>901890</v>
      </c>
      <c r="L35" s="75">
        <f>'16H27'!K33</f>
        <v>934750</v>
      </c>
      <c r="M35" s="75">
        <f>'17H28'!K33</f>
        <v>948868</v>
      </c>
      <c r="N35" s="75">
        <f>'18H29'!K33</f>
        <v>941232</v>
      </c>
      <c r="O35" s="75">
        <f>'19H30'!K33</f>
        <v>951009</v>
      </c>
      <c r="P35" s="75">
        <f>'20R1'!K33</f>
        <v>1012174</v>
      </c>
      <c r="Q35" s="75">
        <f>'21R2'!K33</f>
        <v>913145</v>
      </c>
      <c r="R35" s="75">
        <f>'22R3'!K33</f>
        <v>945947</v>
      </c>
      <c r="S35" s="75">
        <f>'23R4'!K33</f>
        <v>1020934</v>
      </c>
      <c r="T35" s="75">
        <f>'24R5'!K33</f>
        <v>977715</v>
      </c>
      <c r="U35" s="75">
        <f>'25R6'!C33</f>
        <v>1322637</v>
      </c>
      <c r="V35" s="75">
        <f>'25R6'!D33</f>
        <v>654485</v>
      </c>
      <c r="W35" s="75">
        <f>'25R6'!E33</f>
        <v>154744</v>
      </c>
      <c r="X35" s="75">
        <f>'25R6'!F33</f>
        <v>301375</v>
      </c>
    </row>
    <row r="36" spans="1:24">
      <c r="A36" s="92">
        <v>213</v>
      </c>
      <c r="B36" s="92" t="s">
        <v>231</v>
      </c>
      <c r="C36" s="75">
        <f>'7H18'!K34</f>
        <v>138784</v>
      </c>
      <c r="D36" s="75">
        <f>'8H19'!K34</f>
        <v>160894</v>
      </c>
      <c r="E36" s="75">
        <f>'9H20'!K34</f>
        <v>133601</v>
      </c>
      <c r="F36" s="75">
        <f>'10H21'!K34</f>
        <v>120672</v>
      </c>
      <c r="G36" s="75">
        <f>'11H22'!K34</f>
        <v>118896</v>
      </c>
      <c r="H36" s="75">
        <f>'12H23'!K34</f>
        <v>157172</v>
      </c>
      <c r="I36" s="75">
        <f>'13H24'!K34</f>
        <v>133221</v>
      </c>
      <c r="J36" s="75">
        <f>'14H25'!K34</f>
        <v>136039</v>
      </c>
      <c r="K36" s="75">
        <f>'15H26'!K34</f>
        <v>124960</v>
      </c>
      <c r="L36" s="75">
        <f>'16H27'!K34</f>
        <v>128951</v>
      </c>
      <c r="M36" s="75">
        <f>'17H28'!K34</f>
        <v>125490</v>
      </c>
      <c r="N36" s="75">
        <f>'18H29'!K34</f>
        <v>122706</v>
      </c>
      <c r="O36" s="75">
        <f>'19H30'!K34</f>
        <v>126010</v>
      </c>
      <c r="P36" s="75">
        <f>'20R1'!K34</f>
        <v>133565</v>
      </c>
      <c r="Q36" s="75">
        <f>'21R2'!K34</f>
        <v>135821</v>
      </c>
      <c r="R36" s="75">
        <f>'22R3'!K34</f>
        <v>120528</v>
      </c>
      <c r="S36" s="75">
        <f>'23R4'!K34</f>
        <v>129506</v>
      </c>
      <c r="T36" s="75">
        <f>'24R5'!K34</f>
        <v>123003</v>
      </c>
      <c r="U36" s="75">
        <f>'25R6'!C34</f>
        <v>164018</v>
      </c>
      <c r="V36" s="75">
        <f>'25R6'!D34</f>
        <v>95056</v>
      </c>
      <c r="W36" s="75">
        <f>'25R6'!E34</f>
        <v>20110</v>
      </c>
      <c r="X36" s="75">
        <f>'25R6'!F34</f>
        <v>28267</v>
      </c>
    </row>
    <row r="37" spans="1:24">
      <c r="A37" s="92">
        <v>215</v>
      </c>
      <c r="B37" s="92" t="s">
        <v>232</v>
      </c>
      <c r="C37" s="75">
        <f>'7H18'!K35</f>
        <v>245437</v>
      </c>
      <c r="D37" s="75">
        <f>'8H19'!K35</f>
        <v>250087</v>
      </c>
      <c r="E37" s="75">
        <f>'9H20'!K35</f>
        <v>248883</v>
      </c>
      <c r="F37" s="75">
        <f>'10H21'!K35</f>
        <v>236237</v>
      </c>
      <c r="G37" s="75">
        <f>'11H22'!K35</f>
        <v>229599</v>
      </c>
      <c r="H37" s="75">
        <f>'12H23'!K35</f>
        <v>234402</v>
      </c>
      <c r="I37" s="75">
        <f>'13H24'!K35</f>
        <v>262344</v>
      </c>
      <c r="J37" s="75">
        <f>'14H25'!K35</f>
        <v>256173</v>
      </c>
      <c r="K37" s="75">
        <f>'15H26'!K35</f>
        <v>252116</v>
      </c>
      <c r="L37" s="75">
        <f>'16H27'!K35</f>
        <v>265071</v>
      </c>
      <c r="M37" s="75">
        <f>'17H28'!K35</f>
        <v>258415</v>
      </c>
      <c r="N37" s="75">
        <f>'18H29'!K35</f>
        <v>256531</v>
      </c>
      <c r="O37" s="75">
        <f>'19H30'!K35</f>
        <v>260577</v>
      </c>
      <c r="P37" s="75">
        <f>'20R1'!K35</f>
        <v>273143</v>
      </c>
      <c r="Q37" s="75">
        <f>'21R2'!K35</f>
        <v>248298</v>
      </c>
      <c r="R37" s="75">
        <f>'22R3'!K35</f>
        <v>254205</v>
      </c>
      <c r="S37" s="75">
        <f>'23R4'!K35</f>
        <v>276862</v>
      </c>
      <c r="T37" s="75">
        <f>'24R5'!K35</f>
        <v>260029</v>
      </c>
      <c r="U37" s="75">
        <f>'25R6'!C35</f>
        <v>335571</v>
      </c>
      <c r="V37" s="75">
        <f>'25R6'!D35</f>
        <v>188380</v>
      </c>
      <c r="W37" s="75">
        <f>'25R6'!E35</f>
        <v>43010</v>
      </c>
      <c r="X37" s="75">
        <f>'25R6'!F35</f>
        <v>69721</v>
      </c>
    </row>
    <row r="38" spans="1:24">
      <c r="A38" s="89">
        <v>218</v>
      </c>
      <c r="B38" s="90" t="s">
        <v>200</v>
      </c>
      <c r="C38" s="75">
        <f>'7H18'!K36</f>
        <v>175931</v>
      </c>
      <c r="D38" s="75">
        <f>'8H19'!K36</f>
        <v>162824</v>
      </c>
      <c r="E38" s="75">
        <f>'9H20'!K36</f>
        <v>162757</v>
      </c>
      <c r="F38" s="75">
        <f>'10H21'!K36</f>
        <v>151113</v>
      </c>
      <c r="G38" s="75">
        <f>'11H22'!K36</f>
        <v>145987</v>
      </c>
      <c r="H38" s="75">
        <f>'12H23'!K36</f>
        <v>155297</v>
      </c>
      <c r="I38" s="75">
        <f>'13H24'!K36</f>
        <v>169734</v>
      </c>
      <c r="J38" s="75">
        <f>'14H25'!K36</f>
        <v>219304</v>
      </c>
      <c r="K38" s="75">
        <f>'15H26'!K36</f>
        <v>162651</v>
      </c>
      <c r="L38" s="75">
        <f>'16H27'!K36</f>
        <v>168541</v>
      </c>
      <c r="M38" s="75">
        <f>'17H28'!K36</f>
        <v>189935</v>
      </c>
      <c r="N38" s="75">
        <f>'18H29'!K36</f>
        <v>168224</v>
      </c>
      <c r="O38" s="75">
        <f>'19H30'!K36</f>
        <v>176145</v>
      </c>
      <c r="P38" s="75">
        <f>'20R1'!K36</f>
        <v>192924</v>
      </c>
      <c r="Q38" s="75">
        <f>'21R2'!K36</f>
        <v>159615</v>
      </c>
      <c r="R38" s="75">
        <f>'22R3'!K36</f>
        <v>173338</v>
      </c>
      <c r="S38" s="75">
        <f>'23R4'!K36</f>
        <v>186937</v>
      </c>
      <c r="T38" s="75">
        <f>'24R5'!K36</f>
        <v>178349</v>
      </c>
      <c r="U38" s="75">
        <f>'25R6'!C36</f>
        <v>262245</v>
      </c>
      <c r="V38" s="75">
        <f>'25R6'!D36</f>
        <v>115597</v>
      </c>
      <c r="W38" s="75">
        <f>'25R6'!E36</f>
        <v>23940</v>
      </c>
      <c r="X38" s="75">
        <f>'25R6'!F36</f>
        <v>63457</v>
      </c>
    </row>
    <row r="39" spans="1:24">
      <c r="A39" s="89">
        <v>220</v>
      </c>
      <c r="B39" s="90" t="s">
        <v>201</v>
      </c>
      <c r="C39" s="75">
        <f>'7H18'!K37</f>
        <v>152951</v>
      </c>
      <c r="D39" s="75">
        <f>'8H19'!K37</f>
        <v>157472</v>
      </c>
      <c r="E39" s="75">
        <f>'9H20'!K37</f>
        <v>149464</v>
      </c>
      <c r="F39" s="75">
        <f>'10H21'!K37</f>
        <v>140306</v>
      </c>
      <c r="G39" s="75">
        <f>'11H22'!K37</f>
        <v>143945</v>
      </c>
      <c r="H39" s="75">
        <f>'12H23'!K37</f>
        <v>186865</v>
      </c>
      <c r="I39" s="75">
        <f>'13H24'!K37</f>
        <v>191651</v>
      </c>
      <c r="J39" s="75">
        <f>'14H25'!K37</f>
        <v>171713</v>
      </c>
      <c r="K39" s="75">
        <f>'15H26'!K37</f>
        <v>155437</v>
      </c>
      <c r="L39" s="75">
        <f>'16H27'!K37</f>
        <v>154883</v>
      </c>
      <c r="M39" s="75">
        <f>'17H28'!K37</f>
        <v>161391</v>
      </c>
      <c r="N39" s="75">
        <f>'18H29'!K37</f>
        <v>162708</v>
      </c>
      <c r="O39" s="75">
        <f>'19H30'!K37</f>
        <v>158225</v>
      </c>
      <c r="P39" s="75">
        <f>'20R1'!K37</f>
        <v>169110</v>
      </c>
      <c r="Q39" s="75">
        <f>'21R2'!K37</f>
        <v>146482</v>
      </c>
      <c r="R39" s="75">
        <f>'22R3'!K37</f>
        <v>153417</v>
      </c>
      <c r="S39" s="75">
        <f>'23R4'!K37</f>
        <v>178332</v>
      </c>
      <c r="T39" s="75">
        <f>'24R5'!K37</f>
        <v>175946</v>
      </c>
      <c r="U39" s="75">
        <f>'25R6'!C37</f>
        <v>235745</v>
      </c>
      <c r="V39" s="75">
        <f>'25R6'!D37</f>
        <v>103967</v>
      </c>
      <c r="W39" s="75">
        <f>'25R6'!E37</f>
        <v>29200</v>
      </c>
      <c r="X39" s="75">
        <f>'25R6'!F37</f>
        <v>60754</v>
      </c>
    </row>
    <row r="40" spans="1:24">
      <c r="A40" s="89">
        <v>228</v>
      </c>
      <c r="B40" s="90" t="s">
        <v>239</v>
      </c>
      <c r="C40" s="75">
        <f>'7H18'!K38</f>
        <v>139259</v>
      </c>
      <c r="D40" s="75">
        <f>'8H19'!K38</f>
        <v>169841</v>
      </c>
      <c r="E40" s="75">
        <f>'9H20'!K38</f>
        <v>138621</v>
      </c>
      <c r="F40" s="75">
        <f>'10H21'!K38</f>
        <v>125312</v>
      </c>
      <c r="G40" s="75">
        <f>'11H22'!K38</f>
        <v>132908</v>
      </c>
      <c r="H40" s="75">
        <f>'12H23'!K38</f>
        <v>164626</v>
      </c>
      <c r="I40" s="75">
        <f>'13H24'!K38</f>
        <v>142337</v>
      </c>
      <c r="J40" s="75">
        <f>'14H25'!K38</f>
        <v>150429</v>
      </c>
      <c r="K40" s="75">
        <f>'15H26'!K38</f>
        <v>143422</v>
      </c>
      <c r="L40" s="75">
        <f>'16H27'!K38</f>
        <v>150016</v>
      </c>
      <c r="M40" s="75">
        <f>'17H28'!K38</f>
        <v>148842</v>
      </c>
      <c r="N40" s="75">
        <f>'18H29'!K38</f>
        <v>166658</v>
      </c>
      <c r="O40" s="75">
        <f>'19H30'!K38</f>
        <v>160619</v>
      </c>
      <c r="P40" s="75">
        <f>'20R1'!K38</f>
        <v>179281</v>
      </c>
      <c r="Q40" s="75">
        <f>'21R2'!K38</f>
        <v>164092</v>
      </c>
      <c r="R40" s="75">
        <f>'22R3'!K38</f>
        <v>183007</v>
      </c>
      <c r="S40" s="75">
        <f>'23R4'!K38</f>
        <v>173927</v>
      </c>
      <c r="T40" s="75">
        <f>'24R5'!K38</f>
        <v>174905</v>
      </c>
      <c r="U40" s="75">
        <f>'25R6'!C38</f>
        <v>245983</v>
      </c>
      <c r="V40" s="75">
        <f>'25R6'!D38</f>
        <v>110303</v>
      </c>
      <c r="W40" s="75">
        <f>'25R6'!E38</f>
        <v>25848</v>
      </c>
      <c r="X40" s="75">
        <f>'25R6'!F38</f>
        <v>63974</v>
      </c>
    </row>
    <row r="41" spans="1:24">
      <c r="A41" s="89">
        <v>365</v>
      </c>
      <c r="B41" s="90" t="s">
        <v>233</v>
      </c>
      <c r="C41" s="75">
        <f>'7H18'!K39</f>
        <v>65631</v>
      </c>
      <c r="D41" s="75">
        <f>'8H19'!K39</f>
        <v>65063</v>
      </c>
      <c r="E41" s="75">
        <f>'9H20'!K39</f>
        <v>64143</v>
      </c>
      <c r="F41" s="75">
        <f>'10H21'!K39</f>
        <v>61937</v>
      </c>
      <c r="G41" s="75">
        <f>'11H22'!K39</f>
        <v>63790</v>
      </c>
      <c r="H41" s="75">
        <f>'12H23'!K39</f>
        <v>66027</v>
      </c>
      <c r="I41" s="75">
        <f>'13H24'!K39</f>
        <v>68848</v>
      </c>
      <c r="J41" s="75">
        <f>'14H25'!K39</f>
        <v>68211</v>
      </c>
      <c r="K41" s="75">
        <f>'15H26'!K39</f>
        <v>63304</v>
      </c>
      <c r="L41" s="75">
        <f>'16H27'!K39</f>
        <v>67288</v>
      </c>
      <c r="M41" s="75">
        <f>'17H28'!K39</f>
        <v>64795</v>
      </c>
      <c r="N41" s="75">
        <f>'18H29'!K39</f>
        <v>64405</v>
      </c>
      <c r="O41" s="75">
        <f>'19H30'!K39</f>
        <v>69433</v>
      </c>
      <c r="P41" s="75">
        <f>'20R1'!K39</f>
        <v>64151</v>
      </c>
      <c r="Q41" s="75">
        <f>'21R2'!K39</f>
        <v>58837</v>
      </c>
      <c r="R41" s="75">
        <f>'22R3'!K39</f>
        <v>61452</v>
      </c>
      <c r="S41" s="75">
        <f>'23R4'!K39</f>
        <v>75370</v>
      </c>
      <c r="T41" s="75">
        <f>'24R5'!K39</f>
        <v>65483</v>
      </c>
      <c r="U41" s="75">
        <f>'25R6'!C39</f>
        <v>79075</v>
      </c>
      <c r="V41" s="75">
        <f>'25R6'!D39</f>
        <v>41182</v>
      </c>
      <c r="W41" s="75">
        <f>'25R6'!E39</f>
        <v>12636</v>
      </c>
      <c r="X41" s="75">
        <f>'25R6'!F39</f>
        <v>15202</v>
      </c>
    </row>
    <row r="42" spans="1:24">
      <c r="A42" s="92">
        <v>5</v>
      </c>
      <c r="B42" s="91" t="s">
        <v>202</v>
      </c>
      <c r="C42" s="75">
        <f>'7H18'!K40</f>
        <v>2145507</v>
      </c>
      <c r="D42" s="75">
        <f>'8H19'!K40</f>
        <v>2173154</v>
      </c>
      <c r="E42" s="75">
        <f>'9H20'!K40</f>
        <v>2107739</v>
      </c>
      <c r="F42" s="75">
        <f>'10H21'!K40</f>
        <v>2004416</v>
      </c>
      <c r="G42" s="75">
        <f>'11H22'!K40</f>
        <v>2377170</v>
      </c>
      <c r="H42" s="75">
        <f>'12H23'!K40</f>
        <v>2074729</v>
      </c>
      <c r="I42" s="75">
        <f>'13H24'!K40</f>
        <v>2090752</v>
      </c>
      <c r="J42" s="75">
        <f>'14H25'!K40</f>
        <v>2159132</v>
      </c>
      <c r="K42" s="75">
        <f>'15H26'!K40</f>
        <v>2116847</v>
      </c>
      <c r="L42" s="75">
        <f>'16H27'!K40</f>
        <v>2173804</v>
      </c>
      <c r="M42" s="75">
        <f>'17H28'!K40</f>
        <v>2206655</v>
      </c>
      <c r="N42" s="75">
        <f>'18H29'!K40</f>
        <v>2237790</v>
      </c>
      <c r="O42" s="75">
        <f>'19H30'!K40</f>
        <v>2355667</v>
      </c>
      <c r="P42" s="75">
        <f>'20R1'!K40</f>
        <v>2310721</v>
      </c>
      <c r="Q42" s="75">
        <f>'21R2'!K40</f>
        <v>2283062</v>
      </c>
      <c r="R42" s="75">
        <f>'22R3'!K40</f>
        <v>2293502</v>
      </c>
      <c r="S42" s="75">
        <f>'23R4'!K40</f>
        <v>2518602</v>
      </c>
      <c r="T42" s="75">
        <f>'24R5'!K40</f>
        <v>2644047</v>
      </c>
      <c r="U42" s="75">
        <f>'25R6'!C40</f>
        <v>2768310</v>
      </c>
      <c r="V42" s="75">
        <f>'25R6'!D40</f>
        <v>1383797</v>
      </c>
      <c r="W42" s="75">
        <f>'25R6'!E40</f>
        <v>285419</v>
      </c>
      <c r="X42" s="75">
        <f>'25R6'!F40</f>
        <v>767837</v>
      </c>
    </row>
    <row r="43" spans="1:24">
      <c r="A43" s="92">
        <v>201</v>
      </c>
      <c r="B43" s="92" t="s">
        <v>240</v>
      </c>
      <c r="C43" s="75">
        <f>'7H18'!K41</f>
        <v>2005315</v>
      </c>
      <c r="D43" s="75">
        <f>'8H19'!K41</f>
        <v>2021996</v>
      </c>
      <c r="E43" s="75">
        <f>'9H20'!K41</f>
        <v>1963471</v>
      </c>
      <c r="F43" s="75">
        <f>'10H21'!K41</f>
        <v>1872383</v>
      </c>
      <c r="G43" s="75">
        <f>'11H22'!K41</f>
        <v>2239132</v>
      </c>
      <c r="H43" s="75">
        <f>'12H23'!K41</f>
        <v>1924389</v>
      </c>
      <c r="I43" s="75">
        <f>'13H24'!K41</f>
        <v>1948019</v>
      </c>
      <c r="J43" s="75">
        <f>'14H25'!K41</f>
        <v>2011233</v>
      </c>
      <c r="K43" s="75">
        <f>'15H26'!K41</f>
        <v>1962889</v>
      </c>
      <c r="L43" s="75">
        <f>'16H27'!K41</f>
        <v>2020354</v>
      </c>
      <c r="M43" s="75">
        <f>'17H28'!K41</f>
        <v>2056762</v>
      </c>
      <c r="N43" s="75">
        <f>'18H29'!K41</f>
        <v>2076017</v>
      </c>
      <c r="O43" s="75">
        <f>'19H30'!K41</f>
        <v>2176441</v>
      </c>
      <c r="P43" s="75">
        <f>'20R1'!K41</f>
        <v>2127786</v>
      </c>
      <c r="Q43" s="75">
        <f>'21R2'!K41</f>
        <v>2094249</v>
      </c>
      <c r="R43" s="75">
        <f>'22R3'!K41</f>
        <v>2138696</v>
      </c>
      <c r="S43" s="75">
        <f>'23R4'!K41</f>
        <v>2354568</v>
      </c>
      <c r="T43" s="75">
        <f>'24R5'!K41</f>
        <v>2478820</v>
      </c>
      <c r="U43" s="75">
        <f>'25R6'!C41</f>
        <v>2516490</v>
      </c>
      <c r="V43" s="75">
        <f>'25R6'!D41</f>
        <v>1282355</v>
      </c>
      <c r="W43" s="75">
        <f>'25R6'!E41</f>
        <v>253516</v>
      </c>
      <c r="X43" s="75">
        <f>'25R6'!F41</f>
        <v>706030</v>
      </c>
    </row>
    <row r="44" spans="1:24">
      <c r="A44" s="89">
        <v>442</v>
      </c>
      <c r="B44" s="90" t="s">
        <v>203</v>
      </c>
      <c r="C44" s="75">
        <f>'7H18'!K42</f>
        <v>38279</v>
      </c>
      <c r="D44" s="75">
        <f>'8H19'!K42</f>
        <v>39255</v>
      </c>
      <c r="E44" s="75">
        <f>'9H20'!K42</f>
        <v>41080</v>
      </c>
      <c r="F44" s="75">
        <f>'10H21'!K42</f>
        <v>36951</v>
      </c>
      <c r="G44" s="75">
        <f>'11H22'!K42</f>
        <v>36222</v>
      </c>
      <c r="H44" s="75">
        <f>'12H23'!K42</f>
        <v>39012</v>
      </c>
      <c r="I44" s="75">
        <f>'13H24'!K42</f>
        <v>37491</v>
      </c>
      <c r="J44" s="75">
        <f>'14H25'!K42</f>
        <v>38908</v>
      </c>
      <c r="K44" s="75">
        <f>'15H26'!K42</f>
        <v>38765</v>
      </c>
      <c r="L44" s="75">
        <f>'16H27'!K42</f>
        <v>39707</v>
      </c>
      <c r="M44" s="75">
        <f>'17H28'!K42</f>
        <v>37496</v>
      </c>
      <c r="N44" s="75">
        <f>'18H29'!K42</f>
        <v>41388</v>
      </c>
      <c r="O44" s="75">
        <f>'19H30'!K42</f>
        <v>45206</v>
      </c>
      <c r="P44" s="75">
        <f>'20R1'!K42</f>
        <v>43839</v>
      </c>
      <c r="Q44" s="75">
        <f>'21R2'!K42</f>
        <v>39664</v>
      </c>
      <c r="R44" s="75">
        <f>'22R3'!K42</f>
        <v>39889</v>
      </c>
      <c r="S44" s="75">
        <f>'23R4'!K42</f>
        <v>44293</v>
      </c>
      <c r="T44" s="75">
        <f>'24R5'!K42</f>
        <v>40232</v>
      </c>
      <c r="U44" s="75">
        <f>'25R6'!C42</f>
        <v>49317</v>
      </c>
      <c r="V44" s="75">
        <f>'25R6'!D42</f>
        <v>26714</v>
      </c>
      <c r="W44" s="75">
        <f>'25R6'!E42</f>
        <v>8897</v>
      </c>
      <c r="X44" s="75">
        <f>'25R6'!F42</f>
        <v>11555</v>
      </c>
    </row>
    <row r="45" spans="1:24">
      <c r="A45" s="89">
        <v>443</v>
      </c>
      <c r="B45" s="90" t="s">
        <v>204</v>
      </c>
      <c r="C45" s="75">
        <f>'7H18'!K43</f>
        <v>65422</v>
      </c>
      <c r="D45" s="75">
        <f>'8H19'!K43</f>
        <v>67165</v>
      </c>
      <c r="E45" s="75">
        <f>'9H20'!K43</f>
        <v>66273</v>
      </c>
      <c r="F45" s="75">
        <f>'10H21'!K43</f>
        <v>57699</v>
      </c>
      <c r="G45" s="75">
        <f>'11H22'!K43</f>
        <v>61685</v>
      </c>
      <c r="H45" s="75">
        <f>'12H23'!K43</f>
        <v>74074</v>
      </c>
      <c r="I45" s="75">
        <f>'13H24'!K43</f>
        <v>63830</v>
      </c>
      <c r="J45" s="75">
        <f>'14H25'!K43</f>
        <v>72099</v>
      </c>
      <c r="K45" s="75">
        <f>'15H26'!K43</f>
        <v>76320</v>
      </c>
      <c r="L45" s="75">
        <f>'16H27'!K43</f>
        <v>73457</v>
      </c>
      <c r="M45" s="75">
        <f>'17H28'!K43</f>
        <v>73825</v>
      </c>
      <c r="N45" s="75">
        <f>'18H29'!K43</f>
        <v>76195</v>
      </c>
      <c r="O45" s="75">
        <f>'19H30'!K43</f>
        <v>84822</v>
      </c>
      <c r="P45" s="75">
        <f>'20R1'!K43</f>
        <v>88858</v>
      </c>
      <c r="Q45" s="75">
        <f>'21R2'!K43</f>
        <v>106664</v>
      </c>
      <c r="R45" s="75">
        <f>'22R3'!K43</f>
        <v>74916</v>
      </c>
      <c r="S45" s="75">
        <f>'23R4'!K43</f>
        <v>80415</v>
      </c>
      <c r="T45" s="75">
        <f>'24R5'!K43</f>
        <v>83088</v>
      </c>
      <c r="U45" s="75">
        <f>'25R6'!C43</f>
        <v>151942</v>
      </c>
      <c r="V45" s="75">
        <f>'25R6'!D43</f>
        <v>50809</v>
      </c>
      <c r="W45" s="75">
        <f>'25R6'!E43</f>
        <v>11887</v>
      </c>
      <c r="X45" s="75">
        <f>'25R6'!F43</f>
        <v>34206</v>
      </c>
    </row>
    <row r="46" spans="1:24">
      <c r="A46" s="89">
        <v>446</v>
      </c>
      <c r="B46" s="90" t="s">
        <v>234</v>
      </c>
      <c r="C46" s="75">
        <f>'7H18'!K44</f>
        <v>36491</v>
      </c>
      <c r="D46" s="75">
        <f>'8H19'!K44</f>
        <v>44738</v>
      </c>
      <c r="E46" s="75">
        <f>'9H20'!K44</f>
        <v>36915</v>
      </c>
      <c r="F46" s="75">
        <f>'10H21'!K44</f>
        <v>37383</v>
      </c>
      <c r="G46" s="75">
        <f>'11H22'!K44</f>
        <v>40131</v>
      </c>
      <c r="H46" s="75">
        <f>'12H23'!K44</f>
        <v>37254</v>
      </c>
      <c r="I46" s="75">
        <f>'13H24'!K44</f>
        <v>41412</v>
      </c>
      <c r="J46" s="75">
        <f>'14H25'!K44</f>
        <v>36892</v>
      </c>
      <c r="K46" s="75">
        <f>'15H26'!K44</f>
        <v>38873</v>
      </c>
      <c r="L46" s="75">
        <f>'16H27'!K44</f>
        <v>40286</v>
      </c>
      <c r="M46" s="75">
        <f>'17H28'!K44</f>
        <v>38572</v>
      </c>
      <c r="N46" s="75">
        <f>'18H29'!K44</f>
        <v>44190</v>
      </c>
      <c r="O46" s="75">
        <f>'19H30'!K44</f>
        <v>49198</v>
      </c>
      <c r="P46" s="75">
        <f>'20R1'!K44</f>
        <v>50238</v>
      </c>
      <c r="Q46" s="75">
        <f>'21R2'!K44</f>
        <v>42485</v>
      </c>
      <c r="R46" s="75">
        <f>'22R3'!K44</f>
        <v>40001</v>
      </c>
      <c r="S46" s="75">
        <f>'23R4'!K44</f>
        <v>39326</v>
      </c>
      <c r="T46" s="75">
        <f>'24R5'!K44</f>
        <v>41907</v>
      </c>
      <c r="U46" s="75">
        <f>'25R6'!C44</f>
        <v>50561</v>
      </c>
      <c r="V46" s="75">
        <f>'25R6'!D44</f>
        <v>23919</v>
      </c>
      <c r="W46" s="75">
        <f>'25R6'!E44</f>
        <v>11119</v>
      </c>
      <c r="X46" s="75">
        <f>'25R6'!F44</f>
        <v>16046</v>
      </c>
    </row>
    <row r="47" spans="1:24">
      <c r="A47" s="92">
        <v>6</v>
      </c>
      <c r="B47" s="91" t="s">
        <v>205</v>
      </c>
      <c r="C47" s="75">
        <f>'7H18'!K45</f>
        <v>955517</v>
      </c>
      <c r="D47" s="75">
        <f>'8H19'!K45</f>
        <v>921501</v>
      </c>
      <c r="E47" s="75">
        <f>'9H20'!K45</f>
        <v>901258</v>
      </c>
      <c r="F47" s="75">
        <f>'10H21'!K45</f>
        <v>859260</v>
      </c>
      <c r="G47" s="75">
        <f>'11H22'!K45</f>
        <v>863529</v>
      </c>
      <c r="H47" s="75">
        <f>'12H23'!K45</f>
        <v>896662</v>
      </c>
      <c r="I47" s="75">
        <f>'13H24'!K45</f>
        <v>914063</v>
      </c>
      <c r="J47" s="75">
        <f>'14H25'!K45</f>
        <v>889761</v>
      </c>
      <c r="K47" s="75">
        <f>'15H26'!K45</f>
        <v>882854</v>
      </c>
      <c r="L47" s="75">
        <f>'16H27'!K45</f>
        <v>929635</v>
      </c>
      <c r="M47" s="75">
        <f>'17H28'!K45</f>
        <v>897176</v>
      </c>
      <c r="N47" s="75">
        <f>'18H29'!K45</f>
        <v>867172</v>
      </c>
      <c r="O47" s="75">
        <f>'19H30'!K45</f>
        <v>892893</v>
      </c>
      <c r="P47" s="75">
        <f>'20R1'!K45</f>
        <v>930324</v>
      </c>
      <c r="Q47" s="75">
        <f>'21R2'!K45</f>
        <v>858568</v>
      </c>
      <c r="R47" s="75">
        <f>'22R3'!K45</f>
        <v>851074</v>
      </c>
      <c r="S47" s="75">
        <f>'23R4'!K45</f>
        <v>997626</v>
      </c>
      <c r="T47" s="75">
        <f>'24R5'!K45</f>
        <v>927126</v>
      </c>
      <c r="U47" s="75">
        <f>'25R6'!C45</f>
        <v>1171474</v>
      </c>
      <c r="V47" s="75">
        <f>'25R6'!D45</f>
        <v>597615</v>
      </c>
      <c r="W47" s="75">
        <f>'25R6'!E45</f>
        <v>140457</v>
      </c>
      <c r="X47" s="75">
        <f>'25R6'!F45</f>
        <v>268584</v>
      </c>
    </row>
    <row r="48" spans="1:24">
      <c r="A48" s="89">
        <v>208</v>
      </c>
      <c r="B48" s="90" t="s">
        <v>206</v>
      </c>
      <c r="C48" s="75">
        <f>'7H18'!K46</f>
        <v>109965</v>
      </c>
      <c r="D48" s="75">
        <f>'8H19'!K46</f>
        <v>110330</v>
      </c>
      <c r="E48" s="75">
        <f>'9H20'!K46</f>
        <v>104545</v>
      </c>
      <c r="F48" s="75">
        <f>'10H21'!K46</f>
        <v>98932</v>
      </c>
      <c r="G48" s="75">
        <f>'11H22'!K46</f>
        <v>101691</v>
      </c>
      <c r="H48" s="75">
        <f>'12H23'!K46</f>
        <v>106689</v>
      </c>
      <c r="I48" s="75">
        <f>'13H24'!K46</f>
        <v>118697</v>
      </c>
      <c r="J48" s="75">
        <f>'14H25'!K46</f>
        <v>105278</v>
      </c>
      <c r="K48" s="75">
        <f>'15H26'!K46</f>
        <v>109067</v>
      </c>
      <c r="L48" s="75">
        <f>'16H27'!K46</f>
        <v>117779</v>
      </c>
      <c r="M48" s="75">
        <f>'17H28'!K46</f>
        <v>112243</v>
      </c>
      <c r="N48" s="75">
        <f>'18H29'!K46</f>
        <v>101244</v>
      </c>
      <c r="O48" s="75">
        <f>'19H30'!K46</f>
        <v>102377</v>
      </c>
      <c r="P48" s="75">
        <f>'20R1'!K46</f>
        <v>102106</v>
      </c>
      <c r="Q48" s="75">
        <f>'21R2'!K46</f>
        <v>97863</v>
      </c>
      <c r="R48" s="75">
        <f>'22R3'!K46</f>
        <v>98857</v>
      </c>
      <c r="S48" s="75">
        <f>'23R4'!K46</f>
        <v>105237</v>
      </c>
      <c r="T48" s="75">
        <f>'24R5'!K46</f>
        <v>100404</v>
      </c>
      <c r="U48" s="75">
        <f>'25R6'!C46</f>
        <v>158987</v>
      </c>
      <c r="V48" s="75">
        <f>'25R6'!D46</f>
        <v>72393</v>
      </c>
      <c r="W48" s="75">
        <f>'25R6'!E46</f>
        <v>14875</v>
      </c>
      <c r="X48" s="75">
        <f>'25R6'!F46</f>
        <v>23856</v>
      </c>
    </row>
    <row r="49" spans="1:24">
      <c r="A49" s="89">
        <v>212</v>
      </c>
      <c r="B49" s="90" t="s">
        <v>207</v>
      </c>
      <c r="C49" s="75">
        <f>'7H18'!K47</f>
        <v>181670</v>
      </c>
      <c r="D49" s="75">
        <f>'8H19'!K47</f>
        <v>181006</v>
      </c>
      <c r="E49" s="75">
        <f>'9H20'!K47</f>
        <v>189106</v>
      </c>
      <c r="F49" s="75">
        <f>'10H21'!K47</f>
        <v>168070</v>
      </c>
      <c r="G49" s="75">
        <f>'11H22'!K47</f>
        <v>178545</v>
      </c>
      <c r="H49" s="75">
        <f>'12H23'!K47</f>
        <v>183181</v>
      </c>
      <c r="I49" s="75">
        <f>'13H24'!K47</f>
        <v>185240</v>
      </c>
      <c r="J49" s="75">
        <f>'14H25'!K47</f>
        <v>195337</v>
      </c>
      <c r="K49" s="75">
        <f>'15H26'!K47</f>
        <v>197423</v>
      </c>
      <c r="L49" s="75">
        <f>'16H27'!K47</f>
        <v>199507</v>
      </c>
      <c r="M49" s="75">
        <f>'17H28'!K47</f>
        <v>195289</v>
      </c>
      <c r="N49" s="75">
        <f>'18H29'!K47</f>
        <v>189033</v>
      </c>
      <c r="O49" s="75">
        <f>'19H30'!K47</f>
        <v>184828</v>
      </c>
      <c r="P49" s="75">
        <f>'20R1'!K47</f>
        <v>199554</v>
      </c>
      <c r="Q49" s="75">
        <f>'21R2'!K47</f>
        <v>184810</v>
      </c>
      <c r="R49" s="75">
        <f>'22R3'!K47</f>
        <v>180640</v>
      </c>
      <c r="S49" s="75">
        <f>'23R4'!K47</f>
        <v>205652</v>
      </c>
      <c r="T49" s="75">
        <f>'24R5'!K47</f>
        <v>201369</v>
      </c>
      <c r="U49" s="75">
        <f>'25R6'!C47</f>
        <v>259247</v>
      </c>
      <c r="V49" s="75">
        <f>'25R6'!D47</f>
        <v>119516</v>
      </c>
      <c r="W49" s="75">
        <f>'25R6'!E47</f>
        <v>26830</v>
      </c>
      <c r="X49" s="75">
        <f>'25R6'!F47</f>
        <v>69006</v>
      </c>
    </row>
    <row r="50" spans="1:24">
      <c r="A50" s="89">
        <v>227</v>
      </c>
      <c r="B50" s="90" t="s">
        <v>219</v>
      </c>
      <c r="C50" s="75">
        <f>'7H18'!K48</f>
        <v>122648</v>
      </c>
      <c r="D50" s="75">
        <f>'8H19'!K48</f>
        <v>123436</v>
      </c>
      <c r="E50" s="75">
        <f>'9H20'!K48</f>
        <v>120407</v>
      </c>
      <c r="F50" s="75">
        <f>'10H21'!K48</f>
        <v>126429</v>
      </c>
      <c r="G50" s="75">
        <f>'11H22'!K48</f>
        <v>123207</v>
      </c>
      <c r="H50" s="75">
        <f>'12H23'!K48</f>
        <v>125203</v>
      </c>
      <c r="I50" s="75">
        <f>'13H24'!K48</f>
        <v>123193</v>
      </c>
      <c r="J50" s="75">
        <f>'14H25'!K48</f>
        <v>124012</v>
      </c>
      <c r="K50" s="75">
        <f>'15H26'!K48</f>
        <v>122243</v>
      </c>
      <c r="L50" s="75">
        <f>'16H27'!K48</f>
        <v>122509</v>
      </c>
      <c r="M50" s="75">
        <f>'17H28'!K48</f>
        <v>118693</v>
      </c>
      <c r="N50" s="75">
        <f>'18H29'!K48</f>
        <v>118605</v>
      </c>
      <c r="O50" s="75">
        <f>'19H30'!K48</f>
        <v>126732</v>
      </c>
      <c r="P50" s="75">
        <f>'20R1'!K48</f>
        <v>129201</v>
      </c>
      <c r="Q50" s="75">
        <f>'21R2'!K48</f>
        <v>115812</v>
      </c>
      <c r="R50" s="75">
        <f>'22R3'!K48</f>
        <v>116427</v>
      </c>
      <c r="S50" s="75">
        <f>'23R4'!K48</f>
        <v>128937</v>
      </c>
      <c r="T50" s="75">
        <f>'24R5'!K48</f>
        <v>121254</v>
      </c>
      <c r="U50" s="75">
        <f>'25R6'!C48</f>
        <v>147355</v>
      </c>
      <c r="V50" s="75">
        <f>'25R6'!D48</f>
        <v>80450</v>
      </c>
      <c r="W50" s="75">
        <f>'25R6'!E48</f>
        <v>26343</v>
      </c>
      <c r="X50" s="75">
        <f>'25R6'!F48</f>
        <v>26050</v>
      </c>
    </row>
    <row r="51" spans="1:24">
      <c r="A51" s="89">
        <v>229</v>
      </c>
      <c r="B51" s="90" t="s">
        <v>235</v>
      </c>
      <c r="C51" s="75">
        <f>'7H18'!K49</f>
        <v>265871</v>
      </c>
      <c r="D51" s="75">
        <f>'8H19'!K49</f>
        <v>275619</v>
      </c>
      <c r="E51" s="75">
        <f>'9H20'!K49</f>
        <v>263268</v>
      </c>
      <c r="F51" s="75">
        <f>'10H21'!K49</f>
        <v>244441</v>
      </c>
      <c r="G51" s="75">
        <f>'11H22'!K49</f>
        <v>243345</v>
      </c>
      <c r="H51" s="75">
        <f>'12H23'!K49</f>
        <v>258785</v>
      </c>
      <c r="I51" s="75">
        <f>'13H24'!K49</f>
        <v>256805</v>
      </c>
      <c r="J51" s="75">
        <f>'14H25'!K49</f>
        <v>244343</v>
      </c>
      <c r="K51" s="75">
        <f>'15H26'!K49</f>
        <v>242225</v>
      </c>
      <c r="L51" s="75">
        <f>'16H27'!K49</f>
        <v>263553</v>
      </c>
      <c r="M51" s="75">
        <f>'17H28'!K49</f>
        <v>260717</v>
      </c>
      <c r="N51" s="75">
        <f>'18H29'!K49</f>
        <v>243775</v>
      </c>
      <c r="O51" s="75">
        <f>'19H30'!K49</f>
        <v>258428</v>
      </c>
      <c r="P51" s="75">
        <f>'20R1'!K49</f>
        <v>267260</v>
      </c>
      <c r="Q51" s="75">
        <f>'21R2'!K49</f>
        <v>254033</v>
      </c>
      <c r="R51" s="75">
        <f>'22R3'!K49</f>
        <v>252102</v>
      </c>
      <c r="S51" s="75">
        <f>'23R4'!K49</f>
        <v>282996</v>
      </c>
      <c r="T51" s="75">
        <f>'24R5'!K49</f>
        <v>253436</v>
      </c>
      <c r="U51" s="75">
        <f>'25R6'!C49</f>
        <v>351658</v>
      </c>
      <c r="V51" s="75">
        <f>'25R6'!D49</f>
        <v>171190</v>
      </c>
      <c r="W51" s="75">
        <f>'25R6'!E49</f>
        <v>34350</v>
      </c>
      <c r="X51" s="75">
        <f>'25R6'!F49</f>
        <v>87114</v>
      </c>
    </row>
    <row r="52" spans="1:24">
      <c r="A52" s="89">
        <v>464</v>
      </c>
      <c r="B52" s="90" t="s">
        <v>208</v>
      </c>
      <c r="C52" s="75">
        <f>'7H18'!K50</f>
        <v>153771</v>
      </c>
      <c r="D52" s="75">
        <f>'8H19'!K50</f>
        <v>110892</v>
      </c>
      <c r="E52" s="75">
        <f>'9H20'!K50</f>
        <v>106651</v>
      </c>
      <c r="F52" s="75">
        <f>'10H21'!K50</f>
        <v>95936</v>
      </c>
      <c r="G52" s="75">
        <f>'11H22'!K50</f>
        <v>95450</v>
      </c>
      <c r="H52" s="75">
        <f>'12H23'!K50</f>
        <v>102083</v>
      </c>
      <c r="I52" s="75">
        <f>'13H24'!K50</f>
        <v>107987</v>
      </c>
      <c r="J52" s="75">
        <f>'14H25'!K50</f>
        <v>102487</v>
      </c>
      <c r="K52" s="75">
        <f>'15H26'!K50</f>
        <v>96805</v>
      </c>
      <c r="L52" s="75">
        <f>'16H27'!K50</f>
        <v>110516</v>
      </c>
      <c r="M52" s="75">
        <f>'17H28'!K50</f>
        <v>101356</v>
      </c>
      <c r="N52" s="75">
        <f>'18H29'!K50</f>
        <v>104316</v>
      </c>
      <c r="O52" s="75">
        <f>'19H30'!K50</f>
        <v>109566</v>
      </c>
      <c r="P52" s="75">
        <f>'20R1'!K50</f>
        <v>115221</v>
      </c>
      <c r="Q52" s="75">
        <f>'21R2'!K50</f>
        <v>97695</v>
      </c>
      <c r="R52" s="75">
        <f>'22R3'!K50</f>
        <v>97138</v>
      </c>
      <c r="S52" s="75">
        <f>'23R4'!K50</f>
        <v>165664</v>
      </c>
      <c r="T52" s="75">
        <f>'24R5'!K50</f>
        <v>142178</v>
      </c>
      <c r="U52" s="75">
        <f>'25R6'!C50</f>
        <v>116736</v>
      </c>
      <c r="V52" s="75">
        <f>'25R6'!D50</f>
        <v>83263</v>
      </c>
      <c r="W52" s="75">
        <f>'25R6'!E50</f>
        <v>13392</v>
      </c>
      <c r="X52" s="75">
        <f>'25R6'!F50</f>
        <v>37616</v>
      </c>
    </row>
    <row r="53" spans="1:24">
      <c r="A53" s="89">
        <v>481</v>
      </c>
      <c r="B53" s="90" t="s">
        <v>209</v>
      </c>
      <c r="C53" s="75">
        <f>'7H18'!K51</f>
        <v>54768</v>
      </c>
      <c r="D53" s="75">
        <f>'8H19'!K51</f>
        <v>55683</v>
      </c>
      <c r="E53" s="75">
        <f>'9H20'!K51</f>
        <v>53140</v>
      </c>
      <c r="F53" s="75">
        <f>'10H21'!K51</f>
        <v>51422</v>
      </c>
      <c r="G53" s="75">
        <f>'11H22'!K51</f>
        <v>50445</v>
      </c>
      <c r="H53" s="75">
        <f>'12H23'!K51</f>
        <v>51430</v>
      </c>
      <c r="I53" s="75">
        <f>'13H24'!K51</f>
        <v>54529</v>
      </c>
      <c r="J53" s="75">
        <f>'14H25'!K51</f>
        <v>53221</v>
      </c>
      <c r="K53" s="75">
        <f>'15H26'!K51</f>
        <v>51532</v>
      </c>
      <c r="L53" s="75">
        <f>'16H27'!K51</f>
        <v>52038</v>
      </c>
      <c r="M53" s="75">
        <f>'17H28'!K51</f>
        <v>48362</v>
      </c>
      <c r="N53" s="75">
        <f>'18H29'!K51</f>
        <v>51743</v>
      </c>
      <c r="O53" s="75">
        <f>'19H30'!K51</f>
        <v>50358</v>
      </c>
      <c r="P53" s="75">
        <f>'20R1'!K51</f>
        <v>53946</v>
      </c>
      <c r="Q53" s="75">
        <f>'21R2'!K51</f>
        <v>48922</v>
      </c>
      <c r="R53" s="75">
        <f>'22R3'!K51</f>
        <v>49537</v>
      </c>
      <c r="S53" s="75">
        <f>'23R4'!K51</f>
        <v>49990</v>
      </c>
      <c r="T53" s="75">
        <f>'24R5'!K51</f>
        <v>50449</v>
      </c>
      <c r="U53" s="75">
        <f>'25R6'!C51</f>
        <v>62065</v>
      </c>
      <c r="V53" s="75">
        <f>'25R6'!D51</f>
        <v>34381</v>
      </c>
      <c r="W53" s="75">
        <f>'25R6'!E51</f>
        <v>9644</v>
      </c>
      <c r="X53" s="75">
        <f>'25R6'!F51</f>
        <v>13604</v>
      </c>
    </row>
    <row r="54" spans="1:24">
      <c r="A54" s="89">
        <v>501</v>
      </c>
      <c r="B54" s="90" t="s">
        <v>236</v>
      </c>
      <c r="C54" s="75">
        <f>'7H18'!K52</f>
        <v>66824</v>
      </c>
      <c r="D54" s="75">
        <f>'8H19'!K52</f>
        <v>64535</v>
      </c>
      <c r="E54" s="75">
        <f>'9H20'!K52</f>
        <v>64141</v>
      </c>
      <c r="F54" s="75">
        <f>'10H21'!K52</f>
        <v>74030</v>
      </c>
      <c r="G54" s="75">
        <f>'11H22'!K52</f>
        <v>70846</v>
      </c>
      <c r="H54" s="75">
        <f>'12H23'!K52</f>
        <v>69291</v>
      </c>
      <c r="I54" s="75">
        <f>'13H24'!K52</f>
        <v>67612</v>
      </c>
      <c r="J54" s="75">
        <f>'14H25'!K52</f>
        <v>65083</v>
      </c>
      <c r="K54" s="75">
        <f>'15H26'!K52</f>
        <v>63559</v>
      </c>
      <c r="L54" s="75">
        <f>'16H27'!K52</f>
        <v>63733</v>
      </c>
      <c r="M54" s="75">
        <f>'17H28'!K52</f>
        <v>60516</v>
      </c>
      <c r="N54" s="75">
        <f>'18H29'!K52</f>
        <v>58456</v>
      </c>
      <c r="O54" s="75">
        <f>'19H30'!K52</f>
        <v>60604</v>
      </c>
      <c r="P54" s="75">
        <f>'20R1'!K52</f>
        <v>63036</v>
      </c>
      <c r="Q54" s="75">
        <f>'21R2'!K52</f>
        <v>59433</v>
      </c>
      <c r="R54" s="75">
        <f>'22R3'!K52</f>
        <v>56373</v>
      </c>
      <c r="S54" s="75">
        <f>'23R4'!K52</f>
        <v>59150</v>
      </c>
      <c r="T54" s="75">
        <f>'24R5'!K52</f>
        <v>58036</v>
      </c>
      <c r="U54" s="75">
        <f>'25R6'!C52</f>
        <v>75426</v>
      </c>
      <c r="V54" s="75">
        <f>'25R6'!D52</f>
        <v>36422</v>
      </c>
      <c r="W54" s="75">
        <f>'25R6'!E52</f>
        <v>15023</v>
      </c>
      <c r="X54" s="75">
        <f>'25R6'!F52</f>
        <v>11338</v>
      </c>
    </row>
    <row r="55" spans="1:24">
      <c r="A55" s="89">
        <v>7</v>
      </c>
      <c r="B55" s="93" t="s">
        <v>210</v>
      </c>
      <c r="C55" s="75">
        <f>'7H18'!K53</f>
        <v>668582</v>
      </c>
      <c r="D55" s="75">
        <f>'8H19'!K53</f>
        <v>648584</v>
      </c>
      <c r="E55" s="75">
        <f>'9H20'!K53</f>
        <v>635682</v>
      </c>
      <c r="F55" s="75">
        <f>'10H21'!K53</f>
        <v>615730</v>
      </c>
      <c r="G55" s="75">
        <f>'11H22'!K53</f>
        <v>598298</v>
      </c>
      <c r="H55" s="75">
        <f>'12H23'!K53</f>
        <v>647388</v>
      </c>
      <c r="I55" s="75">
        <f>'13H24'!K53</f>
        <v>649666</v>
      </c>
      <c r="J55" s="75">
        <f>'14H25'!K53</f>
        <v>645686</v>
      </c>
      <c r="K55" s="75">
        <f>'15H26'!K53</f>
        <v>641760</v>
      </c>
      <c r="L55" s="75">
        <f>'16H27'!K53</f>
        <v>645594</v>
      </c>
      <c r="M55" s="75">
        <f>'17H28'!K53</f>
        <v>632982</v>
      </c>
      <c r="N55" s="75">
        <f>'18H29'!K53</f>
        <v>688611</v>
      </c>
      <c r="O55" s="75">
        <f>'19H30'!K53</f>
        <v>625623</v>
      </c>
      <c r="P55" s="75">
        <f>'20R1'!K53</f>
        <v>641641</v>
      </c>
      <c r="Q55" s="75">
        <f>'21R2'!K53</f>
        <v>586691</v>
      </c>
      <c r="R55" s="75">
        <f>'22R3'!K53</f>
        <v>604859</v>
      </c>
      <c r="S55" s="75">
        <f>'23R4'!K53</f>
        <v>656109</v>
      </c>
      <c r="T55" s="75">
        <f>'24R5'!K53</f>
        <v>615481</v>
      </c>
      <c r="U55" s="75">
        <f>'25R6'!C53</f>
        <v>769839</v>
      </c>
      <c r="V55" s="75">
        <f>'25R6'!D53</f>
        <v>404610</v>
      </c>
      <c r="W55" s="75">
        <f>'25R6'!E53</f>
        <v>135377</v>
      </c>
      <c r="X55" s="75">
        <f>'25R6'!F53</f>
        <v>151037</v>
      </c>
    </row>
    <row r="56" spans="1:24">
      <c r="A56" s="89">
        <v>209</v>
      </c>
      <c r="B56" s="90" t="s">
        <v>221</v>
      </c>
      <c r="C56" s="75">
        <f>'7H18'!K54</f>
        <v>311759</v>
      </c>
      <c r="D56" s="75">
        <f>'8H19'!K54</f>
        <v>300819</v>
      </c>
      <c r="E56" s="75">
        <f>'9H20'!K54</f>
        <v>298045</v>
      </c>
      <c r="F56" s="75">
        <f>'10H21'!K54</f>
        <v>286766</v>
      </c>
      <c r="G56" s="75">
        <f>'11H22'!K54</f>
        <v>268777</v>
      </c>
      <c r="H56" s="75">
        <f>'12H23'!K54</f>
        <v>307878</v>
      </c>
      <c r="I56" s="75">
        <f>'13H24'!K54</f>
        <v>311074</v>
      </c>
      <c r="J56" s="75">
        <f>'14H25'!K54</f>
        <v>303276</v>
      </c>
      <c r="K56" s="75">
        <f>'15H26'!K54</f>
        <v>294283</v>
      </c>
      <c r="L56" s="75">
        <f>'16H27'!K54</f>
        <v>298854</v>
      </c>
      <c r="M56" s="75">
        <f>'17H28'!K54</f>
        <v>297558</v>
      </c>
      <c r="N56" s="75">
        <f>'18H29'!K54</f>
        <v>288285</v>
      </c>
      <c r="O56" s="75">
        <f>'19H30'!K54</f>
        <v>293505</v>
      </c>
      <c r="P56" s="75">
        <f>'20R1'!K54</f>
        <v>304074</v>
      </c>
      <c r="Q56" s="75">
        <f>'21R2'!K54</f>
        <v>274654</v>
      </c>
      <c r="R56" s="75">
        <f>'22R3'!K54</f>
        <v>287750</v>
      </c>
      <c r="S56" s="75">
        <f>'23R4'!K54</f>
        <v>317817</v>
      </c>
      <c r="T56" s="75">
        <f>'24R5'!K54</f>
        <v>290857</v>
      </c>
      <c r="U56" s="75">
        <f>'25R6'!C54</f>
        <v>357473</v>
      </c>
      <c r="V56" s="75">
        <f>'25R6'!D54</f>
        <v>200747</v>
      </c>
      <c r="W56" s="75">
        <f>'25R6'!E54</f>
        <v>55534</v>
      </c>
      <c r="X56" s="75">
        <f>'25R6'!F54</f>
        <v>64684</v>
      </c>
    </row>
    <row r="57" spans="1:24">
      <c r="A57" s="89">
        <v>222</v>
      </c>
      <c r="B57" s="90" t="s">
        <v>218</v>
      </c>
      <c r="C57" s="75">
        <f>'7H18'!K55</f>
        <v>98093</v>
      </c>
      <c r="D57" s="75">
        <f>'8H19'!K55</f>
        <v>96732</v>
      </c>
      <c r="E57" s="75">
        <f>'9H20'!K55</f>
        <v>93802</v>
      </c>
      <c r="F57" s="75">
        <f>'10H21'!K55</f>
        <v>93871</v>
      </c>
      <c r="G57" s="75">
        <f>'11H22'!K55</f>
        <v>92137</v>
      </c>
      <c r="H57" s="75">
        <f>'12H23'!K55</f>
        <v>94641</v>
      </c>
      <c r="I57" s="75">
        <f>'13H24'!K55</f>
        <v>92348</v>
      </c>
      <c r="J57" s="75">
        <f>'14H25'!K55</f>
        <v>89265</v>
      </c>
      <c r="K57" s="75">
        <f>'15H26'!K55</f>
        <v>96076</v>
      </c>
      <c r="L57" s="75">
        <f>'16H27'!K55</f>
        <v>95487</v>
      </c>
      <c r="M57" s="75">
        <f>'17H28'!K55</f>
        <v>90806</v>
      </c>
      <c r="N57" s="75">
        <f>'18H29'!K55</f>
        <v>88025</v>
      </c>
      <c r="O57" s="75">
        <f>'19H30'!K55</f>
        <v>91091</v>
      </c>
      <c r="P57" s="75">
        <f>'20R1'!K55</f>
        <v>89033</v>
      </c>
      <c r="Q57" s="75">
        <f>'21R2'!K55</f>
        <v>87568</v>
      </c>
      <c r="R57" s="75">
        <f>'22R3'!K55</f>
        <v>88770</v>
      </c>
      <c r="S57" s="75">
        <f>'23R4'!K55</f>
        <v>88907</v>
      </c>
      <c r="T57" s="75">
        <f>'24R5'!K55</f>
        <v>86197</v>
      </c>
      <c r="U57" s="75">
        <f>'25R6'!C55</f>
        <v>105326</v>
      </c>
      <c r="V57" s="75">
        <f>'25R6'!D55</f>
        <v>54964</v>
      </c>
      <c r="W57" s="75">
        <f>'25R6'!E55</f>
        <v>22421</v>
      </c>
      <c r="X57" s="75">
        <f>'25R6'!F55</f>
        <v>20723</v>
      </c>
    </row>
    <row r="58" spans="1:24">
      <c r="A58" s="89">
        <v>225</v>
      </c>
      <c r="B58" s="90" t="s">
        <v>222</v>
      </c>
      <c r="C58" s="75">
        <f>'7H18'!K56</f>
        <v>135899</v>
      </c>
      <c r="D58" s="75">
        <f>'8H19'!K56</f>
        <v>129414</v>
      </c>
      <c r="E58" s="75">
        <f>'9H20'!K56</f>
        <v>125076</v>
      </c>
      <c r="F58" s="75">
        <f>'10H21'!K56</f>
        <v>118437</v>
      </c>
      <c r="G58" s="75">
        <f>'11H22'!K56</f>
        <v>124022</v>
      </c>
      <c r="H58" s="75">
        <f>'12H23'!K56</f>
        <v>126082</v>
      </c>
      <c r="I58" s="75">
        <f>'13H24'!K56</f>
        <v>125079</v>
      </c>
      <c r="J58" s="75">
        <f>'14H25'!K56</f>
        <v>128477</v>
      </c>
      <c r="K58" s="75">
        <f>'15H26'!K56</f>
        <v>129973</v>
      </c>
      <c r="L58" s="75">
        <f>'16H27'!K56</f>
        <v>130956</v>
      </c>
      <c r="M58" s="75">
        <f>'17H28'!K56</f>
        <v>129736</v>
      </c>
      <c r="N58" s="75">
        <f>'18H29'!K56</f>
        <v>192011</v>
      </c>
      <c r="O58" s="75">
        <f>'19H30'!K56</f>
        <v>121087</v>
      </c>
      <c r="P58" s="75">
        <f>'20R1'!K56</f>
        <v>125374</v>
      </c>
      <c r="Q58" s="75">
        <f>'21R2'!K56</f>
        <v>108159</v>
      </c>
      <c r="R58" s="75">
        <f>'22R3'!K56</f>
        <v>113224</v>
      </c>
      <c r="S58" s="75">
        <f>'23R4'!K56</f>
        <v>127904</v>
      </c>
      <c r="T58" s="75">
        <f>'24R5'!K56</f>
        <v>117812</v>
      </c>
      <c r="U58" s="75">
        <f>'25R6'!C56</f>
        <v>172010</v>
      </c>
      <c r="V58" s="75">
        <f>'25R6'!D56</f>
        <v>76778</v>
      </c>
      <c r="W58" s="75">
        <f>'25R6'!E56</f>
        <v>24267</v>
      </c>
      <c r="X58" s="75">
        <f>'25R6'!F56</f>
        <v>44044</v>
      </c>
    </row>
    <row r="59" spans="1:24">
      <c r="A59" s="89">
        <v>585</v>
      </c>
      <c r="B59" s="90" t="s">
        <v>220</v>
      </c>
      <c r="C59" s="75">
        <f>'7H18'!K57</f>
        <v>66507</v>
      </c>
      <c r="D59" s="75">
        <f>'8H19'!K57</f>
        <v>66208</v>
      </c>
      <c r="E59" s="75">
        <f>'9H20'!K57</f>
        <v>65012</v>
      </c>
      <c r="F59" s="75">
        <f>'10H21'!K57</f>
        <v>62342</v>
      </c>
      <c r="G59" s="75">
        <f>'11H22'!K57</f>
        <v>61355</v>
      </c>
      <c r="H59" s="75">
        <f>'12H23'!K57</f>
        <v>64718</v>
      </c>
      <c r="I59" s="75">
        <f>'13H24'!K57</f>
        <v>67058</v>
      </c>
      <c r="J59" s="75">
        <f>'14H25'!K57</f>
        <v>68010</v>
      </c>
      <c r="K59" s="75">
        <f>'15H26'!K57</f>
        <v>67589</v>
      </c>
      <c r="L59" s="75">
        <f>'16H27'!K57</f>
        <v>66158</v>
      </c>
      <c r="M59" s="75">
        <f>'17H28'!K57</f>
        <v>63376</v>
      </c>
      <c r="N59" s="75">
        <f>'18H29'!K57</f>
        <v>66823</v>
      </c>
      <c r="O59" s="75">
        <f>'19H30'!K57</f>
        <v>67967</v>
      </c>
      <c r="P59" s="75">
        <f>'20R1'!K57</f>
        <v>66063</v>
      </c>
      <c r="Q59" s="75">
        <f>'21R2'!K57</f>
        <v>63073</v>
      </c>
      <c r="R59" s="75">
        <f>'22R3'!K57</f>
        <v>64168</v>
      </c>
      <c r="S59" s="75">
        <f>'23R4'!K57</f>
        <v>66053</v>
      </c>
      <c r="T59" s="75">
        <f>'24R5'!K57</f>
        <v>63866</v>
      </c>
      <c r="U59" s="75">
        <f>'25R6'!C57</f>
        <v>74306</v>
      </c>
      <c r="V59" s="75">
        <f>'25R6'!D57</f>
        <v>39140</v>
      </c>
      <c r="W59" s="75">
        <f>'25R6'!E57</f>
        <v>17678</v>
      </c>
      <c r="X59" s="75">
        <f>'25R6'!F57</f>
        <v>11955</v>
      </c>
    </row>
    <row r="60" spans="1:24">
      <c r="A60" s="89">
        <v>586</v>
      </c>
      <c r="B60" s="90" t="s">
        <v>237</v>
      </c>
      <c r="C60" s="75">
        <f>'7H18'!K58</f>
        <v>56324</v>
      </c>
      <c r="D60" s="75">
        <f>'8H19'!K58</f>
        <v>55411</v>
      </c>
      <c r="E60" s="75">
        <f>'9H20'!K58</f>
        <v>53747</v>
      </c>
      <c r="F60" s="75">
        <f>'10H21'!K58</f>
        <v>54314</v>
      </c>
      <c r="G60" s="75">
        <f>'11H22'!K58</f>
        <v>52007</v>
      </c>
      <c r="H60" s="75">
        <f>'12H23'!K58</f>
        <v>54069</v>
      </c>
      <c r="I60" s="75">
        <f>'13H24'!K58</f>
        <v>54107</v>
      </c>
      <c r="J60" s="75">
        <f>'14H25'!K58</f>
        <v>56658</v>
      </c>
      <c r="K60" s="75">
        <f>'15H26'!K58</f>
        <v>53839</v>
      </c>
      <c r="L60" s="75">
        <f>'16H27'!K58</f>
        <v>54139</v>
      </c>
      <c r="M60" s="75">
        <f>'17H28'!K58</f>
        <v>51506</v>
      </c>
      <c r="N60" s="75">
        <f>'18H29'!K58</f>
        <v>53467</v>
      </c>
      <c r="O60" s="75">
        <f>'19H30'!K58</f>
        <v>51973</v>
      </c>
      <c r="P60" s="75">
        <f>'20R1'!K58</f>
        <v>57097</v>
      </c>
      <c r="Q60" s="75">
        <f>'21R2'!K58</f>
        <v>53237</v>
      </c>
      <c r="R60" s="75">
        <f>'22R3'!K58</f>
        <v>50947</v>
      </c>
      <c r="S60" s="75">
        <f>'23R4'!K58</f>
        <v>55428</v>
      </c>
      <c r="T60" s="75">
        <f>'24R5'!K58</f>
        <v>56749</v>
      </c>
      <c r="U60" s="75">
        <f>'25R6'!C58</f>
        <v>60724</v>
      </c>
      <c r="V60" s="75">
        <f>'25R6'!D58</f>
        <v>32981</v>
      </c>
      <c r="W60" s="75">
        <f>'25R6'!E58</f>
        <v>15477</v>
      </c>
      <c r="X60" s="75">
        <f>'25R6'!F58</f>
        <v>9631</v>
      </c>
    </row>
    <row r="61" spans="1:24">
      <c r="A61" s="92">
        <v>8</v>
      </c>
      <c r="B61" s="86" t="s">
        <v>211</v>
      </c>
      <c r="C61" s="75">
        <f>'7H18'!K59</f>
        <v>386678</v>
      </c>
      <c r="D61" s="75">
        <f>'8H19'!K59</f>
        <v>388172</v>
      </c>
      <c r="E61" s="75">
        <f>'9H20'!K59</f>
        <v>378046</v>
      </c>
      <c r="F61" s="75">
        <f>'10H21'!K59</f>
        <v>354205</v>
      </c>
      <c r="G61" s="75">
        <f>'11H22'!K59</f>
        <v>356721</v>
      </c>
      <c r="H61" s="75">
        <f>'12H23'!K59</f>
        <v>362280</v>
      </c>
      <c r="I61" s="75">
        <f>'13H24'!K59</f>
        <v>364673</v>
      </c>
      <c r="J61" s="75">
        <f>'14H25'!K59</f>
        <v>375013</v>
      </c>
      <c r="K61" s="75">
        <f>'15H26'!K59</f>
        <v>418486</v>
      </c>
      <c r="L61" s="75">
        <f>'16H27'!K59</f>
        <v>426709</v>
      </c>
      <c r="M61" s="75">
        <f>'17H28'!K59</f>
        <v>383348</v>
      </c>
      <c r="N61" s="75">
        <f>'18H29'!K59</f>
        <v>374635</v>
      </c>
      <c r="O61" s="75">
        <f>'19H30'!K59</f>
        <v>403559</v>
      </c>
      <c r="P61" s="75">
        <f>'20R1'!K59</f>
        <v>407098</v>
      </c>
      <c r="Q61" s="75">
        <f>'21R2'!K59</f>
        <v>376018</v>
      </c>
      <c r="R61" s="75">
        <f>'22R3'!K59</f>
        <v>385241</v>
      </c>
      <c r="S61" s="75">
        <f>'23R4'!K59</f>
        <v>424796</v>
      </c>
      <c r="T61" s="75">
        <f>'24R5'!K59</f>
        <v>388745</v>
      </c>
      <c r="U61" s="75">
        <f>'25R6'!C59</f>
        <v>508863</v>
      </c>
      <c r="V61" s="75">
        <f>'25R6'!D59</f>
        <v>263937</v>
      </c>
      <c r="W61" s="75">
        <f>'25R6'!E59</f>
        <v>76937</v>
      </c>
      <c r="X61" s="75">
        <f>'25R6'!F59</f>
        <v>97987</v>
      </c>
    </row>
    <row r="62" spans="1:24">
      <c r="A62" s="89">
        <v>221</v>
      </c>
      <c r="B62" s="90" t="s">
        <v>1144</v>
      </c>
      <c r="C62" s="75">
        <f>'7H18'!K60</f>
        <v>159334</v>
      </c>
      <c r="D62" s="75">
        <f>'8H19'!K60</f>
        <v>153563</v>
      </c>
      <c r="E62" s="75">
        <f>'9H20'!K60</f>
        <v>148444</v>
      </c>
      <c r="F62" s="75">
        <f>'10H21'!K60</f>
        <v>142219</v>
      </c>
      <c r="G62" s="75">
        <f>'11H22'!K60</f>
        <v>143631</v>
      </c>
      <c r="H62" s="75">
        <f>'12H23'!K60</f>
        <v>146911</v>
      </c>
      <c r="I62" s="75">
        <f>'13H24'!K60</f>
        <v>145633</v>
      </c>
      <c r="J62" s="75">
        <f>'14H25'!K60</f>
        <v>151239</v>
      </c>
      <c r="K62" s="75">
        <f>'15H26'!K60</f>
        <v>150610</v>
      </c>
      <c r="L62" s="75">
        <f>'16H27'!K60</f>
        <v>154955</v>
      </c>
      <c r="M62" s="75">
        <f>'17H28'!K60</f>
        <v>147182</v>
      </c>
      <c r="N62" s="75">
        <f>'18H29'!K60</f>
        <v>149535</v>
      </c>
      <c r="O62" s="75">
        <f>'19H30'!K60</f>
        <v>159850</v>
      </c>
      <c r="P62" s="75">
        <f>'20R1'!K60</f>
        <v>165211</v>
      </c>
      <c r="Q62" s="75">
        <f>'21R2'!K60</f>
        <v>147179</v>
      </c>
      <c r="R62" s="75">
        <f>'22R3'!K60</f>
        <v>154288</v>
      </c>
      <c r="S62" s="75">
        <f>'23R4'!K60</f>
        <v>163975</v>
      </c>
      <c r="T62" s="75">
        <f>'24R5'!K60</f>
        <v>156297</v>
      </c>
      <c r="U62" s="75">
        <f>'25R6'!C60</f>
        <v>218973</v>
      </c>
      <c r="V62" s="75">
        <f>'25R6'!D60</f>
        <v>108074</v>
      </c>
      <c r="W62" s="75">
        <f>'25R6'!E60</f>
        <v>34062</v>
      </c>
      <c r="X62" s="75">
        <f>'25R6'!F60</f>
        <v>38994</v>
      </c>
    </row>
    <row r="63" spans="1:24">
      <c r="A63" s="89">
        <v>223</v>
      </c>
      <c r="B63" s="90" t="s">
        <v>223</v>
      </c>
      <c r="C63" s="75">
        <f>'7H18'!K61</f>
        <v>227344</v>
      </c>
      <c r="D63" s="75">
        <f>'8H19'!K61</f>
        <v>234609</v>
      </c>
      <c r="E63" s="75">
        <f>'9H20'!K61</f>
        <v>229602</v>
      </c>
      <c r="F63" s="75">
        <f>'10H21'!K61</f>
        <v>211986</v>
      </c>
      <c r="G63" s="75">
        <f>'11H22'!K61</f>
        <v>213090</v>
      </c>
      <c r="H63" s="75">
        <f>'12H23'!K61</f>
        <v>215369</v>
      </c>
      <c r="I63" s="75">
        <f>'13H24'!K61</f>
        <v>219040</v>
      </c>
      <c r="J63" s="75">
        <f>'14H25'!K61</f>
        <v>223774</v>
      </c>
      <c r="K63" s="75">
        <f>'15H26'!K61</f>
        <v>267876</v>
      </c>
      <c r="L63" s="75">
        <f>'16H27'!K61</f>
        <v>271754</v>
      </c>
      <c r="M63" s="75">
        <f>'17H28'!K61</f>
        <v>236166</v>
      </c>
      <c r="N63" s="75">
        <f>'18H29'!K61</f>
        <v>225100</v>
      </c>
      <c r="O63" s="75">
        <f>'19H30'!K61</f>
        <v>243709</v>
      </c>
      <c r="P63" s="75">
        <f>'20R1'!K61</f>
        <v>241887</v>
      </c>
      <c r="Q63" s="75">
        <f>'21R2'!K61</f>
        <v>228839</v>
      </c>
      <c r="R63" s="75">
        <f>'22R3'!K61</f>
        <v>230953</v>
      </c>
      <c r="S63" s="75">
        <f>'23R4'!K61</f>
        <v>260821</v>
      </c>
      <c r="T63" s="75">
        <f>'24R5'!K61</f>
        <v>232448</v>
      </c>
      <c r="U63" s="75">
        <f>'25R6'!C61</f>
        <v>289890</v>
      </c>
      <c r="V63" s="75">
        <f>'25R6'!D61</f>
        <v>155863</v>
      </c>
      <c r="W63" s="75">
        <f>'25R6'!E61</f>
        <v>42875</v>
      </c>
      <c r="X63" s="75">
        <f>'25R6'!F61</f>
        <v>58993</v>
      </c>
    </row>
    <row r="64" spans="1:24">
      <c r="A64" s="92">
        <v>9</v>
      </c>
      <c r="B64" s="94" t="s">
        <v>212</v>
      </c>
      <c r="C64" s="75">
        <f>'7H18'!K62</f>
        <v>478672</v>
      </c>
      <c r="D64" s="75">
        <f>'8H19'!K62</f>
        <v>456778</v>
      </c>
      <c r="E64" s="75">
        <f>'9H20'!K62</f>
        <v>449898</v>
      </c>
      <c r="F64" s="75">
        <f>'10H21'!K62</f>
        <v>453462</v>
      </c>
      <c r="G64" s="75">
        <f>'11H22'!K62</f>
        <v>451813</v>
      </c>
      <c r="H64" s="75">
        <f>'12H23'!K62</f>
        <v>451139</v>
      </c>
      <c r="I64" s="75">
        <f>'13H24'!K62</f>
        <v>461288</v>
      </c>
      <c r="J64" s="75">
        <f>'14H25'!K62</f>
        <v>473296</v>
      </c>
      <c r="K64" s="75">
        <f>'15H26'!K62</f>
        <v>458686</v>
      </c>
      <c r="L64" s="75">
        <f>'16H27'!K62</f>
        <v>479966</v>
      </c>
      <c r="M64" s="75">
        <f>'17H28'!K62</f>
        <v>464615</v>
      </c>
      <c r="N64" s="75">
        <f>'18H29'!K62</f>
        <v>463517</v>
      </c>
      <c r="O64" s="75">
        <f>'19H30'!K62</f>
        <v>446463</v>
      </c>
      <c r="P64" s="75">
        <f>'20R1'!K62</f>
        <v>472950</v>
      </c>
      <c r="Q64" s="75">
        <f>'21R2'!K62</f>
        <v>435741</v>
      </c>
      <c r="R64" s="75">
        <f>'22R3'!K62</f>
        <v>486379</v>
      </c>
      <c r="S64" s="75">
        <f>'23R4'!K62</f>
        <v>506743</v>
      </c>
      <c r="T64" s="75">
        <f>'24R5'!K62</f>
        <v>499285</v>
      </c>
      <c r="U64" s="75">
        <f>'25R6'!C62</f>
        <v>570575</v>
      </c>
      <c r="V64" s="75">
        <f>'25R6'!D62</f>
        <v>311413</v>
      </c>
      <c r="W64" s="75">
        <f>'25R6'!E62</f>
        <v>103121</v>
      </c>
      <c r="X64" s="75">
        <f>'25R6'!F62</f>
        <v>110943</v>
      </c>
    </row>
    <row r="65" spans="1:24">
      <c r="A65" s="92">
        <v>205</v>
      </c>
      <c r="B65" s="92" t="s">
        <v>241</v>
      </c>
      <c r="C65" s="75">
        <f>'7H18'!K63</f>
        <v>167747</v>
      </c>
      <c r="D65" s="75">
        <f>'8H19'!K63</f>
        <v>156033</v>
      </c>
      <c r="E65" s="75">
        <f>'9H20'!K63</f>
        <v>156832</v>
      </c>
      <c r="F65" s="75">
        <f>'10H21'!K63</f>
        <v>157039</v>
      </c>
      <c r="G65" s="75">
        <f>'11H22'!K63</f>
        <v>173161</v>
      </c>
      <c r="H65" s="75">
        <f>'12H23'!K63</f>
        <v>152860</v>
      </c>
      <c r="I65" s="75">
        <f>'13H24'!K63</f>
        <v>154917</v>
      </c>
      <c r="J65" s="75">
        <f>'14H25'!K63</f>
        <v>162771</v>
      </c>
      <c r="K65" s="75">
        <f>'15H26'!K63</f>
        <v>149737</v>
      </c>
      <c r="L65" s="75">
        <f>'16H27'!K63</f>
        <v>158060</v>
      </c>
      <c r="M65" s="75">
        <f>'17H28'!K63</f>
        <v>164885</v>
      </c>
      <c r="N65" s="75">
        <f>'18H29'!K63</f>
        <v>165568</v>
      </c>
      <c r="O65" s="75">
        <f>'19H30'!K63</f>
        <v>149974</v>
      </c>
      <c r="P65" s="75">
        <f>'20R1'!K63</f>
        <v>160030</v>
      </c>
      <c r="Q65" s="75">
        <f>'21R2'!K63</f>
        <v>149650</v>
      </c>
      <c r="R65" s="75">
        <f>'22R3'!K63</f>
        <v>175600</v>
      </c>
      <c r="S65" s="75">
        <f>'23R4'!K63</f>
        <v>166401</v>
      </c>
      <c r="T65" s="75">
        <f>'24R5'!K63</f>
        <v>153224</v>
      </c>
      <c r="U65" s="75">
        <f>'25R6'!C63</f>
        <v>200859</v>
      </c>
      <c r="V65" s="75">
        <f>'25R6'!D63</f>
        <v>105906</v>
      </c>
      <c r="W65" s="75">
        <f>'25R6'!E63</f>
        <v>27955</v>
      </c>
      <c r="X65" s="75">
        <f>'25R6'!F63</f>
        <v>42235</v>
      </c>
    </row>
    <row r="66" spans="1:24">
      <c r="A66" s="89">
        <v>224</v>
      </c>
      <c r="B66" s="90" t="s">
        <v>224</v>
      </c>
      <c r="C66" s="75">
        <f>'7H18'!K64</f>
        <v>145844</v>
      </c>
      <c r="D66" s="75">
        <f>'8H19'!K64</f>
        <v>148438</v>
      </c>
      <c r="E66" s="75">
        <f>'9H20'!K64</f>
        <v>147459</v>
      </c>
      <c r="F66" s="75">
        <f>'10H21'!K64</f>
        <v>141505</v>
      </c>
      <c r="G66" s="75">
        <f>'11H22'!K64</f>
        <v>140880</v>
      </c>
      <c r="H66" s="75">
        <f>'12H23'!K64</f>
        <v>145841</v>
      </c>
      <c r="I66" s="75">
        <f>'13H24'!K64</f>
        <v>149392</v>
      </c>
      <c r="J66" s="75">
        <f>'14H25'!K64</f>
        <v>149139</v>
      </c>
      <c r="K66" s="75">
        <f>'15H26'!K64</f>
        <v>155886</v>
      </c>
      <c r="L66" s="75">
        <f>'16H27'!K64</f>
        <v>158672</v>
      </c>
      <c r="M66" s="75">
        <f>'17H28'!K64</f>
        <v>149909</v>
      </c>
      <c r="N66" s="75">
        <f>'18H29'!K64</f>
        <v>147839</v>
      </c>
      <c r="O66" s="75">
        <f>'19H30'!K64</f>
        <v>147454</v>
      </c>
      <c r="P66" s="75">
        <f>'20R1'!K64</f>
        <v>151872</v>
      </c>
      <c r="Q66" s="75">
        <f>'21R2'!K64</f>
        <v>138196</v>
      </c>
      <c r="R66" s="75">
        <f>'22R3'!K64</f>
        <v>150225</v>
      </c>
      <c r="S66" s="75">
        <f>'23R4'!K64</f>
        <v>170256</v>
      </c>
      <c r="T66" s="75">
        <f>'24R5'!K64</f>
        <v>159473</v>
      </c>
      <c r="U66" s="75">
        <f>'25R6'!C64</f>
        <v>186665</v>
      </c>
      <c r="V66" s="75">
        <f>'25R6'!D64</f>
        <v>101304</v>
      </c>
      <c r="W66" s="75">
        <f>'25R6'!E64</f>
        <v>34901</v>
      </c>
      <c r="X66" s="75">
        <f>'25R6'!F64</f>
        <v>31944</v>
      </c>
    </row>
    <row r="67" spans="1:24">
      <c r="A67" s="204">
        <v>226</v>
      </c>
      <c r="B67" s="201" t="s">
        <v>225</v>
      </c>
      <c r="C67" s="132">
        <f>'7H18'!K65</f>
        <v>165081</v>
      </c>
      <c r="D67" s="132">
        <f>'8H19'!K65</f>
        <v>152307</v>
      </c>
      <c r="E67" s="132">
        <f>'9H20'!K65</f>
        <v>145607</v>
      </c>
      <c r="F67" s="132">
        <f>'10H21'!K65</f>
        <v>154918</v>
      </c>
      <c r="G67" s="132">
        <f>'11H22'!K65</f>
        <v>137772</v>
      </c>
      <c r="H67" s="132">
        <f>'12H23'!K65</f>
        <v>152438</v>
      </c>
      <c r="I67" s="132">
        <f>'13H24'!K65</f>
        <v>156979</v>
      </c>
      <c r="J67" s="132">
        <f>'14H25'!K65</f>
        <v>161386</v>
      </c>
      <c r="K67" s="132">
        <f>'15H26'!K65</f>
        <v>153063</v>
      </c>
      <c r="L67" s="132">
        <f>'16H27'!K65</f>
        <v>163234</v>
      </c>
      <c r="M67" s="132">
        <f>'17H28'!K65</f>
        <v>149821</v>
      </c>
      <c r="N67" s="132">
        <f>'18H29'!K65</f>
        <v>150110</v>
      </c>
      <c r="O67" s="132">
        <f>'19H30'!K65</f>
        <v>149035</v>
      </c>
      <c r="P67" s="132">
        <f>'20R1'!K65</f>
        <v>161048</v>
      </c>
      <c r="Q67" s="132">
        <f>'21R2'!K65</f>
        <v>147895</v>
      </c>
      <c r="R67" s="132">
        <f>'22R3'!K65</f>
        <v>160554</v>
      </c>
      <c r="S67" s="132">
        <f>'23R4'!K65</f>
        <v>170086</v>
      </c>
      <c r="T67" s="132">
        <f>'24R5'!K65</f>
        <v>186588</v>
      </c>
      <c r="U67" s="132">
        <f>'25R6'!C65</f>
        <v>183051</v>
      </c>
      <c r="V67" s="132">
        <f>'25R6'!D65</f>
        <v>104203</v>
      </c>
      <c r="W67" s="132">
        <f>'25R6'!E65</f>
        <v>40265</v>
      </c>
      <c r="X67" s="132">
        <f>'25R6'!F65</f>
        <v>36764</v>
      </c>
    </row>
    <row r="68" spans="1:24">
      <c r="A68" s="75" t="s">
        <v>822</v>
      </c>
    </row>
  </sheetData>
  <phoneticPr fontId="13"/>
  <pageMargins left="0.75" right="0.75" top="1" bottom="1" header="0.51200000000000001" footer="0.51200000000000001"/>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tabColor indexed="43"/>
  </sheetPr>
  <dimension ref="A1:X72"/>
  <sheetViews>
    <sheetView workbookViewId="0">
      <pane xSplit="2" ySplit="4" topLeftCell="N54" activePane="bottomRight" state="frozen"/>
      <selection pane="topRight" activeCell="C1" sqref="C1"/>
      <selection pane="bottomLeft" activeCell="A5" sqref="A5"/>
      <selection pane="bottomRight" activeCell="R59" sqref="R59"/>
    </sheetView>
  </sheetViews>
  <sheetFormatPr defaultColWidth="8.7109375" defaultRowHeight="13"/>
  <cols>
    <col min="1" max="1" width="3.7109375" style="75" customWidth="1"/>
    <col min="2" max="16384" width="8.7109375" style="75"/>
  </cols>
  <sheetData>
    <row r="1" spans="1:24">
      <c r="A1" s="86"/>
      <c r="B1" s="65" t="s">
        <v>830</v>
      </c>
      <c r="R1" s="628"/>
      <c r="S1" s="628"/>
      <c r="U1" s="628" t="s">
        <v>948</v>
      </c>
      <c r="V1" s="75" t="s">
        <v>14</v>
      </c>
      <c r="W1" s="75" t="s">
        <v>14</v>
      </c>
      <c r="X1" s="75" t="s">
        <v>14</v>
      </c>
    </row>
    <row r="2" spans="1:24">
      <c r="A2" s="728"/>
      <c r="B2" s="729" t="s">
        <v>319</v>
      </c>
      <c r="C2" s="83">
        <v>2006</v>
      </c>
      <c r="D2" s="83">
        <v>2007</v>
      </c>
      <c r="E2" s="83">
        <v>2008</v>
      </c>
      <c r="F2" s="83">
        <v>2009</v>
      </c>
      <c r="G2" s="83">
        <v>2010</v>
      </c>
      <c r="H2" s="805">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5" t="s">
        <v>750</v>
      </c>
      <c r="F3" s="75" t="s">
        <v>856</v>
      </c>
      <c r="G3" s="75" t="s">
        <v>911</v>
      </c>
      <c r="H3" s="75" t="s">
        <v>96</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1561</v>
      </c>
      <c r="V3" s="75" t="s">
        <v>1603</v>
      </c>
      <c r="W3" s="75" t="s">
        <v>1745</v>
      </c>
      <c r="X3" s="491" t="s">
        <v>1783</v>
      </c>
    </row>
    <row r="4" spans="1:24">
      <c r="A4" s="730"/>
      <c r="B4" s="730" t="s">
        <v>320</v>
      </c>
      <c r="C4" s="73"/>
      <c r="D4" s="73"/>
      <c r="Q4" s="132"/>
      <c r="R4" s="132"/>
      <c r="S4" s="132"/>
      <c r="T4" s="132"/>
      <c r="X4" s="477"/>
    </row>
    <row r="5" spans="1:24">
      <c r="A5" s="895" t="s">
        <v>1303</v>
      </c>
      <c r="B5" s="732"/>
      <c r="C5" s="382">
        <f>+名目県内総支出!H6+名目県内総支出!H22-C6</f>
        <v>741459.4208376389</v>
      </c>
      <c r="D5" s="382">
        <f>+名目県内総支出!I6+名目県内総支出!I22-D6</f>
        <v>785566.43644816801</v>
      </c>
      <c r="E5" s="382">
        <f>+名目県内総支出!J6+名目県内総支出!J22-E6</f>
        <v>756614.61354151554</v>
      </c>
      <c r="F5" s="382">
        <f>+名目県内総支出!K6+名目県内総支出!K22-F6</f>
        <v>721135.72367474064</v>
      </c>
      <c r="G5" s="382">
        <f>+名目県内総支出!L6+名目県内総支出!L22-G6</f>
        <v>734687.10918004438</v>
      </c>
      <c r="H5" s="382">
        <f>+名目県内総支出!M6+名目県内総支出!M22-H6</f>
        <v>726902</v>
      </c>
      <c r="I5" s="382">
        <f>+名目県内総支出!N6+名目県内総支出!N22-I6</f>
        <v>699221</v>
      </c>
      <c r="J5" s="382">
        <f>+名目県内総支出!O6+名目県内総支出!O22-J6</f>
        <v>673147</v>
      </c>
      <c r="K5" s="382">
        <f>+名目県内総支出!P6+名目県内総支出!P22-K6</f>
        <v>685597</v>
      </c>
      <c r="L5" s="382">
        <f>+名目県内総支出!Q6+名目県内総支出!Q22-L6</f>
        <v>672595</v>
      </c>
      <c r="M5" s="382">
        <f>+名目県内総支出!R6+名目県内総支出!R22-M6</f>
        <v>677003</v>
      </c>
      <c r="N5" s="382">
        <f>+名目県内総支出!S6+名目県内総支出!S22-N6</f>
        <v>591619</v>
      </c>
      <c r="O5" s="382">
        <f>+名目県内総支出!T6+名目県内総支出!T22-O6</f>
        <v>604053</v>
      </c>
      <c r="P5" s="382">
        <f>+名目県内総支出!U6+名目県内総支出!U22-P6</f>
        <v>600695</v>
      </c>
      <c r="Q5" s="382">
        <f>+名目県内総支出!V6+名目県内総支出!V22-Q6</f>
        <v>607442</v>
      </c>
      <c r="R5" s="462">
        <f>+名目県内総支出!W6+名目県内総支出!W22-R6</f>
        <v>624350</v>
      </c>
      <c r="S5" s="462">
        <f>+名目県内総支出!X6+名目県内総支出!X22-S6</f>
        <v>672639</v>
      </c>
      <c r="T5" s="462">
        <f>+名目県内総支出!Y6+名目県内総支出!Y22-T6</f>
        <v>665472</v>
      </c>
      <c r="U5" s="462">
        <f>+名目県内総支出!Z6+名目県内総支出!Z22-U6</f>
        <v>696742</v>
      </c>
      <c r="V5" s="462">
        <f>+名目県内総支出!AA6+名目県内総支出!AA22-V6</f>
        <v>727838</v>
      </c>
      <c r="W5" s="462">
        <f>+名目県内総支出!AB6+名目県内総支出!AB22-W6</f>
        <v>15753749</v>
      </c>
      <c r="X5" s="462">
        <f>+名目県内総支出!AC6+名目県内総支出!AC22-X6</f>
        <v>15934578</v>
      </c>
    </row>
    <row r="6" spans="1:24">
      <c r="A6" s="92"/>
      <c r="B6" s="87" t="s">
        <v>166</v>
      </c>
      <c r="C6" s="75">
        <f>民間消費!C6+政府消費!C6</f>
        <v>14917482.439234752</v>
      </c>
      <c r="D6" s="75">
        <f>民間消費!D6+政府消費!D6</f>
        <v>15086232.566773994</v>
      </c>
      <c r="E6" s="75">
        <f>民間消費!E6+政府消費!E6</f>
        <v>14983592.119466579</v>
      </c>
      <c r="F6" s="75">
        <f>民間消費!F6+政府消費!F6</f>
        <v>14953799.737233412</v>
      </c>
      <c r="G6" s="75">
        <f>民間消費!G6+政府消費!G6</f>
        <v>14962081.709786059</v>
      </c>
      <c r="H6" s="75">
        <f>民間消費!H6+政府消費!H6</f>
        <v>15053434</v>
      </c>
      <c r="I6" s="75">
        <f>民間消費!I6+政府消費!I6</f>
        <v>15065615</v>
      </c>
      <c r="J6" s="75">
        <f>民間消費!J6+政府消費!J6</f>
        <v>15462476</v>
      </c>
      <c r="K6" s="75">
        <f>民間消費!K6+政府消費!K6</f>
        <v>15360282</v>
      </c>
      <c r="L6" s="75">
        <f>民間消費!L6+政府消費!L6</f>
        <v>15586663</v>
      </c>
      <c r="M6" s="75">
        <f>民間消費!M6+政府消費!M6</f>
        <v>15506790</v>
      </c>
      <c r="N6" s="75">
        <f>民間消費!N6+政府消費!N6</f>
        <v>15827179</v>
      </c>
      <c r="O6" s="75">
        <f>民間消費!O6+政府消費!O6</f>
        <v>15902846</v>
      </c>
      <c r="P6" s="75">
        <f>民間消費!P6+政府消費!P6</f>
        <v>16023607</v>
      </c>
      <c r="Q6" s="130">
        <f>民間消費!Q6+政府消費!Q6</f>
        <v>15440736</v>
      </c>
      <c r="R6" s="130">
        <f>民間消費!R6+政府消費!R6</f>
        <v>16061401</v>
      </c>
      <c r="S6" s="130">
        <f>民間消費!S6+政府消費!S6</f>
        <v>16838533</v>
      </c>
      <c r="T6" s="130">
        <f>民間消費!T6+政府消費!T6</f>
        <v>17021155</v>
      </c>
      <c r="U6" s="130">
        <f>民間消費!U6+政府消費!U6</f>
        <v>17485514</v>
      </c>
      <c r="V6" s="130">
        <f>民間消費!V6+政府消費!V6</f>
        <v>18129902</v>
      </c>
      <c r="W6" s="130">
        <f>民間消費!Y6+政府消費!W6</f>
        <v>3300383</v>
      </c>
      <c r="X6" s="130">
        <f>民間消費!Z6+政府消費!X6</f>
        <v>3323342</v>
      </c>
    </row>
    <row r="7" spans="1:24">
      <c r="A7" s="90">
        <v>100</v>
      </c>
      <c r="B7" s="75" t="s">
        <v>172</v>
      </c>
      <c r="C7" s="75">
        <f>民間消費!C7+政府消費!C7</f>
        <v>4483514.4392347513</v>
      </c>
      <c r="D7" s="75">
        <f>民間消費!D7+政府消費!D7</f>
        <v>4529648.5667739939</v>
      </c>
      <c r="E7" s="75">
        <f>民間消費!E7+政府消費!E7</f>
        <v>4495064.1194665786</v>
      </c>
      <c r="F7" s="75">
        <f>民間消費!F7+政府消費!F7</f>
        <v>4503393.7372334125</v>
      </c>
      <c r="G7" s="75">
        <f>民間消費!G7+政府消費!G7</f>
        <v>4590531.7097860593</v>
      </c>
      <c r="H7" s="75">
        <f>民間消費!H7+政府消費!H7</f>
        <v>4577746</v>
      </c>
      <c r="I7" s="75">
        <f>民間消費!I7+政府消費!I7</f>
        <v>4556369</v>
      </c>
      <c r="J7" s="75">
        <f>民間消費!J7+政府消費!J7</f>
        <v>4654031</v>
      </c>
      <c r="K7" s="75">
        <f>民間消費!K7+政府消費!K7</f>
        <v>4640256</v>
      </c>
      <c r="L7" s="75">
        <f>民間消費!L7+政府消費!L7</f>
        <v>4746297</v>
      </c>
      <c r="M7" s="75">
        <f>民間消費!M7+政府消費!M7</f>
        <v>4751222</v>
      </c>
      <c r="N7" s="75">
        <f>民間消費!N7+政府消費!N7</f>
        <v>4976155</v>
      </c>
      <c r="O7" s="75">
        <f>民間消費!O7+政府消費!O7</f>
        <v>4911293</v>
      </c>
      <c r="P7" s="75">
        <f>民間消費!P7+政府消費!P7</f>
        <v>4846755</v>
      </c>
      <c r="Q7" s="75">
        <f>民間消費!Q7+政府消費!Q7</f>
        <v>4686126</v>
      </c>
      <c r="R7" s="75">
        <f>民間消費!R7+政府消費!R7</f>
        <v>4867255</v>
      </c>
      <c r="S7" s="75">
        <f>民間消費!S7+政府消費!S7</f>
        <v>5021482</v>
      </c>
      <c r="T7" s="75">
        <f>民間消費!T7+政府消費!T7</f>
        <v>5108306</v>
      </c>
      <c r="U7" s="75">
        <f>民間消費!U7+政府消費!U7</f>
        <v>5316049</v>
      </c>
      <c r="V7" s="75">
        <f>民間消費!V7+政府消費!V7</f>
        <v>5525666</v>
      </c>
      <c r="W7" s="75">
        <f>民間消費!Y7+政府消費!W7</f>
        <v>1122755</v>
      </c>
      <c r="X7" s="75">
        <f>民間消費!Z7+政府消費!X7</f>
        <v>1134219</v>
      </c>
    </row>
    <row r="8" spans="1:24">
      <c r="A8" s="90" t="s">
        <v>932</v>
      </c>
      <c r="B8" s="75" t="s">
        <v>323</v>
      </c>
      <c r="C8" s="75">
        <f>民間消費!C8+政府消費!C8</f>
        <v>2925475</v>
      </c>
      <c r="D8" s="75">
        <f>民間消費!D8+政府消費!D8</f>
        <v>2965973</v>
      </c>
      <c r="E8" s="75">
        <f>民間消費!E8+政府消費!E8</f>
        <v>2956313</v>
      </c>
      <c r="F8" s="75">
        <f>民間消費!F8+政府消費!F8</f>
        <v>2946731</v>
      </c>
      <c r="G8" s="75">
        <f>民間消費!G8+政府消費!G8</f>
        <v>2952001</v>
      </c>
      <c r="H8" s="75">
        <f>民間消費!H8+政府消費!H8</f>
        <v>2934865</v>
      </c>
      <c r="I8" s="75">
        <f>民間消費!I8+政府消費!I8</f>
        <v>2940198</v>
      </c>
      <c r="J8" s="75">
        <f>民間消費!J8+政府消費!J8</f>
        <v>3022122</v>
      </c>
      <c r="K8" s="75">
        <f>民間消費!K8+政府消費!K8</f>
        <v>2999759</v>
      </c>
      <c r="L8" s="75">
        <f>民間消費!L8+政府消費!L8</f>
        <v>3064725</v>
      </c>
      <c r="M8" s="75">
        <f>民間消費!M8+政府消費!M8</f>
        <v>3065293</v>
      </c>
      <c r="N8" s="75">
        <f>民間消費!N8+政府消費!N8</f>
        <v>3044647</v>
      </c>
      <c r="O8" s="75">
        <f>民間消費!O8+政府消費!O8</f>
        <v>3017111</v>
      </c>
      <c r="P8" s="75">
        <f>民間消費!P8+政府消費!P8</f>
        <v>2980010</v>
      </c>
      <c r="Q8" s="75">
        <f>民間消費!Q8+政府消費!Q8</f>
        <v>2880026</v>
      </c>
      <c r="R8" s="75">
        <f>民間消費!R8+政府消費!R8</f>
        <v>2966050</v>
      </c>
      <c r="S8" s="75">
        <f>民間消費!S8+政府消費!S8</f>
        <v>3081123</v>
      </c>
      <c r="T8" s="75">
        <f>民間消費!T8+政府消費!T8</f>
        <v>3185271</v>
      </c>
      <c r="U8" s="75">
        <f>民間消費!U8+政府消費!U8</f>
        <v>3279834</v>
      </c>
      <c r="V8" s="75">
        <f>民間消費!V8+政府消費!V8</f>
        <v>3408947</v>
      </c>
      <c r="W8" s="75">
        <f>民間消費!Y8+政府消費!W8</f>
        <v>536069</v>
      </c>
      <c r="X8" s="75">
        <f>民間消費!Z8+政府消費!X8</f>
        <v>537775</v>
      </c>
    </row>
    <row r="9" spans="1:24">
      <c r="A9" s="90">
        <v>2</v>
      </c>
      <c r="B9" s="75" t="s">
        <v>324</v>
      </c>
      <c r="C9" s="75">
        <f>民間消費!C9+政府消費!C9</f>
        <v>1811882</v>
      </c>
      <c r="D9" s="75">
        <f>民間消費!D9+政府消費!D9</f>
        <v>1844170</v>
      </c>
      <c r="E9" s="75">
        <f>民間消費!E9+政府消費!E9</f>
        <v>1835636</v>
      </c>
      <c r="F9" s="75">
        <f>民間消費!F9+政府消費!F9</f>
        <v>1828970</v>
      </c>
      <c r="G9" s="75">
        <f>民間消費!G9+政府消費!G9</f>
        <v>1825375</v>
      </c>
      <c r="H9" s="75">
        <f>民間消費!H9+政府消費!H9</f>
        <v>1829816</v>
      </c>
      <c r="I9" s="75">
        <f>民間消費!I9+政府消費!I9</f>
        <v>1846449</v>
      </c>
      <c r="J9" s="75">
        <f>民間消費!J9+政府消費!J9</f>
        <v>1891700</v>
      </c>
      <c r="K9" s="75">
        <f>民間消費!K9+政府消費!K9</f>
        <v>1868196</v>
      </c>
      <c r="L9" s="75">
        <f>民間消費!L9+政府消費!L9</f>
        <v>1868066</v>
      </c>
      <c r="M9" s="75">
        <f>民間消費!M9+政府消費!M9</f>
        <v>1861587</v>
      </c>
      <c r="N9" s="75">
        <f>民間消費!N9+政府消費!N9</f>
        <v>1898876</v>
      </c>
      <c r="O9" s="75">
        <f>民間消費!O9+政府消費!O9</f>
        <v>1928525</v>
      </c>
      <c r="P9" s="75">
        <f>民間消費!P9+政府消費!P9</f>
        <v>2001586</v>
      </c>
      <c r="Q9" s="75">
        <f>民間消費!Q9+政府消費!Q9</f>
        <v>1897219</v>
      </c>
      <c r="R9" s="75">
        <f>民間消費!R9+政府消費!R9</f>
        <v>2032238</v>
      </c>
      <c r="S9" s="75">
        <f>民間消費!S9+政府消費!S9</f>
        <v>2156663</v>
      </c>
      <c r="T9" s="75">
        <f>民間消費!T9+政府消費!T9</f>
        <v>2118021</v>
      </c>
      <c r="U9" s="75">
        <f>民間消費!U9+政府消費!U9</f>
        <v>2160830</v>
      </c>
      <c r="V9" s="75">
        <f>民間消費!V9+政府消費!V9</f>
        <v>2239669</v>
      </c>
      <c r="W9" s="75">
        <f>民間消費!Y9+政府消費!W9</f>
        <v>358322</v>
      </c>
      <c r="X9" s="75">
        <f>民間消費!Z9+政府消費!X9</f>
        <v>359711</v>
      </c>
    </row>
    <row r="10" spans="1:24">
      <c r="A10" s="90">
        <v>3</v>
      </c>
      <c r="B10" s="75" t="s">
        <v>192</v>
      </c>
      <c r="C10" s="75">
        <f>民間消費!C10+政府消費!C10</f>
        <v>1787900</v>
      </c>
      <c r="D10" s="75">
        <f>民間消費!D10+政府消費!D10</f>
        <v>1807566</v>
      </c>
      <c r="E10" s="75">
        <f>民間消費!E10+政府消費!E10</f>
        <v>1797968</v>
      </c>
      <c r="F10" s="75">
        <f>民間消費!F10+政府消費!F10</f>
        <v>1790216</v>
      </c>
      <c r="G10" s="75">
        <f>民間消費!G10+政府消費!G10</f>
        <v>1771128</v>
      </c>
      <c r="H10" s="75">
        <f>民間消費!H10+政府消費!H10</f>
        <v>1781194</v>
      </c>
      <c r="I10" s="75">
        <f>民間消費!I10+政府消費!I10</f>
        <v>1803190</v>
      </c>
      <c r="J10" s="75">
        <f>民間消費!J10+政府消費!J10</f>
        <v>1856652</v>
      </c>
      <c r="K10" s="75">
        <f>民間消費!K10+政府消費!K10</f>
        <v>1836775</v>
      </c>
      <c r="L10" s="75">
        <f>民間消費!L10+政府消費!L10</f>
        <v>1831820</v>
      </c>
      <c r="M10" s="75">
        <f>民間消費!M10+政府消費!M10</f>
        <v>1825459</v>
      </c>
      <c r="N10" s="75">
        <f>民間消費!N10+政府消費!N10</f>
        <v>1876515</v>
      </c>
      <c r="O10" s="75">
        <f>民間消費!O10+政府消費!O10</f>
        <v>1925646</v>
      </c>
      <c r="P10" s="75">
        <f>民間消費!P10+政府消費!P10</f>
        <v>2008468</v>
      </c>
      <c r="Q10" s="75">
        <f>民間消費!Q10+政府消費!Q10</f>
        <v>1916963</v>
      </c>
      <c r="R10" s="75">
        <f>民間消費!R10+政府消費!R10</f>
        <v>2066170</v>
      </c>
      <c r="S10" s="75">
        <f>民間消費!S10+政府消費!S10</f>
        <v>2192962</v>
      </c>
      <c r="T10" s="75">
        <f>民間消費!T10+政府消費!T10</f>
        <v>2158663</v>
      </c>
      <c r="U10" s="75">
        <f>民間消費!U10+政府消費!U10</f>
        <v>2216889</v>
      </c>
      <c r="V10" s="75">
        <f>民間消費!V10+政府消費!V10</f>
        <v>2295505</v>
      </c>
      <c r="W10" s="75">
        <f>民間消費!Y10+政府消費!W10</f>
        <v>343952</v>
      </c>
      <c r="X10" s="75">
        <f>民間消費!Z10+政府消費!X10</f>
        <v>346463</v>
      </c>
    </row>
    <row r="11" spans="1:24">
      <c r="A11" s="90">
        <v>4</v>
      </c>
      <c r="B11" s="75" t="s">
        <v>325</v>
      </c>
      <c r="C11" s="75">
        <f>民間消費!C11+政府消費!C11</f>
        <v>661958</v>
      </c>
      <c r="D11" s="75">
        <f>民間消費!D11+政府消費!D11</f>
        <v>666831</v>
      </c>
      <c r="E11" s="75">
        <f>民間消費!E11+政府消費!E11</f>
        <v>659631</v>
      </c>
      <c r="F11" s="75">
        <f>民間消費!F11+政府消費!F11</f>
        <v>654205</v>
      </c>
      <c r="G11" s="75">
        <f>民間消費!G11+政府消費!G11</f>
        <v>636708</v>
      </c>
      <c r="H11" s="75">
        <f>民間消費!H11+政府消費!H11</f>
        <v>663236</v>
      </c>
      <c r="I11" s="75">
        <f>民間消費!I11+政府消費!I11</f>
        <v>663880</v>
      </c>
      <c r="J11" s="75">
        <f>民間消費!J11+政府消費!J11</f>
        <v>690279</v>
      </c>
      <c r="K11" s="75">
        <f>民間消費!K11+政府消費!K11</f>
        <v>686439</v>
      </c>
      <c r="L11" s="75">
        <f>民間消費!L11+政府消費!L11</f>
        <v>693972</v>
      </c>
      <c r="M11" s="75">
        <f>民間消費!M11+政府消費!M11</f>
        <v>678803</v>
      </c>
      <c r="N11" s="75">
        <f>民間消費!N11+政府消費!N11</f>
        <v>690474</v>
      </c>
      <c r="O11" s="75">
        <f>民間消費!O11+政府消費!O11</f>
        <v>727074</v>
      </c>
      <c r="P11" s="75">
        <f>民間消費!P11+政府消費!P11</f>
        <v>754772</v>
      </c>
      <c r="Q11" s="75">
        <f>民間消費!Q11+政府消費!Q11</f>
        <v>739310</v>
      </c>
      <c r="R11" s="75">
        <f>民間消費!R11+政府消費!R11</f>
        <v>743633</v>
      </c>
      <c r="S11" s="75">
        <f>民間消費!S11+政府消費!S11</f>
        <v>800037</v>
      </c>
      <c r="T11" s="75">
        <f>民間消費!T11+政府消費!T11</f>
        <v>805254</v>
      </c>
      <c r="U11" s="75">
        <f>民間消費!U11+政府消費!U11</f>
        <v>809229</v>
      </c>
      <c r="V11" s="75">
        <f>民間消費!V11+政府消費!V11</f>
        <v>837649</v>
      </c>
      <c r="W11" s="75">
        <f>民間消費!Y11+政府消費!W11</f>
        <v>161627</v>
      </c>
      <c r="X11" s="75">
        <f>民間消費!Z11+政府消費!X11</f>
        <v>162721</v>
      </c>
    </row>
    <row r="12" spans="1:24">
      <c r="A12" s="90">
        <v>5</v>
      </c>
      <c r="B12" s="75" t="s">
        <v>326</v>
      </c>
      <c r="C12" s="75">
        <f>民間消費!C12+政府消費!C12</f>
        <v>1421919</v>
      </c>
      <c r="D12" s="75">
        <f>民間消費!D12+政府消費!D12</f>
        <v>1447913</v>
      </c>
      <c r="E12" s="75">
        <f>民間消費!E12+政府消費!E12</f>
        <v>1441476</v>
      </c>
      <c r="F12" s="75">
        <f>民間消費!F12+政府消費!F12</f>
        <v>1438858</v>
      </c>
      <c r="G12" s="75">
        <f>民間消費!G12+政府消費!G12</f>
        <v>1450280</v>
      </c>
      <c r="H12" s="75">
        <f>民間消費!H12+政府消費!H12</f>
        <v>1451659</v>
      </c>
      <c r="I12" s="75">
        <f>民間消費!I12+政府消費!I12</f>
        <v>1448068</v>
      </c>
      <c r="J12" s="75">
        <f>民間消費!J12+政府消費!J12</f>
        <v>1486284</v>
      </c>
      <c r="K12" s="75">
        <f>民間消費!K12+政府消費!K12</f>
        <v>1487099</v>
      </c>
      <c r="L12" s="75">
        <f>民間消費!L12+政府消費!L12</f>
        <v>1525116</v>
      </c>
      <c r="M12" s="75">
        <f>民間消費!M12+政府消費!M12</f>
        <v>1526218</v>
      </c>
      <c r="N12" s="75">
        <f>民間消費!N12+政府消費!N12</f>
        <v>1526347</v>
      </c>
      <c r="O12" s="75">
        <f>民間消費!O12+政府消費!O12</f>
        <v>1510285</v>
      </c>
      <c r="P12" s="75">
        <f>民間消費!P12+政府消費!P12</f>
        <v>1497455</v>
      </c>
      <c r="Q12" s="75">
        <f>民間消費!Q12+政府消費!Q12</f>
        <v>1447664</v>
      </c>
      <c r="R12" s="75">
        <f>民間消費!R12+政府消費!R12</f>
        <v>1490046</v>
      </c>
      <c r="S12" s="75">
        <f>民間消費!S12+政府消費!S12</f>
        <v>1558416</v>
      </c>
      <c r="T12" s="75">
        <f>民間消費!T12+政府消費!T12</f>
        <v>1610341</v>
      </c>
      <c r="U12" s="75">
        <f>民間消費!U12+政府消費!U12</f>
        <v>1669216</v>
      </c>
      <c r="V12" s="75">
        <f>民間消費!V12+政府消費!V12</f>
        <v>1730508</v>
      </c>
      <c r="W12" s="75">
        <f>民間消費!Y12+政府消費!W12</f>
        <v>299756</v>
      </c>
      <c r="X12" s="75">
        <f>民間消費!Z12+政府消費!X12</f>
        <v>301635</v>
      </c>
    </row>
    <row r="13" spans="1:24">
      <c r="A13" s="90">
        <v>6</v>
      </c>
      <c r="B13" s="75" t="s">
        <v>327</v>
      </c>
      <c r="C13" s="75">
        <f>民間消費!C13+政府消費!C13</f>
        <v>655337</v>
      </c>
      <c r="D13" s="75">
        <f>民間消費!D13+政府消費!D13</f>
        <v>660401</v>
      </c>
      <c r="E13" s="75">
        <f>民間消費!E13+政府消費!E13</f>
        <v>656180</v>
      </c>
      <c r="F13" s="75">
        <f>民間消費!F13+政府消費!F13</f>
        <v>658377</v>
      </c>
      <c r="G13" s="75">
        <f>民間消費!G13+政府消費!G13</f>
        <v>639516</v>
      </c>
      <c r="H13" s="75">
        <f>民間消費!H13+政府消費!H13</f>
        <v>668575</v>
      </c>
      <c r="I13" s="75">
        <f>民間消費!I13+政府消費!I13</f>
        <v>665324</v>
      </c>
      <c r="J13" s="75">
        <f>民間消費!J13+政府消費!J13</f>
        <v>680638</v>
      </c>
      <c r="K13" s="75">
        <f>民間消費!K13+政府消費!K13</f>
        <v>672927</v>
      </c>
      <c r="L13" s="75">
        <f>民間消費!L13+政府消費!L13</f>
        <v>677117</v>
      </c>
      <c r="M13" s="75">
        <f>民間消費!M13+政府消費!M13</f>
        <v>656107</v>
      </c>
      <c r="N13" s="75">
        <f>民間消費!N13+政府消費!N13</f>
        <v>661967</v>
      </c>
      <c r="O13" s="75">
        <f>民間消費!O13+政府消費!O13</f>
        <v>690158</v>
      </c>
      <c r="P13" s="75">
        <f>民間消費!P13+政府消費!P13</f>
        <v>707891</v>
      </c>
      <c r="Q13" s="75">
        <f>民間消費!Q13+政府消費!Q13</f>
        <v>683934</v>
      </c>
      <c r="R13" s="75">
        <f>民間消費!R13+政府消費!R13</f>
        <v>685042</v>
      </c>
      <c r="S13" s="75">
        <f>民間消費!S13+政府消費!S13</f>
        <v>738367</v>
      </c>
      <c r="T13" s="75">
        <f>民間消費!T13+政府消費!T13</f>
        <v>739934</v>
      </c>
      <c r="U13" s="75">
        <f>民間消費!U13+政府消費!U13</f>
        <v>738072</v>
      </c>
      <c r="V13" s="75">
        <f>民間消費!V13+政府消費!V13</f>
        <v>760184</v>
      </c>
      <c r="W13" s="75">
        <f>民間消費!Y13+政府消費!W13</f>
        <v>147360</v>
      </c>
      <c r="X13" s="75">
        <f>民間消費!Z13+政府消費!X13</f>
        <v>148209</v>
      </c>
    </row>
    <row r="14" spans="1:24">
      <c r="A14" s="90">
        <v>7</v>
      </c>
      <c r="B14" s="75" t="s">
        <v>210</v>
      </c>
      <c r="C14" s="75">
        <f>民間消費!C14+政府消費!C14</f>
        <v>510851</v>
      </c>
      <c r="D14" s="75">
        <f>民間消費!D14+政府消費!D14</f>
        <v>507771</v>
      </c>
      <c r="E14" s="75">
        <f>民間消費!E14+政府消費!E14</f>
        <v>496767</v>
      </c>
      <c r="F14" s="75">
        <f>民間消費!F14+政府消費!F14</f>
        <v>491979</v>
      </c>
      <c r="G14" s="75">
        <f>民間消費!G14+政府消費!G14</f>
        <v>474468</v>
      </c>
      <c r="H14" s="75">
        <f>民間消費!H14+政府消費!H14</f>
        <v>494196</v>
      </c>
      <c r="I14" s="75">
        <f>民間消費!I14+政府消費!I14</f>
        <v>495274</v>
      </c>
      <c r="J14" s="75">
        <f>民間消費!J14+政府消費!J14</f>
        <v>508220</v>
      </c>
      <c r="K14" s="75">
        <f>民間消費!K14+政府消費!K14</f>
        <v>503167</v>
      </c>
      <c r="L14" s="75">
        <f>民間消費!L14+政府消費!L14</f>
        <v>505182</v>
      </c>
      <c r="M14" s="75">
        <f>民間消費!M14+政府消費!M14</f>
        <v>493612</v>
      </c>
      <c r="N14" s="75">
        <f>民間消費!N14+政府消費!N14</f>
        <v>490179</v>
      </c>
      <c r="O14" s="75">
        <f>民間消費!O14+政府消費!O14</f>
        <v>505353</v>
      </c>
      <c r="P14" s="75">
        <f>民間消費!P14+政府消費!P14</f>
        <v>517289</v>
      </c>
      <c r="Q14" s="75">
        <f>民間消費!Q14+政府消費!Q14</f>
        <v>499457</v>
      </c>
      <c r="R14" s="75">
        <f>民間消費!R14+政府消費!R14</f>
        <v>505995</v>
      </c>
      <c r="S14" s="75">
        <f>民間消費!S14+政府消費!S14</f>
        <v>542722</v>
      </c>
      <c r="T14" s="75">
        <f>民間消費!T14+政府消費!T14</f>
        <v>540081</v>
      </c>
      <c r="U14" s="75">
        <f>民間消費!U14+政府消費!U14</f>
        <v>539987</v>
      </c>
      <c r="V14" s="75">
        <f>民間消費!V14+政府消費!V14</f>
        <v>552812</v>
      </c>
      <c r="W14" s="75">
        <f>民間消費!Y14+政府消費!W14</f>
        <v>140565</v>
      </c>
      <c r="X14" s="75">
        <f>民間消費!Z14+政府消費!X14</f>
        <v>142102</v>
      </c>
    </row>
    <row r="15" spans="1:24">
      <c r="A15" s="90">
        <v>8</v>
      </c>
      <c r="B15" s="75" t="s">
        <v>211</v>
      </c>
      <c r="C15" s="75">
        <f>民間消費!C15+政府消費!C15</f>
        <v>299064</v>
      </c>
      <c r="D15" s="75">
        <f>民間消費!D15+政府消費!D15</f>
        <v>298252</v>
      </c>
      <c r="E15" s="75">
        <f>民間消費!E15+政府消費!E15</f>
        <v>292021</v>
      </c>
      <c r="F15" s="75">
        <f>民間消費!F15+政府消費!F15</f>
        <v>287352</v>
      </c>
      <c r="G15" s="75">
        <f>民間消費!G15+政府消費!G15</f>
        <v>280800</v>
      </c>
      <c r="H15" s="75">
        <f>民間消費!H15+政府消費!H15</f>
        <v>294838</v>
      </c>
      <c r="I15" s="75">
        <f>民間消費!I15+政府消費!I15</f>
        <v>292616</v>
      </c>
      <c r="J15" s="75">
        <f>民間消費!J15+政府消費!J15</f>
        <v>303133</v>
      </c>
      <c r="K15" s="75">
        <f>民間消費!K15+政府消費!K15</f>
        <v>301424</v>
      </c>
      <c r="L15" s="75">
        <f>民間消費!L15+政府消費!L15</f>
        <v>304674</v>
      </c>
      <c r="M15" s="75">
        <f>民間消費!M15+政府消費!M15</f>
        <v>294291</v>
      </c>
      <c r="N15" s="75">
        <f>民間消費!N15+政府消費!N15</f>
        <v>300619</v>
      </c>
      <c r="O15" s="75">
        <f>民間消費!O15+政府消費!O15</f>
        <v>312759</v>
      </c>
      <c r="P15" s="75">
        <f>民間消費!P15+政府消費!P15</f>
        <v>322040</v>
      </c>
      <c r="Q15" s="75">
        <f>民間消費!Q15+政府消費!Q15</f>
        <v>308059</v>
      </c>
      <c r="R15" s="75">
        <f>民間消費!R15+政府消費!R15</f>
        <v>313129</v>
      </c>
      <c r="S15" s="75">
        <f>民間消費!S15+政府消費!S15</f>
        <v>336258</v>
      </c>
      <c r="T15" s="75">
        <f>民間消費!T15+政府消費!T15</f>
        <v>342936</v>
      </c>
      <c r="U15" s="75">
        <f>民間消費!U15+政府消費!U15</f>
        <v>340874</v>
      </c>
      <c r="V15" s="75">
        <f>民間消費!V15+政府消費!V15</f>
        <v>350097</v>
      </c>
      <c r="W15" s="75">
        <f>民間消費!Y15+政府消費!W15</f>
        <v>80164</v>
      </c>
      <c r="X15" s="75">
        <f>民間消費!Z15+政府消費!X15</f>
        <v>80560</v>
      </c>
    </row>
    <row r="16" spans="1:24">
      <c r="A16" s="90">
        <v>9</v>
      </c>
      <c r="B16" s="75" t="s">
        <v>212</v>
      </c>
      <c r="C16" s="75">
        <f>民間消費!C16+政府消費!C16</f>
        <v>359582</v>
      </c>
      <c r="D16" s="75">
        <f>民間消費!D16+政府消費!D16</f>
        <v>357707</v>
      </c>
      <c r="E16" s="75">
        <f>民間消費!E16+政府消費!E16</f>
        <v>352536</v>
      </c>
      <c r="F16" s="75">
        <f>民間消費!F16+政府消費!F16</f>
        <v>353718</v>
      </c>
      <c r="G16" s="75">
        <f>民間消費!G16+政府消費!G16</f>
        <v>341274</v>
      </c>
      <c r="H16" s="75">
        <f>民間消費!H16+政府消費!H16</f>
        <v>357309</v>
      </c>
      <c r="I16" s="75">
        <f>民間消費!I16+政府消費!I16</f>
        <v>354247</v>
      </c>
      <c r="J16" s="75">
        <f>民間消費!J16+政府消費!J16</f>
        <v>369417</v>
      </c>
      <c r="K16" s="75">
        <f>民間消費!K16+政府消費!K16</f>
        <v>364240</v>
      </c>
      <c r="L16" s="75">
        <f>民間消費!L16+政府消費!L16</f>
        <v>369694</v>
      </c>
      <c r="M16" s="75">
        <f>民間消費!M16+政府消費!M16</f>
        <v>354198</v>
      </c>
      <c r="N16" s="75">
        <f>民間消費!N16+政府消費!N16</f>
        <v>361400</v>
      </c>
      <c r="O16" s="75">
        <f>民間消費!O16+政府消費!O16</f>
        <v>374642</v>
      </c>
      <c r="P16" s="75">
        <f>民間消費!P16+政府消費!P16</f>
        <v>387341</v>
      </c>
      <c r="Q16" s="75">
        <f>民間消費!Q16+政府消費!Q16</f>
        <v>381978</v>
      </c>
      <c r="R16" s="75">
        <f>民間消費!R16+政府消費!R16</f>
        <v>391843</v>
      </c>
      <c r="S16" s="75">
        <f>民間消費!S16+政府消費!S16</f>
        <v>410503</v>
      </c>
      <c r="T16" s="75">
        <f>民間消費!T16+政府消費!T16</f>
        <v>412348</v>
      </c>
      <c r="U16" s="75">
        <f>民間消費!U16+政府消費!U16</f>
        <v>414534</v>
      </c>
      <c r="V16" s="75">
        <f>民間消費!V16+政府消費!V16</f>
        <v>428865</v>
      </c>
      <c r="W16" s="75">
        <f>民間消費!Y16+政府消費!W16</f>
        <v>109813</v>
      </c>
      <c r="X16" s="75">
        <f>民間消費!Z16+政府消費!X16</f>
        <v>109947</v>
      </c>
    </row>
    <row r="17" spans="1:24">
      <c r="A17" s="92"/>
      <c r="B17" s="87"/>
      <c r="C17" s="75" t="s">
        <v>347</v>
      </c>
      <c r="D17" s="75" t="s">
        <v>347</v>
      </c>
      <c r="E17" s="75" t="s">
        <v>347</v>
      </c>
      <c r="F17" s="75" t="s">
        <v>347</v>
      </c>
      <c r="G17" s="75" t="s">
        <v>898</v>
      </c>
      <c r="H17" s="75" t="s">
        <v>898</v>
      </c>
      <c r="I17" s="75" t="s">
        <v>898</v>
      </c>
      <c r="J17" s="75" t="s">
        <v>898</v>
      </c>
      <c r="K17" s="75" t="s">
        <v>898</v>
      </c>
      <c r="L17" s="75" t="s">
        <v>898</v>
      </c>
      <c r="M17" s="75" t="s">
        <v>8</v>
      </c>
      <c r="N17" s="75" t="s">
        <v>8</v>
      </c>
      <c r="O17" s="75" t="s">
        <v>8</v>
      </c>
      <c r="P17" s="75" t="s">
        <v>8</v>
      </c>
      <c r="Q17" s="75" t="s">
        <v>8</v>
      </c>
      <c r="R17" s="75" t="s">
        <v>8</v>
      </c>
      <c r="S17" s="75" t="s">
        <v>8</v>
      </c>
      <c r="T17" s="75" t="s">
        <v>8</v>
      </c>
      <c r="U17" s="75" t="s">
        <v>8</v>
      </c>
      <c r="V17" s="75" t="s">
        <v>8</v>
      </c>
      <c r="W17" s="75" t="s">
        <v>8</v>
      </c>
      <c r="X17" s="75" t="s">
        <v>8</v>
      </c>
    </row>
    <row r="18" spans="1:24">
      <c r="A18" s="89">
        <v>100</v>
      </c>
      <c r="B18" s="87" t="s">
        <v>172</v>
      </c>
      <c r="C18" s="75">
        <f>民間消費!C18+政府消費!C18</f>
        <v>4483514.4392347513</v>
      </c>
      <c r="D18" s="75">
        <f>民間消費!D18+政府消費!D18</f>
        <v>4529648.5667739939</v>
      </c>
      <c r="E18" s="75">
        <f>民間消費!E18+政府消費!E18</f>
        <v>4495064.1194665786</v>
      </c>
      <c r="F18" s="75">
        <f>民間消費!F18+政府消費!F18</f>
        <v>4503393.7372334125</v>
      </c>
      <c r="G18" s="75">
        <f>民間消費!G18+政府消費!G18</f>
        <v>4590531.7097860593</v>
      </c>
      <c r="H18" s="75">
        <f>民間消費!H18+政府消費!H18</f>
        <v>4577746</v>
      </c>
      <c r="I18" s="75">
        <f>民間消費!I18+政府消費!I18</f>
        <v>4556369</v>
      </c>
      <c r="J18" s="75">
        <f>民間消費!J18+政府消費!J18</f>
        <v>4654031</v>
      </c>
      <c r="K18" s="75">
        <f>民間消費!K18+政府消費!K18</f>
        <v>4640256</v>
      </c>
      <c r="L18" s="75">
        <f>民間消費!L18+政府消費!L18</f>
        <v>4746297</v>
      </c>
      <c r="M18" s="75">
        <f>民間消費!M18+政府消費!M18</f>
        <v>4751222</v>
      </c>
      <c r="N18" s="75">
        <f>民間消費!N18+政府消費!N18</f>
        <v>4976155</v>
      </c>
      <c r="O18" s="75">
        <f>民間消費!O18+政府消費!O18</f>
        <v>4911293</v>
      </c>
      <c r="P18" s="75">
        <f>民間消費!P18+政府消費!P18</f>
        <v>4846755</v>
      </c>
      <c r="Q18" s="75">
        <f>民間消費!Q18+政府消費!Q18</f>
        <v>4686126</v>
      </c>
      <c r="R18" s="75">
        <f>民間消費!R18+政府消費!R18</f>
        <v>4867255</v>
      </c>
      <c r="S18" s="75">
        <f>民間消費!S18+政府消費!S18</f>
        <v>5021482</v>
      </c>
      <c r="T18" s="75">
        <f>民間消費!T18+政府消費!T18</f>
        <v>5108306</v>
      </c>
      <c r="U18" s="75">
        <f>民間消費!U18+政府消費!U18</f>
        <v>5316049</v>
      </c>
      <c r="V18" s="75">
        <f>民間消費!V18+政府消費!V18</f>
        <v>5525666</v>
      </c>
      <c r="W18" s="75">
        <f>民間消費!Y18+政府消費!W18</f>
        <v>1122755</v>
      </c>
      <c r="X18" s="75">
        <f>民間消費!Z18+政府消費!X18</f>
        <v>1134219</v>
      </c>
    </row>
    <row r="19" spans="1:24">
      <c r="A19" s="92">
        <v>1</v>
      </c>
      <c r="B19" s="65" t="s">
        <v>182</v>
      </c>
      <c r="C19" s="75">
        <f>民間消費!C19+政府消費!C19</f>
        <v>2925475</v>
      </c>
      <c r="D19" s="75">
        <f>民間消費!D19+政府消費!D19</f>
        <v>2965973</v>
      </c>
      <c r="E19" s="75">
        <f>民間消費!E19+政府消費!E19</f>
        <v>2956313</v>
      </c>
      <c r="F19" s="75">
        <f>民間消費!F19+政府消費!F19</f>
        <v>2946731</v>
      </c>
      <c r="G19" s="75">
        <f>民間消費!G19+政府消費!G19</f>
        <v>2952001</v>
      </c>
      <c r="H19" s="75">
        <f>民間消費!H19+政府消費!H19</f>
        <v>2934865</v>
      </c>
      <c r="I19" s="75">
        <f>民間消費!I19+政府消費!I19</f>
        <v>2940198</v>
      </c>
      <c r="J19" s="75">
        <f>民間消費!J19+政府消費!J19</f>
        <v>3022122</v>
      </c>
      <c r="K19" s="75">
        <f>民間消費!K19+政府消費!K19</f>
        <v>2999759</v>
      </c>
      <c r="L19" s="75">
        <f>民間消費!L19+政府消費!L19</f>
        <v>3064725</v>
      </c>
      <c r="M19" s="75">
        <f>民間消費!M19+政府消費!M19</f>
        <v>3065293</v>
      </c>
      <c r="N19" s="75">
        <f>民間消費!N19+政府消費!N19</f>
        <v>3044647</v>
      </c>
      <c r="O19" s="75">
        <f>民間消費!O19+政府消費!O19</f>
        <v>3017111</v>
      </c>
      <c r="P19" s="75">
        <f>民間消費!P19+政府消費!P19</f>
        <v>2980010</v>
      </c>
      <c r="Q19" s="75">
        <f>民間消費!Q19+政府消費!Q19</f>
        <v>2880026</v>
      </c>
      <c r="R19" s="75">
        <f>民間消費!R19+政府消費!R19</f>
        <v>2966050</v>
      </c>
      <c r="S19" s="75">
        <f>民間消費!S19+政府消費!S19</f>
        <v>3081123</v>
      </c>
      <c r="T19" s="75">
        <f>民間消費!T19+政府消費!T19</f>
        <v>3185271</v>
      </c>
      <c r="U19" s="75">
        <f>民間消費!U19+政府消費!U19</f>
        <v>3279834</v>
      </c>
      <c r="V19" s="75">
        <f>民間消費!V19+政府消費!V19</f>
        <v>3408947</v>
      </c>
      <c r="W19" s="75">
        <f>民間消費!Y19+政府消費!W19</f>
        <v>536069</v>
      </c>
      <c r="X19" s="75">
        <f>民間消費!Z19+政府消費!X19</f>
        <v>537775</v>
      </c>
    </row>
    <row r="20" spans="1:24">
      <c r="A20" s="89">
        <v>202</v>
      </c>
      <c r="B20" s="90" t="s">
        <v>183</v>
      </c>
      <c r="C20" s="75">
        <f>民間消費!C20+政府消費!C20</f>
        <v>1346234</v>
      </c>
      <c r="D20" s="75">
        <f>民間消費!D20+政府消費!D20</f>
        <v>1360002</v>
      </c>
      <c r="E20" s="75">
        <f>民間消費!E20+政府消費!E20</f>
        <v>1347565</v>
      </c>
      <c r="F20" s="75">
        <f>民間消費!F20+政府消費!F20</f>
        <v>1340468</v>
      </c>
      <c r="G20" s="75">
        <f>民間消費!G20+政府消費!G20</f>
        <v>1355397</v>
      </c>
      <c r="H20" s="75">
        <f>民間消費!H20+政府消費!H20</f>
        <v>1334099</v>
      </c>
      <c r="I20" s="75">
        <f>民間消費!I20+政府消費!I20</f>
        <v>1327918</v>
      </c>
      <c r="J20" s="75">
        <f>民間消費!J20+政府消費!J20</f>
        <v>1351767</v>
      </c>
      <c r="K20" s="75">
        <f>民間消費!K20+政府消費!K20</f>
        <v>1334579</v>
      </c>
      <c r="L20" s="75">
        <f>民間消費!L20+政府消費!L20</f>
        <v>1359307</v>
      </c>
      <c r="M20" s="75">
        <f>民間消費!M20+政府消費!M20</f>
        <v>1363621</v>
      </c>
      <c r="N20" s="75">
        <f>民間消費!N20+政府消費!N20</f>
        <v>1354879</v>
      </c>
      <c r="O20" s="75">
        <f>民間消費!O20+政府消費!O20</f>
        <v>1339867</v>
      </c>
      <c r="P20" s="75">
        <f>民間消費!P20+政府消費!P20</f>
        <v>1320019</v>
      </c>
      <c r="Q20" s="75">
        <f>民間消費!Q20+政府消費!Q20</f>
        <v>1284620</v>
      </c>
      <c r="R20" s="75">
        <f>民間消費!R20+政府消費!R20</f>
        <v>1317325</v>
      </c>
      <c r="S20" s="75">
        <f>民間消費!S20+政府消費!S20</f>
        <v>1364133</v>
      </c>
      <c r="T20" s="75">
        <f>民間消費!T20+政府消費!T20</f>
        <v>1414616</v>
      </c>
      <c r="U20" s="75">
        <f>民間消費!U20+政府消費!U20</f>
        <v>1471703</v>
      </c>
      <c r="V20" s="75">
        <f>民間消費!V20+政府消費!V20</f>
        <v>1532368</v>
      </c>
      <c r="W20" s="75">
        <f>民間消費!Y20+政府消費!W20</f>
        <v>209338</v>
      </c>
      <c r="X20" s="75">
        <f>民間消費!Z20+政府消費!X20</f>
        <v>210422</v>
      </c>
    </row>
    <row r="21" spans="1:24">
      <c r="A21" s="89">
        <v>204</v>
      </c>
      <c r="B21" s="90" t="s">
        <v>184</v>
      </c>
      <c r="C21" s="75">
        <f>民間消費!C21+政府消費!C21</f>
        <v>1314100</v>
      </c>
      <c r="D21" s="75">
        <f>民間消費!D21+政府消費!D21</f>
        <v>1336956</v>
      </c>
      <c r="E21" s="75">
        <f>民間消費!E21+政府消費!E21</f>
        <v>1339776</v>
      </c>
      <c r="F21" s="75">
        <f>民間消費!F21+政府消費!F21</f>
        <v>1338333</v>
      </c>
      <c r="G21" s="75">
        <f>民間消費!G21+政府消費!G21</f>
        <v>1339974</v>
      </c>
      <c r="H21" s="75">
        <f>民間消費!H21+政府消費!H21</f>
        <v>1331186</v>
      </c>
      <c r="I21" s="75">
        <f>民間消費!I21+政府消費!I21</f>
        <v>1336431</v>
      </c>
      <c r="J21" s="75">
        <f>民間消費!J21+政府消費!J21</f>
        <v>1379194</v>
      </c>
      <c r="K21" s="75">
        <f>民間消費!K21+政府消費!K21</f>
        <v>1374908</v>
      </c>
      <c r="L21" s="75">
        <f>民間消費!L21+政府消費!L21</f>
        <v>1409736</v>
      </c>
      <c r="M21" s="75">
        <f>民間消費!M21+政府消費!M21</f>
        <v>1409297</v>
      </c>
      <c r="N21" s="75">
        <f>民間消費!N21+政府消費!N21</f>
        <v>1401896</v>
      </c>
      <c r="O21" s="75">
        <f>民間消費!O21+政府消費!O21</f>
        <v>1373534</v>
      </c>
      <c r="P21" s="75">
        <f>民間消費!P21+政府消費!P21</f>
        <v>1347940</v>
      </c>
      <c r="Q21" s="75">
        <f>民間消費!Q21+政府消費!Q21</f>
        <v>1299847</v>
      </c>
      <c r="R21" s="75">
        <f>民間消費!R21+政府消費!R21</f>
        <v>1343590</v>
      </c>
      <c r="S21" s="75">
        <f>民間消費!S21+政府消費!S21</f>
        <v>1390360</v>
      </c>
      <c r="T21" s="75">
        <f>民間消費!T21+政府消費!T21</f>
        <v>1442067</v>
      </c>
      <c r="U21" s="75">
        <f>民間消費!U21+政府消費!U21</f>
        <v>1486165</v>
      </c>
      <c r="V21" s="75">
        <f>民間消費!V21+政府消費!V21</f>
        <v>1545465</v>
      </c>
      <c r="W21" s="75">
        <f>民間消費!Y21+政府消費!W21</f>
        <v>265497</v>
      </c>
      <c r="X21" s="75">
        <f>民間消費!Z21+政府消費!X21</f>
        <v>265269</v>
      </c>
    </row>
    <row r="22" spans="1:24">
      <c r="A22" s="89">
        <v>206</v>
      </c>
      <c r="B22" s="90" t="s">
        <v>185</v>
      </c>
      <c r="C22" s="75">
        <f>民間消費!C22+政府消費!C22</f>
        <v>265141</v>
      </c>
      <c r="D22" s="75">
        <f>民間消費!D22+政府消費!D22</f>
        <v>269015</v>
      </c>
      <c r="E22" s="75">
        <f>民間消費!E22+政府消費!E22</f>
        <v>268972</v>
      </c>
      <c r="F22" s="75">
        <f>民間消費!F22+政府消費!F22</f>
        <v>267930</v>
      </c>
      <c r="G22" s="75">
        <f>民間消費!G22+政府消費!G22</f>
        <v>256630</v>
      </c>
      <c r="H22" s="75">
        <f>民間消費!H22+政府消費!H22</f>
        <v>269580</v>
      </c>
      <c r="I22" s="75">
        <f>民間消費!I22+政府消費!I22</f>
        <v>275849</v>
      </c>
      <c r="J22" s="75">
        <f>民間消費!J22+政府消費!J22</f>
        <v>291161</v>
      </c>
      <c r="K22" s="75">
        <f>民間消費!K22+政府消費!K22</f>
        <v>290272</v>
      </c>
      <c r="L22" s="75">
        <f>民間消費!L22+政府消費!L22</f>
        <v>295682</v>
      </c>
      <c r="M22" s="75">
        <f>民間消費!M22+政府消費!M22</f>
        <v>292375</v>
      </c>
      <c r="N22" s="75">
        <f>民間消費!N22+政府消費!N22</f>
        <v>287872</v>
      </c>
      <c r="O22" s="75">
        <f>民間消費!O22+政府消費!O22</f>
        <v>303710</v>
      </c>
      <c r="P22" s="75">
        <f>民間消費!P22+政府消費!P22</f>
        <v>312051</v>
      </c>
      <c r="Q22" s="75">
        <f>民間消費!Q22+政府消費!Q22</f>
        <v>295559</v>
      </c>
      <c r="R22" s="75">
        <f>民間消費!R22+政府消費!R22</f>
        <v>305135</v>
      </c>
      <c r="S22" s="75">
        <f>民間消費!S22+政府消費!S22</f>
        <v>326630</v>
      </c>
      <c r="T22" s="75">
        <f>民間消費!T22+政府消費!T22</f>
        <v>328588</v>
      </c>
      <c r="U22" s="75">
        <f>民間消費!U22+政府消費!U22</f>
        <v>321966</v>
      </c>
      <c r="V22" s="75">
        <f>民間消費!V22+政府消費!V22</f>
        <v>331114</v>
      </c>
      <c r="W22" s="75">
        <f>民間消費!Y22+政府消費!W22</f>
        <v>61234</v>
      </c>
      <c r="X22" s="75">
        <f>民間消費!Z22+政府消費!X22</f>
        <v>62084</v>
      </c>
    </row>
    <row r="23" spans="1:24">
      <c r="A23" s="92">
        <v>2</v>
      </c>
      <c r="B23" s="65" t="s">
        <v>186</v>
      </c>
      <c r="C23" s="75">
        <f>民間消費!C23+政府消費!C23</f>
        <v>1811882</v>
      </c>
      <c r="D23" s="75">
        <f>民間消費!D23+政府消費!D23</f>
        <v>1844170</v>
      </c>
      <c r="E23" s="75">
        <f>民間消費!E23+政府消費!E23</f>
        <v>1835636</v>
      </c>
      <c r="F23" s="75">
        <f>民間消費!F23+政府消費!F23</f>
        <v>1828970</v>
      </c>
      <c r="G23" s="75">
        <f>民間消費!G23+政府消費!G23</f>
        <v>1825375</v>
      </c>
      <c r="H23" s="75">
        <f>民間消費!H23+政府消費!H23</f>
        <v>1829816</v>
      </c>
      <c r="I23" s="75">
        <f>民間消費!I23+政府消費!I23</f>
        <v>1846449</v>
      </c>
      <c r="J23" s="75">
        <f>民間消費!J23+政府消費!J23</f>
        <v>1891700</v>
      </c>
      <c r="K23" s="75">
        <f>民間消費!K23+政府消費!K23</f>
        <v>1868196</v>
      </c>
      <c r="L23" s="75">
        <f>民間消費!L23+政府消費!L23</f>
        <v>1868066</v>
      </c>
      <c r="M23" s="75">
        <f>民間消費!M23+政府消費!M23</f>
        <v>1861587</v>
      </c>
      <c r="N23" s="75">
        <f>民間消費!N23+政府消費!N23</f>
        <v>1898876</v>
      </c>
      <c r="O23" s="75">
        <f>民間消費!O23+政府消費!O23</f>
        <v>1928525</v>
      </c>
      <c r="P23" s="75">
        <f>民間消費!P23+政府消費!P23</f>
        <v>2001586</v>
      </c>
      <c r="Q23" s="75">
        <f>民間消費!Q23+政府消費!Q23</f>
        <v>1897219</v>
      </c>
      <c r="R23" s="75">
        <f>民間消費!R23+政府消費!R23</f>
        <v>2032238</v>
      </c>
      <c r="S23" s="75">
        <f>民間消費!S23+政府消費!S23</f>
        <v>2156663</v>
      </c>
      <c r="T23" s="75">
        <f>民間消費!T23+政府消費!T23</f>
        <v>2118021</v>
      </c>
      <c r="U23" s="75">
        <f>民間消費!U23+政府消費!U23</f>
        <v>2160830</v>
      </c>
      <c r="V23" s="75">
        <f>民間消費!V23+政府消費!V23</f>
        <v>2239669</v>
      </c>
      <c r="W23" s="75">
        <f>民間消費!Y23+政府消費!W23</f>
        <v>358322</v>
      </c>
      <c r="X23" s="75">
        <f>民間消費!Z23+政府消費!X23</f>
        <v>359711</v>
      </c>
    </row>
    <row r="24" spans="1:24">
      <c r="A24" s="89">
        <v>207</v>
      </c>
      <c r="B24" s="90" t="s">
        <v>187</v>
      </c>
      <c r="C24" s="75">
        <f>民間消費!C24+政府消費!C24</f>
        <v>498455</v>
      </c>
      <c r="D24" s="75">
        <f>民間消費!D24+政府消費!D24</f>
        <v>510009</v>
      </c>
      <c r="E24" s="75">
        <f>民間消費!E24+政府消費!E24</f>
        <v>505086</v>
      </c>
      <c r="F24" s="75">
        <f>民間消費!F24+政府消費!F24</f>
        <v>501957</v>
      </c>
      <c r="G24" s="75">
        <f>民間消費!G24+政府消費!G24</f>
        <v>504753</v>
      </c>
      <c r="H24" s="75">
        <f>民間消費!H24+政府消費!H24</f>
        <v>499819</v>
      </c>
      <c r="I24" s="75">
        <f>民間消費!I24+政府消費!I24</f>
        <v>500084</v>
      </c>
      <c r="J24" s="75">
        <f>民間消費!J24+政府消費!J24</f>
        <v>511040</v>
      </c>
      <c r="K24" s="75">
        <f>民間消費!K24+政府消費!K24</f>
        <v>501887</v>
      </c>
      <c r="L24" s="75">
        <f>民間消費!L24+政府消費!L24</f>
        <v>501764</v>
      </c>
      <c r="M24" s="75">
        <f>民間消費!M24+政府消費!M24</f>
        <v>501539</v>
      </c>
      <c r="N24" s="75">
        <f>民間消費!N24+政府消費!N24</f>
        <v>518079</v>
      </c>
      <c r="O24" s="75">
        <f>民間消費!O24+政府消費!O24</f>
        <v>524182</v>
      </c>
      <c r="P24" s="75">
        <f>民間消費!P24+政府消費!P24</f>
        <v>547454</v>
      </c>
      <c r="Q24" s="75">
        <f>民間消費!Q24+政府消費!Q24</f>
        <v>521066</v>
      </c>
      <c r="R24" s="75">
        <f>民間消費!R24+政府消費!R24</f>
        <v>563249</v>
      </c>
      <c r="S24" s="75">
        <f>民間消費!S24+政府消費!S24</f>
        <v>597794</v>
      </c>
      <c r="T24" s="75">
        <f>民間消費!T24+政府消費!T24</f>
        <v>580838</v>
      </c>
      <c r="U24" s="75">
        <f>民間消費!U24+政府消費!U24</f>
        <v>600675</v>
      </c>
      <c r="V24" s="75">
        <f>民間消費!V24+政府消費!V24</f>
        <v>624274</v>
      </c>
      <c r="W24" s="75">
        <f>民間消費!Y24+政府消費!W24</f>
        <v>94189</v>
      </c>
      <c r="X24" s="75">
        <f>民間消費!Z24+政府消費!X24</f>
        <v>95047</v>
      </c>
    </row>
    <row r="25" spans="1:24">
      <c r="A25" s="89">
        <v>214</v>
      </c>
      <c r="B25" s="90" t="s">
        <v>188</v>
      </c>
      <c r="C25" s="75">
        <f>民間消費!C25+政府消費!C25</f>
        <v>581219</v>
      </c>
      <c r="D25" s="75">
        <f>民間消費!D25+政府消費!D25</f>
        <v>590021</v>
      </c>
      <c r="E25" s="75">
        <f>民間消費!E25+政府消費!E25</f>
        <v>587489</v>
      </c>
      <c r="F25" s="75">
        <f>民間消費!F25+政府消費!F25</f>
        <v>586443</v>
      </c>
      <c r="G25" s="75">
        <f>民間消費!G25+政府消費!G25</f>
        <v>594601</v>
      </c>
      <c r="H25" s="75">
        <f>民間消費!H25+政府消費!H25</f>
        <v>593403</v>
      </c>
      <c r="I25" s="75">
        <f>民間消費!I25+政府消費!I25</f>
        <v>601592</v>
      </c>
      <c r="J25" s="75">
        <f>民間消費!J25+政府消費!J25</f>
        <v>612639</v>
      </c>
      <c r="K25" s="75">
        <f>民間消費!K25+政府消費!K25</f>
        <v>602869</v>
      </c>
      <c r="L25" s="75">
        <f>民間消費!L25+政府消費!L25</f>
        <v>599432</v>
      </c>
      <c r="M25" s="75">
        <f>民間消費!M25+政府消費!M25</f>
        <v>598830</v>
      </c>
      <c r="N25" s="75">
        <f>民間消費!N25+政府消費!N25</f>
        <v>614354</v>
      </c>
      <c r="O25" s="75">
        <f>民間消費!O25+政府消費!O25</f>
        <v>618724</v>
      </c>
      <c r="P25" s="75">
        <f>民間消費!P25+政府消費!P25</f>
        <v>641545</v>
      </c>
      <c r="Q25" s="75">
        <f>民間消費!Q25+政府消費!Q25</f>
        <v>604728</v>
      </c>
      <c r="R25" s="75">
        <f>民間消費!R25+政府消費!R25</f>
        <v>654080</v>
      </c>
      <c r="S25" s="75">
        <f>民間消費!S25+政府消費!S25</f>
        <v>689247</v>
      </c>
      <c r="T25" s="75">
        <f>民間消費!T25+政府消費!T25</f>
        <v>672041</v>
      </c>
      <c r="U25" s="75">
        <f>民間消費!U25+政府消費!U25</f>
        <v>691974</v>
      </c>
      <c r="V25" s="75">
        <f>民間消費!V25+政府消費!V25</f>
        <v>715110</v>
      </c>
      <c r="W25" s="75">
        <f>民間消費!Y25+政府消費!W25</f>
        <v>110526</v>
      </c>
      <c r="X25" s="75">
        <f>民間消費!Z25+政府消費!X25</f>
        <v>111003</v>
      </c>
    </row>
    <row r="26" spans="1:24">
      <c r="A26" s="89">
        <v>217</v>
      </c>
      <c r="B26" s="90" t="s">
        <v>189</v>
      </c>
      <c r="C26" s="75">
        <f>民間消費!C26+政府消費!C26</f>
        <v>402537</v>
      </c>
      <c r="D26" s="75">
        <f>民間消費!D26+政府消費!D26</f>
        <v>407914</v>
      </c>
      <c r="E26" s="75">
        <f>民間消費!E26+政府消費!E26</f>
        <v>405623</v>
      </c>
      <c r="F26" s="75">
        <f>民間消費!F26+政府消費!F26</f>
        <v>402884</v>
      </c>
      <c r="G26" s="75">
        <f>民間消費!G26+政府消費!G26</f>
        <v>396027</v>
      </c>
      <c r="H26" s="75">
        <f>民間消費!H26+政府消費!H26</f>
        <v>392136</v>
      </c>
      <c r="I26" s="75">
        <f>民間消費!I26+政府消費!I26</f>
        <v>394380</v>
      </c>
      <c r="J26" s="75">
        <f>民間消費!J26+政府消費!J26</f>
        <v>404506</v>
      </c>
      <c r="K26" s="75">
        <f>民間消費!K26+政府消費!K26</f>
        <v>398561</v>
      </c>
      <c r="L26" s="75">
        <f>民間消費!L26+政府消費!L26</f>
        <v>397410</v>
      </c>
      <c r="M26" s="75">
        <f>民間消費!M26+政府消費!M26</f>
        <v>395940</v>
      </c>
      <c r="N26" s="75">
        <f>民間消費!N26+政府消費!N26</f>
        <v>405855</v>
      </c>
      <c r="O26" s="75">
        <f>民間消費!O26+政府消費!O26</f>
        <v>406576</v>
      </c>
      <c r="P26" s="75">
        <f>民間消費!P26+政府消費!P26</f>
        <v>420834</v>
      </c>
      <c r="Q26" s="75">
        <f>民間消費!Q26+政府消費!Q26</f>
        <v>398846</v>
      </c>
      <c r="R26" s="75">
        <f>民間消費!R26+政府消費!R26</f>
        <v>431314</v>
      </c>
      <c r="S26" s="75">
        <f>民間消費!S26+政府消費!S26</f>
        <v>458305</v>
      </c>
      <c r="T26" s="75">
        <f>民間消費!T26+政府消費!T26</f>
        <v>449886</v>
      </c>
      <c r="U26" s="75">
        <f>民間消費!U26+政府消費!U26</f>
        <v>460643</v>
      </c>
      <c r="V26" s="75">
        <f>民間消費!V26+政府消費!V26</f>
        <v>477914</v>
      </c>
      <c r="W26" s="75">
        <f>民間消費!Y26+政府消費!W26</f>
        <v>74007</v>
      </c>
      <c r="X26" s="75">
        <f>民間消費!Z26+政府消費!X26</f>
        <v>73913</v>
      </c>
    </row>
    <row r="27" spans="1:24">
      <c r="A27" s="89">
        <v>219</v>
      </c>
      <c r="B27" s="90" t="s">
        <v>190</v>
      </c>
      <c r="C27" s="75">
        <f>民間消費!C27+政府消費!C27</f>
        <v>259520</v>
      </c>
      <c r="D27" s="75">
        <f>民間消費!D27+政府消費!D27</f>
        <v>263662</v>
      </c>
      <c r="E27" s="75">
        <f>民間消費!E27+政府消費!E27</f>
        <v>263867</v>
      </c>
      <c r="F27" s="75">
        <f>民間消費!F27+政府消費!F27</f>
        <v>263590</v>
      </c>
      <c r="G27" s="75">
        <f>民間消費!G27+政府消費!G27</f>
        <v>257125</v>
      </c>
      <c r="H27" s="75">
        <f>民間消費!H27+政府消費!H27</f>
        <v>267834</v>
      </c>
      <c r="I27" s="75">
        <f>民間消費!I27+政府消費!I27</f>
        <v>274232</v>
      </c>
      <c r="J27" s="75">
        <f>民間消費!J27+政府消費!J27</f>
        <v>284697</v>
      </c>
      <c r="K27" s="75">
        <f>民間消費!K27+政府消費!K27</f>
        <v>286261</v>
      </c>
      <c r="L27" s="75">
        <f>民間消費!L27+政府消費!L27</f>
        <v>289714</v>
      </c>
      <c r="M27" s="75">
        <f>民間消費!M27+政府消費!M27</f>
        <v>288026</v>
      </c>
      <c r="N27" s="75">
        <f>民間消費!N27+政府消費!N27</f>
        <v>281799</v>
      </c>
      <c r="O27" s="75">
        <f>民間消費!O27+政府消費!O27</f>
        <v>296943</v>
      </c>
      <c r="P27" s="75">
        <f>民間消費!P27+政府消費!P27</f>
        <v>307618</v>
      </c>
      <c r="Q27" s="75">
        <f>民間消費!Q27+政府消費!Q27</f>
        <v>291244</v>
      </c>
      <c r="R27" s="75">
        <f>民間消費!R27+政府消費!R27</f>
        <v>301260</v>
      </c>
      <c r="S27" s="75">
        <f>民間消費!S27+政府消費!S27</f>
        <v>322721</v>
      </c>
      <c r="T27" s="75">
        <f>民間消費!T27+政府消費!T27</f>
        <v>327371</v>
      </c>
      <c r="U27" s="75">
        <f>民間消費!U27+政府消費!U27</f>
        <v>319460</v>
      </c>
      <c r="V27" s="75">
        <f>民間消費!V27+政府消費!V27</f>
        <v>331433</v>
      </c>
      <c r="W27" s="75">
        <f>民間消費!Y27+政府消費!W27</f>
        <v>59656</v>
      </c>
      <c r="X27" s="75">
        <f>民間消費!Z27+政府消費!X27</f>
        <v>59686</v>
      </c>
    </row>
    <row r="28" spans="1:24">
      <c r="A28" s="89">
        <v>301</v>
      </c>
      <c r="B28" s="90" t="s">
        <v>191</v>
      </c>
      <c r="C28" s="75">
        <f>民間消費!C28+政府消費!C28</f>
        <v>70151</v>
      </c>
      <c r="D28" s="75">
        <f>民間消費!D28+政府消費!D28</f>
        <v>72564</v>
      </c>
      <c r="E28" s="75">
        <f>民間消費!E28+政府消費!E28</f>
        <v>73571</v>
      </c>
      <c r="F28" s="75">
        <f>民間消費!F28+政府消費!F28</f>
        <v>74096</v>
      </c>
      <c r="G28" s="75">
        <f>民間消費!G28+政府消費!G28</f>
        <v>72869</v>
      </c>
      <c r="H28" s="75">
        <f>民間消費!H28+政府消費!H28</f>
        <v>76624</v>
      </c>
      <c r="I28" s="75">
        <f>民間消費!I28+政府消費!I28</f>
        <v>76161</v>
      </c>
      <c r="J28" s="75">
        <f>民間消費!J28+政府消費!J28</f>
        <v>78818</v>
      </c>
      <c r="K28" s="75">
        <f>民間消費!K28+政府消費!K28</f>
        <v>78618</v>
      </c>
      <c r="L28" s="75">
        <f>民間消費!L28+政府消費!L28</f>
        <v>79746</v>
      </c>
      <c r="M28" s="75">
        <f>民間消費!M28+政府消費!M28</f>
        <v>77252</v>
      </c>
      <c r="N28" s="75">
        <f>民間消費!N28+政府消費!N28</f>
        <v>78789</v>
      </c>
      <c r="O28" s="75">
        <f>民間消費!O28+政府消費!O28</f>
        <v>82100</v>
      </c>
      <c r="P28" s="75">
        <f>民間消費!P28+政府消費!P28</f>
        <v>84135</v>
      </c>
      <c r="Q28" s="75">
        <f>民間消費!Q28+政府消費!Q28</f>
        <v>81335</v>
      </c>
      <c r="R28" s="75">
        <f>民間消費!R28+政府消費!R28</f>
        <v>82335</v>
      </c>
      <c r="S28" s="75">
        <f>民間消費!S28+政府消費!S28</f>
        <v>88596</v>
      </c>
      <c r="T28" s="75">
        <f>民間消費!T28+政府消費!T28</f>
        <v>87885</v>
      </c>
      <c r="U28" s="75">
        <f>民間消費!U28+政府消費!U28</f>
        <v>88078</v>
      </c>
      <c r="V28" s="75">
        <f>民間消費!V28+政府消費!V28</f>
        <v>90938</v>
      </c>
      <c r="W28" s="75">
        <f>民間消費!Y28+政府消費!W28</f>
        <v>19944</v>
      </c>
      <c r="X28" s="75">
        <f>民間消費!Z28+政府消費!X28</f>
        <v>20062</v>
      </c>
    </row>
    <row r="29" spans="1:24">
      <c r="A29" s="92">
        <v>3</v>
      </c>
      <c r="B29" s="65" t="s">
        <v>192</v>
      </c>
      <c r="C29" s="75">
        <f>民間消費!C29+政府消費!C29</f>
        <v>1787900</v>
      </c>
      <c r="D29" s="75">
        <f>民間消費!D29+政府消費!D29</f>
        <v>1807566</v>
      </c>
      <c r="E29" s="75">
        <f>民間消費!E29+政府消費!E29</f>
        <v>1797968</v>
      </c>
      <c r="F29" s="75">
        <f>民間消費!F29+政府消費!F29</f>
        <v>1790216</v>
      </c>
      <c r="G29" s="75">
        <f>民間消費!G29+政府消費!G29</f>
        <v>1771128</v>
      </c>
      <c r="H29" s="75">
        <f>民間消費!H29+政府消費!H29</f>
        <v>1781194</v>
      </c>
      <c r="I29" s="75">
        <f>民間消費!I29+政府消費!I29</f>
        <v>1803190</v>
      </c>
      <c r="J29" s="75">
        <f>民間消費!J29+政府消費!J29</f>
        <v>1856652</v>
      </c>
      <c r="K29" s="75">
        <f>民間消費!K29+政府消費!K29</f>
        <v>1836775</v>
      </c>
      <c r="L29" s="75">
        <f>民間消費!L29+政府消費!L29</f>
        <v>1831820</v>
      </c>
      <c r="M29" s="75">
        <f>民間消費!M29+政府消費!M29</f>
        <v>1825459</v>
      </c>
      <c r="N29" s="75">
        <f>民間消費!N29+政府消費!N29</f>
        <v>1876515</v>
      </c>
      <c r="O29" s="75">
        <f>民間消費!O29+政府消費!O29</f>
        <v>1925646</v>
      </c>
      <c r="P29" s="75">
        <f>民間消費!P29+政府消費!P29</f>
        <v>2008468</v>
      </c>
      <c r="Q29" s="75">
        <f>民間消費!Q29+政府消費!Q29</f>
        <v>1916963</v>
      </c>
      <c r="R29" s="75">
        <f>民間消費!R29+政府消費!R29</f>
        <v>2066170</v>
      </c>
      <c r="S29" s="75">
        <f>民間消費!S29+政府消費!S29</f>
        <v>2192962</v>
      </c>
      <c r="T29" s="75">
        <f>民間消費!T29+政府消費!T29</f>
        <v>2158663</v>
      </c>
      <c r="U29" s="75">
        <f>民間消費!U29+政府消費!U29</f>
        <v>2216889</v>
      </c>
      <c r="V29" s="75">
        <f>民間消費!V29+政府消費!V29</f>
        <v>2295505</v>
      </c>
      <c r="W29" s="75">
        <f>民間消費!Y29+政府消費!W29</f>
        <v>343952</v>
      </c>
      <c r="X29" s="75">
        <f>民間消費!Z29+政府消費!X29</f>
        <v>346463</v>
      </c>
    </row>
    <row r="30" spans="1:24">
      <c r="A30" s="89">
        <v>203</v>
      </c>
      <c r="B30" s="90" t="s">
        <v>193</v>
      </c>
      <c r="C30" s="75">
        <f>民間消費!C30+政府消費!C30</f>
        <v>754906</v>
      </c>
      <c r="D30" s="75">
        <f>民間消費!D30+政府消費!D30</f>
        <v>762715</v>
      </c>
      <c r="E30" s="75">
        <f>民間消費!E30+政府消費!E30</f>
        <v>760677</v>
      </c>
      <c r="F30" s="75">
        <f>民間消費!F30+政府消費!F30</f>
        <v>762344</v>
      </c>
      <c r="G30" s="75">
        <f>民間消費!G30+政府消費!G30</f>
        <v>757139</v>
      </c>
      <c r="H30" s="75">
        <f>民間消費!H30+政府消費!H30</f>
        <v>751418</v>
      </c>
      <c r="I30" s="75">
        <f>民間消費!I30+政府消費!I30</f>
        <v>760681</v>
      </c>
      <c r="J30" s="75">
        <f>民間消費!J30+政府消費!J30</f>
        <v>781812</v>
      </c>
      <c r="K30" s="75">
        <f>民間消費!K30+政府消費!K30</f>
        <v>772125</v>
      </c>
      <c r="L30" s="75">
        <f>民間消費!L30+政府消費!L30</f>
        <v>770211</v>
      </c>
      <c r="M30" s="75">
        <f>民間消費!M30+政府消費!M30</f>
        <v>772842</v>
      </c>
      <c r="N30" s="75">
        <f>民間消費!N30+政府消費!N30</f>
        <v>807565</v>
      </c>
      <c r="O30" s="75">
        <f>民間消費!O30+政府消費!O30</f>
        <v>828765</v>
      </c>
      <c r="P30" s="75">
        <f>民間消費!P30+政府消費!P30</f>
        <v>870555</v>
      </c>
      <c r="Q30" s="75">
        <f>民間消費!Q30+政府消費!Q30</f>
        <v>832281</v>
      </c>
      <c r="R30" s="75">
        <f>民間消費!R30+政府消費!R30</f>
        <v>907831</v>
      </c>
      <c r="S30" s="75">
        <f>民間消費!S30+政府消費!S30</f>
        <v>963391</v>
      </c>
      <c r="T30" s="75">
        <f>民間消費!T30+政府消費!T30</f>
        <v>939782</v>
      </c>
      <c r="U30" s="75">
        <f>民間消費!U30+政府消費!U30</f>
        <v>972119</v>
      </c>
      <c r="V30" s="75">
        <f>民間消費!V30+政府消費!V30</f>
        <v>1009900</v>
      </c>
      <c r="W30" s="75">
        <f>民間消費!Y30+政府消費!W30</f>
        <v>148210</v>
      </c>
      <c r="X30" s="75">
        <f>民間消費!Z30+政府消費!X30</f>
        <v>148968</v>
      </c>
    </row>
    <row r="31" spans="1:24">
      <c r="A31" s="89">
        <v>210</v>
      </c>
      <c r="B31" s="90" t="s">
        <v>194</v>
      </c>
      <c r="C31" s="75">
        <f>民間消費!C31+政府消費!C31</f>
        <v>646752</v>
      </c>
      <c r="D31" s="75">
        <f>民間消費!D31+政府消費!D31</f>
        <v>656532</v>
      </c>
      <c r="E31" s="75">
        <f>民間消費!E31+政府消費!E31</f>
        <v>652698</v>
      </c>
      <c r="F31" s="75">
        <f>民間消費!F31+政府消費!F31</f>
        <v>647536</v>
      </c>
      <c r="G31" s="75">
        <f>民間消費!G31+政府消費!G31</f>
        <v>645167</v>
      </c>
      <c r="H31" s="75">
        <f>民間消費!H31+政府消費!H31</f>
        <v>642935</v>
      </c>
      <c r="I31" s="75">
        <f>民間消費!I31+政府消費!I31</f>
        <v>649185</v>
      </c>
      <c r="J31" s="75">
        <f>民間消費!J31+政府消費!J31</f>
        <v>665834</v>
      </c>
      <c r="K31" s="75">
        <f>民間消費!K31+政府消費!K31</f>
        <v>655595</v>
      </c>
      <c r="L31" s="75">
        <f>民間消費!L31+政府消費!L31</f>
        <v>648762</v>
      </c>
      <c r="M31" s="75">
        <f>民間消費!M31+政府消費!M31</f>
        <v>647574</v>
      </c>
      <c r="N31" s="75">
        <f>民間消費!N31+政府消費!N31</f>
        <v>666872</v>
      </c>
      <c r="O31" s="75">
        <f>民間消費!O31+政府消費!O31</f>
        <v>675124</v>
      </c>
      <c r="P31" s="75">
        <f>民間消費!P31+政府消費!P31</f>
        <v>701855</v>
      </c>
      <c r="Q31" s="75">
        <f>民間消費!Q31+政府消費!Q31</f>
        <v>666940</v>
      </c>
      <c r="R31" s="75">
        <f>民間消費!R31+政府消費!R31</f>
        <v>728307</v>
      </c>
      <c r="S31" s="75">
        <f>民間消費!S31+政府消費!S31</f>
        <v>766329</v>
      </c>
      <c r="T31" s="75">
        <f>民間消費!T31+政府消費!T31</f>
        <v>747913</v>
      </c>
      <c r="U31" s="75">
        <f>民間消費!U31+政府消費!U31</f>
        <v>776707</v>
      </c>
      <c r="V31" s="75">
        <f>民間消費!V31+政府消費!V31</f>
        <v>802144</v>
      </c>
      <c r="W31" s="75">
        <f>民間消費!Y31+政府消費!W31</f>
        <v>117402</v>
      </c>
      <c r="X31" s="75">
        <f>民間消費!Z31+政府消費!X31</f>
        <v>118659</v>
      </c>
    </row>
    <row r="32" spans="1:24">
      <c r="A32" s="89">
        <v>216</v>
      </c>
      <c r="B32" s="90" t="s">
        <v>195</v>
      </c>
      <c r="C32" s="75">
        <f>民間消費!C32+政府消費!C32</f>
        <v>235687</v>
      </c>
      <c r="D32" s="75">
        <f>民間消費!D32+政府消費!D32</f>
        <v>235932</v>
      </c>
      <c r="E32" s="75">
        <f>民間消費!E32+政府消費!E32</f>
        <v>234910</v>
      </c>
      <c r="F32" s="75">
        <f>民間消費!F32+政府消費!F32</f>
        <v>231928</v>
      </c>
      <c r="G32" s="75">
        <f>民間消費!G32+政府消費!G32</f>
        <v>223806</v>
      </c>
      <c r="H32" s="75">
        <f>民間消費!H32+政府消費!H32</f>
        <v>232420</v>
      </c>
      <c r="I32" s="75">
        <f>民間消費!I32+政府消費!I32</f>
        <v>237808</v>
      </c>
      <c r="J32" s="75">
        <f>民間消費!J32+政府消費!J32</f>
        <v>246008</v>
      </c>
      <c r="K32" s="75">
        <f>民間消費!K32+政府消費!K32</f>
        <v>246842</v>
      </c>
      <c r="L32" s="75">
        <f>民間消費!L32+政府消費!L32</f>
        <v>248173</v>
      </c>
      <c r="M32" s="75">
        <f>民間消費!M32+政府消費!M32</f>
        <v>246005</v>
      </c>
      <c r="N32" s="75">
        <f>民間消費!N32+政府消費!N32</f>
        <v>238288</v>
      </c>
      <c r="O32" s="75">
        <f>民間消費!O32+政府消費!O32</f>
        <v>250058</v>
      </c>
      <c r="P32" s="75">
        <f>民間消費!P32+政府消費!P32</f>
        <v>258158</v>
      </c>
      <c r="Q32" s="75">
        <f>民間消費!Q32+政府消費!Q32</f>
        <v>245363</v>
      </c>
      <c r="R32" s="75">
        <f>民間消費!R32+政府消費!R32</f>
        <v>254565</v>
      </c>
      <c r="S32" s="75">
        <f>民間消費!S32+政府消費!S32</f>
        <v>273901</v>
      </c>
      <c r="T32" s="75">
        <f>民間消費!T32+政府消費!T32</f>
        <v>279711</v>
      </c>
      <c r="U32" s="75">
        <f>民間消費!U32+政府消費!U32</f>
        <v>273492</v>
      </c>
      <c r="V32" s="75">
        <f>民間消費!V32+政府消費!V32</f>
        <v>282416</v>
      </c>
      <c r="W32" s="75">
        <f>民間消費!Y32+政府消費!W32</f>
        <v>48020</v>
      </c>
      <c r="X32" s="75">
        <f>民間消費!Z32+政府消費!X32</f>
        <v>48270</v>
      </c>
    </row>
    <row r="33" spans="1:24">
      <c r="A33" s="89">
        <v>381</v>
      </c>
      <c r="B33" s="90" t="s">
        <v>196</v>
      </c>
      <c r="C33" s="75">
        <f>民間消費!C33+政府消費!C33</f>
        <v>68444</v>
      </c>
      <c r="D33" s="75">
        <f>民間消費!D33+政府消費!D33</f>
        <v>68921</v>
      </c>
      <c r="E33" s="75">
        <f>民間消費!E33+政府消費!E33</f>
        <v>67708</v>
      </c>
      <c r="F33" s="75">
        <f>民間消費!F33+政府消費!F33</f>
        <v>66751</v>
      </c>
      <c r="G33" s="75">
        <f>民間消費!G33+政府消費!G33</f>
        <v>65390</v>
      </c>
      <c r="H33" s="75">
        <f>民間消費!H33+政府消費!H33</f>
        <v>69628</v>
      </c>
      <c r="I33" s="75">
        <f>民間消費!I33+政府消費!I33</f>
        <v>70009</v>
      </c>
      <c r="J33" s="75">
        <f>民間消費!J33+政府消費!J33</f>
        <v>73793</v>
      </c>
      <c r="K33" s="75">
        <f>民間消費!K33+政府消費!K33</f>
        <v>73597</v>
      </c>
      <c r="L33" s="75">
        <f>民間消費!L33+政府消費!L33</f>
        <v>75006</v>
      </c>
      <c r="M33" s="75">
        <f>民間消費!M33+政府消費!M33</f>
        <v>72242</v>
      </c>
      <c r="N33" s="75">
        <f>民間消費!N33+政府消費!N33</f>
        <v>74375</v>
      </c>
      <c r="O33" s="75">
        <f>民間消費!O33+政府消費!O33</f>
        <v>77782</v>
      </c>
      <c r="P33" s="75">
        <f>民間消費!P33+政府消費!P33</f>
        <v>80268</v>
      </c>
      <c r="Q33" s="75">
        <f>民間消費!Q33+政府消費!Q33</f>
        <v>77659</v>
      </c>
      <c r="R33" s="75">
        <f>民間消費!R33+政府消費!R33</f>
        <v>79011</v>
      </c>
      <c r="S33" s="75">
        <f>民間消費!S33+政府消費!S33</f>
        <v>85790</v>
      </c>
      <c r="T33" s="75">
        <f>民間消費!T33+政府消費!T33</f>
        <v>86040</v>
      </c>
      <c r="U33" s="75">
        <f>民間消費!U33+政府消費!U33</f>
        <v>87921</v>
      </c>
      <c r="V33" s="75">
        <f>民間消費!V33+政府消費!V33</f>
        <v>90891</v>
      </c>
      <c r="W33" s="75">
        <f>民間消費!Y33+政府消費!W33</f>
        <v>13298</v>
      </c>
      <c r="X33" s="75">
        <f>民間消費!Z33+政府消費!X33</f>
        <v>13459</v>
      </c>
    </row>
    <row r="34" spans="1:24">
      <c r="A34" s="89">
        <v>382</v>
      </c>
      <c r="B34" s="90" t="s">
        <v>197</v>
      </c>
      <c r="C34" s="75">
        <f>民間消費!C34+政府消費!C34</f>
        <v>82111</v>
      </c>
      <c r="D34" s="75">
        <f>民間消費!D34+政府消費!D34</f>
        <v>83466</v>
      </c>
      <c r="E34" s="75">
        <f>民間消費!E34+政府消費!E34</f>
        <v>81975</v>
      </c>
      <c r="F34" s="75">
        <f>民間消費!F34+政府消費!F34</f>
        <v>81657</v>
      </c>
      <c r="G34" s="75">
        <f>民間消費!G34+政府消費!G34</f>
        <v>79626</v>
      </c>
      <c r="H34" s="75">
        <f>民間消費!H34+政府消費!H34</f>
        <v>84793</v>
      </c>
      <c r="I34" s="75">
        <f>民間消費!I34+政府消費!I34</f>
        <v>85507</v>
      </c>
      <c r="J34" s="75">
        <f>民間消費!J34+政府消費!J34</f>
        <v>89205</v>
      </c>
      <c r="K34" s="75">
        <f>民間消費!K34+政府消費!K34</f>
        <v>88616</v>
      </c>
      <c r="L34" s="75">
        <f>民間消費!L34+政府消費!L34</f>
        <v>89668</v>
      </c>
      <c r="M34" s="75">
        <f>民間消費!M34+政府消費!M34</f>
        <v>86796</v>
      </c>
      <c r="N34" s="75">
        <f>民間消費!N34+政府消費!N34</f>
        <v>89415</v>
      </c>
      <c r="O34" s="75">
        <f>民間消費!O34+政府消費!O34</f>
        <v>93917</v>
      </c>
      <c r="P34" s="75">
        <f>民間消費!P34+政府消費!P34</f>
        <v>97632</v>
      </c>
      <c r="Q34" s="75">
        <f>民間消費!Q34+政府消費!Q34</f>
        <v>94720</v>
      </c>
      <c r="R34" s="75">
        <f>民間消費!R34+政府消費!R34</f>
        <v>96456</v>
      </c>
      <c r="S34" s="75">
        <f>民間消費!S34+政府消費!S34</f>
        <v>103551</v>
      </c>
      <c r="T34" s="75">
        <f>民間消費!T34+政府消費!T34</f>
        <v>105217</v>
      </c>
      <c r="U34" s="75">
        <f>民間消費!U34+政府消費!U34</f>
        <v>106650</v>
      </c>
      <c r="V34" s="75">
        <f>民間消費!V34+政府消費!V34</f>
        <v>110154</v>
      </c>
      <c r="W34" s="75">
        <f>民間消費!Y34+政府消費!W34</f>
        <v>17022</v>
      </c>
      <c r="X34" s="75">
        <f>民間消費!Z34+政府消費!X34</f>
        <v>17107</v>
      </c>
    </row>
    <row r="35" spans="1:24">
      <c r="A35" s="92">
        <v>4</v>
      </c>
      <c r="B35" s="91" t="s">
        <v>198</v>
      </c>
      <c r="C35" s="75">
        <f>民間消費!C35+政府消費!C35</f>
        <v>661958</v>
      </c>
      <c r="D35" s="75">
        <f>民間消費!D35+政府消費!D35</f>
        <v>666831</v>
      </c>
      <c r="E35" s="75">
        <f>民間消費!E35+政府消費!E35</f>
        <v>659631</v>
      </c>
      <c r="F35" s="75">
        <f>民間消費!F35+政府消費!F35</f>
        <v>654205</v>
      </c>
      <c r="G35" s="75">
        <f>民間消費!G35+政府消費!G35</f>
        <v>636708</v>
      </c>
      <c r="H35" s="75">
        <f>民間消費!H35+政府消費!H35</f>
        <v>663236</v>
      </c>
      <c r="I35" s="75">
        <f>民間消費!I35+政府消費!I35</f>
        <v>663880</v>
      </c>
      <c r="J35" s="75">
        <f>民間消費!J35+政府消費!J35</f>
        <v>690279</v>
      </c>
      <c r="K35" s="75">
        <f>民間消費!K35+政府消費!K35</f>
        <v>686439</v>
      </c>
      <c r="L35" s="75">
        <f>民間消費!L35+政府消費!L35</f>
        <v>693972</v>
      </c>
      <c r="M35" s="75">
        <f>民間消費!M35+政府消費!M35</f>
        <v>678803</v>
      </c>
      <c r="N35" s="75">
        <f>民間消費!N35+政府消費!N35</f>
        <v>690474</v>
      </c>
      <c r="O35" s="75">
        <f>民間消費!O35+政府消費!O35</f>
        <v>727074</v>
      </c>
      <c r="P35" s="75">
        <f>民間消費!P35+政府消費!P35</f>
        <v>754772</v>
      </c>
      <c r="Q35" s="75">
        <f>民間消費!Q35+政府消費!Q35</f>
        <v>739310</v>
      </c>
      <c r="R35" s="75">
        <f>民間消費!R35+政府消費!R35</f>
        <v>743633</v>
      </c>
      <c r="S35" s="75">
        <f>民間消費!S35+政府消費!S35</f>
        <v>800037</v>
      </c>
      <c r="T35" s="75">
        <f>民間消費!T35+政府消費!T35</f>
        <v>805254</v>
      </c>
      <c r="U35" s="75">
        <f>民間消費!U35+政府消費!U35</f>
        <v>809229</v>
      </c>
      <c r="V35" s="75">
        <f>民間消費!V35+政府消費!V35</f>
        <v>837649</v>
      </c>
      <c r="W35" s="75">
        <f>民間消費!Y35+政府消費!W35</f>
        <v>161627</v>
      </c>
      <c r="X35" s="75">
        <f>民間消費!Z35+政府消費!X35</f>
        <v>162721</v>
      </c>
    </row>
    <row r="36" spans="1:24">
      <c r="A36" s="92">
        <v>213</v>
      </c>
      <c r="B36" s="92" t="s">
        <v>231</v>
      </c>
      <c r="C36" s="75">
        <f>民間消費!C36+政府消費!C36</f>
        <v>101641</v>
      </c>
      <c r="D36" s="75">
        <f>民間消費!D36+政府消費!D36</f>
        <v>101423</v>
      </c>
      <c r="E36" s="75">
        <f>民間消費!E36+政府消費!E36</f>
        <v>100037</v>
      </c>
      <c r="F36" s="75">
        <f>民間消費!F36+政府消費!F36</f>
        <v>99048</v>
      </c>
      <c r="G36" s="75">
        <f>民間消費!G36+政府消費!G36</f>
        <v>97387</v>
      </c>
      <c r="H36" s="75">
        <f>民間消費!H36+政府消費!H36</f>
        <v>101904</v>
      </c>
      <c r="I36" s="75">
        <f>民間消費!I36+政府消費!I36</f>
        <v>101048</v>
      </c>
      <c r="J36" s="75">
        <f>民間消費!J36+政府消費!J36</f>
        <v>104564</v>
      </c>
      <c r="K36" s="75">
        <f>民間消費!K36+政府消費!K36</f>
        <v>103249</v>
      </c>
      <c r="L36" s="75">
        <f>民間消費!L36+政府消費!L36</f>
        <v>104125</v>
      </c>
      <c r="M36" s="75">
        <f>民間消費!M36+政府消費!M36</f>
        <v>99829</v>
      </c>
      <c r="N36" s="75">
        <f>民間消費!N36+政府消費!N36</f>
        <v>102121</v>
      </c>
      <c r="O36" s="75">
        <f>民間消費!O36+政府消費!O36</f>
        <v>106500</v>
      </c>
      <c r="P36" s="75">
        <f>民間消費!P36+政府消費!P36</f>
        <v>109285</v>
      </c>
      <c r="Q36" s="75">
        <f>民間消費!Q36+政府消費!Q36</f>
        <v>106055</v>
      </c>
      <c r="R36" s="75">
        <f>民間消費!R36+政府消費!R36</f>
        <v>105857</v>
      </c>
      <c r="S36" s="75">
        <f>民間消費!S36+政府消費!S36</f>
        <v>113158</v>
      </c>
      <c r="T36" s="75">
        <f>民間消費!T36+政府消費!T36</f>
        <v>113441</v>
      </c>
      <c r="U36" s="75">
        <f>民間消費!U36+政府消費!U36</f>
        <v>115166</v>
      </c>
      <c r="V36" s="75">
        <f>民間消費!V36+政府消費!V36</f>
        <v>117863</v>
      </c>
      <c r="W36" s="75">
        <f>民間消費!Y36+政府消費!W36</f>
        <v>20613</v>
      </c>
      <c r="X36" s="75">
        <f>民間消費!Z36+政府消費!X36</f>
        <v>20829</v>
      </c>
    </row>
    <row r="37" spans="1:24">
      <c r="A37" s="92">
        <v>215</v>
      </c>
      <c r="B37" s="92" t="s">
        <v>232</v>
      </c>
      <c r="C37" s="75">
        <f>民間消費!C37+政府消費!C37</f>
        <v>195797</v>
      </c>
      <c r="D37" s="75">
        <f>民間消費!D37+政府消費!D37</f>
        <v>197498</v>
      </c>
      <c r="E37" s="75">
        <f>民間消費!E37+政府消費!E37</f>
        <v>196098</v>
      </c>
      <c r="F37" s="75">
        <f>民間消費!F37+政府消費!F37</f>
        <v>193595</v>
      </c>
      <c r="G37" s="75">
        <f>民間消費!G37+政府消費!G37</f>
        <v>183279</v>
      </c>
      <c r="H37" s="75">
        <f>民間消費!H37+政府消費!H37</f>
        <v>189693</v>
      </c>
      <c r="I37" s="75">
        <f>民間消費!I37+政府消費!I37</f>
        <v>191569</v>
      </c>
      <c r="J37" s="75">
        <f>民間消費!J37+政府消費!J37</f>
        <v>198210</v>
      </c>
      <c r="K37" s="75">
        <f>民間消費!K37+政府消費!K37</f>
        <v>198113</v>
      </c>
      <c r="L37" s="75">
        <f>民間消費!L37+政府消費!L37</f>
        <v>200329</v>
      </c>
      <c r="M37" s="75">
        <f>民間消費!M37+政府消費!M37</f>
        <v>200691</v>
      </c>
      <c r="N37" s="75">
        <f>民間消費!N37+政府消費!N37</f>
        <v>198052</v>
      </c>
      <c r="O37" s="75">
        <f>民間消費!O37+政府消費!O37</f>
        <v>210986</v>
      </c>
      <c r="P37" s="75">
        <f>民間消費!P37+政府消費!P37</f>
        <v>220609</v>
      </c>
      <c r="Q37" s="75">
        <f>民間消費!Q37+政府消費!Q37</f>
        <v>212243</v>
      </c>
      <c r="R37" s="75">
        <f>民間消費!R37+政府消費!R37</f>
        <v>217851</v>
      </c>
      <c r="S37" s="75">
        <f>民間消費!S37+政府消費!S37</f>
        <v>232849</v>
      </c>
      <c r="T37" s="75">
        <f>民間消費!T37+政府消費!T37</f>
        <v>235693</v>
      </c>
      <c r="U37" s="75">
        <f>民間消費!U37+政府消費!U37</f>
        <v>231390</v>
      </c>
      <c r="V37" s="75">
        <f>民間消費!V37+政府消費!V37</f>
        <v>239683</v>
      </c>
      <c r="W37" s="75">
        <f>民間消費!Y37+政府消費!W37</f>
        <v>44821</v>
      </c>
      <c r="X37" s="75">
        <f>民間消費!Z37+政府消費!X37</f>
        <v>45201</v>
      </c>
    </row>
    <row r="38" spans="1:24">
      <c r="A38" s="89">
        <v>218</v>
      </c>
      <c r="B38" s="90" t="s">
        <v>200</v>
      </c>
      <c r="C38" s="75">
        <f>民間消費!C38+政府消費!C38</f>
        <v>111093</v>
      </c>
      <c r="D38" s="75">
        <f>民間消費!D38+政府消費!D38</f>
        <v>112545</v>
      </c>
      <c r="E38" s="75">
        <f>民間消費!E38+政府消費!E38</f>
        <v>111759</v>
      </c>
      <c r="F38" s="75">
        <f>民間消費!F38+政府消費!F38</f>
        <v>111824</v>
      </c>
      <c r="G38" s="75">
        <f>民間消費!G38+政府消費!G38</f>
        <v>108470</v>
      </c>
      <c r="H38" s="75">
        <f>民間消費!H38+政府消費!H38</f>
        <v>114339</v>
      </c>
      <c r="I38" s="75">
        <f>民間消費!I38+政府消費!I38</f>
        <v>113944</v>
      </c>
      <c r="J38" s="75">
        <f>民間消費!J38+政府消費!J38</f>
        <v>118977</v>
      </c>
      <c r="K38" s="75">
        <f>民間消費!K38+政府消費!K38</f>
        <v>118465</v>
      </c>
      <c r="L38" s="75">
        <f>民間消費!L38+政府消費!L38</f>
        <v>119170</v>
      </c>
      <c r="M38" s="75">
        <f>民間消費!M38+政府消費!M38</f>
        <v>115214</v>
      </c>
      <c r="N38" s="75">
        <f>民間消費!N38+政府消費!N38</f>
        <v>119986</v>
      </c>
      <c r="O38" s="75">
        <f>民間消費!O38+政府消費!O38</f>
        <v>125258</v>
      </c>
      <c r="P38" s="75">
        <f>民間消費!P38+政府消費!P38</f>
        <v>129888</v>
      </c>
      <c r="Q38" s="75">
        <f>民間消費!Q38+政府消費!Q38</f>
        <v>126572</v>
      </c>
      <c r="R38" s="75">
        <f>民間消費!R38+政府消費!R38</f>
        <v>125821</v>
      </c>
      <c r="S38" s="75">
        <f>民間消費!S38+政府消費!S38</f>
        <v>137371</v>
      </c>
      <c r="T38" s="75">
        <f>民間消費!T38+政府消費!T38</f>
        <v>138306</v>
      </c>
      <c r="U38" s="75">
        <f>民間消費!U38+政府消費!U38</f>
        <v>139537</v>
      </c>
      <c r="V38" s="75">
        <f>民間消費!V38+政府消費!V38</f>
        <v>146034</v>
      </c>
      <c r="W38" s="75">
        <f>民間消費!Y38+政府消費!W38</f>
        <v>25267</v>
      </c>
      <c r="X38" s="75">
        <f>民間消費!Z38+政府消費!X38</f>
        <v>25359</v>
      </c>
    </row>
    <row r="39" spans="1:24">
      <c r="A39" s="89">
        <v>220</v>
      </c>
      <c r="B39" s="90" t="s">
        <v>201</v>
      </c>
      <c r="C39" s="75">
        <f>民間消費!C39+政府消費!C39</f>
        <v>106191</v>
      </c>
      <c r="D39" s="75">
        <f>民間消費!D39+政府消費!D39</f>
        <v>106946</v>
      </c>
      <c r="E39" s="75">
        <f>民間消費!E39+政府消費!E39</f>
        <v>105405</v>
      </c>
      <c r="F39" s="75">
        <f>民間消費!F39+政府消費!F39</f>
        <v>103806</v>
      </c>
      <c r="G39" s="75">
        <f>民間消費!G39+政府消費!G39</f>
        <v>101976</v>
      </c>
      <c r="H39" s="75">
        <f>民間消費!H39+政府消費!H39</f>
        <v>105404</v>
      </c>
      <c r="I39" s="75">
        <f>民間消費!I39+政府消費!I39</f>
        <v>104794</v>
      </c>
      <c r="J39" s="75">
        <f>民間消費!J39+政府消費!J39</f>
        <v>108604</v>
      </c>
      <c r="K39" s="75">
        <f>民間消費!K39+政府消費!K39</f>
        <v>107979</v>
      </c>
      <c r="L39" s="75">
        <f>民間消費!L39+政府消費!L39</f>
        <v>109020</v>
      </c>
      <c r="M39" s="75">
        <f>民間消費!M39+政府消費!M39</f>
        <v>106076</v>
      </c>
      <c r="N39" s="75">
        <f>民間消費!N39+政府消費!N39</f>
        <v>109288</v>
      </c>
      <c r="O39" s="75">
        <f>民間消費!O39+政府消費!O39</f>
        <v>115146</v>
      </c>
      <c r="P39" s="75">
        <f>民間消費!P39+政府消費!P39</f>
        <v>120063</v>
      </c>
      <c r="Q39" s="75">
        <f>民間消費!Q39+政府消費!Q39</f>
        <v>119993</v>
      </c>
      <c r="R39" s="75">
        <f>民間消費!R39+政府消費!R39</f>
        <v>120090</v>
      </c>
      <c r="S39" s="75">
        <f>民間消費!S39+政府消費!S39</f>
        <v>130888</v>
      </c>
      <c r="T39" s="75">
        <f>民間消費!T39+政府消費!T39</f>
        <v>132299</v>
      </c>
      <c r="U39" s="75">
        <f>民間消費!U39+政府消費!U39</f>
        <v>133167</v>
      </c>
      <c r="V39" s="75">
        <f>民間消費!V39+政府消費!V39</f>
        <v>138158</v>
      </c>
      <c r="W39" s="75">
        <f>民間消費!Y39+政府消費!W39</f>
        <v>31351</v>
      </c>
      <c r="X39" s="75">
        <f>民間消費!Z39+政府消費!X39</f>
        <v>31277</v>
      </c>
    </row>
    <row r="40" spans="1:24">
      <c r="A40" s="89">
        <v>228</v>
      </c>
      <c r="B40" s="90" t="s">
        <v>239</v>
      </c>
      <c r="C40" s="75">
        <f>民間消費!C40+政府消費!C40</f>
        <v>95992</v>
      </c>
      <c r="D40" s="75">
        <f>民間消費!D40+政府消費!D40</f>
        <v>96509</v>
      </c>
      <c r="E40" s="75">
        <f>民間消費!E40+政府消費!E40</f>
        <v>95151</v>
      </c>
      <c r="F40" s="75">
        <f>民間消費!F40+政府消費!F40</f>
        <v>95337</v>
      </c>
      <c r="G40" s="75">
        <f>民間消費!G40+政府消費!G40</f>
        <v>96032</v>
      </c>
      <c r="H40" s="75">
        <f>民間消費!H40+政府消費!H40</f>
        <v>99660</v>
      </c>
      <c r="I40" s="75">
        <f>民間消費!I40+政府消費!I40</f>
        <v>100486</v>
      </c>
      <c r="J40" s="75">
        <f>民間消費!J40+政府消費!J40</f>
        <v>105505</v>
      </c>
      <c r="K40" s="75">
        <f>民間消費!K40+政府消費!K40</f>
        <v>105429</v>
      </c>
      <c r="L40" s="75">
        <f>民間消費!L40+政府消費!L40</f>
        <v>108107</v>
      </c>
      <c r="M40" s="75">
        <f>民間消費!M40+政府消費!M40</f>
        <v>106016</v>
      </c>
      <c r="N40" s="75">
        <f>民間消費!N40+政府消費!N40</f>
        <v>109807</v>
      </c>
      <c r="O40" s="75">
        <f>民間消費!O40+政府消費!O40</f>
        <v>116538</v>
      </c>
      <c r="P40" s="75">
        <f>民間消費!P40+政府消費!P40</f>
        <v>122203</v>
      </c>
      <c r="Q40" s="75">
        <f>民間消費!Q40+政府消費!Q40</f>
        <v>123008</v>
      </c>
      <c r="R40" s="75">
        <f>民間消費!R40+政府消費!R40</f>
        <v>122391</v>
      </c>
      <c r="S40" s="75">
        <f>民間消費!S40+政府消費!S40</f>
        <v>131708</v>
      </c>
      <c r="T40" s="75">
        <f>民間消費!T40+政府消費!T40</f>
        <v>132298</v>
      </c>
      <c r="U40" s="75">
        <f>民間消費!U40+政府消費!U40</f>
        <v>136151</v>
      </c>
      <c r="V40" s="75">
        <f>民間消費!V40+政府消費!V40</f>
        <v>139907</v>
      </c>
      <c r="W40" s="75">
        <f>民間消費!Y40+政府消費!W40</f>
        <v>26194</v>
      </c>
      <c r="X40" s="75">
        <f>民間消費!Z40+政府消費!X40</f>
        <v>26605</v>
      </c>
    </row>
    <row r="41" spans="1:24">
      <c r="A41" s="89">
        <v>365</v>
      </c>
      <c r="B41" s="90" t="s">
        <v>233</v>
      </c>
      <c r="C41" s="75">
        <f>民間消費!C41+政府消費!C41</f>
        <v>51244</v>
      </c>
      <c r="D41" s="75">
        <f>民間消費!D41+政府消費!D41</f>
        <v>51910</v>
      </c>
      <c r="E41" s="75">
        <f>民間消費!E41+政府消費!E41</f>
        <v>51181</v>
      </c>
      <c r="F41" s="75">
        <f>民間消費!F41+政府消費!F41</f>
        <v>50595</v>
      </c>
      <c r="G41" s="75">
        <f>民間消費!G41+政府消費!G41</f>
        <v>49564</v>
      </c>
      <c r="H41" s="75">
        <f>民間消費!H41+政府消費!H41</f>
        <v>52236</v>
      </c>
      <c r="I41" s="75">
        <f>民間消費!I41+政府消費!I41</f>
        <v>52039</v>
      </c>
      <c r="J41" s="75">
        <f>民間消費!J41+政府消費!J41</f>
        <v>54419</v>
      </c>
      <c r="K41" s="75">
        <f>民間消費!K41+政府消費!K41</f>
        <v>53204</v>
      </c>
      <c r="L41" s="75">
        <f>民間消費!L41+政府消費!L41</f>
        <v>53221</v>
      </c>
      <c r="M41" s="75">
        <f>民間消費!M41+政府消費!M41</f>
        <v>50977</v>
      </c>
      <c r="N41" s="75">
        <f>民間消費!N41+政府消費!N41</f>
        <v>51220</v>
      </c>
      <c r="O41" s="75">
        <f>民間消費!O41+政府消費!O41</f>
        <v>52646</v>
      </c>
      <c r="P41" s="75">
        <f>民間消費!P41+政府消費!P41</f>
        <v>52724</v>
      </c>
      <c r="Q41" s="75">
        <f>民間消費!Q41+政府消費!Q41</f>
        <v>51439</v>
      </c>
      <c r="R41" s="75">
        <f>民間消費!R41+政府消費!R41</f>
        <v>51623</v>
      </c>
      <c r="S41" s="75">
        <f>民間消費!S41+政府消費!S41</f>
        <v>54063</v>
      </c>
      <c r="T41" s="75">
        <f>民間消費!T41+政府消費!T41</f>
        <v>53217</v>
      </c>
      <c r="U41" s="75">
        <f>民間消費!U41+政府消費!U41</f>
        <v>53818</v>
      </c>
      <c r="V41" s="75">
        <f>民間消費!V41+政府消費!V41</f>
        <v>56004</v>
      </c>
      <c r="W41" s="75">
        <f>民間消費!Y41+政府消費!W41</f>
        <v>13381</v>
      </c>
      <c r="X41" s="75">
        <f>民間消費!Z41+政府消費!X41</f>
        <v>13450</v>
      </c>
    </row>
    <row r="42" spans="1:24">
      <c r="A42" s="92">
        <v>5</v>
      </c>
      <c r="B42" s="91" t="s">
        <v>202</v>
      </c>
      <c r="C42" s="75">
        <f>民間消費!C42+政府消費!C42</f>
        <v>1421919</v>
      </c>
      <c r="D42" s="75">
        <f>民間消費!D42+政府消費!D42</f>
        <v>1447913</v>
      </c>
      <c r="E42" s="75">
        <f>民間消費!E42+政府消費!E42</f>
        <v>1441476</v>
      </c>
      <c r="F42" s="75">
        <f>民間消費!F42+政府消費!F42</f>
        <v>1438858</v>
      </c>
      <c r="G42" s="75">
        <f>民間消費!G42+政府消費!G42</f>
        <v>1450280</v>
      </c>
      <c r="H42" s="75">
        <f>民間消費!H42+政府消費!H42</f>
        <v>1451659</v>
      </c>
      <c r="I42" s="75">
        <f>民間消費!I42+政府消費!I42</f>
        <v>1448068</v>
      </c>
      <c r="J42" s="75">
        <f>民間消費!J42+政府消費!J42</f>
        <v>1486284</v>
      </c>
      <c r="K42" s="75">
        <f>民間消費!K42+政府消費!K42</f>
        <v>1487099</v>
      </c>
      <c r="L42" s="75">
        <f>民間消費!L42+政府消費!L42</f>
        <v>1525116</v>
      </c>
      <c r="M42" s="75">
        <f>民間消費!M42+政府消費!M42</f>
        <v>1526218</v>
      </c>
      <c r="N42" s="75">
        <f>民間消費!N42+政府消費!N42</f>
        <v>1526347</v>
      </c>
      <c r="O42" s="75">
        <f>民間消費!O42+政府消費!O42</f>
        <v>1510285</v>
      </c>
      <c r="P42" s="75">
        <f>民間消費!P42+政府消費!P42</f>
        <v>1497455</v>
      </c>
      <c r="Q42" s="75">
        <f>民間消費!Q42+政府消費!Q42</f>
        <v>1447664</v>
      </c>
      <c r="R42" s="75">
        <f>民間消費!R42+政府消費!R42</f>
        <v>1490046</v>
      </c>
      <c r="S42" s="75">
        <f>民間消費!S42+政府消費!S42</f>
        <v>1558416</v>
      </c>
      <c r="T42" s="75">
        <f>民間消費!T42+政府消費!T42</f>
        <v>1610341</v>
      </c>
      <c r="U42" s="75">
        <f>民間消費!U42+政府消費!U42</f>
        <v>1669216</v>
      </c>
      <c r="V42" s="75">
        <f>民間消費!V42+政府消費!V42</f>
        <v>1730508</v>
      </c>
      <c r="W42" s="75">
        <f>民間消費!Y42+政府消費!W42</f>
        <v>299756</v>
      </c>
      <c r="X42" s="75">
        <f>民間消費!Z42+政府消費!X42</f>
        <v>301635</v>
      </c>
    </row>
    <row r="43" spans="1:24">
      <c r="A43" s="92">
        <v>201</v>
      </c>
      <c r="B43" s="92" t="s">
        <v>240</v>
      </c>
      <c r="C43" s="75">
        <f>民間消費!C43+政府消費!C43</f>
        <v>1316324</v>
      </c>
      <c r="D43" s="75">
        <f>民間消費!D43+政府消費!D43</f>
        <v>1341700</v>
      </c>
      <c r="E43" s="75">
        <f>民間消費!E43+政府消費!E43</f>
        <v>1336430</v>
      </c>
      <c r="F43" s="75">
        <f>民間消費!F43+政府消費!F43</f>
        <v>1333828</v>
      </c>
      <c r="G43" s="75">
        <f>民間消費!G43+政府消費!G43</f>
        <v>1346733</v>
      </c>
      <c r="H43" s="75">
        <f>民間消費!H43+政府消費!H43</f>
        <v>1342136</v>
      </c>
      <c r="I43" s="75">
        <f>民間消費!I43+政府消費!I43</f>
        <v>1339921</v>
      </c>
      <c r="J43" s="75">
        <f>民間消費!J43+政府消費!J43</f>
        <v>1374240</v>
      </c>
      <c r="K43" s="75">
        <f>民間消費!K43+政府消費!K43</f>
        <v>1374660</v>
      </c>
      <c r="L43" s="75">
        <f>民間消費!L43+政府消費!L43</f>
        <v>1410124</v>
      </c>
      <c r="M43" s="75">
        <f>民間消費!M43+政府消費!M43</f>
        <v>1414059</v>
      </c>
      <c r="N43" s="75">
        <f>民間消費!N43+政府消費!N43</f>
        <v>1410362</v>
      </c>
      <c r="O43" s="75">
        <f>民間消費!O43+政府消費!O43</f>
        <v>1389446</v>
      </c>
      <c r="P43" s="75">
        <f>民間消費!P43+政府消費!P43</f>
        <v>1371995</v>
      </c>
      <c r="Q43" s="75">
        <f>民間消費!Q43+政府消費!Q43</f>
        <v>1326203</v>
      </c>
      <c r="R43" s="75">
        <f>民間消費!R43+政府消費!R43</f>
        <v>1369142</v>
      </c>
      <c r="S43" s="75">
        <f>民間消費!S43+政府消費!S43</f>
        <v>1429239</v>
      </c>
      <c r="T43" s="75">
        <f>民間消費!T43+政府消費!T43</f>
        <v>1479232</v>
      </c>
      <c r="U43" s="75">
        <f>民間消費!U43+政府消費!U43</f>
        <v>1535871</v>
      </c>
      <c r="V43" s="75">
        <f>民間消費!V43+政府消費!V43</f>
        <v>1594136</v>
      </c>
      <c r="W43" s="75">
        <f>民間消費!Y43+政府消費!W43</f>
        <v>266878</v>
      </c>
      <c r="X43" s="75">
        <f>民間消費!Z43+政府消費!X43</f>
        <v>268458</v>
      </c>
    </row>
    <row r="44" spans="1:24">
      <c r="A44" s="89">
        <v>442</v>
      </c>
      <c r="B44" s="90" t="s">
        <v>203</v>
      </c>
      <c r="C44" s="75">
        <f>民間消費!C44+政府消費!C44</f>
        <v>31021</v>
      </c>
      <c r="D44" s="75">
        <f>民間消費!D44+政府消費!D44</f>
        <v>31294</v>
      </c>
      <c r="E44" s="75">
        <f>民間消費!E44+政府消費!E44</f>
        <v>30903</v>
      </c>
      <c r="F44" s="75">
        <f>民間消費!F44+政府消費!F44</f>
        <v>30667</v>
      </c>
      <c r="G44" s="75">
        <f>民間消費!G44+政府消費!G44</f>
        <v>30188</v>
      </c>
      <c r="H44" s="75">
        <f>民間消費!H44+政府消費!H44</f>
        <v>31817</v>
      </c>
      <c r="I44" s="75">
        <f>民間消費!I44+政府消費!I44</f>
        <v>30950</v>
      </c>
      <c r="J44" s="75">
        <f>民間消費!J44+政府消費!J44</f>
        <v>32129</v>
      </c>
      <c r="K44" s="75">
        <f>民間消費!K44+政府消費!K44</f>
        <v>32328</v>
      </c>
      <c r="L44" s="75">
        <f>民間消費!L44+政府消費!L44</f>
        <v>33143</v>
      </c>
      <c r="M44" s="75">
        <f>民間消費!M44+政府消費!M44</f>
        <v>31606</v>
      </c>
      <c r="N44" s="75">
        <f>民間消費!N44+政府消費!N44</f>
        <v>32565</v>
      </c>
      <c r="O44" s="75">
        <f>民間消費!O44+政府消費!O44</f>
        <v>33321</v>
      </c>
      <c r="P44" s="75">
        <f>民間消費!P44+政府消費!P44</f>
        <v>34661</v>
      </c>
      <c r="Q44" s="75">
        <f>民間消費!Q44+政府消費!Q44</f>
        <v>33536</v>
      </c>
      <c r="R44" s="75">
        <f>民間消費!R44+政府消費!R44</f>
        <v>33427</v>
      </c>
      <c r="S44" s="75">
        <f>民間消費!S44+政府消費!S44</f>
        <v>35167</v>
      </c>
      <c r="T44" s="75">
        <f>民間消費!T44+政府消費!T44</f>
        <v>35257</v>
      </c>
      <c r="U44" s="75">
        <f>民間消費!U44+政府消費!U44</f>
        <v>35611</v>
      </c>
      <c r="V44" s="75">
        <f>民間消費!V44+政府消費!V44</f>
        <v>36261</v>
      </c>
      <c r="W44" s="75">
        <f>民間消費!Y44+政府消費!W44</f>
        <v>9268</v>
      </c>
      <c r="X44" s="75">
        <f>民間消費!Z44+政府消費!X44</f>
        <v>9326</v>
      </c>
    </row>
    <row r="45" spans="1:24">
      <c r="A45" s="89">
        <v>443</v>
      </c>
      <c r="B45" s="90" t="s">
        <v>204</v>
      </c>
      <c r="C45" s="75">
        <f>民間消費!C45+政府消費!C45</f>
        <v>44676</v>
      </c>
      <c r="D45" s="75">
        <f>民間消費!D45+政府消費!D45</f>
        <v>45174</v>
      </c>
      <c r="E45" s="75">
        <f>民間消費!E45+政府消費!E45</f>
        <v>44751</v>
      </c>
      <c r="F45" s="75">
        <f>民間消費!F45+政府消費!F45</f>
        <v>44768</v>
      </c>
      <c r="G45" s="75">
        <f>民間消費!G45+政府消費!G45</f>
        <v>44406</v>
      </c>
      <c r="H45" s="75">
        <f>民間消費!H45+政府消費!H45</f>
        <v>47144</v>
      </c>
      <c r="I45" s="75">
        <f>民間消費!I45+政府消費!I45</f>
        <v>46929</v>
      </c>
      <c r="J45" s="75">
        <f>民間消費!J45+政府消費!J45</f>
        <v>48745</v>
      </c>
      <c r="K45" s="75">
        <f>民間消費!K45+政府消費!K45</f>
        <v>49071</v>
      </c>
      <c r="L45" s="75">
        <f>民間消費!L45+政府消費!L45</f>
        <v>49764</v>
      </c>
      <c r="M45" s="75">
        <f>民間消費!M45+政府消費!M45</f>
        <v>49153</v>
      </c>
      <c r="N45" s="75">
        <f>民間消費!N45+政府消費!N45</f>
        <v>51428</v>
      </c>
      <c r="O45" s="75">
        <f>民間消費!O45+政府消費!O45</f>
        <v>54729</v>
      </c>
      <c r="P45" s="75">
        <f>民間消費!P45+政府消費!P45</f>
        <v>57333</v>
      </c>
      <c r="Q45" s="75">
        <f>民間消費!Q45+政府消費!Q45</f>
        <v>55961</v>
      </c>
      <c r="R45" s="75">
        <f>民間消費!R45+政府消費!R45</f>
        <v>55818</v>
      </c>
      <c r="S45" s="75">
        <f>民間消費!S45+政府消費!S45</f>
        <v>60118</v>
      </c>
      <c r="T45" s="75">
        <f>民間消費!T45+政府消費!T45</f>
        <v>61642</v>
      </c>
      <c r="U45" s="75">
        <f>民間消費!U45+政府消費!U45</f>
        <v>62696</v>
      </c>
      <c r="V45" s="75">
        <f>民間消費!V45+政府消費!V45</f>
        <v>64470</v>
      </c>
      <c r="W45" s="75">
        <f>民間消費!Y45+政府消費!W45</f>
        <v>12146</v>
      </c>
      <c r="X45" s="75">
        <f>民間消費!Z45+政府消費!X45</f>
        <v>12286</v>
      </c>
    </row>
    <row r="46" spans="1:24">
      <c r="A46" s="89">
        <v>446</v>
      </c>
      <c r="B46" s="90" t="s">
        <v>234</v>
      </c>
      <c r="C46" s="75">
        <f>民間消費!C46+政府消費!C46</f>
        <v>29898</v>
      </c>
      <c r="D46" s="75">
        <f>民間消費!D46+政府消費!D46</f>
        <v>29745</v>
      </c>
      <c r="E46" s="75">
        <f>民間消費!E46+政府消費!E46</f>
        <v>29392</v>
      </c>
      <c r="F46" s="75">
        <f>民間消費!F46+政府消費!F46</f>
        <v>29595</v>
      </c>
      <c r="G46" s="75">
        <f>民間消費!G46+政府消費!G46</f>
        <v>28953</v>
      </c>
      <c r="H46" s="75">
        <f>民間消費!H46+政府消費!H46</f>
        <v>30562</v>
      </c>
      <c r="I46" s="75">
        <f>民間消費!I46+政府消費!I46</f>
        <v>30268</v>
      </c>
      <c r="J46" s="75">
        <f>民間消費!J46+政府消費!J46</f>
        <v>31170</v>
      </c>
      <c r="K46" s="75">
        <f>民間消費!K46+政府消費!K46</f>
        <v>31040</v>
      </c>
      <c r="L46" s="75">
        <f>民間消費!L46+政府消費!L46</f>
        <v>32085</v>
      </c>
      <c r="M46" s="75">
        <f>民間消費!M46+政府消費!M46</f>
        <v>31400</v>
      </c>
      <c r="N46" s="75">
        <f>民間消費!N46+政府消費!N46</f>
        <v>31992</v>
      </c>
      <c r="O46" s="75">
        <f>民間消費!O46+政府消費!O46</f>
        <v>32789</v>
      </c>
      <c r="P46" s="75">
        <f>民間消費!P46+政府消費!P46</f>
        <v>33466</v>
      </c>
      <c r="Q46" s="75">
        <f>民間消費!Q46+政府消費!Q46</f>
        <v>31964</v>
      </c>
      <c r="R46" s="75">
        <f>民間消費!R46+政府消費!R46</f>
        <v>31659</v>
      </c>
      <c r="S46" s="75">
        <f>民間消費!S46+政府消費!S46</f>
        <v>33892</v>
      </c>
      <c r="T46" s="75">
        <f>民間消費!T46+政府消費!T46</f>
        <v>34210</v>
      </c>
      <c r="U46" s="75">
        <f>民間消費!U46+政府消費!U46</f>
        <v>35038</v>
      </c>
      <c r="V46" s="75">
        <f>民間消費!V46+政府消費!V46</f>
        <v>35641</v>
      </c>
      <c r="W46" s="75">
        <f>民間消費!Y46+政府消費!W46</f>
        <v>11464</v>
      </c>
      <c r="X46" s="75">
        <f>民間消費!Z46+政府消費!X46</f>
        <v>11565</v>
      </c>
    </row>
    <row r="47" spans="1:24">
      <c r="A47" s="92">
        <v>6</v>
      </c>
      <c r="B47" s="91" t="s">
        <v>205</v>
      </c>
      <c r="C47" s="75">
        <f>民間消費!C47+政府消費!C47</f>
        <v>655337</v>
      </c>
      <c r="D47" s="75">
        <f>民間消費!D47+政府消費!D47</f>
        <v>660401</v>
      </c>
      <c r="E47" s="75">
        <f>民間消費!E47+政府消費!E47</f>
        <v>656180</v>
      </c>
      <c r="F47" s="75">
        <f>民間消費!F47+政府消費!F47</f>
        <v>658377</v>
      </c>
      <c r="G47" s="75">
        <f>民間消費!G47+政府消費!G47</f>
        <v>639516</v>
      </c>
      <c r="H47" s="75">
        <f>民間消費!H47+政府消費!H47</f>
        <v>668575</v>
      </c>
      <c r="I47" s="75">
        <f>民間消費!I47+政府消費!I47</f>
        <v>665324</v>
      </c>
      <c r="J47" s="75">
        <f>民間消費!J47+政府消費!J47</f>
        <v>680638</v>
      </c>
      <c r="K47" s="75">
        <f>民間消費!K47+政府消費!K47</f>
        <v>672927</v>
      </c>
      <c r="L47" s="75">
        <f>民間消費!L47+政府消費!L47</f>
        <v>677117</v>
      </c>
      <c r="M47" s="75">
        <f>民間消費!M47+政府消費!M47</f>
        <v>656107</v>
      </c>
      <c r="N47" s="75">
        <f>民間消費!N47+政府消費!N47</f>
        <v>661967</v>
      </c>
      <c r="O47" s="75">
        <f>民間消費!O47+政府消費!O47</f>
        <v>690158</v>
      </c>
      <c r="P47" s="75">
        <f>民間消費!P47+政府消費!P47</f>
        <v>707891</v>
      </c>
      <c r="Q47" s="75">
        <f>民間消費!Q47+政府消費!Q47</f>
        <v>683934</v>
      </c>
      <c r="R47" s="75">
        <f>民間消費!R47+政府消費!R47</f>
        <v>685042</v>
      </c>
      <c r="S47" s="75">
        <f>民間消費!S47+政府消費!S47</f>
        <v>738367</v>
      </c>
      <c r="T47" s="75">
        <f>民間消費!T47+政府消費!T47</f>
        <v>739934</v>
      </c>
      <c r="U47" s="75">
        <f>民間消費!U47+政府消費!U47</f>
        <v>738072</v>
      </c>
      <c r="V47" s="75">
        <f>民間消費!V47+政府消費!V47</f>
        <v>760184</v>
      </c>
      <c r="W47" s="75">
        <f>民間消費!Y47+政府消費!W47</f>
        <v>147360</v>
      </c>
      <c r="X47" s="75">
        <f>民間消費!Z47+政府消費!X47</f>
        <v>148209</v>
      </c>
    </row>
    <row r="48" spans="1:24">
      <c r="A48" s="89">
        <v>208</v>
      </c>
      <c r="B48" s="90" t="s">
        <v>206</v>
      </c>
      <c r="C48" s="75">
        <f>民間消費!C48+政府消費!C48</f>
        <v>81953</v>
      </c>
      <c r="D48" s="75">
        <f>民間消費!D48+政府消費!D48</f>
        <v>82124</v>
      </c>
      <c r="E48" s="75">
        <f>民間消費!E48+政府消費!E48</f>
        <v>81748</v>
      </c>
      <c r="F48" s="75">
        <f>民間消費!F48+政府消費!F48</f>
        <v>80772</v>
      </c>
      <c r="G48" s="75">
        <f>民間消費!G48+政府消費!G48</f>
        <v>79779</v>
      </c>
      <c r="H48" s="75">
        <f>民間消費!H48+政府消費!H48</f>
        <v>82812</v>
      </c>
      <c r="I48" s="75">
        <f>民間消費!I48+政府消費!I48</f>
        <v>82711</v>
      </c>
      <c r="J48" s="75">
        <f>民間消費!J48+政府消費!J48</f>
        <v>84847</v>
      </c>
      <c r="K48" s="75">
        <f>民間消費!K48+政府消費!K48</f>
        <v>84106</v>
      </c>
      <c r="L48" s="75">
        <f>民間消費!L48+政府消費!L48</f>
        <v>84198</v>
      </c>
      <c r="M48" s="75">
        <f>民間消費!M48+政府消費!M48</f>
        <v>80769</v>
      </c>
      <c r="N48" s="75">
        <f>民間消費!N48+政府消費!N48</f>
        <v>82419</v>
      </c>
      <c r="O48" s="75">
        <f>民間消費!O48+政府消費!O48</f>
        <v>85716</v>
      </c>
      <c r="P48" s="75">
        <f>民間消費!P48+政府消費!P48</f>
        <v>86400</v>
      </c>
      <c r="Q48" s="75">
        <f>民間消費!Q48+政府消費!Q48</f>
        <v>83363</v>
      </c>
      <c r="R48" s="75">
        <f>民間消費!R48+政府消費!R48</f>
        <v>82326</v>
      </c>
      <c r="S48" s="75">
        <f>民間消費!S48+政府消費!S48</f>
        <v>88642</v>
      </c>
      <c r="T48" s="75">
        <f>民間消費!T48+政府消費!T48</f>
        <v>87559</v>
      </c>
      <c r="U48" s="75">
        <f>民間消費!U48+政府消費!U48</f>
        <v>87268</v>
      </c>
      <c r="V48" s="75">
        <f>民間消費!V48+政府消費!V48</f>
        <v>90273</v>
      </c>
      <c r="W48" s="75">
        <f>民間消費!Y48+政府消費!W48</f>
        <v>15947</v>
      </c>
      <c r="X48" s="75">
        <f>民間消費!Z48+政府消費!X48</f>
        <v>15974</v>
      </c>
    </row>
    <row r="49" spans="1:24">
      <c r="A49" s="89">
        <v>212</v>
      </c>
      <c r="B49" s="90" t="s">
        <v>207</v>
      </c>
      <c r="C49" s="75">
        <f>民間消費!C49+政府消費!C49</f>
        <v>127722</v>
      </c>
      <c r="D49" s="75">
        <f>民間消費!D49+政府消費!D49</f>
        <v>128111</v>
      </c>
      <c r="E49" s="75">
        <f>民間消費!E49+政府消費!E49</f>
        <v>128158</v>
      </c>
      <c r="F49" s="75">
        <f>民間消費!F49+政府消費!F49</f>
        <v>126163</v>
      </c>
      <c r="G49" s="75">
        <f>民間消費!G49+政府消費!G49</f>
        <v>125464</v>
      </c>
      <c r="H49" s="75">
        <f>民間消費!H49+政府消費!H49</f>
        <v>132509</v>
      </c>
      <c r="I49" s="75">
        <f>民間消費!I49+政府消費!I49</f>
        <v>128976</v>
      </c>
      <c r="J49" s="75">
        <f>民間消費!J49+政府消費!J49</f>
        <v>135040</v>
      </c>
      <c r="K49" s="75">
        <f>民間消費!K49+政府消費!K49</f>
        <v>132926</v>
      </c>
      <c r="L49" s="75">
        <f>民間消費!L49+政府消費!L49</f>
        <v>134364</v>
      </c>
      <c r="M49" s="75">
        <f>民間消費!M49+政府消費!M49</f>
        <v>129417</v>
      </c>
      <c r="N49" s="75">
        <f>民間消費!N49+政府消費!N49</f>
        <v>131788</v>
      </c>
      <c r="O49" s="75">
        <f>民間消費!O49+政府消費!O49</f>
        <v>136978</v>
      </c>
      <c r="P49" s="75">
        <f>民間消費!P49+政府消費!P49</f>
        <v>140436</v>
      </c>
      <c r="Q49" s="75">
        <f>民間消費!Q49+政府消費!Q49</f>
        <v>135854</v>
      </c>
      <c r="R49" s="75">
        <f>民間消費!R49+政府消費!R49</f>
        <v>135530</v>
      </c>
      <c r="S49" s="75">
        <f>民間消費!S49+政府消費!S49</f>
        <v>146125</v>
      </c>
      <c r="T49" s="75">
        <f>民間消費!T49+政府消費!T49</f>
        <v>144661</v>
      </c>
      <c r="U49" s="75">
        <f>民間消費!U49+政府消費!U49</f>
        <v>146346</v>
      </c>
      <c r="V49" s="75">
        <f>民間消費!V49+政府消費!V49</f>
        <v>150899</v>
      </c>
      <c r="W49" s="75">
        <f>民間消費!Y49+政府消費!W49</f>
        <v>28127</v>
      </c>
      <c r="X49" s="75">
        <f>民間消費!Z49+政府消費!X49</f>
        <v>28405</v>
      </c>
    </row>
    <row r="50" spans="1:24">
      <c r="A50" s="89">
        <v>227</v>
      </c>
      <c r="B50" s="90" t="s">
        <v>219</v>
      </c>
      <c r="C50" s="75">
        <f>民間消費!C50+政府消費!C50</f>
        <v>98032</v>
      </c>
      <c r="D50" s="75">
        <f>民間消費!D50+政府消費!D50</f>
        <v>98179</v>
      </c>
      <c r="E50" s="75">
        <f>民間消費!E50+政府消費!E50</f>
        <v>97235</v>
      </c>
      <c r="F50" s="75">
        <f>民間消費!F50+政府消費!F50</f>
        <v>97805</v>
      </c>
      <c r="G50" s="75">
        <f>民間消費!G50+政府消費!G50</f>
        <v>94589</v>
      </c>
      <c r="H50" s="75">
        <f>民間消費!H50+政府消費!H50</f>
        <v>99529</v>
      </c>
      <c r="I50" s="75">
        <f>民間消費!I50+政府消費!I50</f>
        <v>98784</v>
      </c>
      <c r="J50" s="75">
        <f>民間消費!J50+政府消費!J50</f>
        <v>99087</v>
      </c>
      <c r="K50" s="75">
        <f>民間消費!K50+政府消費!K50</f>
        <v>97873</v>
      </c>
      <c r="L50" s="75">
        <f>民間消費!L50+政府消費!L50</f>
        <v>98556</v>
      </c>
      <c r="M50" s="75">
        <f>民間消費!M50+政府消費!M50</f>
        <v>94497</v>
      </c>
      <c r="N50" s="75">
        <f>民間消費!N50+政府消費!N50</f>
        <v>96362</v>
      </c>
      <c r="O50" s="75">
        <f>民間消費!O50+政府消費!O50</f>
        <v>99788</v>
      </c>
      <c r="P50" s="75">
        <f>民間消費!P50+政府消費!P50</f>
        <v>102707</v>
      </c>
      <c r="Q50" s="75">
        <f>民間消費!Q50+政府消費!Q50</f>
        <v>99622</v>
      </c>
      <c r="R50" s="75">
        <f>民間消費!R50+政府消費!R50</f>
        <v>99354</v>
      </c>
      <c r="S50" s="75">
        <f>民間消費!S50+政府消費!S50</f>
        <v>106388</v>
      </c>
      <c r="T50" s="75">
        <f>民間消費!T50+政府消費!T50</f>
        <v>106604</v>
      </c>
      <c r="U50" s="75">
        <f>民間消費!U50+政府消費!U50</f>
        <v>106793</v>
      </c>
      <c r="V50" s="75">
        <f>民間消費!V50+政府消費!V50</f>
        <v>109543</v>
      </c>
      <c r="W50" s="75">
        <f>民間消費!Y50+政府消費!W50</f>
        <v>28039</v>
      </c>
      <c r="X50" s="75">
        <f>民間消費!Z50+政府消費!X50</f>
        <v>28044</v>
      </c>
    </row>
    <row r="51" spans="1:24">
      <c r="A51" s="89">
        <v>229</v>
      </c>
      <c r="B51" s="90" t="s">
        <v>235</v>
      </c>
      <c r="C51" s="75">
        <f>民間消費!C51+政府消費!C51</f>
        <v>181613</v>
      </c>
      <c r="D51" s="75">
        <f>民間消費!D51+政府消費!D51</f>
        <v>184333</v>
      </c>
      <c r="E51" s="75">
        <f>民間消費!E51+政府消費!E51</f>
        <v>181881</v>
      </c>
      <c r="F51" s="75">
        <f>民間消費!F51+政府消費!F51</f>
        <v>182726</v>
      </c>
      <c r="G51" s="75">
        <f>民間消費!G51+政府消費!G51</f>
        <v>175456</v>
      </c>
      <c r="H51" s="75">
        <f>民間消費!H51+政府消費!H51</f>
        <v>181212</v>
      </c>
      <c r="I51" s="75">
        <f>民間消費!I51+政府消費!I51</f>
        <v>183567</v>
      </c>
      <c r="J51" s="75">
        <f>民間消費!J51+政府消費!J51</f>
        <v>186735</v>
      </c>
      <c r="K51" s="75">
        <f>民間消費!K51+政府消費!K51</f>
        <v>186024</v>
      </c>
      <c r="L51" s="75">
        <f>民間消費!L51+政府消費!L51</f>
        <v>186578</v>
      </c>
      <c r="M51" s="75">
        <f>民間消費!M51+政府消費!M51</f>
        <v>184979</v>
      </c>
      <c r="N51" s="75">
        <f>民間消費!N51+政府消費!N51</f>
        <v>181512</v>
      </c>
      <c r="O51" s="75">
        <f>民間消費!O51+政府消費!O51</f>
        <v>191398</v>
      </c>
      <c r="P51" s="75">
        <f>民間消費!P51+政府消費!P51</f>
        <v>197672</v>
      </c>
      <c r="Q51" s="75">
        <f>民間消費!Q51+政府消費!Q51</f>
        <v>188713</v>
      </c>
      <c r="R51" s="75">
        <f>民間消費!R51+政府消費!R51</f>
        <v>193352</v>
      </c>
      <c r="S51" s="75">
        <f>民間消費!S51+政府消費!S51</f>
        <v>207741</v>
      </c>
      <c r="T51" s="75">
        <f>民間消費!T51+政府消費!T51</f>
        <v>210496</v>
      </c>
      <c r="U51" s="75">
        <f>民間消費!U51+政府消費!U51</f>
        <v>205540</v>
      </c>
      <c r="V51" s="75">
        <f>民間消費!V51+政府消費!V51</f>
        <v>211833</v>
      </c>
      <c r="W51" s="75">
        <f>民間消費!Y51+政府消費!W51</f>
        <v>35451</v>
      </c>
      <c r="X51" s="75">
        <f>民間消費!Z51+政府消費!X51</f>
        <v>35765</v>
      </c>
    </row>
    <row r="52" spans="1:24">
      <c r="A52" s="89">
        <v>464</v>
      </c>
      <c r="B52" s="90" t="s">
        <v>208</v>
      </c>
      <c r="C52" s="75">
        <f>民間消費!C52+政府消費!C52</f>
        <v>72099</v>
      </c>
      <c r="D52" s="75">
        <f>民間消費!D52+政府消費!D52</f>
        <v>73635</v>
      </c>
      <c r="E52" s="75">
        <f>民間消費!E52+政府消費!E52</f>
        <v>73621</v>
      </c>
      <c r="F52" s="75">
        <f>民間消費!F52+政府消費!F52</f>
        <v>73919</v>
      </c>
      <c r="G52" s="75">
        <f>民間消費!G52+政府消費!G52</f>
        <v>73062</v>
      </c>
      <c r="H52" s="75">
        <f>民間消費!H52+政府消費!H52</f>
        <v>77716</v>
      </c>
      <c r="I52" s="75">
        <f>民間消費!I52+政府消費!I52</f>
        <v>77633</v>
      </c>
      <c r="J52" s="75">
        <f>民間消費!J52+政府消費!J52</f>
        <v>80815</v>
      </c>
      <c r="K52" s="75">
        <f>民間消費!K52+政府消費!K52</f>
        <v>79552</v>
      </c>
      <c r="L52" s="75">
        <f>民間消費!L52+政府消費!L52</f>
        <v>80606</v>
      </c>
      <c r="M52" s="75">
        <f>民間消費!M52+政府消費!M52</f>
        <v>78326</v>
      </c>
      <c r="N52" s="75">
        <f>民間消費!N52+政府消費!N52</f>
        <v>81550</v>
      </c>
      <c r="O52" s="75">
        <f>民間消費!O52+政府消費!O52</f>
        <v>85357</v>
      </c>
      <c r="P52" s="75">
        <f>民間消費!P52+政府消費!P52</f>
        <v>88113</v>
      </c>
      <c r="Q52" s="75">
        <f>民間消費!Q52+政府消費!Q52</f>
        <v>86095</v>
      </c>
      <c r="R52" s="75">
        <f>民間消費!R52+政府消費!R52</f>
        <v>85729</v>
      </c>
      <c r="S52" s="75">
        <f>民間消費!S52+政府消費!S52</f>
        <v>94100</v>
      </c>
      <c r="T52" s="75">
        <f>民間消費!T52+政府消費!T52</f>
        <v>94888</v>
      </c>
      <c r="U52" s="75">
        <f>民間消費!U52+政府消費!U52</f>
        <v>96655</v>
      </c>
      <c r="V52" s="75">
        <f>民間消費!V52+政府消費!V52</f>
        <v>99890</v>
      </c>
      <c r="W52" s="75">
        <f>民間消費!Y52+政府消費!W52</f>
        <v>13731</v>
      </c>
      <c r="X52" s="75">
        <f>民間消費!Z52+政府消費!X52</f>
        <v>13876</v>
      </c>
    </row>
    <row r="53" spans="1:24">
      <c r="A53" s="89">
        <v>481</v>
      </c>
      <c r="B53" s="90" t="s">
        <v>209</v>
      </c>
      <c r="C53" s="75">
        <f>民間消費!C53+政府消費!C53</f>
        <v>41087</v>
      </c>
      <c r="D53" s="75">
        <f>民間消費!D53+政府消費!D53</f>
        <v>41405</v>
      </c>
      <c r="E53" s="75">
        <f>民間消費!E53+政府消費!E53</f>
        <v>41050</v>
      </c>
      <c r="F53" s="75">
        <f>民間消費!F53+政府消費!F53</f>
        <v>41402</v>
      </c>
      <c r="G53" s="75">
        <f>民間消費!G53+政府消費!G53</f>
        <v>40465</v>
      </c>
      <c r="H53" s="75">
        <f>民間消費!H53+政府消費!H53</f>
        <v>42440</v>
      </c>
      <c r="I53" s="75">
        <f>民間消費!I53+政府消費!I53</f>
        <v>41861</v>
      </c>
      <c r="J53" s="75">
        <f>民間消費!J53+政府消費!J53</f>
        <v>42978</v>
      </c>
      <c r="K53" s="75">
        <f>民間消費!K53+政府消費!K53</f>
        <v>42401</v>
      </c>
      <c r="L53" s="75">
        <f>民間消費!L53+政府消費!L53</f>
        <v>42169</v>
      </c>
      <c r="M53" s="75">
        <f>民間消費!M53+政府消費!M53</f>
        <v>40223</v>
      </c>
      <c r="N53" s="75">
        <f>民間消費!N53+政府消費!N53</f>
        <v>40287</v>
      </c>
      <c r="O53" s="75">
        <f>民間消費!O53+政府消費!O53</f>
        <v>41731</v>
      </c>
      <c r="P53" s="75">
        <f>民間消費!P53+政府消費!P53</f>
        <v>42911</v>
      </c>
      <c r="Q53" s="75">
        <f>民間消費!Q53+政府消費!Q53</f>
        <v>41078</v>
      </c>
      <c r="R53" s="75">
        <f>民間消費!R53+政府消費!R53</f>
        <v>41105</v>
      </c>
      <c r="S53" s="75">
        <f>民間消費!S53+政府消費!S53</f>
        <v>43587</v>
      </c>
      <c r="T53" s="75">
        <f>民間消費!T53+政府消費!T53</f>
        <v>45012</v>
      </c>
      <c r="U53" s="75">
        <f>民間消費!U53+政府消費!U53</f>
        <v>44025</v>
      </c>
      <c r="V53" s="75">
        <f>民間消費!V53+政府消費!V53</f>
        <v>45226</v>
      </c>
      <c r="W53" s="75">
        <f>民間消費!Y53+政府消費!W53</f>
        <v>10551</v>
      </c>
      <c r="X53" s="75">
        <f>民間消費!Z53+政府消費!X53</f>
        <v>10399</v>
      </c>
    </row>
    <row r="54" spans="1:24">
      <c r="A54" s="89">
        <v>501</v>
      </c>
      <c r="B54" s="90" t="s">
        <v>236</v>
      </c>
      <c r="C54" s="75">
        <f>民間消費!C54+政府消費!C54</f>
        <v>52831</v>
      </c>
      <c r="D54" s="75">
        <f>民間消費!D54+政府消費!D54</f>
        <v>52614</v>
      </c>
      <c r="E54" s="75">
        <f>民間消費!E54+政府消費!E54</f>
        <v>52487</v>
      </c>
      <c r="F54" s="75">
        <f>民間消費!F54+政府消費!F54</f>
        <v>55590</v>
      </c>
      <c r="G54" s="75">
        <f>民間消費!G54+政府消費!G54</f>
        <v>50701</v>
      </c>
      <c r="H54" s="75">
        <f>民間消費!H54+政府消費!H54</f>
        <v>52357</v>
      </c>
      <c r="I54" s="75">
        <f>民間消費!I54+政府消費!I54</f>
        <v>51792</v>
      </c>
      <c r="J54" s="75">
        <f>民間消費!J54+政府消費!J54</f>
        <v>51136</v>
      </c>
      <c r="K54" s="75">
        <f>民間消費!K54+政府消費!K54</f>
        <v>50045</v>
      </c>
      <c r="L54" s="75">
        <f>民間消費!L54+政府消費!L54</f>
        <v>50646</v>
      </c>
      <c r="M54" s="75">
        <f>民間消費!M54+政府消費!M54</f>
        <v>47896</v>
      </c>
      <c r="N54" s="75">
        <f>民間消費!N54+政府消費!N54</f>
        <v>48049</v>
      </c>
      <c r="O54" s="75">
        <f>民間消費!O54+政府消費!O54</f>
        <v>49190</v>
      </c>
      <c r="P54" s="75">
        <f>民間消費!P54+政府消費!P54</f>
        <v>49652</v>
      </c>
      <c r="Q54" s="75">
        <f>民間消費!Q54+政府消費!Q54</f>
        <v>49209</v>
      </c>
      <c r="R54" s="75">
        <f>民間消費!R54+政府消費!R54</f>
        <v>47646</v>
      </c>
      <c r="S54" s="75">
        <f>民間消費!S54+政府消費!S54</f>
        <v>51784</v>
      </c>
      <c r="T54" s="75">
        <f>民間消費!T54+政府消費!T54</f>
        <v>50714</v>
      </c>
      <c r="U54" s="75">
        <f>民間消費!U54+政府消費!U54</f>
        <v>51445</v>
      </c>
      <c r="V54" s="75">
        <f>民間消費!V54+政府消費!V54</f>
        <v>52520</v>
      </c>
      <c r="W54" s="75">
        <f>民間消費!Y54+政府消費!W54</f>
        <v>15514</v>
      </c>
      <c r="X54" s="75">
        <f>民間消費!Z54+政府消費!X54</f>
        <v>15746</v>
      </c>
    </row>
    <row r="55" spans="1:24">
      <c r="A55" s="89">
        <v>7</v>
      </c>
      <c r="B55" s="93" t="s">
        <v>210</v>
      </c>
      <c r="C55" s="75">
        <f>民間消費!C55+政府消費!C55</f>
        <v>510851</v>
      </c>
      <c r="D55" s="75">
        <f>民間消費!D55+政府消費!D55</f>
        <v>507771</v>
      </c>
      <c r="E55" s="75">
        <f>民間消費!E55+政府消費!E55</f>
        <v>496767</v>
      </c>
      <c r="F55" s="75">
        <f>民間消費!F55+政府消費!F55</f>
        <v>491979</v>
      </c>
      <c r="G55" s="75">
        <f>民間消費!G55+政府消費!G55</f>
        <v>474468</v>
      </c>
      <c r="H55" s="75">
        <f>民間消費!H55+政府消費!H55</f>
        <v>494196</v>
      </c>
      <c r="I55" s="75">
        <f>民間消費!I55+政府消費!I55</f>
        <v>495274</v>
      </c>
      <c r="J55" s="75">
        <f>民間消費!J55+政府消費!J55</f>
        <v>508220</v>
      </c>
      <c r="K55" s="75">
        <f>民間消費!K55+政府消費!K55</f>
        <v>503167</v>
      </c>
      <c r="L55" s="75">
        <f>民間消費!L55+政府消費!L55</f>
        <v>505182</v>
      </c>
      <c r="M55" s="75">
        <f>民間消費!M55+政府消費!M55</f>
        <v>493612</v>
      </c>
      <c r="N55" s="75">
        <f>民間消費!N55+政府消費!N55</f>
        <v>490179</v>
      </c>
      <c r="O55" s="75">
        <f>民間消費!O55+政府消費!O55</f>
        <v>505353</v>
      </c>
      <c r="P55" s="75">
        <f>民間消費!P55+政府消費!P55</f>
        <v>517289</v>
      </c>
      <c r="Q55" s="75">
        <f>民間消費!Q55+政府消費!Q55</f>
        <v>499457</v>
      </c>
      <c r="R55" s="75">
        <f>民間消費!R55+政府消費!R55</f>
        <v>505995</v>
      </c>
      <c r="S55" s="75">
        <f>民間消費!S55+政府消費!S55</f>
        <v>542722</v>
      </c>
      <c r="T55" s="75">
        <f>民間消費!T55+政府消費!T55</f>
        <v>540081</v>
      </c>
      <c r="U55" s="75">
        <f>民間消費!U55+政府消費!U55</f>
        <v>539987</v>
      </c>
      <c r="V55" s="75">
        <f>民間消費!V55+政府消費!V55</f>
        <v>552812</v>
      </c>
      <c r="W55" s="75">
        <f>民間消費!Y55+政府消費!W55</f>
        <v>140565</v>
      </c>
      <c r="X55" s="75">
        <f>民間消費!Z55+政府消費!X55</f>
        <v>142102</v>
      </c>
    </row>
    <row r="56" spans="1:24">
      <c r="A56" s="89">
        <v>209</v>
      </c>
      <c r="B56" s="90" t="s">
        <v>221</v>
      </c>
      <c r="C56" s="75">
        <f>民間消費!C56+政府消費!C56</f>
        <v>235415</v>
      </c>
      <c r="D56" s="75">
        <f>民間消費!D56+政府消費!D56</f>
        <v>235139</v>
      </c>
      <c r="E56" s="75">
        <f>民間消費!E56+政府消費!E56</f>
        <v>230818</v>
      </c>
      <c r="F56" s="75">
        <f>民間消費!F56+政府消費!F56</f>
        <v>229376</v>
      </c>
      <c r="G56" s="75">
        <f>民間消費!G56+政府消費!G56</f>
        <v>217076</v>
      </c>
      <c r="H56" s="75">
        <f>民間消費!H56+政府消費!H56</f>
        <v>225435</v>
      </c>
      <c r="I56" s="75">
        <f>民間消費!I56+政府消費!I56</f>
        <v>228353</v>
      </c>
      <c r="J56" s="75">
        <f>民間消費!J56+政府消費!J56</f>
        <v>237010</v>
      </c>
      <c r="K56" s="75">
        <f>民間消費!K56+政府消費!K56</f>
        <v>236794</v>
      </c>
      <c r="L56" s="75">
        <f>民間消費!L56+政府消費!L56</f>
        <v>238612</v>
      </c>
      <c r="M56" s="75">
        <f>民間消費!M56+政府消費!M56</f>
        <v>235904</v>
      </c>
      <c r="N56" s="75">
        <f>民間消費!N56+政府消費!N56</f>
        <v>230064</v>
      </c>
      <c r="O56" s="75">
        <f>民間消費!O56+政府消費!O56</f>
        <v>240028</v>
      </c>
      <c r="P56" s="75">
        <f>民間消費!P56+政府消費!P56</f>
        <v>247492</v>
      </c>
      <c r="Q56" s="75">
        <f>民間消費!Q56+政府消費!Q56</f>
        <v>236178</v>
      </c>
      <c r="R56" s="75">
        <f>民間消費!R56+政府消費!R56</f>
        <v>244499</v>
      </c>
      <c r="S56" s="75">
        <f>民間消費!S56+政府消費!S56</f>
        <v>263468</v>
      </c>
      <c r="T56" s="75">
        <f>民間消費!T56+政府消費!T56</f>
        <v>260974</v>
      </c>
      <c r="U56" s="75">
        <f>民間消費!U56+政府消費!U56</f>
        <v>256281</v>
      </c>
      <c r="V56" s="75">
        <f>民間消費!V56+政府消費!V56</f>
        <v>264416</v>
      </c>
      <c r="W56" s="75">
        <f>民間消費!Y56+政府消費!W56</f>
        <v>58341</v>
      </c>
      <c r="X56" s="75">
        <f>民間消費!Z56+政府消費!X56</f>
        <v>59042</v>
      </c>
    </row>
    <row r="57" spans="1:24">
      <c r="A57" s="89">
        <v>222</v>
      </c>
      <c r="B57" s="90" t="s">
        <v>218</v>
      </c>
      <c r="C57" s="75">
        <f>民間消費!C57+政府消費!C57</f>
        <v>76299</v>
      </c>
      <c r="D57" s="75">
        <f>民間消費!D57+政府消費!D57</f>
        <v>74966</v>
      </c>
      <c r="E57" s="75">
        <f>民間消費!E57+政府消費!E57</f>
        <v>73220</v>
      </c>
      <c r="F57" s="75">
        <f>民間消費!F57+政府消費!F57</f>
        <v>73283</v>
      </c>
      <c r="G57" s="75">
        <f>民間消費!G57+政府消費!G57</f>
        <v>71597</v>
      </c>
      <c r="H57" s="75">
        <f>民間消費!H57+政府消費!H57</f>
        <v>74531</v>
      </c>
      <c r="I57" s="75">
        <f>民間消費!I57+政府消費!I57</f>
        <v>74050</v>
      </c>
      <c r="J57" s="75">
        <f>民間消費!J57+政府消費!J57</f>
        <v>74509</v>
      </c>
      <c r="K57" s="75">
        <f>民間消費!K57+政府消費!K57</f>
        <v>73315</v>
      </c>
      <c r="L57" s="75">
        <f>民間消費!L57+政府消費!L57</f>
        <v>72325</v>
      </c>
      <c r="M57" s="75">
        <f>民間消費!M57+政府消費!M57</f>
        <v>70399</v>
      </c>
      <c r="N57" s="75">
        <f>民間消費!N57+政府消費!N57</f>
        <v>70867</v>
      </c>
      <c r="O57" s="75">
        <f>民間消費!O57+政府消費!O57</f>
        <v>72252</v>
      </c>
      <c r="P57" s="75">
        <f>民間消費!P57+政府消費!P57</f>
        <v>72851</v>
      </c>
      <c r="Q57" s="75">
        <f>民間消費!Q57+政府消費!Q57</f>
        <v>72168</v>
      </c>
      <c r="R57" s="75">
        <f>民間消費!R57+政府消費!R57</f>
        <v>72167</v>
      </c>
      <c r="S57" s="75">
        <f>民間消費!S57+政府消費!S57</f>
        <v>76043</v>
      </c>
      <c r="T57" s="75">
        <f>民間消費!T57+政府消費!T57</f>
        <v>76466</v>
      </c>
      <c r="U57" s="75">
        <f>民間消費!U57+政府消費!U57</f>
        <v>77385</v>
      </c>
      <c r="V57" s="75">
        <f>民間消費!V57+政府消費!V57</f>
        <v>78421</v>
      </c>
      <c r="W57" s="75">
        <f>民間消費!Y57+政府消費!W57</f>
        <v>23009</v>
      </c>
      <c r="X57" s="75">
        <f>民間消費!Z57+政府消費!X57</f>
        <v>23214</v>
      </c>
    </row>
    <row r="58" spans="1:24">
      <c r="A58" s="89">
        <v>225</v>
      </c>
      <c r="B58" s="90" t="s">
        <v>222</v>
      </c>
      <c r="C58" s="75">
        <f>民間消費!C58+政府消費!C58</f>
        <v>99010</v>
      </c>
      <c r="D58" s="75">
        <f>民間消費!D58+政府消費!D58</f>
        <v>98680</v>
      </c>
      <c r="E58" s="75">
        <f>民間消費!E58+政府消費!E58</f>
        <v>96094</v>
      </c>
      <c r="F58" s="75">
        <f>民間消費!F58+政府消費!F58</f>
        <v>94373</v>
      </c>
      <c r="G58" s="75">
        <f>民間消費!G58+政府消費!G58</f>
        <v>92702</v>
      </c>
      <c r="H58" s="75">
        <f>民間消費!H58+政府消費!H58</f>
        <v>96710</v>
      </c>
      <c r="I58" s="75">
        <f>民間消費!I58+政府消費!I58</f>
        <v>96070</v>
      </c>
      <c r="J58" s="75">
        <f>民間消費!J58+政府消費!J58</f>
        <v>96701</v>
      </c>
      <c r="K58" s="75">
        <f>民間消費!K58+政府消費!K58</f>
        <v>94909</v>
      </c>
      <c r="L58" s="75">
        <f>民間消費!L58+政府消費!L58</f>
        <v>95086</v>
      </c>
      <c r="M58" s="75">
        <f>民間消費!M58+政府消費!M58</f>
        <v>92248</v>
      </c>
      <c r="N58" s="75">
        <f>民間消費!N58+政府消費!N58</f>
        <v>93050</v>
      </c>
      <c r="O58" s="75">
        <f>民間消費!O58+政府消費!O58</f>
        <v>95994</v>
      </c>
      <c r="P58" s="75">
        <f>民間消費!P58+政府消費!P58</f>
        <v>98111</v>
      </c>
      <c r="Q58" s="75">
        <f>民間消費!Q58+政府消費!Q58</f>
        <v>93793</v>
      </c>
      <c r="R58" s="75">
        <f>民間消費!R58+政府消費!R58</f>
        <v>93173</v>
      </c>
      <c r="S58" s="75">
        <f>民間消費!S58+政府消費!S58</f>
        <v>101174</v>
      </c>
      <c r="T58" s="75">
        <f>民間消費!T58+政府消費!T58</f>
        <v>100091</v>
      </c>
      <c r="U58" s="75">
        <f>民間消費!U58+政府消費!U58</f>
        <v>101045</v>
      </c>
      <c r="V58" s="75">
        <f>民間消費!V58+政府消費!V58</f>
        <v>103789</v>
      </c>
      <c r="W58" s="75">
        <f>民間消費!Y58+政府消費!W58</f>
        <v>25447</v>
      </c>
      <c r="X58" s="75">
        <f>民間消費!Z58+政府消費!X58</f>
        <v>25654</v>
      </c>
    </row>
    <row r="59" spans="1:24">
      <c r="A59" s="89">
        <v>585</v>
      </c>
      <c r="B59" s="90" t="s">
        <v>220</v>
      </c>
      <c r="C59" s="75">
        <f>民間消費!C59+政府消費!C59</f>
        <v>54320</v>
      </c>
      <c r="D59" s="75">
        <f>民間消費!D59+政府消費!D59</f>
        <v>53629</v>
      </c>
      <c r="E59" s="75">
        <f>民間消費!E59+政府消費!E59</f>
        <v>52324</v>
      </c>
      <c r="F59" s="75">
        <f>民間消費!F59+政府消費!F59</f>
        <v>51324</v>
      </c>
      <c r="G59" s="75">
        <f>民間消費!G59+政府消費!G59</f>
        <v>50825</v>
      </c>
      <c r="H59" s="75">
        <f>民間消費!H59+政府消費!H59</f>
        <v>53088</v>
      </c>
      <c r="I59" s="75">
        <f>民間消費!I59+政府消費!I59</f>
        <v>52557</v>
      </c>
      <c r="J59" s="75">
        <f>民間消費!J59+政府消費!J59</f>
        <v>54351</v>
      </c>
      <c r="K59" s="75">
        <f>民間消費!K59+政府消費!K59</f>
        <v>53285</v>
      </c>
      <c r="L59" s="75">
        <f>民間消費!L59+政府消費!L59</f>
        <v>53910</v>
      </c>
      <c r="M59" s="75">
        <f>民間消費!M59+政府消費!M59</f>
        <v>51902</v>
      </c>
      <c r="N59" s="75">
        <f>民間消費!N59+政府消費!N59</f>
        <v>52679</v>
      </c>
      <c r="O59" s="75">
        <f>民間消費!O59+政府消費!O59</f>
        <v>53157</v>
      </c>
      <c r="P59" s="75">
        <f>民間消費!P59+政府消費!P59</f>
        <v>54072</v>
      </c>
      <c r="Q59" s="75">
        <f>民間消費!Q59+政府消費!Q59</f>
        <v>53569</v>
      </c>
      <c r="R59" s="75">
        <f>民間消費!R59+政府消費!R59</f>
        <v>52404</v>
      </c>
      <c r="S59" s="75">
        <f>民間消費!S59+政府消費!S59</f>
        <v>54988</v>
      </c>
      <c r="T59" s="75">
        <f>民間消費!T59+政府消費!T59</f>
        <v>55359</v>
      </c>
      <c r="U59" s="75">
        <f>民間消費!U59+政府消費!U59</f>
        <v>56818</v>
      </c>
      <c r="V59" s="75">
        <f>民間消費!V59+政府消費!V59</f>
        <v>57035</v>
      </c>
      <c r="W59" s="75">
        <f>民間消費!Y59+政府消費!W59</f>
        <v>17957</v>
      </c>
      <c r="X59" s="75">
        <f>民間消費!Z59+政府消費!X59</f>
        <v>18188</v>
      </c>
    </row>
    <row r="60" spans="1:24">
      <c r="A60" s="89">
        <v>586</v>
      </c>
      <c r="B60" s="90" t="s">
        <v>237</v>
      </c>
      <c r="C60" s="75">
        <f>民間消費!C60+政府消費!C60</f>
        <v>45807</v>
      </c>
      <c r="D60" s="75">
        <f>民間消費!D60+政府消費!D60</f>
        <v>45357</v>
      </c>
      <c r="E60" s="75">
        <f>民間消費!E60+政府消費!E60</f>
        <v>44311</v>
      </c>
      <c r="F60" s="75">
        <f>民間消費!F60+政府消費!F60</f>
        <v>43623</v>
      </c>
      <c r="G60" s="75">
        <f>民間消費!G60+政府消費!G60</f>
        <v>42268</v>
      </c>
      <c r="H60" s="75">
        <f>民間消費!H60+政府消費!H60</f>
        <v>44432</v>
      </c>
      <c r="I60" s="75">
        <f>民間消費!I60+政府消費!I60</f>
        <v>44244</v>
      </c>
      <c r="J60" s="75">
        <f>民間消費!J60+政府消費!J60</f>
        <v>45649</v>
      </c>
      <c r="K60" s="75">
        <f>民間消費!K60+政府消費!K60</f>
        <v>44864</v>
      </c>
      <c r="L60" s="75">
        <f>民間消費!L60+政府消費!L60</f>
        <v>45249</v>
      </c>
      <c r="M60" s="75">
        <f>民間消費!M60+政府消費!M60</f>
        <v>43159</v>
      </c>
      <c r="N60" s="75">
        <f>民間消費!N60+政府消費!N60</f>
        <v>43519</v>
      </c>
      <c r="O60" s="75">
        <f>民間消費!O60+政府消費!O60</f>
        <v>43922</v>
      </c>
      <c r="P60" s="75">
        <f>民間消費!P60+政府消費!P60</f>
        <v>44763</v>
      </c>
      <c r="Q60" s="75">
        <f>民間消費!Q60+政府消費!Q60</f>
        <v>43749</v>
      </c>
      <c r="R60" s="75">
        <f>民間消費!R60+政府消費!R60</f>
        <v>43752</v>
      </c>
      <c r="S60" s="75">
        <f>民間消費!S60+政府消費!S60</f>
        <v>47049</v>
      </c>
      <c r="T60" s="75">
        <f>民間消費!T60+政府消費!T60</f>
        <v>47191</v>
      </c>
      <c r="U60" s="75">
        <f>民間消費!U60+政府消費!U60</f>
        <v>48458</v>
      </c>
      <c r="V60" s="75">
        <f>民間消費!V60+政府消費!V60</f>
        <v>49151</v>
      </c>
      <c r="W60" s="75">
        <f>民間消費!Y60+政府消費!W60</f>
        <v>15811</v>
      </c>
      <c r="X60" s="75">
        <f>民間消費!Z60+政府消費!X60</f>
        <v>16004</v>
      </c>
    </row>
    <row r="61" spans="1:24">
      <c r="A61" s="92">
        <v>8</v>
      </c>
      <c r="B61" s="86" t="s">
        <v>211</v>
      </c>
      <c r="C61" s="75">
        <f>民間消費!C61+政府消費!C61</f>
        <v>299064</v>
      </c>
      <c r="D61" s="75">
        <f>民間消費!D61+政府消費!D61</f>
        <v>298252</v>
      </c>
      <c r="E61" s="75">
        <f>民間消費!E61+政府消費!E61</f>
        <v>292021</v>
      </c>
      <c r="F61" s="75">
        <f>民間消費!F61+政府消費!F61</f>
        <v>287352</v>
      </c>
      <c r="G61" s="75">
        <f>民間消費!G61+政府消費!G61</f>
        <v>280800</v>
      </c>
      <c r="H61" s="75">
        <f>民間消費!H61+政府消費!H61</f>
        <v>294838</v>
      </c>
      <c r="I61" s="75">
        <f>民間消費!I61+政府消費!I61</f>
        <v>292616</v>
      </c>
      <c r="J61" s="75">
        <f>民間消費!J61+政府消費!J61</f>
        <v>303133</v>
      </c>
      <c r="K61" s="75">
        <f>民間消費!K61+政府消費!K61</f>
        <v>301424</v>
      </c>
      <c r="L61" s="75">
        <f>民間消費!L61+政府消費!L61</f>
        <v>304674</v>
      </c>
      <c r="M61" s="75">
        <f>民間消費!M61+政府消費!M61</f>
        <v>294291</v>
      </c>
      <c r="N61" s="75">
        <f>民間消費!N61+政府消費!N61</f>
        <v>300619</v>
      </c>
      <c r="O61" s="75">
        <f>民間消費!O61+政府消費!O61</f>
        <v>312759</v>
      </c>
      <c r="P61" s="75">
        <f>民間消費!P61+政府消費!P61</f>
        <v>322040</v>
      </c>
      <c r="Q61" s="75">
        <f>民間消費!Q61+政府消費!Q61</f>
        <v>308059</v>
      </c>
      <c r="R61" s="75">
        <f>民間消費!R61+政府消費!R61</f>
        <v>313129</v>
      </c>
      <c r="S61" s="75">
        <f>民間消費!S61+政府消費!S61</f>
        <v>336258</v>
      </c>
      <c r="T61" s="75">
        <f>民間消費!T61+政府消費!T61</f>
        <v>342936</v>
      </c>
      <c r="U61" s="75">
        <f>民間消費!U61+政府消費!U61</f>
        <v>340874</v>
      </c>
      <c r="V61" s="75">
        <f>民間消費!V61+政府消費!V61</f>
        <v>350097</v>
      </c>
      <c r="W61" s="75">
        <f>民間消費!Y61+政府消費!W61</f>
        <v>80164</v>
      </c>
      <c r="X61" s="75">
        <f>民間消費!Z61+政府消費!X61</f>
        <v>80560</v>
      </c>
    </row>
    <row r="62" spans="1:24">
      <c r="A62" s="89">
        <v>221</v>
      </c>
      <c r="B62" s="90" t="s">
        <v>1144</v>
      </c>
      <c r="C62" s="75">
        <f>民間消費!C62+政府消費!C62</f>
        <v>122269</v>
      </c>
      <c r="D62" s="75">
        <f>民間消費!D62+政府消費!D62</f>
        <v>121726</v>
      </c>
      <c r="E62" s="75">
        <f>民間消費!E62+政府消費!E62</f>
        <v>117717</v>
      </c>
      <c r="F62" s="75">
        <f>民間消費!F62+政府消費!F62</f>
        <v>115111</v>
      </c>
      <c r="G62" s="75">
        <f>民間消費!G62+政府消費!G62</f>
        <v>113712</v>
      </c>
      <c r="H62" s="75">
        <f>民間消費!H62+政府消費!H62</f>
        <v>119668</v>
      </c>
      <c r="I62" s="75">
        <f>民間消費!I62+政府消費!I62</f>
        <v>119762</v>
      </c>
      <c r="J62" s="75">
        <f>民間消費!J62+政府消費!J62</f>
        <v>124272</v>
      </c>
      <c r="K62" s="75">
        <f>民間消費!K62+政府消費!K62</f>
        <v>123058</v>
      </c>
      <c r="L62" s="75">
        <f>民間消費!L62+政府消費!L62</f>
        <v>124611</v>
      </c>
      <c r="M62" s="75">
        <f>民間消費!M62+政府消費!M62</f>
        <v>120158</v>
      </c>
      <c r="N62" s="75">
        <f>民間消費!N62+政府消費!N62</f>
        <v>122505</v>
      </c>
      <c r="O62" s="75">
        <f>民間消費!O62+政府消費!O62</f>
        <v>127314</v>
      </c>
      <c r="P62" s="75">
        <f>民間消費!P62+政府消費!P62</f>
        <v>131323</v>
      </c>
      <c r="Q62" s="75">
        <f>民間消費!Q62+政府消費!Q62</f>
        <v>127575</v>
      </c>
      <c r="R62" s="75">
        <f>民間消費!R62+政府消費!R62</f>
        <v>127929</v>
      </c>
      <c r="S62" s="75">
        <f>民間消費!S62+政府消費!S62</f>
        <v>138878</v>
      </c>
      <c r="T62" s="75">
        <f>民間消費!T62+政府消費!T62</f>
        <v>140193</v>
      </c>
      <c r="U62" s="75">
        <f>民間消費!U62+政府消費!U62</f>
        <v>142136</v>
      </c>
      <c r="V62" s="75">
        <f>民間消費!V62+政府消費!V62</f>
        <v>145872</v>
      </c>
      <c r="W62" s="75">
        <f>民間消費!Y62+政府消費!W62</f>
        <v>35516</v>
      </c>
      <c r="X62" s="75">
        <f>民間消費!Z62+政府消費!X62</f>
        <v>35737</v>
      </c>
    </row>
    <row r="63" spans="1:24">
      <c r="A63" s="89">
        <v>223</v>
      </c>
      <c r="B63" s="90" t="s">
        <v>223</v>
      </c>
      <c r="C63" s="75">
        <f>民間消費!C63+政府消費!C63</f>
        <v>176795</v>
      </c>
      <c r="D63" s="75">
        <f>民間消費!D63+政府消費!D63</f>
        <v>176526</v>
      </c>
      <c r="E63" s="75">
        <f>民間消費!E63+政府消費!E63</f>
        <v>174304</v>
      </c>
      <c r="F63" s="75">
        <f>民間消費!F63+政府消費!F63</f>
        <v>172241</v>
      </c>
      <c r="G63" s="75">
        <f>民間消費!G63+政府消費!G63</f>
        <v>167088</v>
      </c>
      <c r="H63" s="75">
        <f>民間消費!H63+政府消費!H63</f>
        <v>175170</v>
      </c>
      <c r="I63" s="75">
        <f>民間消費!I63+政府消費!I63</f>
        <v>172854</v>
      </c>
      <c r="J63" s="75">
        <f>民間消費!J63+政府消費!J63</f>
        <v>178861</v>
      </c>
      <c r="K63" s="75">
        <f>民間消費!K63+政府消費!K63</f>
        <v>178366</v>
      </c>
      <c r="L63" s="75">
        <f>民間消費!L63+政府消費!L63</f>
        <v>180063</v>
      </c>
      <c r="M63" s="75">
        <f>民間消費!M63+政府消費!M63</f>
        <v>174133</v>
      </c>
      <c r="N63" s="75">
        <f>民間消費!N63+政府消費!N63</f>
        <v>178114</v>
      </c>
      <c r="O63" s="75">
        <f>民間消費!O63+政府消費!O63</f>
        <v>185445</v>
      </c>
      <c r="P63" s="75">
        <f>民間消費!P63+政府消費!P63</f>
        <v>190717</v>
      </c>
      <c r="Q63" s="75">
        <f>民間消費!Q63+政府消費!Q63</f>
        <v>180484</v>
      </c>
      <c r="R63" s="75">
        <f>民間消費!R63+政府消費!R63</f>
        <v>185200</v>
      </c>
      <c r="S63" s="75">
        <f>民間消費!S63+政府消費!S63</f>
        <v>197380</v>
      </c>
      <c r="T63" s="75">
        <f>民間消費!T63+政府消費!T63</f>
        <v>202743</v>
      </c>
      <c r="U63" s="75">
        <f>民間消費!U63+政府消費!U63</f>
        <v>198738</v>
      </c>
      <c r="V63" s="75">
        <f>民間消費!V63+政府消費!V63</f>
        <v>204225</v>
      </c>
      <c r="W63" s="75">
        <f>民間消費!Y63+政府消費!W63</f>
        <v>44648</v>
      </c>
      <c r="X63" s="75">
        <f>民間消費!Z63+政府消費!X63</f>
        <v>44823</v>
      </c>
    </row>
    <row r="64" spans="1:24">
      <c r="A64" s="92">
        <v>9</v>
      </c>
      <c r="B64" s="94" t="s">
        <v>212</v>
      </c>
      <c r="C64" s="75">
        <f>民間消費!C64+政府消費!C64</f>
        <v>359582</v>
      </c>
      <c r="D64" s="75">
        <f>民間消費!D64+政府消費!D64</f>
        <v>357707</v>
      </c>
      <c r="E64" s="75">
        <f>民間消費!E64+政府消費!E64</f>
        <v>352536</v>
      </c>
      <c r="F64" s="75">
        <f>民間消費!F64+政府消費!F64</f>
        <v>353718</v>
      </c>
      <c r="G64" s="75">
        <f>民間消費!G64+政府消費!G64</f>
        <v>341274</v>
      </c>
      <c r="H64" s="75">
        <f>民間消費!H64+政府消費!H64</f>
        <v>357309</v>
      </c>
      <c r="I64" s="75">
        <f>民間消費!I64+政府消費!I64</f>
        <v>354247</v>
      </c>
      <c r="J64" s="75">
        <f>民間消費!J64+政府消費!J64</f>
        <v>369417</v>
      </c>
      <c r="K64" s="75">
        <f>民間消費!K64+政府消費!K64</f>
        <v>364240</v>
      </c>
      <c r="L64" s="75">
        <f>民間消費!L64+政府消費!L64</f>
        <v>369694</v>
      </c>
      <c r="M64" s="75">
        <f>民間消費!M64+政府消費!M64</f>
        <v>354198</v>
      </c>
      <c r="N64" s="75">
        <f>民間消費!N64+政府消費!N64</f>
        <v>361400</v>
      </c>
      <c r="O64" s="75">
        <f>民間消費!O64+政府消費!O64</f>
        <v>374642</v>
      </c>
      <c r="P64" s="75">
        <f>民間消費!P64+政府消費!P64</f>
        <v>387341</v>
      </c>
      <c r="Q64" s="75">
        <f>民間消費!Q64+政府消費!Q64</f>
        <v>381978</v>
      </c>
      <c r="R64" s="75">
        <f>民間消費!R64+政府消費!R64</f>
        <v>391843</v>
      </c>
      <c r="S64" s="75">
        <f>民間消費!S64+政府消費!S64</f>
        <v>410503</v>
      </c>
      <c r="T64" s="75">
        <f>民間消費!T64+政府消費!T64</f>
        <v>412348</v>
      </c>
      <c r="U64" s="75">
        <f>民間消費!U64+政府消費!U64</f>
        <v>414534</v>
      </c>
      <c r="V64" s="75">
        <f>民間消費!V64+政府消費!V64</f>
        <v>428865</v>
      </c>
      <c r="W64" s="75">
        <f>民間消費!Y64+政府消費!W64</f>
        <v>109813</v>
      </c>
      <c r="X64" s="75">
        <f>民間消費!Z64+政府消費!X64</f>
        <v>109947</v>
      </c>
    </row>
    <row r="65" spans="1:24">
      <c r="A65" s="92">
        <v>205</v>
      </c>
      <c r="B65" s="92" t="s">
        <v>241</v>
      </c>
      <c r="C65" s="75">
        <f>民間消費!C65+政府消費!C65</f>
        <v>122980</v>
      </c>
      <c r="D65" s="75">
        <f>民間消費!D65+政府消費!D65</f>
        <v>121879</v>
      </c>
      <c r="E65" s="75">
        <f>民間消費!E65+政府消費!E65</f>
        <v>119434</v>
      </c>
      <c r="F65" s="75">
        <f>民間消費!F65+政府消費!F65</f>
        <v>119320</v>
      </c>
      <c r="G65" s="75">
        <f>民間消費!G65+政府消費!G65</f>
        <v>115662</v>
      </c>
      <c r="H65" s="75">
        <f>民間消費!H65+政府消費!H65</f>
        <v>120495</v>
      </c>
      <c r="I65" s="75">
        <f>民間消費!I65+政府消費!I65</f>
        <v>120174</v>
      </c>
      <c r="J65" s="75">
        <f>民間消費!J65+政府消費!J65</f>
        <v>124998</v>
      </c>
      <c r="K65" s="75">
        <f>民間消費!K65+政府消費!K65</f>
        <v>121960</v>
      </c>
      <c r="L65" s="75">
        <f>民間消費!L65+政府消費!L65</f>
        <v>123155</v>
      </c>
      <c r="M65" s="75">
        <f>民間消費!M65+政府消費!M65</f>
        <v>118455</v>
      </c>
      <c r="N65" s="75">
        <f>民間消費!N65+政府消費!N65</f>
        <v>121730</v>
      </c>
      <c r="O65" s="75">
        <f>民間消費!O65+政府消費!O65</f>
        <v>125515</v>
      </c>
      <c r="P65" s="75">
        <f>民間消費!P65+政府消費!P65</f>
        <v>130226</v>
      </c>
      <c r="Q65" s="75">
        <f>民間消費!Q65+政府消費!Q65</f>
        <v>131680</v>
      </c>
      <c r="R65" s="75">
        <f>民間消費!R65+政府消費!R65</f>
        <v>140482</v>
      </c>
      <c r="S65" s="75">
        <f>民間消費!S65+政府消費!S65</f>
        <v>137450</v>
      </c>
      <c r="T65" s="75">
        <f>民間消費!T65+政府消費!T65</f>
        <v>134009</v>
      </c>
      <c r="U65" s="75">
        <f>民間消費!U65+政府消費!U65</f>
        <v>133861</v>
      </c>
      <c r="V65" s="75">
        <f>民間消費!V65+政府消費!V65</f>
        <v>140731</v>
      </c>
      <c r="W65" s="75">
        <f>民間消費!Y65+政府消費!W65</f>
        <v>30920</v>
      </c>
      <c r="X65" s="75">
        <f>民間消費!Z65+政府消費!X65</f>
        <v>30916</v>
      </c>
    </row>
    <row r="66" spans="1:24">
      <c r="A66" s="89">
        <v>224</v>
      </c>
      <c r="B66" s="90" t="s">
        <v>224</v>
      </c>
      <c r="C66" s="75">
        <f>民間消費!C66+政府消費!C66</f>
        <v>117291</v>
      </c>
      <c r="D66" s="75">
        <f>民間消費!D66+政府消費!D66</f>
        <v>117302</v>
      </c>
      <c r="E66" s="75">
        <f>民間消費!E66+政府消費!E66</f>
        <v>116538</v>
      </c>
      <c r="F66" s="75">
        <f>民間消費!F66+政府消費!F66</f>
        <v>116920</v>
      </c>
      <c r="G66" s="75">
        <f>民間消費!G66+政府消費!G66</f>
        <v>112591</v>
      </c>
      <c r="H66" s="75">
        <f>民間消費!H66+政府消費!H66</f>
        <v>117925</v>
      </c>
      <c r="I66" s="75">
        <f>民間消費!I66+政府消費!I66</f>
        <v>115547</v>
      </c>
      <c r="J66" s="75">
        <f>民間消費!J66+政府消費!J66</f>
        <v>120777</v>
      </c>
      <c r="K66" s="75">
        <f>民間消費!K66+政府消費!K66</f>
        <v>118765</v>
      </c>
      <c r="L66" s="75">
        <f>民間消費!L66+政府消費!L66</f>
        <v>122073</v>
      </c>
      <c r="M66" s="75">
        <f>民間消費!M66+政府消費!M66</f>
        <v>116189</v>
      </c>
      <c r="N66" s="75">
        <f>民間消費!N66+政府消費!N66</f>
        <v>117767</v>
      </c>
      <c r="O66" s="75">
        <f>民間消費!O66+政府消費!O66</f>
        <v>123405</v>
      </c>
      <c r="P66" s="75">
        <f>民間消費!P66+政府消費!P66</f>
        <v>126972</v>
      </c>
      <c r="Q66" s="75">
        <f>民間消費!Q66+政府消費!Q66</f>
        <v>123500</v>
      </c>
      <c r="R66" s="75">
        <f>民間消費!R66+政府消費!R66</f>
        <v>124473</v>
      </c>
      <c r="S66" s="75">
        <f>民間消費!S66+政府消費!S66</f>
        <v>134250</v>
      </c>
      <c r="T66" s="75">
        <f>民間消費!T66+政府消費!T66</f>
        <v>135727</v>
      </c>
      <c r="U66" s="75">
        <f>民間消費!U66+政府消費!U66</f>
        <v>136205</v>
      </c>
      <c r="V66" s="75">
        <f>民間消費!V66+政府消費!V66</f>
        <v>140794</v>
      </c>
      <c r="W66" s="75">
        <f>民間消費!Y66+政府消費!W66</f>
        <v>37149</v>
      </c>
      <c r="X66" s="75">
        <f>民間消費!Z66+政府消費!X66</f>
        <v>37143</v>
      </c>
    </row>
    <row r="67" spans="1:24">
      <c r="A67" s="204">
        <v>226</v>
      </c>
      <c r="B67" s="201" t="s">
        <v>225</v>
      </c>
      <c r="C67" s="132">
        <f>民間消費!C67+政府消費!C67</f>
        <v>119311</v>
      </c>
      <c r="D67" s="132">
        <f>民間消費!D67+政府消費!D67</f>
        <v>118526</v>
      </c>
      <c r="E67" s="132">
        <f>民間消費!E67+政府消費!E67</f>
        <v>116564</v>
      </c>
      <c r="F67" s="132">
        <f>民間消費!F67+政府消費!F67</f>
        <v>117478</v>
      </c>
      <c r="G67" s="132">
        <f>民間消費!G67+政府消費!G67</f>
        <v>113021</v>
      </c>
      <c r="H67" s="132">
        <f>民間消費!H67+政府消費!H67</f>
        <v>118889</v>
      </c>
      <c r="I67" s="132">
        <f>民間消費!I67+政府消費!I67</f>
        <v>118526</v>
      </c>
      <c r="J67" s="132">
        <f>民間消費!J67+政府消費!J67</f>
        <v>123642</v>
      </c>
      <c r="K67" s="132">
        <f>民間消費!K67+政府消費!K67</f>
        <v>123515</v>
      </c>
      <c r="L67" s="132">
        <f>民間消費!L67+政府消費!L67</f>
        <v>124466</v>
      </c>
      <c r="M67" s="132">
        <f>民間消費!M67+政府消費!M67</f>
        <v>119554</v>
      </c>
      <c r="N67" s="132">
        <f>民間消費!N67+政府消費!N67</f>
        <v>121903</v>
      </c>
      <c r="O67" s="132">
        <f>民間消費!O67+政府消費!O67</f>
        <v>125722</v>
      </c>
      <c r="P67" s="132">
        <f>民間消費!P67+政府消費!P67</f>
        <v>130143</v>
      </c>
      <c r="Q67" s="132">
        <f>民間消費!Q67+政府消費!Q67</f>
        <v>126798</v>
      </c>
      <c r="R67" s="132">
        <f>民間消費!R67+政府消費!R67</f>
        <v>126888</v>
      </c>
      <c r="S67" s="132">
        <f>民間消費!S67+政府消費!S67</f>
        <v>138803</v>
      </c>
      <c r="T67" s="132">
        <f>民間消費!T67+政府消費!T67</f>
        <v>142612</v>
      </c>
      <c r="U67" s="132">
        <f>民間消費!U67+政府消費!U67</f>
        <v>144468</v>
      </c>
      <c r="V67" s="132">
        <f>民間消費!V67+政府消費!V67</f>
        <v>147340</v>
      </c>
      <c r="W67" s="132">
        <f>民間消費!Y67+政府消費!W67</f>
        <v>41744</v>
      </c>
      <c r="X67" s="132">
        <f>民間消費!Z67+政府消費!X67</f>
        <v>41888</v>
      </c>
    </row>
    <row r="68" spans="1:24">
      <c r="A68" s="75" t="s">
        <v>822</v>
      </c>
    </row>
    <row r="71" spans="1:24">
      <c r="A71" s="75" t="s">
        <v>1579</v>
      </c>
      <c r="B71" s="891" t="s">
        <v>1580</v>
      </c>
      <c r="C71" s="75">
        <v>742055.45731392771</v>
      </c>
      <c r="D71" s="75">
        <v>786153.42390548263</v>
      </c>
      <c r="E71" s="75">
        <v>757298.50759158458</v>
      </c>
      <c r="F71" s="75">
        <v>721671.76077576261</v>
      </c>
      <c r="G71" s="75">
        <v>735427.24554665096</v>
      </c>
      <c r="H71" s="75">
        <v>727846.23734696454</v>
      </c>
      <c r="I71" s="75">
        <v>700020.42155582586</v>
      </c>
      <c r="J71" s="75">
        <v>673633.53407736321</v>
      </c>
      <c r="K71" s="75">
        <v>685984.17148222588</v>
      </c>
      <c r="L71" s="75">
        <v>672965.75569499156</v>
      </c>
      <c r="M71" s="75">
        <v>677348.68206565315</v>
      </c>
      <c r="N71" s="75">
        <v>592158.62493838882</v>
      </c>
      <c r="O71" s="75">
        <v>604577.86637914623</v>
      </c>
      <c r="P71" s="75">
        <v>601285.76304251386</v>
      </c>
      <c r="Q71" s="75">
        <v>608604.43495010759</v>
      </c>
    </row>
    <row r="72" spans="1:24">
      <c r="C72" s="75">
        <f t="shared" ref="C72:P72" si="0">+C5-C71</f>
        <v>-596.03647628880572</v>
      </c>
      <c r="D72" s="75">
        <f t="shared" si="0"/>
        <v>-586.98745731462259</v>
      </c>
      <c r="E72" s="75">
        <f t="shared" si="0"/>
        <v>-683.89405006903689</v>
      </c>
      <c r="F72" s="75">
        <f t="shared" si="0"/>
        <v>-536.03710102196783</v>
      </c>
      <c r="G72" s="75">
        <f t="shared" si="0"/>
        <v>-740.13636660657357</v>
      </c>
      <c r="H72" s="75">
        <f t="shared" si="0"/>
        <v>-944.23734696453903</v>
      </c>
      <c r="I72" s="75">
        <f t="shared" si="0"/>
        <v>-799.42155582585838</v>
      </c>
      <c r="J72" s="75">
        <f t="shared" si="0"/>
        <v>-486.53407736320514</v>
      </c>
      <c r="K72" s="75">
        <f t="shared" si="0"/>
        <v>-387.17148222588003</v>
      </c>
      <c r="L72" s="75">
        <f t="shared" si="0"/>
        <v>-370.75569499155972</v>
      </c>
      <c r="M72" s="75">
        <f t="shared" si="0"/>
        <v>-345.68206565314904</v>
      </c>
      <c r="N72" s="75">
        <f t="shared" si="0"/>
        <v>-539.62493838882074</v>
      </c>
      <c r="O72" s="75">
        <f t="shared" si="0"/>
        <v>-524.86637914623134</v>
      </c>
      <c r="P72" s="75">
        <f t="shared" si="0"/>
        <v>-590.76304251386318</v>
      </c>
      <c r="Q72" s="75">
        <f>+Q5-Q71</f>
        <v>-1162.4349501075922</v>
      </c>
    </row>
  </sheetData>
  <phoneticPr fontId="13"/>
  <pageMargins left="0.75" right="0.75" top="1" bottom="1" header="0.51200000000000001" footer="0.5120000000000000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tabColor indexed="43"/>
  </sheetPr>
  <dimension ref="A1:X68"/>
  <sheetViews>
    <sheetView workbookViewId="0">
      <pane xSplit="2" ySplit="4" topLeftCell="M64" activePane="bottomRight" state="frozen"/>
      <selection pane="topRight" activeCell="C1" sqref="C1"/>
      <selection pane="bottomLeft" activeCell="A5" sqref="A5"/>
      <selection pane="bottomRight" activeCell="Q74" sqref="Q74"/>
    </sheetView>
  </sheetViews>
  <sheetFormatPr defaultColWidth="8.7109375" defaultRowHeight="13"/>
  <cols>
    <col min="1" max="1" width="3.7109375" style="75" customWidth="1"/>
    <col min="2" max="16384" width="8.7109375" style="75"/>
  </cols>
  <sheetData>
    <row r="1" spans="1:24">
      <c r="A1" s="86"/>
      <c r="B1" s="65" t="s">
        <v>831</v>
      </c>
      <c r="R1" s="628"/>
      <c r="S1" s="628"/>
      <c r="U1" s="628" t="s">
        <v>948</v>
      </c>
      <c r="V1" s="75" t="s">
        <v>14</v>
      </c>
      <c r="W1" s="75" t="s">
        <v>14</v>
      </c>
      <c r="X1" s="75" t="s">
        <v>14</v>
      </c>
    </row>
    <row r="2" spans="1:24">
      <c r="A2" s="728"/>
      <c r="B2" s="729" t="s">
        <v>319</v>
      </c>
      <c r="C2" s="83">
        <v>2006</v>
      </c>
      <c r="D2" s="83">
        <v>2007</v>
      </c>
      <c r="E2" s="83">
        <v>2008</v>
      </c>
      <c r="F2" s="83">
        <v>2009</v>
      </c>
      <c r="G2" s="83">
        <v>2010</v>
      </c>
      <c r="H2" s="805">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5" t="s">
        <v>750</v>
      </c>
      <c r="F3" s="75" t="s">
        <v>856</v>
      </c>
      <c r="G3" s="75" t="s">
        <v>911</v>
      </c>
      <c r="H3" s="75" t="s">
        <v>96</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1561</v>
      </c>
      <c r="V3" s="75" t="s">
        <v>1603</v>
      </c>
      <c r="W3" s="75" t="s">
        <v>1745</v>
      </c>
      <c r="X3" s="491" t="s">
        <v>1783</v>
      </c>
    </row>
    <row r="4" spans="1:24">
      <c r="A4" s="730"/>
      <c r="B4" s="730" t="s">
        <v>320</v>
      </c>
      <c r="C4" s="73"/>
      <c r="D4" s="73"/>
      <c r="R4" s="132"/>
      <c r="S4" s="132"/>
      <c r="T4" s="132"/>
      <c r="X4" s="477"/>
    </row>
    <row r="5" spans="1:24">
      <c r="A5" s="895" t="s">
        <v>1303</v>
      </c>
      <c r="B5" s="732"/>
      <c r="C5" s="382">
        <f>+名目県内総支出!H26-C6</f>
        <v>-47632.439118616283</v>
      </c>
      <c r="D5" s="382">
        <f>+名目県内総支出!I26-D6</f>
        <v>34102.610263513401</v>
      </c>
      <c r="E5" s="382">
        <f>+名目県内総支出!J26-E6</f>
        <v>35140.316287985072</v>
      </c>
      <c r="F5" s="382">
        <f>+名目県内総支出!K26-F6</f>
        <v>6886.3274089805782</v>
      </c>
      <c r="G5" s="382">
        <f>+名目県内総支出!L26-G6</f>
        <v>-20799.494475884363</v>
      </c>
      <c r="H5" s="382">
        <f>+名目県内総支出!M26-H6</f>
        <v>-41549.562626294792</v>
      </c>
      <c r="I5" s="382">
        <f>+名目県内総支出!N26-I6</f>
        <v>-13273.47964332439</v>
      </c>
      <c r="J5" s="382">
        <f>+名目県内総支出!O26-J6</f>
        <v>-5538.1353922234848</v>
      </c>
      <c r="K5" s="382">
        <f>+名目県内総支出!P26-K6</f>
        <v>-50226.246403323486</v>
      </c>
      <c r="L5" s="382">
        <f>+名目県内総支出!Q26-L6</f>
        <v>25192.277794081718</v>
      </c>
      <c r="M5" s="382">
        <f>+名目県内総支出!R26-M6</f>
        <v>16034.835320214741</v>
      </c>
      <c r="N5" s="382">
        <f>+名目県内総支出!S26-N6</f>
        <v>-6263.6063577849418</v>
      </c>
      <c r="O5" s="382">
        <f>+名目県内総支出!T26-O6</f>
        <v>4695.8154913075268</v>
      </c>
      <c r="P5" s="382">
        <f>+名目県内総支出!U26-P6</f>
        <v>15252.662989495322</v>
      </c>
      <c r="Q5" s="382">
        <f>+名目県内総支出!V26-Q6</f>
        <v>0</v>
      </c>
      <c r="R5" s="462">
        <f>+名目県内総支出!W26-R6</f>
        <v>0</v>
      </c>
      <c r="S5" s="462">
        <f>+名目県内総支出!X26-S6</f>
        <v>1</v>
      </c>
      <c r="T5" s="462">
        <f>+名目県内総支出!Y26-T6</f>
        <v>0</v>
      </c>
      <c r="U5" s="462">
        <f>+名目県内総支出!Z26-U6</f>
        <v>0</v>
      </c>
      <c r="V5" s="462">
        <f>+名目県内総支出!AA26-V6</f>
        <v>0</v>
      </c>
      <c r="W5" s="462">
        <f>+名目県内総支出!AB26-W6</f>
        <v>0</v>
      </c>
      <c r="X5" s="462">
        <f>+名目県内総支出!AC26-X6</f>
        <v>0</v>
      </c>
    </row>
    <row r="6" spans="1:24">
      <c r="A6" s="92"/>
      <c r="B6" s="203" t="s">
        <v>166</v>
      </c>
      <c r="C6" s="130">
        <f>民間住宅1!C6+民間設備投資計!C6+民間在庫品増加!C6+公的投資!C6</f>
        <v>5549947.0952841593</v>
      </c>
      <c r="D6" s="130">
        <f>民間住宅1!D6+民間設備投資計!D6+民間在庫品増加!D6+公的投資!D6</f>
        <v>5316989.5737165967</v>
      </c>
      <c r="E6" s="130">
        <f>民間住宅1!E6+民間設備投資計!E6+民間在庫品増加!E6+公的投資!E6</f>
        <v>5357830.5853964351</v>
      </c>
      <c r="F6" s="130">
        <f>民間住宅1!F6+民間設備投資計!F6+民間在庫品増加!F6+公的投資!F6</f>
        <v>4414983.7934859022</v>
      </c>
      <c r="G6" s="130">
        <f>民間住宅1!G6+民間設備投資計!G6+民間在庫品増加!G6+公的投資!G6</f>
        <v>4772769.6609563492</v>
      </c>
      <c r="H6" s="130">
        <f>民間住宅1!H6+民間設備投資計!H6+民間在庫品増加!H6+公的投資!H6</f>
        <v>4768675.5626262948</v>
      </c>
      <c r="I6" s="130">
        <f>民間住宅1!I6+民間設備投資計!I6+民間在庫品増加!I6+公的投資!I6</f>
        <v>4680723.4796433244</v>
      </c>
      <c r="J6" s="130">
        <f>民間住宅1!J6+民間設備投資計!J6+民間在庫品増加!J6+公的投資!J6</f>
        <v>5069833.1353922235</v>
      </c>
      <c r="K6" s="130">
        <f>民間住宅1!K6+民間設備投資計!K6+民間在庫品増加!K6+公的投資!K6</f>
        <v>5061239.2464033235</v>
      </c>
      <c r="L6" s="130">
        <f>民間住宅1!L6+民間設備投資計!L6+民間在庫品増加!L6+公的投資!L6</f>
        <v>5277979.7222059183</v>
      </c>
      <c r="M6" s="130">
        <f>民間住宅1!M6+民間設備投資計!M6+民間在庫品増加!M6+公的投資!M6</f>
        <v>5146872.1646797853</v>
      </c>
      <c r="N6" s="130">
        <f>民間住宅1!N6+民間設備投資計!N6+民間在庫品増加!N6+公的投資!N6</f>
        <v>5363548.6063577849</v>
      </c>
      <c r="O6" s="130">
        <f>民間住宅1!O6+民間設備投資計!O6+民間在庫品増加!O6+公的投資!O6</f>
        <v>5292075.1845086925</v>
      </c>
      <c r="P6" s="130">
        <f>民間住宅1!P6+民間設備投資計!P6+民間在庫品増加!P6+公的投資!P6</f>
        <v>5591719.3370105047</v>
      </c>
      <c r="Q6" s="130">
        <f>民間住宅1!Q6+民間設備投資計!Q6+民間在庫品増加!Q6+公的投資!Q6</f>
        <v>5059148</v>
      </c>
      <c r="R6" s="130">
        <f>民間住宅1!R6+民間設備投資計!R6+民間在庫品増加!R6+公的投資!R6</f>
        <v>5418623</v>
      </c>
      <c r="S6" s="130">
        <f>民間住宅1!S6+民間設備投資計!S6+民間在庫品増加!S6+公的投資!S6</f>
        <v>6178843</v>
      </c>
      <c r="T6" s="130">
        <f>民間住宅1!T6+民間設備投資計!T6+民間在庫品増加!T6+公的投資!T6</f>
        <v>6300813</v>
      </c>
      <c r="U6" s="130">
        <f>民間住宅1!U6+民間設備投資計!U6+民間在庫品増加!U6+公的投資!U6</f>
        <v>6479551</v>
      </c>
      <c r="V6" s="130">
        <f>民間住宅1!V6+民間設備投資計!V6+民間在庫品増加!V6+公的投資!V6</f>
        <v>6615433.281639331</v>
      </c>
      <c r="W6" s="130">
        <f>民間住宅1!W6+民間設備投資計!W6+民間在庫品増加!W6+公的投資!W6</f>
        <v>6743535</v>
      </c>
      <c r="X6" s="130">
        <f>民間住宅1!X6+民間設備投資計!X6+民間在庫品増加!X6+公的投資!X6</f>
        <v>6899807</v>
      </c>
    </row>
    <row r="7" spans="1:24">
      <c r="A7" s="90">
        <v>100</v>
      </c>
      <c r="B7" s="75" t="s">
        <v>172</v>
      </c>
      <c r="C7" s="75">
        <f>民間住宅1!C7+民間設備投資計!C7+民間在庫品増加!C7+公的投資!C7</f>
        <v>1499325.0952841598</v>
      </c>
      <c r="D7" s="75">
        <f>民間住宅1!D7+民間設備投資計!D7+民間在庫品増加!D7+公的投資!D7</f>
        <v>1383497.5737165967</v>
      </c>
      <c r="E7" s="75">
        <f>民間住宅1!E7+民間設備投資計!E7+民間在庫品増加!E7+公的投資!E7</f>
        <v>1381474.585396436</v>
      </c>
      <c r="F7" s="75">
        <f>民間住宅1!F7+民間設備投資計!F7+民間在庫品増加!F7+公的投資!F7</f>
        <v>1072393.7934859018</v>
      </c>
      <c r="G7" s="75">
        <f>民間住宅1!G7+民間設備投資計!G7+民間在庫品増加!G7+公的投資!G7</f>
        <v>1165391.6609563492</v>
      </c>
      <c r="H7" s="75">
        <f>民間住宅1!H7+民間設備投資計!H7+民間在庫品増加!H7+公的投資!H7</f>
        <v>1193566.5626262943</v>
      </c>
      <c r="I7" s="75">
        <f>民間住宅1!I7+民間設備投資計!I7+民間在庫品増加!I7+公的投資!I7</f>
        <v>1161846.4796433249</v>
      </c>
      <c r="J7" s="75">
        <f>民間住宅1!J7+民間設備投資計!J7+民間在庫品増加!J7+公的投資!J7</f>
        <v>1360343.1353922233</v>
      </c>
      <c r="K7" s="75">
        <f>民間住宅1!K7+民間設備投資計!K7+民間在庫品増加!K7+公的投資!K7</f>
        <v>1267763.2464033237</v>
      </c>
      <c r="L7" s="75">
        <f>民間住宅1!L7+民間設備投資計!L7+民間在庫品増加!L7+公的投資!L7</f>
        <v>1416820.7222059178</v>
      </c>
      <c r="M7" s="75">
        <f>民間住宅1!M7+民間設備投資計!M7+民間在庫品増加!M7+公的投資!M7</f>
        <v>1331043.1646797855</v>
      </c>
      <c r="N7" s="75">
        <f>民間住宅1!N7+民間設備投資計!N7+民間在庫品増加!N7+公的投資!N7</f>
        <v>1443552.6063577845</v>
      </c>
      <c r="O7" s="75">
        <f>民間住宅1!O7+民間設備投資計!O7+民間在庫品増加!F77+公的投資!O7</f>
        <v>6426663.6061415281</v>
      </c>
      <c r="P7" s="75">
        <f>民間住宅1!P7+民間設備投資計!P7+民間在庫品増加!G77+公的投資!P7</f>
        <v>6675802.0552020445</v>
      </c>
      <c r="Q7" s="75">
        <f>民間住宅1!Q7+民間設備投資計!Q7+民間在庫品増加!H77+公的投資!Q7</f>
        <v>6598600.7470161011</v>
      </c>
      <c r="R7" s="75">
        <f>民間住宅1!R7+民間設備投資計!R7+民間在庫品増加!I77+公的投資!R7</f>
        <v>6566346.7470161011</v>
      </c>
      <c r="S7" s="75">
        <f>民間住宅1!S7+民間設備投資計!S7+民間在庫品増加!J77+公的投資!S7</f>
        <v>7009036.370937665</v>
      </c>
      <c r="T7" s="75">
        <f>民間住宅1!T7+民間設備投資計!T7+民間在庫品増加!K77+公的投資!T7</f>
        <v>6969065.3602263322</v>
      </c>
      <c r="U7" s="75">
        <f>民間住宅1!U7+民間設備投資計!U7+民間在庫品増加!L77+公的投資!U7</f>
        <v>6962735.3602263322</v>
      </c>
      <c r="V7" s="75">
        <f>民間住宅1!V7+民間設備投資計!V7+民間在庫品増加!M77+公的投資!V7</f>
        <v>7148738.2311919704</v>
      </c>
      <c r="W7" s="75">
        <f>民間住宅1!W7+民間設備投資計!W7+民間在庫品増加!N77+公的投資!W7</f>
        <v>7458110.2801268827</v>
      </c>
      <c r="X7" s="75">
        <f>民間住宅1!X7+民間設備投資計!X7+民間在庫品増加!O77+公的投資!X7</f>
        <v>7374113.1642414387</v>
      </c>
    </row>
    <row r="8" spans="1:24">
      <c r="A8" s="90" t="s">
        <v>932</v>
      </c>
      <c r="B8" s="75" t="s">
        <v>323</v>
      </c>
      <c r="C8" s="75">
        <f>民間住宅1!C8+民間設備投資計!C8+民間在庫品増加!C8+公的投資!C8</f>
        <v>1089677</v>
      </c>
      <c r="D8" s="75">
        <f>民間住宅1!D8+民間設備投資計!D8+民間在庫品増加!D8+公的投資!D8</f>
        <v>1022578</v>
      </c>
      <c r="E8" s="75">
        <f>民間住宅1!E8+民間設備投資計!E8+民間在庫品増加!E8+公的投資!E8</f>
        <v>1146944</v>
      </c>
      <c r="F8" s="75">
        <f>民間住宅1!F8+民間設備投資計!F8+民間在庫品増加!F8+公的投資!F8</f>
        <v>927612</v>
      </c>
      <c r="G8" s="75">
        <f>民間住宅1!G8+民間設備投資計!G8+民間在庫品増加!G8+公的投資!G8</f>
        <v>833463</v>
      </c>
      <c r="H8" s="75">
        <f>民間住宅1!H8+民間設備投資計!H8+民間在庫品増加!H8+公的投資!H8</f>
        <v>791808</v>
      </c>
      <c r="I8" s="75">
        <f>民間住宅1!I8+民間設備投資計!I8+民間在庫品増加!I8+公的投資!I8</f>
        <v>734882</v>
      </c>
      <c r="J8" s="75">
        <f>民間住宅1!J8+民間設備投資計!J8+民間在庫品増加!J8+公的投資!J8</f>
        <v>814012</v>
      </c>
      <c r="K8" s="75">
        <f>民間住宅1!K8+民間設備投資計!K8+民間在庫品増加!K8+公的投資!K8</f>
        <v>780856</v>
      </c>
      <c r="L8" s="75">
        <f>民間住宅1!L8+民間設備投資計!L8+民間在庫品増加!L8+公的投資!L8</f>
        <v>933664</v>
      </c>
      <c r="M8" s="75">
        <f>民間住宅1!M8+民間設備投資計!M8+民間在庫品増加!M8+公的投資!M8</f>
        <v>851345</v>
      </c>
      <c r="N8" s="75">
        <f>民間住宅1!N8+民間設備投資計!N8+民間在庫品増加!N8+公的投資!N8</f>
        <v>802544</v>
      </c>
      <c r="O8" s="75">
        <f>民間住宅1!O8+民間設備投資計!O8+民間在庫品増加!F78+公的投資!O8</f>
        <v>4374727</v>
      </c>
      <c r="P8" s="75">
        <f>民間住宅1!P8+民間設備投資計!P8+民間在庫品増加!G78+公的投資!P8</f>
        <v>4254414</v>
      </c>
      <c r="Q8" s="75">
        <f>民間住宅1!Q8+民間設備投資計!Q8+民間在庫品増加!H78+公的投資!Q8</f>
        <v>4174697</v>
      </c>
      <c r="R8" s="75">
        <f>民間住宅1!R8+民間設備投資計!R8+民間在庫品増加!I78+公的投資!R8</f>
        <v>4179619</v>
      </c>
      <c r="S8" s="75">
        <f>民間住宅1!S8+民間設備投資計!S8+民間在庫品増加!J78+公的投資!S8</f>
        <v>4299528</v>
      </c>
      <c r="T8" s="75">
        <f>民間住宅1!T8+民間設備投資計!T8+民間在庫品増加!K78+公的投資!T8</f>
        <v>4311606</v>
      </c>
      <c r="U8" s="75">
        <f>民間住宅1!U8+民間設備投資計!U8+民間在庫品増加!L78+公的投資!U8</f>
        <v>4486318</v>
      </c>
      <c r="V8" s="75">
        <f>民間住宅1!V8+民間設備投資計!V8+民間在庫品増加!M78+公的投資!V8</f>
        <v>4486116</v>
      </c>
      <c r="W8" s="75">
        <f>民間住宅1!W8+民間設備投資計!W8+民間在庫品増加!N78+公的投資!W8</f>
        <v>4439994</v>
      </c>
      <c r="X8" s="75">
        <f>民間住宅1!X8+民間設備投資計!X8+民間在庫品増加!O78+公的投資!X8</f>
        <v>4487203</v>
      </c>
    </row>
    <row r="9" spans="1:24">
      <c r="A9" s="90">
        <v>2</v>
      </c>
      <c r="B9" s="75" t="s">
        <v>324</v>
      </c>
      <c r="C9" s="75">
        <f>民間住宅1!C9+民間設備投資計!C9+民間在庫品増加!C9+公的投資!C9</f>
        <v>556066</v>
      </c>
      <c r="D9" s="75">
        <f>民間住宅1!D9+民間設備投資計!D9+民間在庫品増加!D9+公的投資!D9</f>
        <v>525049</v>
      </c>
      <c r="E9" s="75">
        <f>民間住宅1!E9+民間設備投資計!E9+民間在庫品増加!E9+公的投資!E9</f>
        <v>505306</v>
      </c>
      <c r="F9" s="75">
        <f>民間住宅1!F9+民間設備投資計!F9+民間在庫品増加!F9+公的投資!F9</f>
        <v>392405</v>
      </c>
      <c r="G9" s="75">
        <f>民間住宅1!G9+民間設備投資計!G9+民間在庫品増加!G9+公的投資!G9</f>
        <v>402719</v>
      </c>
      <c r="H9" s="75">
        <f>民間住宅1!H9+民間設備投資計!H9+民間在庫品増加!H9+公的投資!H9</f>
        <v>429327</v>
      </c>
      <c r="I9" s="75">
        <f>民間住宅1!I9+民間設備投資計!I9+民間在庫品増加!I9+公的投資!I9</f>
        <v>457635</v>
      </c>
      <c r="J9" s="75">
        <f>民間住宅1!J9+民間設備投資計!J9+民間在庫品増加!J9+公的投資!J9</f>
        <v>497817</v>
      </c>
      <c r="K9" s="75">
        <f>民間住宅1!K9+民間設備投資計!K9+民間在庫品増加!K9+公的投資!K9</f>
        <v>530548</v>
      </c>
      <c r="L9" s="75">
        <f>民間住宅1!L9+民間設備投資計!L9+民間在庫品増加!L9+公的投資!L9</f>
        <v>548445</v>
      </c>
      <c r="M9" s="75">
        <f>民間住宅1!M9+民間設備投資計!M9+民間在庫品増加!M9+公的投資!M9</f>
        <v>533305</v>
      </c>
      <c r="N9" s="75">
        <f>民間住宅1!N9+民間設備投資計!N9+民間在庫品増加!N9+公的投資!N9</f>
        <v>549102</v>
      </c>
      <c r="O9" s="75">
        <f>民間住宅1!O9+民間設備投資計!O9+民間在庫品増加!F79+公的投資!O9</f>
        <v>2560929</v>
      </c>
      <c r="P9" s="75">
        <f>民間住宅1!P9+民間設備投資計!P9+民間在庫品増加!G79+公的投資!P9</f>
        <v>2576204</v>
      </c>
      <c r="Q9" s="75">
        <f>民間住宅1!Q9+民間設備投資計!Q9+民間在庫品増加!H79+公的投資!Q9</f>
        <v>2543338</v>
      </c>
      <c r="R9" s="75">
        <f>民間住宅1!R9+民間設備投資計!R9+民間在庫品増加!I79+公的投資!R9</f>
        <v>2646885</v>
      </c>
      <c r="S9" s="75">
        <f>民間住宅1!S9+民間設備投資計!S9+民間在庫品増加!J79+公的投資!S9</f>
        <v>2795953</v>
      </c>
      <c r="T9" s="75">
        <f>民間住宅1!T9+民間設備投資計!T9+民間在庫品増加!K79+公的投資!T9</f>
        <v>2821455</v>
      </c>
      <c r="U9" s="75">
        <f>民間住宅1!U9+民間設備投資計!U9+民間在庫品増加!L79+公的投資!U9</f>
        <v>3102939</v>
      </c>
      <c r="V9" s="75">
        <f>民間住宅1!V9+民間設備投資計!V9+民間在庫品増加!M79+公的投資!V9</f>
        <v>2975091</v>
      </c>
      <c r="W9" s="75">
        <f>民間住宅1!W9+民間設備投資計!W9+民間在庫品増加!N79+公的投資!W9</f>
        <v>3013603</v>
      </c>
      <c r="X9" s="75">
        <f>民間住宅1!X9+民間設備投資計!X9+民間在庫品増加!O79+公的投資!X9</f>
        <v>3054327</v>
      </c>
    </row>
    <row r="10" spans="1:24">
      <c r="A10" s="90">
        <v>3</v>
      </c>
      <c r="B10" s="75" t="s">
        <v>192</v>
      </c>
      <c r="C10" s="75">
        <f>民間住宅1!C10+民間設備投資計!C10+民間在庫品増加!C10+公的投資!C10</f>
        <v>760641</v>
      </c>
      <c r="D10" s="75">
        <f>民間住宅1!D10+民間設備投資計!D10+民間在庫品増加!D10+公的投資!D10</f>
        <v>770370</v>
      </c>
      <c r="E10" s="75">
        <f>民間住宅1!E10+民間設備投資計!E10+民間在庫品増加!E10+公的投資!E10</f>
        <v>852625</v>
      </c>
      <c r="F10" s="75">
        <f>民間住宅1!F10+民間設備投資計!F10+民間在庫品増加!F10+公的投資!F10</f>
        <v>784412</v>
      </c>
      <c r="G10" s="75">
        <f>民間住宅1!G10+民間設備投資計!G10+民間在庫品増加!G10+公的投資!G10</f>
        <v>711586</v>
      </c>
      <c r="H10" s="75">
        <f>民間住宅1!H10+民間設備投資計!H10+民間在庫品増加!H10+公的投資!H10</f>
        <v>860526</v>
      </c>
      <c r="I10" s="75">
        <f>民間住宅1!I10+民間設備投資計!I10+民間在庫品増加!I10+公的投資!I10</f>
        <v>789159</v>
      </c>
      <c r="J10" s="75">
        <f>民間住宅1!J10+民間設備投資計!J10+民間在庫品増加!J10+公的投資!J10</f>
        <v>802082</v>
      </c>
      <c r="K10" s="75">
        <f>民間住宅1!K10+民間設備投資計!K10+民間在庫品増加!K10+公的投資!K10</f>
        <v>983159</v>
      </c>
      <c r="L10" s="75">
        <f>民間住宅1!L10+民間設備投資計!L10+民間在庫品増加!L10+公的投資!L10</f>
        <v>793806</v>
      </c>
      <c r="M10" s="75">
        <f>民間住宅1!M10+民間設備投資計!M10+民間在庫品増加!M10+公的投資!M10</f>
        <v>833099</v>
      </c>
      <c r="N10" s="75">
        <f>民間住宅1!N10+民間設備投資計!N10+民間在庫品増加!N10+公的投資!N10</f>
        <v>927785</v>
      </c>
      <c r="O10" s="75">
        <f>民間住宅1!O10+民間設備投資計!O10+民間在庫品増加!F80+公的投資!O10</f>
        <v>3212141</v>
      </c>
      <c r="P10" s="75">
        <f>民間住宅1!P10+民間設備投資計!P10+民間在庫品増加!G80+公的投資!P10</f>
        <v>3149835</v>
      </c>
      <c r="Q10" s="75">
        <f>民間住宅1!Q10+民間設備投資計!Q10+民間在庫品増加!H80+公的投資!Q10</f>
        <v>3251026</v>
      </c>
      <c r="R10" s="75">
        <f>民間住宅1!R10+民間設備投資計!R10+民間在庫品増加!I80+公的投資!R10</f>
        <v>3333516</v>
      </c>
      <c r="S10" s="75">
        <f>民間住宅1!S10+民間設備投資計!S10+民間在庫品増加!J80+公的投資!S10</f>
        <v>3337624</v>
      </c>
      <c r="T10" s="75">
        <f>民間住宅1!T10+民間設備投資計!T10+民間在庫品増加!K80+公的投資!T10</f>
        <v>3577770</v>
      </c>
      <c r="U10" s="75">
        <f>民間住宅1!U10+民間設備投資計!U10+民間在庫品増加!L80+公的投資!U10</f>
        <v>3628092</v>
      </c>
      <c r="V10" s="75">
        <f>民間住宅1!V10+民間設備投資計!V10+民間在庫品増加!M80+公的投資!V10</f>
        <v>3504820</v>
      </c>
      <c r="W10" s="75">
        <f>民間住宅1!W10+民間設備投資計!W10+民間在庫品増加!N80+公的投資!W10</f>
        <v>3615236</v>
      </c>
      <c r="X10" s="75">
        <f>民間住宅1!X10+民間設備投資計!X10+民間在庫品増加!O80+公的投資!X10</f>
        <v>3607639</v>
      </c>
    </row>
    <row r="11" spans="1:24">
      <c r="A11" s="90">
        <v>4</v>
      </c>
      <c r="B11" s="75" t="s">
        <v>325</v>
      </c>
      <c r="C11" s="75">
        <f>民間住宅1!C11+民間設備投資計!C11+民間在庫品増加!C11+公的投資!C11</f>
        <v>256035</v>
      </c>
      <c r="D11" s="75">
        <f>民間住宅1!D11+民間設備投資計!D11+民間在庫品増加!D11+公的投資!D11</f>
        <v>299350</v>
      </c>
      <c r="E11" s="75">
        <f>民間住宅1!E11+民間設備投資計!E11+民間在庫品増加!E11+公的投資!E11</f>
        <v>237838</v>
      </c>
      <c r="F11" s="75">
        <f>民間住宅1!F11+民間設備投資計!F11+民間在庫品増加!F11+公的投資!F11</f>
        <v>181372</v>
      </c>
      <c r="G11" s="75">
        <f>民間住宅1!G11+民間設備投資計!G11+民間在庫品増加!G11+公的投資!G11</f>
        <v>198417</v>
      </c>
      <c r="H11" s="75">
        <f>民間住宅1!H11+民間設備投資計!H11+民間在庫品増加!H11+公的投資!H11</f>
        <v>306575</v>
      </c>
      <c r="I11" s="75">
        <f>民間住宅1!I11+民間設備投資計!I11+民間在庫品増加!I11+公的投資!I11</f>
        <v>304648</v>
      </c>
      <c r="J11" s="75">
        <f>民間住宅1!J11+民間設備投資計!J11+民間在庫品増加!J11+公的投資!J11</f>
        <v>337706</v>
      </c>
      <c r="K11" s="75">
        <f>民間住宅1!K11+民間設備投資計!K11+民間在庫品増加!K11+公的投資!K11</f>
        <v>239780</v>
      </c>
      <c r="L11" s="75">
        <f>民間住宅1!L11+民間設備投資計!L11+民間在庫品増加!L11+公的投資!L11</f>
        <v>259431</v>
      </c>
      <c r="M11" s="75">
        <f>民間住宅1!M11+民間設備投資計!M11+民間在庫品増加!M11+公的投資!M11</f>
        <v>291111</v>
      </c>
      <c r="N11" s="75">
        <f>民間住宅1!N11+民間設備投資計!N11+民間在庫品増加!N11+公的投資!N11</f>
        <v>281360</v>
      </c>
      <c r="O11" s="75">
        <f>民間住宅1!O11+民間設備投資計!O11+民間在庫品増加!F81+公的投資!O11</f>
        <v>1033820</v>
      </c>
      <c r="P11" s="75">
        <f>民間住宅1!P11+民間設備投資計!P11+民間在庫品増加!G81+公的投資!P11</f>
        <v>1060237</v>
      </c>
      <c r="Q11" s="75">
        <f>民間住宅1!Q11+民間設備投資計!Q11+民間在庫品増加!H81+公的投資!Q11</f>
        <v>1138620</v>
      </c>
      <c r="R11" s="75">
        <f>民間住宅1!R11+民間設備投資計!R11+民間在庫品増加!I81+公的投資!R11</f>
        <v>1184803</v>
      </c>
      <c r="S11" s="75">
        <f>民間住宅1!S11+民間設備投資計!S11+民間在庫品増加!J81+公的投資!S11</f>
        <v>1202757</v>
      </c>
      <c r="T11" s="75">
        <f>民間住宅1!T11+民間設備投資計!T11+民間在庫品増加!K81+公的投資!T11</f>
        <v>1146979</v>
      </c>
      <c r="U11" s="75">
        <f>民間住宅1!U11+民間設備投資計!U11+民間在庫品増加!L81+公的投資!U11</f>
        <v>1172748</v>
      </c>
      <c r="V11" s="75">
        <f>民間住宅1!V11+民間設備投資計!V11+民間在庫品増加!M81+公的投資!V11</f>
        <v>1202110</v>
      </c>
      <c r="W11" s="75">
        <f>民間住宅1!W11+民間設備投資計!W11+民間在庫品増加!N81+公的投資!W11</f>
        <v>1197873</v>
      </c>
      <c r="X11" s="75">
        <f>民間住宅1!X11+民間設備投資計!X11+民間在庫品増加!O81+公的投資!X11</f>
        <v>1210660</v>
      </c>
    </row>
    <row r="12" spans="1:24">
      <c r="A12" s="90">
        <v>5</v>
      </c>
      <c r="B12" s="75" t="s">
        <v>326</v>
      </c>
      <c r="C12" s="75">
        <f>民間住宅1!C12+民間設備投資計!C12+民間在庫品増加!C12+公的投資!C12</f>
        <v>723588</v>
      </c>
      <c r="D12" s="75">
        <f>民間住宅1!D12+民間設備投資計!D12+民間在庫品増加!D12+公的投資!D12</f>
        <v>725241</v>
      </c>
      <c r="E12" s="75">
        <f>民間住宅1!E12+民間設備投資計!E12+民間在庫品増加!E12+公的投資!E12</f>
        <v>666263</v>
      </c>
      <c r="F12" s="75">
        <f>民間住宅1!F12+民間設備投資計!F12+民間在庫品増加!F12+公的投資!F12</f>
        <v>565558</v>
      </c>
      <c r="G12" s="75">
        <f>民間住宅1!G12+民間設備投資計!G12+民間在庫品増加!G12+公的投資!G12</f>
        <v>926890</v>
      </c>
      <c r="H12" s="75">
        <f>民間住宅1!H12+民間設備投資計!H12+民間在庫品増加!H12+公的投資!H12</f>
        <v>632163</v>
      </c>
      <c r="I12" s="75">
        <f>民間住宅1!I12+民間設備投資計!I12+民間在庫品増加!I12+公的投資!I12</f>
        <v>647626</v>
      </c>
      <c r="J12" s="75">
        <f>民間住宅1!J12+民間設備投資計!J12+民間在庫品増加!J12+公的投資!J12</f>
        <v>664149</v>
      </c>
      <c r="K12" s="75">
        <f>民間住宅1!K12+民間設備投資計!K12+民間在庫品増加!K12+公的投資!K12</f>
        <v>638793</v>
      </c>
      <c r="L12" s="75">
        <f>民間住宅1!L12+民間設備投資計!L12+民間在庫品増加!L12+公的投資!L12</f>
        <v>651188</v>
      </c>
      <c r="M12" s="75">
        <f>民間住宅1!M12+民間設備投資計!M12+民間在庫品増加!M12+公的投資!M12</f>
        <v>676944</v>
      </c>
      <c r="N12" s="75">
        <f>民間住宅1!N12+民間設備投資計!N12+民間在庫品増加!N12+公的投資!N12</f>
        <v>699293</v>
      </c>
      <c r="O12" s="75">
        <f>民間住宅1!O12+民間設備投資計!O12+民間在庫品増加!F82+公的投資!O12</f>
        <v>2640246</v>
      </c>
      <c r="P12" s="75">
        <f>民間住宅1!P12+民間設備投資計!P12+民間在庫品増加!G82+公的投資!P12</f>
        <v>2896844</v>
      </c>
      <c r="Q12" s="75">
        <f>民間住宅1!Q12+民間設備投資計!Q12+民間在庫品増加!H82+公的投資!Q12</f>
        <v>2605013</v>
      </c>
      <c r="R12" s="75">
        <f>民間住宅1!R12+民間設備投資計!R12+民間在庫品増加!I82+公的投資!R12</f>
        <v>2627533</v>
      </c>
      <c r="S12" s="75">
        <f>民間住宅1!S12+民間設備投資計!S12+民間在庫品増加!J82+公的投資!S12</f>
        <v>2702538</v>
      </c>
      <c r="T12" s="75">
        <f>民間住宅1!T12+民間設備投資計!T12+民間在庫品増加!K82+公的投資!T12</f>
        <v>2751673</v>
      </c>
      <c r="U12" s="75">
        <f>民間住宅1!U12+民間設備投資計!U12+民間在庫品増加!L82+公的投資!U12</f>
        <v>2704268</v>
      </c>
      <c r="V12" s="75">
        <f>民間住宅1!V12+民間設備投資計!V12+民間在庫品増加!M82+公的投資!V12</f>
        <v>2826742</v>
      </c>
      <c r="W12" s="75">
        <f>民間住宅1!W12+民間設備投資計!W12+民間在庫品増加!N82+公的投資!W12</f>
        <v>2853855</v>
      </c>
      <c r="X12" s="75">
        <f>民間住宅1!X12+民間設備投資計!X12+民間在庫品増加!O82+公的投資!X12</f>
        <v>2956774</v>
      </c>
    </row>
    <row r="13" spans="1:24">
      <c r="A13" s="90">
        <v>6</v>
      </c>
      <c r="B13" s="75" t="s">
        <v>327</v>
      </c>
      <c r="C13" s="75">
        <f>民間住宅1!C13+民間設備投資計!C13+民間在庫品増加!C13+公的投資!C13</f>
        <v>300180</v>
      </c>
      <c r="D13" s="75">
        <f>民間住宅1!D13+民間設備投資計!D13+民間在庫品増加!D13+公的投資!D13</f>
        <v>261100</v>
      </c>
      <c r="E13" s="75">
        <f>民間住宅1!E13+民間設備投資計!E13+民間在庫品増加!E13+公的投資!E13</f>
        <v>245078</v>
      </c>
      <c r="F13" s="75">
        <f>民間住宅1!F13+民間設備投資計!F13+民間在庫品増加!F13+公的投資!F13</f>
        <v>200883</v>
      </c>
      <c r="G13" s="75">
        <f>民間住宅1!G13+民間設備投資計!G13+民間在庫品増加!G13+公的投資!G13</f>
        <v>224013</v>
      </c>
      <c r="H13" s="75">
        <f>民間住宅1!H13+民間設備投資計!H13+民間在庫品増加!H13+公的投資!H13</f>
        <v>231321</v>
      </c>
      <c r="I13" s="75">
        <f>民間住宅1!I13+民間設備投資計!I13+民間在庫品増加!I13+公的投資!I13</f>
        <v>248954</v>
      </c>
      <c r="J13" s="75">
        <f>民間住宅1!J13+民間設備投資計!J13+民間在庫品増加!J13+公的投資!J13</f>
        <v>234605</v>
      </c>
      <c r="K13" s="75">
        <f>民間住宅1!K13+民間設備投資計!K13+民間在庫品増加!K13+公的投資!K13</f>
        <v>233511</v>
      </c>
      <c r="L13" s="75">
        <f>民間住宅1!L13+民間設備投資計!L13+民間在庫品増加!L13+公的投資!L13</f>
        <v>270484</v>
      </c>
      <c r="M13" s="75">
        <f>民間住宅1!M13+民間設備投資計!M13+民間在庫品増加!M13+公的投資!M13</f>
        <v>261365</v>
      </c>
      <c r="N13" s="75">
        <f>民間住宅1!N13+民間設備投資計!N13+民間在庫品増加!N13+公的投資!N13</f>
        <v>234214</v>
      </c>
      <c r="O13" s="75">
        <f>民間住宅1!O13+民間設備投資計!O13+民間在庫品増加!F83+公的投資!O13</f>
        <v>1031777</v>
      </c>
      <c r="P13" s="75">
        <f>民間住宅1!P13+民間設備投資計!P13+民間在庫品増加!G83+公的投資!P13</f>
        <v>1047999</v>
      </c>
      <c r="Q13" s="75">
        <f>民間住宅1!Q13+民間設備投資計!Q13+民間在庫品増加!H83+公的投資!Q13</f>
        <v>1050993</v>
      </c>
      <c r="R13" s="75">
        <f>民間住宅1!R13+民間設備投資計!R13+民間在庫品増加!I83+公的投資!R13</f>
        <v>1068917</v>
      </c>
      <c r="S13" s="75">
        <f>民間住宅1!S13+民間設備投資計!S13+民間在庫品増加!J83+公的投資!S13</f>
        <v>1068494</v>
      </c>
      <c r="T13" s="75">
        <f>民間住宅1!T13+民間設備投資計!T13+民間在庫品増加!K83+公的投資!T13</f>
        <v>1082918</v>
      </c>
      <c r="U13" s="75">
        <f>民間住宅1!U13+民間設備投資計!U13+民間在庫品増加!L83+公的投資!U13</f>
        <v>1111186</v>
      </c>
      <c r="V13" s="75">
        <f>民間住宅1!V13+民間設備投資計!V13+民間在庫品増加!M83+公的投資!V13</f>
        <v>1108664</v>
      </c>
      <c r="W13" s="75">
        <f>民間住宅1!W13+民間設備投資計!W13+民間在庫品増加!N83+公的投資!W13</f>
        <v>1082943</v>
      </c>
      <c r="X13" s="75">
        <f>民間住宅1!X13+民間設備投資計!X13+民間在庫品増加!O83+公的投資!X13</f>
        <v>1109759</v>
      </c>
    </row>
    <row r="14" spans="1:24">
      <c r="A14" s="90">
        <v>7</v>
      </c>
      <c r="B14" s="75" t="s">
        <v>210</v>
      </c>
      <c r="C14" s="75">
        <f>民間住宅1!C14+民間設備投資計!C14+民間在庫品増加!C14+公的投資!C14</f>
        <v>157731</v>
      </c>
      <c r="D14" s="75">
        <f>民間住宅1!D14+民間設備投資計!D14+民間在庫品増加!D14+公的投資!D14</f>
        <v>140813</v>
      </c>
      <c r="E14" s="75">
        <f>民間住宅1!E14+民間設備投資計!E14+民間在庫品増加!E14+公的投資!E14</f>
        <v>138915</v>
      </c>
      <c r="F14" s="75">
        <f>民間住宅1!F14+民間設備投資計!F14+民間在庫品増加!F14+公的投資!F14</f>
        <v>123751</v>
      </c>
      <c r="G14" s="75">
        <f>民間住宅1!G14+民間設備投資計!G14+民間在庫品増加!G14+公的投資!G14</f>
        <v>123830</v>
      </c>
      <c r="H14" s="75">
        <f>民間住宅1!H14+民間設備投資計!H14+民間在庫品増加!H14+公的投資!H14</f>
        <v>153104</v>
      </c>
      <c r="I14" s="75">
        <f>民間住宅1!I14+民間設備投資計!I14+民間在庫品増加!I14+公的投資!I14</f>
        <v>153029</v>
      </c>
      <c r="J14" s="75">
        <f>民間住宅1!J14+民間設備投資計!J14+民間在庫品増加!J14+公的投資!J14</f>
        <v>155411</v>
      </c>
      <c r="K14" s="75">
        <f>民間住宅1!K14+民間設備投資計!K14+民間在庫品増加!K14+公的投資!K14</f>
        <v>152173</v>
      </c>
      <c r="L14" s="75">
        <f>民間住宅1!L14+民間設備投資計!L14+民間在庫品増加!L14+公的投資!L14</f>
        <v>152582</v>
      </c>
      <c r="M14" s="75">
        <f>民間住宅1!M14+民間設備投資計!M14+民間在庫品増加!M14+公的投資!M14</f>
        <v>152504</v>
      </c>
      <c r="N14" s="75">
        <f>民間住宅1!N14+民間設備投資計!N14+民間在庫品増加!N14+公的投資!N14</f>
        <v>217556</v>
      </c>
      <c r="O14" s="75">
        <f>民間住宅1!O14+民間設備投資計!O14+民間在庫品増加!F84+公的投資!O14</f>
        <v>711971</v>
      </c>
      <c r="P14" s="75">
        <f>民間住宅1!P14+民間設備投資計!P14+民間在庫品増加!G84+公的投資!P14</f>
        <v>695781</v>
      </c>
      <c r="Q14" s="75">
        <f>民間住宅1!Q14+民間設備投資計!Q14+民間在庫品増加!H84+公的投資!Q14</f>
        <v>747417</v>
      </c>
      <c r="R14" s="75">
        <f>民間住宅1!R14+民間設備投資計!R14+民間在庫品増加!I84+公的投資!R14</f>
        <v>757013</v>
      </c>
      <c r="S14" s="75">
        <f>民間住宅1!S14+民間設備投資計!S14+民間在庫品増加!J84+公的投資!S14</f>
        <v>744473</v>
      </c>
      <c r="T14" s="75">
        <f>民間住宅1!T14+民間設備投資計!T14+民間在庫品増加!K84+公的投資!T14</f>
        <v>759170</v>
      </c>
      <c r="U14" s="75">
        <f>民間住宅1!U14+民間設備投資計!U14+民間在庫品増加!L84+公的投資!U14</f>
        <v>741565</v>
      </c>
      <c r="V14" s="75">
        <f>民間住宅1!V14+民間設備投資計!V14+民間在庫品増加!M84+公的投資!V14</f>
        <v>746252</v>
      </c>
      <c r="W14" s="75">
        <f>民間住宅1!W14+民間設備投資計!W14+民間在庫品増加!N84+公的投資!W14</f>
        <v>794563</v>
      </c>
      <c r="X14" s="75">
        <f>民間住宅1!X14+民間設備投資計!X14+民間在庫品増加!O84+公的投資!X14</f>
        <v>737448</v>
      </c>
    </row>
    <row r="15" spans="1:24">
      <c r="A15" s="90">
        <v>8</v>
      </c>
      <c r="B15" s="75" t="s">
        <v>211</v>
      </c>
      <c r="C15" s="75">
        <f>民間住宅1!C15+民間設備投資計!C15+民間在庫品増加!C15+公的投資!C15</f>
        <v>87614</v>
      </c>
      <c r="D15" s="75">
        <f>民間住宅1!D15+民間設備投資計!D15+民間在庫品増加!D15+公的投資!D15</f>
        <v>89920</v>
      </c>
      <c r="E15" s="75">
        <f>民間住宅1!E15+民間設備投資計!E15+民間在庫品増加!E15+公的投資!E15</f>
        <v>86025</v>
      </c>
      <c r="F15" s="75">
        <f>民間住宅1!F15+民間設備投資計!F15+民間在庫品増加!F15+公的投資!F15</f>
        <v>66853</v>
      </c>
      <c r="G15" s="75">
        <f>民間住宅1!G15+民間設備投資計!G15+民間在庫品増加!G15+公的投資!G15</f>
        <v>75921</v>
      </c>
      <c r="H15" s="75">
        <f>民間住宅1!H15+民間設備投資計!H15+民間在庫品増加!H15+公的投資!H15</f>
        <v>73695</v>
      </c>
      <c r="I15" s="75">
        <f>民間住宅1!I15+民間設備投資計!I15+民間在庫品増加!I15+公的投資!I15</f>
        <v>74363</v>
      </c>
      <c r="J15" s="75">
        <f>民間住宅1!J15+民間設備投資計!J15+民間在庫品増加!J15+公的投資!J15</f>
        <v>86711</v>
      </c>
      <c r="K15" s="75">
        <f>民間住宅1!K15+民間設備投資計!K15+民間在庫品増加!K15+公的投資!K15</f>
        <v>127974</v>
      </c>
      <c r="L15" s="75">
        <f>民間住宅1!L15+民間設備投資計!L15+民間在庫品増加!L15+公的投資!L15</f>
        <v>130552</v>
      </c>
      <c r="M15" s="75">
        <f>民間住宅1!M15+民間設備投資計!M15+民間在庫品増加!M15+公的投資!M15</f>
        <v>94117</v>
      </c>
      <c r="N15" s="75">
        <f>民間住宅1!N15+民間設備投資計!N15+民間在庫品増加!N15+公的投資!N15</f>
        <v>89679</v>
      </c>
      <c r="O15" s="75">
        <f>民間住宅1!O15+民間設備投資計!O15+民間在庫品増加!F85+公的投資!O15</f>
        <v>434863</v>
      </c>
      <c r="P15" s="75">
        <f>民間住宅1!P15+民間設備投資計!P15+民間在庫品増加!G85+公的投資!P15</f>
        <v>428450</v>
      </c>
      <c r="Q15" s="75">
        <f>民間住宅1!Q15+民間設備投資計!Q15+民間在庫品増加!H85+公的投資!Q15</f>
        <v>409780</v>
      </c>
      <c r="R15" s="75">
        <f>民間住宅1!R15+民間設備投資計!R15+民間在庫品増加!I85+公的投資!R15</f>
        <v>423991</v>
      </c>
      <c r="S15" s="75">
        <f>民間住宅1!S15+民間設備投資計!S15+民間在庫品増加!J85+公的投資!S15</f>
        <v>445212</v>
      </c>
      <c r="T15" s="75">
        <f>民間住宅1!T15+民間設備投資計!T15+民間在庫品増加!K85+公的投資!T15</f>
        <v>477819</v>
      </c>
      <c r="U15" s="75">
        <f>民間住宅1!U15+民間設備投資計!U15+民間在庫品増加!L85+公的投資!U15</f>
        <v>467445</v>
      </c>
      <c r="V15" s="75">
        <f>民間住宅1!V15+民間設備投資計!V15+民間在庫品増加!M85+公的投資!V15</f>
        <v>452750</v>
      </c>
      <c r="W15" s="75">
        <f>民間住宅1!W15+民間設備投資計!W15+民間在庫品増加!N85+公的投資!W15</f>
        <v>441994</v>
      </c>
      <c r="X15" s="75">
        <f>民間住宅1!X15+民間設備投資計!X15+民間在庫品増加!O85+公的投資!X15</f>
        <v>468523</v>
      </c>
    </row>
    <row r="16" spans="1:24">
      <c r="A16" s="90">
        <v>9</v>
      </c>
      <c r="B16" s="75" t="s">
        <v>212</v>
      </c>
      <c r="C16" s="75">
        <f>民間住宅1!C16+民間設備投資計!C16+民間在庫品増加!C16+公的投資!C16</f>
        <v>119090</v>
      </c>
      <c r="D16" s="75">
        <f>民間住宅1!D16+民間設備投資計!D16+民間在庫品増加!D16+公的投資!D16</f>
        <v>99071</v>
      </c>
      <c r="E16" s="75">
        <f>民間住宅1!E16+民間設備投資計!E16+民間在庫品増加!E16+公的投資!E16</f>
        <v>97362</v>
      </c>
      <c r="F16" s="75">
        <f>民間住宅1!F16+民間設備投資計!F16+民間在庫品増加!F16+公的投資!F16</f>
        <v>99744</v>
      </c>
      <c r="G16" s="75">
        <f>民間住宅1!G16+民間設備投資計!G16+民間在庫品増加!G16+公的投資!G16</f>
        <v>110539</v>
      </c>
      <c r="H16" s="75">
        <f>民間住宅1!H16+民間設備投資計!H16+民間在庫品増加!H16+公的投資!H16</f>
        <v>96590</v>
      </c>
      <c r="I16" s="75">
        <f>民間住宅1!I16+民間設備投資計!I16+民間在庫品増加!I16+公的投資!I16</f>
        <v>108581</v>
      </c>
      <c r="J16" s="75">
        <f>民間住宅1!J16+民間設備投資計!J16+民間在庫品増加!J16+公的投資!J16</f>
        <v>116997</v>
      </c>
      <c r="K16" s="75">
        <f>民間住宅1!K16+民間設備投資計!K16+民間在庫品増加!K16+公的投資!K16</f>
        <v>106682</v>
      </c>
      <c r="L16" s="75">
        <f>民間住宅1!L16+民間設備投資計!L16+民間在庫品増加!L16+公的投資!L16</f>
        <v>121007</v>
      </c>
      <c r="M16" s="75">
        <f>民間住宅1!M16+民間設備投資計!M16+民間在庫品増加!M16+公的投資!M16</f>
        <v>122039</v>
      </c>
      <c r="N16" s="75">
        <f>民間住宅1!N16+民間設備投資計!N16+民間在庫品増加!N16+公的投資!N16</f>
        <v>118463</v>
      </c>
      <c r="O16" s="75">
        <f>民間住宅1!O16+民間設備投資計!O16+民間在庫品増加!F86+公的投資!O16</f>
        <v>510141</v>
      </c>
      <c r="P16" s="75">
        <f>民間住宅1!P16+民間設備投資計!P16+民間在庫品増加!G86+公的投資!P16</f>
        <v>517339</v>
      </c>
      <c r="Q16" s="75">
        <f>民間住宅1!Q16+民間設備投資計!Q16+民間在庫品増加!H86+公的投資!Q16</f>
        <v>505919</v>
      </c>
      <c r="R16" s="75">
        <f>民間住宅1!R16+民間設備投資計!R16+民間在庫品増加!I86+公的投資!R16</f>
        <v>539780</v>
      </c>
      <c r="S16" s="75">
        <f>民間住宅1!S16+民間設備投資計!S16+民間在庫品増加!J86+公的投資!S16</f>
        <v>561571</v>
      </c>
      <c r="T16" s="75">
        <f>民間住宅1!T16+民間設備投資計!T16+民間在庫品増加!K86+公的投資!T16</f>
        <v>557454</v>
      </c>
      <c r="U16" s="75">
        <f>民間住宅1!U16+民間設備投資計!U16+民間在庫品増加!L86+公的投資!U16</f>
        <v>538830</v>
      </c>
      <c r="V16" s="75">
        <f>民間住宅1!V16+民間設備投資計!V16+民間在庫品増加!M86+公的投資!V16</f>
        <v>552792</v>
      </c>
      <c r="W16" s="75">
        <f>民間住宅1!W16+民間設備投資計!W16+民間在庫品増加!N86+公的投資!W16</f>
        <v>548071</v>
      </c>
      <c r="X16" s="75">
        <f>民間住宅1!X16+民間設備投資計!X16+民間在庫品増加!O86+公的投資!X16</f>
        <v>530533</v>
      </c>
    </row>
    <row r="17" spans="1:24">
      <c r="A17" s="92"/>
      <c r="B17" s="87"/>
      <c r="C17" s="75" t="s">
        <v>347</v>
      </c>
      <c r="D17" s="75" t="s">
        <v>347</v>
      </c>
      <c r="E17" s="75" t="s">
        <v>347</v>
      </c>
      <c r="F17" s="75" t="s">
        <v>347</v>
      </c>
      <c r="G17" s="75" t="s">
        <v>347</v>
      </c>
      <c r="H17" s="75" t="s">
        <v>347</v>
      </c>
      <c r="I17" s="75" t="s">
        <v>347</v>
      </c>
    </row>
    <row r="18" spans="1:24">
      <c r="A18" s="89">
        <v>100</v>
      </c>
      <c r="B18" s="87" t="s">
        <v>172</v>
      </c>
      <c r="C18" s="75">
        <f>民間住宅1!C18+民間設備投資計!C18+民間在庫品増加!C18+公的投資!C18</f>
        <v>1499325.0952841598</v>
      </c>
      <c r="D18" s="75">
        <f>民間住宅1!D18+民間設備投資計!D18+民間在庫品増加!D18+公的投資!D18</f>
        <v>1383497.5737165967</v>
      </c>
      <c r="E18" s="75">
        <f>民間住宅1!E18+民間設備投資計!E18+民間在庫品増加!E18+公的投資!E18</f>
        <v>1381474.585396436</v>
      </c>
      <c r="F18" s="75">
        <f>民間住宅1!F18+民間設備投資計!F18+民間在庫品増加!F18+公的投資!F18</f>
        <v>1072393.7934859018</v>
      </c>
      <c r="G18" s="75">
        <f>民間住宅1!G18+民間設備投資計!G18+民間在庫品増加!G18+公的投資!G18</f>
        <v>1165391.6609563492</v>
      </c>
      <c r="H18" s="75">
        <f>民間住宅1!H18+民間設備投資計!H18+民間在庫品増加!H18+公的投資!H18</f>
        <v>1193566.5626262943</v>
      </c>
      <c r="I18" s="75">
        <f>民間住宅1!I18+民間設備投資計!I18+民間在庫品増加!I18+公的投資!I18</f>
        <v>1161846.4796433249</v>
      </c>
      <c r="J18" s="75">
        <f>民間住宅1!J18+民間設備投資計!J18+民間在庫品増加!J18+公的投資!J18</f>
        <v>1360343.1353922233</v>
      </c>
      <c r="K18" s="75">
        <f>民間住宅1!K18+民間設備投資計!K18+民間在庫品増加!K18+公的投資!K18</f>
        <v>1267763.2464033237</v>
      </c>
      <c r="L18" s="75">
        <f>民間住宅1!L18+民間設備投資計!L18+民間在庫品増加!L18+公的投資!L18</f>
        <v>1416820.7222059178</v>
      </c>
      <c r="M18" s="75">
        <f>民間住宅1!M18+民間設備投資計!M18+民間在庫品増加!M18+公的投資!M18</f>
        <v>1331043.1646797855</v>
      </c>
      <c r="N18" s="75">
        <f>民間住宅1!N18+民間設備投資計!N18+民間在庫品増加!N18+公的投資!N18</f>
        <v>1443552.6063577845</v>
      </c>
      <c r="O18" s="75">
        <f>民間住宅1!O18+民間設備投資計!O18+民間在庫品増加!F88+公的投資!O18</f>
        <v>6426663.6061415281</v>
      </c>
      <c r="P18" s="75">
        <f>民間住宅1!P18+民間設備投資計!P18+民間在庫品増加!G88+公的投資!P18</f>
        <v>6675802.0552020445</v>
      </c>
      <c r="Q18" s="75">
        <f>民間住宅1!Q18+民間設備投資計!Q18+民間在庫品増加!H88+公的投資!Q18</f>
        <v>6598600.7470161011</v>
      </c>
      <c r="R18" s="75">
        <f>民間住宅1!R18+民間設備投資計!R18+民間在庫品増加!I88+公的投資!R18</f>
        <v>6566346.7470161011</v>
      </c>
      <c r="S18" s="75">
        <f>民間住宅1!S18+民間設備投資計!S18+民間在庫品増加!J88+公的投資!S18</f>
        <v>7009036.370937665</v>
      </c>
      <c r="T18" s="75">
        <f>民間住宅1!T18+民間設備投資計!T18+民間在庫品増加!K88+公的投資!T18</f>
        <v>6969065.3602263322</v>
      </c>
      <c r="U18" s="75">
        <f>民間住宅1!U18+民間設備投資計!U18+民間在庫品増加!L88+公的投資!U18</f>
        <v>6962735.3602263322</v>
      </c>
      <c r="V18" s="75">
        <f>民間住宅1!V18+民間設備投資計!V18+民間在庫品増加!M88+公的投資!V18</f>
        <v>7148738.2311919704</v>
      </c>
      <c r="W18" s="75">
        <f>民間住宅1!W18+民間設備投資計!W18+民間在庫品増加!N88+公的投資!W18</f>
        <v>7458110.2801268827</v>
      </c>
      <c r="X18" s="75">
        <f>民間住宅1!X18+民間設備投資計!X18+民間在庫品増加!O88+公的投資!X18</f>
        <v>7374113.1642414387</v>
      </c>
    </row>
    <row r="19" spans="1:24">
      <c r="A19" s="92">
        <v>1</v>
      </c>
      <c r="B19" s="65" t="s">
        <v>182</v>
      </c>
      <c r="C19" s="75">
        <f>民間住宅1!C19+民間設備投資計!C19+民間在庫品増加!C19+公的投資!C19</f>
        <v>1089677</v>
      </c>
      <c r="D19" s="75">
        <f>民間住宅1!D19+民間設備投資計!D19+民間在庫品増加!D19+公的投資!D19</f>
        <v>1022578</v>
      </c>
      <c r="E19" s="75">
        <f>民間住宅1!E19+民間設備投資計!E19+民間在庫品増加!E19+公的投資!E19</f>
        <v>1146944</v>
      </c>
      <c r="F19" s="75">
        <f>民間住宅1!F19+民間設備投資計!F19+民間在庫品増加!F19+公的投資!F19</f>
        <v>927612</v>
      </c>
      <c r="G19" s="75">
        <f>民間住宅1!G19+民間設備投資計!G19+民間在庫品増加!G19+公的投資!G19</f>
        <v>833463</v>
      </c>
      <c r="H19" s="75">
        <f>民間住宅1!H19+民間設備投資計!H19+民間在庫品増加!H19+公的投資!H19</f>
        <v>791808</v>
      </c>
      <c r="I19" s="75">
        <f>民間住宅1!I19+民間設備投資計!I19+民間在庫品増加!I19+公的投資!I19</f>
        <v>734882</v>
      </c>
      <c r="J19" s="75">
        <f>民間住宅1!J19+民間設備投資計!J19+民間在庫品増加!J19+公的投資!J19</f>
        <v>814012</v>
      </c>
      <c r="K19" s="75">
        <f>民間住宅1!K19+民間設備投資計!K19+民間在庫品増加!K19+公的投資!K19</f>
        <v>780856</v>
      </c>
      <c r="L19" s="75">
        <f>民間住宅1!L19+民間設備投資計!L19+民間在庫品増加!L19+公的投資!L19</f>
        <v>933664</v>
      </c>
      <c r="M19" s="75">
        <f>民間住宅1!M19+民間設備投資計!M19+民間在庫品増加!M19+公的投資!M19</f>
        <v>851345</v>
      </c>
      <c r="N19" s="75">
        <f>民間住宅1!N19+民間設備投資計!N19+民間在庫品増加!N19+公的投資!N19</f>
        <v>802544</v>
      </c>
      <c r="O19" s="75">
        <f>民間住宅1!O19+民間設備投資計!O19+民間在庫品増加!F89+公的投資!O19</f>
        <v>4374727</v>
      </c>
      <c r="P19" s="75">
        <f>民間住宅1!P19+民間設備投資計!P19+民間在庫品増加!G89+公的投資!P19</f>
        <v>4254414</v>
      </c>
      <c r="Q19" s="75">
        <f>民間住宅1!Q19+民間設備投資計!Q19+民間在庫品増加!H89+公的投資!Q19</f>
        <v>4174697</v>
      </c>
      <c r="R19" s="75">
        <f>民間住宅1!R19+民間設備投資計!R19+民間在庫品増加!I89+公的投資!R19</f>
        <v>4179619</v>
      </c>
      <c r="S19" s="75">
        <f>民間住宅1!S19+民間設備投資計!S19+民間在庫品増加!J89+公的投資!S19</f>
        <v>4299528</v>
      </c>
      <c r="T19" s="75">
        <f>民間住宅1!T19+民間設備投資計!T19+民間在庫品増加!K89+公的投資!T19</f>
        <v>4311606</v>
      </c>
      <c r="U19" s="75">
        <f>民間住宅1!U19+民間設備投資計!U19+民間在庫品増加!L89+公的投資!U19</f>
        <v>4486318</v>
      </c>
      <c r="V19" s="75">
        <f>民間住宅1!V19+民間設備投資計!V19+民間在庫品増加!M89+公的投資!V19</f>
        <v>4486116</v>
      </c>
      <c r="W19" s="75">
        <f>民間住宅1!W19+民間設備投資計!W19+民間在庫品増加!N89+公的投資!W19</f>
        <v>4439994</v>
      </c>
      <c r="X19" s="75">
        <f>民間住宅1!X19+民間設備投資計!X19+民間在庫品増加!O89+公的投資!X19</f>
        <v>4487203</v>
      </c>
    </row>
    <row r="20" spans="1:24">
      <c r="A20" s="89">
        <v>202</v>
      </c>
      <c r="B20" s="90" t="s">
        <v>183</v>
      </c>
      <c r="C20" s="75">
        <f>民間住宅1!C20+民間設備投資計!C20+民間在庫品増加!C20+公的投資!C20</f>
        <v>687302</v>
      </c>
      <c r="D20" s="75">
        <f>民間住宅1!D20+民間設備投資計!D20+民間在庫品増加!D20+公的投資!D20</f>
        <v>629279</v>
      </c>
      <c r="E20" s="75">
        <f>民間住宅1!E20+民間設備投資計!E20+民間在庫品増加!E20+公的投資!E20</f>
        <v>729658</v>
      </c>
      <c r="F20" s="75">
        <f>民間住宅1!F20+民間設備投資計!F20+民間在庫品増加!F20+公的投資!F20</f>
        <v>651428</v>
      </c>
      <c r="G20" s="75">
        <f>民間住宅1!G20+民間設備投資計!G20+民間在庫品増加!G20+公的投資!G20</f>
        <v>510667</v>
      </c>
      <c r="H20" s="75">
        <f>民間住宅1!H20+民間設備投資計!H20+民間在庫品増加!H20+公的投資!H20</f>
        <v>442267</v>
      </c>
      <c r="I20" s="75">
        <f>民間住宅1!I20+民間設備投資計!I20+民間在庫品増加!I20+公的投資!I20</f>
        <v>386357</v>
      </c>
      <c r="J20" s="75">
        <f>民間住宅1!J20+民間設備投資計!J20+民間在庫品増加!J20+公的投資!J20</f>
        <v>421776</v>
      </c>
      <c r="K20" s="75">
        <f>民間住宅1!K20+民間設備投資計!K20+民間在庫品増加!K20+公的投資!K20</f>
        <v>433404</v>
      </c>
      <c r="L20" s="75">
        <f>民間住宅1!L20+民間設備投資計!L20+民間在庫品増加!L20+公的投資!L20</f>
        <v>492857</v>
      </c>
      <c r="M20" s="75">
        <f>民間住宅1!M20+民間設備投資計!M20+民間在庫品増加!M20+公的投資!M20</f>
        <v>456798</v>
      </c>
      <c r="N20" s="75">
        <f>民間住宅1!N20+民間設備投資計!N20+民間在庫品増加!N20+公的投資!N20</f>
        <v>406975</v>
      </c>
      <c r="O20" s="75">
        <f>民間住宅1!O20+民間設備投資計!O20+民間在庫品増加!F90+公的投資!O20</f>
        <v>2244821</v>
      </c>
      <c r="P20" s="75">
        <f>民間住宅1!P20+民間設備投資計!P20+民間在庫品増加!G90+公的投資!P20</f>
        <v>2119249</v>
      </c>
      <c r="Q20" s="75">
        <f>民間住宅1!Q20+民間設備投資計!Q20+民間在庫品増加!H90+公的投資!Q20</f>
        <v>1996022</v>
      </c>
      <c r="R20" s="75">
        <f>民間住宅1!R20+民間設備投資計!R20+民間在庫品増加!I90+公的投資!R20</f>
        <v>2006157</v>
      </c>
      <c r="S20" s="75">
        <f>民間住宅1!S20+民間設備投資計!S20+民間在庫品増加!J90+公的投資!S20</f>
        <v>2027598</v>
      </c>
      <c r="T20" s="75">
        <f>民間住宅1!T20+民間設備投資計!T20+民間在庫品増加!K90+公的投資!T20</f>
        <v>2064840</v>
      </c>
      <c r="U20" s="75">
        <f>民間住宅1!U20+民間設備投資計!U20+民間在庫品増加!L90+公的投資!U20</f>
        <v>2133847</v>
      </c>
      <c r="V20" s="75">
        <f>民間住宅1!V20+民間設備投資計!V20+民間在庫品増加!M90+公的投資!V20</f>
        <v>2138058</v>
      </c>
      <c r="W20" s="75">
        <f>民間住宅1!W20+民間設備投資計!W20+民間在庫品増加!N90+公的投資!W20</f>
        <v>2098872</v>
      </c>
      <c r="X20" s="75">
        <f>民間住宅1!X20+民間設備投資計!X20+民間在庫品増加!O90+公的投資!X20</f>
        <v>2126986</v>
      </c>
    </row>
    <row r="21" spans="1:24">
      <c r="A21" s="89">
        <v>204</v>
      </c>
      <c r="B21" s="90" t="s">
        <v>184</v>
      </c>
      <c r="C21" s="75">
        <f>民間住宅1!C21+民間設備投資計!C21+民間在庫品増加!C21+公的投資!C21</f>
        <v>333594</v>
      </c>
      <c r="D21" s="75">
        <f>民間住宅1!D21+民間設備投資計!D21+民間在庫品増加!D21+公的投資!D21</f>
        <v>326096</v>
      </c>
      <c r="E21" s="75">
        <f>民間住宅1!E21+民間設備投資計!E21+民間在庫品増加!E21+公的投資!E21</f>
        <v>355280</v>
      </c>
      <c r="F21" s="75">
        <f>民間住宅1!F21+民間設備投資計!F21+民間在庫品増加!F21+公的投資!F21</f>
        <v>224994</v>
      </c>
      <c r="G21" s="75">
        <f>民間住宅1!G21+民間設備投資計!G21+民間在庫品増加!G21+公的投資!G21</f>
        <v>269974</v>
      </c>
      <c r="H21" s="75">
        <f>民間住宅1!H21+民間設備投資計!H21+民間在庫品増加!H21+公的投資!H21</f>
        <v>301348</v>
      </c>
      <c r="I21" s="75">
        <f>民間住宅1!I21+民間設備投資計!I21+民間在庫品増加!I21+公的投資!I21</f>
        <v>300041</v>
      </c>
      <c r="J21" s="75">
        <f>民間住宅1!J21+民間設備投資計!J21+民間在庫品増加!J21+公的投資!J21</f>
        <v>311758</v>
      </c>
      <c r="K21" s="75">
        <f>民間住宅1!K21+民間設備投資計!K21+民間在庫品増加!K21+公的投資!K21</f>
        <v>285057</v>
      </c>
      <c r="L21" s="75">
        <f>民間住宅1!L21+民間設備投資計!L21+民間在庫品増加!L21+公的投資!L21</f>
        <v>355715</v>
      </c>
      <c r="M21" s="75">
        <f>民間住宅1!M21+民間設備投資計!M21+民間在庫品増加!M21+公的投資!M21</f>
        <v>308273</v>
      </c>
      <c r="N21" s="75">
        <f>民間住宅1!N21+民間設備投資計!N21+民間在庫品増加!N21+公的投資!N21</f>
        <v>318872</v>
      </c>
      <c r="O21" s="75">
        <f>民間住宅1!O21+民間設備投資計!O21+民間在庫品増加!F91+公的投資!O21</f>
        <v>1761873</v>
      </c>
      <c r="P21" s="75">
        <f>民間住宅1!P21+民間設備投資計!P21+民間在庫品増加!G91+公的投資!P21</f>
        <v>1787189</v>
      </c>
      <c r="Q21" s="75">
        <f>民間住宅1!Q21+民間設備投資計!Q21+民間在庫品増加!H91+公的投資!Q21</f>
        <v>1816684</v>
      </c>
      <c r="R21" s="75">
        <f>民間住宅1!R21+民間設備投資計!R21+民間在庫品増加!I91+公的投資!R21</f>
        <v>1808276</v>
      </c>
      <c r="S21" s="75">
        <f>民間住宅1!S21+民間設備投資計!S21+民間在庫品増加!J91+公的投資!S21</f>
        <v>1877509</v>
      </c>
      <c r="T21" s="75">
        <f>民間住宅1!T21+民間設備投資計!T21+民間在庫品増加!K91+公的投資!T21</f>
        <v>1862746</v>
      </c>
      <c r="U21" s="75">
        <f>民間住宅1!U21+民間設備投資計!U21+民間在庫品増加!L91+公的投資!U21</f>
        <v>1930027</v>
      </c>
      <c r="V21" s="75">
        <f>民間住宅1!V21+民間設備投資計!V21+民間在庫品増加!M91+公的投資!V21</f>
        <v>1931086</v>
      </c>
      <c r="W21" s="75">
        <f>民間住宅1!W21+民間設備投資計!W21+民間在庫品増加!N91+公的投資!W21</f>
        <v>1938407</v>
      </c>
      <c r="X21" s="75">
        <f>民間住宅1!X21+民間設備投資計!X21+民間在庫品増加!O91+公的投資!X21</f>
        <v>1947694</v>
      </c>
    </row>
    <row r="22" spans="1:24">
      <c r="A22" s="89">
        <v>206</v>
      </c>
      <c r="B22" s="90" t="s">
        <v>185</v>
      </c>
      <c r="C22" s="75">
        <f>民間住宅1!C22+民間設備投資計!C22+民間在庫品増加!C22+公的投資!C22</f>
        <v>68781</v>
      </c>
      <c r="D22" s="75">
        <f>民間住宅1!D22+民間設備投資計!D22+民間在庫品増加!D22+公的投資!D22</f>
        <v>67203</v>
      </c>
      <c r="E22" s="75">
        <f>民間住宅1!E22+民間設備投資計!E22+民間在庫品増加!E22+公的投資!E22</f>
        <v>62006</v>
      </c>
      <c r="F22" s="75">
        <f>民間住宅1!F22+民間設備投資計!F22+民間在庫品増加!F22+公的投資!F22</f>
        <v>51190</v>
      </c>
      <c r="G22" s="75">
        <f>民間住宅1!G22+民間設備投資計!G22+民間在庫品増加!G22+公的投資!G22</f>
        <v>52822</v>
      </c>
      <c r="H22" s="75">
        <f>民間住宅1!H22+民間設備投資計!H22+民間在庫品増加!H22+公的投資!H22</f>
        <v>48193</v>
      </c>
      <c r="I22" s="75">
        <f>民間住宅1!I22+民間設備投資計!I22+民間在庫品増加!I22+公的投資!I22</f>
        <v>48484</v>
      </c>
      <c r="J22" s="75">
        <f>民間住宅1!J22+民間設備投資計!J22+民間在庫品増加!J22+公的投資!J22</f>
        <v>80478</v>
      </c>
      <c r="K22" s="75">
        <f>民間住宅1!K22+民間設備投資計!K22+民間在庫品増加!K22+公的投資!K22</f>
        <v>62395</v>
      </c>
      <c r="L22" s="75">
        <f>民間住宅1!L22+民間設備投資計!L22+民間在庫品増加!L22+公的投資!L22</f>
        <v>85092</v>
      </c>
      <c r="M22" s="75">
        <f>民間住宅1!M22+民間設備投資計!M22+民間在庫品増加!M22+公的投資!M22</f>
        <v>86274</v>
      </c>
      <c r="N22" s="75">
        <f>民間住宅1!N22+民間設備投資計!N22+民間在庫品増加!N22+公的投資!N22</f>
        <v>76697</v>
      </c>
      <c r="O22" s="75">
        <f>民間住宅1!O22+民間設備投資計!O22+民間在庫品増加!F92+公的投資!O22</f>
        <v>368033</v>
      </c>
      <c r="P22" s="75">
        <f>民間住宅1!P22+民間設備投資計!P22+民間在庫品増加!G92+公的投資!P22</f>
        <v>347976</v>
      </c>
      <c r="Q22" s="75">
        <f>民間住宅1!Q22+民間設備投資計!Q22+民間在庫品増加!H92+公的投資!Q22</f>
        <v>361991</v>
      </c>
      <c r="R22" s="75">
        <f>民間住宅1!R22+民間設備投資計!R22+民間在庫品増加!I92+公的投資!R22</f>
        <v>365186</v>
      </c>
      <c r="S22" s="75">
        <f>民間住宅1!S22+民間設備投資計!S22+民間在庫品増加!J92+公的投資!S22</f>
        <v>394421</v>
      </c>
      <c r="T22" s="75">
        <f>民間住宅1!T22+民間設備投資計!T22+民間在庫品増加!K92+公的投資!T22</f>
        <v>384020</v>
      </c>
      <c r="U22" s="75">
        <f>民間住宅1!U22+民間設備投資計!U22+民間在庫品増加!L92+公的投資!U22</f>
        <v>422444</v>
      </c>
      <c r="V22" s="75">
        <f>民間住宅1!V22+民間設備投資計!V22+民間在庫品増加!M92+公的投資!V22</f>
        <v>416972</v>
      </c>
      <c r="W22" s="75">
        <f>民間住宅1!W22+民間設備投資計!W22+民間在庫品増加!N92+公的投資!W22</f>
        <v>402715</v>
      </c>
      <c r="X22" s="75">
        <f>民間住宅1!X22+民間設備投資計!X22+民間在庫品増加!O92+公的投資!X22</f>
        <v>412523</v>
      </c>
    </row>
    <row r="23" spans="1:24">
      <c r="A23" s="92">
        <v>2</v>
      </c>
      <c r="B23" s="65" t="s">
        <v>186</v>
      </c>
      <c r="C23" s="75">
        <f>民間住宅1!C23+民間設備投資計!C23+民間在庫品増加!C23+公的投資!C23</f>
        <v>556066</v>
      </c>
      <c r="D23" s="75">
        <f>民間住宅1!D23+民間設備投資計!D23+民間在庫品増加!D23+公的投資!D23</f>
        <v>525049</v>
      </c>
      <c r="E23" s="75">
        <f>民間住宅1!E23+民間設備投資計!E23+民間在庫品増加!E23+公的投資!E23</f>
        <v>505306</v>
      </c>
      <c r="F23" s="75">
        <f>民間住宅1!F23+民間設備投資計!F23+民間在庫品増加!F23+公的投資!F23</f>
        <v>392405</v>
      </c>
      <c r="G23" s="75">
        <f>民間住宅1!G23+民間設備投資計!G23+民間在庫品増加!G23+公的投資!G23</f>
        <v>402719</v>
      </c>
      <c r="H23" s="75">
        <f>民間住宅1!H23+民間設備投資計!H23+民間在庫品増加!H23+公的投資!H23</f>
        <v>429327</v>
      </c>
      <c r="I23" s="75">
        <f>民間住宅1!I23+民間設備投資計!I23+民間在庫品増加!I23+公的投資!I23</f>
        <v>457635</v>
      </c>
      <c r="J23" s="75">
        <f>民間住宅1!J23+民間設備投資計!J23+民間在庫品増加!J23+公的投資!J23</f>
        <v>497817</v>
      </c>
      <c r="K23" s="75">
        <f>民間住宅1!K23+民間設備投資計!K23+民間在庫品増加!K23+公的投資!K23</f>
        <v>530548</v>
      </c>
      <c r="L23" s="75">
        <f>民間住宅1!L23+民間設備投資計!L23+民間在庫品増加!L23+公的投資!L23</f>
        <v>548445</v>
      </c>
      <c r="M23" s="75">
        <f>民間住宅1!M23+民間設備投資計!M23+民間在庫品増加!M23+公的投資!M23</f>
        <v>533305</v>
      </c>
      <c r="N23" s="75">
        <f>民間住宅1!N23+民間設備投資計!N23+民間在庫品増加!N23+公的投資!N23</f>
        <v>549102</v>
      </c>
      <c r="O23" s="75">
        <f>民間住宅1!O23+民間設備投資計!O23+民間在庫品増加!F93+公的投資!O23</f>
        <v>2560929</v>
      </c>
      <c r="P23" s="75">
        <f>民間住宅1!P23+民間設備投資計!P23+民間在庫品増加!G93+公的投資!P23</f>
        <v>2576204</v>
      </c>
      <c r="Q23" s="75">
        <f>民間住宅1!Q23+民間設備投資計!Q23+民間在庫品増加!H93+公的投資!Q23</f>
        <v>2543338</v>
      </c>
      <c r="R23" s="75">
        <f>民間住宅1!R23+民間設備投資計!R23+民間在庫品増加!I93+公的投資!R23</f>
        <v>2646885</v>
      </c>
      <c r="S23" s="75">
        <f>民間住宅1!S23+民間設備投資計!S23+民間在庫品増加!J93+公的投資!S23</f>
        <v>2795953</v>
      </c>
      <c r="T23" s="75">
        <f>民間住宅1!T23+民間設備投資計!T23+民間在庫品増加!K93+公的投資!T23</f>
        <v>2827932</v>
      </c>
      <c r="U23" s="75">
        <f>民間住宅1!U23+民間設備投資計!U23+民間在庫品増加!L93+公的投資!U23</f>
        <v>3102939</v>
      </c>
      <c r="V23" s="75">
        <f>民間住宅1!V23+民間設備投資計!V23+民間在庫品増加!M93+公的投資!V23</f>
        <v>2975091</v>
      </c>
      <c r="W23" s="75">
        <f>民間住宅1!W23+民間設備投資計!W23+民間在庫品増加!N93+公的投資!W23</f>
        <v>3013603</v>
      </c>
      <c r="X23" s="75">
        <f>民間住宅1!X23+民間設備投資計!X23+民間在庫品増加!O93+公的投資!X23</f>
        <v>3054327</v>
      </c>
    </row>
    <row r="24" spans="1:24">
      <c r="A24" s="89">
        <v>207</v>
      </c>
      <c r="B24" s="90" t="s">
        <v>187</v>
      </c>
      <c r="C24" s="75">
        <f>民間住宅1!C24+民間設備投資計!C24+民間在庫品増加!C24+公的投資!C24</f>
        <v>196506</v>
      </c>
      <c r="D24" s="75">
        <f>民間住宅1!D24+民間設備投資計!D24+民間在庫品増加!D24+公的投資!D24</f>
        <v>178136</v>
      </c>
      <c r="E24" s="75">
        <f>民間住宅1!E24+民間設備投資計!E24+民間在庫品増加!E24+公的投資!E24</f>
        <v>164064</v>
      </c>
      <c r="F24" s="75">
        <f>民間住宅1!F24+民間設備投資計!F24+民間在庫品増加!F24+公的投資!F24</f>
        <v>132198</v>
      </c>
      <c r="G24" s="75">
        <f>民間住宅1!G24+民間設備投資計!G24+民間在庫品増加!G24+公的投資!G24</f>
        <v>122723</v>
      </c>
      <c r="H24" s="75">
        <f>民間住宅1!H24+民間設備投資計!H24+民間在庫品増加!H24+公的投資!H24</f>
        <v>157136</v>
      </c>
      <c r="I24" s="75">
        <f>民間住宅1!I24+民間設備投資計!I24+民間在庫品増加!I24+公的投資!I24</f>
        <v>145897</v>
      </c>
      <c r="J24" s="75">
        <f>民間住宅1!J24+民間設備投資計!J24+民間在庫品増加!J24+公的投資!J24</f>
        <v>176349</v>
      </c>
      <c r="K24" s="75">
        <f>民間住宅1!K24+民間設備投資計!K24+民間在庫品増加!K24+公的投資!K24</f>
        <v>167397</v>
      </c>
      <c r="L24" s="75">
        <f>民間住宅1!L24+民間設備投資計!L24+民間在庫品増加!L24+公的投資!L24</f>
        <v>188884</v>
      </c>
      <c r="M24" s="75">
        <f>民間住宅1!M24+民間設備投資計!M24+民間在庫品増加!M24+公的投資!M24</f>
        <v>192923</v>
      </c>
      <c r="N24" s="75">
        <f>民間住宅1!N24+民間設備投資計!N24+民間在庫品増加!N24+公的投資!N24</f>
        <v>183693</v>
      </c>
      <c r="O24" s="75">
        <f>民間住宅1!O24+民間設備投資計!O24+民間在庫品増加!F94+公的投資!O24</f>
        <v>758248</v>
      </c>
      <c r="P24" s="75">
        <f>民間住宅1!P24+民間設備投資計!P24+民間在庫品増加!G94+公的投資!P24</f>
        <v>762581</v>
      </c>
      <c r="Q24" s="75">
        <f>民間住宅1!Q24+民間設備投資計!Q24+民間在庫品増加!H94+公的投資!Q24</f>
        <v>775590</v>
      </c>
      <c r="R24" s="75">
        <f>民間住宅1!R24+民間設備投資計!R24+民間在庫品増加!I94+公的投資!R24</f>
        <v>793071</v>
      </c>
      <c r="S24" s="75">
        <f>民間住宅1!S24+民間設備投資計!S24+民間在庫品増加!J94+公的投資!S24</f>
        <v>858436</v>
      </c>
      <c r="T24" s="75">
        <f>民間住宅1!T24+民間設備投資計!T24+民間在庫品増加!K94+公的投資!T24</f>
        <v>838555</v>
      </c>
      <c r="U24" s="75">
        <f>民間住宅1!U24+民間設備投資計!U24+民間在庫品増加!L94+公的投資!U24</f>
        <v>859272</v>
      </c>
      <c r="V24" s="75">
        <f>民間住宅1!V24+民間設備投資計!V24+民間在庫品増加!M94+公的投資!V24</f>
        <v>883435</v>
      </c>
      <c r="W24" s="75">
        <f>民間住宅1!W24+民間設備投資計!W24+民間在庫品増加!N94+公的投資!W24</f>
        <v>878874</v>
      </c>
      <c r="X24" s="75">
        <f>民間住宅1!X24+民間設備投資計!X24+民間在庫品増加!O94+公的投資!X24</f>
        <v>884048</v>
      </c>
    </row>
    <row r="25" spans="1:24">
      <c r="A25" s="89">
        <v>214</v>
      </c>
      <c r="B25" s="90" t="s">
        <v>188</v>
      </c>
      <c r="C25" s="75">
        <f>民間住宅1!C25+民間設備投資計!C25+民間在庫品増加!C25+公的投資!C25</f>
        <v>154343</v>
      </c>
      <c r="D25" s="75">
        <f>民間住宅1!D25+民間設備投資計!D25+民間在庫品増加!D25+公的投資!D25</f>
        <v>139834</v>
      </c>
      <c r="E25" s="75">
        <f>民間住宅1!E25+民間設備投資計!E25+民間在庫品増加!E25+公的投資!E25</f>
        <v>138636</v>
      </c>
      <c r="F25" s="75">
        <f>民間住宅1!F25+民間設備投資計!F25+民間在庫品増加!F25+公的投資!F25</f>
        <v>110841</v>
      </c>
      <c r="G25" s="75">
        <f>民間住宅1!G25+民間設備投資計!G25+民間在庫品増加!G25+公的投資!G25</f>
        <v>120189</v>
      </c>
      <c r="H25" s="75">
        <f>民間住宅1!H25+民間設備投資計!H25+民間在庫品増加!H25+公的投資!H25</f>
        <v>112676</v>
      </c>
      <c r="I25" s="75">
        <f>民間住宅1!I25+民間設備投資計!I25+民間在庫品増加!I25+公的投資!I25</f>
        <v>118812</v>
      </c>
      <c r="J25" s="75">
        <f>民間住宅1!J25+民間設備投資計!J25+民間在庫品増加!J25+公的投資!J25</f>
        <v>136753</v>
      </c>
      <c r="K25" s="75">
        <f>民間住宅1!K25+民間設備投資計!K25+民間在庫品増加!K25+公的投資!K25</f>
        <v>141722</v>
      </c>
      <c r="L25" s="75">
        <f>民間住宅1!L25+民間設備投資計!L25+民間在庫品増加!L25+公的投資!L25</f>
        <v>145115</v>
      </c>
      <c r="M25" s="75">
        <f>民間住宅1!M25+民間設備投資計!M25+民間在庫品増加!M25+公的投資!M25</f>
        <v>125894</v>
      </c>
      <c r="N25" s="75">
        <f>民間住宅1!N25+民間設備投資計!N25+民間在庫品増加!N25+公的投資!N25</f>
        <v>140972</v>
      </c>
      <c r="O25" s="75">
        <f>民間住宅1!O25+民間設備投資計!O25+民間在庫品増加!F95+公的投資!O25</f>
        <v>770023</v>
      </c>
      <c r="P25" s="75">
        <f>民間住宅1!P25+民間設備投資計!P25+民間在庫品増加!G95+公的投資!P25</f>
        <v>789274</v>
      </c>
      <c r="Q25" s="75">
        <f>民間住宅1!Q25+民間設備投資計!Q25+民間在庫品増加!H95+公的投資!Q25</f>
        <v>756444</v>
      </c>
      <c r="R25" s="75">
        <f>民間住宅1!R25+民間設備投資計!R25+民間在庫品増加!I95+公的投資!R25</f>
        <v>794301</v>
      </c>
      <c r="S25" s="75">
        <f>民間住宅1!S25+民間設備投資計!S25+民間在庫品増加!J95+公的投資!S25</f>
        <v>847590</v>
      </c>
      <c r="T25" s="75">
        <f>民間住宅1!T25+民間設備投資計!T25+民間在庫品増加!K95+公的投資!T25</f>
        <v>850600</v>
      </c>
      <c r="U25" s="75">
        <f>民間住宅1!U25+民間設備投資計!U25+民間在庫品増加!L95+公的投資!U25</f>
        <v>848054</v>
      </c>
      <c r="V25" s="75">
        <f>民間住宅1!V25+民間設備投資計!V25+民間在庫品増加!M95+公的投資!V25</f>
        <v>838811</v>
      </c>
      <c r="W25" s="75">
        <f>民間住宅1!W25+民間設備投資計!W25+民間在庫品増加!N95+公的投資!W25</f>
        <v>852336</v>
      </c>
      <c r="X25" s="75">
        <f>民間住宅1!X25+民間設備投資計!X25+民間在庫品増加!O95+公的投資!X25</f>
        <v>848658</v>
      </c>
    </row>
    <row r="26" spans="1:24">
      <c r="A26" s="89">
        <v>217</v>
      </c>
      <c r="B26" s="90" t="s">
        <v>189</v>
      </c>
      <c r="C26" s="75">
        <f>民間住宅1!C26+民間設備投資計!C26+民間在庫品増加!C26+公的投資!C26</f>
        <v>89759</v>
      </c>
      <c r="D26" s="75">
        <f>民間住宅1!D26+民間設備投資計!D26+民間在庫品増加!D26+公的投資!D26</f>
        <v>102259</v>
      </c>
      <c r="E26" s="75">
        <f>民間住宅1!E26+民間設備投資計!E26+民間在庫品増加!E26+公的投資!E26</f>
        <v>96344</v>
      </c>
      <c r="F26" s="75">
        <f>民間住宅1!F26+民間設備投資計!F26+民間在庫品増加!F26+公的投資!F26</f>
        <v>66517</v>
      </c>
      <c r="G26" s="75">
        <f>民間住宅1!G26+民間設備投資計!G26+民間在庫品増加!G26+公的投資!G26</f>
        <v>73636</v>
      </c>
      <c r="H26" s="75">
        <f>民間住宅1!H26+民間設備投資計!H26+民間在庫品増加!H26+公的投資!H26</f>
        <v>74374</v>
      </c>
      <c r="I26" s="75">
        <f>民間住宅1!I26+民間設備投資計!I26+民間在庫品増加!I26+公的投資!I26</f>
        <v>87137</v>
      </c>
      <c r="J26" s="75">
        <f>民間住宅1!J26+民間設備投資計!J26+民間在庫品増加!J26+公的投資!J26</f>
        <v>88087</v>
      </c>
      <c r="K26" s="75">
        <f>民間住宅1!K26+民間設備投資計!K26+民間在庫品増加!K26+公的投資!K26</f>
        <v>94852</v>
      </c>
      <c r="L26" s="75">
        <f>民間住宅1!L26+民間設備投資計!L26+民間在庫品増加!L26+公的投資!L26</f>
        <v>96562</v>
      </c>
      <c r="M26" s="75">
        <f>民間住宅1!M26+民間設備投資計!M26+民間在庫品増加!M26+公的投資!M26</f>
        <v>88328</v>
      </c>
      <c r="N26" s="75">
        <f>民間住宅1!N26+民間設備投資計!N26+民間在庫品増加!N26+公的投資!N26</f>
        <v>110683</v>
      </c>
      <c r="O26" s="75">
        <f>民間住宅1!O26+民間設備投資計!O26+民間在庫品増加!F96+公的投資!O26</f>
        <v>525609</v>
      </c>
      <c r="P26" s="75">
        <f>民間住宅1!P26+民間設備投資計!P26+民間在庫品増加!G96+公的投資!P26</f>
        <v>528968</v>
      </c>
      <c r="Q26" s="75">
        <f>民間住宅1!Q26+民間設備投資計!Q26+民間在庫品増加!H96+公的投資!Q26</f>
        <v>515306</v>
      </c>
      <c r="R26" s="75">
        <f>民間住宅1!R26+民間設備投資計!R26+民間在庫品増加!I96+公的投資!R26</f>
        <v>530999</v>
      </c>
      <c r="S26" s="75">
        <f>民間住宅1!S26+民間設備投資計!S26+民間在庫品増加!J96+公的投資!S26</f>
        <v>559738</v>
      </c>
      <c r="T26" s="75">
        <f>民間住宅1!T26+民間設備投資計!T26+民間在庫品増加!K96+公的投資!T26</f>
        <v>557690</v>
      </c>
      <c r="U26" s="75">
        <f>民間住宅1!U26+民間設備投資計!U26+民間在庫品増加!L96+公的投資!U26</f>
        <v>563699</v>
      </c>
      <c r="V26" s="75">
        <f>民間住宅1!V26+民間設備投資計!V26+民間在庫品増加!M96+公的投資!V26</f>
        <v>558177</v>
      </c>
      <c r="W26" s="75">
        <f>民間住宅1!W26+民間設備投資計!W26+民間在庫品増加!N96+公的投資!W26</f>
        <v>577518</v>
      </c>
      <c r="X26" s="75">
        <f>民間住宅1!X26+民間設備投資計!X26+民間在庫品増加!O96+公的投資!X26</f>
        <v>566495</v>
      </c>
    </row>
    <row r="27" spans="1:24">
      <c r="A27" s="89">
        <v>219</v>
      </c>
      <c r="B27" s="90" t="s">
        <v>190</v>
      </c>
      <c r="C27" s="75">
        <f>民間住宅1!C27+民間設備投資計!C27+民間在庫品増加!C27+公的投資!C27</f>
        <v>94529</v>
      </c>
      <c r="D27" s="75">
        <f>民間住宅1!D27+民間設備投資計!D27+民間在庫品増加!D27+公的投資!D27</f>
        <v>86399</v>
      </c>
      <c r="E27" s="75">
        <f>民間住宅1!E27+民間設備投資計!E27+民間在庫品増加!E27+公的投資!E27</f>
        <v>89417</v>
      </c>
      <c r="F27" s="75">
        <f>民間住宅1!F27+民間設備投資計!F27+民間在庫品増加!F27+公的投資!F27</f>
        <v>71692</v>
      </c>
      <c r="G27" s="75">
        <f>民間住宅1!G27+民間設備投資計!G27+民間在庫品増加!G27+公的投資!G27</f>
        <v>73795</v>
      </c>
      <c r="H27" s="75">
        <f>民間住宅1!H27+民間設備投資計!H27+民間在庫品増加!H27+公的投資!H27</f>
        <v>71813</v>
      </c>
      <c r="I27" s="75">
        <f>民間住宅1!I27+民間設備投資計!I27+民間在庫品増加!I27+公的投資!I27</f>
        <v>91885</v>
      </c>
      <c r="J27" s="75">
        <f>民間住宅1!J27+民間設備投資計!J27+民間在庫品増加!J27+公的投資!J27</f>
        <v>81838</v>
      </c>
      <c r="K27" s="75">
        <f>民間住宅1!K27+民間設備投資計!K27+民間在庫品増加!K27+公的投資!K27</f>
        <v>108795</v>
      </c>
      <c r="L27" s="75">
        <f>民間住宅1!L27+民間設備投資計!L27+民間在庫品増加!L27+公的投資!L27</f>
        <v>100370</v>
      </c>
      <c r="M27" s="75">
        <f>民間住宅1!M27+民間設備投資計!M27+民間在庫品増加!M27+公的投資!M27</f>
        <v>110358</v>
      </c>
      <c r="N27" s="75">
        <f>民間住宅1!N27+民間設備投資計!N27+民間在庫品増加!N27+公的投資!N27</f>
        <v>96115</v>
      </c>
      <c r="O27" s="75">
        <f>民間住宅1!O27+民間設備投資計!O27+民間在庫品増加!F97+公的投資!O27</f>
        <v>414883</v>
      </c>
      <c r="P27" s="75">
        <f>民間住宅1!P27+民間設備投資計!P27+民間在庫品増加!G97+公的投資!P27</f>
        <v>400464</v>
      </c>
      <c r="Q27" s="75">
        <f>民間住宅1!Q27+民間設備投資計!Q27+民間在庫品増加!H97+公的投資!Q27</f>
        <v>400108</v>
      </c>
      <c r="R27" s="75">
        <f>民間住宅1!R27+民間設備投資計!R27+民間在庫品増加!I97+公的投資!R27</f>
        <v>431359</v>
      </c>
      <c r="S27" s="75">
        <f>民間住宅1!S27+民間設備投資計!S27+民間在庫品増加!J97+公的投資!S27</f>
        <v>432411</v>
      </c>
      <c r="T27" s="75">
        <f>民間住宅1!T27+民間設備投資計!T27+民間在庫品増加!K97+公的投資!T27</f>
        <v>478478</v>
      </c>
      <c r="U27" s="75">
        <f>民間住宅1!U27+民間設備投資計!U27+民間在庫品増加!L97+公的投資!U27</f>
        <v>490981</v>
      </c>
      <c r="V27" s="75">
        <f>民間住宅1!V27+民間設備投資計!V27+民間在庫品増加!M97+公的投資!V27</f>
        <v>491796</v>
      </c>
      <c r="W27" s="75">
        <f>民間住宅1!W27+民間設備投資計!W27+民間在庫品増加!N97+公的投資!W27</f>
        <v>474850</v>
      </c>
      <c r="X27" s="75">
        <f>民間住宅1!X27+民間設備投資計!X27+民間在庫品増加!O97+公的投資!X27</f>
        <v>496482</v>
      </c>
    </row>
    <row r="28" spans="1:24">
      <c r="A28" s="89">
        <v>301</v>
      </c>
      <c r="B28" s="90" t="s">
        <v>191</v>
      </c>
      <c r="C28" s="75">
        <f>民間住宅1!C28+民間設備投資計!C28+民間在庫品増加!C28+公的投資!C28</f>
        <v>20929</v>
      </c>
      <c r="D28" s="75">
        <f>民間住宅1!D28+民間設備投資計!D28+民間在庫品増加!D28+公的投資!D28</f>
        <v>18421</v>
      </c>
      <c r="E28" s="75">
        <f>民間住宅1!E28+民間設備投資計!E28+民間在庫品増加!E28+公的投資!E28</f>
        <v>16845</v>
      </c>
      <c r="F28" s="75">
        <f>民間住宅1!F28+民間設備投資計!F28+民間在庫品増加!F28+公的投資!F28</f>
        <v>11157</v>
      </c>
      <c r="G28" s="75">
        <f>民間住宅1!G28+民間設備投資計!G28+民間在庫品増加!G28+公的投資!G28</f>
        <v>12376</v>
      </c>
      <c r="H28" s="75">
        <f>民間住宅1!H28+民間設備投資計!H28+民間在庫品増加!H28+公的投資!H28</f>
        <v>13328</v>
      </c>
      <c r="I28" s="75">
        <f>民間住宅1!I28+民間設備投資計!I28+民間在庫品増加!I28+公的投資!I28</f>
        <v>13904</v>
      </c>
      <c r="J28" s="75">
        <f>民間住宅1!J28+民間設備投資計!J28+民間在庫品増加!J28+公的投資!J28</f>
        <v>14790</v>
      </c>
      <c r="K28" s="75">
        <f>民間住宅1!K28+民間設備投資計!K28+民間在庫品増加!K28+公的投資!K28</f>
        <v>17782</v>
      </c>
      <c r="L28" s="75">
        <f>民間住宅1!L28+民間設備投資計!L28+民間在庫品増加!L28+公的投資!L28</f>
        <v>17514</v>
      </c>
      <c r="M28" s="75">
        <f>民間住宅1!M28+民間設備投資計!M28+民間在庫品増加!M28+公的投資!M28</f>
        <v>15802</v>
      </c>
      <c r="N28" s="75">
        <f>民間住宅1!N28+民間設備投資計!N28+民間在庫品増加!N28+公的投資!N28</f>
        <v>17639</v>
      </c>
      <c r="O28" s="75">
        <f>民間住宅1!O28+民間設備投資計!O28+民間在庫品増加!F98+公的投資!O28</f>
        <v>92166</v>
      </c>
      <c r="P28" s="75">
        <f>民間住宅1!P28+民間設備投資計!P28+民間在庫品増加!G98+公的投資!P28</f>
        <v>94917</v>
      </c>
      <c r="Q28" s="75">
        <f>民間住宅1!Q28+民間設備投資計!Q28+民間在庫品増加!H98+公的投資!Q28</f>
        <v>95890</v>
      </c>
      <c r="R28" s="75">
        <f>民間住宅1!R28+民間設備投資計!R28+民間在庫品増加!I98+公的投資!R28</f>
        <v>97155</v>
      </c>
      <c r="S28" s="75">
        <f>民間住宅1!S28+民間設備投資計!S28+民間在庫品増加!J98+公的投資!S28</f>
        <v>97778</v>
      </c>
      <c r="T28" s="75">
        <f>民間住宅1!T28+民間設備投資計!T28+民間在庫品増加!K98+公的投資!T28</f>
        <v>102609</v>
      </c>
      <c r="U28" s="75">
        <f>民間住宅1!U28+民間設備投資計!U28+民間在庫品増加!L98+公的投資!U28</f>
        <v>340933</v>
      </c>
      <c r="V28" s="75">
        <f>民間住宅1!V28+民間設備投資計!V28+民間在庫品増加!M98+公的投資!V28</f>
        <v>202872</v>
      </c>
      <c r="W28" s="75">
        <f>民間住宅1!W28+民間設備投資計!W28+民間在庫品増加!N98+公的投資!W28</f>
        <v>230025</v>
      </c>
      <c r="X28" s="75">
        <f>民間住宅1!X28+民間設備投資計!X28+民間在庫品増加!O98+公的投資!X28</f>
        <v>258644</v>
      </c>
    </row>
    <row r="29" spans="1:24">
      <c r="A29" s="92">
        <v>3</v>
      </c>
      <c r="B29" s="65" t="s">
        <v>192</v>
      </c>
      <c r="C29" s="75">
        <f>民間住宅1!C29+民間設備投資計!C29+民間在庫品増加!C29+公的投資!C29</f>
        <v>760641</v>
      </c>
      <c r="D29" s="75">
        <f>民間住宅1!D29+民間設備投資計!D29+民間在庫品増加!D29+公的投資!D29</f>
        <v>770370</v>
      </c>
      <c r="E29" s="75">
        <f>民間住宅1!E29+民間設備投資計!E29+民間在庫品増加!E29+公的投資!E29</f>
        <v>852625</v>
      </c>
      <c r="F29" s="75">
        <f>民間住宅1!F29+民間設備投資計!F29+民間在庫品増加!F29+公的投資!F29</f>
        <v>784412</v>
      </c>
      <c r="G29" s="75">
        <f>民間住宅1!G29+民間設備投資計!G29+民間在庫品増加!G29+公的投資!G29</f>
        <v>711586</v>
      </c>
      <c r="H29" s="75">
        <f>民間住宅1!H29+民間設備投資計!H29+民間在庫品増加!H29+公的投資!H29</f>
        <v>860526</v>
      </c>
      <c r="I29" s="75">
        <f>民間住宅1!I29+民間設備投資計!I29+民間在庫品増加!I29+公的投資!I29</f>
        <v>789159</v>
      </c>
      <c r="J29" s="75">
        <f>民間住宅1!J29+民間設備投資計!J29+民間在庫品増加!J29+公的投資!J29</f>
        <v>802082</v>
      </c>
      <c r="K29" s="75">
        <f>民間住宅1!K29+民間設備投資計!K29+民間在庫品増加!K29+公的投資!K29</f>
        <v>983159</v>
      </c>
      <c r="L29" s="75">
        <f>民間住宅1!L29+民間設備投資計!L29+民間在庫品増加!L29+公的投資!L29</f>
        <v>793806</v>
      </c>
      <c r="M29" s="75">
        <f>民間住宅1!M29+民間設備投資計!M29+民間在庫品増加!M29+公的投資!M29</f>
        <v>833099</v>
      </c>
      <c r="N29" s="75">
        <f>民間住宅1!N29+民間設備投資計!N29+民間在庫品増加!N29+公的投資!N29</f>
        <v>927785</v>
      </c>
      <c r="O29" s="75">
        <f>民間住宅1!O29+民間設備投資計!O29+民間在庫品増加!F99+公的投資!O29</f>
        <v>3212141</v>
      </c>
      <c r="P29" s="75">
        <f>民間住宅1!P29+民間設備投資計!P29+民間在庫品増加!G99+公的投資!P29</f>
        <v>3149835</v>
      </c>
      <c r="Q29" s="75">
        <f>民間住宅1!Q29+民間設備投資計!Q29+民間在庫品増加!H99+公的投資!Q29</f>
        <v>3251026</v>
      </c>
      <c r="R29" s="75">
        <f>民間住宅1!R29+民間設備投資計!R29+民間在庫品増加!I99+公的投資!R29</f>
        <v>3333516</v>
      </c>
      <c r="S29" s="75">
        <f>民間住宅1!S29+民間設備投資計!S29+民間在庫品増加!J99+公的投資!S29</f>
        <v>3337624</v>
      </c>
      <c r="T29" s="75">
        <f>民間住宅1!T29+民間設備投資計!T29+民間在庫品増加!K99+公的投資!T29</f>
        <v>3577770</v>
      </c>
      <c r="U29" s="75">
        <f>民間住宅1!U29+民間設備投資計!U29+民間在庫品増加!L99+公的投資!U29</f>
        <v>3628092</v>
      </c>
      <c r="V29" s="75">
        <f>民間住宅1!V29+民間設備投資計!V29+民間在庫品増加!M99+公的投資!V29</f>
        <v>3504820</v>
      </c>
      <c r="W29" s="75">
        <f>民間住宅1!W29+民間設備投資計!W29+民間在庫品増加!N99+公的投資!W29</f>
        <v>3615236</v>
      </c>
      <c r="X29" s="75">
        <f>民間住宅1!X29+民間設備投資計!X29+民間在庫品増加!O99+公的投資!X29</f>
        <v>3607639</v>
      </c>
    </row>
    <row r="30" spans="1:24">
      <c r="A30" s="89">
        <v>203</v>
      </c>
      <c r="B30" s="90" t="s">
        <v>193</v>
      </c>
      <c r="C30" s="75">
        <f>民間住宅1!C30+民間設備投資計!C30+民間在庫品増加!C30+公的投資!C30</f>
        <v>251717</v>
      </c>
      <c r="D30" s="75">
        <f>民間住宅1!D30+民間設備投資計!D30+民間在庫品増加!D30+公的投資!D30</f>
        <v>250682</v>
      </c>
      <c r="E30" s="75">
        <f>民間住宅1!E30+民間設備投資計!E30+民間在庫品増加!E30+公的投資!E30</f>
        <v>281069</v>
      </c>
      <c r="F30" s="75">
        <f>民間住宅1!F30+民間設備投資計!F30+民間在庫品増加!F30+公的投資!F30</f>
        <v>209734</v>
      </c>
      <c r="G30" s="75">
        <f>民間住宅1!G30+民間設備投資計!G30+民間在庫品増加!G30+公的投資!G30</f>
        <v>222351</v>
      </c>
      <c r="H30" s="75">
        <f>民間住宅1!H30+民間設備投資計!H30+民間在庫品増加!H30+公的投資!H30</f>
        <v>245343</v>
      </c>
      <c r="I30" s="75">
        <f>民間住宅1!I30+民間設備投資計!I30+民間在庫品増加!I30+公的投資!I30</f>
        <v>239602</v>
      </c>
      <c r="J30" s="75">
        <f>民間住宅1!J30+民間設備投資計!J30+民間在庫品増加!J30+公的投資!J30</f>
        <v>280355</v>
      </c>
      <c r="K30" s="75">
        <f>民間住宅1!K30+民間設備投資計!K30+民間在庫品増加!K30+公的投資!K30</f>
        <v>285797</v>
      </c>
      <c r="L30" s="75">
        <f>民間住宅1!L30+民間設備投資計!L30+民間在庫品増加!L30+公的投資!L30</f>
        <v>281835</v>
      </c>
      <c r="M30" s="75">
        <f>民間住宅1!M30+民間設備投資計!M30+民間在庫品増加!M30+公的投資!M30</f>
        <v>297123</v>
      </c>
      <c r="N30" s="75">
        <f>民間住宅1!N30+民間設備投資計!N30+民間在庫品増加!N30+公的投資!N30</f>
        <v>317545</v>
      </c>
      <c r="O30" s="75">
        <f>民間住宅1!O30+民間設備投資計!O30+民間在庫品増加!F100+公的投資!O30</f>
        <v>1196715</v>
      </c>
      <c r="P30" s="75">
        <f>民間住宅1!P30+民間設備投資計!P30+民間在庫品増加!G100+公的投資!P30</f>
        <v>1181118</v>
      </c>
      <c r="Q30" s="75">
        <f>民間住宅1!Q30+民間設備投資計!Q30+民間在庫品増加!H100+公的投資!Q30</f>
        <v>1189755</v>
      </c>
      <c r="R30" s="75">
        <f>民間住宅1!R30+民間設備投資計!R30+民間在庫品増加!I100+公的投資!R30</f>
        <v>1206963</v>
      </c>
      <c r="S30" s="75">
        <f>民間住宅1!S30+民間設備投資計!S30+民間在庫品増加!J100+公的投資!S30</f>
        <v>1285821</v>
      </c>
      <c r="T30" s="75">
        <f>民間住宅1!T30+民間設備投資計!T30+民間在庫品増加!K100+公的投資!T30</f>
        <v>1320472</v>
      </c>
      <c r="U30" s="75">
        <f>民間住宅1!U30+民間設備投資計!U30+民間在庫品増加!L100+公的投資!U30</f>
        <v>1353118</v>
      </c>
      <c r="V30" s="75">
        <f>民間住宅1!V30+民間設備投資計!V30+民間在庫品増加!M100+公的投資!V30</f>
        <v>1355008</v>
      </c>
      <c r="W30" s="75">
        <f>民間住宅1!W30+民間設備投資計!W30+民間在庫品増加!N100+公的投資!W30</f>
        <v>1395083</v>
      </c>
      <c r="X30" s="75">
        <f>民間住宅1!X30+民間設備投資計!X30+民間在庫品増加!O100+公的投資!X30</f>
        <v>1411535</v>
      </c>
    </row>
    <row r="31" spans="1:24">
      <c r="A31" s="89">
        <v>210</v>
      </c>
      <c r="B31" s="90" t="s">
        <v>194</v>
      </c>
      <c r="C31" s="75">
        <f>民間住宅1!C31+民間設備投資計!C31+民間在庫品増加!C31+公的投資!C31</f>
        <v>266264</v>
      </c>
      <c r="D31" s="75">
        <f>民間住宅1!D31+民間設備投資計!D31+民間在庫品増加!D31+公的投資!D31</f>
        <v>280488</v>
      </c>
      <c r="E31" s="75">
        <f>民間住宅1!E31+民間設備投資計!E31+民間在庫品増加!E31+公的投資!E31</f>
        <v>297593</v>
      </c>
      <c r="F31" s="75">
        <f>民間住宅1!F31+民間設備投資計!F31+民間在庫品増加!F31+公的投資!F31</f>
        <v>290847</v>
      </c>
      <c r="G31" s="75">
        <f>民間住宅1!G31+民間設備投資計!G31+民間在庫品増加!G31+公的投資!G31</f>
        <v>279170</v>
      </c>
      <c r="H31" s="75">
        <f>民間住宅1!H31+民間設備投資計!H31+民間在庫品増加!H31+公的投資!H31</f>
        <v>401343</v>
      </c>
      <c r="I31" s="75">
        <f>民間住宅1!I31+民間設備投資計!I31+民間在庫品増加!I31+公的投資!I31</f>
        <v>329777</v>
      </c>
      <c r="J31" s="75">
        <f>民間住宅1!J31+民間設備投資計!J31+民間在庫品増加!J31+公的投資!J31</f>
        <v>289614</v>
      </c>
      <c r="K31" s="75">
        <f>民間住宅1!K31+民間設備投資計!K31+民間在庫品増加!K31+公的投資!K31</f>
        <v>344094</v>
      </c>
      <c r="L31" s="75">
        <f>民間住宅1!L31+民間設備投資計!L31+民間在庫品増加!L31+公的投資!L31</f>
        <v>274675</v>
      </c>
      <c r="M31" s="75">
        <f>民間住宅1!M31+民間設備投資計!M31+民間在庫品増加!M31+公的投資!M31</f>
        <v>318663</v>
      </c>
      <c r="N31" s="75">
        <f>民間住宅1!N31+民間設備投資計!N31+民間在庫品増加!N31+公的投資!N31</f>
        <v>345619</v>
      </c>
      <c r="O31" s="75">
        <f>民間住宅1!O31+民間設備投資計!O31+民間在庫品増加!F101+公的投資!O31</f>
        <v>1145157</v>
      </c>
      <c r="P31" s="75">
        <f>民間住宅1!P31+民間設備投資計!P31+民間在庫品増加!G101+公的投資!P31</f>
        <v>1123778</v>
      </c>
      <c r="Q31" s="75">
        <f>民間住宅1!Q31+民間設備投資計!Q31+民間在庫品増加!H101+公的投資!Q31</f>
        <v>1225738</v>
      </c>
      <c r="R31" s="75">
        <f>民間住宅1!R31+民間設備投資計!R31+民間在庫品増加!I101+公的投資!R31</f>
        <v>1251146</v>
      </c>
      <c r="S31" s="75">
        <f>民間住宅1!S31+民間設備投資計!S31+民間在庫品増加!J101+公的投資!S31</f>
        <v>1172022</v>
      </c>
      <c r="T31" s="75">
        <f>民間住宅1!T31+民間設備投資計!T31+民間在庫品増加!K101+公的投資!T31</f>
        <v>1256733</v>
      </c>
      <c r="U31" s="75">
        <f>民間住宅1!U31+民間設備投資計!U31+民間在庫品増加!L101+公的投資!U31</f>
        <v>1227396</v>
      </c>
      <c r="V31" s="75">
        <f>民間住宅1!V31+民間設備投資計!V31+民間在庫品増加!M101+公的投資!V31</f>
        <v>1231117</v>
      </c>
      <c r="W31" s="75">
        <f>民間住宅1!W31+民間設備投資計!W31+民間在庫品増加!N101+公的投資!W31</f>
        <v>1262300</v>
      </c>
      <c r="X31" s="75">
        <f>民間住宅1!X31+民間設備投資計!X31+民間在庫品増加!O101+公的投資!X31</f>
        <v>1219015</v>
      </c>
    </row>
    <row r="32" spans="1:24">
      <c r="A32" s="89">
        <v>216</v>
      </c>
      <c r="B32" s="90" t="s">
        <v>195</v>
      </c>
      <c r="C32" s="75">
        <f>民間住宅1!C32+民間設備投資計!C32+民間在庫品増加!C32+公的投資!C32</f>
        <v>177047</v>
      </c>
      <c r="D32" s="75">
        <f>民間住宅1!D32+民間設備投資計!D32+民間在庫品増加!D32+公的投資!D32</f>
        <v>166246</v>
      </c>
      <c r="E32" s="75">
        <f>民間住宅1!E32+民間設備投資計!E32+民間在庫品増加!E32+公的投資!E32</f>
        <v>201302</v>
      </c>
      <c r="F32" s="75">
        <f>民間住宅1!F32+民間設備投資計!F32+民間在庫品増加!F32+公的投資!F32</f>
        <v>222232</v>
      </c>
      <c r="G32" s="75">
        <f>民間住宅1!G32+民間設備投資計!G32+民間在庫品増加!G32+公的投資!G32</f>
        <v>150512</v>
      </c>
      <c r="H32" s="75">
        <f>民間住宅1!H32+民間設備投資計!H32+民間在庫品増加!H32+公的投資!H32</f>
        <v>155202</v>
      </c>
      <c r="I32" s="75">
        <f>民間住宅1!I32+民間設備投資計!I32+民間在庫品増加!I32+公的投資!I32</f>
        <v>160664</v>
      </c>
      <c r="J32" s="75">
        <f>民間住宅1!J32+民間設備投資計!J32+民間在庫品増加!J32+公的投資!J32</f>
        <v>158382</v>
      </c>
      <c r="K32" s="75">
        <f>民間住宅1!K32+民間設備投資計!K32+民間在庫品増加!K32+公的投資!K32</f>
        <v>287297</v>
      </c>
      <c r="L32" s="75">
        <f>民間住宅1!L32+民間設備投資計!L32+民間在庫品増加!L32+公的投資!L32</f>
        <v>168858</v>
      </c>
      <c r="M32" s="75">
        <f>民間住宅1!M32+民間設備投資計!M32+民間在庫品増加!M32+公的投資!M32</f>
        <v>150792</v>
      </c>
      <c r="N32" s="75">
        <f>民間住宅1!N32+民間設備投資計!N32+民間在庫品増加!N32+公的投資!N32</f>
        <v>169714</v>
      </c>
      <c r="O32" s="75">
        <f>民間住宅1!O32+民間設備投資計!O32+民間在庫品増加!F102+公的投資!O32</f>
        <v>588835</v>
      </c>
      <c r="P32" s="75">
        <f>民間住宅1!P32+民間設備投資計!P32+民間在庫品増加!G102+公的投資!P32</f>
        <v>581191</v>
      </c>
      <c r="Q32" s="75">
        <f>民間住宅1!Q32+民間設備投資計!Q32+民間在庫品増加!H102+公的投資!Q32</f>
        <v>557185</v>
      </c>
      <c r="R32" s="75">
        <f>民間住宅1!R32+民間設備投資計!R32+民間在庫品増加!I102+公的投資!R32</f>
        <v>587932</v>
      </c>
      <c r="S32" s="75">
        <f>民間住宅1!S32+民間設備投資計!S32+民間在庫品増加!J102+公的投資!S32</f>
        <v>579450</v>
      </c>
      <c r="T32" s="75">
        <f>民間住宅1!T32+民間設備投資計!T32+民間在庫品増加!K102+公的投資!T32</f>
        <v>703565</v>
      </c>
      <c r="U32" s="75">
        <f>民間住宅1!U32+民間設備投資計!U32+民間在庫品増加!L102+公的投資!U32</f>
        <v>738010</v>
      </c>
      <c r="V32" s="75">
        <f>民間住宅1!V32+民間設備投資計!V32+民間在庫品増加!M102+公的投資!V32</f>
        <v>613126</v>
      </c>
      <c r="W32" s="75">
        <f>民間住宅1!W32+民間設備投資計!W32+民間在庫品増加!N102+公的投資!W32</f>
        <v>624263</v>
      </c>
      <c r="X32" s="75">
        <f>民間住宅1!X32+民間設備投資計!X32+民間在庫品増加!O102+公的投資!X32</f>
        <v>641897</v>
      </c>
    </row>
    <row r="33" spans="1:24">
      <c r="A33" s="89">
        <v>381</v>
      </c>
      <c r="B33" s="90" t="s">
        <v>196</v>
      </c>
      <c r="C33" s="75">
        <f>民間住宅1!C33+民間設備投資計!C33+民間在庫品増加!C33+公的投資!C33</f>
        <v>26819</v>
      </c>
      <c r="D33" s="75">
        <f>民間住宅1!D33+民間設備投資計!D33+民間在庫品増加!D33+公的投資!D33</f>
        <v>30270</v>
      </c>
      <c r="E33" s="75">
        <f>民間住宅1!E33+民間設備投資計!E33+民間在庫品増加!E33+公的投資!E33</f>
        <v>24909</v>
      </c>
      <c r="F33" s="75">
        <f>民間住宅1!F33+民間設備投資計!F33+民間在庫品増加!F33+公的投資!F33</f>
        <v>20754</v>
      </c>
      <c r="G33" s="75">
        <f>民間住宅1!G33+民間設備投資計!G33+民間在庫品増加!G33+公的投資!G33</f>
        <v>21931</v>
      </c>
      <c r="H33" s="75">
        <f>民間住宅1!H33+民間設備投資計!H33+民間在庫品増加!H33+公的投資!H33</f>
        <v>21909</v>
      </c>
      <c r="I33" s="75">
        <f>民間住宅1!I33+民間設備投資計!I33+民間在庫品増加!I33+公的投資!I33</f>
        <v>23561</v>
      </c>
      <c r="J33" s="75">
        <f>民間住宅1!J33+民間設備投資計!J33+民間在庫品増加!J33+公的投資!J33</f>
        <v>22552</v>
      </c>
      <c r="K33" s="75">
        <f>民間住宅1!K33+民間設備投資計!K33+民間在庫品増加!K33+公的投資!K33</f>
        <v>22563</v>
      </c>
      <c r="L33" s="75">
        <f>民間住宅1!L33+民間設備投資計!L33+民間在庫品増加!L33+公的投資!L33</f>
        <v>27493</v>
      </c>
      <c r="M33" s="75">
        <f>民間住宅1!M33+民間設備投資計!M33+民間在庫品増加!M33+公的投資!M33</f>
        <v>20571</v>
      </c>
      <c r="N33" s="75">
        <f>民間住宅1!N33+民間設備投資計!N33+民間在庫品増加!N33+公的投資!N33</f>
        <v>26802</v>
      </c>
      <c r="O33" s="75">
        <f>民間住宅1!O33+民間設備投資計!O33+民間在庫品増加!F103+公的投資!O33</f>
        <v>113559</v>
      </c>
      <c r="P33" s="75">
        <f>民間住宅1!P33+民間設備投資計!P33+民間在庫品増加!G103+公的投資!P33</f>
        <v>111432</v>
      </c>
      <c r="Q33" s="75">
        <f>民間住宅1!Q33+民間設備投資計!Q33+民間在庫品増加!H103+公的投資!Q33</f>
        <v>112455</v>
      </c>
      <c r="R33" s="75">
        <f>民間住宅1!R33+民間設備投資計!R33+民間在庫品増加!I103+公的投資!R33</f>
        <v>118866</v>
      </c>
      <c r="S33" s="75">
        <f>民間住宅1!S33+民間設備投資計!S33+民間在庫品増加!J103+公的投資!S33</f>
        <v>119283</v>
      </c>
      <c r="T33" s="75">
        <f>民間住宅1!T33+民間設備投資計!T33+民間在庫品増加!K103+公的投資!T33</f>
        <v>121827</v>
      </c>
      <c r="U33" s="75">
        <f>民間住宅1!U33+民間設備投資計!U33+民間在庫品増加!L103+公的投資!U33</f>
        <v>124970</v>
      </c>
      <c r="V33" s="75">
        <f>民間住宅1!V33+民間設備投資計!V33+民間在庫品増加!M103+公的投資!V33</f>
        <v>122029</v>
      </c>
      <c r="W33" s="75">
        <f>民間住宅1!W33+民間設備投資計!W33+民間在庫品増加!N103+公的投資!W33</f>
        <v>128679</v>
      </c>
      <c r="X33" s="75">
        <f>民間住宅1!X33+民間設備投資計!X33+民間在庫品増加!O103+公的投資!X33</f>
        <v>136904</v>
      </c>
    </row>
    <row r="34" spans="1:24">
      <c r="A34" s="89">
        <v>382</v>
      </c>
      <c r="B34" s="90" t="s">
        <v>197</v>
      </c>
      <c r="C34" s="75">
        <f>民間住宅1!C34+民間設備投資計!C34+民間在庫品増加!C34+公的投資!C34</f>
        <v>38794</v>
      </c>
      <c r="D34" s="75">
        <f>民間住宅1!D34+民間設備投資計!D34+民間在庫品増加!D34+公的投資!D34</f>
        <v>42684</v>
      </c>
      <c r="E34" s="75">
        <f>民間住宅1!E34+民間設備投資計!E34+民間在庫品増加!E34+公的投資!E34</f>
        <v>47752</v>
      </c>
      <c r="F34" s="75">
        <f>民間住宅1!F34+民間設備投資計!F34+民間在庫品増加!F34+公的投資!F34</f>
        <v>40845</v>
      </c>
      <c r="G34" s="75">
        <f>民間住宅1!G34+民間設備投資計!G34+民間在庫品増加!G34+公的投資!G34</f>
        <v>37622</v>
      </c>
      <c r="H34" s="75">
        <f>民間住宅1!H34+民間設備投資計!H34+民間在庫品増加!H34+公的投資!H34</f>
        <v>36729</v>
      </c>
      <c r="I34" s="75">
        <f>民間住宅1!I34+民間設備投資計!I34+民間在庫品増加!I34+公的投資!I34</f>
        <v>35555</v>
      </c>
      <c r="J34" s="75">
        <f>民間住宅1!J34+民間設備投資計!J34+民間在庫品増加!J34+公的投資!J34</f>
        <v>51179</v>
      </c>
      <c r="K34" s="75">
        <f>民間住宅1!K34+民間設備投資計!K34+民間在庫品増加!K34+公的投資!K34</f>
        <v>43408</v>
      </c>
      <c r="L34" s="75">
        <f>民間住宅1!L34+民間設備投資計!L34+民間在庫品増加!L34+公的投資!L34</f>
        <v>40945</v>
      </c>
      <c r="M34" s="75">
        <f>民間住宅1!M34+民間設備投資計!M34+民間在庫品増加!M34+公的投資!M34</f>
        <v>45950</v>
      </c>
      <c r="N34" s="75">
        <f>民間住宅1!N34+民間設備投資計!N34+民間在庫品増加!N34+公的投資!N34</f>
        <v>68105</v>
      </c>
      <c r="O34" s="75">
        <f>民間住宅1!O34+民間設備投資計!O34+民間在庫品増加!F104+公的投資!O34</f>
        <v>167875</v>
      </c>
      <c r="P34" s="75">
        <f>民間住宅1!P34+民間設備投資計!P34+民間在庫品増加!G104+公的投資!P34</f>
        <v>152316</v>
      </c>
      <c r="Q34" s="75">
        <f>民間住宅1!Q34+民間設備投資計!Q34+民間在庫品増加!H104+公的投資!Q34</f>
        <v>165893</v>
      </c>
      <c r="R34" s="75">
        <f>民間住宅1!R34+民間設備投資計!R34+民間在庫品増加!I104+公的投資!R34</f>
        <v>168609</v>
      </c>
      <c r="S34" s="75">
        <f>民間住宅1!S34+民間設備投資計!S34+民間在庫品増加!J104+公的投資!S34</f>
        <v>181048</v>
      </c>
      <c r="T34" s="75">
        <f>民間住宅1!T34+民間設備投資計!T34+民間在庫品増加!K104+公的投資!T34</f>
        <v>175173</v>
      </c>
      <c r="U34" s="75">
        <f>民間住宅1!U34+民間設備投資計!U34+民間在庫品増加!L104+公的投資!U34</f>
        <v>184598</v>
      </c>
      <c r="V34" s="75">
        <f>民間住宅1!V34+民間設備投資計!V34+民間在庫品増加!M104+公的投資!V34</f>
        <v>183540</v>
      </c>
      <c r="W34" s="75">
        <f>民間住宅1!W34+民間設備投資計!W34+民間在庫品増加!N104+公的投資!W34</f>
        <v>204911</v>
      </c>
      <c r="X34" s="75">
        <f>民間住宅1!X34+民間設備投資計!X34+民間在庫品増加!O104+公的投資!X34</f>
        <v>198288</v>
      </c>
    </row>
    <row r="35" spans="1:24">
      <c r="A35" s="92">
        <v>4</v>
      </c>
      <c r="B35" s="91" t="s">
        <v>198</v>
      </c>
      <c r="C35" s="75">
        <f>民間住宅1!C35+民間設備投資計!C35+民間在庫品増加!C35+公的投資!C35</f>
        <v>256035</v>
      </c>
      <c r="D35" s="75">
        <f>民間住宅1!D35+民間設備投資計!D35+民間在庫品増加!D35+公的投資!D35</f>
        <v>299350</v>
      </c>
      <c r="E35" s="75">
        <f>民間住宅1!E35+民間設備投資計!E35+民間在庫品増加!E35+公的投資!E35</f>
        <v>237838</v>
      </c>
      <c r="F35" s="75">
        <f>民間住宅1!F35+民間設備投資計!F35+民間在庫品増加!F35+公的投資!F35</f>
        <v>181372</v>
      </c>
      <c r="G35" s="75">
        <f>民間住宅1!G35+民間設備投資計!G35+民間在庫品増加!G35+公的投資!G35</f>
        <v>198417</v>
      </c>
      <c r="H35" s="75">
        <f>民間住宅1!H35+民間設備投資計!H35+民間在庫品増加!H35+公的投資!H35</f>
        <v>306575</v>
      </c>
      <c r="I35" s="75">
        <f>民間住宅1!I35+民間設備投資計!I35+民間在庫品増加!I35+公的投資!I35</f>
        <v>304648</v>
      </c>
      <c r="J35" s="75">
        <f>民間住宅1!J35+民間設備投資計!J35+民間在庫品増加!J35+公的投資!J35</f>
        <v>337706</v>
      </c>
      <c r="K35" s="75">
        <f>民間住宅1!K35+民間設備投資計!K35+民間在庫品増加!K35+公的投資!K35</f>
        <v>239780</v>
      </c>
      <c r="L35" s="75">
        <f>民間住宅1!L35+民間設備投資計!L35+民間在庫品増加!L35+公的投資!L35</f>
        <v>259431</v>
      </c>
      <c r="M35" s="75">
        <f>民間住宅1!M35+民間設備投資計!M35+民間在庫品増加!M35+公的投資!M35</f>
        <v>291111</v>
      </c>
      <c r="N35" s="75">
        <f>民間住宅1!N35+民間設備投資計!N35+民間在庫品増加!N35+公的投資!N35</f>
        <v>281360</v>
      </c>
      <c r="O35" s="75">
        <f>民間住宅1!O35+民間設備投資計!O35+民間在庫品増加!F105+公的投資!O35</f>
        <v>1033820</v>
      </c>
      <c r="P35" s="75">
        <f>民間住宅1!P35+民間設備投資計!P35+民間在庫品増加!G105+公的投資!P35</f>
        <v>1060237</v>
      </c>
      <c r="Q35" s="75">
        <f>民間住宅1!Q35+民間設備投資計!Q35+民間在庫品増加!H105+公的投資!Q35</f>
        <v>1138620</v>
      </c>
      <c r="R35" s="75">
        <f>民間住宅1!R35+民間設備投資計!R35+民間在庫品増加!I105+公的投資!R35</f>
        <v>1184803</v>
      </c>
      <c r="S35" s="75">
        <f>民間住宅1!S35+民間設備投資計!S35+民間在庫品増加!J105+公的投資!S35</f>
        <v>1202757</v>
      </c>
      <c r="T35" s="75">
        <f>民間住宅1!T35+民間設備投資計!T35+民間在庫品増加!K105+公的投資!T35</f>
        <v>1146979</v>
      </c>
      <c r="U35" s="75">
        <f>民間住宅1!U35+民間設備投資計!U35+民間在庫品増加!L105+公的投資!U35</f>
        <v>1172748</v>
      </c>
      <c r="V35" s="75">
        <f>民間住宅1!V35+民間設備投資計!V35+民間在庫品増加!M105+公的投資!V35</f>
        <v>1202110</v>
      </c>
      <c r="W35" s="75">
        <f>民間住宅1!W35+民間設備投資計!W35+民間在庫品増加!N105+公的投資!W35</f>
        <v>1197873</v>
      </c>
      <c r="X35" s="75">
        <f>民間住宅1!X35+民間設備投資計!X35+民間在庫品増加!O105+公的投資!X35</f>
        <v>1210660</v>
      </c>
    </row>
    <row r="36" spans="1:24">
      <c r="A36" s="92">
        <v>213</v>
      </c>
      <c r="B36" s="92" t="s">
        <v>231</v>
      </c>
      <c r="C36" s="75">
        <f>民間住宅1!C36+民間設備投資計!C36+民間在庫品増加!C36+公的投資!C36</f>
        <v>37143</v>
      </c>
      <c r="D36" s="75">
        <f>民間住宅1!D36+民間設備投資計!D36+民間在庫品増加!D36+公的投資!D36</f>
        <v>59471</v>
      </c>
      <c r="E36" s="75">
        <f>民間住宅1!E36+民間設備投資計!E36+民間在庫品増加!E36+公的投資!E36</f>
        <v>33564</v>
      </c>
      <c r="F36" s="75">
        <f>民間住宅1!F36+民間設備投資計!F36+民間在庫品増加!F36+公的投資!F36</f>
        <v>21624</v>
      </c>
      <c r="G36" s="75">
        <f>民間住宅1!G36+民間設備投資計!G36+民間在庫品増加!G36+公的投資!G36</f>
        <v>21509</v>
      </c>
      <c r="H36" s="75">
        <f>民間住宅1!H36+民間設備投資計!H36+民間在庫品増加!H36+公的投資!H36</f>
        <v>57012</v>
      </c>
      <c r="I36" s="75">
        <f>民間住宅1!I36+民間設備投資計!I36+民間在庫品増加!I36+公的投資!I36</f>
        <v>32744</v>
      </c>
      <c r="J36" s="75">
        <f>民間住宅1!J36+民間設備投資計!J36+民間在庫品増加!J36+公的投資!J36</f>
        <v>35527</v>
      </c>
      <c r="K36" s="75">
        <f>民間住宅1!K36+民間設備投資計!K36+民間在庫品増加!K36+公的投資!K36</f>
        <v>25520</v>
      </c>
      <c r="L36" s="75">
        <f>民間住宅1!L36+民間設備投資計!L36+民間在庫品増加!L36+公的投資!L36</f>
        <v>28117</v>
      </c>
      <c r="M36" s="75">
        <f>民間住宅1!M36+民間設備投資計!M36+民間在庫品増加!M36+公的投資!M36</f>
        <v>29259</v>
      </c>
      <c r="N36" s="75">
        <f>民間住宅1!N36+民間設備投資計!N36+民間在庫品増加!N36+公的投資!N36</f>
        <v>25568</v>
      </c>
      <c r="O36" s="75">
        <f>民間住宅1!O36+民間設備投資計!O36+民間在庫品増加!F106+公的投資!O36</f>
        <v>137249</v>
      </c>
      <c r="P36" s="75">
        <f>民間住宅1!P36+民間設備投資計!P36+民間在庫品増加!G106+公的投資!P36</f>
        <v>139092</v>
      </c>
      <c r="Q36" s="75">
        <f>民間住宅1!Q36+民間設備投資計!Q36+民間在庫品増加!H106+公的投資!Q36</f>
        <v>185173</v>
      </c>
      <c r="R36" s="75">
        <f>民間住宅1!R36+民間設備投資計!R36+民間在庫品増加!I106+公的投資!R36</f>
        <v>175613</v>
      </c>
      <c r="S36" s="75">
        <f>民間住宅1!S36+民間設備投資計!S36+民間在庫品増加!J106+公的投資!S36</f>
        <v>152744</v>
      </c>
      <c r="T36" s="75">
        <f>民間住宅1!T36+民間設備投資計!T36+民間在庫品増加!K106+公的投資!T36</f>
        <v>143386</v>
      </c>
      <c r="U36" s="75">
        <f>民間住宅1!U36+民間設備投資計!U36+民間在庫品増加!L106+公的投資!U36</f>
        <v>141618</v>
      </c>
      <c r="V36" s="75">
        <f>民間住宅1!V36+民間設備投資計!V36+民間在庫品増加!M106+公的投資!V36</f>
        <v>144871</v>
      </c>
      <c r="W36" s="75">
        <f>民間住宅1!W36+民間設備投資計!W36+民間在庫品増加!N106+公的投資!W36</f>
        <v>141706</v>
      </c>
      <c r="X36" s="75">
        <f>民間住宅1!X36+民間設備投資計!X36+民間在庫品増加!O106+公的投資!X36</f>
        <v>144836</v>
      </c>
    </row>
    <row r="37" spans="1:24">
      <c r="A37" s="92">
        <v>215</v>
      </c>
      <c r="B37" s="92" t="s">
        <v>232</v>
      </c>
      <c r="C37" s="75">
        <f>民間住宅1!C37+民間設備投資計!C37+民間在庫品増加!C37+公的投資!C37</f>
        <v>49640</v>
      </c>
      <c r="D37" s="75">
        <f>民間住宅1!D37+民間設備投資計!D37+民間在庫品増加!D37+公的投資!D37</f>
        <v>52589</v>
      </c>
      <c r="E37" s="75">
        <f>民間住宅1!E37+民間設備投資計!E37+民間在庫品増加!E37+公的投資!E37</f>
        <v>52785</v>
      </c>
      <c r="F37" s="75">
        <f>民間住宅1!F37+民間設備投資計!F37+民間在庫品増加!F37+公的投資!F37</f>
        <v>42642</v>
      </c>
      <c r="G37" s="75">
        <f>民間住宅1!G37+民間設備投資計!G37+民間在庫品増加!G37+公的投資!G37</f>
        <v>46320</v>
      </c>
      <c r="H37" s="75">
        <f>民間住宅1!H37+民間設備投資計!H37+民間在庫品増加!H37+公的投資!H37</f>
        <v>42286</v>
      </c>
      <c r="I37" s="75">
        <f>民間住宅1!I37+民間設備投資計!I37+民間在庫品増加!I37+公的投資!I37</f>
        <v>68518</v>
      </c>
      <c r="J37" s="75">
        <f>民間住宅1!J37+民間設備投資計!J37+民間在庫品増加!J37+公的投資!J37</f>
        <v>65603</v>
      </c>
      <c r="K37" s="75">
        <f>民間住宅1!K37+民間設備投資計!K37+民間在庫品増加!K37+公的投資!K37</f>
        <v>58249</v>
      </c>
      <c r="L37" s="75">
        <f>民間住宅1!L37+民間設備投資計!L37+民間在庫品増加!L37+公的投資!L37</f>
        <v>68631</v>
      </c>
      <c r="M37" s="75">
        <f>民間住宅1!M37+民間設備投資計!M37+民間在庫品増加!M37+公的投資!M37</f>
        <v>62187</v>
      </c>
      <c r="N37" s="75">
        <f>民間住宅1!N37+民間設備投資計!N37+民間在庫品増加!N37+公的投資!N37</f>
        <v>64558</v>
      </c>
      <c r="O37" s="75">
        <f>民間住宅1!O37+民間設備投資計!O37+民間在庫品増加!F107+公的投資!O37</f>
        <v>276876</v>
      </c>
      <c r="P37" s="75">
        <f>民間住宅1!P37+民間設備投資計!P37+民間在庫品増加!G107+公的投資!P37</f>
        <v>273643</v>
      </c>
      <c r="Q37" s="75">
        <f>民間住宅1!Q37+民間設備投資計!Q37+民間在庫品増加!H107+公的投資!Q37</f>
        <v>267949</v>
      </c>
      <c r="R37" s="75">
        <f>民間住宅1!R37+民間設備投資計!R37+民間在庫品増加!I107+公的投資!R37</f>
        <v>282219</v>
      </c>
      <c r="S37" s="75">
        <f>民間住宅1!S37+民間設備投資計!S37+民間在庫品増加!J107+公的投資!S37</f>
        <v>296472</v>
      </c>
      <c r="T37" s="75">
        <f>民間住宅1!T37+民間設備投資計!T37+民間在庫品増加!K107+公的投資!T37</f>
        <v>298517</v>
      </c>
      <c r="U37" s="75">
        <f>民間住宅1!U37+民間設備投資計!U37+民間在庫品増加!L107+公的投資!U37</f>
        <v>305408</v>
      </c>
      <c r="V37" s="75">
        <f>民間住宅1!V37+民間設備投資計!V37+民間在庫品増加!M107+公的投資!V37</f>
        <v>308654</v>
      </c>
      <c r="W37" s="75">
        <f>民間住宅1!W37+民間設備投資計!W37+民間在庫品増加!N107+公的投資!W37</f>
        <v>306925</v>
      </c>
      <c r="X37" s="75">
        <f>民間住宅1!X37+民間設備投資計!X37+民間在庫品増加!O107+公的投資!X37</f>
        <v>311744</v>
      </c>
    </row>
    <row r="38" spans="1:24">
      <c r="A38" s="89">
        <v>218</v>
      </c>
      <c r="B38" s="90" t="s">
        <v>200</v>
      </c>
      <c r="C38" s="75">
        <f>民間住宅1!C38+民間設備投資計!C38+民間在庫品増加!C38+公的投資!C38</f>
        <v>64838</v>
      </c>
      <c r="D38" s="75">
        <f>民間住宅1!D38+民間設備投資計!D38+民間在庫品増加!D38+公的投資!D38</f>
        <v>50279</v>
      </c>
      <c r="E38" s="75">
        <f>民間住宅1!E38+民間設備投資計!E38+民間在庫品増加!E38+公的投資!E38</f>
        <v>50998</v>
      </c>
      <c r="F38" s="75">
        <f>民間住宅1!F38+民間設備投資計!F38+民間在庫品増加!F38+公的投資!F38</f>
        <v>39289</v>
      </c>
      <c r="G38" s="75">
        <f>民間住宅1!G38+民間設備投資計!G38+民間在庫品増加!G38+公的投資!G38</f>
        <v>37517</v>
      </c>
      <c r="H38" s="75">
        <f>民間住宅1!H38+民間設備投資計!H38+民間在庫品増加!H38+公的投資!H38</f>
        <v>42210</v>
      </c>
      <c r="I38" s="75">
        <f>民間住宅1!I38+民間設備投資計!I38+民間在庫品増加!I38+公的投資!I38</f>
        <v>56362</v>
      </c>
      <c r="J38" s="75">
        <f>民間住宅1!J38+民間設備投資計!J38+民間在庫品増加!J38+公的投資!J38</f>
        <v>104884</v>
      </c>
      <c r="K38" s="75">
        <f>民間住宅1!K38+民間設備投資計!K38+民間在庫品増加!K38+公的投資!K38</f>
        <v>49355</v>
      </c>
      <c r="L38" s="75">
        <f>民間住宅1!L38+民間設備投資計!L38+民間在庫品増加!L38+公的投資!L38</f>
        <v>52834</v>
      </c>
      <c r="M38" s="75">
        <f>民間住宅1!M38+民間設備投資計!M38+民間在庫品増加!M38+公的投資!M38</f>
        <v>78732</v>
      </c>
      <c r="N38" s="75">
        <f>民間住宅1!N38+民間設備投資計!N38+民間在庫品増加!N38+公的投資!N38</f>
        <v>54231</v>
      </c>
      <c r="O38" s="75">
        <f>民間住宅1!O38+民間設備投資計!O38+民間在庫品増加!F108+公的投資!O38</f>
        <v>197495</v>
      </c>
      <c r="P38" s="75">
        <f>民間住宅1!P38+民間設備投資計!P38+民間在庫品増加!G108+公的投資!P38</f>
        <v>203320</v>
      </c>
      <c r="Q38" s="75">
        <f>民間住宅1!Q38+民間設備投資計!Q38+民間在庫品増加!H108+公的投資!Q38</f>
        <v>190499</v>
      </c>
      <c r="R38" s="75">
        <f>民間住宅1!R38+民間設備投資計!R38+民間在庫品増加!I108+公的投資!R38</f>
        <v>200429</v>
      </c>
      <c r="S38" s="75">
        <f>民間住宅1!S38+民間設備投資計!S38+民間在庫品増加!J108+公的投資!S38</f>
        <v>260268</v>
      </c>
      <c r="T38" s="75">
        <f>民間住宅1!T38+民間設備投資計!T38+民間在庫品増加!K108+公的投資!T38</f>
        <v>213944</v>
      </c>
      <c r="U38" s="75">
        <f>民間住宅1!U38+民間設備投資計!U38+民間在庫品増加!L108+公的投資!U38</f>
        <v>222868</v>
      </c>
      <c r="V38" s="75">
        <f>民間住宅1!V38+民間設備投資計!V38+民間在庫品増加!M108+公的投資!V38</f>
        <v>244297</v>
      </c>
      <c r="W38" s="75">
        <f>民間住宅1!W38+民間設備投資計!W38+民間在庫品増加!N108+公的投資!W38</f>
        <v>226199</v>
      </c>
      <c r="X38" s="75">
        <f>民間住宅1!X38+民間設備投資計!X38+民間在庫品増加!O108+公的投資!X38</f>
        <v>234947</v>
      </c>
    </row>
    <row r="39" spans="1:24">
      <c r="A39" s="89">
        <v>220</v>
      </c>
      <c r="B39" s="90" t="s">
        <v>201</v>
      </c>
      <c r="C39" s="75">
        <f>民間住宅1!C39+民間設備投資計!C39+民間在庫品増加!C39+公的投資!C39</f>
        <v>46760</v>
      </c>
      <c r="D39" s="75">
        <f>民間住宅1!D39+民間設備投資計!D39+民間在庫品増加!D39+公的投資!D39</f>
        <v>50526</v>
      </c>
      <c r="E39" s="75">
        <f>民間住宅1!E39+民間設備投資計!E39+民間在庫品増加!E39+公的投資!E39</f>
        <v>44059</v>
      </c>
      <c r="F39" s="75">
        <f>民間住宅1!F39+民間設備投資計!F39+民間在庫品増加!F39+公的投資!F39</f>
        <v>36500</v>
      </c>
      <c r="G39" s="75">
        <f>民間住宅1!G39+民間設備投資計!G39+民間在庫品増加!G39+公的投資!G39</f>
        <v>41969</v>
      </c>
      <c r="H39" s="75">
        <f>民間住宅1!H39+民間設備投資計!H39+民間在庫品増加!H39+公的投資!H39</f>
        <v>83927</v>
      </c>
      <c r="I39" s="75">
        <f>民間住宅1!I39+民間設備投資計!I39+民間在庫品増加!I39+公的投資!I39</f>
        <v>87553</v>
      </c>
      <c r="J39" s="75">
        <f>民間住宅1!J39+民間設備投資計!J39+民間在庫品増加!J39+公的投資!J39</f>
        <v>67214</v>
      </c>
      <c r="K39" s="75">
        <f>民間住宅1!K39+民間設備投資計!K39+民間在庫品増加!K39+公的投資!K39</f>
        <v>52509</v>
      </c>
      <c r="L39" s="75">
        <f>民間住宅1!L39+民間設備投資計!L39+民間在庫品増加!L39+公的投資!L39</f>
        <v>49215</v>
      </c>
      <c r="M39" s="75">
        <f>民間住宅1!M39+民間設備投資計!M39+民間在庫品増加!M39+公的投資!M39</f>
        <v>59000</v>
      </c>
      <c r="N39" s="75">
        <f>民間住宅1!N39+民間設備投資計!N39+民間在庫品増加!N39+公的投資!N39</f>
        <v>59065</v>
      </c>
      <c r="O39" s="75">
        <f>民間住宅1!O39+民間設備投資計!O39+民間在庫品増加!F109+公的投資!O39</f>
        <v>179114</v>
      </c>
      <c r="P39" s="75">
        <f>民間住宅1!P39+民間設備投資計!P39+民間在庫品増加!G109+公的投資!P39</f>
        <v>186844</v>
      </c>
      <c r="Q39" s="75">
        <f>民間住宅1!Q39+民間設備投資計!Q39+民間在庫品増加!H109+公的投資!Q39</f>
        <v>220245</v>
      </c>
      <c r="R39" s="75">
        <f>民間住宅1!R39+民間設備投資計!R39+民間在庫品増加!I109+公的投資!R39</f>
        <v>222192</v>
      </c>
      <c r="S39" s="75">
        <f>民間住宅1!S39+民間設備投資計!S39+民間在庫品増加!J109+公的投資!S39</f>
        <v>212393</v>
      </c>
      <c r="T39" s="75">
        <f>民間住宅1!T39+民間設備投資計!T39+民間在庫品増加!K109+公的投資!T39</f>
        <v>202901</v>
      </c>
      <c r="U39" s="75">
        <f>民間住宅1!U39+民間設備投資計!U39+民間在庫品増加!L109+公的投資!U39</f>
        <v>217434</v>
      </c>
      <c r="V39" s="75">
        <f>民間住宅1!V39+民間設備投資計!V39+民間在庫品増加!M109+公的投資!V39</f>
        <v>213558</v>
      </c>
      <c r="W39" s="75">
        <f>民間住宅1!W39+民間設備投資計!W39+民間在庫品増加!N109+公的投資!W39</f>
        <v>215735</v>
      </c>
      <c r="X39" s="75">
        <f>民間住宅1!X39+民間設備投資計!X39+民間在庫品増加!O109+公的投資!X39</f>
        <v>213166</v>
      </c>
    </row>
    <row r="40" spans="1:24">
      <c r="A40" s="89">
        <v>228</v>
      </c>
      <c r="B40" s="90" t="s">
        <v>239</v>
      </c>
      <c r="C40" s="75">
        <f>民間住宅1!C40+民間設備投資計!C40+民間在庫品増加!C40+公的投資!C40</f>
        <v>43267</v>
      </c>
      <c r="D40" s="75">
        <f>民間住宅1!D40+民間設備投資計!D40+民間在庫品増加!D40+公的投資!D40</f>
        <v>73332</v>
      </c>
      <c r="E40" s="75">
        <f>民間住宅1!E40+民間設備投資計!E40+民間在庫品増加!E40+公的投資!E40</f>
        <v>43470</v>
      </c>
      <c r="F40" s="75">
        <f>民間住宅1!F40+民間設備投資計!F40+民間在庫品増加!F40+公的投資!F40</f>
        <v>29975</v>
      </c>
      <c r="G40" s="75">
        <f>民間住宅1!G40+民間設備投資計!G40+民間在庫品増加!G40+公的投資!G40</f>
        <v>36876</v>
      </c>
      <c r="H40" s="75">
        <f>民間住宅1!H40+民間設備投資計!H40+民間在庫品増加!H40+公的投資!H40</f>
        <v>66928</v>
      </c>
      <c r="I40" s="75">
        <f>民間住宅1!I40+民間設備投資計!I40+民間在庫品増加!I40+公的投資!I40</f>
        <v>42443</v>
      </c>
      <c r="J40" s="75">
        <f>民間住宅1!J40+民間設備投資計!J40+民間在庫品増加!J40+公的投資!J40</f>
        <v>48872</v>
      </c>
      <c r="K40" s="75">
        <f>民間住宅1!K40+民間設備投資計!K40+民間在庫品増加!K40+公的投資!K40</f>
        <v>42358</v>
      </c>
      <c r="L40" s="75">
        <f>民間住宅1!L40+民間設備投資計!L40+民間在庫品増加!L40+公的投資!L40</f>
        <v>45109</v>
      </c>
      <c r="M40" s="75">
        <f>民間住宅1!M40+民間設備投資計!M40+民間在庫品増加!M40+公的投資!M40</f>
        <v>46532</v>
      </c>
      <c r="N40" s="75">
        <f>民間住宅1!N40+民間設備投資計!N40+民間在庫品増加!N40+公的投資!N40</f>
        <v>62555</v>
      </c>
      <c r="O40" s="75">
        <f>民間住宅1!O40+民間設備投資計!O40+民間在庫品増加!F110+公的投資!O40</f>
        <v>166497</v>
      </c>
      <c r="P40" s="75">
        <f>民間住宅1!P40+民間設備投資計!P40+民間在庫品増加!G110+公的投資!P40</f>
        <v>185094</v>
      </c>
      <c r="Q40" s="75">
        <f>民間住宅1!Q40+民間設備投資計!Q40+民間在庫品増加!H110+公的投資!Q40</f>
        <v>202145</v>
      </c>
      <c r="R40" s="75">
        <f>民間住宅1!R40+民間設備投資計!R40+民間在庫品増加!I110+公的投資!R40</f>
        <v>226306</v>
      </c>
      <c r="S40" s="75">
        <f>民間住宅1!S40+民間設備投資計!S40+民間在庫品増加!J110+公的投資!S40</f>
        <v>203399</v>
      </c>
      <c r="T40" s="75">
        <f>民間住宅1!T40+民間設備投資計!T40+民間在庫品増加!K110+公的投資!T40</f>
        <v>211832</v>
      </c>
      <c r="U40" s="75">
        <f>民間住宅1!U40+民間設備投資計!U40+民間在庫品増加!L110+公的投資!U40</f>
        <v>197762</v>
      </c>
      <c r="V40" s="75">
        <f>民間住宅1!V40+民間設備投資計!V40+民間在庫品増加!M110+公的投資!V40</f>
        <v>209039</v>
      </c>
      <c r="W40" s="75">
        <f>民間住宅1!W40+民間設備投資計!W40+民間在庫品増加!N110+公的投資!W40</f>
        <v>224699</v>
      </c>
      <c r="X40" s="75">
        <f>民間住宅1!X40+民間設備投資計!X40+民間在庫品増加!O110+公的投資!X40</f>
        <v>217617</v>
      </c>
    </row>
    <row r="41" spans="1:24">
      <c r="A41" s="89">
        <v>365</v>
      </c>
      <c r="B41" s="90" t="s">
        <v>233</v>
      </c>
      <c r="C41" s="75">
        <f>民間住宅1!C41+民間設備投資計!C41+民間在庫品増加!C41+公的投資!C41</f>
        <v>14387</v>
      </c>
      <c r="D41" s="75">
        <f>民間住宅1!D41+民間設備投資計!D41+民間在庫品増加!D41+公的投資!D41</f>
        <v>13153</v>
      </c>
      <c r="E41" s="75">
        <f>民間住宅1!E41+民間設備投資計!E41+民間在庫品増加!E41+公的投資!E41</f>
        <v>12962</v>
      </c>
      <c r="F41" s="75">
        <f>民間住宅1!F41+民間設備投資計!F41+民間在庫品増加!F41+公的投資!F41</f>
        <v>11342</v>
      </c>
      <c r="G41" s="75">
        <f>民間住宅1!G41+民間設備投資計!G41+民間在庫品増加!G41+公的投資!G41</f>
        <v>14226</v>
      </c>
      <c r="H41" s="75">
        <f>民間住宅1!H41+民間設備投資計!H41+民間在庫品増加!H41+公的投資!H41</f>
        <v>14212</v>
      </c>
      <c r="I41" s="75">
        <f>民間住宅1!I41+民間設備投資計!I41+民間在庫品増加!I41+公的投資!I41</f>
        <v>17028</v>
      </c>
      <c r="J41" s="75">
        <f>民間住宅1!J41+民間設備投資計!J41+民間在庫品増加!J41+公的投資!J41</f>
        <v>15606</v>
      </c>
      <c r="K41" s="75">
        <f>民間住宅1!K41+民間設備投資計!K41+民間在庫品増加!K41+公的投資!K41</f>
        <v>11789</v>
      </c>
      <c r="L41" s="75">
        <f>民間住宅1!L41+民間設備投資計!L41+民間在庫品増加!L41+公的投資!L41</f>
        <v>15525</v>
      </c>
      <c r="M41" s="75">
        <f>民間住宅1!M41+民間設備投資計!M41+民間在庫品増加!M41+公的投資!M41</f>
        <v>15401</v>
      </c>
      <c r="N41" s="75">
        <f>民間住宅1!N41+民間設備投資計!N41+民間在庫品増加!N41+公的投資!N41</f>
        <v>15383</v>
      </c>
      <c r="O41" s="75">
        <f>民間住宅1!O41+民間設備投資計!O41+民間在庫品増加!F111+公的投資!O41</f>
        <v>76589</v>
      </c>
      <c r="P41" s="75">
        <f>民間住宅1!P41+民間設備投資計!P41+民間在庫品増加!G111+公的投資!P41</f>
        <v>72244</v>
      </c>
      <c r="Q41" s="75">
        <f>民間住宅1!Q41+民間設備投資計!Q41+民間在庫品増加!H111+公的投資!Q41</f>
        <v>72609</v>
      </c>
      <c r="R41" s="75">
        <f>民間住宅1!R41+民間設備投資計!R41+民間在庫品増加!I111+公的投資!R41</f>
        <v>78044</v>
      </c>
      <c r="S41" s="75">
        <f>民間住宅1!S41+民間設備投資計!S41+民間在庫品増加!J111+公的投資!S41</f>
        <v>77481</v>
      </c>
      <c r="T41" s="75">
        <f>民間住宅1!T41+民間設備投資計!T41+民間在庫品増加!K111+公的投資!T41</f>
        <v>76399</v>
      </c>
      <c r="U41" s="75">
        <f>民間住宅1!U41+民間設備投資計!U41+民間在庫品増加!L111+公的投資!U41</f>
        <v>87658</v>
      </c>
      <c r="V41" s="75">
        <f>民間住宅1!V41+民間設備投資計!V41+民間在庫品増加!M111+公的投資!V41</f>
        <v>81691</v>
      </c>
      <c r="W41" s="75">
        <f>民間住宅1!W41+民間設備投資計!W41+民間在庫品増加!N111+公的投資!W41</f>
        <v>82609</v>
      </c>
      <c r="X41" s="75">
        <f>民間住宅1!X41+民間設備投資計!X41+民間在庫品増加!O111+公的投資!X41</f>
        <v>88350</v>
      </c>
    </row>
    <row r="42" spans="1:24">
      <c r="A42" s="92">
        <v>5</v>
      </c>
      <c r="B42" s="91" t="s">
        <v>202</v>
      </c>
      <c r="C42" s="75">
        <f>民間住宅1!C42+民間設備投資計!C42+民間在庫品増加!C42+公的投資!C42</f>
        <v>723588</v>
      </c>
      <c r="D42" s="75">
        <f>民間住宅1!D42+民間設備投資計!D42+民間在庫品増加!D42+公的投資!D42</f>
        <v>725241</v>
      </c>
      <c r="E42" s="75">
        <f>民間住宅1!E42+民間設備投資計!E42+民間在庫品増加!E42+公的投資!E42</f>
        <v>666263</v>
      </c>
      <c r="F42" s="75">
        <f>民間住宅1!F42+民間設備投資計!F42+民間在庫品増加!F42+公的投資!F42</f>
        <v>565558</v>
      </c>
      <c r="G42" s="75">
        <f>民間住宅1!G42+民間設備投資計!G42+民間在庫品増加!G42+公的投資!G42</f>
        <v>926890</v>
      </c>
      <c r="H42" s="75">
        <f>民間住宅1!H42+民間設備投資計!H42+民間在庫品増加!H42+公的投資!H42</f>
        <v>632163</v>
      </c>
      <c r="I42" s="75">
        <f>民間住宅1!I42+民間設備投資計!I42+民間在庫品増加!I42+公的投資!I42</f>
        <v>647626</v>
      </c>
      <c r="J42" s="75">
        <f>民間住宅1!J42+民間設備投資計!J42+民間在庫品増加!J42+公的投資!J42</f>
        <v>664149</v>
      </c>
      <c r="K42" s="75">
        <f>民間住宅1!K42+民間設備投資計!K42+民間在庫品増加!K42+公的投資!K42</f>
        <v>638793</v>
      </c>
      <c r="L42" s="75">
        <f>民間住宅1!L42+民間設備投資計!L42+民間在庫品増加!L42+公的投資!L42</f>
        <v>651188</v>
      </c>
      <c r="M42" s="75">
        <f>民間住宅1!M42+民間設備投資計!M42+民間在庫品増加!M42+公的投資!M42</f>
        <v>676944</v>
      </c>
      <c r="N42" s="75">
        <f>民間住宅1!N42+民間設備投資計!N42+民間在庫品増加!N42+公的投資!N42</f>
        <v>699293</v>
      </c>
      <c r="O42" s="75">
        <f>民間住宅1!O42+民間設備投資計!O42+民間在庫品増加!F112+公的投資!O42</f>
        <v>2640246</v>
      </c>
      <c r="P42" s="75">
        <f>民間住宅1!P42+民間設備投資計!P42+民間在庫品増加!G112+公的投資!P42</f>
        <v>2896844</v>
      </c>
      <c r="Q42" s="75">
        <f>民間住宅1!Q42+民間設備投資計!Q42+民間在庫品増加!H112+公的投資!Q42</f>
        <v>2605013</v>
      </c>
      <c r="R42" s="75">
        <f>民間住宅1!R42+民間設備投資計!R42+民間在庫品増加!I112+公的投資!R42</f>
        <v>2627533</v>
      </c>
      <c r="S42" s="75">
        <f>民間住宅1!S42+民間設備投資計!S42+民間在庫品増加!J112+公的投資!S42</f>
        <v>2702538</v>
      </c>
      <c r="T42" s="75">
        <f>民間住宅1!T42+民間設備投資計!T42+民間在庫品増加!K112+公的投資!T42</f>
        <v>2751673</v>
      </c>
      <c r="U42" s="75">
        <f>民間住宅1!U42+民間設備投資計!U42+民間在庫品増加!L112+公的投資!U42</f>
        <v>2704268</v>
      </c>
      <c r="V42" s="75">
        <f>民間住宅1!V42+民間設備投資計!V42+民間在庫品増加!M112+公的投資!V42</f>
        <v>2826742</v>
      </c>
      <c r="W42" s="75">
        <f>民間住宅1!W42+民間設備投資計!W42+民間在庫品増加!N112+公的投資!W42</f>
        <v>2853855</v>
      </c>
      <c r="X42" s="75">
        <f>民間住宅1!X42+民間設備投資計!X42+民間在庫品増加!O112+公的投資!X42</f>
        <v>2956774</v>
      </c>
    </row>
    <row r="43" spans="1:24">
      <c r="A43" s="92">
        <v>201</v>
      </c>
      <c r="B43" s="92" t="s">
        <v>240</v>
      </c>
      <c r="C43" s="75">
        <f>民間住宅1!C43+民間設備投資計!C43+民間在庫品増加!C43+公的投資!C43</f>
        <v>688991</v>
      </c>
      <c r="D43" s="75">
        <f>民間住宅1!D43+民間設備投資計!D43+民間在庫品増加!D43+公的投資!D43</f>
        <v>680296</v>
      </c>
      <c r="E43" s="75">
        <f>民間住宅1!E43+民間設備投資計!E43+民間在庫品増加!E43+公的投資!E43</f>
        <v>627041</v>
      </c>
      <c r="F43" s="75">
        <f>民間住宅1!F43+民間設備投資計!F43+民間在庫品増加!F43+公的投資!F43</f>
        <v>538555</v>
      </c>
      <c r="G43" s="75">
        <f>民間住宅1!G43+民間設備投資計!G43+民間在庫品増加!G43+公的投資!G43</f>
        <v>892399</v>
      </c>
      <c r="H43" s="75">
        <f>民間住宅1!H43+民間設備投資計!H43+民間在庫品増加!H43+公的投資!H43</f>
        <v>590104</v>
      </c>
      <c r="I43" s="75">
        <f>民間住宅1!I43+民間設備投資計!I43+民間在庫品増加!I43+公的投資!I43</f>
        <v>612527</v>
      </c>
      <c r="J43" s="75">
        <f>民間住宅1!J43+民間設備投資計!J43+民間在庫品増加!J43+公的投資!J43</f>
        <v>624284</v>
      </c>
      <c r="K43" s="75">
        <f>民間住宅1!K43+民間設備投資計!K43+民間在庫品増加!K43+公的投資!K43</f>
        <v>592796</v>
      </c>
      <c r="L43" s="75">
        <f>民間住宅1!L43+民間設備投資計!L43+民間在庫品増加!L43+公的投資!L43</f>
        <v>609456</v>
      </c>
      <c r="M43" s="75">
        <f>民間住宅1!M43+民間設備投資計!M43+民間在庫品増加!M43+公的投資!M43</f>
        <v>635573</v>
      </c>
      <c r="N43" s="75">
        <f>民間住宅1!N43+民間設備投資計!N43+民間在庫品増加!N43+公的投資!N43</f>
        <v>648163</v>
      </c>
      <c r="O43" s="75">
        <f>民間住宅1!O43+民間設備投資計!O43+民間在庫品増加!F113+公的投資!O43</f>
        <v>2453659</v>
      </c>
      <c r="P43" s="75">
        <f>民間住宅1!P43+民間設備投資計!P43+民間在庫品増加!G113+公的投資!P43</f>
        <v>2707185</v>
      </c>
      <c r="Q43" s="75">
        <f>民間住宅1!Q43+民間設備投資計!Q43+民間在庫品増加!H113+公的投資!Q43</f>
        <v>2418560</v>
      </c>
      <c r="R43" s="75">
        <f>民間住宅1!R43+民間設備投資計!R43+民間在庫品増加!I113+公的投資!R43</f>
        <v>2434628</v>
      </c>
      <c r="S43" s="75">
        <f>民間住宅1!S43+民間設備投資計!S43+民間在庫品増加!J113+公的投資!S43</f>
        <v>2508476</v>
      </c>
      <c r="T43" s="75">
        <f>民間住宅1!T43+民間設備投資計!T43+民間在庫品増加!K113+公的投資!T43</f>
        <v>2547010</v>
      </c>
      <c r="U43" s="75">
        <f>民間住宅1!U43+民間設備投資計!U43+民間在庫品増加!L113+公的投資!U43</f>
        <v>2480938</v>
      </c>
      <c r="V43" s="75">
        <f>民間住宅1!V43+民間設備投資計!V43+民間在庫品増加!M113+公的投資!V43</f>
        <v>2616191</v>
      </c>
      <c r="W43" s="75">
        <f>民間住宅1!W43+民間設備投資計!W43+民間在庫品増加!N113+公的投資!W43</f>
        <v>2630739</v>
      </c>
      <c r="X43" s="75">
        <f>民間住宅1!X43+民間設備投資計!X43+民間在庫品増加!O113+公的投資!X43</f>
        <v>2715456</v>
      </c>
    </row>
    <row r="44" spans="1:24">
      <c r="A44" s="89">
        <v>442</v>
      </c>
      <c r="B44" s="90" t="s">
        <v>203</v>
      </c>
      <c r="C44" s="75">
        <f>民間住宅1!C44+民間設備投資計!C44+民間在庫品増加!C44+公的投資!C44</f>
        <v>7258</v>
      </c>
      <c r="D44" s="75">
        <f>民間住宅1!D44+民間設備投資計!D44+民間在庫品増加!D44+公的投資!D44</f>
        <v>7961</v>
      </c>
      <c r="E44" s="75">
        <f>民間住宅1!E44+民間設備投資計!E44+民間在庫品増加!E44+公的投資!E44</f>
        <v>10177</v>
      </c>
      <c r="F44" s="75">
        <f>民間住宅1!F44+民間設備投資計!F44+民間在庫品増加!F44+公的投資!F44</f>
        <v>6284</v>
      </c>
      <c r="G44" s="75">
        <f>民間住宅1!G44+民間設備投資計!G44+民間在庫品増加!G44+公的投資!G44</f>
        <v>6034</v>
      </c>
      <c r="H44" s="75">
        <f>民間住宅1!H44+民間設備投資計!H44+民間在庫品増加!H44+公的投資!H44</f>
        <v>7464</v>
      </c>
      <c r="I44" s="75">
        <f>民間住宅1!I44+民間設備投資計!I44+民間在庫品増加!I44+公的投資!I44</f>
        <v>6677</v>
      </c>
      <c r="J44" s="75">
        <f>民間住宅1!J44+民間設備投資計!J44+民間在庫品増加!J44+公的投資!J44</f>
        <v>7948</v>
      </c>
      <c r="K44" s="75">
        <f>民間住宅1!K44+民間設備投資計!K44+民間在庫品増加!K44+公的投資!K44</f>
        <v>7578</v>
      </c>
      <c r="L44" s="75">
        <f>民間住宅1!L44+民間設備投資計!L44+民間在庫品増加!L44+公的投資!L44</f>
        <v>7526</v>
      </c>
      <c r="M44" s="75">
        <f>民間住宅1!M44+民間設備投資計!M44+民間在庫品増加!M44+公的投資!M44</f>
        <v>6926</v>
      </c>
      <c r="N44" s="75">
        <f>民間住宅1!N44+民間設備投資計!N44+民間在庫品増加!N44+公的投資!N44</f>
        <v>10285</v>
      </c>
      <c r="O44" s="75">
        <f>民間住宅1!O44+民間設備投資計!O44+民間在庫品増加!F114+公的投資!O44</f>
        <v>47761</v>
      </c>
      <c r="P44" s="75">
        <f>民間住宅1!P44+民間設備投資計!P44+民間在庫品増加!G114+公的投資!P44</f>
        <v>43985</v>
      </c>
      <c r="Q44" s="75">
        <f>民間住宅1!Q44+民間設備投資計!Q44+民間在庫品増加!H114+公的投資!Q44</f>
        <v>45744</v>
      </c>
      <c r="R44" s="75">
        <f>民間住宅1!R44+民間設備投資計!R44+民間在庫品増加!I114+公的投資!R44</f>
        <v>46293</v>
      </c>
      <c r="S44" s="75">
        <f>民間住宅1!S44+民間設備投資計!S44+民間在庫品増加!J114+公的投資!S44</f>
        <v>46916</v>
      </c>
      <c r="T44" s="75">
        <f>民間住宅1!T44+民間設備投資計!T44+民間在庫品増加!K114+公的投資!T44</f>
        <v>47622</v>
      </c>
      <c r="U44" s="75">
        <f>民間住宅1!U44+民間設備投資計!U44+民間在庫品増加!L114+公的投資!U44</f>
        <v>52126</v>
      </c>
      <c r="V44" s="75">
        <f>民間住宅1!V44+民間設備投資計!V44+民間在庫品増加!M114+公的投資!V44</f>
        <v>48485</v>
      </c>
      <c r="W44" s="75">
        <f>民間住宅1!W44+民間設備投資計!W44+民間在庫品増加!N114+公的投資!W44</f>
        <v>52288</v>
      </c>
      <c r="X44" s="75">
        <f>民間住宅1!X44+民間設備投資計!X44+民間在庫品増加!O114+公的投資!X44</f>
        <v>56271</v>
      </c>
    </row>
    <row r="45" spans="1:24">
      <c r="A45" s="89">
        <v>443</v>
      </c>
      <c r="B45" s="90" t="s">
        <v>204</v>
      </c>
      <c r="C45" s="75">
        <f>民間住宅1!C45+民間設備投資計!C45+民間在庫品増加!C45+公的投資!C45</f>
        <v>20746</v>
      </c>
      <c r="D45" s="75">
        <f>民間住宅1!D45+民間設備投資計!D45+民間在庫品増加!D45+公的投資!D45</f>
        <v>21991</v>
      </c>
      <c r="E45" s="75">
        <f>民間住宅1!E45+民間設備投資計!E45+民間在庫品増加!E45+公的投資!E45</f>
        <v>21522</v>
      </c>
      <c r="F45" s="75">
        <f>民間住宅1!F45+民間設備投資計!F45+民間在庫品増加!F45+公的投資!F45</f>
        <v>12931</v>
      </c>
      <c r="G45" s="75">
        <f>民間住宅1!G45+民間設備投資計!G45+民間在庫品増加!G45+公的投資!G45</f>
        <v>17279</v>
      </c>
      <c r="H45" s="75">
        <f>民間住宅1!H45+民間設備投資計!H45+民間在庫品増加!H45+公的投資!H45</f>
        <v>27696</v>
      </c>
      <c r="I45" s="75">
        <f>民間住宅1!I45+民間設備投資計!I45+民間在庫品増加!I45+公的投資!I45</f>
        <v>17158</v>
      </c>
      <c r="J45" s="75">
        <f>民間住宅1!J45+民間設備投資計!J45+民間在庫品増加!J45+公的投資!J45</f>
        <v>25174</v>
      </c>
      <c r="K45" s="75">
        <f>民間住宅1!K45+民間設備投資計!K45+民間在庫品増加!K45+公的投資!K45</f>
        <v>29653</v>
      </c>
      <c r="L45" s="75">
        <f>民間住宅1!L45+民間設備投資計!L45+民間在庫品増加!L45+公的投資!L45</f>
        <v>25164</v>
      </c>
      <c r="M45" s="75">
        <f>民間住宅1!M45+民間設備投資計!M45+民間在庫品増加!M45+公的投資!M45</f>
        <v>26360</v>
      </c>
      <c r="N45" s="75">
        <f>民間住宅1!N45+民間設備投資計!N45+民間在庫品増加!N45+公的投資!N45</f>
        <v>27392</v>
      </c>
      <c r="O45" s="75">
        <f>民間住宅1!O45+民間設備投資計!O45+民間在庫品増加!F115+公的投資!O45</f>
        <v>86442</v>
      </c>
      <c r="P45" s="75">
        <f>民間住宅1!P45+民間設備投資計!P45+民間在庫品増加!G115+公的投資!P45</f>
        <v>90891</v>
      </c>
      <c r="Q45" s="75">
        <f>民間住宅1!Q45+民間設備投資計!Q45+民間在庫品増加!H115+公的投資!Q45</f>
        <v>93573</v>
      </c>
      <c r="R45" s="75">
        <f>民間住宅1!R45+民間設備投資計!R45+民間在庫品増加!I115+公的投資!R45</f>
        <v>93911</v>
      </c>
      <c r="S45" s="75">
        <f>民間住宅1!S45+民間設備投資計!S45+民間在庫品増加!J115+公的投資!S45</f>
        <v>97360</v>
      </c>
      <c r="T45" s="75">
        <f>民間住宅1!T45+民間設備投資計!T45+民間在庫品増加!K115+公的投資!T45</f>
        <v>105073</v>
      </c>
      <c r="U45" s="75">
        <f>民間住宅1!U45+民間設備投資計!U45+民間在庫品増加!L115+公的投資!U45</f>
        <v>109191</v>
      </c>
      <c r="V45" s="75">
        <f>民間住宅1!V45+民間設備投資計!V45+民間在庫品増加!M115+公的投資!V45</f>
        <v>105312</v>
      </c>
      <c r="W45" s="75">
        <f>民間住宅1!W45+民間設備投資計!W45+民間在庫品増加!N115+公的投資!W45</f>
        <v>108192</v>
      </c>
      <c r="X45" s="75">
        <f>民間住宅1!X45+民間設備投資計!X45+民間在庫品増加!O115+公的投資!X45</f>
        <v>116498</v>
      </c>
    </row>
    <row r="46" spans="1:24">
      <c r="A46" s="89">
        <v>446</v>
      </c>
      <c r="B46" s="90" t="s">
        <v>234</v>
      </c>
      <c r="C46" s="75">
        <f>民間住宅1!C46+民間設備投資計!C46+民間在庫品増加!C46+公的投資!C46</f>
        <v>6593</v>
      </c>
      <c r="D46" s="75">
        <f>民間住宅1!D46+民間設備投資計!D46+民間在庫品増加!D46+公的投資!D46</f>
        <v>14993</v>
      </c>
      <c r="E46" s="75">
        <f>民間住宅1!E46+民間設備投資計!E46+民間在庫品増加!E46+公的投資!E46</f>
        <v>7523</v>
      </c>
      <c r="F46" s="75">
        <f>民間住宅1!F46+民間設備投資計!F46+民間在庫品増加!F46+公的投資!F46</f>
        <v>7788</v>
      </c>
      <c r="G46" s="75">
        <f>民間住宅1!G46+民間設備投資計!G46+民間在庫品増加!G46+公的投資!G46</f>
        <v>11178</v>
      </c>
      <c r="H46" s="75">
        <f>民間住宅1!H46+民間設備投資計!H46+民間在庫品増加!H46+公的投資!H46</f>
        <v>6899</v>
      </c>
      <c r="I46" s="75">
        <f>民間住宅1!I46+民間設備投資計!I46+民間在庫品増加!I46+公的投資!I46</f>
        <v>11264</v>
      </c>
      <c r="J46" s="75">
        <f>民間住宅1!J46+民間設備投資計!J46+民間在庫品増加!J46+公的投資!J46</f>
        <v>6743</v>
      </c>
      <c r="K46" s="75">
        <f>民間住宅1!K46+民間設備投資計!K46+民間在庫品増加!K46+公的投資!K46</f>
        <v>8766</v>
      </c>
      <c r="L46" s="75">
        <f>民間住宅1!L46+民間設備投資計!L46+民間在庫品増加!L46+公的投資!L46</f>
        <v>9042</v>
      </c>
      <c r="M46" s="75">
        <f>民間住宅1!M46+民間設備投資計!M46+民間在庫品増加!M46+公的投資!M46</f>
        <v>8085</v>
      </c>
      <c r="N46" s="75">
        <f>民間住宅1!N46+民間設備投資計!N46+民間在庫品増加!N46+公的投資!N46</f>
        <v>13453</v>
      </c>
      <c r="O46" s="75">
        <f>民間住宅1!O46+民間設備投資計!O46+民間在庫品増加!F116+公的投資!O46</f>
        <v>52384</v>
      </c>
      <c r="P46" s="75">
        <f>民間住宅1!P46+民間設備投資計!P46+民間在庫品増加!G116+公的投資!P46</f>
        <v>54783</v>
      </c>
      <c r="Q46" s="75">
        <f>民間住宅1!Q46+民間設備投資計!Q46+民間在庫品増加!H116+公的投資!Q46</f>
        <v>47136</v>
      </c>
      <c r="R46" s="75">
        <f>民間住宅1!R46+民間設備投資計!R46+民間在庫品増加!I116+公的投資!R46</f>
        <v>52701</v>
      </c>
      <c r="S46" s="75">
        <f>民間住宅1!S46+民間設備投資計!S46+民間在庫品増加!J116+公的投資!S46</f>
        <v>49786</v>
      </c>
      <c r="T46" s="75">
        <f>民間住宅1!T46+民間設備投資計!T46+民間在庫品増加!K116+公的投資!T46</f>
        <v>51968</v>
      </c>
      <c r="U46" s="75">
        <f>民間住宅1!U46+民間設備投資計!U46+民間在庫品増加!L116+公的投資!U46</f>
        <v>62013</v>
      </c>
      <c r="V46" s="75">
        <f>民間住宅1!V46+民間設備投資計!V46+民間在庫品増加!M116+公的投資!V46</f>
        <v>56754</v>
      </c>
      <c r="W46" s="75">
        <f>民間住宅1!W46+民間設備投資計!W46+民間在庫品増加!N116+公的投資!W46</f>
        <v>62636</v>
      </c>
      <c r="X46" s="75">
        <f>民間住宅1!X46+民間設備投資計!X46+民間在庫品増加!O116+公的投資!X46</f>
        <v>68549</v>
      </c>
    </row>
    <row r="47" spans="1:24">
      <c r="A47" s="92">
        <v>6</v>
      </c>
      <c r="B47" s="91" t="s">
        <v>205</v>
      </c>
      <c r="C47" s="75">
        <f>民間住宅1!C47+民間設備投資計!C47+民間在庫品増加!C47+公的投資!C47</f>
        <v>300180</v>
      </c>
      <c r="D47" s="75">
        <f>民間住宅1!D47+民間設備投資計!D47+民間在庫品増加!D47+公的投資!D47</f>
        <v>261100</v>
      </c>
      <c r="E47" s="75">
        <f>民間住宅1!E47+民間設備投資計!E47+民間在庫品増加!E47+公的投資!E47</f>
        <v>245078</v>
      </c>
      <c r="F47" s="75">
        <f>民間住宅1!F47+民間設備投資計!F47+民間在庫品増加!F47+公的投資!F47</f>
        <v>200883</v>
      </c>
      <c r="G47" s="75">
        <f>民間住宅1!G47+民間設備投資計!G47+民間在庫品増加!G47+公的投資!G47</f>
        <v>224013</v>
      </c>
      <c r="H47" s="75">
        <f>民間住宅1!H47+民間設備投資計!H47+民間在庫品増加!H47+公的投資!H47</f>
        <v>231321</v>
      </c>
      <c r="I47" s="75">
        <f>民間住宅1!I47+民間設備投資計!I47+民間在庫品増加!I47+公的投資!I47</f>
        <v>248954</v>
      </c>
      <c r="J47" s="75">
        <f>民間住宅1!J47+民間設備投資計!J47+民間在庫品増加!J47+公的投資!J47</f>
        <v>234605</v>
      </c>
      <c r="K47" s="75">
        <f>民間住宅1!K47+民間設備投資計!K47+民間在庫品増加!K47+公的投資!K47</f>
        <v>233511</v>
      </c>
      <c r="L47" s="75">
        <f>民間住宅1!L47+民間設備投資計!L47+民間在庫品増加!L47+公的投資!L47</f>
        <v>270484</v>
      </c>
      <c r="M47" s="75">
        <f>民間住宅1!M47+民間設備投資計!M47+民間在庫品増加!M47+公的投資!M47</f>
        <v>261365</v>
      </c>
      <c r="N47" s="75">
        <f>民間住宅1!N47+民間設備投資計!N47+民間在庫品増加!N47+公的投資!N47</f>
        <v>234214</v>
      </c>
      <c r="O47" s="75">
        <f>民間住宅1!O47+民間設備投資計!O47+民間在庫品増加!F117+公的投資!O47</f>
        <v>1031777</v>
      </c>
      <c r="P47" s="75">
        <f>民間住宅1!P47+民間設備投資計!P47+民間在庫品増加!G117+公的投資!P47</f>
        <v>1047999</v>
      </c>
      <c r="Q47" s="75">
        <f>民間住宅1!Q47+民間設備投資計!Q47+民間在庫品増加!H117+公的投資!Q47</f>
        <v>1050993</v>
      </c>
      <c r="R47" s="75">
        <f>民間住宅1!R47+民間設備投資計!R47+民間在庫品増加!I117+公的投資!R47</f>
        <v>1068917</v>
      </c>
      <c r="S47" s="75">
        <f>民間住宅1!S47+民間設備投資計!S47+民間在庫品増加!J117+公的投資!S47</f>
        <v>1068494</v>
      </c>
      <c r="T47" s="75">
        <f>民間住宅1!T47+民間設備投資計!T47+民間在庫品増加!K117+公的投資!T47</f>
        <v>1082918</v>
      </c>
      <c r="U47" s="75">
        <f>民間住宅1!U47+民間設備投資計!U47+民間在庫品増加!L117+公的投資!U47</f>
        <v>1111186</v>
      </c>
      <c r="V47" s="75">
        <f>民間住宅1!V47+民間設備投資計!V47+民間在庫品増加!M117+公的投資!V47</f>
        <v>1108664</v>
      </c>
      <c r="W47" s="75">
        <f>民間住宅1!W47+民間設備投資計!W47+民間在庫品増加!N117+公的投資!W47</f>
        <v>1082943</v>
      </c>
      <c r="X47" s="75">
        <f>民間住宅1!X47+民間設備投資計!X47+民間在庫品増加!O117+公的投資!X47</f>
        <v>1109759</v>
      </c>
    </row>
    <row r="48" spans="1:24">
      <c r="A48" s="89">
        <v>208</v>
      </c>
      <c r="B48" s="90" t="s">
        <v>206</v>
      </c>
      <c r="C48" s="75">
        <f>民間住宅1!C48+民間設備投資計!C48+民間在庫品増加!C48+公的投資!C48</f>
        <v>28012</v>
      </c>
      <c r="D48" s="75">
        <f>民間住宅1!D48+民間設備投資計!D48+民間在庫品増加!D48+公的投資!D48</f>
        <v>28206</v>
      </c>
      <c r="E48" s="75">
        <f>民間住宅1!E48+民間設備投資計!E48+民間在庫品増加!E48+公的投資!E48</f>
        <v>22797</v>
      </c>
      <c r="F48" s="75">
        <f>民間住宅1!F48+民間設備投資計!F48+民間在庫品増加!F48+公的投資!F48</f>
        <v>18160</v>
      </c>
      <c r="G48" s="75">
        <f>民間住宅1!G48+民間設備投資計!G48+民間在庫品増加!G48+公的投資!G48</f>
        <v>21912</v>
      </c>
      <c r="H48" s="75">
        <f>民間住宅1!H48+民間設備投資計!H48+民間在庫品増加!H48+公的投資!H48</f>
        <v>24674</v>
      </c>
      <c r="I48" s="75">
        <f>民間住宅1!I48+民間設備投資計!I48+民間在庫品増加!I48+公的投資!I48</f>
        <v>36384</v>
      </c>
      <c r="J48" s="75">
        <f>民間住宅1!J48+民間設備投資計!J48+民間在庫品増加!J48+公的投資!J48</f>
        <v>23684</v>
      </c>
      <c r="K48" s="75">
        <f>民間住宅1!K48+民間設備投資計!K48+民間在庫品増加!K48+公的投資!K48</f>
        <v>28371</v>
      </c>
      <c r="L48" s="75">
        <f>民間住宅1!L48+民間設備投資計!L48+民間在庫品増加!L48+公的投資!L48</f>
        <v>36227</v>
      </c>
      <c r="M48" s="75">
        <f>民間住宅1!M48+民間設備投資計!M48+民間在庫品増加!M48+公的投資!M48</f>
        <v>34367</v>
      </c>
      <c r="N48" s="75">
        <f>民間住宅1!N48+民間設備投資計!N48+民間在庫品増加!N48+公的投資!N48</f>
        <v>22909</v>
      </c>
      <c r="O48" s="75">
        <f>民間住宅1!O48+民間設備投資計!O48+民間在庫品増加!F118+公的投資!O48</f>
        <v>113018</v>
      </c>
      <c r="P48" s="75">
        <f>民間住宅1!P48+民間設備投資計!P48+民間在庫品増加!G118+公的投資!P48</f>
        <v>113438</v>
      </c>
      <c r="Q48" s="75">
        <f>民間住宅1!Q48+民間設備投資計!Q48+民間在庫品増加!H118+公的投資!Q48</f>
        <v>116027</v>
      </c>
      <c r="R48" s="75">
        <f>民間住宅1!R48+民間設備投資計!R48+民間在庫品増加!I118+公的投資!R48</f>
        <v>119595</v>
      </c>
      <c r="S48" s="75">
        <f>民間住宅1!S48+民間設備投資計!S48+民間在庫品増加!J118+公的投資!S48</f>
        <v>119404</v>
      </c>
      <c r="T48" s="75">
        <f>民間住宅1!T48+民間設備投資計!T48+民間在庫品増加!K118+公的投資!T48</f>
        <v>124484</v>
      </c>
      <c r="U48" s="75">
        <f>民間住宅1!U48+民間設備投資計!U48+民間在庫品増加!L118+公的投資!U48</f>
        <v>132683</v>
      </c>
      <c r="V48" s="75">
        <f>民間住宅1!V48+民間設備投資計!V48+民間在庫品増加!M118+公的投資!V48</f>
        <v>128326</v>
      </c>
      <c r="W48" s="75">
        <f>民間住宅1!W48+民間設備投資計!W48+民間在庫品増加!N118+公的投資!W48</f>
        <v>118317</v>
      </c>
      <c r="X48" s="75">
        <f>民間住宅1!X48+民間設備投資計!X48+民間在庫品増加!O118+公的投資!X48</f>
        <v>119617</v>
      </c>
    </row>
    <row r="49" spans="1:24">
      <c r="A49" s="89">
        <v>212</v>
      </c>
      <c r="B49" s="90" t="s">
        <v>207</v>
      </c>
      <c r="C49" s="75">
        <f>民間住宅1!C49+民間設備投資計!C49+民間在庫品増加!C49+公的投資!C49</f>
        <v>53948</v>
      </c>
      <c r="D49" s="75">
        <f>民間住宅1!D49+民間設備投資計!D49+民間在庫品増加!D49+公的投資!D49</f>
        <v>52895</v>
      </c>
      <c r="E49" s="75">
        <f>民間住宅1!E49+民間設備投資計!E49+民間在庫品増加!E49+公的投資!E49</f>
        <v>60948</v>
      </c>
      <c r="F49" s="75">
        <f>民間住宅1!F49+民間設備投資計!F49+民間在庫品増加!F49+公的投資!F49</f>
        <v>41907</v>
      </c>
      <c r="G49" s="75">
        <f>民間住宅1!G49+民間設備投資計!G49+民間在庫品増加!G49+公的投資!G49</f>
        <v>53081</v>
      </c>
      <c r="H49" s="75">
        <f>民間住宅1!H49+民間設備投資計!H49+民間在庫品増加!H49+公的投資!H49</f>
        <v>52278</v>
      </c>
      <c r="I49" s="75">
        <f>民間住宅1!I49+民間設備投資計!I49+民間在庫品増加!I49+公的投資!I49</f>
        <v>56921</v>
      </c>
      <c r="J49" s="75">
        <f>民間住宅1!J49+民間設備投資計!J49+民間在庫品増加!J49+公的投資!J49</f>
        <v>65327</v>
      </c>
      <c r="K49" s="75">
        <f>民間住宅1!K49+民間設備投資計!K49+民間在庫品増加!K49+公的投資!K49</f>
        <v>70692</v>
      </c>
      <c r="L49" s="75">
        <f>民間住宅1!L49+民間設備投資計!L49+民間在庫品増加!L49+公的投資!L49</f>
        <v>69054</v>
      </c>
      <c r="M49" s="75">
        <f>民間住宅1!M49+民間設備投資計!M49+民間在庫品増加!M49+公的投資!M49</f>
        <v>70330</v>
      </c>
      <c r="N49" s="75">
        <f>民間住宅1!N49+民間設備投資計!N49+民間在庫品増加!N49+公的投資!N49</f>
        <v>63909</v>
      </c>
      <c r="O49" s="75">
        <f>民間住宅1!O49+民間設備投資計!O49+民間在庫品増加!F119+公的投資!O49</f>
        <v>210616</v>
      </c>
      <c r="P49" s="75">
        <f>民間住宅1!P49+民間設備投資計!P49+民間在庫品増加!G119+公的投資!P49</f>
        <v>229485</v>
      </c>
      <c r="Q49" s="75">
        <f>民間住宅1!Q49+民間設備投資計!Q49+民間在庫品増加!H119+公的投資!Q49</f>
        <v>221535</v>
      </c>
      <c r="R49" s="75">
        <f>民間住宅1!R49+民間設備投資計!R49+民間在庫品増加!I119+公的投資!R49</f>
        <v>228159</v>
      </c>
      <c r="S49" s="75">
        <f>民間住宅1!S49+民間設備投資計!S49+民間在庫品増加!J119+公的投資!S49</f>
        <v>241436</v>
      </c>
      <c r="T49" s="75">
        <f>民間住宅1!T49+民間設備投資計!T49+民間在庫品増加!K119+公的投資!T49</f>
        <v>250925</v>
      </c>
      <c r="U49" s="75">
        <f>民間住宅1!U49+民間設備投資計!U49+民間在庫品増加!L119+公的投資!U49</f>
        <v>253573</v>
      </c>
      <c r="V49" s="75">
        <f>民間住宅1!V49+民間設備投資計!V49+民間在庫品増加!M119+公的投資!V49</f>
        <v>250366</v>
      </c>
      <c r="W49" s="75">
        <f>民間住宅1!W49+民間設備投資計!W49+民間在庫品増加!N119+公的投資!W49</f>
        <v>245197</v>
      </c>
      <c r="X49" s="75">
        <f>民間住宅1!X49+民間設備投資計!X49+民間在庫品増加!O119+公的投資!X49</f>
        <v>241977</v>
      </c>
    </row>
    <row r="50" spans="1:24">
      <c r="A50" s="89">
        <v>227</v>
      </c>
      <c r="B50" s="90" t="s">
        <v>219</v>
      </c>
      <c r="C50" s="75">
        <f>民間住宅1!C50+民間設備投資計!C50+民間在庫品増加!C50+公的投資!C50</f>
        <v>24616</v>
      </c>
      <c r="D50" s="75">
        <f>民間住宅1!D50+民間設備投資計!D50+民間在庫品増加!D50+公的投資!D50</f>
        <v>25257</v>
      </c>
      <c r="E50" s="75">
        <f>民間住宅1!E50+民間設備投資計!E50+民間在庫品増加!E50+公的投資!E50</f>
        <v>23172</v>
      </c>
      <c r="F50" s="75">
        <f>民間住宅1!F50+民間設備投資計!F50+民間在庫品増加!F50+公的投資!F50</f>
        <v>28624</v>
      </c>
      <c r="G50" s="75">
        <f>民間住宅1!G50+民間設備投資計!G50+民間在庫品増加!G50+公的投資!G50</f>
        <v>28618</v>
      </c>
      <c r="H50" s="75">
        <f>民間住宅1!H50+民間設備投資計!H50+民間在庫品増加!H50+公的投資!H50</f>
        <v>26367</v>
      </c>
      <c r="I50" s="75">
        <f>民間住宅1!I50+民間設備投資計!I50+民間在庫品増加!I50+公的投資!I50</f>
        <v>24813</v>
      </c>
      <c r="J50" s="75">
        <f>民間住宅1!J50+民間設備投資計!J50+民間在庫品増加!J50+公的投資!J50</f>
        <v>28399</v>
      </c>
      <c r="K50" s="75">
        <f>民間住宅1!K50+民間設備投資計!K50+民間在庫品増加!K50+公的投資!K50</f>
        <v>27671</v>
      </c>
      <c r="L50" s="75">
        <f>民間住宅1!L50+民間設備投資計!L50+民間在庫品増加!L50+公的投資!L50</f>
        <v>26800</v>
      </c>
      <c r="M50" s="75">
        <f>民間住宅1!M50+民間設備投資計!M50+民間在庫品増加!M50+公的投資!M50</f>
        <v>27227</v>
      </c>
      <c r="N50" s="75">
        <f>民間住宅1!N50+民間設備投資計!N50+民間在庫品増加!N50+公的投資!N50</f>
        <v>26443</v>
      </c>
      <c r="O50" s="75">
        <f>民間住宅1!O50+民間設備投資計!O50+民間在庫品増加!F120+公的投資!O50</f>
        <v>148758</v>
      </c>
      <c r="P50" s="75">
        <f>民間住宅1!P50+民間設備投資計!P50+民間在庫品増加!G120+公的投資!P50</f>
        <v>144000</v>
      </c>
      <c r="Q50" s="75">
        <f>民間住宅1!Q50+民間設備投資計!Q50+民間在庫品増加!H120+公的投資!Q50</f>
        <v>139956</v>
      </c>
      <c r="R50" s="75">
        <f>民間住宅1!R50+民間設備投資計!R50+民間在庫品増加!I120+公的投資!R50</f>
        <v>139518</v>
      </c>
      <c r="S50" s="75">
        <f>民間住宅1!S50+民間設備投資計!S50+民間在庫品増加!J120+公的投資!S50</f>
        <v>141372</v>
      </c>
      <c r="T50" s="75">
        <f>民間住宅1!T50+民間設備投資計!T50+民間在庫品増加!K120+公的投資!T50</f>
        <v>140177</v>
      </c>
      <c r="U50" s="75">
        <f>民間住宅1!U50+民間設備投資計!U50+民間在庫品増加!L120+公的投資!U50</f>
        <v>140812</v>
      </c>
      <c r="V50" s="75">
        <f>民間住宅1!V50+民間設備投資計!V50+民間在庫品増加!M120+公的投資!V50</f>
        <v>138018</v>
      </c>
      <c r="W50" s="75">
        <f>民間住宅1!W50+民間設備投資計!W50+民間在庫品増加!N120+公的投資!W50</f>
        <v>137401</v>
      </c>
      <c r="X50" s="75">
        <f>民間住宅1!X50+民間設備投資計!X50+民間在庫品増加!O120+公的投資!X50</f>
        <v>144887</v>
      </c>
    </row>
    <row r="51" spans="1:24">
      <c r="A51" s="89">
        <v>229</v>
      </c>
      <c r="B51" s="90" t="s">
        <v>235</v>
      </c>
      <c r="C51" s="75">
        <f>民間住宅1!C51+民間設備投資計!C51+民間在庫品増加!C51+公的投資!C51</f>
        <v>84258</v>
      </c>
      <c r="D51" s="75">
        <f>民間住宅1!D51+民間設備投資計!D51+民間在庫品増加!D51+公的投資!D51</f>
        <v>91286</v>
      </c>
      <c r="E51" s="75">
        <f>民間住宅1!E51+民間設備投資計!E51+民間在庫品増加!E51+公的投資!E51</f>
        <v>81387</v>
      </c>
      <c r="F51" s="75">
        <f>民間住宅1!F51+民間設備投資計!F51+民間在庫品増加!F51+公的投資!F51</f>
        <v>61715</v>
      </c>
      <c r="G51" s="75">
        <f>民間住宅1!G51+民間設備投資計!G51+民間在庫品増加!G51+公的投資!G51</f>
        <v>67889</v>
      </c>
      <c r="H51" s="75">
        <f>民間住宅1!H51+民間設備投資計!H51+民間在庫品増加!H51+公的投資!H51</f>
        <v>76216</v>
      </c>
      <c r="I51" s="75">
        <f>民間住宅1!I51+民間設備投資計!I51+民間在庫品増加!I51+公的投資!I51</f>
        <v>71219</v>
      </c>
      <c r="J51" s="75">
        <f>民間住宅1!J51+民間設備投資計!J51+民間在庫品増加!J51+公的投資!J51</f>
        <v>64890</v>
      </c>
      <c r="K51" s="75">
        <f>民間住宅1!K51+民間設備投資計!K51+民間在庫品増加!K51+公的投資!K51</f>
        <v>60636</v>
      </c>
      <c r="L51" s="75">
        <f>民間住宅1!L51+民間設備投資計!L51+民間在庫品増加!L51+公的投資!L51</f>
        <v>80334</v>
      </c>
      <c r="M51" s="75">
        <f>民間住宅1!M51+民間設備投資計!M51+民間在庫品増加!M51+公的投資!M51</f>
        <v>79933</v>
      </c>
      <c r="N51" s="75">
        <f>民間住宅1!N51+民間設備投資計!N51+民間在庫品増加!N51+公的投資!N51</f>
        <v>68215</v>
      </c>
      <c r="O51" s="75">
        <f>民間住宅1!O51+民間設備投資計!O51+民間在庫品増加!F121+公的投資!O51</f>
        <v>300973</v>
      </c>
      <c r="P51" s="75">
        <f>民間住宅1!P51+民間設備投資計!P51+民間在庫品増加!G121+公的投資!P51</f>
        <v>302008</v>
      </c>
      <c r="Q51" s="75">
        <f>民間住宅1!Q51+民間設備投資計!Q51+民間在庫品増加!H121+公的投資!Q51</f>
        <v>313136</v>
      </c>
      <c r="R51" s="75">
        <f>民間住宅1!R51+民間設備投資計!R51+民間在庫品増加!I121+公的投資!R51</f>
        <v>316601</v>
      </c>
      <c r="S51" s="75">
        <f>民間住宅1!S51+民間設備投資計!S51+民間在庫品増加!J121+公的投資!S51</f>
        <v>307903</v>
      </c>
      <c r="T51" s="75">
        <f>民間住宅1!T51+民間設備投資計!T51+民間在庫品増加!K121+公的投資!T51</f>
        <v>310291</v>
      </c>
      <c r="U51" s="75">
        <f>民間住宅1!U51+民間設備投資計!U51+民間在庫品増加!L121+公的投資!U51</f>
        <v>309886</v>
      </c>
      <c r="V51" s="75">
        <f>民間住宅1!V51+民間設備投資計!V51+民間在庫品増加!M121+公的投資!V51</f>
        <v>330559</v>
      </c>
      <c r="W51" s="75">
        <f>民間住宅1!W51+民間設備投資計!W51+民間在庫品増加!N121+公的投資!W51</f>
        <v>315533</v>
      </c>
      <c r="X51" s="75">
        <f>民間住宅1!X51+民間設備投資計!X51+民間在庫品増加!O121+公的投資!X51</f>
        <v>329649</v>
      </c>
    </row>
    <row r="52" spans="1:24">
      <c r="A52" s="89">
        <v>464</v>
      </c>
      <c r="B52" s="90" t="s">
        <v>208</v>
      </c>
      <c r="C52" s="75">
        <f>民間住宅1!C52+民間設備投資計!C52+民間在庫品増加!C52+公的投資!C52</f>
        <v>81672</v>
      </c>
      <c r="D52" s="75">
        <f>民間住宅1!D52+民間設備投資計!D52+民間在庫品増加!D52+公的投資!D52</f>
        <v>37257</v>
      </c>
      <c r="E52" s="75">
        <f>民間住宅1!E52+民間設備投資計!E52+民間在庫品増加!E52+公的投資!E52</f>
        <v>33030</v>
      </c>
      <c r="F52" s="75">
        <f>民間住宅1!F52+民間設備投資計!F52+民間在庫品増加!F52+公的投資!F52</f>
        <v>22017</v>
      </c>
      <c r="G52" s="75">
        <f>民間住宅1!G52+民間設備投資計!G52+民間在庫品増加!G52+公的投資!G52</f>
        <v>22388</v>
      </c>
      <c r="H52" s="75">
        <f>民間住宅1!H52+民間設備投資計!H52+民間在庫品増加!H52+公的投資!H52</f>
        <v>25210</v>
      </c>
      <c r="I52" s="75">
        <f>民間住宅1!I52+民間設備投資計!I52+民間在庫品増加!I52+公的投資!I52</f>
        <v>30748</v>
      </c>
      <c r="J52" s="75">
        <f>民間住宅1!J52+民間設備投資計!J52+民間在庫品増加!J52+公的投資!J52</f>
        <v>24891</v>
      </c>
      <c r="K52" s="75">
        <f>民間住宅1!K52+民間設備投資計!K52+民間在庫品増加!K52+公的投資!K52</f>
        <v>20407</v>
      </c>
      <c r="L52" s="75">
        <f>民間住宅1!L52+民間設備投資計!L52+民間在庫品増加!L52+公的投資!L52</f>
        <v>32530</v>
      </c>
      <c r="M52" s="75">
        <f>民間住宅1!M52+民間設備投資計!M52+民間在庫品増加!M52+公的投資!M52</f>
        <v>25957</v>
      </c>
      <c r="N52" s="75">
        <f>民間住宅1!N52+民間設備投資計!N52+民間在庫品増加!N52+公的投資!N52</f>
        <v>26996</v>
      </c>
      <c r="O52" s="75">
        <f>民間住宅1!O52+民間設備投資計!O52+民間在庫品増加!F122+公的投資!O52</f>
        <v>118046</v>
      </c>
      <c r="P52" s="75">
        <f>民間住宅1!P52+民間設備投資計!P52+民間在庫品増加!G122+公的投資!P52</f>
        <v>119508</v>
      </c>
      <c r="Q52" s="75">
        <f>民間住宅1!Q52+民間設備投資計!Q52+民間在庫品増加!H122+公的投資!Q52</f>
        <v>122803</v>
      </c>
      <c r="R52" s="75">
        <f>民間住宅1!R52+民間設備投資計!R52+民間在庫品増加!I122+公的投資!R52</f>
        <v>125717</v>
      </c>
      <c r="S52" s="75">
        <f>民間住宅1!S52+民間設備投資計!S52+民間在庫品増加!J122+公的投資!S52</f>
        <v>125122</v>
      </c>
      <c r="T52" s="75">
        <f>民間住宅1!T52+民間設備投資計!T52+民間在庫品増加!K122+公的投資!T52</f>
        <v>122754</v>
      </c>
      <c r="U52" s="75">
        <f>民間住宅1!U52+民間設備投資計!U52+民間在庫品増加!L122+公的投資!U52</f>
        <v>137275</v>
      </c>
      <c r="V52" s="75">
        <f>民間住宅1!V52+民間設備投資計!V52+民間在庫品増加!M122+公的投資!V52</f>
        <v>130747</v>
      </c>
      <c r="W52" s="75">
        <f>民間住宅1!W52+民間設備投資計!W52+民間在庫品増加!N122+公的投資!W52</f>
        <v>134050</v>
      </c>
      <c r="X52" s="75">
        <f>民間住宅1!X52+民間設備投資計!X52+民間在庫品増加!O122+公的投資!X52</f>
        <v>139743</v>
      </c>
    </row>
    <row r="53" spans="1:24">
      <c r="A53" s="89">
        <v>481</v>
      </c>
      <c r="B53" s="90" t="s">
        <v>209</v>
      </c>
      <c r="C53" s="75">
        <f>民間住宅1!C53+民間設備投資計!C53+民間在庫品増加!C53+公的投資!C53</f>
        <v>13681</v>
      </c>
      <c r="D53" s="75">
        <f>民間住宅1!D53+民間設備投資計!D53+民間在庫品増加!D53+公的投資!D53</f>
        <v>14278</v>
      </c>
      <c r="E53" s="75">
        <f>民間住宅1!E53+民間設備投資計!E53+民間在庫品増加!E53+公的投資!E53</f>
        <v>12090</v>
      </c>
      <c r="F53" s="75">
        <f>民間住宅1!F53+民間設備投資計!F53+民間在庫品増加!F53+公的投資!F53</f>
        <v>10020</v>
      </c>
      <c r="G53" s="75">
        <f>民間住宅1!G53+民間設備投資計!G53+民間在庫品増加!G53+公的投資!G53</f>
        <v>9980</v>
      </c>
      <c r="H53" s="75">
        <f>民間住宅1!H53+民間設備投資計!H53+民間在庫品増加!H53+公的投資!H53</f>
        <v>9315</v>
      </c>
      <c r="I53" s="75">
        <f>民間住宅1!I53+民間設備投資計!I53+民間在庫品増加!I53+公的投資!I53</f>
        <v>12851</v>
      </c>
      <c r="J53" s="75">
        <f>民間住宅1!J53+民間設備投資計!J53+民間在庫品増加!J53+公的投資!J53</f>
        <v>11798</v>
      </c>
      <c r="K53" s="75">
        <f>民間住宅1!K53+民間設備投資計!K53+民間在庫品増加!K53+公的投資!K53</f>
        <v>10675</v>
      </c>
      <c r="L53" s="75">
        <f>民間住宅1!L53+民間設備投資計!L53+民間在庫品増加!L53+公的投資!L53</f>
        <v>11115</v>
      </c>
      <c r="M53" s="75">
        <f>民間住宅1!M53+民間設備投資計!M53+民間在庫品増加!M53+公的投資!M53</f>
        <v>9492</v>
      </c>
      <c r="N53" s="75">
        <f>民間住宅1!N53+民間設備投資計!N53+民間在庫品増加!N53+公的投資!N53</f>
        <v>13365</v>
      </c>
      <c r="O53" s="75">
        <f>民間住宅1!O53+民間設備投資計!O53+民間在庫品増加!F123+公的投資!O53</f>
        <v>58362</v>
      </c>
      <c r="P53" s="75">
        <f>民間住宅1!P53+民間設備投資計!P53+民間在庫品増加!G123+公的投資!P53</f>
        <v>59311</v>
      </c>
      <c r="Q53" s="75">
        <f>民間住宅1!Q53+民間設備投資計!Q53+民間在庫品増加!H123+公的投資!Q53</f>
        <v>60055</v>
      </c>
      <c r="R53" s="75">
        <f>民間住宅1!R53+民間設備投資計!R53+民間在庫品増加!I123+公的投資!R53</f>
        <v>61170</v>
      </c>
      <c r="S53" s="75">
        <f>民間住宅1!S53+民間設備投資計!S53+民間在庫品増加!J123+公的投資!S53</f>
        <v>61716</v>
      </c>
      <c r="T53" s="75">
        <f>民間住宅1!T53+民間設備投資計!T53+民間在庫品増加!K123+公的投資!T53</f>
        <v>61472</v>
      </c>
      <c r="U53" s="75">
        <f>民間住宅1!U53+民間設備投資計!U53+民間在庫品増加!L123+公的投資!U53</f>
        <v>67095</v>
      </c>
      <c r="V53" s="75">
        <f>民間住宅1!V53+民間設備投資計!V53+民間在庫品増加!M123+公的投資!V53</f>
        <v>61641</v>
      </c>
      <c r="W53" s="75">
        <f>民間住宅1!W53+民間設備投資計!W53+民間在庫品増加!N123+公的投資!W53</f>
        <v>65282</v>
      </c>
      <c r="X53" s="75">
        <f>民間住宅1!X53+民間設備投資計!X53+民間在庫品増加!O123+公的投資!X53</f>
        <v>64940</v>
      </c>
    </row>
    <row r="54" spans="1:24">
      <c r="A54" s="89">
        <v>501</v>
      </c>
      <c r="B54" s="90" t="s">
        <v>236</v>
      </c>
      <c r="C54" s="75">
        <f>民間住宅1!C54+民間設備投資計!C54+民間在庫品増加!C54+公的投資!C54</f>
        <v>13993</v>
      </c>
      <c r="D54" s="75">
        <f>民間住宅1!D54+民間設備投資計!D54+民間在庫品増加!D54+公的投資!D54</f>
        <v>11921</v>
      </c>
      <c r="E54" s="75">
        <f>民間住宅1!E54+民間設備投資計!E54+民間在庫品増加!E54+公的投資!E54</f>
        <v>11654</v>
      </c>
      <c r="F54" s="75">
        <f>民間住宅1!F54+民間設備投資計!F54+民間在庫品増加!F54+公的投資!F54</f>
        <v>18440</v>
      </c>
      <c r="G54" s="75">
        <f>民間住宅1!G54+民間設備投資計!G54+民間在庫品増加!G54+公的投資!G54</f>
        <v>20145</v>
      </c>
      <c r="H54" s="75">
        <f>民間住宅1!H54+民間設備投資計!H54+民間在庫品増加!H54+公的投資!H54</f>
        <v>17261</v>
      </c>
      <c r="I54" s="75">
        <f>民間住宅1!I54+民間設備投資計!I54+民間在庫品増加!I54+公的投資!I54</f>
        <v>16018</v>
      </c>
      <c r="J54" s="75">
        <f>民間住宅1!J54+民間設備投資計!J54+民間在庫品増加!J54+公的投資!J54</f>
        <v>15616</v>
      </c>
      <c r="K54" s="75">
        <f>民間住宅1!K54+民間設備投資計!K54+民間在庫品増加!K54+公的投資!K54</f>
        <v>15059</v>
      </c>
      <c r="L54" s="75">
        <f>民間住宅1!L54+民間設備投資計!L54+民間在庫品増加!L54+公的投資!L54</f>
        <v>14424</v>
      </c>
      <c r="M54" s="75">
        <f>民間住宅1!M54+民間設備投資計!M54+民間在庫品増加!M54+公的投資!M54</f>
        <v>14059</v>
      </c>
      <c r="N54" s="75">
        <f>民間住宅1!N54+民間設備投資計!N54+民間在庫品増加!N54+公的投資!N54</f>
        <v>12377</v>
      </c>
      <c r="O54" s="75">
        <f>民間住宅1!O54+民間設備投資計!O54+民間在庫品増加!F124+公的投資!O54</f>
        <v>82004</v>
      </c>
      <c r="P54" s="75">
        <f>民間住宅1!P54+民間設備投資計!P54+民間在庫品増加!G124+公的投資!P54</f>
        <v>80249</v>
      </c>
      <c r="Q54" s="75">
        <f>民間住宅1!Q54+民間設備投資計!Q54+民間在庫品増加!H124+公的投資!Q54</f>
        <v>77481</v>
      </c>
      <c r="R54" s="75">
        <f>民間住宅1!R54+民間設備投資計!R54+民間在庫品増加!I124+公的投資!R54</f>
        <v>78157</v>
      </c>
      <c r="S54" s="75">
        <f>民間住宅1!S54+民間設備投資計!S54+民間在庫品増加!J124+公的投資!S54</f>
        <v>71541</v>
      </c>
      <c r="T54" s="75">
        <f>民間住宅1!T54+民間設備投資計!T54+民間在庫品増加!K124+公的投資!T54</f>
        <v>72815</v>
      </c>
      <c r="U54" s="75">
        <f>民間住宅1!U54+民間設備投資計!U54+民間在庫品増加!L124+公的投資!U54</f>
        <v>69862</v>
      </c>
      <c r="V54" s="75">
        <f>民間住宅1!V54+民間設備投資計!V54+民間在庫品増加!M124+公的投資!V54</f>
        <v>69007</v>
      </c>
      <c r="W54" s="75">
        <f>民間住宅1!W54+民間設備投資計!W54+民間在庫品増加!N124+公的投資!W54</f>
        <v>67163</v>
      </c>
      <c r="X54" s="75">
        <f>民間住宅1!X54+民間設備投資計!X54+民間在庫品増加!O124+公的投資!X54</f>
        <v>68946</v>
      </c>
    </row>
    <row r="55" spans="1:24">
      <c r="A55" s="89">
        <v>7</v>
      </c>
      <c r="B55" s="93" t="s">
        <v>210</v>
      </c>
      <c r="C55" s="75">
        <f>民間住宅1!C55+民間設備投資計!C55+民間在庫品増加!C55+公的投資!C55</f>
        <v>157731</v>
      </c>
      <c r="D55" s="75">
        <f>民間住宅1!D55+民間設備投資計!D55+民間在庫品増加!D55+公的投資!D55</f>
        <v>140813</v>
      </c>
      <c r="E55" s="75">
        <f>民間住宅1!E55+民間設備投資計!E55+民間在庫品増加!E55+公的投資!E55</f>
        <v>138915</v>
      </c>
      <c r="F55" s="75">
        <f>民間住宅1!F55+民間設備投資計!F55+民間在庫品増加!F55+公的投資!F55</f>
        <v>123751</v>
      </c>
      <c r="G55" s="75">
        <f>民間住宅1!G55+民間設備投資計!G55+民間在庫品増加!G55+公的投資!G55</f>
        <v>123830</v>
      </c>
      <c r="H55" s="75">
        <f>民間住宅1!H55+民間設備投資計!H55+民間在庫品増加!H55+公的投資!H55</f>
        <v>153104</v>
      </c>
      <c r="I55" s="75">
        <f>民間住宅1!I55+民間設備投資計!I55+民間在庫品増加!I55+公的投資!I55</f>
        <v>153029</v>
      </c>
      <c r="J55" s="75">
        <f>民間住宅1!J55+民間設備投資計!J55+民間在庫品増加!J55+公的投資!J55</f>
        <v>155411</v>
      </c>
      <c r="K55" s="75">
        <f>民間住宅1!K55+民間設備投資計!K55+民間在庫品増加!K55+公的投資!K55</f>
        <v>152173</v>
      </c>
      <c r="L55" s="75">
        <f>民間住宅1!L55+民間設備投資計!L55+民間在庫品増加!L55+公的投資!L55</f>
        <v>152582</v>
      </c>
      <c r="M55" s="75">
        <f>民間住宅1!M55+民間設備投資計!M55+民間在庫品増加!M55+公的投資!M55</f>
        <v>152504</v>
      </c>
      <c r="N55" s="75">
        <f>民間住宅1!N55+民間設備投資計!N55+民間在庫品増加!N55+公的投資!N55</f>
        <v>217556</v>
      </c>
      <c r="O55" s="75">
        <f>民間住宅1!O55+民間設備投資計!O55+民間在庫品増加!F125+公的投資!O55</f>
        <v>711971</v>
      </c>
      <c r="P55" s="75">
        <f>民間住宅1!P55+民間設備投資計!P55+民間在庫品増加!G125+公的投資!P55</f>
        <v>695781</v>
      </c>
      <c r="Q55" s="75">
        <f>民間住宅1!Q55+民間設備投資計!Q55+民間在庫品増加!H125+公的投資!Q55</f>
        <v>747417</v>
      </c>
      <c r="R55" s="75">
        <f>民間住宅1!R55+民間設備投資計!R55+民間在庫品増加!I125+公的投資!R55</f>
        <v>757013</v>
      </c>
      <c r="S55" s="75">
        <f>民間住宅1!S55+民間設備投資計!S55+民間在庫品増加!J125+公的投資!S55</f>
        <v>744473</v>
      </c>
      <c r="T55" s="75">
        <f>民間住宅1!T55+民間設備投資計!T55+民間在庫品増加!K125+公的投資!T55</f>
        <v>759170</v>
      </c>
      <c r="U55" s="75">
        <f>民間住宅1!U55+民間設備投資計!U55+民間在庫品増加!L125+公的投資!U55</f>
        <v>741565</v>
      </c>
      <c r="V55" s="75">
        <f>民間住宅1!V55+民間設備投資計!V55+民間在庫品増加!M125+公的投資!V55</f>
        <v>746252</v>
      </c>
      <c r="W55" s="75">
        <f>民間住宅1!W55+民間設備投資計!W55+民間在庫品増加!N125+公的投資!W55</f>
        <v>794563</v>
      </c>
      <c r="X55" s="75">
        <f>民間住宅1!X55+民間設備投資計!X55+民間在庫品増加!O125+公的投資!X55</f>
        <v>737448</v>
      </c>
    </row>
    <row r="56" spans="1:24">
      <c r="A56" s="89">
        <v>209</v>
      </c>
      <c r="B56" s="90" t="s">
        <v>221</v>
      </c>
      <c r="C56" s="75">
        <f>民間住宅1!C56+民間設備投資計!C56+民間在庫品増加!C56+公的投資!C56</f>
        <v>76344</v>
      </c>
      <c r="D56" s="75">
        <f>民間住宅1!D56+民間設備投資計!D56+民間在庫品増加!D56+公的投資!D56</f>
        <v>65680</v>
      </c>
      <c r="E56" s="75">
        <f>民間住宅1!E56+民間設備投資計!E56+民間在庫品増加!E56+公的投資!E56</f>
        <v>67227</v>
      </c>
      <c r="F56" s="75">
        <f>民間住宅1!F56+民間設備投資計!F56+民間在庫品増加!F56+公的投資!F56</f>
        <v>57390</v>
      </c>
      <c r="G56" s="75">
        <f>民間住宅1!G56+民間設備投資計!G56+民間在庫品増加!G56+公的投資!G56</f>
        <v>51701</v>
      </c>
      <c r="H56" s="75">
        <f>民間住宅1!H56+民間設備投資計!H56+民間在庫品増加!H56+公的投資!H56</f>
        <v>80336</v>
      </c>
      <c r="I56" s="75">
        <f>民間住宅1!I56+民間設備投資計!I56+民間在庫品増加!I56+公的投資!I56</f>
        <v>80255</v>
      </c>
      <c r="J56" s="75">
        <f>民間住宅1!J56+民間設備投資計!J56+民間在庫品増加!J56+公的投資!J56</f>
        <v>74913</v>
      </c>
      <c r="K56" s="75">
        <f>民間住宅1!K56+民間設備投資計!K56+民間在庫品増加!K56+公的投資!K56</f>
        <v>61822</v>
      </c>
      <c r="L56" s="75">
        <f>民間住宅1!L56+民間設備投資計!L56+民間在庫品増加!L56+公的投資!L56</f>
        <v>64834</v>
      </c>
      <c r="M56" s="75">
        <f>民間住宅1!M56+民間設備投資計!M56+民間在庫品増加!M56+公的投資!M56</f>
        <v>66664</v>
      </c>
      <c r="N56" s="75">
        <f>民間住宅1!N56+民間設備投資計!N56+民間在庫品増加!N56+公的投資!N56</f>
        <v>64897</v>
      </c>
      <c r="O56" s="75">
        <f>民間住宅1!O56+民間設備投資計!O56+民間在庫品増加!F126+公的投資!O56</f>
        <v>328077</v>
      </c>
      <c r="P56" s="75">
        <f>民間住宅1!P56+民間設備投資計!P56+民間在庫品増加!G126+公的投資!P56</f>
        <v>314259</v>
      </c>
      <c r="Q56" s="75">
        <f>民間住宅1!Q56+民間設備投資計!Q56+民間在庫品増加!H126+公的投資!Q56</f>
        <v>338732</v>
      </c>
      <c r="R56" s="75">
        <f>民間住宅1!R56+民間設備投資計!R56+民間在庫品増加!I126+公的投資!R56</f>
        <v>360902</v>
      </c>
      <c r="S56" s="75">
        <f>民間住宅1!S56+民間設備投資計!S56+民間在庫品増加!J126+公的投資!S56</f>
        <v>343419</v>
      </c>
      <c r="T56" s="75">
        <f>民間住宅1!T56+民間設備投資計!T56+民間在庫品増加!K126+公的投資!T56</f>
        <v>338602</v>
      </c>
      <c r="U56" s="75">
        <f>民間住宅1!U56+民間設備投資計!U56+民間在庫品増加!L126+公的投資!U56</f>
        <v>331454</v>
      </c>
      <c r="V56" s="75">
        <f>民間住宅1!V56+民間設備投資計!V56+民間在庫品増加!M126+公的投資!V56</f>
        <v>342021</v>
      </c>
      <c r="W56" s="75">
        <f>民間住宅1!W56+民間設備投資計!W56+民間在庫品増加!N126+公的投資!W56</f>
        <v>332172</v>
      </c>
      <c r="X56" s="75">
        <f>民間住宅1!X56+民間設備投資計!X56+民間在庫品増加!O126+公的投資!X56</f>
        <v>336848</v>
      </c>
    </row>
    <row r="57" spans="1:24">
      <c r="A57" s="89">
        <v>222</v>
      </c>
      <c r="B57" s="90" t="s">
        <v>218</v>
      </c>
      <c r="C57" s="75">
        <f>民間住宅1!C57+民間設備投資計!C57+民間在庫品増加!C57+公的投資!C57</f>
        <v>21794</v>
      </c>
      <c r="D57" s="75">
        <f>民間住宅1!D57+民間設備投資計!D57+民間在庫品増加!D57+公的投資!D57</f>
        <v>21766</v>
      </c>
      <c r="E57" s="75">
        <f>民間住宅1!E57+民間設備投資計!E57+民間在庫品増加!E57+公的投資!E57</f>
        <v>20582</v>
      </c>
      <c r="F57" s="75">
        <f>民間住宅1!F57+民間設備投資計!F57+民間在庫品増加!F57+公的投資!F57</f>
        <v>20588</v>
      </c>
      <c r="G57" s="75">
        <f>民間住宅1!G57+民間設備投資計!G57+民間在庫品増加!G57+公的投資!G57</f>
        <v>20540</v>
      </c>
      <c r="H57" s="75">
        <f>民間住宅1!H57+民間設備投資計!H57+民間在庫品増加!H57+公的投資!H57</f>
        <v>20671</v>
      </c>
      <c r="I57" s="75">
        <f>民間住宅1!I57+民間設備投資計!I57+民間在庫品増加!I57+公的投資!I57</f>
        <v>18602</v>
      </c>
      <c r="J57" s="75">
        <f>民間住宅1!J57+民間設備投資計!J57+民間在庫品増加!J57+公的投資!J57</f>
        <v>17312</v>
      </c>
      <c r="K57" s="75">
        <f>民間住宅1!K57+民間設備投資計!K57+民間在庫品増加!K57+公的投資!K57</f>
        <v>25415</v>
      </c>
      <c r="L57" s="75">
        <f>民間住宅1!L57+民間設備投資計!L57+民間在庫品増加!L57+公的投資!L57</f>
        <v>25198</v>
      </c>
      <c r="M57" s="75">
        <f>民間住宅1!M57+民間設備投資計!M57+民間在庫品増加!M57+公的投資!M57</f>
        <v>22636</v>
      </c>
      <c r="N57" s="75">
        <f>民間住宅1!N57+民間設備投資計!N57+民間在庫品増加!N57+公的投資!N57</f>
        <v>20274</v>
      </c>
      <c r="O57" s="75">
        <f>民間住宅1!O57+民間設備投資計!O57+民間在庫品増加!F127+公的投資!O57</f>
        <v>109122</v>
      </c>
      <c r="P57" s="75">
        <f>民間住宅1!P57+民間設備投資計!P57+民間在庫品増加!G127+公的投資!P57</f>
        <v>103835</v>
      </c>
      <c r="Q57" s="75">
        <f>民間住宅1!Q57+民間設備投資計!Q57+民間在庫品増加!H127+公的投資!Q57</f>
        <v>110978</v>
      </c>
      <c r="R57" s="75">
        <f>民間住宅1!R57+民間設備投資計!R57+民間在庫品増加!I127+公的投資!R57</f>
        <v>107660</v>
      </c>
      <c r="S57" s="75">
        <f>民間住宅1!S57+民間設備投資計!S57+民間在庫品増加!J127+公的投資!S57</f>
        <v>102498</v>
      </c>
      <c r="T57" s="75">
        <f>民間住宅1!T57+民間設備投資計!T57+民間在庫品増加!K127+公的投資!T57</f>
        <v>112172</v>
      </c>
      <c r="U57" s="75">
        <f>民間住宅1!U57+民間設備投資計!U57+民間在庫品増加!L127+公的投資!U57</f>
        <v>106833</v>
      </c>
      <c r="V57" s="75">
        <f>民間住宅1!V57+民間設備投資計!V57+民間在庫品増加!M127+公的投資!V57</f>
        <v>105138</v>
      </c>
      <c r="W57" s="75">
        <f>民間住宅1!W57+民間設備投資計!W57+民間在庫品増加!N127+公的投資!W57</f>
        <v>102366</v>
      </c>
      <c r="X57" s="75">
        <f>民間住宅1!X57+民間設備投資計!X57+民間在庫品増加!O127+公的投資!X57</f>
        <v>104712</v>
      </c>
    </row>
    <row r="58" spans="1:24">
      <c r="A58" s="89">
        <v>225</v>
      </c>
      <c r="B58" s="90" t="s">
        <v>222</v>
      </c>
      <c r="C58" s="75">
        <f>民間住宅1!C58+民間設備投資計!C58+民間在庫品増加!C58+公的投資!C58</f>
        <v>36889</v>
      </c>
      <c r="D58" s="75">
        <f>民間住宅1!D58+民間設備投資計!D58+民間在庫品増加!D58+公的投資!D58</f>
        <v>30734</v>
      </c>
      <c r="E58" s="75">
        <f>民間住宅1!E58+民間設備投資計!E58+民間在庫品増加!E58+公的投資!E58</f>
        <v>28982</v>
      </c>
      <c r="F58" s="75">
        <f>民間住宅1!F58+民間設備投資計!F58+民間在庫品増加!F58+公的投資!F58</f>
        <v>24064</v>
      </c>
      <c r="G58" s="75">
        <f>民間住宅1!G58+民間設備投資計!G58+民間在庫品増加!G58+公的投資!G58</f>
        <v>31320</v>
      </c>
      <c r="H58" s="75">
        <f>民間住宅1!H58+民間設備投資計!H58+民間在庫品増加!H58+公的投資!H58</f>
        <v>30193</v>
      </c>
      <c r="I58" s="75">
        <f>民間住宅1!I58+民間設備投資計!I58+民間在庫品増加!I58+公的投資!I58</f>
        <v>29419</v>
      </c>
      <c r="J58" s="75">
        <f>民間住宅1!J58+民間設備投資計!J58+民間在庫品増加!J58+公的投資!J58</f>
        <v>35132</v>
      </c>
      <c r="K58" s="75">
        <f>民間住宅1!K58+民間設備投資計!K58+民間在庫品増加!K58+公的投資!K58</f>
        <v>38606</v>
      </c>
      <c r="L58" s="75">
        <f>民間住宅1!L58+民間設備投資計!L58+民間在庫品増加!L58+公的投資!L58</f>
        <v>38649</v>
      </c>
      <c r="M58" s="75">
        <f>民間住宅1!M58+民間設備投資計!M58+民間在庫品増加!M58+公的投資!M58</f>
        <v>40451</v>
      </c>
      <c r="N58" s="75">
        <f>民間住宅1!N58+民間設備投資計!N58+民間在庫品増加!N58+公的投資!N58</f>
        <v>104322</v>
      </c>
      <c r="O58" s="75">
        <f>民間住宅1!O58+民間設備投資計!O58+民間在庫品増加!F128+公的投資!O58</f>
        <v>139419</v>
      </c>
      <c r="P58" s="75">
        <f>民間住宅1!P58+民間設備投資計!P58+民間在庫品増加!G128+公的投資!P58</f>
        <v>145266</v>
      </c>
      <c r="Q58" s="75">
        <f>民間住宅1!Q58+民間設備投資計!Q58+民間在庫品増加!H128+公的投資!Q58</f>
        <v>162261</v>
      </c>
      <c r="R58" s="75">
        <f>民間住宅1!R58+民間設備投資計!R58+民間在庫品増加!I128+公的投資!R58</f>
        <v>151859</v>
      </c>
      <c r="S58" s="75">
        <f>民間住宅1!S58+民間設備投資計!S58+民間在庫品増加!J128+公的投資!S58</f>
        <v>159202</v>
      </c>
      <c r="T58" s="75">
        <f>民間住宅1!T58+民間設備投資計!T58+民間在庫品増加!K128+公的投資!T58</f>
        <v>167025</v>
      </c>
      <c r="U58" s="75">
        <f>民間住宅1!U58+民間設備投資計!U58+民間在庫品増加!L128+公的投資!U58</f>
        <v>172147</v>
      </c>
      <c r="V58" s="75">
        <f>民間住宅1!V58+民間設備投資計!V58+民間在庫品増加!M128+公的投資!V58</f>
        <v>167742</v>
      </c>
      <c r="W58" s="75">
        <f>民間住宅1!W58+民間設備投資計!W58+民間在庫品増加!N128+公的投資!W58</f>
        <v>224429</v>
      </c>
      <c r="X58" s="75">
        <f>民間住宅1!X58+民間設備投資計!X58+民間在庫品増加!O128+公的投資!X58</f>
        <v>161286</v>
      </c>
    </row>
    <row r="59" spans="1:24">
      <c r="A59" s="89">
        <v>585</v>
      </c>
      <c r="B59" s="90" t="s">
        <v>220</v>
      </c>
      <c r="C59" s="75">
        <f>民間住宅1!C59+民間設備投資計!C59+民間在庫品増加!C59+公的投資!C59</f>
        <v>12187</v>
      </c>
      <c r="D59" s="75">
        <f>民間住宅1!D59+民間設備投資計!D59+民間在庫品増加!D59+公的投資!D59</f>
        <v>12579</v>
      </c>
      <c r="E59" s="75">
        <f>民間住宅1!E59+民間設備投資計!E59+民間在庫品増加!E59+公的投資!E59</f>
        <v>12688</v>
      </c>
      <c r="F59" s="75">
        <f>民間住宅1!F59+民間設備投資計!F59+民間在庫品増加!F59+公的投資!F59</f>
        <v>11018</v>
      </c>
      <c r="G59" s="75">
        <f>民間住宅1!G59+民間設備投資計!G59+民間在庫品増加!G59+公的投資!G59</f>
        <v>10530</v>
      </c>
      <c r="H59" s="75">
        <f>民間住宅1!H59+民間設備投資計!H59+民間在庫品増加!H59+公的投資!H59</f>
        <v>11968</v>
      </c>
      <c r="I59" s="75">
        <f>民間住宅1!I59+民間設備投資計!I59+民間在庫品増加!I59+公的投資!I59</f>
        <v>14712</v>
      </c>
      <c r="J59" s="75">
        <f>民間住宅1!J59+民間設備投資計!J59+民間在庫品増加!J59+公的投資!J59</f>
        <v>15493</v>
      </c>
      <c r="K59" s="75">
        <f>民間住宅1!K59+民間設備投資計!K59+民間在庫品増加!K59+公的投資!K59</f>
        <v>15954</v>
      </c>
      <c r="L59" s="75">
        <f>民間住宅1!L59+民間設備投資計!L59+民間在庫品増加!L59+公的投資!L59</f>
        <v>13743</v>
      </c>
      <c r="M59" s="75">
        <f>民間住宅1!M59+民間設備投資計!M59+民間在庫品増加!M59+公的投資!M59</f>
        <v>13063</v>
      </c>
      <c r="N59" s="75">
        <f>民間住宅1!N59+民間設備投資計!N59+民間在庫品増加!N59+公的投資!N59</f>
        <v>16295</v>
      </c>
      <c r="O59" s="75">
        <f>民間住宅1!O59+民間設備投資計!O59+民間在庫品増加!F129+公的投資!O59</f>
        <v>74976</v>
      </c>
      <c r="P59" s="75">
        <f>民間住宅1!P59+民間設備投資計!P59+民間在庫品増加!G129+公的投資!P59</f>
        <v>70514</v>
      </c>
      <c r="Q59" s="75">
        <f>民間住宅1!Q59+民間設備投資計!Q59+民間在庫品増加!H129+公的投資!Q59</f>
        <v>73291</v>
      </c>
      <c r="R59" s="75">
        <f>民間住宅1!R59+民間設備投資計!R59+民間在庫品増加!I129+公的投資!R59</f>
        <v>76034</v>
      </c>
      <c r="S59" s="75">
        <f>民間住宅1!S59+民間設備投資計!S59+民間在庫品増加!J129+公的投資!S59</f>
        <v>75811</v>
      </c>
      <c r="T59" s="75">
        <f>民間住宅1!T59+民間設備投資計!T59+民間在庫品増加!K129+公的投資!T59</f>
        <v>76676</v>
      </c>
      <c r="U59" s="75">
        <f>民間住宅1!U59+民間設備投資計!U59+民間在庫品増加!L129+公的投資!U59</f>
        <v>71860</v>
      </c>
      <c r="V59" s="75">
        <f>民間住宅1!V59+民間設備投資計!V59+民間在庫品増加!M129+公的投資!V59</f>
        <v>71796</v>
      </c>
      <c r="W59" s="75">
        <f>民間住宅1!W59+民間設備投資計!W59+民間在庫品増加!N129+公的投資!W59</f>
        <v>74457</v>
      </c>
      <c r="X59" s="75">
        <f>民間住宅1!X59+民間設備投資計!X59+民間在庫品増加!O129+公的投資!X59</f>
        <v>75279</v>
      </c>
    </row>
    <row r="60" spans="1:24">
      <c r="A60" s="89">
        <v>586</v>
      </c>
      <c r="B60" s="90" t="s">
        <v>237</v>
      </c>
      <c r="C60" s="75">
        <f>民間住宅1!C60+民間設備投資計!C60+民間在庫品増加!C60+公的投資!C60</f>
        <v>10517</v>
      </c>
      <c r="D60" s="75">
        <f>民間住宅1!D60+民間設備投資計!D60+民間在庫品増加!D60+公的投資!D60</f>
        <v>10054</v>
      </c>
      <c r="E60" s="75">
        <f>民間住宅1!E60+民間設備投資計!E60+民間在庫品増加!E60+公的投資!E60</f>
        <v>9436</v>
      </c>
      <c r="F60" s="75">
        <f>民間住宅1!F60+民間設備投資計!F60+民間在庫品増加!F60+公的投資!F60</f>
        <v>10691</v>
      </c>
      <c r="G60" s="75">
        <f>民間住宅1!G60+民間設備投資計!G60+民間在庫品増加!G60+公的投資!G60</f>
        <v>9739</v>
      </c>
      <c r="H60" s="75">
        <f>民間住宅1!H60+民間設備投資計!H60+民間在庫品増加!H60+公的投資!H60</f>
        <v>9936</v>
      </c>
      <c r="I60" s="75">
        <f>民間住宅1!I60+民間設備投資計!I60+民間在庫品増加!I60+公的投資!I60</f>
        <v>10041</v>
      </c>
      <c r="J60" s="75">
        <f>民間住宅1!J60+民間設備投資計!J60+民間在庫品増加!J60+公的投資!J60</f>
        <v>12561</v>
      </c>
      <c r="K60" s="75">
        <f>民間住宅1!K60+民間設備投資計!K60+民間在庫品増加!K60+公的投資!K60</f>
        <v>10376</v>
      </c>
      <c r="L60" s="75">
        <f>民間住宅1!L60+民間設備投資計!L60+民間在庫品増加!L60+公的投資!L60</f>
        <v>10158</v>
      </c>
      <c r="M60" s="75">
        <f>民間住宅1!M60+民間設備投資計!M60+民間在庫品増加!M60+公的投資!M60</f>
        <v>9690</v>
      </c>
      <c r="N60" s="75">
        <f>民間住宅1!N60+民間設備投資計!N60+民間在庫品増加!N60+公的投資!N60</f>
        <v>11768</v>
      </c>
      <c r="O60" s="75">
        <f>民間住宅1!O60+民間設備投資計!O60+民間在庫品増加!F130+公的投資!O60</f>
        <v>60377</v>
      </c>
      <c r="P60" s="75">
        <f>民間住宅1!P60+民間設備投資計!P60+民間在庫品増加!G130+公的投資!P60</f>
        <v>61907</v>
      </c>
      <c r="Q60" s="75">
        <f>民間住宅1!Q60+民間設備投資計!Q60+民間在庫品増加!H130+公的投資!Q60</f>
        <v>62155</v>
      </c>
      <c r="R60" s="75">
        <f>民間住宅1!R60+民間設備投資計!R60+民間在庫品増加!I130+公的投資!R60</f>
        <v>60558</v>
      </c>
      <c r="S60" s="75">
        <f>民間住宅1!S60+民間設備投資計!S60+民間在庫品増加!J130+公的投資!S60</f>
        <v>63543</v>
      </c>
      <c r="T60" s="75">
        <f>民間住宅1!T60+民間設備投資計!T60+民間在庫品増加!K130+公的投資!T60</f>
        <v>64695</v>
      </c>
      <c r="U60" s="75">
        <f>民間住宅1!U60+民間設備投資計!U60+民間在庫品増加!L130+公的投資!U60</f>
        <v>59271</v>
      </c>
      <c r="V60" s="75">
        <f>民間住宅1!V60+民間設備投資計!V60+民間在庫品増加!M130+公的投資!V60</f>
        <v>59555</v>
      </c>
      <c r="W60" s="75">
        <f>民間住宅1!W60+民間設備投資計!W60+民間在庫品増加!N130+公的投資!W60</f>
        <v>61139</v>
      </c>
      <c r="X60" s="75">
        <f>民間住宅1!X60+民間設備投資計!X60+民間在庫品増加!O130+公的投資!X60</f>
        <v>59323</v>
      </c>
    </row>
    <row r="61" spans="1:24">
      <c r="A61" s="92">
        <v>8</v>
      </c>
      <c r="B61" s="86" t="s">
        <v>211</v>
      </c>
      <c r="C61" s="75">
        <f>民間住宅1!C61+民間設備投資計!C61+民間在庫品増加!C61+公的投資!C61</f>
        <v>87614</v>
      </c>
      <c r="D61" s="75">
        <f>民間住宅1!D61+民間設備投資計!D61+民間在庫品増加!D61+公的投資!D61</f>
        <v>89920</v>
      </c>
      <c r="E61" s="75">
        <f>民間住宅1!E61+民間設備投資計!E61+民間在庫品増加!E61+公的投資!E61</f>
        <v>86025</v>
      </c>
      <c r="F61" s="75">
        <f>民間住宅1!F61+民間設備投資計!F61+民間在庫品増加!F61+公的投資!F61</f>
        <v>66853</v>
      </c>
      <c r="G61" s="75">
        <f>民間住宅1!G61+民間設備投資計!G61+民間在庫品増加!G61+公的投資!G61</f>
        <v>75921</v>
      </c>
      <c r="H61" s="75">
        <f>民間住宅1!H61+民間設備投資計!H61+民間在庫品増加!H61+公的投資!H61</f>
        <v>73695</v>
      </c>
      <c r="I61" s="75">
        <f>民間住宅1!I61+民間設備投資計!I61+民間在庫品増加!I61+公的投資!I61</f>
        <v>74363</v>
      </c>
      <c r="J61" s="75">
        <f>民間住宅1!J61+民間設備投資計!J61+民間在庫品増加!J61+公的投資!J61</f>
        <v>86711</v>
      </c>
      <c r="K61" s="75">
        <f>民間住宅1!K61+民間設備投資計!K61+民間在庫品増加!K61+公的投資!K61</f>
        <v>127974</v>
      </c>
      <c r="L61" s="75">
        <f>民間住宅1!L61+民間設備投資計!L61+民間在庫品増加!L61+公的投資!L61</f>
        <v>130552</v>
      </c>
      <c r="M61" s="75">
        <f>民間住宅1!M61+民間設備投資計!M61+民間在庫品増加!M61+公的投資!M61</f>
        <v>94117</v>
      </c>
      <c r="N61" s="75">
        <f>民間住宅1!N61+民間設備投資計!N61+民間在庫品増加!N61+公的投資!N61</f>
        <v>89679</v>
      </c>
      <c r="O61" s="75">
        <f>民間住宅1!O61+民間設備投資計!O61+民間在庫品増加!F131+公的投資!O61</f>
        <v>434863</v>
      </c>
      <c r="P61" s="75">
        <f>民間住宅1!P61+民間設備投資計!P61+民間在庫品増加!G131+公的投資!P61</f>
        <v>428450</v>
      </c>
      <c r="Q61" s="75">
        <f>民間住宅1!Q61+民間設備投資計!Q61+民間在庫品増加!H131+公的投資!Q61</f>
        <v>409780</v>
      </c>
      <c r="R61" s="75">
        <f>民間住宅1!R61+民間設備投資計!R61+民間在庫品増加!I131+公的投資!R61</f>
        <v>423991</v>
      </c>
      <c r="S61" s="75">
        <f>民間住宅1!S61+民間設備投資計!S61+民間在庫品増加!J131+公的投資!S61</f>
        <v>445212</v>
      </c>
      <c r="T61" s="75">
        <f>民間住宅1!T61+民間設備投資計!T61+民間在庫品増加!K131+公的投資!T61</f>
        <v>477819</v>
      </c>
      <c r="U61" s="75">
        <f>民間住宅1!U61+民間設備投資計!U61+民間在庫品増加!L131+公的投資!U61</f>
        <v>467445</v>
      </c>
      <c r="V61" s="75">
        <f>民間住宅1!V61+民間設備投資計!V61+民間在庫品増加!M131+公的投資!V61</f>
        <v>452750</v>
      </c>
      <c r="W61" s="75">
        <f>民間住宅1!W61+民間設備投資計!W61+民間在庫品増加!N131+公的投資!W61</f>
        <v>441994</v>
      </c>
      <c r="X61" s="75">
        <f>民間住宅1!X61+民間設備投資計!X61+民間在庫品増加!O131+公的投資!X61</f>
        <v>468523</v>
      </c>
    </row>
    <row r="62" spans="1:24">
      <c r="A62" s="89">
        <v>221</v>
      </c>
      <c r="B62" s="90" t="s">
        <v>1144</v>
      </c>
      <c r="C62" s="75">
        <f>民間住宅1!C62+民間設備投資計!C62+民間在庫品増加!C62+公的投資!C62</f>
        <v>37065</v>
      </c>
      <c r="D62" s="75">
        <f>民間住宅1!D62+民間設備投資計!D62+民間在庫品増加!D62+公的投資!D62</f>
        <v>31837</v>
      </c>
      <c r="E62" s="75">
        <f>民間住宅1!E62+民間設備投資計!E62+民間在庫品増加!E62+公的投資!E62</f>
        <v>30727</v>
      </c>
      <c r="F62" s="75">
        <f>民間住宅1!F62+民間設備投資計!F62+民間在庫品増加!F62+公的投資!F62</f>
        <v>27108</v>
      </c>
      <c r="G62" s="75">
        <f>民間住宅1!G62+民間設備投資計!G62+民間在庫品増加!G62+公的投資!G62</f>
        <v>29919</v>
      </c>
      <c r="H62" s="75">
        <f>民間住宅1!H62+民間設備投資計!H62+民間在庫品増加!H62+公的投資!H62</f>
        <v>28278</v>
      </c>
      <c r="I62" s="75">
        <f>民間住宅1!I62+民間設備投資計!I62+民間在庫品増加!I62+公的投資!I62</f>
        <v>26404</v>
      </c>
      <c r="J62" s="75">
        <f>民間住宅1!J62+民間設備投資計!J62+民間在庫品増加!J62+公的投資!J62</f>
        <v>31455</v>
      </c>
      <c r="K62" s="75">
        <f>民間住宅1!K62+民間設備投資計!K62+民間在庫品増加!K62+公的投資!K62</f>
        <v>31846</v>
      </c>
      <c r="L62" s="75">
        <f>民間住宅1!L62+民間設備投資計!L62+民間在庫品増加!L62+公的投資!L62</f>
        <v>34024</v>
      </c>
      <c r="M62" s="75">
        <f>民間住宅1!M62+民間設備投資計!M62+民間在庫品増加!M62+公的投資!M62</f>
        <v>31051</v>
      </c>
      <c r="N62" s="75">
        <f>民間住宅1!N62+民間設備投資計!N62+民間在庫品増加!N62+公的投資!N62</f>
        <v>32631</v>
      </c>
      <c r="O62" s="75">
        <f>民間住宅1!O62+民間設備投資計!O62+民間在庫品増加!F132+公的投資!O62</f>
        <v>170753</v>
      </c>
      <c r="P62" s="75">
        <f>民間住宅1!P62+民間設備投資計!P62+民間在庫品増加!G132+公的投資!P62</f>
        <v>171802</v>
      </c>
      <c r="Q62" s="75">
        <f>民間住宅1!Q62+民間設備投資計!Q62+民間在庫品増加!H132+公的投資!Q62</f>
        <v>165158</v>
      </c>
      <c r="R62" s="75">
        <f>民間住宅1!R62+民間設備投資計!R62+民間在庫品増加!I132+公的投資!R62</f>
        <v>167983</v>
      </c>
      <c r="S62" s="75">
        <f>民間住宅1!S62+民間設備投資計!S62+民間在庫品増加!J132+公的投資!S62</f>
        <v>174619</v>
      </c>
      <c r="T62" s="75">
        <f>民間住宅1!T62+民間設備投資計!T62+民間在庫品増加!K132+公的投資!T62</f>
        <v>176715</v>
      </c>
      <c r="U62" s="75">
        <f>民間住宅1!U62+民間設備投資計!U62+民間在庫品増加!L132+公的投資!U62</f>
        <v>176143</v>
      </c>
      <c r="V62" s="75">
        <f>民間住宅1!V62+民間設備投資計!V62+民間在庫品増加!M132+公的投資!V62</f>
        <v>174704</v>
      </c>
      <c r="W62" s="75">
        <f>民間住宅1!W62+民間設備投資計!W62+民間在庫品増加!N132+公的投資!W62</f>
        <v>176384</v>
      </c>
      <c r="X62" s="75">
        <f>民間住宅1!X62+民間設備投資計!X62+民間在庫品増加!O132+公的投資!X62</f>
        <v>185682</v>
      </c>
    </row>
    <row r="63" spans="1:24">
      <c r="A63" s="89">
        <v>223</v>
      </c>
      <c r="B63" s="90" t="s">
        <v>223</v>
      </c>
      <c r="C63" s="75">
        <f>民間住宅1!C63+民間設備投資計!C63+民間在庫品増加!C63+公的投資!C63</f>
        <v>50549</v>
      </c>
      <c r="D63" s="75">
        <f>民間住宅1!D63+民間設備投資計!D63+民間在庫品増加!D63+公的投資!D63</f>
        <v>58083</v>
      </c>
      <c r="E63" s="75">
        <f>民間住宅1!E63+民間設備投資計!E63+民間在庫品増加!E63+公的投資!E63</f>
        <v>55298</v>
      </c>
      <c r="F63" s="75">
        <f>民間住宅1!F63+民間設備投資計!F63+民間在庫品増加!F63+公的投資!F63</f>
        <v>39745</v>
      </c>
      <c r="G63" s="75">
        <f>民間住宅1!G63+民間設備投資計!G63+民間在庫品増加!G63+公的投資!G63</f>
        <v>46002</v>
      </c>
      <c r="H63" s="75">
        <f>民間住宅1!H63+民間設備投資計!H63+民間在庫品増加!H63+公的投資!H63</f>
        <v>45417</v>
      </c>
      <c r="I63" s="75">
        <f>民間住宅1!I63+民間設備投資計!I63+民間在庫品増加!I63+公的投資!I63</f>
        <v>47959</v>
      </c>
      <c r="J63" s="75">
        <f>民間住宅1!J63+民間設備投資計!J63+民間在庫品増加!J63+公的投資!J63</f>
        <v>55256</v>
      </c>
      <c r="K63" s="75">
        <f>民間住宅1!K63+民間設備投資計!K63+民間在庫品増加!K63+公的投資!K63</f>
        <v>96128</v>
      </c>
      <c r="L63" s="75">
        <f>民間住宅1!L63+民間設備投資計!L63+民間在庫品増加!L63+公的投資!L63</f>
        <v>96528</v>
      </c>
      <c r="M63" s="75">
        <f>民間住宅1!M63+民間設備投資計!M63+民間在庫品増加!M63+公的投資!M63</f>
        <v>63066</v>
      </c>
      <c r="N63" s="75">
        <f>民間住宅1!N63+民間設備投資計!N63+民間在庫品増加!N63+公的投資!N63</f>
        <v>57048</v>
      </c>
      <c r="O63" s="75">
        <f>民間住宅1!O63+民間設備投資計!O63+民間在庫品増加!F133+公的投資!O63</f>
        <v>264110</v>
      </c>
      <c r="P63" s="75">
        <f>民間住宅1!P63+民間設備投資計!P63+民間在庫品増加!G133+公的投資!P63</f>
        <v>256648</v>
      </c>
      <c r="Q63" s="75">
        <f>民間住宅1!Q63+民間設備投資計!Q63+民間在庫品増加!H133+公的投資!Q63</f>
        <v>244622</v>
      </c>
      <c r="R63" s="75">
        <f>民間住宅1!R63+民間設備投資計!R63+民間在庫品増加!I133+公的投資!R63</f>
        <v>256008</v>
      </c>
      <c r="S63" s="75">
        <f>民間住宅1!S63+民間設備投資計!S63+民間在庫品増加!J133+公的投資!S63</f>
        <v>270593</v>
      </c>
      <c r="T63" s="75">
        <f>民間住宅1!T63+民間設備投資計!T63+民間在庫品増加!K133+公的投資!T63</f>
        <v>301104</v>
      </c>
      <c r="U63" s="75">
        <f>民間住宅1!U63+民間設備投資計!U63+民間在庫品増加!L133+公的投資!U63</f>
        <v>291302</v>
      </c>
      <c r="V63" s="75">
        <f>民間住宅1!V63+民間設備投資計!V63+民間在庫品増加!M133+公的投資!V63</f>
        <v>278046</v>
      </c>
      <c r="W63" s="75">
        <f>民間住宅1!W63+民間設備投資計!W63+民間在庫品増加!N133+公的投資!W63</f>
        <v>265610</v>
      </c>
      <c r="X63" s="75">
        <f>民間住宅1!X63+民間設備投資計!X63+民間在庫品増加!O133+公的投資!X63</f>
        <v>282841</v>
      </c>
    </row>
    <row r="64" spans="1:24">
      <c r="A64" s="92">
        <v>9</v>
      </c>
      <c r="B64" s="94" t="s">
        <v>212</v>
      </c>
      <c r="C64" s="75">
        <f>民間住宅1!C64+民間設備投資計!C64+民間在庫品増加!C64+公的投資!C64</f>
        <v>119090</v>
      </c>
      <c r="D64" s="75">
        <f>民間住宅1!D64+民間設備投資計!D64+民間在庫品増加!D64+公的投資!D64</f>
        <v>99071</v>
      </c>
      <c r="E64" s="75">
        <f>民間住宅1!E64+民間設備投資計!E64+民間在庫品増加!E64+公的投資!E64</f>
        <v>97362</v>
      </c>
      <c r="F64" s="75">
        <f>民間住宅1!F64+民間設備投資計!F64+民間在庫品増加!F64+公的投資!F64</f>
        <v>99744</v>
      </c>
      <c r="G64" s="75">
        <f>民間住宅1!G64+民間設備投資計!G64+民間在庫品増加!G64+公的投資!G64</f>
        <v>110539</v>
      </c>
      <c r="H64" s="75">
        <f>民間住宅1!H64+民間設備投資計!H64+民間在庫品増加!H64+公的投資!H64</f>
        <v>96590</v>
      </c>
      <c r="I64" s="75">
        <f>民間住宅1!I64+民間設備投資計!I64+民間在庫品増加!I64+公的投資!I64</f>
        <v>108581</v>
      </c>
      <c r="J64" s="75">
        <f>民間住宅1!J64+民間設備投資計!J64+民間在庫品増加!J64+公的投資!J64</f>
        <v>116997</v>
      </c>
      <c r="K64" s="75">
        <f>民間住宅1!K64+民間設備投資計!K64+民間在庫品増加!K64+公的投資!K64</f>
        <v>106682</v>
      </c>
      <c r="L64" s="75">
        <f>民間住宅1!L64+民間設備投資計!L64+民間在庫品増加!L64+公的投資!L64</f>
        <v>121007</v>
      </c>
      <c r="M64" s="75">
        <f>民間住宅1!M64+民間設備投資計!M64+民間在庫品増加!M64+公的投資!M64</f>
        <v>122039</v>
      </c>
      <c r="N64" s="75">
        <f>民間住宅1!N64+民間設備投資計!N64+民間在庫品増加!N64+公的投資!N64</f>
        <v>118463</v>
      </c>
      <c r="O64" s="75">
        <f>民間住宅1!O64+民間設備投資計!O64+民間在庫品増加!F134+公的投資!O64</f>
        <v>510141</v>
      </c>
      <c r="P64" s="75">
        <f>民間住宅1!P64+民間設備投資計!P64+民間在庫品増加!G134+公的投資!P64</f>
        <v>517339</v>
      </c>
      <c r="Q64" s="75">
        <f>民間住宅1!Q64+民間設備投資計!Q64+民間在庫品増加!H134+公的投資!Q64</f>
        <v>505919</v>
      </c>
      <c r="R64" s="75">
        <f>民間住宅1!R64+民間設備投資計!R64+民間在庫品増加!I134+公的投資!R64</f>
        <v>539780</v>
      </c>
      <c r="S64" s="75">
        <f>民間住宅1!S64+民間設備投資計!S64+民間在庫品増加!J134+公的投資!S64</f>
        <v>561571</v>
      </c>
      <c r="T64" s="75">
        <f>民間住宅1!T64+民間設備投資計!T64+民間在庫品増加!K134+公的投資!T64</f>
        <v>557454</v>
      </c>
      <c r="U64" s="75">
        <f>民間住宅1!U64+民間設備投資計!U64+民間在庫品増加!L134+公的投資!U64</f>
        <v>538830</v>
      </c>
      <c r="V64" s="75">
        <f>民間住宅1!V64+民間設備投資計!V64+民間在庫品増加!M134+公的投資!V64</f>
        <v>552792</v>
      </c>
      <c r="W64" s="75">
        <f>民間住宅1!W64+民間設備投資計!W64+民間在庫品増加!N134+公的投資!W64</f>
        <v>548071</v>
      </c>
      <c r="X64" s="75">
        <f>民間住宅1!X64+民間設備投資計!X64+民間在庫品増加!O134+公的投資!X64</f>
        <v>530533</v>
      </c>
    </row>
    <row r="65" spans="1:24">
      <c r="A65" s="92">
        <v>205</v>
      </c>
      <c r="B65" s="92" t="s">
        <v>241</v>
      </c>
      <c r="C65" s="75">
        <f>民間住宅1!C65+民間設備投資計!C65+民間在庫品増加!C65+公的投資!C65</f>
        <v>44767</v>
      </c>
      <c r="D65" s="75">
        <f>民間住宅1!D65+民間設備投資計!D65+民間在庫品増加!D65+公的投資!D65</f>
        <v>34154</v>
      </c>
      <c r="E65" s="75">
        <f>民間住宅1!E65+民間設備投資計!E65+民間在庫品増加!E65+公的投資!E65</f>
        <v>37398</v>
      </c>
      <c r="F65" s="75">
        <f>民間住宅1!F65+民間設備投資計!F65+民間在庫品増加!F65+公的投資!F65</f>
        <v>37719</v>
      </c>
      <c r="G65" s="75">
        <f>民間住宅1!G65+民間設備投資計!G65+民間在庫品増加!G65+公的投資!G65</f>
        <v>57499</v>
      </c>
      <c r="H65" s="75">
        <f>民間住宅1!H65+民間設備投資計!H65+民間在庫品増加!H65+公的投資!H65</f>
        <v>33397</v>
      </c>
      <c r="I65" s="75">
        <f>民間住宅1!I65+民間設備投資計!I65+民間在庫品増加!I65+公的投資!I65</f>
        <v>35285</v>
      </c>
      <c r="J65" s="75">
        <f>民間住宅1!J65+民間設備投資計!J65+民間在庫品増加!J65+公的投資!J65</f>
        <v>42312</v>
      </c>
      <c r="K65" s="75">
        <f>民間住宅1!K65+民間設備投資計!K65+民間在庫品増加!K65+公的投資!K65</f>
        <v>32029</v>
      </c>
      <c r="L65" s="75">
        <f>民間住宅1!L65+民間設備投資計!L65+民間在庫品増加!L65+公的投資!L65</f>
        <v>38619</v>
      </c>
      <c r="M65" s="75">
        <f>民間住宅1!M65+民間設備投資計!M65+民間在庫品増加!M65+公的投資!M65</f>
        <v>50410</v>
      </c>
      <c r="N65" s="75">
        <f>民間住宅1!N65+民間設備投資計!N65+民間在庫品増加!N65+公的投資!N65</f>
        <v>49633</v>
      </c>
      <c r="O65" s="75">
        <f>民間住宅1!O65+民間設備投資計!O65+民間在庫品増加!F135+公的投資!O65</f>
        <v>176131</v>
      </c>
      <c r="P65" s="75">
        <f>民間住宅1!P65+民間設備投資計!P65+民間在庫品増加!G135+公的投資!P65</f>
        <v>194293</v>
      </c>
      <c r="Q65" s="75">
        <f>民間住宅1!Q65+民間設備投資計!Q65+民間在庫品増加!H135+公的投資!Q65</f>
        <v>175779</v>
      </c>
      <c r="R65" s="75">
        <f>民間住宅1!R65+民間設備投資計!R65+民間在庫品増加!I135+公的投資!R65</f>
        <v>182909</v>
      </c>
      <c r="S65" s="75">
        <f>民間住宅1!S65+民間設備投資計!S65+民間在庫品増加!J135+公的投資!S65</f>
        <v>193312</v>
      </c>
      <c r="T65" s="75">
        <f>民間住宅1!T65+民間設備投資計!T65+民間在庫品増加!K135+公的投資!T65</f>
        <v>181271</v>
      </c>
      <c r="U65" s="75">
        <f>民間住宅1!U65+民間設備投資計!U65+民間在庫品増加!L135+公的投資!U65</f>
        <v>181959</v>
      </c>
      <c r="V65" s="75">
        <f>民間住宅1!V65+民間設備投資計!V65+民間在庫品増加!M135+公的投資!V65</f>
        <v>195727</v>
      </c>
      <c r="W65" s="75">
        <f>民間住宅1!W65+民間設備投資計!W65+民間在庫品増加!N135+公的投資!W65</f>
        <v>195035</v>
      </c>
      <c r="X65" s="75">
        <f>民間住宅1!X65+民間設備投資計!X65+民間在庫品増加!O135+公的投資!X65</f>
        <v>181105</v>
      </c>
    </row>
    <row r="66" spans="1:24">
      <c r="A66" s="89">
        <v>224</v>
      </c>
      <c r="B66" s="90" t="s">
        <v>224</v>
      </c>
      <c r="C66" s="75">
        <f>民間住宅1!C66+民間設備投資計!C66+民間在庫品増加!C66+公的投資!C66</f>
        <v>28553</v>
      </c>
      <c r="D66" s="75">
        <f>民間住宅1!D66+民間設備投資計!D66+民間在庫品増加!D66+公的投資!D66</f>
        <v>31136</v>
      </c>
      <c r="E66" s="75">
        <f>民間住宅1!E66+民間設備投資計!E66+民間在庫品増加!E66+公的投資!E66</f>
        <v>30921</v>
      </c>
      <c r="F66" s="75">
        <f>民間住宅1!F66+民間設備投資計!F66+民間在庫品増加!F66+公的投資!F66</f>
        <v>24585</v>
      </c>
      <c r="G66" s="75">
        <f>民間住宅1!G66+民間設備投資計!G66+民間在庫品増加!G66+公的投資!G66</f>
        <v>28289</v>
      </c>
      <c r="H66" s="75">
        <f>民間住宅1!H66+民間設備投資計!H66+民間在庫品増加!H66+公的投資!H66</f>
        <v>28716</v>
      </c>
      <c r="I66" s="75">
        <f>民間住宅1!I66+民間設備投資計!I66+民間在庫品増加!I66+公的投資!I66</f>
        <v>34332</v>
      </c>
      <c r="J66" s="75">
        <f>民間住宅1!J66+民間設備投資計!J66+民間在庫品増加!J66+公的投資!J66</f>
        <v>32595</v>
      </c>
      <c r="K66" s="75">
        <f>民間住宅1!K66+民間設備投資計!K66+民間在庫品増加!K66+公的投資!K66</f>
        <v>41025</v>
      </c>
      <c r="L66" s="75">
        <f>民間住宅1!L66+民間設備投資計!L66+民間在庫品増加!L66+公的投資!L66</f>
        <v>40061</v>
      </c>
      <c r="M66" s="75">
        <f>民間住宅1!M66+民間設備投資計!M66+民間在庫品増加!M66+公的投資!M66</f>
        <v>37480</v>
      </c>
      <c r="N66" s="75">
        <f>民間住宅1!N66+民間設備投資計!N66+民間在庫品増加!N66+公的投資!N66</f>
        <v>35264</v>
      </c>
      <c r="O66" s="75">
        <f>民間住宅1!O66+民間設備投資計!O66+民間在庫品増加!F136+公的投資!O66</f>
        <v>161110</v>
      </c>
      <c r="P66" s="75">
        <f>民間住宅1!P66+民間設備投資計!P66+民間在庫品増加!G136+公的投資!P66</f>
        <v>159854</v>
      </c>
      <c r="Q66" s="75">
        <f>民間住宅1!Q66+民間設備投資計!Q66+民間在庫品増加!H136+公的投資!Q66</f>
        <v>160264</v>
      </c>
      <c r="R66" s="75">
        <f>民間住宅1!R66+民間設備投資計!R66+民間在庫品増加!I136+公的投資!R66</f>
        <v>172000</v>
      </c>
      <c r="S66" s="75">
        <f>民間住宅1!S66+民間設備投資計!S66+民間在庫品増加!J136+公的投資!S66</f>
        <v>180550</v>
      </c>
      <c r="T66" s="75">
        <f>民間住宅1!T66+民間設備投資計!T66+民間在庫品増加!K136+公的投資!T66</f>
        <v>180827</v>
      </c>
      <c r="U66" s="75">
        <f>民間住宅1!U66+民間設備投資計!U66+民間在庫品増加!L136+公的投資!U66</f>
        <v>173769</v>
      </c>
      <c r="V66" s="75">
        <f>民間住宅1!V66+民間設備投資計!V66+民間在庫品増加!M136+公的投資!V66</f>
        <v>175852</v>
      </c>
      <c r="W66" s="75">
        <f>民間住宅1!W66+民間設備投資計!W66+民間在庫品増加!N136+公的投資!W66</f>
        <v>171599</v>
      </c>
      <c r="X66" s="75">
        <f>民間住宅1!X66+民間設備投資計!X66+民間在庫品増加!O136+公的投資!X66</f>
        <v>171044</v>
      </c>
    </row>
    <row r="67" spans="1:24">
      <c r="A67" s="204">
        <v>226</v>
      </c>
      <c r="B67" s="201" t="s">
        <v>225</v>
      </c>
      <c r="C67" s="132">
        <f>民間住宅1!C67+民間設備投資計!C67+民間在庫品増加!C67+公的投資!C67</f>
        <v>45770</v>
      </c>
      <c r="D67" s="132">
        <f>民間住宅1!D67+民間設備投資計!D67+民間在庫品増加!D67+公的投資!D67</f>
        <v>33781</v>
      </c>
      <c r="E67" s="132">
        <f>民間住宅1!E67+民間設備投資計!E67+民間在庫品増加!E67+公的投資!E67</f>
        <v>29043</v>
      </c>
      <c r="F67" s="132">
        <f>民間住宅1!F67+民間設備投資計!F67+民間在庫品増加!F67+公的投資!F67</f>
        <v>37440</v>
      </c>
      <c r="G67" s="132">
        <f>民間住宅1!G67+民間設備投資計!G67+民間在庫品増加!G67+公的投資!G67</f>
        <v>24751</v>
      </c>
      <c r="H67" s="132">
        <f>民間住宅1!H67+民間設備投資計!H67+民間在庫品増加!H67+公的投資!H67</f>
        <v>34477</v>
      </c>
      <c r="I67" s="132">
        <f>民間住宅1!I67+民間設備投資計!I67+民間在庫品増加!I67+公的投資!I67</f>
        <v>38964</v>
      </c>
      <c r="J67" s="132">
        <f>民間住宅1!J67+民間設備投資計!J67+民間在庫品増加!J67+公的投資!J67</f>
        <v>42090</v>
      </c>
      <c r="K67" s="132">
        <f>民間住宅1!K67+民間設備投資計!K67+民間在庫品増加!K67+公的投資!K67</f>
        <v>33628</v>
      </c>
      <c r="L67" s="132">
        <f>民間住宅1!L67+民間設備投資計!L67+民間在庫品増加!L67+公的投資!L67</f>
        <v>42327</v>
      </c>
      <c r="M67" s="132">
        <f>民間住宅1!M67+民間設備投資計!M67+民間在庫品増加!M67+公的投資!M67</f>
        <v>34149</v>
      </c>
      <c r="N67" s="132">
        <f>民間住宅1!N67+民間設備投資計!N67+民間在庫品増加!N67+公的投資!N67</f>
        <v>33566</v>
      </c>
      <c r="O67" s="132">
        <f>民間住宅1!O67+民間設備投資計!O67+民間在庫品増加!F137+公的投資!O67</f>
        <v>172900</v>
      </c>
      <c r="P67" s="132">
        <f>民間住宅1!P67+民間設備投資計!P67+民間在庫品増加!G137+公的投資!P67</f>
        <v>163192</v>
      </c>
      <c r="Q67" s="132">
        <f>民間住宅1!Q67+民間設備投資計!Q67+民間在庫品増加!H137+公的投資!Q67</f>
        <v>169876</v>
      </c>
      <c r="R67" s="132">
        <f>民間住宅1!R67+民間設備投資計!R67+民間在庫品増加!I137+公的投資!R67</f>
        <v>184871</v>
      </c>
      <c r="S67" s="132">
        <f>民間住宅1!S67+民間設備投資計!S67+民間在庫品増加!J137+公的投資!S67</f>
        <v>187709</v>
      </c>
      <c r="T67" s="132">
        <f>民間住宅1!T67+民間設備投資計!T67+民間在庫品増加!K137+公的投資!T67</f>
        <v>195356</v>
      </c>
      <c r="U67" s="132">
        <f>民間住宅1!U67+民間設備投資計!U67+民間在庫品増加!L137+公的投資!U67</f>
        <v>183102</v>
      </c>
      <c r="V67" s="132">
        <f>民間住宅1!V67+民間設備投資計!V67+民間在庫品増加!M137+公的投資!V67</f>
        <v>181213</v>
      </c>
      <c r="W67" s="132">
        <f>民間住宅1!W67+民間設備投資計!W67+民間在庫品増加!N137+公的投資!W67</f>
        <v>181437</v>
      </c>
      <c r="X67" s="132">
        <f>民間住宅1!X67+民間設備投資計!X67+民間在庫品増加!O137+公的投資!X67</f>
        <v>178384</v>
      </c>
    </row>
    <row r="68" spans="1:24">
      <c r="A68" s="75" t="s">
        <v>822</v>
      </c>
    </row>
  </sheetData>
  <phoneticPr fontId="13"/>
  <pageMargins left="0.75" right="0.75" top="1" bottom="1" header="0.51200000000000001" footer="0.51200000000000001"/>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tabColor indexed="43"/>
  </sheetPr>
  <dimension ref="A1:Y68"/>
  <sheetViews>
    <sheetView workbookViewId="0">
      <pane xSplit="2" ySplit="4" topLeftCell="M5" activePane="bottomRight" state="frozen"/>
      <selection pane="topRight" activeCell="C1" sqref="C1"/>
      <selection pane="bottomLeft" activeCell="A5" sqref="A5"/>
      <selection pane="bottomRight" activeCell="Q8" sqref="Q8"/>
    </sheetView>
  </sheetViews>
  <sheetFormatPr defaultColWidth="8.7109375" defaultRowHeight="13"/>
  <cols>
    <col min="1" max="1" width="3.2109375" style="75" customWidth="1"/>
    <col min="2" max="16384" width="8.7109375" style="75"/>
  </cols>
  <sheetData>
    <row r="1" spans="1:24">
      <c r="B1" s="65" t="s">
        <v>349</v>
      </c>
      <c r="F1" s="75" t="s">
        <v>627</v>
      </c>
      <c r="G1" s="75" t="s">
        <v>834</v>
      </c>
      <c r="H1" s="75" t="s">
        <v>347</v>
      </c>
      <c r="I1" s="75" t="s">
        <v>11</v>
      </c>
      <c r="J1" s="75" t="s">
        <v>11</v>
      </c>
      <c r="K1" s="75" t="s">
        <v>11</v>
      </c>
      <c r="L1" s="75" t="s">
        <v>11</v>
      </c>
      <c r="M1" s="75" t="s">
        <v>627</v>
      </c>
      <c r="N1" s="75" t="s">
        <v>627</v>
      </c>
      <c r="O1" s="75" t="s">
        <v>11</v>
      </c>
      <c r="S1" s="628"/>
      <c r="T1" s="891" t="s">
        <v>818</v>
      </c>
      <c r="U1" s="75" t="s">
        <v>948</v>
      </c>
      <c r="V1" s="75" t="s">
        <v>14</v>
      </c>
      <c r="W1" s="75" t="s">
        <v>14</v>
      </c>
      <c r="X1" s="75" t="s">
        <v>14</v>
      </c>
    </row>
    <row r="2" spans="1:24">
      <c r="A2" s="728"/>
      <c r="B2" s="729" t="s">
        <v>319</v>
      </c>
      <c r="C2" s="1375">
        <v>2006</v>
      </c>
      <c r="D2" s="1375">
        <v>2007</v>
      </c>
      <c r="E2" s="1375">
        <v>2008</v>
      </c>
      <c r="F2" s="1375">
        <v>2009</v>
      </c>
      <c r="G2" s="1375">
        <v>2010</v>
      </c>
      <c r="H2" s="1384">
        <v>2011</v>
      </c>
      <c r="I2" s="1376">
        <v>2012</v>
      </c>
      <c r="J2" s="1376">
        <v>2013</v>
      </c>
      <c r="K2" s="1376">
        <v>2014</v>
      </c>
      <c r="L2" s="1376">
        <v>2015</v>
      </c>
      <c r="M2" s="1376">
        <v>2016</v>
      </c>
      <c r="N2" s="1376">
        <v>2017</v>
      </c>
      <c r="O2" s="1376">
        <v>2018</v>
      </c>
      <c r="P2" s="1376">
        <v>2019</v>
      </c>
      <c r="Q2" s="1376">
        <v>2020</v>
      </c>
      <c r="R2" s="1376">
        <v>2021</v>
      </c>
      <c r="S2" s="1376">
        <v>2022</v>
      </c>
      <c r="T2" s="1376">
        <v>2023</v>
      </c>
      <c r="U2" s="1376">
        <v>2024</v>
      </c>
      <c r="V2" s="804">
        <v>2025</v>
      </c>
      <c r="W2" s="804">
        <v>2026</v>
      </c>
      <c r="X2" s="476">
        <v>2027</v>
      </c>
    </row>
    <row r="3" spans="1:24">
      <c r="A3" s="730"/>
      <c r="B3" s="730"/>
      <c r="C3" s="77" t="s">
        <v>369</v>
      </c>
      <c r="D3" s="77" t="s">
        <v>370</v>
      </c>
      <c r="E3" s="628" t="s">
        <v>750</v>
      </c>
      <c r="F3" s="628" t="s">
        <v>856</v>
      </c>
      <c r="G3" s="628" t="s">
        <v>911</v>
      </c>
      <c r="H3" s="628" t="s">
        <v>96</v>
      </c>
      <c r="I3" s="628" t="s">
        <v>118</v>
      </c>
      <c r="J3" s="628" t="s">
        <v>119</v>
      </c>
      <c r="K3" s="628" t="s">
        <v>67</v>
      </c>
      <c r="L3" s="628" t="s">
        <v>157</v>
      </c>
      <c r="M3" s="628" t="s">
        <v>1000</v>
      </c>
      <c r="N3" s="628" t="s">
        <v>1036</v>
      </c>
      <c r="O3" s="628" t="s">
        <v>1062</v>
      </c>
      <c r="P3" s="628" t="s">
        <v>1161</v>
      </c>
      <c r="Q3" s="628" t="s">
        <v>1129</v>
      </c>
      <c r="R3" s="628" t="s">
        <v>1160</v>
      </c>
      <c r="S3" s="628" t="s">
        <v>1200</v>
      </c>
      <c r="T3" s="628" t="s">
        <v>1234</v>
      </c>
      <c r="U3" s="628" t="s">
        <v>1561</v>
      </c>
      <c r="V3" s="75" t="s">
        <v>1603</v>
      </c>
      <c r="W3" s="75" t="s">
        <v>1745</v>
      </c>
      <c r="X3" s="491" t="s">
        <v>1783</v>
      </c>
    </row>
    <row r="4" spans="1:24">
      <c r="A4" s="730"/>
      <c r="B4" s="730" t="s">
        <v>320</v>
      </c>
      <c r="C4" s="78"/>
      <c r="D4" s="78" t="s">
        <v>10</v>
      </c>
      <c r="E4" s="132"/>
      <c r="F4" s="132"/>
      <c r="G4" s="132"/>
      <c r="H4" s="132"/>
      <c r="I4" s="132"/>
      <c r="J4" s="132"/>
      <c r="K4" s="132"/>
      <c r="L4" s="132"/>
      <c r="M4" s="132"/>
      <c r="P4" s="132"/>
      <c r="Q4" s="132"/>
      <c r="R4" s="132"/>
      <c r="S4" s="132"/>
      <c r="T4" s="132"/>
      <c r="X4" s="477"/>
    </row>
    <row r="5" spans="1:24">
      <c r="A5" s="895" t="s">
        <v>1334</v>
      </c>
      <c r="B5" s="732"/>
      <c r="C5" s="84">
        <f>名目県内総支出!H6</f>
        <v>12941390.801238377</v>
      </c>
      <c r="D5" s="84">
        <f>名目県内総支出!I6</f>
        <v>13078026.017082801</v>
      </c>
      <c r="E5" s="84">
        <f>名目県内総支出!J6</f>
        <v>12864972.249252094</v>
      </c>
      <c r="F5" s="84">
        <f>名目県内総支出!K6</f>
        <v>12734654.393827613</v>
      </c>
      <c r="G5" s="84">
        <f>名目県内総支出!L6</f>
        <v>12756939.555404345</v>
      </c>
      <c r="H5" s="84">
        <f>名目県内総支出!M6</f>
        <v>12761443</v>
      </c>
      <c r="I5" s="84">
        <f>名目県内総支出!N6</f>
        <v>12744229</v>
      </c>
      <c r="J5" s="84">
        <f>名目県内総支出!O6</f>
        <v>13077487</v>
      </c>
      <c r="K5" s="84">
        <f>名目県内総支出!P6</f>
        <v>12910180</v>
      </c>
      <c r="L5" s="84">
        <f>名目県内総支出!Q6</f>
        <v>13068268</v>
      </c>
      <c r="M5" s="84">
        <f>名目県内総支出!R6</f>
        <v>12971297</v>
      </c>
      <c r="N5" s="84">
        <f>名目県内総支出!S6</f>
        <v>13163075</v>
      </c>
      <c r="O5" s="84">
        <f>名目県内総支出!T6</f>
        <v>13228280</v>
      </c>
      <c r="P5" s="84">
        <f>名目県内総支出!U6</f>
        <v>13235618</v>
      </c>
      <c r="Q5" s="84">
        <f>名目県内総支出!V6</f>
        <v>12662771</v>
      </c>
      <c r="R5" s="1080">
        <f>名目県内総支出!W6</f>
        <v>13082778</v>
      </c>
      <c r="S5" s="1080">
        <f>名目県内総支出!X6</f>
        <v>13825263</v>
      </c>
      <c r="T5" s="1080">
        <f>名目県内総支出!Y6</f>
        <v>14024566</v>
      </c>
      <c r="U5" s="1080">
        <f>名目県内総支出!Z6</f>
        <v>14348115</v>
      </c>
      <c r="V5" s="1080">
        <f>名目県内総支出!AA6</f>
        <v>14852478</v>
      </c>
      <c r="W5" s="1080">
        <f>名目県内総支出!AB6</f>
        <v>15020812</v>
      </c>
      <c r="X5" s="1080">
        <f>名目県内総支出!AC6</f>
        <v>15196542</v>
      </c>
    </row>
    <row r="6" spans="1:24">
      <c r="A6" s="730"/>
      <c r="B6" s="730" t="s">
        <v>322</v>
      </c>
      <c r="C6" s="733">
        <f>SUM(C7:C16)</f>
        <v>12941390.801238377</v>
      </c>
      <c r="D6" s="733">
        <f>SUM(D7:D16)</f>
        <v>13078026.017082801</v>
      </c>
      <c r="E6" s="733">
        <f t="shared" ref="E6:J6" si="0">SUM(E7:E16)</f>
        <v>12864972.249252094</v>
      </c>
      <c r="F6" s="733">
        <f t="shared" si="0"/>
        <v>12734654.393827613</v>
      </c>
      <c r="G6" s="733">
        <f t="shared" si="0"/>
        <v>12756939.555404345</v>
      </c>
      <c r="H6" s="733">
        <f t="shared" si="0"/>
        <v>12761443</v>
      </c>
      <c r="I6" s="733">
        <f t="shared" si="0"/>
        <v>12744229</v>
      </c>
      <c r="J6" s="733">
        <f t="shared" si="0"/>
        <v>13077487</v>
      </c>
      <c r="K6" s="733">
        <f t="shared" ref="K6:P6" si="1">SUM(K7:K16)</f>
        <v>12910180</v>
      </c>
      <c r="L6" s="733">
        <f t="shared" si="1"/>
        <v>13068268</v>
      </c>
      <c r="M6" s="733">
        <f t="shared" si="1"/>
        <v>12971297</v>
      </c>
      <c r="N6" s="733">
        <f t="shared" si="1"/>
        <v>13163075</v>
      </c>
      <c r="O6" s="733">
        <f t="shared" si="1"/>
        <v>13228280</v>
      </c>
      <c r="P6" s="733">
        <f t="shared" si="1"/>
        <v>13235618</v>
      </c>
      <c r="Q6" s="733">
        <f t="shared" ref="Q6:V6" si="2">SUM(Q7:Q16)</f>
        <v>12662771</v>
      </c>
      <c r="R6" s="733">
        <f t="shared" si="2"/>
        <v>13082778</v>
      </c>
      <c r="S6" s="733">
        <f t="shared" si="2"/>
        <v>13825263</v>
      </c>
      <c r="T6" s="733">
        <f t="shared" si="2"/>
        <v>14024566</v>
      </c>
      <c r="U6" s="733">
        <f t="shared" si="2"/>
        <v>14348115</v>
      </c>
      <c r="V6" s="733">
        <f t="shared" si="2"/>
        <v>14852478</v>
      </c>
      <c r="W6" s="733">
        <f t="shared" ref="W6:X6" si="3">SUM(W7:W16)</f>
        <v>15020812</v>
      </c>
      <c r="X6" s="733">
        <f t="shared" si="3"/>
        <v>15196542</v>
      </c>
    </row>
    <row r="7" spans="1:24">
      <c r="A7" s="728">
        <v>100</v>
      </c>
      <c r="B7" s="728" t="s">
        <v>172</v>
      </c>
      <c r="C7" s="734">
        <f>C18</f>
        <v>3907986.8012383766</v>
      </c>
      <c r="D7" s="734">
        <f>D18</f>
        <v>3947435.0170828011</v>
      </c>
      <c r="E7" s="734">
        <f t="shared" ref="E7:G8" si="4">E18</f>
        <v>3885283.249252094</v>
      </c>
      <c r="F7" s="734">
        <f t="shared" si="4"/>
        <v>3854243.3938276134</v>
      </c>
      <c r="G7" s="734">
        <f t="shared" si="4"/>
        <v>3949992.5554043446</v>
      </c>
      <c r="H7" s="734">
        <f t="shared" ref="H7:J8" si="5">H18</f>
        <v>3910600</v>
      </c>
      <c r="I7" s="734">
        <f t="shared" si="5"/>
        <v>3880745</v>
      </c>
      <c r="J7" s="734">
        <f t="shared" si="5"/>
        <v>3968764</v>
      </c>
      <c r="K7" s="734">
        <f t="shared" ref="K7:M8" si="6">K18</f>
        <v>3931996</v>
      </c>
      <c r="L7" s="734">
        <f t="shared" si="6"/>
        <v>4024764</v>
      </c>
      <c r="M7" s="734">
        <f t="shared" si="6"/>
        <v>4032857</v>
      </c>
      <c r="N7" s="734">
        <f t="shared" ref="N7:P8" si="7">N18</f>
        <v>4043457</v>
      </c>
      <c r="O7" s="734">
        <f t="shared" si="7"/>
        <v>3968932</v>
      </c>
      <c r="P7" s="734">
        <f t="shared" si="7"/>
        <v>3863971</v>
      </c>
      <c r="Q7" s="734">
        <f t="shared" ref="Q7:S8" si="8">Q18</f>
        <v>3727140</v>
      </c>
      <c r="R7" s="734">
        <f t="shared" si="8"/>
        <v>3812012</v>
      </c>
      <c r="S7" s="734">
        <f t="shared" si="8"/>
        <v>3957039</v>
      </c>
      <c r="T7" s="734">
        <f t="shared" ref="T7:U7" si="9">T18</f>
        <v>4099278</v>
      </c>
      <c r="U7" s="734">
        <f t="shared" si="9"/>
        <v>4248698</v>
      </c>
      <c r="V7" s="734">
        <f t="shared" ref="V7" si="10">V18</f>
        <v>4399875</v>
      </c>
      <c r="W7" s="734">
        <f t="shared" ref="W7:X7" si="11">W18</f>
        <v>4444399</v>
      </c>
      <c r="X7" s="734">
        <f t="shared" si="11"/>
        <v>4491190</v>
      </c>
    </row>
    <row r="8" spans="1:24">
      <c r="A8" s="730">
        <v>1</v>
      </c>
      <c r="B8" s="730" t="s">
        <v>323</v>
      </c>
      <c r="C8" s="733">
        <f>C19</f>
        <v>2576483</v>
      </c>
      <c r="D8" s="733">
        <f>D19</f>
        <v>2610075</v>
      </c>
      <c r="E8" s="733">
        <f t="shared" si="4"/>
        <v>2572204</v>
      </c>
      <c r="F8" s="733">
        <f t="shared" si="4"/>
        <v>2544488</v>
      </c>
      <c r="G8" s="733">
        <f t="shared" si="4"/>
        <v>2559452</v>
      </c>
      <c r="H8" s="733">
        <f t="shared" si="5"/>
        <v>2534745</v>
      </c>
      <c r="I8" s="733">
        <f t="shared" si="5"/>
        <v>2533591</v>
      </c>
      <c r="J8" s="733">
        <f t="shared" si="5"/>
        <v>2592441</v>
      </c>
      <c r="K8" s="733">
        <f t="shared" si="6"/>
        <v>2562624</v>
      </c>
      <c r="L8" s="733">
        <f t="shared" si="6"/>
        <v>2613675</v>
      </c>
      <c r="M8" s="733">
        <f t="shared" si="6"/>
        <v>2608333</v>
      </c>
      <c r="N8" s="733">
        <f t="shared" si="7"/>
        <v>2607616</v>
      </c>
      <c r="O8" s="733">
        <f t="shared" si="7"/>
        <v>2579033</v>
      </c>
      <c r="P8" s="733">
        <f t="shared" si="7"/>
        <v>2525002</v>
      </c>
      <c r="Q8" s="733">
        <f t="shared" si="8"/>
        <v>2429987</v>
      </c>
      <c r="R8" s="733">
        <f t="shared" si="8"/>
        <v>2489678</v>
      </c>
      <c r="S8" s="733">
        <f t="shared" si="8"/>
        <v>2597227</v>
      </c>
      <c r="T8" s="733">
        <f t="shared" ref="T8:U8" si="12">T19</f>
        <v>2692797</v>
      </c>
      <c r="U8" s="733">
        <f t="shared" si="12"/>
        <v>2774440</v>
      </c>
      <c r="V8" s="733">
        <f t="shared" ref="V8" si="13">V19</f>
        <v>2878133</v>
      </c>
      <c r="W8" s="733">
        <f t="shared" ref="W8:X8" si="14">W19</f>
        <v>2929962</v>
      </c>
      <c r="X8" s="733">
        <f t="shared" si="14"/>
        <v>2982957</v>
      </c>
    </row>
    <row r="9" spans="1:24">
      <c r="A9" s="730">
        <v>2</v>
      </c>
      <c r="B9" s="730" t="s">
        <v>324</v>
      </c>
      <c r="C9" s="733">
        <f>C23</f>
        <v>1577109</v>
      </c>
      <c r="D9" s="733">
        <f>D23</f>
        <v>1601593</v>
      </c>
      <c r="E9" s="733">
        <f t="shared" ref="E9:J9" si="15">E23</f>
        <v>1583066</v>
      </c>
      <c r="F9" s="733">
        <f t="shared" si="15"/>
        <v>1574480</v>
      </c>
      <c r="G9" s="733">
        <f t="shared" si="15"/>
        <v>1569003</v>
      </c>
      <c r="H9" s="733">
        <f t="shared" si="15"/>
        <v>1562687</v>
      </c>
      <c r="I9" s="733">
        <f t="shared" si="15"/>
        <v>1573529</v>
      </c>
      <c r="J9" s="733">
        <f t="shared" si="15"/>
        <v>1610419</v>
      </c>
      <c r="K9" s="733">
        <f t="shared" ref="K9:P9" si="16">K23</f>
        <v>1580772</v>
      </c>
      <c r="L9" s="733">
        <f t="shared" si="16"/>
        <v>1569510</v>
      </c>
      <c r="M9" s="733">
        <f t="shared" si="16"/>
        <v>1556077</v>
      </c>
      <c r="N9" s="733">
        <f t="shared" si="16"/>
        <v>1608461</v>
      </c>
      <c r="O9" s="733">
        <f t="shared" si="16"/>
        <v>1640649</v>
      </c>
      <c r="P9" s="733">
        <f t="shared" si="16"/>
        <v>1700102</v>
      </c>
      <c r="Q9" s="733">
        <f t="shared" ref="Q9:V9" si="17">Q23</f>
        <v>1595692</v>
      </c>
      <c r="R9" s="733">
        <f t="shared" si="17"/>
        <v>1716985</v>
      </c>
      <c r="S9" s="733">
        <f t="shared" si="17"/>
        <v>1837557</v>
      </c>
      <c r="T9" s="733">
        <f t="shared" si="17"/>
        <v>1789550</v>
      </c>
      <c r="U9" s="733">
        <f t="shared" si="17"/>
        <v>1821201</v>
      </c>
      <c r="V9" s="733">
        <f t="shared" si="17"/>
        <v>1886056</v>
      </c>
      <c r="W9" s="733">
        <f t="shared" ref="W9:X9" si="18">W23</f>
        <v>1918658</v>
      </c>
      <c r="X9" s="733">
        <f t="shared" si="18"/>
        <v>1952040</v>
      </c>
    </row>
    <row r="10" spans="1:24">
      <c r="A10" s="730">
        <v>3</v>
      </c>
      <c r="B10" s="730" t="s">
        <v>192</v>
      </c>
      <c r="C10" s="733">
        <f>C29</f>
        <v>1576725</v>
      </c>
      <c r="D10" s="733">
        <f>D29</f>
        <v>1592183</v>
      </c>
      <c r="E10" s="733">
        <f t="shared" ref="E10:J10" si="19">E29</f>
        <v>1565575</v>
      </c>
      <c r="F10" s="733">
        <f t="shared" si="19"/>
        <v>1548820</v>
      </c>
      <c r="G10" s="733">
        <f t="shared" si="19"/>
        <v>1530937</v>
      </c>
      <c r="H10" s="733">
        <f t="shared" si="19"/>
        <v>1529623</v>
      </c>
      <c r="I10" s="733">
        <f t="shared" si="19"/>
        <v>1546073</v>
      </c>
      <c r="J10" s="733">
        <f t="shared" si="19"/>
        <v>1587990</v>
      </c>
      <c r="K10" s="733">
        <f t="shared" ref="K10:P10" si="20">K29</f>
        <v>1565143</v>
      </c>
      <c r="L10" s="733">
        <f t="shared" si="20"/>
        <v>1555924</v>
      </c>
      <c r="M10" s="733">
        <f t="shared" si="20"/>
        <v>1546443</v>
      </c>
      <c r="N10" s="733">
        <f t="shared" si="20"/>
        <v>1610577</v>
      </c>
      <c r="O10" s="733">
        <f t="shared" si="20"/>
        <v>1655579</v>
      </c>
      <c r="P10" s="733">
        <f t="shared" si="20"/>
        <v>1725400</v>
      </c>
      <c r="Q10" s="733">
        <f t="shared" ref="Q10:V10" si="21">Q29</f>
        <v>1634579</v>
      </c>
      <c r="R10" s="733">
        <f t="shared" si="21"/>
        <v>1757194</v>
      </c>
      <c r="S10" s="733">
        <f t="shared" si="21"/>
        <v>1885455</v>
      </c>
      <c r="T10" s="733">
        <f t="shared" si="21"/>
        <v>1846707</v>
      </c>
      <c r="U10" s="733">
        <f t="shared" si="21"/>
        <v>1887919</v>
      </c>
      <c r="V10" s="733">
        <f t="shared" si="21"/>
        <v>1955744</v>
      </c>
      <c r="W10" s="733">
        <f t="shared" ref="W10:X10" si="22">W29</f>
        <v>1986167</v>
      </c>
      <c r="X10" s="733">
        <f t="shared" si="22"/>
        <v>2017448</v>
      </c>
    </row>
    <row r="11" spans="1:24">
      <c r="A11" s="730">
        <v>4</v>
      </c>
      <c r="B11" s="730" t="s">
        <v>325</v>
      </c>
      <c r="C11" s="733">
        <f>C35</f>
        <v>559047</v>
      </c>
      <c r="D11" s="733">
        <f>D35</f>
        <v>562349</v>
      </c>
      <c r="E11" s="733">
        <f t="shared" ref="E11:J11" si="23">E35</f>
        <v>551573</v>
      </c>
      <c r="F11" s="733">
        <f t="shared" si="23"/>
        <v>543363</v>
      </c>
      <c r="G11" s="733">
        <f t="shared" si="23"/>
        <v>524413</v>
      </c>
      <c r="H11" s="733">
        <f t="shared" si="23"/>
        <v>548957</v>
      </c>
      <c r="I11" s="733">
        <f t="shared" si="23"/>
        <v>548962</v>
      </c>
      <c r="J11" s="733">
        <f t="shared" si="23"/>
        <v>570874</v>
      </c>
      <c r="K11" s="733">
        <f t="shared" ref="K11:P11" si="24">K35</f>
        <v>562499</v>
      </c>
      <c r="L11" s="733">
        <f t="shared" si="24"/>
        <v>566762</v>
      </c>
      <c r="M11" s="733">
        <f t="shared" si="24"/>
        <v>550215</v>
      </c>
      <c r="N11" s="733">
        <f t="shared" si="24"/>
        <v>568533</v>
      </c>
      <c r="O11" s="733">
        <f t="shared" si="24"/>
        <v>605089</v>
      </c>
      <c r="P11" s="733">
        <f t="shared" si="24"/>
        <v>627212</v>
      </c>
      <c r="Q11" s="733">
        <f t="shared" ref="Q11:V11" si="25">Q35</f>
        <v>602064</v>
      </c>
      <c r="R11" s="733">
        <f t="shared" si="25"/>
        <v>601943</v>
      </c>
      <c r="S11" s="733">
        <f t="shared" si="25"/>
        <v>657078</v>
      </c>
      <c r="T11" s="733">
        <f t="shared" si="25"/>
        <v>658419</v>
      </c>
      <c r="U11" s="733">
        <f t="shared" si="25"/>
        <v>654485</v>
      </c>
      <c r="V11" s="733">
        <f t="shared" si="25"/>
        <v>678416</v>
      </c>
      <c r="W11" s="733">
        <f t="shared" ref="W11:X11" si="26">W35</f>
        <v>688840</v>
      </c>
      <c r="X11" s="733">
        <f t="shared" si="26"/>
        <v>699563</v>
      </c>
    </row>
    <row r="12" spans="1:24">
      <c r="A12" s="730">
        <v>5</v>
      </c>
      <c r="B12" s="730" t="s">
        <v>326</v>
      </c>
      <c r="C12" s="733">
        <f>C42</f>
        <v>1243163</v>
      </c>
      <c r="D12" s="733">
        <f>D42</f>
        <v>1263513</v>
      </c>
      <c r="E12" s="733">
        <f t="shared" ref="E12:J12" si="27">E42</f>
        <v>1247473</v>
      </c>
      <c r="F12" s="733">
        <f t="shared" si="27"/>
        <v>1239078</v>
      </c>
      <c r="G12" s="733">
        <f t="shared" si="27"/>
        <v>1245173</v>
      </c>
      <c r="H12" s="733">
        <f t="shared" si="27"/>
        <v>1237344</v>
      </c>
      <c r="I12" s="733">
        <f t="shared" si="27"/>
        <v>1232001</v>
      </c>
      <c r="J12" s="733">
        <f t="shared" si="27"/>
        <v>1265449</v>
      </c>
      <c r="K12" s="733">
        <f t="shared" ref="K12:P12" si="28">K42</f>
        <v>1252102</v>
      </c>
      <c r="L12" s="733">
        <f t="shared" si="28"/>
        <v>1277710</v>
      </c>
      <c r="M12" s="733">
        <f t="shared" si="28"/>
        <v>1277091</v>
      </c>
      <c r="N12" s="733">
        <f t="shared" si="28"/>
        <v>1286671</v>
      </c>
      <c r="O12" s="733">
        <f t="shared" si="28"/>
        <v>1271121</v>
      </c>
      <c r="P12" s="733">
        <f t="shared" si="28"/>
        <v>1248272</v>
      </c>
      <c r="Q12" s="733">
        <f t="shared" ref="Q12:V12" si="29">Q42</f>
        <v>1207777</v>
      </c>
      <c r="R12" s="733">
        <f t="shared" si="29"/>
        <v>1232979</v>
      </c>
      <c r="S12" s="733">
        <f t="shared" si="29"/>
        <v>1288802</v>
      </c>
      <c r="T12" s="733">
        <f t="shared" si="29"/>
        <v>1337584</v>
      </c>
      <c r="U12" s="733">
        <f t="shared" si="29"/>
        <v>1383797</v>
      </c>
      <c r="V12" s="733">
        <f t="shared" si="29"/>
        <v>1433956</v>
      </c>
      <c r="W12" s="733">
        <f t="shared" ref="W12:X12" si="30">W42</f>
        <v>1458805</v>
      </c>
      <c r="X12" s="733">
        <f t="shared" si="30"/>
        <v>1484247</v>
      </c>
    </row>
    <row r="13" spans="1:24">
      <c r="A13" s="730">
        <v>6</v>
      </c>
      <c r="B13" s="730" t="s">
        <v>327</v>
      </c>
      <c r="C13" s="733">
        <f>C47</f>
        <v>544589</v>
      </c>
      <c r="D13" s="733">
        <f>D47</f>
        <v>550346</v>
      </c>
      <c r="E13" s="733">
        <f t="shared" ref="E13:J13" si="31">E47</f>
        <v>541004</v>
      </c>
      <c r="F13" s="733">
        <f t="shared" si="31"/>
        <v>534896</v>
      </c>
      <c r="G13" s="733">
        <f t="shared" si="31"/>
        <v>517889</v>
      </c>
      <c r="H13" s="733">
        <f t="shared" si="31"/>
        <v>540083</v>
      </c>
      <c r="I13" s="733">
        <f t="shared" si="31"/>
        <v>537514</v>
      </c>
      <c r="J13" s="733">
        <f t="shared" si="31"/>
        <v>557983</v>
      </c>
      <c r="K13" s="733">
        <f t="shared" ref="K13:P13" si="32">K47</f>
        <v>548526</v>
      </c>
      <c r="L13" s="733">
        <f t="shared" si="32"/>
        <v>550208</v>
      </c>
      <c r="M13" s="733">
        <f t="shared" si="32"/>
        <v>529215</v>
      </c>
      <c r="N13" s="733">
        <f t="shared" si="32"/>
        <v>542773</v>
      </c>
      <c r="O13" s="733">
        <f t="shared" si="32"/>
        <v>570444</v>
      </c>
      <c r="P13" s="733">
        <f t="shared" si="32"/>
        <v>586042</v>
      </c>
      <c r="Q13" s="733">
        <f t="shared" ref="Q13:V13" si="33">Q47</f>
        <v>557536</v>
      </c>
      <c r="R13" s="733">
        <f t="shared" si="33"/>
        <v>557812</v>
      </c>
      <c r="S13" s="733">
        <f t="shared" si="33"/>
        <v>607178</v>
      </c>
      <c r="T13" s="733">
        <f t="shared" si="33"/>
        <v>605640</v>
      </c>
      <c r="U13" s="733">
        <f t="shared" si="33"/>
        <v>597615</v>
      </c>
      <c r="V13" s="733">
        <f t="shared" si="33"/>
        <v>614774</v>
      </c>
      <c r="W13" s="733">
        <f t="shared" ref="W13:X13" si="34">W47</f>
        <v>610895</v>
      </c>
      <c r="X13" s="733">
        <f t="shared" si="34"/>
        <v>607477</v>
      </c>
    </row>
    <row r="14" spans="1:24">
      <c r="A14" s="730">
        <v>7</v>
      </c>
      <c r="B14" s="730" t="s">
        <v>210</v>
      </c>
      <c r="C14" s="733">
        <f>C55</f>
        <v>415101</v>
      </c>
      <c r="D14" s="733">
        <f>D55</f>
        <v>411721</v>
      </c>
      <c r="E14" s="733">
        <f t="shared" ref="E14:J14" si="35">E55</f>
        <v>395383</v>
      </c>
      <c r="F14" s="733">
        <f t="shared" si="35"/>
        <v>383384</v>
      </c>
      <c r="G14" s="733">
        <f t="shared" si="35"/>
        <v>364217</v>
      </c>
      <c r="H14" s="733">
        <f t="shared" si="35"/>
        <v>377940</v>
      </c>
      <c r="I14" s="733">
        <f t="shared" si="35"/>
        <v>377159</v>
      </c>
      <c r="J14" s="733">
        <f t="shared" si="35"/>
        <v>390887</v>
      </c>
      <c r="K14" s="733">
        <f t="shared" ref="K14:P14" si="36">K55</f>
        <v>384522</v>
      </c>
      <c r="L14" s="733">
        <f t="shared" si="36"/>
        <v>386207</v>
      </c>
      <c r="M14" s="733">
        <f t="shared" si="36"/>
        <v>372763</v>
      </c>
      <c r="N14" s="733">
        <f t="shared" si="36"/>
        <v>376417</v>
      </c>
      <c r="O14" s="733">
        <f t="shared" si="36"/>
        <v>395001</v>
      </c>
      <c r="P14" s="733">
        <f t="shared" si="36"/>
        <v>403561</v>
      </c>
      <c r="Q14" s="733">
        <f t="shared" ref="Q14:V14" si="37">Q55</f>
        <v>379624</v>
      </c>
      <c r="R14" s="733">
        <f t="shared" si="37"/>
        <v>383318</v>
      </c>
      <c r="S14" s="733">
        <f t="shared" si="37"/>
        <v>415155</v>
      </c>
      <c r="T14" s="733">
        <f t="shared" si="37"/>
        <v>414042</v>
      </c>
      <c r="U14" s="733">
        <f t="shared" si="37"/>
        <v>404610</v>
      </c>
      <c r="V14" s="733">
        <f t="shared" si="37"/>
        <v>413437</v>
      </c>
      <c r="W14" s="733">
        <f t="shared" ref="W14:X14" si="38">W55</f>
        <v>397450</v>
      </c>
      <c r="X14" s="733">
        <f t="shared" si="38"/>
        <v>381957</v>
      </c>
    </row>
    <row r="15" spans="1:24">
      <c r="A15" s="730">
        <v>8</v>
      </c>
      <c r="B15" s="730" t="s">
        <v>211</v>
      </c>
      <c r="C15" s="733">
        <f>C61</f>
        <v>248166</v>
      </c>
      <c r="D15" s="733">
        <f>D61</f>
        <v>246325</v>
      </c>
      <c r="E15" s="733">
        <f t="shared" ref="E15:J15" si="39">E61</f>
        <v>238283</v>
      </c>
      <c r="F15" s="733">
        <f t="shared" si="39"/>
        <v>231397</v>
      </c>
      <c r="G15" s="733">
        <f t="shared" si="39"/>
        <v>224860</v>
      </c>
      <c r="H15" s="733">
        <f t="shared" si="39"/>
        <v>236537</v>
      </c>
      <c r="I15" s="733">
        <f t="shared" si="39"/>
        <v>234754</v>
      </c>
      <c r="J15" s="733">
        <f t="shared" si="39"/>
        <v>243304</v>
      </c>
      <c r="K15" s="733">
        <f t="shared" ref="K15:P15" si="40">K61</f>
        <v>238141</v>
      </c>
      <c r="L15" s="733">
        <f t="shared" si="40"/>
        <v>239414</v>
      </c>
      <c r="M15" s="733">
        <f t="shared" si="40"/>
        <v>228277</v>
      </c>
      <c r="N15" s="733">
        <f t="shared" si="40"/>
        <v>237838</v>
      </c>
      <c r="O15" s="733">
        <f t="shared" si="40"/>
        <v>250005</v>
      </c>
      <c r="P15" s="733">
        <f t="shared" si="40"/>
        <v>256794</v>
      </c>
      <c r="Q15" s="733">
        <f t="shared" ref="Q15:V15" si="41">Q61</f>
        <v>242001</v>
      </c>
      <c r="R15" s="733">
        <f t="shared" si="41"/>
        <v>245446</v>
      </c>
      <c r="S15" s="733">
        <f t="shared" si="41"/>
        <v>267666</v>
      </c>
      <c r="T15" s="733">
        <f t="shared" si="41"/>
        <v>269691</v>
      </c>
      <c r="U15" s="733">
        <f t="shared" si="41"/>
        <v>263937</v>
      </c>
      <c r="V15" s="733">
        <f t="shared" si="41"/>
        <v>271758</v>
      </c>
      <c r="W15" s="733">
        <f t="shared" ref="W15:X15" si="42">W61</f>
        <v>270760</v>
      </c>
      <c r="X15" s="733">
        <f t="shared" si="42"/>
        <v>269954</v>
      </c>
    </row>
    <row r="16" spans="1:24">
      <c r="A16" s="731">
        <v>9</v>
      </c>
      <c r="B16" s="731" t="s">
        <v>212</v>
      </c>
      <c r="C16" s="735">
        <f>C64</f>
        <v>293021</v>
      </c>
      <c r="D16" s="735">
        <f>D64</f>
        <v>292486</v>
      </c>
      <c r="E16" s="735">
        <f t="shared" ref="E16:J16" si="43">E64</f>
        <v>285128</v>
      </c>
      <c r="F16" s="735">
        <f t="shared" si="43"/>
        <v>280505</v>
      </c>
      <c r="G16" s="735">
        <f t="shared" si="43"/>
        <v>271003</v>
      </c>
      <c r="H16" s="735">
        <f t="shared" si="43"/>
        <v>282927</v>
      </c>
      <c r="I16" s="735">
        <f t="shared" si="43"/>
        <v>279901</v>
      </c>
      <c r="J16" s="735">
        <f t="shared" si="43"/>
        <v>289376</v>
      </c>
      <c r="K16" s="735">
        <f t="shared" ref="K16:P16" si="44">K64</f>
        <v>283855</v>
      </c>
      <c r="L16" s="735">
        <f t="shared" si="44"/>
        <v>284094</v>
      </c>
      <c r="M16" s="735">
        <f t="shared" si="44"/>
        <v>270026</v>
      </c>
      <c r="N16" s="735">
        <f t="shared" si="44"/>
        <v>280732</v>
      </c>
      <c r="O16" s="735">
        <f t="shared" si="44"/>
        <v>292427</v>
      </c>
      <c r="P16" s="735">
        <f t="shared" si="44"/>
        <v>299262</v>
      </c>
      <c r="Q16" s="735">
        <f t="shared" ref="Q16:V16" si="45">Q64</f>
        <v>286371</v>
      </c>
      <c r="R16" s="735">
        <f t="shared" si="45"/>
        <v>285411</v>
      </c>
      <c r="S16" s="735">
        <f t="shared" si="45"/>
        <v>312106</v>
      </c>
      <c r="T16" s="735">
        <f t="shared" si="45"/>
        <v>310858</v>
      </c>
      <c r="U16" s="735">
        <f t="shared" si="45"/>
        <v>311413</v>
      </c>
      <c r="V16" s="735">
        <f t="shared" si="45"/>
        <v>320329</v>
      </c>
      <c r="W16" s="735">
        <f t="shared" ref="W16:X16" si="46">W64</f>
        <v>314876</v>
      </c>
      <c r="X16" s="735">
        <f t="shared" si="46"/>
        <v>309709</v>
      </c>
    </row>
    <row r="17" spans="1:25">
      <c r="A17" s="815" t="s">
        <v>1352</v>
      </c>
      <c r="B17" s="730"/>
      <c r="C17" s="733">
        <f>ROUND(C$5*消費支出2!S5/消費支出2!S$4,0)-C18</f>
        <v>-2.801238376647234</v>
      </c>
      <c r="D17" s="733">
        <f>ROUND(D$5*消費支出2!T5/消費支出2!T$4,0)-D18</f>
        <v>0.98291719891130924</v>
      </c>
      <c r="E17" s="733">
        <f>ROUND(E$5*消費支出2!U5/消費支出2!U$4,0)-E18</f>
        <v>-0.24925209395587444</v>
      </c>
      <c r="F17" s="733">
        <f>ROUND(F$5*消費支出2!V5/消費支出2!V$4,0)-F18</f>
        <v>0.60617238655686378</v>
      </c>
      <c r="G17" s="733">
        <f>ROUND(G$5*消費支出2!W5/消費支出2!W$4,0)-G18</f>
        <v>-1.555404344573617</v>
      </c>
      <c r="H17" s="733">
        <f>ROUND(H$5*消費支出2!X5/消費支出2!X$4,0)-H18</f>
        <v>1</v>
      </c>
      <c r="I17" s="733">
        <f>ROUND(I$5*消費支出2!Y5/消費支出2!Y$4,0)-I18</f>
        <v>0</v>
      </c>
      <c r="J17" s="733">
        <f>ROUND(J$5*消費支出2!Z5/消費支出2!Z$4,0)-J18</f>
        <v>2</v>
      </c>
      <c r="K17" s="733">
        <f>ROUND(K$5*消費支出2!AA5/消費支出2!AA$4,0)-K18</f>
        <v>3</v>
      </c>
      <c r="L17" s="733">
        <f>ROUND(L$5*消費支出2!AB5/消費支出2!AB$4,0)-L18</f>
        <v>0</v>
      </c>
      <c r="M17" s="733">
        <f>ROUND(M$5*消費支出2!AC5/消費支出2!AC$4,0)-M18</f>
        <v>-3</v>
      </c>
      <c r="N17" s="733">
        <f>ROUND(N$5*消費支出2!AD5/消費支出2!AD$4,0)-N18</f>
        <v>-1</v>
      </c>
      <c r="O17" s="733">
        <f>ROUND(O$5*消費支出2!AE5/消費支出2!AE$4,0)-O18</f>
        <v>4</v>
      </c>
      <c r="P17" s="733">
        <f>ROUND(P$5*消費支出2!AF5/消費支出2!AF$4,0)-P18</f>
        <v>-1</v>
      </c>
      <c r="Q17" s="733">
        <f>ROUND(Q$5*消費支出2!AG5/消費支出2!AG$4,0)-Q18</f>
        <v>-1</v>
      </c>
      <c r="R17" s="733">
        <f>ROUND(R$5*消費支出2!AH5/消費支出2!AH$4,0)-R18</f>
        <v>0</v>
      </c>
      <c r="S17" s="733">
        <f>ROUND(S$5*消費支出2!AI5/消費支出2!AI$4,0)-S18</f>
        <v>0</v>
      </c>
      <c r="T17" s="733">
        <f>ROUND(T$5*消費支出2!AJ5/消費支出2!AJ$4,0)-T18</f>
        <v>-2</v>
      </c>
      <c r="U17" s="733">
        <f>ROUND(U$5*消費支出2!AK5/消費支出2!AK$4,0)-U18</f>
        <v>-4</v>
      </c>
      <c r="V17" s="733">
        <f>ROUND(V$5*消費支出2!AL5/消費支出2!AL$4,0)-V18</f>
        <v>-1</v>
      </c>
      <c r="W17" s="733">
        <f>ROUND(W$5*消費支出2!AM5/消費支出2!AM$4,0)-W18</f>
        <v>0</v>
      </c>
      <c r="X17" s="733">
        <f>ROUND(X$5*消費支出2!AN5/消費支出2!AN$4,0)-X18</f>
        <v>0</v>
      </c>
      <c r="Y17" s="899" t="s">
        <v>1335</v>
      </c>
    </row>
    <row r="18" spans="1:25">
      <c r="A18" s="732">
        <v>100</v>
      </c>
      <c r="B18" s="732" t="s">
        <v>172</v>
      </c>
      <c r="C18" s="736">
        <f>C5-SUM(C8:C16)</f>
        <v>3907986.8012383766</v>
      </c>
      <c r="D18" s="736">
        <f>D5-SUM(D8:D16)</f>
        <v>3947435.0170828011</v>
      </c>
      <c r="E18" s="736">
        <f t="shared" ref="E18:J18" si="47">E5-SUM(E8:E16)</f>
        <v>3885283.249252094</v>
      </c>
      <c r="F18" s="736">
        <f t="shared" si="47"/>
        <v>3854243.3938276134</v>
      </c>
      <c r="G18" s="736">
        <f t="shared" si="47"/>
        <v>3949992.5554043446</v>
      </c>
      <c r="H18" s="736">
        <f t="shared" si="47"/>
        <v>3910600</v>
      </c>
      <c r="I18" s="736">
        <f t="shared" si="47"/>
        <v>3880745</v>
      </c>
      <c r="J18" s="736">
        <f t="shared" si="47"/>
        <v>3968764</v>
      </c>
      <c r="K18" s="736">
        <f t="shared" ref="K18:P18" si="48">K5-SUM(K8:K16)</f>
        <v>3931996</v>
      </c>
      <c r="L18" s="736">
        <f t="shared" si="48"/>
        <v>4024764</v>
      </c>
      <c r="M18" s="736">
        <f t="shared" si="48"/>
        <v>4032857</v>
      </c>
      <c r="N18" s="736">
        <f t="shared" si="48"/>
        <v>4043457</v>
      </c>
      <c r="O18" s="736">
        <f t="shared" si="48"/>
        <v>3968932</v>
      </c>
      <c r="P18" s="736">
        <f t="shared" si="48"/>
        <v>3863971</v>
      </c>
      <c r="Q18" s="736">
        <f t="shared" ref="Q18:V18" si="49">Q5-SUM(Q8:Q16)</f>
        <v>3727140</v>
      </c>
      <c r="R18" s="736">
        <f t="shared" si="49"/>
        <v>3812012</v>
      </c>
      <c r="S18" s="736">
        <f t="shared" si="49"/>
        <v>3957039</v>
      </c>
      <c r="T18" s="736">
        <f t="shared" si="49"/>
        <v>4099278</v>
      </c>
      <c r="U18" s="736">
        <f t="shared" si="49"/>
        <v>4248698</v>
      </c>
      <c r="V18" s="736">
        <f t="shared" si="49"/>
        <v>4399875</v>
      </c>
      <c r="W18" s="736">
        <f t="shared" ref="W18:X18" si="50">W5-SUM(W8:W16)</f>
        <v>4444399</v>
      </c>
      <c r="X18" s="736">
        <f t="shared" si="50"/>
        <v>4491190</v>
      </c>
    </row>
    <row r="19" spans="1:25">
      <c r="A19" s="730">
        <v>1</v>
      </c>
      <c r="B19" s="730" t="s">
        <v>328</v>
      </c>
      <c r="C19" s="733">
        <f>SUM(C20:C22)</f>
        <v>2576483</v>
      </c>
      <c r="D19" s="733">
        <f>SUM(D20:D22)</f>
        <v>2610075</v>
      </c>
      <c r="E19" s="733">
        <f t="shared" ref="E19:J19" si="51">SUM(E20:E22)</f>
        <v>2572204</v>
      </c>
      <c r="F19" s="733">
        <f t="shared" si="51"/>
        <v>2544488</v>
      </c>
      <c r="G19" s="733">
        <f t="shared" si="51"/>
        <v>2559452</v>
      </c>
      <c r="H19" s="733">
        <f t="shared" si="51"/>
        <v>2534745</v>
      </c>
      <c r="I19" s="733">
        <f t="shared" si="51"/>
        <v>2533591</v>
      </c>
      <c r="J19" s="733">
        <f t="shared" si="51"/>
        <v>2592441</v>
      </c>
      <c r="K19" s="733">
        <f t="shared" ref="K19:P19" si="52">SUM(K20:K22)</f>
        <v>2562624</v>
      </c>
      <c r="L19" s="733">
        <f t="shared" si="52"/>
        <v>2613675</v>
      </c>
      <c r="M19" s="733">
        <f t="shared" si="52"/>
        <v>2608333</v>
      </c>
      <c r="N19" s="733">
        <f t="shared" si="52"/>
        <v>2607616</v>
      </c>
      <c r="O19" s="733">
        <f t="shared" si="52"/>
        <v>2579033</v>
      </c>
      <c r="P19" s="733">
        <f t="shared" si="52"/>
        <v>2525002</v>
      </c>
      <c r="Q19" s="733">
        <f t="shared" ref="Q19:V19" si="53">SUM(Q20:Q22)</f>
        <v>2429987</v>
      </c>
      <c r="R19" s="733">
        <f t="shared" si="53"/>
        <v>2489678</v>
      </c>
      <c r="S19" s="733">
        <f t="shared" si="53"/>
        <v>2597227</v>
      </c>
      <c r="T19" s="733">
        <f t="shared" si="53"/>
        <v>2692797</v>
      </c>
      <c r="U19" s="733">
        <f t="shared" si="53"/>
        <v>2774440</v>
      </c>
      <c r="V19" s="733">
        <f t="shared" si="53"/>
        <v>2878133</v>
      </c>
      <c r="W19" s="733">
        <f t="shared" ref="W19:X19" si="54">SUM(W20:W22)</f>
        <v>2929962</v>
      </c>
      <c r="X19" s="733">
        <f t="shared" si="54"/>
        <v>2982957</v>
      </c>
    </row>
    <row r="20" spans="1:25">
      <c r="A20" s="730">
        <v>202</v>
      </c>
      <c r="B20" s="730" t="s">
        <v>183</v>
      </c>
      <c r="C20" s="733">
        <f>ROUND(C$5*消費支出2!S7/消費支出2!S$4,0)</f>
        <v>1186188</v>
      </c>
      <c r="D20" s="733">
        <f>ROUND(D$5*消費支出2!T7/消費支出2!T$4,0)</f>
        <v>1196954</v>
      </c>
      <c r="E20" s="733">
        <f>ROUND(E$5*消費支出2!U7/消費支出2!U$4,0)</f>
        <v>1179629</v>
      </c>
      <c r="F20" s="733">
        <f>ROUND(F$5*消費支出2!V7/消費支出2!V$4,0)</f>
        <v>1168856</v>
      </c>
      <c r="G20" s="733">
        <f>ROUND(G$5*消費支出2!W7/消費支出2!W$4,0)</f>
        <v>1192179</v>
      </c>
      <c r="H20" s="733">
        <f>ROUND(H$5*消費支出2!X7/消費支出2!X$4,0)</f>
        <v>1170084</v>
      </c>
      <c r="I20" s="733">
        <f>ROUND(I$5*消費支出2!Y7/消費支出2!Y$4,0)</f>
        <v>1164865</v>
      </c>
      <c r="J20" s="733">
        <f>ROUND(J$5*消費支出2!Z7/消費支出2!Z$4,0)</f>
        <v>1184631</v>
      </c>
      <c r="K20" s="733">
        <f>ROUND(K$5*消費支出2!AA7/消費支出2!AA$4,0)</f>
        <v>1163811</v>
      </c>
      <c r="L20" s="733">
        <f>ROUND(L$5*消費支出2!AB7/消費支出2!AB$4,0)</f>
        <v>1184251</v>
      </c>
      <c r="M20" s="733">
        <f>ROUND(M$5*消費支出2!AC7/消費支出2!AC$4,0)</f>
        <v>1185669</v>
      </c>
      <c r="N20" s="733">
        <f>ROUND(N$5*消費支出2!AD7/消費支出2!AD$4,0)</f>
        <v>1189056</v>
      </c>
      <c r="O20" s="733">
        <f>ROUND(O$5*消費支出2!AE7/消費支出2!AE$4,0)</f>
        <v>1170998</v>
      </c>
      <c r="P20" s="733">
        <f>ROUND(P$5*消費支出2!AF7/消費支出2!AF$4,0)</f>
        <v>1144345</v>
      </c>
      <c r="Q20" s="733">
        <f>ROUND(Q$5*消費支出2!AG7/消費支出2!AG$4,0)</f>
        <v>1107597</v>
      </c>
      <c r="R20" s="733">
        <f>ROUND(R$5*消費支出2!AH7/消費支出2!AH$4,0)</f>
        <v>1133291</v>
      </c>
      <c r="S20" s="733">
        <f>ROUND(S$5*消費支出2!AI7/消費支出2!AI$4,0)</f>
        <v>1175087</v>
      </c>
      <c r="T20" s="733">
        <f>ROUND(T$5*消費支出2!AJ7/消費支出2!AJ$4,0)</f>
        <v>1223488</v>
      </c>
      <c r="U20" s="733">
        <f>ROUND(U$5*消費支出2!AK7/消費支出2!AK$4,0)</f>
        <v>1273203</v>
      </c>
      <c r="V20" s="733">
        <f>ROUND(V$5*消費支出2!AL7/消費支出2!AL$4,0)</f>
        <v>1325060</v>
      </c>
      <c r="W20" s="733">
        <f>ROUND(W$5*消費支出2!AM7/消費支出2!AM$4,0)</f>
        <v>1363245</v>
      </c>
      <c r="X20" s="733">
        <f>ROUND(X$5*消費支出2!AN7/消費支出2!AN$4,0)</f>
        <v>1401766</v>
      </c>
    </row>
    <row r="21" spans="1:25">
      <c r="A21" s="730">
        <v>204</v>
      </c>
      <c r="B21" s="730" t="s">
        <v>184</v>
      </c>
      <c r="C21" s="733">
        <f>ROUND(C$5*消費支出2!S8/消費支出2!S$4,0)</f>
        <v>1161889</v>
      </c>
      <c r="D21" s="733">
        <f>ROUND(D$5*消費支出2!T8/消費支出2!T$4,0)</f>
        <v>1181411</v>
      </c>
      <c r="E21" s="733">
        <f>ROUND(E$5*消費支出2!U8/消費支出2!U$4,0)</f>
        <v>1164111</v>
      </c>
      <c r="F21" s="733">
        <f>ROUND(F$5*消費支出2!V8/消費支出2!V$4,0)</f>
        <v>1150660</v>
      </c>
      <c r="G21" s="733">
        <f>ROUND(G$5*消費支出2!W8/消費支出2!W$4,0)</f>
        <v>1154052</v>
      </c>
      <c r="H21" s="733">
        <f>ROUND(H$5*消費支出2!X8/消費支出2!X$4,0)</f>
        <v>1141674</v>
      </c>
      <c r="I21" s="733">
        <f>ROUND(I$5*消費支出2!Y8/消費支出2!Y$4,0)</f>
        <v>1141294</v>
      </c>
      <c r="J21" s="733">
        <f>ROUND(J$5*消費支出2!Z8/消費支出2!Z$4,0)</f>
        <v>1168722</v>
      </c>
      <c r="K21" s="733">
        <f>ROUND(K$5*消費支出2!AA8/消費支出2!AA$4,0)</f>
        <v>1158872</v>
      </c>
      <c r="L21" s="733">
        <f>ROUND(L$5*消費支出2!AB8/消費支出2!AB$4,0)</f>
        <v>1187245</v>
      </c>
      <c r="M21" s="733">
        <f>ROUND(M$5*消費支出2!AC8/消費支出2!AC$4,0)</f>
        <v>1184637</v>
      </c>
      <c r="N21" s="733">
        <f>ROUND(N$5*消費支出2!AD8/消費支出2!AD$4,0)</f>
        <v>1183002</v>
      </c>
      <c r="O21" s="733">
        <f>ROUND(O$5*消費支出2!AE8/消費支出2!AE$4,0)</f>
        <v>1156510</v>
      </c>
      <c r="P21" s="733">
        <f>ROUND(P$5*消費支出2!AF8/消費支出2!AF$4,0)</f>
        <v>1121810</v>
      </c>
      <c r="Q21" s="733">
        <f>ROUND(Q$5*消費支出2!AG8/消費支出2!AG$4,0)</f>
        <v>1078817</v>
      </c>
      <c r="R21" s="733">
        <f>ROUND(R$5*消費支出2!AH8/消費支出2!AH$4,0)</f>
        <v>1105213</v>
      </c>
      <c r="S21" s="733">
        <f>ROUND(S$5*消費支出2!AI8/消費支出2!AI$4,0)</f>
        <v>1150189</v>
      </c>
      <c r="T21" s="733">
        <f>ROUND(T$5*消費支出2!AJ8/消費支出2!AJ$4,0)</f>
        <v>1195115</v>
      </c>
      <c r="U21" s="733">
        <f>ROUND(U$5*消費支出2!AK8/消費支出2!AK$4,0)</f>
        <v>1238974</v>
      </c>
      <c r="V21" s="733">
        <f>ROUND(V$5*消費支出2!AL8/消費支出2!AL$4,0)</f>
        <v>1282429</v>
      </c>
      <c r="W21" s="733">
        <f>ROUND(W$5*消費支出2!AM8/消費支出2!AM$4,0)</f>
        <v>1296235</v>
      </c>
      <c r="X21" s="733">
        <f>ROUND(X$5*消費支出2!AN8/消費支出2!AN$4,0)</f>
        <v>1310690</v>
      </c>
    </row>
    <row r="22" spans="1:25">
      <c r="A22" s="730">
        <v>206</v>
      </c>
      <c r="B22" s="730" t="s">
        <v>185</v>
      </c>
      <c r="C22" s="735">
        <f>ROUND(C$5*消費支出2!S9/消費支出2!S$4,0)</f>
        <v>228406</v>
      </c>
      <c r="D22" s="735">
        <f>ROUND(D$5*消費支出2!T9/消費支出2!T$4,0)</f>
        <v>231710</v>
      </c>
      <c r="E22" s="735">
        <f>ROUND(E$5*消費支出2!U9/消費支出2!U$4,0)</f>
        <v>228464</v>
      </c>
      <c r="F22" s="735">
        <f>ROUND(F$5*消費支出2!V9/消費支出2!V$4,0)</f>
        <v>224972</v>
      </c>
      <c r="G22" s="735">
        <f>ROUND(G$5*消費支出2!W9/消費支出2!W$4,0)</f>
        <v>213221</v>
      </c>
      <c r="H22" s="735">
        <f>ROUND(H$5*消費支出2!X9/消費支出2!X$4,0)</f>
        <v>222987</v>
      </c>
      <c r="I22" s="735">
        <f>ROUND(I$5*消費支出2!Y9/消費支出2!Y$4,0)</f>
        <v>227432</v>
      </c>
      <c r="J22" s="735">
        <f>ROUND(J$5*消費支出2!Z9/消費支出2!Z$4,0)</f>
        <v>239088</v>
      </c>
      <c r="K22" s="735">
        <f>ROUND(K$5*消費支出2!AA9/消費支出2!AA$4,0)</f>
        <v>239941</v>
      </c>
      <c r="L22" s="735">
        <f>ROUND(L$5*消費支出2!AB9/消費支出2!AB$4,0)</f>
        <v>242179</v>
      </c>
      <c r="M22" s="735">
        <f>ROUND(M$5*消費支出2!AC9/消費支出2!AC$4,0)</f>
        <v>238027</v>
      </c>
      <c r="N22" s="735">
        <f>ROUND(N$5*消費支出2!AD9/消費支出2!AD$4,0)</f>
        <v>235558</v>
      </c>
      <c r="O22" s="735">
        <f>ROUND(O$5*消費支出2!AE9/消費支出2!AE$4,0)</f>
        <v>251525</v>
      </c>
      <c r="P22" s="735">
        <f>ROUND(P$5*消費支出2!AF9/消費支出2!AF$4,0)</f>
        <v>258847</v>
      </c>
      <c r="Q22" s="735">
        <f>ROUND(Q$5*消費支出2!AG9/消費支出2!AG$4,0)</f>
        <v>243573</v>
      </c>
      <c r="R22" s="735">
        <f>ROUND(R$5*消費支出2!AH9/消費支出2!AH$4,0)</f>
        <v>251174</v>
      </c>
      <c r="S22" s="735">
        <f>ROUND(S$5*消費支出2!AI9/消費支出2!AI$4,0)</f>
        <v>271951</v>
      </c>
      <c r="T22" s="735">
        <f>ROUND(T$5*消費支出2!AJ9/消費支出2!AJ$4,0)</f>
        <v>274194</v>
      </c>
      <c r="U22" s="735">
        <f>ROUND(U$5*消費支出2!AK9/消費支出2!AK$4,0)</f>
        <v>262263</v>
      </c>
      <c r="V22" s="735">
        <f>ROUND(V$5*消費支出2!AL9/消費支出2!AL$4,0)</f>
        <v>270644</v>
      </c>
      <c r="W22" s="735">
        <f>ROUND(W$5*消費支出2!AM9/消費支出2!AM$4,0)</f>
        <v>270482</v>
      </c>
      <c r="X22" s="735">
        <f>ROUND(X$5*消費支出2!AN9/消費支出2!AN$4,0)</f>
        <v>270501</v>
      </c>
    </row>
    <row r="23" spans="1:25">
      <c r="A23" s="728">
        <v>2</v>
      </c>
      <c r="B23" s="728" t="s">
        <v>324</v>
      </c>
      <c r="C23" s="734">
        <f>SUM(C24:C28)</f>
        <v>1577109</v>
      </c>
      <c r="D23" s="734">
        <f>SUM(D24:D28)</f>
        <v>1601593</v>
      </c>
      <c r="E23" s="734">
        <f t="shared" ref="E23:J23" si="55">SUM(E24:E28)</f>
        <v>1583066</v>
      </c>
      <c r="F23" s="734">
        <f t="shared" si="55"/>
        <v>1574480</v>
      </c>
      <c r="G23" s="734">
        <f t="shared" si="55"/>
        <v>1569003</v>
      </c>
      <c r="H23" s="734">
        <f t="shared" si="55"/>
        <v>1562687</v>
      </c>
      <c r="I23" s="734">
        <f t="shared" si="55"/>
        <v>1573529</v>
      </c>
      <c r="J23" s="734">
        <f t="shared" si="55"/>
        <v>1610419</v>
      </c>
      <c r="K23" s="734">
        <f t="shared" ref="K23:P23" si="56">SUM(K24:K28)</f>
        <v>1580772</v>
      </c>
      <c r="L23" s="734">
        <f t="shared" si="56"/>
        <v>1569510</v>
      </c>
      <c r="M23" s="734">
        <f t="shared" si="56"/>
        <v>1556077</v>
      </c>
      <c r="N23" s="734">
        <f t="shared" si="56"/>
        <v>1608461</v>
      </c>
      <c r="O23" s="734">
        <f t="shared" si="56"/>
        <v>1640649</v>
      </c>
      <c r="P23" s="734">
        <f t="shared" si="56"/>
        <v>1700102</v>
      </c>
      <c r="Q23" s="734">
        <f t="shared" ref="Q23:V23" si="57">SUM(Q24:Q28)</f>
        <v>1595692</v>
      </c>
      <c r="R23" s="734">
        <f t="shared" si="57"/>
        <v>1716985</v>
      </c>
      <c r="S23" s="734">
        <f t="shared" si="57"/>
        <v>1837557</v>
      </c>
      <c r="T23" s="734">
        <f t="shared" si="57"/>
        <v>1789550</v>
      </c>
      <c r="U23" s="734">
        <f t="shared" si="57"/>
        <v>1821201</v>
      </c>
      <c r="V23" s="734">
        <f t="shared" si="57"/>
        <v>1886056</v>
      </c>
      <c r="W23" s="734">
        <f t="shared" ref="W23:X23" si="58">SUM(W24:W28)</f>
        <v>1918658</v>
      </c>
      <c r="X23" s="734">
        <f t="shared" si="58"/>
        <v>1952040</v>
      </c>
    </row>
    <row r="24" spans="1:25">
      <c r="A24" s="730">
        <v>207</v>
      </c>
      <c r="B24" s="730" t="s">
        <v>187</v>
      </c>
      <c r="C24" s="733">
        <f>ROUND(C$5*消費支出2!S11/消費支出2!S$4,0)</f>
        <v>435422</v>
      </c>
      <c r="D24" s="733">
        <f>ROUND(D$5*消費支出2!T11/消費支出2!T$4,0)</f>
        <v>443215</v>
      </c>
      <c r="E24" s="733">
        <f>ROUND(E$5*消費支出2!U11/消費支出2!U$4,0)</f>
        <v>436538</v>
      </c>
      <c r="F24" s="733">
        <f>ROUND(F$5*消費支出2!V11/消費支出2!V$4,0)</f>
        <v>433951</v>
      </c>
      <c r="G24" s="733">
        <f>ROUND(G$5*消費支出2!W11/消費支出2!W$4,0)</f>
        <v>435987</v>
      </c>
      <c r="H24" s="733">
        <f>ROUND(H$5*消費支出2!X11/消費支出2!X$4,0)</f>
        <v>429390</v>
      </c>
      <c r="I24" s="733">
        <f>ROUND(I$5*消費支出2!Y11/消費支出2!Y$4,0)</f>
        <v>429063</v>
      </c>
      <c r="J24" s="733">
        <f>ROUND(J$5*消費支出2!Z11/消費支出2!Z$4,0)</f>
        <v>437677</v>
      </c>
      <c r="K24" s="733">
        <f>ROUND(K$5*消費支出2!AA11/消費支出2!AA$4,0)</f>
        <v>428292</v>
      </c>
      <c r="L24" s="733">
        <f>ROUND(L$5*消費支出2!AB11/消費支出2!AB$4,0)</f>
        <v>424720</v>
      </c>
      <c r="M24" s="733">
        <f>ROUND(M$5*消費支出2!AC11/消費支出2!AC$4,0)</f>
        <v>423292</v>
      </c>
      <c r="N24" s="733">
        <f>ROUND(N$5*消費支出2!AD11/消費支出2!AD$4,0)</f>
        <v>441634</v>
      </c>
      <c r="O24" s="733">
        <f>ROUND(O$5*消費支出2!AE11/消費支出2!AE$4,0)</f>
        <v>448284</v>
      </c>
      <c r="P24" s="733">
        <f>ROUND(P$5*消費支出2!AF11/消費支出2!AF$4,0)</f>
        <v>467086</v>
      </c>
      <c r="Q24" s="733">
        <f>ROUND(Q$5*消費支出2!AG11/消費支出2!AG$4,0)</f>
        <v>440180</v>
      </c>
      <c r="R24" s="733">
        <f>ROUND(R$5*消費支出2!AH11/消費支出2!AH$4,0)</f>
        <v>479315</v>
      </c>
      <c r="S24" s="733">
        <f>ROUND(S$5*消費支出2!AI11/消費支出2!AI$4,0)</f>
        <v>512097</v>
      </c>
      <c r="T24" s="733">
        <f>ROUND(T$5*消費支出2!AJ11/消費支出2!AJ$4,0)</f>
        <v>495895</v>
      </c>
      <c r="U24" s="733">
        <f>ROUND(U$5*消費支出2!AK11/消費支出2!AK$4,0)</f>
        <v>510496</v>
      </c>
      <c r="V24" s="733">
        <f>ROUND(V$5*消費支出2!AL11/消費支出2!AL$4,0)</f>
        <v>530822</v>
      </c>
      <c r="W24" s="733">
        <f>ROUND(W$5*消費支出2!AM11/消費支出2!AM$4,0)</f>
        <v>550408</v>
      </c>
      <c r="X24" s="733">
        <f>ROUND(X$5*消費支出2!AN11/消費支出2!AN$4,0)</f>
        <v>570068</v>
      </c>
    </row>
    <row r="25" spans="1:25">
      <c r="A25" s="730">
        <v>214</v>
      </c>
      <c r="B25" s="730" t="s">
        <v>188</v>
      </c>
      <c r="C25" s="733">
        <f>ROUND(C$5*消費支出2!S12/消費支出2!S$4,0)</f>
        <v>509801</v>
      </c>
      <c r="D25" s="733">
        <f>ROUND(D$5*消費支出2!T12/消費支出2!T$4,0)</f>
        <v>517532</v>
      </c>
      <c r="E25" s="733">
        <f>ROUND(E$5*消費支出2!U12/消費支出2!U$4,0)</f>
        <v>511941</v>
      </c>
      <c r="F25" s="733">
        <f>ROUND(F$5*消費支出2!V12/消費支出2!V$4,0)</f>
        <v>509090</v>
      </c>
      <c r="G25" s="733">
        <f>ROUND(G$5*消費支出2!W12/消費支出2!W$4,0)</f>
        <v>517663</v>
      </c>
      <c r="H25" s="733">
        <f>ROUND(H$5*消費支出2!X12/消費支出2!X$4,0)</f>
        <v>511598</v>
      </c>
      <c r="I25" s="733">
        <f>ROUND(I$5*消費支出2!Y12/消費支出2!Y$4,0)</f>
        <v>517269</v>
      </c>
      <c r="J25" s="733">
        <f>ROUND(J$5*消費支出2!Z12/消費支出2!Z$4,0)</f>
        <v>525026</v>
      </c>
      <c r="K25" s="733">
        <f>ROUND(K$5*消費支出2!AA12/消費支出2!AA$4,0)</f>
        <v>513000</v>
      </c>
      <c r="L25" s="733">
        <f>ROUND(L$5*消費支出2!AB12/消費支出2!AB$4,0)</f>
        <v>506738</v>
      </c>
      <c r="M25" s="733">
        <f>ROUND(M$5*消費支出2!AC12/消費支出2!AC$4,0)</f>
        <v>502654</v>
      </c>
      <c r="N25" s="733">
        <f>ROUND(N$5*消費支出2!AD12/消費支出2!AD$4,0)</f>
        <v>522671</v>
      </c>
      <c r="O25" s="733">
        <f>ROUND(O$5*消費支出2!AE12/消費支出2!AE$4,0)</f>
        <v>526126</v>
      </c>
      <c r="P25" s="733">
        <f>ROUND(P$5*消費支出2!AF12/消費支出2!AF$4,0)</f>
        <v>544084</v>
      </c>
      <c r="Q25" s="733">
        <f>ROUND(Q$5*消費支出2!AG12/消費支出2!AG$4,0)</f>
        <v>509472</v>
      </c>
      <c r="R25" s="733">
        <f>ROUND(R$5*消費支出2!AH12/消費支出2!AH$4,0)</f>
        <v>553957</v>
      </c>
      <c r="S25" s="733">
        <f>ROUND(S$5*消費支出2!AI12/消費支出2!AI$4,0)</f>
        <v>591012</v>
      </c>
      <c r="T25" s="733">
        <f>ROUND(T$5*消費支出2!AJ12/消費支出2!AJ$4,0)</f>
        <v>570860</v>
      </c>
      <c r="U25" s="733">
        <f>ROUND(U$5*消費支出2!AK12/消費支出2!AK$4,0)</f>
        <v>587029</v>
      </c>
      <c r="V25" s="733">
        <f>ROUND(V$5*消費支出2!AL12/消費支出2!AL$4,0)</f>
        <v>606090</v>
      </c>
      <c r="W25" s="733">
        <f>ROUND(W$5*消費支出2!AM12/消費支出2!AM$4,0)</f>
        <v>609721</v>
      </c>
      <c r="X25" s="733">
        <f>ROUND(X$5*消費支出2!AN12/消費支出2!AN$4,0)</f>
        <v>613699</v>
      </c>
    </row>
    <row r="26" spans="1:25">
      <c r="A26" s="730">
        <v>217</v>
      </c>
      <c r="B26" s="730" t="s">
        <v>189</v>
      </c>
      <c r="C26" s="733">
        <f>ROUND(C$5*消費支出2!S13/消費支出2!S$4,0)</f>
        <v>351565</v>
      </c>
      <c r="D26" s="733">
        <f>ROUND(D$5*消費支出2!T13/消費支出2!T$4,0)</f>
        <v>355561</v>
      </c>
      <c r="E26" s="733">
        <f>ROUND(E$5*消費支出2!U13/消費支出2!U$4,0)</f>
        <v>350662</v>
      </c>
      <c r="F26" s="733">
        <f>ROUND(F$5*消費支出2!V13/消費支出2!V$4,0)</f>
        <v>348782</v>
      </c>
      <c r="G26" s="733">
        <f>ROUND(G$5*消費支出2!W13/消費支出2!W$4,0)</f>
        <v>341869</v>
      </c>
      <c r="H26" s="733">
        <f>ROUND(H$5*消費支出2!X13/消費支出2!X$4,0)</f>
        <v>336579</v>
      </c>
      <c r="I26" s="733">
        <f>ROUND(I$5*消費支出2!Y13/消費支出2!Y$4,0)</f>
        <v>338714</v>
      </c>
      <c r="J26" s="733">
        <f>ROUND(J$5*消費支出2!Z13/消費支出2!Z$4,0)</f>
        <v>347374</v>
      </c>
      <c r="K26" s="733">
        <f>ROUND(K$5*消費支出2!AA13/消費支出2!AA$4,0)</f>
        <v>340948</v>
      </c>
      <c r="L26" s="733">
        <f>ROUND(L$5*消費支出2!AB13/消費支出2!AB$4,0)</f>
        <v>337368</v>
      </c>
      <c r="M26" s="733">
        <f>ROUND(M$5*消費支出2!AC13/消費支出2!AC$4,0)</f>
        <v>334128</v>
      </c>
      <c r="N26" s="733">
        <f>ROUND(N$5*消費支出2!AD13/消費支出2!AD$4,0)</f>
        <v>347065</v>
      </c>
      <c r="O26" s="733">
        <f>ROUND(O$5*消費支出2!AE13/消費支出2!AE$4,0)</f>
        <v>349199</v>
      </c>
      <c r="P26" s="733">
        <f>ROUND(P$5*消費支出2!AF13/消費支出2!AF$4,0)</f>
        <v>361304</v>
      </c>
      <c r="Q26" s="733">
        <f>ROUND(Q$5*消費支出2!AG13/消費支出2!AG$4,0)</f>
        <v>337981</v>
      </c>
      <c r="R26" s="733">
        <f>ROUND(R$5*消費支出2!AH13/消費支出2!AH$4,0)</f>
        <v>368404</v>
      </c>
      <c r="S26" s="733">
        <f>ROUND(S$5*消費支出2!AI13/消費支出2!AI$4,0)</f>
        <v>393793</v>
      </c>
      <c r="T26" s="733">
        <f>ROUND(T$5*消費支出2!AJ13/消費支出2!AJ$4,0)</f>
        <v>380961</v>
      </c>
      <c r="U26" s="733">
        <f>ROUND(U$5*消費支出2!AK13/消費支出2!AK$4,0)</f>
        <v>391198</v>
      </c>
      <c r="V26" s="733">
        <f>ROUND(V$5*消費支出2!AL13/消費支出2!AL$4,0)</f>
        <v>405264</v>
      </c>
      <c r="W26" s="733">
        <f>ROUND(W$5*消費支出2!AM13/消費支出2!AM$4,0)</f>
        <v>411832</v>
      </c>
      <c r="X26" s="733">
        <f>ROUND(X$5*消費支出2!AN13/消費支出2!AN$4,0)</f>
        <v>418573</v>
      </c>
    </row>
    <row r="27" spans="1:25">
      <c r="A27" s="730">
        <v>219</v>
      </c>
      <c r="B27" s="730" t="s">
        <v>190</v>
      </c>
      <c r="C27" s="733">
        <f>ROUND(C$5*消費支出2!S14/消費支出2!S$4,0)</f>
        <v>222675</v>
      </c>
      <c r="D27" s="733">
        <f>ROUND(D$5*消費支出2!T14/消費支出2!T$4,0)</f>
        <v>225384</v>
      </c>
      <c r="E27" s="733">
        <f>ROUND(E$5*消費支出2!U14/消費支出2!U$4,0)</f>
        <v>223965</v>
      </c>
      <c r="F27" s="733">
        <f>ROUND(F$5*消費支出2!V14/消費支出2!V$4,0)</f>
        <v>222713</v>
      </c>
      <c r="G27" s="733">
        <f>ROUND(G$5*消費支出2!W14/消費支出2!W$4,0)</f>
        <v>214910</v>
      </c>
      <c r="H27" s="733">
        <f>ROUND(H$5*消費支出2!X14/消費支出2!X$4,0)</f>
        <v>223490</v>
      </c>
      <c r="I27" s="733">
        <f>ROUND(I$5*消費支出2!Y14/消費支出2!Y$4,0)</f>
        <v>227516</v>
      </c>
      <c r="J27" s="733">
        <f>ROUND(J$5*消費支出2!Z14/消費支出2!Z$4,0)</f>
        <v>236962</v>
      </c>
      <c r="K27" s="733">
        <f>ROUND(K$5*消費支出2!AA14/消費支出2!AA$4,0)</f>
        <v>235800</v>
      </c>
      <c r="L27" s="733">
        <f>ROUND(L$5*消費支出2!AB14/消費支出2!AB$4,0)</f>
        <v>237489</v>
      </c>
      <c r="M27" s="733">
        <f>ROUND(M$5*消費支出2!AC14/消費支出2!AC$4,0)</f>
        <v>235394</v>
      </c>
      <c r="N27" s="733">
        <f>ROUND(N$5*消費支出2!AD14/消費支出2!AD$4,0)</f>
        <v>233707</v>
      </c>
      <c r="O27" s="733">
        <f>ROUND(O$5*消費支出2!AE14/消費支出2!AE$4,0)</f>
        <v>250197</v>
      </c>
      <c r="P27" s="733">
        <f>ROUND(P$5*消費支出2!AF14/消費支出2!AF$4,0)</f>
        <v>259356</v>
      </c>
      <c r="Q27" s="733">
        <f>ROUND(Q$5*消費支出2!AG14/消費支出2!AG$4,0)</f>
        <v>242880</v>
      </c>
      <c r="R27" s="733">
        <f>ROUND(R$5*消費支出2!AH14/消費支出2!AH$4,0)</f>
        <v>250732</v>
      </c>
      <c r="S27" s="733">
        <f>ROUND(S$5*消費支出2!AI14/消費支出2!AI$4,0)</f>
        <v>270317</v>
      </c>
      <c r="T27" s="733">
        <f>ROUND(T$5*消費支出2!AJ14/消費支出2!AJ$4,0)</f>
        <v>272116</v>
      </c>
      <c r="U27" s="733">
        <f>ROUND(U$5*消費支出2!AK14/消費支出2!AK$4,0)</f>
        <v>263289</v>
      </c>
      <c r="V27" s="733">
        <f>ROUND(V$5*消費支出2!AL14/消費支出2!AL$4,0)</f>
        <v>272761</v>
      </c>
      <c r="W27" s="733">
        <f>ROUND(W$5*消費支出2!AM14/消費支出2!AM$4,0)</f>
        <v>276475</v>
      </c>
      <c r="X27" s="733">
        <f>ROUND(X$5*消費支出2!AN14/消費支出2!AN$4,0)</f>
        <v>280315</v>
      </c>
    </row>
    <row r="28" spans="1:25">
      <c r="A28" s="731">
        <v>301</v>
      </c>
      <c r="B28" s="731" t="s">
        <v>191</v>
      </c>
      <c r="C28" s="735">
        <f>ROUND(C$5*消費支出2!S15/消費支出2!S$4,0)</f>
        <v>57646</v>
      </c>
      <c r="D28" s="735">
        <f>ROUND(D$5*消費支出2!T15/消費支出2!T$4,0)</f>
        <v>59901</v>
      </c>
      <c r="E28" s="735">
        <f>ROUND(E$5*消費支出2!U15/消費支出2!U$4,0)</f>
        <v>59960</v>
      </c>
      <c r="F28" s="735">
        <f>ROUND(F$5*消費支出2!V15/消費支出2!V$4,0)</f>
        <v>59944</v>
      </c>
      <c r="G28" s="735">
        <f>ROUND(G$5*消費支出2!W15/消費支出2!W$4,0)</f>
        <v>58574</v>
      </c>
      <c r="H28" s="735">
        <f>ROUND(H$5*消費支出2!X15/消費支出2!X$4,0)</f>
        <v>61630</v>
      </c>
      <c r="I28" s="735">
        <f>ROUND(I$5*消費支出2!Y15/消費支出2!Y$4,0)</f>
        <v>60967</v>
      </c>
      <c r="J28" s="735">
        <f>ROUND(J$5*消費支出2!Z15/消費支出2!Z$4,0)</f>
        <v>63380</v>
      </c>
      <c r="K28" s="735">
        <f>ROUND(K$5*消費支出2!AA15/消費支出2!AA$4,0)</f>
        <v>62732</v>
      </c>
      <c r="L28" s="735">
        <f>ROUND(L$5*消費支出2!AB15/消費支出2!AB$4,0)</f>
        <v>63195</v>
      </c>
      <c r="M28" s="735">
        <f>ROUND(M$5*消費支出2!AC15/消費支出2!AC$4,0)</f>
        <v>60609</v>
      </c>
      <c r="N28" s="735">
        <f>ROUND(N$5*消費支出2!AD15/消費支出2!AD$4,0)</f>
        <v>63384</v>
      </c>
      <c r="O28" s="735">
        <f>ROUND(O$5*消費支出2!AE15/消費支出2!AE$4,0)</f>
        <v>66843</v>
      </c>
      <c r="P28" s="735">
        <f>ROUND(P$5*消費支出2!AF15/消費支出2!AF$4,0)</f>
        <v>68272</v>
      </c>
      <c r="Q28" s="735">
        <f>ROUND(Q$5*消費支出2!AG15/消費支出2!AG$4,0)</f>
        <v>65179</v>
      </c>
      <c r="R28" s="735">
        <f>ROUND(R$5*消費支出2!AH15/消費支出2!AH$4,0)</f>
        <v>64577</v>
      </c>
      <c r="S28" s="735">
        <f>ROUND(S$5*消費支出2!AI15/消費支出2!AI$4,0)</f>
        <v>70338</v>
      </c>
      <c r="T28" s="735">
        <f>ROUND(T$5*消費支出2!AJ15/消費支出2!AJ$4,0)</f>
        <v>69718</v>
      </c>
      <c r="U28" s="735">
        <f>ROUND(U$5*消費支出2!AK15/消費支出2!AK$4,0)</f>
        <v>69189</v>
      </c>
      <c r="V28" s="735">
        <f>ROUND(V$5*消費支出2!AL15/消費支出2!AL$4,0)</f>
        <v>71119</v>
      </c>
      <c r="W28" s="735">
        <f>ROUND(W$5*消費支出2!AM15/消費支出2!AM$4,0)</f>
        <v>70222</v>
      </c>
      <c r="X28" s="735">
        <f>ROUND(X$5*消費支出2!AN15/消費支出2!AN$4,0)</f>
        <v>69385</v>
      </c>
    </row>
    <row r="29" spans="1:25">
      <c r="A29" s="730">
        <v>3</v>
      </c>
      <c r="B29" s="730" t="s">
        <v>192</v>
      </c>
      <c r="C29" s="733">
        <f>SUM(C30:C34)</f>
        <v>1576725</v>
      </c>
      <c r="D29" s="733">
        <f>SUM(D30:D34)</f>
        <v>1592183</v>
      </c>
      <c r="E29" s="733">
        <f t="shared" ref="E29:J29" si="59">SUM(E30:E34)</f>
        <v>1565575</v>
      </c>
      <c r="F29" s="733">
        <f t="shared" si="59"/>
        <v>1548820</v>
      </c>
      <c r="G29" s="733">
        <f t="shared" si="59"/>
        <v>1530937</v>
      </c>
      <c r="H29" s="733">
        <f t="shared" si="59"/>
        <v>1529623</v>
      </c>
      <c r="I29" s="733">
        <f t="shared" si="59"/>
        <v>1546073</v>
      </c>
      <c r="J29" s="733">
        <f t="shared" si="59"/>
        <v>1587990</v>
      </c>
      <c r="K29" s="733">
        <f t="shared" ref="K29:P29" si="60">SUM(K30:K34)</f>
        <v>1565143</v>
      </c>
      <c r="L29" s="733">
        <f t="shared" si="60"/>
        <v>1555924</v>
      </c>
      <c r="M29" s="733">
        <f t="shared" si="60"/>
        <v>1546443</v>
      </c>
      <c r="N29" s="733">
        <f t="shared" si="60"/>
        <v>1610577</v>
      </c>
      <c r="O29" s="733">
        <f t="shared" si="60"/>
        <v>1655579</v>
      </c>
      <c r="P29" s="733">
        <f t="shared" si="60"/>
        <v>1725400</v>
      </c>
      <c r="Q29" s="733">
        <f t="shared" ref="Q29:V29" si="61">SUM(Q30:Q34)</f>
        <v>1634579</v>
      </c>
      <c r="R29" s="733">
        <f t="shared" si="61"/>
        <v>1757194</v>
      </c>
      <c r="S29" s="733">
        <f t="shared" si="61"/>
        <v>1885455</v>
      </c>
      <c r="T29" s="733">
        <f t="shared" si="61"/>
        <v>1846707</v>
      </c>
      <c r="U29" s="733">
        <f t="shared" si="61"/>
        <v>1887919</v>
      </c>
      <c r="V29" s="733">
        <f t="shared" si="61"/>
        <v>1955744</v>
      </c>
      <c r="W29" s="733">
        <f t="shared" ref="W29:X29" si="62">SUM(W30:W34)</f>
        <v>1986167</v>
      </c>
      <c r="X29" s="733">
        <f t="shared" si="62"/>
        <v>2017448</v>
      </c>
    </row>
    <row r="30" spans="1:25">
      <c r="A30" s="730">
        <v>203</v>
      </c>
      <c r="B30" s="730" t="s">
        <v>193</v>
      </c>
      <c r="C30" s="733">
        <f>ROUND(C$5*消費支出2!S17/消費支出2!S$4,0)</f>
        <v>670326</v>
      </c>
      <c r="D30" s="733">
        <f>ROUND(D$5*消費支出2!T17/消費支出2!T$4,0)</f>
        <v>677708</v>
      </c>
      <c r="E30" s="733">
        <f>ROUND(E$5*消費支出2!U17/消費支出2!U$4,0)</f>
        <v>665908</v>
      </c>
      <c r="F30" s="733">
        <f>ROUND(F$5*消費支出2!V17/消費支出2!V$4,0)</f>
        <v>660356</v>
      </c>
      <c r="G30" s="733">
        <f>ROUND(G$5*消費支出2!W17/消費支出2!W$4,0)</f>
        <v>655806</v>
      </c>
      <c r="H30" s="733">
        <f>ROUND(H$5*消費支出2!X17/消費支出2!X$4,0)</f>
        <v>645046</v>
      </c>
      <c r="I30" s="733">
        <f>ROUND(I$5*消費支出2!Y17/消費支出2!Y$4,0)</f>
        <v>651419</v>
      </c>
      <c r="J30" s="733">
        <f>ROUND(J$5*消費支出2!Z17/消費支出2!Z$4,0)</f>
        <v>666848</v>
      </c>
      <c r="K30" s="733">
        <f>ROUND(K$5*消費支出2!AA17/消費支出2!AA$4,0)</f>
        <v>656855</v>
      </c>
      <c r="L30" s="733">
        <f>ROUND(L$5*消費支出2!AB17/消費支出2!AB$4,0)</f>
        <v>652013</v>
      </c>
      <c r="M30" s="733">
        <f>ROUND(M$5*消費支出2!AC17/消費支出2!AC$4,0)</f>
        <v>653935</v>
      </c>
      <c r="N30" s="733">
        <f>ROUND(N$5*消費支出2!AD17/消費支出2!AD$4,0)</f>
        <v>693352</v>
      </c>
      <c r="O30" s="733">
        <f>ROUND(O$5*消費支出2!AE17/消費支出2!AE$4,0)</f>
        <v>710976</v>
      </c>
      <c r="P30" s="733">
        <f>ROUND(P$5*消費支出2!AF17/消費支出2!AF$4,0)</f>
        <v>747243</v>
      </c>
      <c r="Q30" s="733">
        <f>ROUND(Q$5*消費支出2!AG17/消費支出2!AG$4,0)</f>
        <v>708786</v>
      </c>
      <c r="R30" s="733">
        <f>ROUND(R$5*消費支出2!AH17/消費支出2!AH$4,0)</f>
        <v>772567</v>
      </c>
      <c r="S30" s="733">
        <f>ROUND(S$5*消費支出2!AI17/消費支出2!AI$4,0)</f>
        <v>826763</v>
      </c>
      <c r="T30" s="733">
        <f>ROUND(T$5*消費支出2!AJ17/消費支出2!AJ$4,0)</f>
        <v>804438</v>
      </c>
      <c r="U30" s="733">
        <f>ROUND(U$5*消費支出2!AK17/消費支出2!AK$4,0)</f>
        <v>832325</v>
      </c>
      <c r="V30" s="733">
        <f>ROUND(V$5*消費支出2!AL17/消費支出2!AL$4,0)</f>
        <v>862360</v>
      </c>
      <c r="W30" s="733">
        <f>ROUND(W$5*消費支出2!AM17/消費支出2!AM$4,0)</f>
        <v>877254</v>
      </c>
      <c r="X30" s="733">
        <f>ROUND(X$5*消費支出2!AN17/消費支出2!AN$4,0)</f>
        <v>892506</v>
      </c>
    </row>
    <row r="31" spans="1:25">
      <c r="A31" s="730">
        <v>210</v>
      </c>
      <c r="B31" s="730" t="s">
        <v>194</v>
      </c>
      <c r="C31" s="733">
        <f>ROUND(C$5*消費支出2!S18/消費支出2!S$4,0)</f>
        <v>569639</v>
      </c>
      <c r="D31" s="733">
        <f>ROUND(D$5*消費支出2!T18/消費支出2!T$4,0)</f>
        <v>575752</v>
      </c>
      <c r="E31" s="733">
        <f>ROUND(E$5*消費支出2!U18/消費支出2!U$4,0)</f>
        <v>566679</v>
      </c>
      <c r="F31" s="733">
        <f>ROUND(F$5*消費支出2!V18/消費支出2!V$4,0)</f>
        <v>560193</v>
      </c>
      <c r="G31" s="733">
        <f>ROUND(G$5*消費支出2!W18/消費支出2!W$4,0)</f>
        <v>558776</v>
      </c>
      <c r="H31" s="733">
        <f>ROUND(H$5*消費支出2!X18/消費支出2!X$4,0)</f>
        <v>554232</v>
      </c>
      <c r="I31" s="733">
        <f>ROUND(I$5*消費支出2!Y18/消費支出2!Y$4,0)</f>
        <v>560105</v>
      </c>
      <c r="J31" s="733">
        <f>ROUND(J$5*消費支出2!Z18/消費支出2!Z$4,0)</f>
        <v>571962</v>
      </c>
      <c r="K31" s="733">
        <f>ROUND(K$5*消費支出2!AA18/消費支出2!AA$4,0)</f>
        <v>561184</v>
      </c>
      <c r="L31" s="733">
        <f>ROUND(L$5*消費支出2!AB18/消費支出2!AB$4,0)</f>
        <v>553615</v>
      </c>
      <c r="M31" s="733">
        <f>ROUND(M$5*消費支出2!AC18/消費支出2!AC$4,0)</f>
        <v>550120</v>
      </c>
      <c r="N31" s="733">
        <f>ROUND(N$5*消費支出2!AD18/消費支出2!AD$4,0)</f>
        <v>572799</v>
      </c>
      <c r="O31" s="733">
        <f>ROUND(O$5*消費支出2!AE18/消費支出2!AE$4,0)</f>
        <v>579981</v>
      </c>
      <c r="P31" s="733">
        <f>ROUND(P$5*消費支出2!AF18/消費支出2!AF$4,0)</f>
        <v>602263</v>
      </c>
      <c r="Q31" s="733">
        <f>ROUND(Q$5*消費支出2!AG18/消費支出2!AG$4,0)</f>
        <v>568500</v>
      </c>
      <c r="R31" s="733">
        <f>ROUND(R$5*消費支出2!AH18/消費支出2!AH$4,0)</f>
        <v>620696</v>
      </c>
      <c r="S31" s="733">
        <f>ROUND(S$5*消費支出2!AI18/消費支出2!AI$4,0)</f>
        <v>662388</v>
      </c>
      <c r="T31" s="733">
        <f>ROUND(T$5*消費支出2!AJ18/消費支出2!AJ$4,0)</f>
        <v>642566</v>
      </c>
      <c r="U31" s="733">
        <f>ROUND(U$5*消費支出2!AK18/消費支出2!AK$4,0)</f>
        <v>663046</v>
      </c>
      <c r="V31" s="733">
        <f>ROUND(V$5*消費支出2!AL18/消費支出2!AL$4,0)</f>
        <v>686454</v>
      </c>
      <c r="W31" s="733">
        <f>ROUND(W$5*消費支出2!AM18/消費支出2!AM$4,0)</f>
        <v>695774</v>
      </c>
      <c r="X31" s="733">
        <f>ROUND(X$5*消費支出2!AN18/消費支出2!AN$4,0)</f>
        <v>705415</v>
      </c>
    </row>
    <row r="32" spans="1:25">
      <c r="A32" s="730">
        <v>216</v>
      </c>
      <c r="B32" s="730" t="s">
        <v>195</v>
      </c>
      <c r="C32" s="733">
        <f>ROUND(C$5*消費支出2!S19/消費支出2!S$4,0)</f>
        <v>204092</v>
      </c>
      <c r="D32" s="733">
        <f>ROUND(D$5*消費支出2!T19/消費支出2!T$4,0)</f>
        <v>204921</v>
      </c>
      <c r="E32" s="733">
        <f>ROUND(E$5*消費支出2!U19/消費支出2!U$4,0)</f>
        <v>201893</v>
      </c>
      <c r="F32" s="733">
        <f>ROUND(F$5*消費支出2!V19/消費支出2!V$4,0)</f>
        <v>199220</v>
      </c>
      <c r="G32" s="733">
        <f>ROUND(G$5*消費支出2!W19/消費支出2!W$4,0)</f>
        <v>190484</v>
      </c>
      <c r="H32" s="733">
        <f>ROUND(H$5*消費支出2!X19/消費支出2!X$4,0)</f>
        <v>196323</v>
      </c>
      <c r="I32" s="733">
        <f>ROUND(I$5*消費支出2!Y19/消費支出2!Y$4,0)</f>
        <v>199980</v>
      </c>
      <c r="J32" s="733">
        <f>ROUND(J$5*消費支出2!Z19/消費支出2!Z$4,0)</f>
        <v>207862</v>
      </c>
      <c r="K32" s="733">
        <f>ROUND(K$5*消費支出2!AA19/消費支出2!AA$4,0)</f>
        <v>207035</v>
      </c>
      <c r="L32" s="733">
        <f>ROUND(L$5*消費支出2!AB19/消費支出2!AB$4,0)</f>
        <v>208827</v>
      </c>
      <c r="M32" s="733">
        <f>ROUND(M$5*消費支出2!AC19/消費支出2!AC$4,0)</f>
        <v>206568</v>
      </c>
      <c r="N32" s="733">
        <f>ROUND(N$5*消費支出2!AD19/消費支出2!AD$4,0)</f>
        <v>202736</v>
      </c>
      <c r="O32" s="733">
        <f>ROUND(O$5*消費支出2!AE19/消費支出2!AE$4,0)</f>
        <v>215518</v>
      </c>
      <c r="P32" s="733">
        <f>ROUND(P$5*消費支出2!AF19/消費支出2!AF$4,0)</f>
        <v>222209</v>
      </c>
      <c r="Q32" s="733">
        <f>ROUND(Q$5*消費支出2!AG19/消費支出2!AG$4,0)</f>
        <v>208980</v>
      </c>
      <c r="R32" s="733">
        <f>ROUND(R$5*消費支出2!AH19/消費支出2!AH$4,0)</f>
        <v>215688</v>
      </c>
      <c r="S32" s="733">
        <f>ROUND(S$5*消費支出2!AI19/消費支出2!AI$4,0)</f>
        <v>233173</v>
      </c>
      <c r="T32" s="733">
        <f>ROUND(T$5*消費支出2!AJ19/消費支出2!AJ$4,0)</f>
        <v>235871</v>
      </c>
      <c r="U32" s="733">
        <f>ROUND(U$5*消費支出2!AK19/消費支出2!AK$4,0)</f>
        <v>227278</v>
      </c>
      <c r="V32" s="733">
        <f>ROUND(V$5*消費支出2!AL19/消費支出2!AL$4,0)</f>
        <v>235588</v>
      </c>
      <c r="W32" s="733">
        <f>ROUND(W$5*消費支出2!AM19/消費支出2!AM$4,0)</f>
        <v>238716</v>
      </c>
      <c r="X32" s="733">
        <f>ROUND(X$5*消費支出2!AN19/消費支出2!AN$4,0)</f>
        <v>241954</v>
      </c>
    </row>
    <row r="33" spans="1:24">
      <c r="A33" s="730">
        <v>381</v>
      </c>
      <c r="B33" s="730" t="s">
        <v>196</v>
      </c>
      <c r="C33" s="733">
        <f>ROUND(C$5*消費支出2!S20/消費支出2!S$4,0)</f>
        <v>59759</v>
      </c>
      <c r="D33" s="733">
        <f>ROUND(D$5*消費支出2!T20/消費支出2!T$4,0)</f>
        <v>60188</v>
      </c>
      <c r="E33" s="733">
        <f>ROUND(E$5*消費支出2!U20/消費支出2!U$4,0)</f>
        <v>59031</v>
      </c>
      <c r="F33" s="733">
        <f>ROUND(F$5*消費支出2!V20/消費支出2!V$4,0)</f>
        <v>57849</v>
      </c>
      <c r="G33" s="733">
        <f>ROUND(G$5*消費支出2!W20/消費支出2!W$4,0)</f>
        <v>56437</v>
      </c>
      <c r="H33" s="733">
        <f>ROUND(H$5*消費支出2!X20/消費支出2!X$4,0)</f>
        <v>60038</v>
      </c>
      <c r="I33" s="733">
        <f>ROUND(I$5*消費支出2!Y20/消費支出2!Y$4,0)</f>
        <v>60341</v>
      </c>
      <c r="J33" s="733">
        <f>ROUND(J$5*消費支出2!Z20/消費支出2!Z$4,0)</f>
        <v>63636</v>
      </c>
      <c r="K33" s="733">
        <f>ROUND(K$5*消費支出2!AA20/消費支出2!AA$4,0)</f>
        <v>63206</v>
      </c>
      <c r="L33" s="733">
        <f>ROUND(L$5*消費支出2!AB20/消費支出2!AB$4,0)</f>
        <v>64233</v>
      </c>
      <c r="M33" s="733">
        <f>ROUND(M$5*消費支出2!AC20/消費支出2!AC$4,0)</f>
        <v>61615</v>
      </c>
      <c r="N33" s="733">
        <f>ROUND(N$5*消費支出2!AD20/消費支出2!AD$4,0)</f>
        <v>64163</v>
      </c>
      <c r="O33" s="733">
        <f>ROUND(O$5*消費支出2!AE20/消費支出2!AE$4,0)</f>
        <v>67619</v>
      </c>
      <c r="P33" s="733">
        <f>ROUND(P$5*消費支出2!AF20/消費支出2!AF$4,0)</f>
        <v>69619</v>
      </c>
      <c r="Q33" s="733">
        <f>ROUND(Q$5*消費支出2!AG20/消費支出2!AG$4,0)</f>
        <v>67064</v>
      </c>
      <c r="R33" s="733">
        <f>ROUND(R$5*消費支出2!AH20/消費支出2!AH$4,0)</f>
        <v>66916</v>
      </c>
      <c r="S33" s="733">
        <f>ROUND(S$5*消費支出2!AI20/消費支出2!AI$4,0)</f>
        <v>73703</v>
      </c>
      <c r="T33" s="733">
        <f>ROUND(T$5*消費支出2!AJ20/消費支出2!AJ$4,0)</f>
        <v>74163</v>
      </c>
      <c r="U33" s="733">
        <f>ROUND(U$5*消費支出2!AK20/消費支出2!AK$4,0)</f>
        <v>75074</v>
      </c>
      <c r="V33" s="733">
        <f>ROUND(V$5*消費支出2!AL20/消費支出2!AL$4,0)</f>
        <v>77701</v>
      </c>
      <c r="W33" s="733">
        <f>ROUND(W$5*消費支出2!AM20/消費支出2!AM$4,0)</f>
        <v>78890</v>
      </c>
      <c r="X33" s="733">
        <f>ROUND(X$5*消費支出2!AN20/消費支出2!AN$4,0)</f>
        <v>80113</v>
      </c>
    </row>
    <row r="34" spans="1:24">
      <c r="A34" s="730">
        <v>382</v>
      </c>
      <c r="B34" s="730" t="s">
        <v>197</v>
      </c>
      <c r="C34" s="735">
        <f>ROUND(C$5*消費支出2!S21/消費支出2!S$4,0)</f>
        <v>72909</v>
      </c>
      <c r="D34" s="735">
        <f>ROUND(D$5*消費支出2!T21/消費支出2!T$4,0)</f>
        <v>73614</v>
      </c>
      <c r="E34" s="735">
        <f>ROUND(E$5*消費支出2!U21/消費支出2!U$4,0)</f>
        <v>72064</v>
      </c>
      <c r="F34" s="735">
        <f>ROUND(F$5*消費支出2!V21/消費支出2!V$4,0)</f>
        <v>71202</v>
      </c>
      <c r="G34" s="735">
        <f>ROUND(G$5*消費支出2!W21/消費支出2!W$4,0)</f>
        <v>69434</v>
      </c>
      <c r="H34" s="735">
        <f>ROUND(H$5*消費支出2!X21/消費支出2!X$4,0)</f>
        <v>73984</v>
      </c>
      <c r="I34" s="735">
        <f>ROUND(I$5*消費支出2!Y21/消費支出2!Y$4,0)</f>
        <v>74228</v>
      </c>
      <c r="J34" s="735">
        <f>ROUND(J$5*消費支出2!Z21/消費支出2!Z$4,0)</f>
        <v>77682</v>
      </c>
      <c r="K34" s="735">
        <f>ROUND(K$5*消費支出2!AA21/消費支出2!AA$4,0)</f>
        <v>76863</v>
      </c>
      <c r="L34" s="735">
        <f>ROUND(L$5*消費支出2!AB21/消費支出2!AB$4,0)</f>
        <v>77236</v>
      </c>
      <c r="M34" s="735">
        <f>ROUND(M$5*消費支出2!AC21/消費支出2!AC$4,0)</f>
        <v>74205</v>
      </c>
      <c r="N34" s="735">
        <f>ROUND(N$5*消費支出2!AD21/消費支出2!AD$4,0)</f>
        <v>77527</v>
      </c>
      <c r="O34" s="735">
        <f>ROUND(O$5*消費支出2!AE21/消費支出2!AE$4,0)</f>
        <v>81485</v>
      </c>
      <c r="P34" s="735">
        <f>ROUND(P$5*消費支出2!AF21/消費支出2!AF$4,0)</f>
        <v>84066</v>
      </c>
      <c r="Q34" s="735">
        <f>ROUND(Q$5*消費支出2!AG21/消費支出2!AG$4,0)</f>
        <v>81249</v>
      </c>
      <c r="R34" s="735">
        <f>ROUND(R$5*消費支出2!AH21/消費支出2!AH$4,0)</f>
        <v>81327</v>
      </c>
      <c r="S34" s="735">
        <f>ROUND(S$5*消費支出2!AI21/消費支出2!AI$4,0)</f>
        <v>89428</v>
      </c>
      <c r="T34" s="735">
        <f>ROUND(T$5*消費支出2!AJ21/消費支出2!AJ$4,0)</f>
        <v>89669</v>
      </c>
      <c r="U34" s="735">
        <f>ROUND(U$5*消費支出2!AK21/消費支出2!AK$4,0)</f>
        <v>90196</v>
      </c>
      <c r="V34" s="735">
        <f>ROUND(V$5*消費支出2!AL21/消費支出2!AL$4,0)</f>
        <v>93641</v>
      </c>
      <c r="W34" s="735">
        <f>ROUND(W$5*消費支出2!AM21/消費支出2!AM$4,0)</f>
        <v>95533</v>
      </c>
      <c r="X34" s="735">
        <f>ROUND(X$5*消費支出2!AN21/消費支出2!AN$4,0)</f>
        <v>97460</v>
      </c>
    </row>
    <row r="35" spans="1:24">
      <c r="A35" s="728">
        <v>4</v>
      </c>
      <c r="B35" s="728" t="s">
        <v>325</v>
      </c>
      <c r="C35" s="734">
        <f>SUM(C36:C41)</f>
        <v>559047</v>
      </c>
      <c r="D35" s="734">
        <f>SUM(D36:D41)</f>
        <v>562349</v>
      </c>
      <c r="E35" s="734">
        <f t="shared" ref="E35:J35" si="63">SUM(E36:E41)</f>
        <v>551573</v>
      </c>
      <c r="F35" s="734">
        <f t="shared" si="63"/>
        <v>543363</v>
      </c>
      <c r="G35" s="734">
        <f t="shared" si="63"/>
        <v>524413</v>
      </c>
      <c r="H35" s="734">
        <f t="shared" si="63"/>
        <v>548957</v>
      </c>
      <c r="I35" s="734">
        <f t="shared" si="63"/>
        <v>548962</v>
      </c>
      <c r="J35" s="734">
        <f t="shared" si="63"/>
        <v>570874</v>
      </c>
      <c r="K35" s="734">
        <f t="shared" ref="K35:P35" si="64">SUM(K36:K41)</f>
        <v>562499</v>
      </c>
      <c r="L35" s="734">
        <f t="shared" si="64"/>
        <v>566762</v>
      </c>
      <c r="M35" s="734">
        <f t="shared" si="64"/>
        <v>550215</v>
      </c>
      <c r="N35" s="734">
        <f t="shared" si="64"/>
        <v>568533</v>
      </c>
      <c r="O35" s="734">
        <f t="shared" si="64"/>
        <v>605089</v>
      </c>
      <c r="P35" s="734">
        <f t="shared" si="64"/>
        <v>627212</v>
      </c>
      <c r="Q35" s="734">
        <f t="shared" ref="Q35:V35" si="65">SUM(Q36:Q41)</f>
        <v>602064</v>
      </c>
      <c r="R35" s="734">
        <f t="shared" si="65"/>
        <v>601943</v>
      </c>
      <c r="S35" s="734">
        <f t="shared" si="65"/>
        <v>657078</v>
      </c>
      <c r="T35" s="734">
        <f t="shared" si="65"/>
        <v>658419</v>
      </c>
      <c r="U35" s="734">
        <f t="shared" si="65"/>
        <v>654485</v>
      </c>
      <c r="V35" s="734">
        <f t="shared" si="65"/>
        <v>678416</v>
      </c>
      <c r="W35" s="734">
        <f t="shared" ref="W35:X35" si="66">SUM(W36:W41)</f>
        <v>688840</v>
      </c>
      <c r="X35" s="734">
        <f t="shared" si="66"/>
        <v>699563</v>
      </c>
    </row>
    <row r="36" spans="1:24">
      <c r="A36" s="730">
        <v>213</v>
      </c>
      <c r="B36" s="730" t="s">
        <v>199</v>
      </c>
      <c r="C36" s="733">
        <f>ROUND(C$5*消費支出2!S23/消費支出2!S$4,0)</f>
        <v>87721</v>
      </c>
      <c r="D36" s="733">
        <f>ROUND(D$5*消費支出2!T23/消費支出2!T$4,0)</f>
        <v>87755</v>
      </c>
      <c r="E36" s="733">
        <f>ROUND(E$5*消費支出2!U23/消費支出2!U$4,0)</f>
        <v>86202</v>
      </c>
      <c r="F36" s="733">
        <f>ROUND(F$5*消費支出2!V23/消費支出2!V$4,0)</f>
        <v>84973</v>
      </c>
      <c r="G36" s="733">
        <f>ROUND(G$5*消費支出2!W23/消費支出2!W$4,0)</f>
        <v>82724</v>
      </c>
      <c r="H36" s="733">
        <f>ROUND(H$5*消費支出2!X23/消費支出2!X$4,0)</f>
        <v>86959</v>
      </c>
      <c r="I36" s="733">
        <f>ROUND(I$5*消費支出2!Y23/消費支出2!Y$4,0)</f>
        <v>86028</v>
      </c>
      <c r="J36" s="733">
        <f>ROUND(J$5*消費支出2!Z23/消費支出2!Z$4,0)</f>
        <v>89404</v>
      </c>
      <c r="K36" s="733">
        <f>ROUND(K$5*消費支出2!AA23/消費支出2!AA$4,0)</f>
        <v>87414</v>
      </c>
      <c r="L36" s="733">
        <f>ROUND(L$5*消費支出2!AB23/消費支出2!AB$4,0)</f>
        <v>87670</v>
      </c>
      <c r="M36" s="733">
        <f>ROUND(M$5*消費支出2!AC23/消費支出2!AC$4,0)</f>
        <v>83267</v>
      </c>
      <c r="N36" s="733">
        <f>ROUND(N$5*消費支出2!AD23/消費支出2!AD$4,0)</f>
        <v>86498</v>
      </c>
      <c r="O36" s="733">
        <f>ROUND(O$5*消費支出2!AE23/消費支出2!AE$4,0)</f>
        <v>90944</v>
      </c>
      <c r="P36" s="733">
        <f>ROUND(P$5*消費支出2!AF23/消費支出2!AF$4,0)</f>
        <v>93134</v>
      </c>
      <c r="Q36" s="733">
        <f>ROUND(Q$5*消費支出2!AG23/消費支出2!AG$4,0)</f>
        <v>89349</v>
      </c>
      <c r="R36" s="733">
        <f>ROUND(R$5*消費支出2!AH23/消費支出2!AH$4,0)</f>
        <v>87557</v>
      </c>
      <c r="S36" s="733">
        <f>ROUND(S$5*消費支出2!AI23/消費支出2!AI$4,0)</f>
        <v>95553</v>
      </c>
      <c r="T36" s="733">
        <f>ROUND(T$5*消費支出2!AJ23/消費支出2!AJ$4,0)</f>
        <v>94934</v>
      </c>
      <c r="U36" s="733">
        <f>ROUND(U$5*消費支出2!AK23/消費支出2!AK$4,0)</f>
        <v>95056</v>
      </c>
      <c r="V36" s="733">
        <f>ROUND(V$5*消費支出2!AL23/消費支出2!AL$4,0)</f>
        <v>97729</v>
      </c>
      <c r="W36" s="733">
        <f>ROUND(W$5*消費支出2!AM23/消費支出2!AM$4,0)</f>
        <v>96168</v>
      </c>
      <c r="X36" s="733">
        <f>ROUND(X$5*消費支出2!AN23/消費支出2!AN$4,0)</f>
        <v>94692</v>
      </c>
    </row>
    <row r="37" spans="1:24">
      <c r="A37" s="730">
        <v>215</v>
      </c>
      <c r="B37" s="730" t="s">
        <v>329</v>
      </c>
      <c r="C37" s="733">
        <f>ROUND(C$5*消費支出2!S24/消費支出2!S$4,0)</f>
        <v>166649</v>
      </c>
      <c r="D37" s="733">
        <f>ROUND(D$5*消費支出2!T24/消費支出2!T$4,0)</f>
        <v>167978</v>
      </c>
      <c r="E37" s="733">
        <f>ROUND(E$5*消費支出2!U24/消費支出2!U$4,0)</f>
        <v>165091</v>
      </c>
      <c r="F37" s="733">
        <f>ROUND(F$5*消費支出2!V24/消費支出2!V$4,0)</f>
        <v>162737</v>
      </c>
      <c r="G37" s="733">
        <f>ROUND(G$5*消費支出2!W24/消費支出2!W$4,0)</f>
        <v>151942</v>
      </c>
      <c r="H37" s="733">
        <f>ROUND(H$5*消費支出2!X24/消費支出2!X$4,0)</f>
        <v>156720</v>
      </c>
      <c r="I37" s="733">
        <f>ROUND(I$5*消費支出2!Y24/消費支出2!Y$4,0)</f>
        <v>158681</v>
      </c>
      <c r="J37" s="733">
        <f>ROUND(J$5*消費支出2!Z24/消費支出2!Z$4,0)</f>
        <v>164316</v>
      </c>
      <c r="K37" s="733">
        <f>ROUND(K$5*消費支出2!AA24/消費支出2!AA$4,0)</f>
        <v>163079</v>
      </c>
      <c r="L37" s="733">
        <f>ROUND(L$5*消費支出2!AB24/消費支出2!AB$4,0)</f>
        <v>164654</v>
      </c>
      <c r="M37" s="733">
        <f>ROUND(M$5*消費支出2!AC24/消費支出2!AC$4,0)</f>
        <v>163646</v>
      </c>
      <c r="N37" s="733">
        <f>ROUND(N$5*消費支出2!AD24/消費支出2!AD$4,0)</f>
        <v>162799</v>
      </c>
      <c r="O37" s="733">
        <f>ROUND(O$5*消費支出2!AE24/消費支出2!AE$4,0)</f>
        <v>175394</v>
      </c>
      <c r="P37" s="733">
        <f>ROUND(P$5*消費支出2!AF24/消費支出2!AF$4,0)</f>
        <v>182562</v>
      </c>
      <c r="Q37" s="733">
        <f>ROUND(Q$5*消費支出2!AG24/消費支出2!AG$4,0)</f>
        <v>172879</v>
      </c>
      <c r="R37" s="733">
        <f>ROUND(R$5*消費支出2!AH24/消費支出2!AH$4,0)</f>
        <v>178406</v>
      </c>
      <c r="S37" s="733">
        <f>ROUND(S$5*消費支出2!AI24/消費支出2!AI$4,0)</f>
        <v>192756</v>
      </c>
      <c r="T37" s="733">
        <f>ROUND(T$5*消費支出2!AJ24/消費支出2!AJ$4,0)</f>
        <v>195192</v>
      </c>
      <c r="U37" s="733">
        <f>ROUND(U$5*消費支出2!AK24/消費支出2!AK$4,0)</f>
        <v>188380</v>
      </c>
      <c r="V37" s="733">
        <f>ROUND(V$5*消費支出2!AL24/消費支出2!AL$4,0)</f>
        <v>195402</v>
      </c>
      <c r="W37" s="733">
        <f>ROUND(W$5*消費支出2!AM24/消費支出2!AM$4,0)</f>
        <v>197594</v>
      </c>
      <c r="X37" s="733">
        <f>ROUND(X$5*消費支出2!AN24/消費支出2!AN$4,0)</f>
        <v>199884</v>
      </c>
    </row>
    <row r="38" spans="1:24">
      <c r="A38" s="730">
        <v>218</v>
      </c>
      <c r="B38" s="730" t="s">
        <v>200</v>
      </c>
      <c r="C38" s="733">
        <f>ROUND(C$5*消費支出2!S25/消費支出2!S$4,0)</f>
        <v>95539</v>
      </c>
      <c r="D38" s="733">
        <f>ROUND(D$5*消費支出2!T25/消費支出2!T$4,0)</f>
        <v>96445</v>
      </c>
      <c r="E38" s="733">
        <f>ROUND(E$5*消費支出2!U25/消費支出2!U$4,0)</f>
        <v>94951</v>
      </c>
      <c r="F38" s="733">
        <f>ROUND(F$5*消費支出2!V25/消費支出2!V$4,0)</f>
        <v>94506</v>
      </c>
      <c r="G38" s="733">
        <f>ROUND(G$5*消費支出2!W25/消費支出2!W$4,0)</f>
        <v>90898</v>
      </c>
      <c r="H38" s="733">
        <f>ROUND(H$5*消費支出2!X25/消費支出2!X$4,0)</f>
        <v>96083</v>
      </c>
      <c r="I38" s="733">
        <f>ROUND(I$5*消費支出2!Y25/消費支出2!Y$4,0)</f>
        <v>95663</v>
      </c>
      <c r="J38" s="733">
        <f>ROUND(J$5*消費支出2!Z25/消費支出2!Z$4,0)</f>
        <v>99868</v>
      </c>
      <c r="K38" s="733">
        <f>ROUND(K$5*消費支出2!AA25/消費支出2!AA$4,0)</f>
        <v>98093</v>
      </c>
      <c r="L38" s="733">
        <f>ROUND(L$5*消費支出2!AB25/消費支出2!AB$4,0)</f>
        <v>98220</v>
      </c>
      <c r="M38" s="733">
        <f>ROUND(M$5*消費支出2!AC25/消費支出2!AC$4,0)</f>
        <v>94190</v>
      </c>
      <c r="N38" s="733">
        <f>ROUND(N$5*消費支出2!AD25/消費支出2!AD$4,0)</f>
        <v>99431</v>
      </c>
      <c r="O38" s="733">
        <f>ROUND(O$5*消費支出2!AE25/消費支出2!AE$4,0)</f>
        <v>105142</v>
      </c>
      <c r="P38" s="733">
        <f>ROUND(P$5*消費支出2!AF25/消費支出2!AF$4,0)</f>
        <v>108812</v>
      </c>
      <c r="Q38" s="733">
        <f>ROUND(Q$5*消費支出2!AG25/消費支出2!AG$4,0)</f>
        <v>104919</v>
      </c>
      <c r="R38" s="733">
        <f>ROUND(R$5*消費支出2!AH25/消費支出2!AH$4,0)</f>
        <v>104723</v>
      </c>
      <c r="S38" s="733">
        <f>ROUND(S$5*消費支出2!AI25/消費支出2!AI$4,0)</f>
        <v>114904</v>
      </c>
      <c r="T38" s="733">
        <f>ROUND(T$5*消費支出2!AJ25/消費支出2!AJ$4,0)</f>
        <v>115126</v>
      </c>
      <c r="U38" s="733">
        <f>ROUND(U$5*消費支出2!AK25/消費支出2!AK$4,0)</f>
        <v>115597</v>
      </c>
      <c r="V38" s="733">
        <f>ROUND(V$5*消費支出2!AL25/消費支出2!AL$4,0)</f>
        <v>121109</v>
      </c>
      <c r="W38" s="733">
        <f>ROUND(W$5*消費支出2!AM25/消費支出2!AM$4,0)</f>
        <v>126788</v>
      </c>
      <c r="X38" s="733">
        <f>ROUND(X$5*消費支出2!AN25/消費支出2!AN$4,0)</f>
        <v>132467</v>
      </c>
    </row>
    <row r="39" spans="1:24">
      <c r="A39" s="730">
        <v>220</v>
      </c>
      <c r="B39" s="730" t="s">
        <v>201</v>
      </c>
      <c r="C39" s="733">
        <f>ROUND(C$5*消費支出2!S26/消費支出2!S$4,0)</f>
        <v>90119</v>
      </c>
      <c r="D39" s="733">
        <f>ROUND(D$5*消費支出2!T26/消費支出2!T$4,0)</f>
        <v>90350</v>
      </c>
      <c r="E39" s="733">
        <f>ROUND(E$5*消費支出2!U26/消費支出2!U$4,0)</f>
        <v>88212</v>
      </c>
      <c r="F39" s="733">
        <f>ROUND(F$5*消費支出2!V26/消費支出2!V$4,0)</f>
        <v>86068</v>
      </c>
      <c r="G39" s="733">
        <f>ROUND(G$5*消費支出2!W26/消費支出2!W$4,0)</f>
        <v>83822</v>
      </c>
      <c r="H39" s="733">
        <f>ROUND(H$5*消費支出2!X26/消費支出2!X$4,0)</f>
        <v>87877</v>
      </c>
      <c r="I39" s="733">
        <f>ROUND(I$5*消費支出2!Y26/消費支出2!Y$4,0)</f>
        <v>87137</v>
      </c>
      <c r="J39" s="733">
        <f>ROUND(J$5*消費支出2!Z26/消費支出2!Z$4,0)</f>
        <v>90275</v>
      </c>
      <c r="K39" s="733">
        <f>ROUND(K$5*消費支出2!AA26/消費支出2!AA$4,0)</f>
        <v>88930</v>
      </c>
      <c r="L39" s="733">
        <f>ROUND(L$5*消費支出2!AB26/消費支出2!AB$4,0)</f>
        <v>89505</v>
      </c>
      <c r="M39" s="733">
        <f>ROUND(M$5*消費支出2!AC26/消費支出2!AC$4,0)</f>
        <v>86092</v>
      </c>
      <c r="N39" s="733">
        <f>ROUND(N$5*消費支出2!AD26/消費支出2!AD$4,0)</f>
        <v>90305</v>
      </c>
      <c r="O39" s="733">
        <f>ROUND(O$5*消費支出2!AE26/消費支出2!AE$4,0)</f>
        <v>96328</v>
      </c>
      <c r="P39" s="733">
        <f>ROUND(P$5*消費支出2!AF26/消費支出2!AF$4,0)</f>
        <v>99535</v>
      </c>
      <c r="Q39" s="733">
        <f>ROUND(Q$5*消費支出2!AG26/消費支出2!AG$4,0)</f>
        <v>95700</v>
      </c>
      <c r="R39" s="733">
        <f>ROUND(R$5*消費支出2!AH26/消費支出2!AH$4,0)</f>
        <v>94090</v>
      </c>
      <c r="S39" s="733">
        <f>ROUND(S$5*消費支出2!AI26/消費支出2!AI$4,0)</f>
        <v>103079</v>
      </c>
      <c r="T39" s="733">
        <f>ROUND(T$5*消費支出2!AJ26/消費支出2!AJ$4,0)</f>
        <v>103004</v>
      </c>
      <c r="U39" s="733">
        <f>ROUND(U$5*消費支出2!AK26/消費支出2!AK$4,0)</f>
        <v>103967</v>
      </c>
      <c r="V39" s="733">
        <f>ROUND(V$5*消費支出2!AL26/消費支出2!AL$4,0)</f>
        <v>107249</v>
      </c>
      <c r="W39" s="733">
        <f>ROUND(W$5*消費支出2!AM26/消費支出2!AM$4,0)</f>
        <v>108113</v>
      </c>
      <c r="X39" s="733">
        <f>ROUND(X$5*消費支出2!AN26/消費支出2!AN$4,0)</f>
        <v>109036</v>
      </c>
    </row>
    <row r="40" spans="1:24">
      <c r="A40" s="730">
        <v>228</v>
      </c>
      <c r="B40" s="730" t="s">
        <v>330</v>
      </c>
      <c r="C40" s="733">
        <f>ROUND(C$5*消費支出2!S27/消費支出2!S$4,0)</f>
        <v>79089</v>
      </c>
      <c r="D40" s="733">
        <f>ROUND(D$5*消費支出2!T27/消費支出2!T$4,0)</f>
        <v>79733</v>
      </c>
      <c r="E40" s="733">
        <f>ROUND(E$5*消費支出2!U27/消費支出2!U$4,0)</f>
        <v>77990</v>
      </c>
      <c r="F40" s="733">
        <f>ROUND(F$5*消費支出2!V27/消費支出2!V$4,0)</f>
        <v>76926</v>
      </c>
      <c r="G40" s="733">
        <f>ROUND(G$5*消費支出2!W27/消費支出2!W$4,0)</f>
        <v>78000</v>
      </c>
      <c r="H40" s="733">
        <f>ROUND(H$5*消費支出2!X27/消費支出2!X$4,0)</f>
        <v>82640</v>
      </c>
      <c r="I40" s="733">
        <f>ROUND(I$5*消費支出2!Y27/消費支出2!Y$4,0)</f>
        <v>82902</v>
      </c>
      <c r="J40" s="733">
        <f>ROUND(J$5*消費支出2!Z27/消費支出2!Z$4,0)</f>
        <v>86990</v>
      </c>
      <c r="K40" s="733">
        <f>ROUND(K$5*消費支出2!AA27/消費支出2!AA$4,0)</f>
        <v>86032</v>
      </c>
      <c r="L40" s="733">
        <f>ROUND(L$5*消費支出2!AB27/消費支出2!AB$4,0)</f>
        <v>87885</v>
      </c>
      <c r="M40" s="733">
        <f>ROUND(M$5*消費支出2!AC27/消費支出2!AC$4,0)</f>
        <v>86203</v>
      </c>
      <c r="N40" s="733">
        <f>ROUND(N$5*消費支出2!AD27/消費支出2!AD$4,0)</f>
        <v>91468</v>
      </c>
      <c r="O40" s="733">
        <f>ROUND(O$5*消費支出2!AE27/消費支出2!AE$4,0)</f>
        <v>97696</v>
      </c>
      <c r="P40" s="733">
        <f>ROUND(P$5*消費支出2!AF27/消費支出2!AF$4,0)</f>
        <v>102701</v>
      </c>
      <c r="Q40" s="733">
        <f>ROUND(Q$5*消費支出2!AG27/消費支出2!AG$4,0)</f>
        <v>100560</v>
      </c>
      <c r="R40" s="733">
        <f>ROUND(R$5*消費支出2!AH27/消費支出2!AH$4,0)</f>
        <v>99063</v>
      </c>
      <c r="S40" s="733">
        <f>ROUND(S$5*消費支出2!AI27/消費支出2!AI$4,0)</f>
        <v>109008</v>
      </c>
      <c r="T40" s="733">
        <f>ROUND(T$5*消費支出2!AJ27/消費支出2!AJ$4,0)</f>
        <v>109163</v>
      </c>
      <c r="U40" s="733">
        <f>ROUND(U$5*消費支出2!AK27/消費支出2!AK$4,0)</f>
        <v>110303</v>
      </c>
      <c r="V40" s="733">
        <f>ROUND(V$5*消費支出2!AL27/消費支出2!AL$4,0)</f>
        <v>114230</v>
      </c>
      <c r="W40" s="733">
        <f>ROUND(W$5*消費支出2!AM27/消費支出2!AM$4,0)</f>
        <v>116675</v>
      </c>
      <c r="X40" s="733">
        <f>ROUND(X$5*消費支出2!AN27/消費支出2!AN$4,0)</f>
        <v>119161</v>
      </c>
    </row>
    <row r="41" spans="1:24">
      <c r="A41" s="731">
        <v>365</v>
      </c>
      <c r="B41" s="731" t="s">
        <v>331</v>
      </c>
      <c r="C41" s="735">
        <f>ROUND(C$5*消費支出2!S28/消費支出2!S$4,0)</f>
        <v>39930</v>
      </c>
      <c r="D41" s="735">
        <f>ROUND(D$5*消費支出2!T28/消費支出2!T$4,0)</f>
        <v>40088</v>
      </c>
      <c r="E41" s="735">
        <f>ROUND(E$5*消費支出2!U28/消費支出2!U$4,0)</f>
        <v>39127</v>
      </c>
      <c r="F41" s="735">
        <f>ROUND(F$5*消費支出2!V28/消費支出2!V$4,0)</f>
        <v>38153</v>
      </c>
      <c r="G41" s="735">
        <f>ROUND(G$5*消費支出2!W28/消費支出2!W$4,0)</f>
        <v>37027</v>
      </c>
      <c r="H41" s="735">
        <f>ROUND(H$5*消費支出2!X28/消費支出2!X$4,0)</f>
        <v>38678</v>
      </c>
      <c r="I41" s="735">
        <f>ROUND(I$5*消費支出2!Y28/消費支出2!Y$4,0)</f>
        <v>38551</v>
      </c>
      <c r="J41" s="735">
        <f>ROUND(J$5*消費支出2!Z28/消費支出2!Z$4,0)</f>
        <v>40021</v>
      </c>
      <c r="K41" s="735">
        <f>ROUND(K$5*消費支出2!AA28/消費支出2!AA$4,0)</f>
        <v>38951</v>
      </c>
      <c r="L41" s="735">
        <f>ROUND(L$5*消費支出2!AB28/消費支出2!AB$4,0)</f>
        <v>38828</v>
      </c>
      <c r="M41" s="735">
        <f>ROUND(M$5*消費支出2!AC28/消費支出2!AC$4,0)</f>
        <v>36817</v>
      </c>
      <c r="N41" s="735">
        <f>ROUND(N$5*消費支出2!AD28/消費支出2!AD$4,0)</f>
        <v>38032</v>
      </c>
      <c r="O41" s="735">
        <f>ROUND(O$5*消費支出2!AE28/消費支出2!AE$4,0)</f>
        <v>39585</v>
      </c>
      <c r="P41" s="735">
        <f>ROUND(P$5*消費支出2!AF28/消費支出2!AF$4,0)</f>
        <v>40468</v>
      </c>
      <c r="Q41" s="735">
        <f>ROUND(Q$5*消費支出2!AG28/消費支出2!AG$4,0)</f>
        <v>38657</v>
      </c>
      <c r="R41" s="735">
        <f>ROUND(R$5*消費支出2!AH28/消費支出2!AH$4,0)</f>
        <v>38104</v>
      </c>
      <c r="S41" s="735">
        <f>ROUND(S$5*消費支出2!AI28/消費支出2!AI$4,0)</f>
        <v>41778</v>
      </c>
      <c r="T41" s="735">
        <f>ROUND(T$5*消費支出2!AJ28/消費支出2!AJ$4,0)</f>
        <v>41000</v>
      </c>
      <c r="U41" s="735">
        <f>ROUND(U$5*消費支出2!AK28/消費支出2!AK$4,0)</f>
        <v>41182</v>
      </c>
      <c r="V41" s="735">
        <f>ROUND(V$5*消費支出2!AL28/消費支出2!AL$4,0)</f>
        <v>42697</v>
      </c>
      <c r="W41" s="735">
        <f>ROUND(W$5*消費支出2!AM28/消費支出2!AM$4,0)</f>
        <v>43502</v>
      </c>
      <c r="X41" s="735">
        <f>ROUND(X$5*消費支出2!AN28/消費支出2!AN$4,0)</f>
        <v>44323</v>
      </c>
    </row>
    <row r="42" spans="1:24">
      <c r="A42" s="730">
        <v>5</v>
      </c>
      <c r="B42" s="730" t="s">
        <v>326</v>
      </c>
      <c r="C42" s="733">
        <f>SUM(C43:C46)</f>
        <v>1243163</v>
      </c>
      <c r="D42" s="733">
        <f>SUM(D43:D46)</f>
        <v>1263513</v>
      </c>
      <c r="E42" s="733">
        <f t="shared" ref="E42:J42" si="67">SUM(E43:E46)</f>
        <v>1247473</v>
      </c>
      <c r="F42" s="733">
        <f t="shared" si="67"/>
        <v>1239078</v>
      </c>
      <c r="G42" s="733">
        <f t="shared" si="67"/>
        <v>1245173</v>
      </c>
      <c r="H42" s="733">
        <f t="shared" si="67"/>
        <v>1237344</v>
      </c>
      <c r="I42" s="733">
        <f t="shared" si="67"/>
        <v>1232001</v>
      </c>
      <c r="J42" s="733">
        <f t="shared" si="67"/>
        <v>1265449</v>
      </c>
      <c r="K42" s="733">
        <f t="shared" ref="K42:P42" si="68">SUM(K43:K46)</f>
        <v>1252102</v>
      </c>
      <c r="L42" s="733">
        <f t="shared" si="68"/>
        <v>1277710</v>
      </c>
      <c r="M42" s="733">
        <f t="shared" si="68"/>
        <v>1277091</v>
      </c>
      <c r="N42" s="733">
        <f t="shared" si="68"/>
        <v>1286671</v>
      </c>
      <c r="O42" s="733">
        <f t="shared" si="68"/>
        <v>1271121</v>
      </c>
      <c r="P42" s="733">
        <f t="shared" si="68"/>
        <v>1248272</v>
      </c>
      <c r="Q42" s="733">
        <f t="shared" ref="Q42:V42" si="69">SUM(Q43:Q46)</f>
        <v>1207777</v>
      </c>
      <c r="R42" s="733">
        <f t="shared" si="69"/>
        <v>1232979</v>
      </c>
      <c r="S42" s="733">
        <f t="shared" si="69"/>
        <v>1288802</v>
      </c>
      <c r="T42" s="733">
        <f t="shared" si="69"/>
        <v>1337584</v>
      </c>
      <c r="U42" s="733">
        <f t="shared" si="69"/>
        <v>1383797</v>
      </c>
      <c r="V42" s="733">
        <f t="shared" si="69"/>
        <v>1433956</v>
      </c>
      <c r="W42" s="733">
        <f t="shared" ref="W42:X42" si="70">SUM(W43:W46)</f>
        <v>1458805</v>
      </c>
      <c r="X42" s="733">
        <f t="shared" si="70"/>
        <v>1484247</v>
      </c>
    </row>
    <row r="43" spans="1:24">
      <c r="A43" s="730">
        <v>201</v>
      </c>
      <c r="B43" s="730" t="s">
        <v>332</v>
      </c>
      <c r="C43" s="733">
        <f>ROUND(C$5*消費支出2!S30/消費支出2!S$4,0)</f>
        <v>1157647</v>
      </c>
      <c r="D43" s="733">
        <f>ROUND(D$5*消費支出2!T30/消費支出2!T$4,0)</f>
        <v>1177204</v>
      </c>
      <c r="E43" s="733">
        <f>ROUND(E$5*消費支出2!U30/消費支出2!U$4,0)</f>
        <v>1163339</v>
      </c>
      <c r="F43" s="733">
        <f>ROUND(F$5*消費支出2!V30/消費支出2!V$4,0)</f>
        <v>1156417</v>
      </c>
      <c r="G43" s="733">
        <f>ROUND(G$5*消費支出2!W30/消費支出2!W$4,0)</f>
        <v>1163481</v>
      </c>
      <c r="H43" s="733">
        <f>ROUND(H$5*消費支出2!X30/消費支出2!X$4,0)</f>
        <v>1151464</v>
      </c>
      <c r="I43" s="733">
        <f>ROUND(I$5*消費支出2!Y30/消費支出2!Y$4,0)</f>
        <v>1147293</v>
      </c>
      <c r="J43" s="733">
        <f>ROUND(J$5*消費支出2!Z30/消費支出2!Z$4,0)</f>
        <v>1177071</v>
      </c>
      <c r="K43" s="733">
        <f>ROUND(K$5*消費支出2!AA30/消費支出2!AA$4,0)</f>
        <v>1165355</v>
      </c>
      <c r="L43" s="733">
        <f>ROUND(L$5*消費支出2!AB30/消費支出2!AB$4,0)</f>
        <v>1190104</v>
      </c>
      <c r="M43" s="733">
        <f>ROUND(M$5*消費支出2!AC30/消費支出2!AC$4,0)</f>
        <v>1192418</v>
      </c>
      <c r="N43" s="733">
        <f>ROUND(N$5*消費支出2!AD30/消費支出2!AD$4,0)</f>
        <v>1197368</v>
      </c>
      <c r="O43" s="733">
        <f>ROUND(O$5*消費支出2!AE30/消費支出2!AE$4,0)</f>
        <v>1176801</v>
      </c>
      <c r="P43" s="733">
        <f>ROUND(P$5*消費支出2!AF30/消費支出2!AF$4,0)</f>
        <v>1150622</v>
      </c>
      <c r="Q43" s="733">
        <f>ROUND(Q$5*消費支出2!AG30/消費支出2!AG$4,0)</f>
        <v>1114121</v>
      </c>
      <c r="R43" s="733">
        <f>ROUND(R$5*消費支出2!AH30/消費支出2!AH$4,0)</f>
        <v>1140560</v>
      </c>
      <c r="S43" s="733">
        <f>ROUND(S$5*消費支出2!AI30/消費支出2!AI$4,0)</f>
        <v>1187859</v>
      </c>
      <c r="T43" s="733">
        <f>ROUND(T$5*消費支出2!AJ30/消費支出2!AJ$4,0)</f>
        <v>1236134</v>
      </c>
      <c r="U43" s="733">
        <f>ROUND(U$5*消費支出2!AK30/消費支出2!AK$4,0)</f>
        <v>1282355</v>
      </c>
      <c r="V43" s="733">
        <f>ROUND(V$5*消費支出2!AL30/消費支出2!AL$4,0)</f>
        <v>1329743</v>
      </c>
      <c r="W43" s="733">
        <f>ROUND(W$5*消費支出2!AM30/消費支出2!AM$4,0)</f>
        <v>1356145</v>
      </c>
      <c r="X43" s="733">
        <f>ROUND(X$5*消費支出2!AN30/消費支出2!AN$4,0)</f>
        <v>1383051</v>
      </c>
    </row>
    <row r="44" spans="1:24">
      <c r="A44" s="730">
        <v>442</v>
      </c>
      <c r="B44" s="730" t="s">
        <v>203</v>
      </c>
      <c r="C44" s="733">
        <f>ROUND(C$5*消費支出2!S31/消費支出2!S$4,0)</f>
        <v>25491</v>
      </c>
      <c r="D44" s="733">
        <f>ROUND(D$5*消費支出2!T31/消費支出2!T$4,0)</f>
        <v>25637</v>
      </c>
      <c r="E44" s="733">
        <f>ROUND(E$5*消費支出2!U31/消費支出2!U$4,0)</f>
        <v>24942</v>
      </c>
      <c r="F44" s="733">
        <f>ROUND(F$5*消費支出2!V31/消費支出2!V$4,0)</f>
        <v>24443</v>
      </c>
      <c r="G44" s="733">
        <f>ROUND(G$5*消費支出2!W31/消費支出2!W$4,0)</f>
        <v>24008</v>
      </c>
      <c r="H44" s="733">
        <f>ROUND(H$5*消費支出2!X31/消費支出2!X$4,0)</f>
        <v>25021</v>
      </c>
      <c r="I44" s="733">
        <f>ROUND(I$5*消費支出2!Y31/消費支出2!Y$4,0)</f>
        <v>24733</v>
      </c>
      <c r="J44" s="733">
        <f>ROUND(J$5*消費支出2!Z31/消費支出2!Z$4,0)</f>
        <v>25797</v>
      </c>
      <c r="K44" s="733">
        <f>ROUND(K$5*消費支出2!AA31/消費支出2!AA$4,0)</f>
        <v>25213</v>
      </c>
      <c r="L44" s="733">
        <f>ROUND(L$5*消費支出2!AB31/消費支出2!AB$4,0)</f>
        <v>25248</v>
      </c>
      <c r="M44" s="733">
        <f>ROUND(M$5*消費支出2!AC31/消費支出2!AC$4,0)</f>
        <v>23967</v>
      </c>
      <c r="N44" s="733">
        <f>ROUND(N$5*消費支出2!AD31/消費支出2!AD$4,0)</f>
        <v>25117</v>
      </c>
      <c r="O44" s="733">
        <f>ROUND(O$5*消費支出2!AE31/消費支出2!AE$4,0)</f>
        <v>26111</v>
      </c>
      <c r="P44" s="733">
        <f>ROUND(P$5*消費支出2!AF31/消費支出2!AF$4,0)</f>
        <v>26693</v>
      </c>
      <c r="Q44" s="733">
        <f>ROUND(Q$5*消費支出2!AG31/消費支出2!AG$4,0)</f>
        <v>25473</v>
      </c>
      <c r="R44" s="733">
        <f>ROUND(R$5*消費支出2!AH31/消費支出2!AH$4,0)</f>
        <v>25032</v>
      </c>
      <c r="S44" s="733">
        <f>ROUND(S$5*消費支出2!AI31/消費支出2!AI$4,0)</f>
        <v>27119</v>
      </c>
      <c r="T44" s="733">
        <f>ROUND(T$5*消費支出2!AJ31/消費支出2!AJ$4,0)</f>
        <v>26822</v>
      </c>
      <c r="U44" s="733">
        <f>ROUND(U$5*消費支出2!AK31/消費支出2!AK$4,0)</f>
        <v>26714</v>
      </c>
      <c r="V44" s="733">
        <f>ROUND(V$5*消費支出2!AL31/消費支出2!AL$4,0)</f>
        <v>27171</v>
      </c>
      <c r="W44" s="733">
        <f>ROUND(W$5*消費支出2!AM31/消費支出2!AM$4,0)</f>
        <v>25846</v>
      </c>
      <c r="X44" s="733">
        <f>ROUND(X$5*消費支出2!AN31/消費支出2!AN$4,0)</f>
        <v>24558</v>
      </c>
    </row>
    <row r="45" spans="1:24">
      <c r="A45" s="730">
        <v>443</v>
      </c>
      <c r="B45" s="730" t="s">
        <v>204</v>
      </c>
      <c r="C45" s="733">
        <f>ROUND(C$5*消費支出2!S32/消費支出2!S$4,0)</f>
        <v>37778</v>
      </c>
      <c r="D45" s="733">
        <f>ROUND(D$5*消費支出2!T32/消費支出2!T$4,0)</f>
        <v>38400</v>
      </c>
      <c r="E45" s="733">
        <f>ROUND(E$5*消費支出2!U32/消費支出2!U$4,0)</f>
        <v>37458</v>
      </c>
      <c r="F45" s="733">
        <f>ROUND(F$5*消費支出2!V32/消費支出2!V$4,0)</f>
        <v>36746</v>
      </c>
      <c r="G45" s="733">
        <f>ROUND(G$5*消費支出2!W32/消費支出2!W$4,0)</f>
        <v>36640</v>
      </c>
      <c r="H45" s="733">
        <f>ROUND(H$5*消費支出2!X32/消費支出2!X$4,0)</f>
        <v>38846</v>
      </c>
      <c r="I45" s="733">
        <f>ROUND(I$5*消費支出2!Y32/消費支出2!Y$4,0)</f>
        <v>38391</v>
      </c>
      <c r="J45" s="733">
        <f>ROUND(J$5*消費支出2!Z32/消費支出2!Z$4,0)</f>
        <v>40045</v>
      </c>
      <c r="K45" s="733">
        <f>ROUND(K$5*消費支出2!AA32/消費支出2!AA$4,0)</f>
        <v>39515</v>
      </c>
      <c r="L45" s="733">
        <f>ROUND(L$5*消費支出2!AB32/消費支出2!AB$4,0)</f>
        <v>40232</v>
      </c>
      <c r="M45" s="733">
        <f>ROUND(M$5*消費支出2!AC32/消費支出2!AC$4,0)</f>
        <v>39459</v>
      </c>
      <c r="N45" s="733">
        <f>ROUND(N$5*消費支出2!AD32/消費支出2!AD$4,0)</f>
        <v>42207</v>
      </c>
      <c r="O45" s="733">
        <f>ROUND(O$5*消費支出2!AE32/消費支出2!AE$4,0)</f>
        <v>45342</v>
      </c>
      <c r="P45" s="733">
        <f>ROUND(P$5*消費支出2!AF32/消費支出2!AF$4,0)</f>
        <v>47553</v>
      </c>
      <c r="Q45" s="733">
        <f>ROUND(Q$5*消費支出2!AG32/消費支出2!AG$4,0)</f>
        <v>45921</v>
      </c>
      <c r="R45" s="733">
        <f>ROUND(R$5*消費支出2!AH32/消費支出2!AH$4,0)</f>
        <v>45255</v>
      </c>
      <c r="S45" s="733">
        <f>ROUND(S$5*消費支出2!AI32/消費支出2!AI$4,0)</f>
        <v>49761</v>
      </c>
      <c r="T45" s="733">
        <f>ROUND(T$5*消費支出2!AJ32/消費支出2!AJ$4,0)</f>
        <v>50769</v>
      </c>
      <c r="U45" s="733">
        <f>ROUND(U$5*消費支出2!AK32/消費支出2!AK$4,0)</f>
        <v>50809</v>
      </c>
      <c r="V45" s="733">
        <f>ROUND(V$5*消費支出2!AL32/消費支出2!AL$4,0)</f>
        <v>52610</v>
      </c>
      <c r="W45" s="733">
        <f>ROUND(W$5*消費支出2!AM32/消費支出2!AM$4,0)</f>
        <v>52897</v>
      </c>
      <c r="X45" s="733">
        <f>ROUND(X$5*消費支出2!AN32/消費支出2!AN$4,0)</f>
        <v>53213</v>
      </c>
    </row>
    <row r="46" spans="1:24">
      <c r="A46" s="730">
        <v>446</v>
      </c>
      <c r="B46" s="730" t="s">
        <v>333</v>
      </c>
      <c r="C46" s="735">
        <f>ROUND(C$5*消費支出2!S33/消費支出2!S$4,0)</f>
        <v>22247</v>
      </c>
      <c r="D46" s="735">
        <f>ROUND(D$5*消費支出2!T33/消費支出2!T$4,0)</f>
        <v>22272</v>
      </c>
      <c r="E46" s="735">
        <f>ROUND(E$5*消費支出2!U33/消費支出2!U$4,0)</f>
        <v>21734</v>
      </c>
      <c r="F46" s="735">
        <f>ROUND(F$5*消費支出2!V33/消費支出2!V$4,0)</f>
        <v>21472</v>
      </c>
      <c r="G46" s="735">
        <f>ROUND(G$5*消費支出2!W33/消費支出2!W$4,0)</f>
        <v>21044</v>
      </c>
      <c r="H46" s="735">
        <f>ROUND(H$5*消費支出2!X33/消費支出2!X$4,0)</f>
        <v>22013</v>
      </c>
      <c r="I46" s="735">
        <f>ROUND(I$5*消費支出2!Y33/消費支出2!Y$4,0)</f>
        <v>21584</v>
      </c>
      <c r="J46" s="735">
        <f>ROUND(J$5*消費支出2!Z33/消費支出2!Z$4,0)</f>
        <v>22536</v>
      </c>
      <c r="K46" s="735">
        <f>ROUND(K$5*消費支出2!AA33/消費支出2!AA$4,0)</f>
        <v>22019</v>
      </c>
      <c r="L46" s="735">
        <f>ROUND(L$5*消費支出2!AB33/消費支出2!AB$4,0)</f>
        <v>22126</v>
      </c>
      <c r="M46" s="735">
        <f>ROUND(M$5*消費支出2!AC33/消費支出2!AC$4,0)</f>
        <v>21247</v>
      </c>
      <c r="N46" s="735">
        <f>ROUND(N$5*消費支出2!AD33/消費支出2!AD$4,0)</f>
        <v>21979</v>
      </c>
      <c r="O46" s="735">
        <f>ROUND(O$5*消費支出2!AE33/消費支出2!AE$4,0)</f>
        <v>22867</v>
      </c>
      <c r="P46" s="735">
        <f>ROUND(P$5*消費支出2!AF33/消費支出2!AF$4,0)</f>
        <v>23404</v>
      </c>
      <c r="Q46" s="735">
        <f>ROUND(Q$5*消費支出2!AG33/消費支出2!AG$4,0)</f>
        <v>22262</v>
      </c>
      <c r="R46" s="735">
        <f>ROUND(R$5*消費支出2!AH33/消費支出2!AH$4,0)</f>
        <v>22132</v>
      </c>
      <c r="S46" s="735">
        <f>ROUND(S$5*消費支出2!AI33/消費支出2!AI$4,0)</f>
        <v>24063</v>
      </c>
      <c r="T46" s="735">
        <f>ROUND(T$5*消費支出2!AJ33/消費支出2!AJ$4,0)</f>
        <v>23859</v>
      </c>
      <c r="U46" s="735">
        <f>ROUND(U$5*消費支出2!AK33/消費支出2!AK$4,0)</f>
        <v>23919</v>
      </c>
      <c r="V46" s="735">
        <f>ROUND(V$5*消費支出2!AL33/消費支出2!AL$4,0)</f>
        <v>24432</v>
      </c>
      <c r="W46" s="735">
        <f>ROUND(W$5*消費支出2!AM33/消費支出2!AM$4,0)</f>
        <v>23917</v>
      </c>
      <c r="X46" s="735">
        <f>ROUND(X$5*消費支出2!AN33/消費支出2!AN$4,0)</f>
        <v>23425</v>
      </c>
    </row>
    <row r="47" spans="1:24">
      <c r="A47" s="728">
        <v>6</v>
      </c>
      <c r="B47" s="728" t="s">
        <v>327</v>
      </c>
      <c r="C47" s="734">
        <f>SUM(C48:C54)</f>
        <v>544589</v>
      </c>
      <c r="D47" s="734">
        <f>SUM(D48:D54)</f>
        <v>550346</v>
      </c>
      <c r="E47" s="734">
        <f t="shared" ref="E47:J47" si="71">SUM(E48:E54)</f>
        <v>541004</v>
      </c>
      <c r="F47" s="734">
        <f t="shared" si="71"/>
        <v>534896</v>
      </c>
      <c r="G47" s="734">
        <f t="shared" si="71"/>
        <v>517889</v>
      </c>
      <c r="H47" s="734">
        <f t="shared" si="71"/>
        <v>540083</v>
      </c>
      <c r="I47" s="734">
        <f t="shared" si="71"/>
        <v>537514</v>
      </c>
      <c r="J47" s="734">
        <f t="shared" si="71"/>
        <v>557983</v>
      </c>
      <c r="K47" s="734">
        <f t="shared" ref="K47:P47" si="72">SUM(K48:K54)</f>
        <v>548526</v>
      </c>
      <c r="L47" s="734">
        <f t="shared" si="72"/>
        <v>550208</v>
      </c>
      <c r="M47" s="734">
        <f t="shared" si="72"/>
        <v>529215</v>
      </c>
      <c r="N47" s="734">
        <f t="shared" si="72"/>
        <v>542773</v>
      </c>
      <c r="O47" s="734">
        <f t="shared" si="72"/>
        <v>570444</v>
      </c>
      <c r="P47" s="734">
        <f t="shared" si="72"/>
        <v>586042</v>
      </c>
      <c r="Q47" s="734">
        <f t="shared" ref="Q47:V47" si="73">SUM(Q48:Q54)</f>
        <v>557536</v>
      </c>
      <c r="R47" s="734">
        <f t="shared" si="73"/>
        <v>557812</v>
      </c>
      <c r="S47" s="734">
        <f t="shared" si="73"/>
        <v>607178</v>
      </c>
      <c r="T47" s="734">
        <f t="shared" si="73"/>
        <v>605640</v>
      </c>
      <c r="U47" s="734">
        <f t="shared" si="73"/>
        <v>597615</v>
      </c>
      <c r="V47" s="734">
        <f t="shared" si="73"/>
        <v>614774</v>
      </c>
      <c r="W47" s="734">
        <f t="shared" ref="W47:X47" si="74">SUM(W48:W54)</f>
        <v>610895</v>
      </c>
      <c r="X47" s="734">
        <f t="shared" si="74"/>
        <v>607477</v>
      </c>
    </row>
    <row r="48" spans="1:24">
      <c r="A48" s="730">
        <v>208</v>
      </c>
      <c r="B48" s="730" t="s">
        <v>206</v>
      </c>
      <c r="C48" s="733">
        <f>ROUND(C$5*消費支出2!S35/消費支出2!S$4,0)</f>
        <v>70142</v>
      </c>
      <c r="D48" s="733">
        <f>ROUND(D$5*消費支出2!T35/消費支出2!T$4,0)</f>
        <v>70467</v>
      </c>
      <c r="E48" s="733">
        <f>ROUND(E$5*消費支出2!U35/消費支出2!U$4,0)</f>
        <v>69275</v>
      </c>
      <c r="F48" s="733">
        <f>ROUND(F$5*消費支出2!V35/消費支出2!V$4,0)</f>
        <v>68225</v>
      </c>
      <c r="G48" s="733">
        <f>ROUND(G$5*消費支出2!W35/消費支出2!W$4,0)</f>
        <v>67006</v>
      </c>
      <c r="H48" s="733">
        <f>ROUND(H$5*消費支出2!X35/消費支出2!X$4,0)</f>
        <v>69636</v>
      </c>
      <c r="I48" s="733">
        <f>ROUND(I$5*消費支出2!Y35/消費支出2!Y$4,0)</f>
        <v>69164</v>
      </c>
      <c r="J48" s="733">
        <f>ROUND(J$5*消費支出2!Z35/消費支出2!Z$4,0)</f>
        <v>71836</v>
      </c>
      <c r="K48" s="733">
        <f>ROUND(K$5*消費支出2!AA35/消費支出2!AA$4,0)</f>
        <v>70499</v>
      </c>
      <c r="L48" s="733">
        <f>ROUND(L$5*消費支出2!AB35/消費支出2!AB$4,0)</f>
        <v>70799</v>
      </c>
      <c r="M48" s="733">
        <f>ROUND(M$5*消費支出2!AC35/消費支出2!AC$4,0)</f>
        <v>67204</v>
      </c>
      <c r="N48" s="733">
        <f>ROUND(N$5*消費支出2!AD35/消費支出2!AD$4,0)</f>
        <v>69754</v>
      </c>
      <c r="O48" s="733">
        <f>ROUND(O$5*消費支出2!AE35/消費支出2!AE$4,0)</f>
        <v>72562</v>
      </c>
      <c r="P48" s="733">
        <f>ROUND(P$5*消費支出2!AF35/消費支出2!AF$4,0)</f>
        <v>73310</v>
      </c>
      <c r="Q48" s="733">
        <f>ROUND(Q$5*消費支出2!AG35/消費支出2!AG$4,0)</f>
        <v>69550</v>
      </c>
      <c r="R48" s="733">
        <f>ROUND(R$5*消費支出2!AH35/消費支出2!AH$4,0)</f>
        <v>68290</v>
      </c>
      <c r="S48" s="733">
        <f>ROUND(S$5*消費支出2!AI35/消費支出2!AI$4,0)</f>
        <v>73881</v>
      </c>
      <c r="T48" s="733">
        <f>ROUND(T$5*消費支出2!AJ35/消費支出2!AJ$4,0)</f>
        <v>72842</v>
      </c>
      <c r="U48" s="733">
        <f>ROUND(U$5*消費支出2!AK35/消費支出2!AK$4,0)</f>
        <v>72393</v>
      </c>
      <c r="V48" s="733">
        <f>ROUND(V$5*消費支出2!AL35/消費支出2!AL$4,0)</f>
        <v>74382</v>
      </c>
      <c r="W48" s="733">
        <f>ROUND(W$5*消費支出2!AM35/消費支出2!AM$4,0)</f>
        <v>73000</v>
      </c>
      <c r="X48" s="733">
        <f>ROUND(X$5*消費支出2!AN35/消費支出2!AN$4,0)</f>
        <v>71687</v>
      </c>
    </row>
    <row r="49" spans="1:24">
      <c r="A49" s="730">
        <v>212</v>
      </c>
      <c r="B49" s="730" t="s">
        <v>207</v>
      </c>
      <c r="C49" s="733">
        <f>ROUND(C$5*消費支出2!S36/消費支出2!S$4,0)</f>
        <v>107914</v>
      </c>
      <c r="D49" s="733">
        <f>ROUND(D$5*消費支出2!T36/消費支出2!T$4,0)</f>
        <v>109036</v>
      </c>
      <c r="E49" s="733">
        <f>ROUND(E$5*消費支出2!U36/消費支出2!U$4,0)</f>
        <v>107284</v>
      </c>
      <c r="F49" s="733">
        <f>ROUND(F$5*消費支出2!V36/消費支出2!V$4,0)</f>
        <v>105848</v>
      </c>
      <c r="G49" s="733">
        <f>ROUND(G$5*消費支出2!W36/消費支出2!W$4,0)</f>
        <v>103900</v>
      </c>
      <c r="H49" s="733">
        <f>ROUND(H$5*消費支出2!X36/消費支出2!X$4,0)</f>
        <v>108677</v>
      </c>
      <c r="I49" s="733">
        <f>ROUND(I$5*消費支出2!Y36/消費支出2!Y$4,0)</f>
        <v>106898</v>
      </c>
      <c r="J49" s="733">
        <f>ROUND(J$5*消費支出2!Z36/消費支出2!Z$4,0)</f>
        <v>110778</v>
      </c>
      <c r="K49" s="733">
        <f>ROUND(K$5*消費支出2!AA36/消費支出2!AA$4,0)</f>
        <v>108725</v>
      </c>
      <c r="L49" s="733">
        <f>ROUND(L$5*消費支出2!AB36/消費支出2!AB$4,0)</f>
        <v>109108</v>
      </c>
      <c r="M49" s="733">
        <f>ROUND(M$5*消費支出2!AC36/消費支出2!AC$4,0)</f>
        <v>104143</v>
      </c>
      <c r="N49" s="733">
        <f>ROUND(N$5*消費支出2!AD36/消費支出2!AD$4,0)</f>
        <v>108172</v>
      </c>
      <c r="O49" s="733">
        <f>ROUND(O$5*消費支出2!AE36/消費支出2!AE$4,0)</f>
        <v>112973</v>
      </c>
      <c r="P49" s="733">
        <f>ROUND(P$5*消費支出2!AF36/消費支出2!AF$4,0)</f>
        <v>116334</v>
      </c>
      <c r="Q49" s="733">
        <f>ROUND(Q$5*消費支出2!AG36/消費支出2!AG$4,0)</f>
        <v>111406</v>
      </c>
      <c r="R49" s="733">
        <f>ROUND(R$5*消費支出2!AH36/消費支出2!AH$4,0)</f>
        <v>109969</v>
      </c>
      <c r="S49" s="733">
        <f>ROUND(S$5*消費支出2!AI36/消費支出2!AI$4,0)</f>
        <v>119907</v>
      </c>
      <c r="T49" s="733">
        <f>ROUND(T$5*消費支出2!AJ36/消費支出2!AJ$4,0)</f>
        <v>119359</v>
      </c>
      <c r="U49" s="733">
        <f>ROUND(U$5*消費支出2!AK36/消費支出2!AK$4,0)</f>
        <v>119516</v>
      </c>
      <c r="V49" s="733">
        <f>ROUND(V$5*消費支出2!AL36/消費支出2!AL$4,0)</f>
        <v>122820</v>
      </c>
      <c r="W49" s="733">
        <f>ROUND(W$5*消費支出2!AM36/消費支出2!AM$4,0)</f>
        <v>121123</v>
      </c>
      <c r="X49" s="733">
        <f>ROUND(X$5*消費支出2!AN36/消費支出2!AN$4,0)</f>
        <v>119530</v>
      </c>
    </row>
    <row r="50" spans="1:24">
      <c r="A50" s="730">
        <v>227</v>
      </c>
      <c r="B50" s="730" t="s">
        <v>219</v>
      </c>
      <c r="C50" s="733">
        <f>ROUND(C$5*消費支出2!S37/消費支出2!S$4,0)</f>
        <v>77178</v>
      </c>
      <c r="D50" s="733">
        <f>ROUND(D$5*消費支出2!T37/消費支出2!T$4,0)</f>
        <v>77435</v>
      </c>
      <c r="E50" s="733">
        <f>ROUND(E$5*消費支出2!U37/消費支出2!U$4,0)</f>
        <v>76036</v>
      </c>
      <c r="F50" s="733">
        <f>ROUND(F$5*消費支出2!V37/消費支出2!V$4,0)</f>
        <v>75223</v>
      </c>
      <c r="G50" s="733">
        <f>ROUND(G$5*消費支出2!W37/消費支出2!W$4,0)</f>
        <v>72707</v>
      </c>
      <c r="H50" s="733">
        <f>ROUND(H$5*消費支出2!X37/消費支出2!X$4,0)</f>
        <v>75803</v>
      </c>
      <c r="I50" s="733">
        <f>ROUND(I$5*消費支出2!Y37/消費支出2!Y$4,0)</f>
        <v>74513</v>
      </c>
      <c r="J50" s="733">
        <f>ROUND(J$5*消費支出2!Z37/消費支出2!Z$4,0)</f>
        <v>76656</v>
      </c>
      <c r="K50" s="733">
        <f>ROUND(K$5*消費支出2!AA37/消費支出2!AA$4,0)</f>
        <v>74419</v>
      </c>
      <c r="L50" s="733">
        <f>ROUND(L$5*消費支出2!AB37/消費支出2!AB$4,0)</f>
        <v>74120</v>
      </c>
      <c r="M50" s="733">
        <f>ROUND(M$5*消費支出2!AC37/消費支出2!AC$4,0)</f>
        <v>70383</v>
      </c>
      <c r="N50" s="733">
        <f>ROUND(N$5*消費支出2!AD37/消費支出2!AD$4,0)</f>
        <v>73652</v>
      </c>
      <c r="O50" s="733">
        <f>ROUND(O$5*消費支出2!AE37/消費支出2!AE$4,0)</f>
        <v>77072</v>
      </c>
      <c r="P50" s="733">
        <f>ROUND(P$5*消費支出2!AF37/消費支出2!AF$4,0)</f>
        <v>79088</v>
      </c>
      <c r="Q50" s="733">
        <f>ROUND(Q$5*消費支出2!AG37/消費支出2!AG$4,0)</f>
        <v>75888</v>
      </c>
      <c r="R50" s="733">
        <f>ROUND(R$5*消費支出2!AH37/消費支出2!AH$4,0)</f>
        <v>74904</v>
      </c>
      <c r="S50" s="733">
        <f>ROUND(S$5*消費支出2!AI37/消費支出2!AI$4,0)</f>
        <v>81635</v>
      </c>
      <c r="T50" s="733">
        <f>ROUND(T$5*消費支出2!AJ37/消費支出2!AJ$4,0)</f>
        <v>80604</v>
      </c>
      <c r="U50" s="733">
        <f>ROUND(U$5*消費支出2!AK37/消費支出2!AK$4,0)</f>
        <v>80450</v>
      </c>
      <c r="V50" s="733">
        <f>ROUND(V$5*消費支出2!AL37/消費支出2!AL$4,0)</f>
        <v>81932</v>
      </c>
      <c r="W50" s="733">
        <f>ROUND(W$5*消費支出2!AM37/消費支出2!AM$4,0)</f>
        <v>78896</v>
      </c>
      <c r="X50" s="733">
        <f>ROUND(X$5*消費支出2!AN37/消費支出2!AN$4,0)</f>
        <v>75957</v>
      </c>
    </row>
    <row r="51" spans="1:24">
      <c r="A51" s="730">
        <v>229</v>
      </c>
      <c r="B51" s="730" t="s">
        <v>334</v>
      </c>
      <c r="C51" s="733">
        <f>ROUND(C$5*消費支出2!S38/消費支出2!S$4,0)</f>
        <v>151658</v>
      </c>
      <c r="D51" s="733">
        <f>ROUND(D$5*消費支出2!T38/消費支出2!T$4,0)</f>
        <v>154065</v>
      </c>
      <c r="E51" s="733">
        <f>ROUND(E$5*消費支出2!U38/消費支出2!U$4,0)</f>
        <v>151327</v>
      </c>
      <c r="F51" s="733">
        <f>ROUND(F$5*消費支出2!V38/消費支出2!V$4,0)</f>
        <v>150512</v>
      </c>
      <c r="G51" s="733">
        <f>ROUND(G$5*消費支出2!W38/消費支出2!W$4,0)</f>
        <v>142864</v>
      </c>
      <c r="H51" s="733">
        <f>ROUND(H$5*消費支出2!X38/消費支出2!X$4,0)</f>
        <v>147648</v>
      </c>
      <c r="I51" s="733">
        <f>ROUND(I$5*消費支出2!Y38/消費支出2!Y$4,0)</f>
        <v>149924</v>
      </c>
      <c r="J51" s="733">
        <f>ROUND(J$5*消費支出2!Z38/消費支出2!Z$4,0)</f>
        <v>156523</v>
      </c>
      <c r="K51" s="733">
        <f>ROUND(K$5*消費支出2!AA38/消費支出2!AA$4,0)</f>
        <v>155952</v>
      </c>
      <c r="L51" s="733">
        <f>ROUND(L$5*消費支出2!AB38/消費支出2!AB$4,0)</f>
        <v>156861</v>
      </c>
      <c r="M51" s="733">
        <f>ROUND(M$5*消費支出2!AC38/消費支出2!AC$4,0)</f>
        <v>154950</v>
      </c>
      <c r="N51" s="733">
        <f>ROUND(N$5*消費支出2!AD38/消費支出2!AD$4,0)</f>
        <v>153030</v>
      </c>
      <c r="O51" s="733">
        <f>ROUND(O$5*消費支出2!AE38/消費支出2!AE$4,0)</f>
        <v>162966</v>
      </c>
      <c r="P51" s="733">
        <f>ROUND(P$5*消費支出2!AF38/消費支出2!AF$4,0)</f>
        <v>168504</v>
      </c>
      <c r="Q51" s="733">
        <f>ROUND(Q$5*消費支出2!AG38/消費支出2!AG$4,0)</f>
        <v>158005</v>
      </c>
      <c r="R51" s="733">
        <f>ROUND(R$5*消費支出2!AH38/消費支出2!AH$4,0)</f>
        <v>163219</v>
      </c>
      <c r="S51" s="733">
        <f>ROUND(S$5*消費支出2!AI38/消費支出2!AI$4,0)</f>
        <v>177171</v>
      </c>
      <c r="T51" s="733">
        <f>ROUND(T$5*消費支出2!AJ38/消費支出2!AJ$4,0)</f>
        <v>178501</v>
      </c>
      <c r="U51" s="733">
        <f>ROUND(U$5*消費支出2!AK38/消費支出2!AK$4,0)</f>
        <v>171190</v>
      </c>
      <c r="V51" s="733">
        <f>ROUND(V$5*消費支出2!AL38/消費支出2!AL$4,0)</f>
        <v>177124</v>
      </c>
      <c r="W51" s="733">
        <f>ROUND(W$5*消費支出2!AM38/消費支出2!AM$4,0)</f>
        <v>180776</v>
      </c>
      <c r="X51" s="733">
        <f>ROUND(X$5*消費支出2!AN38/消費支出2!AN$4,0)</f>
        <v>184494</v>
      </c>
    </row>
    <row r="52" spans="1:24">
      <c r="A52" s="730">
        <v>464</v>
      </c>
      <c r="B52" s="730" t="s">
        <v>208</v>
      </c>
      <c r="C52" s="733">
        <f>ROUND(C$5*消費支出2!S39/消費支出2!S$4,0)</f>
        <v>64566</v>
      </c>
      <c r="D52" s="733">
        <f>ROUND(D$5*消費支出2!T39/消費支出2!T$4,0)</f>
        <v>65960</v>
      </c>
      <c r="E52" s="733">
        <f>ROUND(E$5*消費支出2!U39/消費支出2!U$4,0)</f>
        <v>65317</v>
      </c>
      <c r="F52" s="733">
        <f>ROUND(F$5*消費支出2!V39/消費支出2!V$4,0)</f>
        <v>64986</v>
      </c>
      <c r="G52" s="733">
        <f>ROUND(G$5*消費支出2!W39/消費支出2!W$4,0)</f>
        <v>64241</v>
      </c>
      <c r="H52" s="733">
        <f>ROUND(H$5*消費支出2!X39/消費支出2!X$4,0)</f>
        <v>68163</v>
      </c>
      <c r="I52" s="733">
        <f>ROUND(I$5*消費支出2!Y39/消費支出2!Y$4,0)</f>
        <v>68084</v>
      </c>
      <c r="J52" s="733">
        <f>ROUND(J$5*消費支出2!Z39/消費支出2!Z$4,0)</f>
        <v>71077</v>
      </c>
      <c r="K52" s="733">
        <f>ROUND(K$5*消費支出2!AA39/消費支出2!AA$4,0)</f>
        <v>69843</v>
      </c>
      <c r="L52" s="733">
        <f>ROUND(L$5*消費支出2!AB39/消費支出2!AB$4,0)</f>
        <v>70444</v>
      </c>
      <c r="M52" s="733">
        <f>ROUND(M$5*消費支出2!AC39/消費支出2!AC$4,0)</f>
        <v>67741</v>
      </c>
      <c r="N52" s="733">
        <f>ROUND(N$5*消費支出2!AD39/消費支出2!AD$4,0)</f>
        <v>71458</v>
      </c>
      <c r="O52" s="733">
        <f>ROUND(O$5*消費支出2!AE39/消費支出2!AE$4,0)</f>
        <v>75504</v>
      </c>
      <c r="P52" s="733">
        <f>ROUND(P$5*消費支出2!AF39/消費支出2!AF$4,0)</f>
        <v>77936</v>
      </c>
      <c r="Q52" s="733">
        <f>ROUND(Q$5*消費支出2!AG39/消費支出2!AG$4,0)</f>
        <v>75152</v>
      </c>
      <c r="R52" s="733">
        <f>ROUND(R$5*消費支出2!AH39/消費支出2!AH$4,0)</f>
        <v>74968</v>
      </c>
      <c r="S52" s="733">
        <f>ROUND(S$5*消費支出2!AI39/消費支出2!AI$4,0)</f>
        <v>82352</v>
      </c>
      <c r="T52" s="733">
        <f>ROUND(T$5*消費支出2!AJ39/消費支出2!AJ$4,0)</f>
        <v>82561</v>
      </c>
      <c r="U52" s="733">
        <f>ROUND(U$5*消費支出2!AK39/消費支出2!AK$4,0)</f>
        <v>83263</v>
      </c>
      <c r="V52" s="733">
        <f>ROUND(V$5*消費支出2!AL39/消費支出2!AL$4,0)</f>
        <v>86472</v>
      </c>
      <c r="W52" s="733">
        <f>ROUND(W$5*消費支出2!AM39/消費支出2!AM$4,0)</f>
        <v>88746</v>
      </c>
      <c r="X52" s="733">
        <f>ROUND(X$5*消費支出2!AN39/消費支出2!AN$4,0)</f>
        <v>91046</v>
      </c>
    </row>
    <row r="53" spans="1:24">
      <c r="A53" s="730">
        <v>481</v>
      </c>
      <c r="B53" s="730" t="s">
        <v>209</v>
      </c>
      <c r="C53" s="733">
        <f>ROUND(C$5*消費支出2!S40/消費支出2!S$4,0)</f>
        <v>34440</v>
      </c>
      <c r="D53" s="733">
        <f>ROUND(D$5*消費支出2!T40/消費支出2!T$4,0)</f>
        <v>34715</v>
      </c>
      <c r="E53" s="733">
        <f>ROUND(E$5*消費支出2!U40/消費支出2!U$4,0)</f>
        <v>34256</v>
      </c>
      <c r="F53" s="733">
        <f>ROUND(F$5*消費支出2!V40/消費支出2!V$4,0)</f>
        <v>33641</v>
      </c>
      <c r="G53" s="733">
        <f>ROUND(G$5*消費支出2!W40/消費支出2!W$4,0)</f>
        <v>32396</v>
      </c>
      <c r="H53" s="733">
        <f>ROUND(H$5*消費支出2!X40/消費支出2!X$4,0)</f>
        <v>33845</v>
      </c>
      <c r="I53" s="733">
        <f>ROUND(I$5*消費支出2!Y40/消費支出2!Y$4,0)</f>
        <v>33214</v>
      </c>
      <c r="J53" s="733">
        <f>ROUND(J$5*消費支出2!Z40/消費支出2!Z$4,0)</f>
        <v>34335</v>
      </c>
      <c r="K53" s="733">
        <f>ROUND(K$5*消費支出2!AA40/消費支出2!AA$4,0)</f>
        <v>33365</v>
      </c>
      <c r="L53" s="733">
        <f>ROUND(L$5*消費支出2!AB40/消費支出2!AB$4,0)</f>
        <v>33293</v>
      </c>
      <c r="M53" s="733">
        <f>ROUND(M$5*消費支出2!AC40/消費支出2!AC$4,0)</f>
        <v>31339</v>
      </c>
      <c r="N53" s="733">
        <f>ROUND(N$5*消費支出2!AD40/消費支出2!AD$4,0)</f>
        <v>32222</v>
      </c>
      <c r="O53" s="733">
        <f>ROUND(O$5*消費支出2!AE40/消費支出2!AE$4,0)</f>
        <v>33508</v>
      </c>
      <c r="P53" s="733">
        <f>ROUND(P$5*消費支出2!AF40/消費支出2!AF$4,0)</f>
        <v>34301</v>
      </c>
      <c r="Q53" s="733">
        <f>ROUND(Q$5*消費支出2!AG40/消費支出2!AG$4,0)</f>
        <v>32619</v>
      </c>
      <c r="R53" s="733">
        <f>ROUND(R$5*消費支出2!AH40/消費支出2!AH$4,0)</f>
        <v>32119</v>
      </c>
      <c r="S53" s="733">
        <f>ROUND(S$5*消費支出2!AI40/消費支出2!AI$4,0)</f>
        <v>34886</v>
      </c>
      <c r="T53" s="733">
        <f>ROUND(T$5*消費支出2!AJ40/消費支出2!AJ$4,0)</f>
        <v>34792</v>
      </c>
      <c r="U53" s="733">
        <f>ROUND(U$5*消費支出2!AK40/消費支出2!AK$4,0)</f>
        <v>34381</v>
      </c>
      <c r="V53" s="733">
        <f>ROUND(V$5*消費支出2!AL40/消費支出2!AL$4,0)</f>
        <v>35005</v>
      </c>
      <c r="W53" s="733">
        <f>ROUND(W$5*消費支出2!AM40/消費支出2!AM$4,0)</f>
        <v>33254</v>
      </c>
      <c r="X53" s="733">
        <f>ROUND(X$5*消費支出2!AN40/消費支出2!AN$4,0)</f>
        <v>31551</v>
      </c>
    </row>
    <row r="54" spans="1:24">
      <c r="A54" s="731">
        <v>501</v>
      </c>
      <c r="B54" s="731" t="s">
        <v>335</v>
      </c>
      <c r="C54" s="735">
        <f>ROUND(C$5*消費支出2!S41/消費支出2!S$4,0)</f>
        <v>38691</v>
      </c>
      <c r="D54" s="735">
        <f>ROUND(D$5*消費支出2!T41/消費支出2!T$4,0)</f>
        <v>38668</v>
      </c>
      <c r="E54" s="735">
        <f>ROUND(E$5*消費支出2!U41/消費支出2!U$4,0)</f>
        <v>37509</v>
      </c>
      <c r="F54" s="735">
        <f>ROUND(F$5*消費支出2!V41/消費支出2!V$4,0)</f>
        <v>36461</v>
      </c>
      <c r="G54" s="735">
        <f>ROUND(G$5*消費支出2!W41/消費支出2!W$4,0)</f>
        <v>34775</v>
      </c>
      <c r="H54" s="735">
        <f>ROUND(H$5*消費支出2!X41/消費支出2!X$4,0)</f>
        <v>36311</v>
      </c>
      <c r="I54" s="735">
        <f>ROUND(I$5*消費支出2!Y41/消費支出2!Y$4,0)</f>
        <v>35717</v>
      </c>
      <c r="J54" s="735">
        <f>ROUND(J$5*消費支出2!Z41/消費支出2!Z$4,0)</f>
        <v>36778</v>
      </c>
      <c r="K54" s="735">
        <f>ROUND(K$5*消費支出2!AA41/消費支出2!AA$4,0)</f>
        <v>35723</v>
      </c>
      <c r="L54" s="735">
        <f>ROUND(L$5*消費支出2!AB41/消費支出2!AB$4,0)</f>
        <v>35583</v>
      </c>
      <c r="M54" s="735">
        <f>ROUND(M$5*消費支出2!AC41/消費支出2!AC$4,0)</f>
        <v>33455</v>
      </c>
      <c r="N54" s="735">
        <f>ROUND(N$5*消費支出2!AD41/消費支出2!AD$4,0)</f>
        <v>34485</v>
      </c>
      <c r="O54" s="735">
        <f>ROUND(O$5*消費支出2!AE41/消費支出2!AE$4,0)</f>
        <v>35859</v>
      </c>
      <c r="P54" s="735">
        <f>ROUND(P$5*消費支出2!AF41/消費支出2!AF$4,0)</f>
        <v>36569</v>
      </c>
      <c r="Q54" s="735">
        <f>ROUND(Q$5*消費支出2!AG41/消費支出2!AG$4,0)</f>
        <v>34916</v>
      </c>
      <c r="R54" s="735">
        <f>ROUND(R$5*消費支出2!AH41/消費支出2!AH$4,0)</f>
        <v>34343</v>
      </c>
      <c r="S54" s="735">
        <f>ROUND(S$5*消費支出2!AI41/消費支出2!AI$4,0)</f>
        <v>37346</v>
      </c>
      <c r="T54" s="735">
        <f>ROUND(T$5*消費支出2!AJ41/消費支出2!AJ$4,0)</f>
        <v>36981</v>
      </c>
      <c r="U54" s="735">
        <f>ROUND(U$5*消費支出2!AK41/消費支出2!AK$4,0)</f>
        <v>36422</v>
      </c>
      <c r="V54" s="735">
        <f>ROUND(V$5*消費支出2!AL41/消費支出2!AL$4,0)</f>
        <v>37039</v>
      </c>
      <c r="W54" s="735">
        <f>ROUND(W$5*消費支出2!AM41/消費支出2!AM$4,0)</f>
        <v>35100</v>
      </c>
      <c r="X54" s="735">
        <f>ROUND(X$5*消費支出2!AN41/消費支出2!AN$4,0)</f>
        <v>33212</v>
      </c>
    </row>
    <row r="55" spans="1:24">
      <c r="A55" s="730">
        <v>7</v>
      </c>
      <c r="B55" s="730" t="s">
        <v>210</v>
      </c>
      <c r="C55" s="733">
        <f>SUM(C56:C60)</f>
        <v>415101</v>
      </c>
      <c r="D55" s="733">
        <f>SUM(D56:D60)</f>
        <v>411721</v>
      </c>
      <c r="E55" s="733">
        <f t="shared" ref="E55:J55" si="75">SUM(E56:E60)</f>
        <v>395383</v>
      </c>
      <c r="F55" s="733">
        <f t="shared" si="75"/>
        <v>383384</v>
      </c>
      <c r="G55" s="733">
        <f t="shared" si="75"/>
        <v>364217</v>
      </c>
      <c r="H55" s="733">
        <f t="shared" si="75"/>
        <v>377940</v>
      </c>
      <c r="I55" s="733">
        <f t="shared" si="75"/>
        <v>377159</v>
      </c>
      <c r="J55" s="733">
        <f t="shared" si="75"/>
        <v>390887</v>
      </c>
      <c r="K55" s="733">
        <f t="shared" ref="K55:P55" si="76">SUM(K56:K60)</f>
        <v>384522</v>
      </c>
      <c r="L55" s="733">
        <f t="shared" si="76"/>
        <v>386207</v>
      </c>
      <c r="M55" s="733">
        <f t="shared" si="76"/>
        <v>372763</v>
      </c>
      <c r="N55" s="733">
        <f t="shared" si="76"/>
        <v>376417</v>
      </c>
      <c r="O55" s="733">
        <f t="shared" si="76"/>
        <v>395001</v>
      </c>
      <c r="P55" s="733">
        <f t="shared" si="76"/>
        <v>403561</v>
      </c>
      <c r="Q55" s="733">
        <f t="shared" ref="Q55:V55" si="77">SUM(Q56:Q60)</f>
        <v>379624</v>
      </c>
      <c r="R55" s="733">
        <f t="shared" si="77"/>
        <v>383318</v>
      </c>
      <c r="S55" s="733">
        <f t="shared" si="77"/>
        <v>415155</v>
      </c>
      <c r="T55" s="733">
        <f t="shared" si="77"/>
        <v>414042</v>
      </c>
      <c r="U55" s="733">
        <f t="shared" si="77"/>
        <v>404610</v>
      </c>
      <c r="V55" s="733">
        <f t="shared" si="77"/>
        <v>413437</v>
      </c>
      <c r="W55" s="733">
        <f t="shared" ref="W55:X55" si="78">SUM(W56:W60)</f>
        <v>397450</v>
      </c>
      <c r="X55" s="733">
        <f t="shared" si="78"/>
        <v>381957</v>
      </c>
    </row>
    <row r="56" spans="1:24">
      <c r="A56" s="730">
        <v>209</v>
      </c>
      <c r="B56" s="730" t="s">
        <v>336</v>
      </c>
      <c r="C56" s="733">
        <f>ROUND(C$5*消費支出2!S43/消費支出2!S$4,0)</f>
        <v>195883</v>
      </c>
      <c r="D56" s="733">
        <f>ROUND(D$5*消費支出2!T43/消費支出2!T$4,0)</f>
        <v>194585</v>
      </c>
      <c r="E56" s="733">
        <f>ROUND(E$5*消費支出2!U43/消費支出2!U$4,0)</f>
        <v>187348</v>
      </c>
      <c r="F56" s="733">
        <f>ROUND(F$5*消費支出2!V43/消費支出2!V$4,0)</f>
        <v>182730</v>
      </c>
      <c r="G56" s="733">
        <f>ROUND(G$5*消費支出2!W43/消費支出2!W$4,0)</f>
        <v>170853</v>
      </c>
      <c r="H56" s="733">
        <f>ROUND(H$5*消費支出2!X43/消費支出2!X$4,0)</f>
        <v>176586</v>
      </c>
      <c r="I56" s="733">
        <f>ROUND(I$5*消費支出2!Y43/消費支出2!Y$4,0)</f>
        <v>178799</v>
      </c>
      <c r="J56" s="733">
        <f>ROUND(J$5*消費支出2!Z43/消費支出2!Z$4,0)</f>
        <v>185904</v>
      </c>
      <c r="K56" s="733">
        <f>ROUND(K$5*消費支出2!AA43/消費支出2!AA$4,0)</f>
        <v>185188</v>
      </c>
      <c r="L56" s="733">
        <f>ROUND(L$5*消費支出2!AB43/消費支出2!AB$4,0)</f>
        <v>186971</v>
      </c>
      <c r="M56" s="733">
        <f>ROUND(M$5*消費支出2!AC43/消費支出2!AC$4,0)</f>
        <v>183892</v>
      </c>
      <c r="N56" s="733">
        <f>ROUND(N$5*消費支出2!AD43/消費支出2!AD$4,0)</f>
        <v>181443</v>
      </c>
      <c r="O56" s="733">
        <f>ROUND(O$5*消費支出2!AE43/消費支出2!AE$4,0)</f>
        <v>192683</v>
      </c>
      <c r="P56" s="733">
        <f>ROUND(P$5*消費支出2!AF43/消費支出2!AF$4,0)</f>
        <v>198676</v>
      </c>
      <c r="Q56" s="733">
        <f>ROUND(Q$5*消費支出2!AG43/消費支出2!AG$4,0)</f>
        <v>185158</v>
      </c>
      <c r="R56" s="733">
        <f>ROUND(R$5*消費支出2!AH43/消費支出2!AH$4,0)</f>
        <v>192072</v>
      </c>
      <c r="S56" s="733">
        <f>ROUND(S$5*消費支出2!AI43/消費支出2!AI$4,0)</f>
        <v>207292</v>
      </c>
      <c r="T56" s="733">
        <f>ROUND(T$5*消費支出2!AJ43/消費支出2!AJ$4,0)</f>
        <v>208843</v>
      </c>
      <c r="U56" s="733">
        <f>ROUND(U$5*消費支出2!AK43/消費支出2!AK$4,0)</f>
        <v>200747</v>
      </c>
      <c r="V56" s="733">
        <f>ROUND(V$5*消費支出2!AL43/消費支出2!AL$4,0)</f>
        <v>205679</v>
      </c>
      <c r="W56" s="733">
        <f>ROUND(W$5*消費支出2!AM43/消費支出2!AM$4,0)</f>
        <v>199624</v>
      </c>
      <c r="X56" s="733">
        <f>ROUND(X$5*消費支出2!AN43/消費支出2!AN$4,0)</f>
        <v>193789</v>
      </c>
    </row>
    <row r="57" spans="1:24">
      <c r="A57" s="730">
        <v>222</v>
      </c>
      <c r="B57" s="730" t="s">
        <v>337</v>
      </c>
      <c r="C57" s="733">
        <f>ROUND(C$5*消費支出2!S44/消費支出2!S$4,0)</f>
        <v>60699</v>
      </c>
      <c r="D57" s="733">
        <f>ROUND(D$5*消費支出2!T44/消費支出2!T$4,0)</f>
        <v>59920</v>
      </c>
      <c r="E57" s="733">
        <f>ROUND(E$5*消費支出2!U44/消費支出2!U$4,0)</f>
        <v>57409</v>
      </c>
      <c r="F57" s="733">
        <f>ROUND(F$5*消費支出2!V44/消費支出2!V$4,0)</f>
        <v>55439</v>
      </c>
      <c r="G57" s="733">
        <f>ROUND(G$5*消費支出2!W44/消費支出2!W$4,0)</f>
        <v>53903</v>
      </c>
      <c r="H57" s="733">
        <f>ROUND(H$5*消費支出2!X44/消費支出2!X$4,0)</f>
        <v>55783</v>
      </c>
      <c r="I57" s="733">
        <f>ROUND(I$5*消費支出2!Y44/消費支出2!Y$4,0)</f>
        <v>54730</v>
      </c>
      <c r="J57" s="733">
        <f>ROUND(J$5*消費支出2!Z44/消費支出2!Z$4,0)</f>
        <v>56393</v>
      </c>
      <c r="K57" s="733">
        <f>ROUND(K$5*消費支出2!AA44/消費支出2!AA$4,0)</f>
        <v>54873</v>
      </c>
      <c r="L57" s="733">
        <f>ROUND(L$5*消費支出2!AB44/消費支出2!AB$4,0)</f>
        <v>54706</v>
      </c>
      <c r="M57" s="733">
        <f>ROUND(M$5*消費支出2!AC44/消費支出2!AC$4,0)</f>
        <v>51806</v>
      </c>
      <c r="N57" s="733">
        <f>ROUND(N$5*消費支出2!AD44/消費支出2!AD$4,0)</f>
        <v>53446</v>
      </c>
      <c r="O57" s="733">
        <f>ROUND(O$5*消費支出2!AE44/消費支出2!AE$4,0)</f>
        <v>55185</v>
      </c>
      <c r="P57" s="733">
        <f>ROUND(P$5*消費支出2!AF44/消費支出2!AF$4,0)</f>
        <v>55985</v>
      </c>
      <c r="Q57" s="733">
        <f>ROUND(Q$5*消費支出2!AG44/消費支出2!AG$4,0)</f>
        <v>53258</v>
      </c>
      <c r="R57" s="733">
        <f>ROUND(R$5*消費支出2!AH44/消費支出2!AH$4,0)</f>
        <v>52371</v>
      </c>
      <c r="S57" s="733">
        <f>ROUND(S$5*消費支出2!AI44/消費支出2!AI$4,0)</f>
        <v>56686</v>
      </c>
      <c r="T57" s="733">
        <f>ROUND(T$5*消費支出2!AJ44/消費支出2!AJ$4,0)</f>
        <v>55701</v>
      </c>
      <c r="U57" s="733">
        <f>ROUND(U$5*消費支出2!AK44/消費支出2!AK$4,0)</f>
        <v>54964</v>
      </c>
      <c r="V57" s="733">
        <f>ROUND(V$5*消費支出2!AL44/消費支出2!AL$4,0)</f>
        <v>56027</v>
      </c>
      <c r="W57" s="733">
        <f>ROUND(W$5*消費支出2!AM44/消費支出2!AM$4,0)</f>
        <v>53109</v>
      </c>
      <c r="X57" s="733">
        <f>ROUND(X$5*消費支出2!AN44/消費支出2!AN$4,0)</f>
        <v>50267</v>
      </c>
    </row>
    <row r="58" spans="1:24">
      <c r="A58" s="730">
        <v>225</v>
      </c>
      <c r="B58" s="730" t="s">
        <v>222</v>
      </c>
      <c r="C58" s="733">
        <f>ROUND(C$5*消費支出2!S45/消費支出2!S$4,0)</f>
        <v>78514</v>
      </c>
      <c r="D58" s="733">
        <f>ROUND(D$5*消費支出2!T45/消費支出2!T$4,0)</f>
        <v>78031</v>
      </c>
      <c r="E58" s="733">
        <f>ROUND(E$5*消費支出2!U45/消費支出2!U$4,0)</f>
        <v>74790</v>
      </c>
      <c r="F58" s="733">
        <f>ROUND(F$5*消費支出2!V45/消費支出2!V$4,0)</f>
        <v>72147</v>
      </c>
      <c r="G58" s="733">
        <f>ROUND(G$5*消費支出2!W45/消費支出2!W$4,0)</f>
        <v>69326</v>
      </c>
      <c r="H58" s="733">
        <f>ROUND(H$5*消費支出2!X45/消費支出2!X$4,0)</f>
        <v>72524</v>
      </c>
      <c r="I58" s="733">
        <f>ROUND(I$5*消費支出2!Y45/消費支出2!Y$4,0)</f>
        <v>71365</v>
      </c>
      <c r="J58" s="733">
        <f>ROUND(J$5*消費支出2!Z45/消費支出2!Z$4,0)</f>
        <v>73947</v>
      </c>
      <c r="K58" s="733">
        <f>ROUND(K$5*消費支出2!AA45/消費支出2!AA$4,0)</f>
        <v>72171</v>
      </c>
      <c r="L58" s="733">
        <f>ROUND(L$5*消費支出2!AB45/消費支出2!AB$4,0)</f>
        <v>72205</v>
      </c>
      <c r="M58" s="733">
        <f>ROUND(M$5*消費支出2!AC45/消費支出2!AC$4,0)</f>
        <v>69046</v>
      </c>
      <c r="N58" s="733">
        <f>ROUND(N$5*消費支出2!AD45/消費支出2!AD$4,0)</f>
        <v>71518</v>
      </c>
      <c r="O58" s="733">
        <f>ROUND(O$5*消費支出2!AE45/消費支出2!AE$4,0)</f>
        <v>74801</v>
      </c>
      <c r="P58" s="733">
        <f>ROUND(P$5*消費支出2!AF45/消費支出2!AF$4,0)</f>
        <v>75971</v>
      </c>
      <c r="Q58" s="733">
        <f>ROUND(Q$5*消費支出2!AG45/消費支出2!AG$4,0)</f>
        <v>72375</v>
      </c>
      <c r="R58" s="733">
        <f>ROUND(R$5*消費支出2!AH45/消費支出2!AH$4,0)</f>
        <v>71267</v>
      </c>
      <c r="S58" s="733">
        <f>ROUND(S$5*消費支出2!AI45/消費支出2!AI$4,0)</f>
        <v>77912</v>
      </c>
      <c r="T58" s="733">
        <f>ROUND(T$5*消費支出2!AJ45/消費支出2!AJ$4,0)</f>
        <v>77071</v>
      </c>
      <c r="U58" s="733">
        <f>ROUND(U$5*消費支出2!AK45/消費支出2!AK$4,0)</f>
        <v>76778</v>
      </c>
      <c r="V58" s="733">
        <f>ROUND(V$5*消費支出2!AL45/消費支出2!AL$4,0)</f>
        <v>78511</v>
      </c>
      <c r="W58" s="733">
        <f>ROUND(W$5*消費支出2!AM45/消費支出2!AM$4,0)</f>
        <v>75543</v>
      </c>
      <c r="X58" s="733">
        <f>ROUND(X$5*消費支出2!AN45/消費支出2!AN$4,0)</f>
        <v>72668</v>
      </c>
    </row>
    <row r="59" spans="1:24">
      <c r="A59" s="730">
        <v>585</v>
      </c>
      <c r="B59" s="730" t="s">
        <v>220</v>
      </c>
      <c r="C59" s="733">
        <f>ROUND(C$5*消費支出2!S46/消費支出2!S$4,0)</f>
        <v>43488</v>
      </c>
      <c r="D59" s="733">
        <f>ROUND(D$5*消費支出2!T46/消費支出2!T$4,0)</f>
        <v>43151</v>
      </c>
      <c r="E59" s="733">
        <f>ROUND(E$5*消費支出2!U46/消費支出2!U$4,0)</f>
        <v>41255</v>
      </c>
      <c r="F59" s="733">
        <f>ROUND(F$5*消費支出2!V46/消費支出2!V$4,0)</f>
        <v>39778</v>
      </c>
      <c r="G59" s="733">
        <f>ROUND(G$5*消費支出2!W46/消費支出2!W$4,0)</f>
        <v>38360</v>
      </c>
      <c r="H59" s="733">
        <f>ROUND(H$5*消費支出2!X46/消費支出2!X$4,0)</f>
        <v>39825</v>
      </c>
      <c r="I59" s="733">
        <f>ROUND(I$5*消費支出2!Y46/消費支出2!Y$4,0)</f>
        <v>39203</v>
      </c>
      <c r="J59" s="733">
        <f>ROUND(J$5*消費支出2!Z46/消費支出2!Z$4,0)</f>
        <v>40437</v>
      </c>
      <c r="K59" s="733">
        <f>ROUND(K$5*消費支出2!AA46/消費支出2!AA$4,0)</f>
        <v>39071</v>
      </c>
      <c r="L59" s="733">
        <f>ROUND(L$5*消費支出2!AB46/消費支出2!AB$4,0)</f>
        <v>39104</v>
      </c>
      <c r="M59" s="733">
        <f>ROUND(M$5*消費支出2!AC46/消費支出2!AC$4,0)</f>
        <v>36887</v>
      </c>
      <c r="N59" s="733">
        <f>ROUND(N$5*消費支出2!AD46/消費支出2!AD$4,0)</f>
        <v>38024</v>
      </c>
      <c r="O59" s="733">
        <f>ROUND(O$5*消費支出2!AE46/消費支出2!AE$4,0)</f>
        <v>39428</v>
      </c>
      <c r="P59" s="733">
        <f>ROUND(P$5*消費支出2!AF46/消費支出2!AF$4,0)</f>
        <v>39625</v>
      </c>
      <c r="Q59" s="733">
        <f>ROUND(Q$5*消費支出2!AG46/消費支出2!AG$4,0)</f>
        <v>37537</v>
      </c>
      <c r="R59" s="733">
        <f>ROUND(R$5*消費支出2!AH46/消費支出2!AH$4,0)</f>
        <v>36851</v>
      </c>
      <c r="S59" s="733">
        <f>ROUND(S$5*消費支出2!AI46/消費支出2!AI$4,0)</f>
        <v>39807</v>
      </c>
      <c r="T59" s="733">
        <f>ROUND(T$5*消費支出2!AJ46/消費支出2!AJ$4,0)</f>
        <v>39356</v>
      </c>
      <c r="U59" s="733">
        <f>ROUND(U$5*消費支出2!AK46/消費支出2!AK$4,0)</f>
        <v>39140</v>
      </c>
      <c r="V59" s="733">
        <f>ROUND(V$5*消費支出2!AL46/消費支出2!AL$4,0)</f>
        <v>39537</v>
      </c>
      <c r="W59" s="733">
        <f>ROUND(W$5*消費支出2!AM46/消費支出2!AM$4,0)</f>
        <v>36911</v>
      </c>
      <c r="X59" s="733">
        <f>ROUND(X$5*消費支出2!AN46/消費支出2!AN$4,0)</f>
        <v>34348</v>
      </c>
    </row>
    <row r="60" spans="1:24">
      <c r="A60" s="730">
        <v>586</v>
      </c>
      <c r="B60" s="730" t="s">
        <v>338</v>
      </c>
      <c r="C60" s="735">
        <f>ROUND(C$5*消費支出2!S47/消費支出2!S$4,0)</f>
        <v>36517</v>
      </c>
      <c r="D60" s="735">
        <f>ROUND(D$5*消費支出2!T47/消費支出2!T$4,0)</f>
        <v>36034</v>
      </c>
      <c r="E60" s="735">
        <f>ROUND(E$5*消費支出2!U47/消費支出2!U$4,0)</f>
        <v>34581</v>
      </c>
      <c r="F60" s="735">
        <f>ROUND(F$5*消費支出2!V47/消費支出2!V$4,0)</f>
        <v>33290</v>
      </c>
      <c r="G60" s="735">
        <f>ROUND(G$5*消費支出2!W47/消費支出2!W$4,0)</f>
        <v>31775</v>
      </c>
      <c r="H60" s="735">
        <f>ROUND(H$5*消費支出2!X47/消費支出2!X$4,0)</f>
        <v>33222</v>
      </c>
      <c r="I60" s="735">
        <f>ROUND(I$5*消費支出2!Y47/消費支出2!Y$4,0)</f>
        <v>33062</v>
      </c>
      <c r="J60" s="735">
        <f>ROUND(J$5*消費支出2!Z47/消費支出2!Z$4,0)</f>
        <v>34206</v>
      </c>
      <c r="K60" s="735">
        <f>ROUND(K$5*消費支出2!AA47/消費支出2!AA$4,0)</f>
        <v>33219</v>
      </c>
      <c r="L60" s="735">
        <f>ROUND(L$5*消費支出2!AB47/消費支出2!AB$4,0)</f>
        <v>33221</v>
      </c>
      <c r="M60" s="735">
        <f>ROUND(M$5*消費支出2!AC47/消費支出2!AC$4,0)</f>
        <v>31132</v>
      </c>
      <c r="N60" s="735">
        <f>ROUND(N$5*消費支出2!AD47/消費支出2!AD$4,0)</f>
        <v>31986</v>
      </c>
      <c r="O60" s="735">
        <f>ROUND(O$5*消費支出2!AE47/消費支出2!AE$4,0)</f>
        <v>32904</v>
      </c>
      <c r="P60" s="735">
        <f>ROUND(P$5*消費支出2!AF47/消費支出2!AF$4,0)</f>
        <v>33304</v>
      </c>
      <c r="Q60" s="735">
        <f>ROUND(Q$5*消費支出2!AG47/消費支出2!AG$4,0)</f>
        <v>31296</v>
      </c>
      <c r="R60" s="735">
        <f>ROUND(R$5*消費支出2!AH47/消費支出2!AH$4,0)</f>
        <v>30757</v>
      </c>
      <c r="S60" s="735">
        <f>ROUND(S$5*消費支出2!AI47/消費支出2!AI$4,0)</f>
        <v>33458</v>
      </c>
      <c r="T60" s="735">
        <f>ROUND(T$5*消費支出2!AJ47/消費支出2!AJ$4,0)</f>
        <v>33071</v>
      </c>
      <c r="U60" s="735">
        <f>ROUND(U$5*消費支出2!AK47/消費支出2!AK$4,0)</f>
        <v>32981</v>
      </c>
      <c r="V60" s="735">
        <f>ROUND(V$5*消費支出2!AL47/消費支出2!AL$4,0)</f>
        <v>33683</v>
      </c>
      <c r="W60" s="735">
        <f>ROUND(W$5*消費支出2!AM47/消費支出2!AM$4,0)</f>
        <v>32263</v>
      </c>
      <c r="X60" s="735">
        <f>ROUND(X$5*消費支出2!AN47/消費支出2!AN$4,0)</f>
        <v>30885</v>
      </c>
    </row>
    <row r="61" spans="1:24">
      <c r="A61" s="728">
        <v>8</v>
      </c>
      <c r="B61" s="728" t="s">
        <v>211</v>
      </c>
      <c r="C61" s="734">
        <f>SUM(C62:C63)</f>
        <v>248166</v>
      </c>
      <c r="D61" s="734">
        <f>SUM(D62:D63)</f>
        <v>246325</v>
      </c>
      <c r="E61" s="734">
        <f t="shared" ref="E61:J61" si="79">SUM(E62:E63)</f>
        <v>238283</v>
      </c>
      <c r="F61" s="734">
        <f t="shared" si="79"/>
        <v>231397</v>
      </c>
      <c r="G61" s="734">
        <f t="shared" si="79"/>
        <v>224860</v>
      </c>
      <c r="H61" s="734">
        <f t="shared" si="79"/>
        <v>236537</v>
      </c>
      <c r="I61" s="734">
        <f t="shared" si="79"/>
        <v>234754</v>
      </c>
      <c r="J61" s="734">
        <f t="shared" si="79"/>
        <v>243304</v>
      </c>
      <c r="K61" s="734">
        <f t="shared" ref="K61:P61" si="80">SUM(K62:K63)</f>
        <v>238141</v>
      </c>
      <c r="L61" s="734">
        <f t="shared" si="80"/>
        <v>239414</v>
      </c>
      <c r="M61" s="734">
        <f t="shared" si="80"/>
        <v>228277</v>
      </c>
      <c r="N61" s="734">
        <f t="shared" si="80"/>
        <v>237838</v>
      </c>
      <c r="O61" s="734">
        <f t="shared" si="80"/>
        <v>250005</v>
      </c>
      <c r="P61" s="734">
        <f t="shared" si="80"/>
        <v>256794</v>
      </c>
      <c r="Q61" s="734">
        <f t="shared" ref="Q61:V61" si="81">SUM(Q62:Q63)</f>
        <v>242001</v>
      </c>
      <c r="R61" s="734">
        <f t="shared" si="81"/>
        <v>245446</v>
      </c>
      <c r="S61" s="734">
        <f t="shared" si="81"/>
        <v>267666</v>
      </c>
      <c r="T61" s="734">
        <f t="shared" si="81"/>
        <v>269691</v>
      </c>
      <c r="U61" s="734">
        <f t="shared" si="81"/>
        <v>263937</v>
      </c>
      <c r="V61" s="734">
        <f t="shared" si="81"/>
        <v>271758</v>
      </c>
      <c r="W61" s="734">
        <f t="shared" ref="W61:X61" si="82">SUM(W62:W63)</f>
        <v>270760</v>
      </c>
      <c r="X61" s="734">
        <f t="shared" si="82"/>
        <v>269954</v>
      </c>
    </row>
    <row r="62" spans="1:24">
      <c r="A62" s="730">
        <v>221</v>
      </c>
      <c r="B62" s="730" t="s">
        <v>1145</v>
      </c>
      <c r="C62" s="733">
        <f>ROUND(C$5*消費支出2!S49/消費支出2!S$4,0)</f>
        <v>99756</v>
      </c>
      <c r="D62" s="733">
        <f>ROUND(D$5*消費支出2!T49/消費支出2!T$4,0)</f>
        <v>99156</v>
      </c>
      <c r="E62" s="733">
        <f>ROUND(E$5*消費支出2!U49/消費支出2!U$4,0)</f>
        <v>95707</v>
      </c>
      <c r="F62" s="733">
        <f>ROUND(F$5*消費支出2!V49/消費支出2!V$4,0)</f>
        <v>93164</v>
      </c>
      <c r="G62" s="733">
        <f>ROUND(G$5*消費支出2!W49/消費支出2!W$4,0)</f>
        <v>91257</v>
      </c>
      <c r="H62" s="733">
        <f>ROUND(H$5*消費支出2!X49/消費支出2!X$4,0)</f>
        <v>96056</v>
      </c>
      <c r="I62" s="733">
        <f>ROUND(I$5*消費支出2!Y49/消費支出2!Y$4,0)</f>
        <v>95694</v>
      </c>
      <c r="J62" s="733">
        <f>ROUND(J$5*消費支出2!Z49/消費支出2!Z$4,0)</f>
        <v>99060</v>
      </c>
      <c r="K62" s="733">
        <f>ROUND(K$5*消費支出2!AA49/消費支出2!AA$4,0)</f>
        <v>96941</v>
      </c>
      <c r="L62" s="733">
        <f>ROUND(L$5*消費支出2!AB49/消費支出2!AB$4,0)</f>
        <v>97810</v>
      </c>
      <c r="M62" s="733">
        <f>ROUND(M$5*消費支出2!AC49/消費支出2!AC$4,0)</f>
        <v>93295</v>
      </c>
      <c r="N62" s="733">
        <f>ROUND(N$5*消費支出2!AD49/消費支出2!AD$4,0)</f>
        <v>96671</v>
      </c>
      <c r="O62" s="733">
        <f>ROUND(O$5*消費支出2!AE49/消費支出2!AE$4,0)</f>
        <v>101390</v>
      </c>
      <c r="P62" s="733">
        <f>ROUND(P$5*消費支出2!AF49/消費支出2!AF$4,0)</f>
        <v>103923</v>
      </c>
      <c r="Q62" s="733">
        <f>ROUND(Q$5*消費支出2!AG49/消費支出2!AG$4,0)</f>
        <v>99080</v>
      </c>
      <c r="R62" s="733">
        <f>ROUND(R$5*消費支出2!AH49/消費支出2!AH$4,0)</f>
        <v>98121</v>
      </c>
      <c r="S62" s="733">
        <f>ROUND(S$5*消費支出2!AI49/消費支出2!AI$4,0)</f>
        <v>107906</v>
      </c>
      <c r="T62" s="733">
        <f>ROUND(T$5*消費支出2!AJ49/消費支出2!AJ$4,0)</f>
        <v>107871</v>
      </c>
      <c r="U62" s="733">
        <f>ROUND(U$5*消費支出2!AK49/消費支出2!AK$4,0)</f>
        <v>108074</v>
      </c>
      <c r="V62" s="733">
        <f>ROUND(V$5*消費支出2!AL49/消費支出2!AL$4,0)</f>
        <v>111004</v>
      </c>
      <c r="W62" s="733">
        <f>ROUND(W$5*消費支出2!AM49/消費支出2!AM$4,0)</f>
        <v>109422</v>
      </c>
      <c r="X62" s="733">
        <f>ROUND(X$5*消費支出2!AN49/消費支出2!AN$4,0)</f>
        <v>107935</v>
      </c>
    </row>
    <row r="63" spans="1:24">
      <c r="A63" s="731">
        <v>223</v>
      </c>
      <c r="B63" s="731" t="s">
        <v>223</v>
      </c>
      <c r="C63" s="735">
        <f>ROUND(C$5*消費支出2!S50/消費支出2!S$4,0)</f>
        <v>148410</v>
      </c>
      <c r="D63" s="735">
        <f>ROUND(D$5*消費支出2!T50/消費支出2!T$4,0)</f>
        <v>147169</v>
      </c>
      <c r="E63" s="735">
        <f>ROUND(E$5*消費支出2!U50/消費支出2!U$4,0)</f>
        <v>142576</v>
      </c>
      <c r="F63" s="735">
        <f>ROUND(F$5*消費支出2!V50/消費支出2!V$4,0)</f>
        <v>138233</v>
      </c>
      <c r="G63" s="735">
        <f>ROUND(G$5*消費支出2!W50/消費支出2!W$4,0)</f>
        <v>133603</v>
      </c>
      <c r="H63" s="735">
        <f>ROUND(H$5*消費支出2!X50/消費支出2!X$4,0)</f>
        <v>140481</v>
      </c>
      <c r="I63" s="735">
        <f>ROUND(I$5*消費支出2!Y50/消費支出2!Y$4,0)</f>
        <v>139060</v>
      </c>
      <c r="J63" s="735">
        <f>ROUND(J$5*消費支出2!Z50/消費支出2!Z$4,0)</f>
        <v>144244</v>
      </c>
      <c r="K63" s="735">
        <f>ROUND(K$5*消費支出2!AA50/消費支出2!AA$4,0)</f>
        <v>141200</v>
      </c>
      <c r="L63" s="735">
        <f>ROUND(L$5*消費支出2!AB50/消費支出2!AB$4,0)</f>
        <v>141604</v>
      </c>
      <c r="M63" s="735">
        <f>ROUND(M$5*消費支出2!AC50/消費支出2!AC$4,0)</f>
        <v>134982</v>
      </c>
      <c r="N63" s="735">
        <f>ROUND(N$5*消費支出2!AD50/消費支出2!AD$4,0)</f>
        <v>141167</v>
      </c>
      <c r="O63" s="735">
        <f>ROUND(O$5*消費支出2!AE50/消費支出2!AE$4,0)</f>
        <v>148615</v>
      </c>
      <c r="P63" s="735">
        <f>ROUND(P$5*消費支出2!AF50/消費支出2!AF$4,0)</f>
        <v>152871</v>
      </c>
      <c r="Q63" s="735">
        <f>ROUND(Q$5*消費支出2!AG50/消費支出2!AG$4,0)</f>
        <v>142921</v>
      </c>
      <c r="R63" s="735">
        <f>ROUND(R$5*消費支出2!AH50/消費支出2!AH$4,0)</f>
        <v>147325</v>
      </c>
      <c r="S63" s="735">
        <f>ROUND(S$5*消費支出2!AI50/消費支出2!AI$4,0)</f>
        <v>159760</v>
      </c>
      <c r="T63" s="735">
        <f>ROUND(T$5*消費支出2!AJ50/消費支出2!AJ$4,0)</f>
        <v>161820</v>
      </c>
      <c r="U63" s="735">
        <f>ROUND(U$5*消費支出2!AK50/消費支出2!AK$4,0)</f>
        <v>155863</v>
      </c>
      <c r="V63" s="735">
        <f>ROUND(V$5*消費支出2!AL50/消費支出2!AL$4,0)</f>
        <v>160754</v>
      </c>
      <c r="W63" s="735">
        <f>ROUND(W$5*消費支出2!AM50/消費支出2!AM$4,0)</f>
        <v>161338</v>
      </c>
      <c r="X63" s="735">
        <f>ROUND(X$5*消費支出2!AN50/消費支出2!AN$4,0)</f>
        <v>162019</v>
      </c>
    </row>
    <row r="64" spans="1:24">
      <c r="A64" s="730">
        <v>9</v>
      </c>
      <c r="B64" s="730" t="s">
        <v>212</v>
      </c>
      <c r="C64" s="733">
        <f>SUM(C65:C67)</f>
        <v>293021</v>
      </c>
      <c r="D64" s="733">
        <f>SUM(D65:D67)</f>
        <v>292486</v>
      </c>
      <c r="E64" s="733">
        <f t="shared" ref="E64:J64" si="83">SUM(E65:E67)</f>
        <v>285128</v>
      </c>
      <c r="F64" s="733">
        <f t="shared" si="83"/>
        <v>280505</v>
      </c>
      <c r="G64" s="733">
        <f t="shared" si="83"/>
        <v>271003</v>
      </c>
      <c r="H64" s="733">
        <f t="shared" si="83"/>
        <v>282927</v>
      </c>
      <c r="I64" s="733">
        <f t="shared" si="83"/>
        <v>279901</v>
      </c>
      <c r="J64" s="733">
        <f t="shared" si="83"/>
        <v>289376</v>
      </c>
      <c r="K64" s="733">
        <f t="shared" ref="K64:P64" si="84">SUM(K65:K67)</f>
        <v>283855</v>
      </c>
      <c r="L64" s="733">
        <f t="shared" si="84"/>
        <v>284094</v>
      </c>
      <c r="M64" s="733">
        <f t="shared" si="84"/>
        <v>270026</v>
      </c>
      <c r="N64" s="733">
        <f t="shared" si="84"/>
        <v>280732</v>
      </c>
      <c r="O64" s="733">
        <f t="shared" si="84"/>
        <v>292427</v>
      </c>
      <c r="P64" s="733">
        <f t="shared" si="84"/>
        <v>299262</v>
      </c>
      <c r="Q64" s="733">
        <f t="shared" ref="Q64:V64" si="85">SUM(Q65:Q67)</f>
        <v>286371</v>
      </c>
      <c r="R64" s="733">
        <f t="shared" si="85"/>
        <v>285411</v>
      </c>
      <c r="S64" s="733">
        <f t="shared" si="85"/>
        <v>312106</v>
      </c>
      <c r="T64" s="733">
        <f t="shared" si="85"/>
        <v>310858</v>
      </c>
      <c r="U64" s="733">
        <f t="shared" si="85"/>
        <v>311413</v>
      </c>
      <c r="V64" s="733">
        <f t="shared" si="85"/>
        <v>320329</v>
      </c>
      <c r="W64" s="733">
        <f t="shared" ref="W64:X64" si="86">SUM(W65:W67)</f>
        <v>314876</v>
      </c>
      <c r="X64" s="733">
        <f t="shared" si="86"/>
        <v>309709</v>
      </c>
    </row>
    <row r="65" spans="1:24">
      <c r="A65" s="730">
        <v>205</v>
      </c>
      <c r="B65" s="730" t="s">
        <v>339</v>
      </c>
      <c r="C65" s="733">
        <f>ROUND(C$5*消費支出2!S52/消費支出2!S$4,0)</f>
        <v>103081</v>
      </c>
      <c r="D65" s="733">
        <f>ROUND(D$5*消費支出2!T52/消費支出2!T$4,0)</f>
        <v>102627</v>
      </c>
      <c r="E65" s="733">
        <f>ROUND(E$5*消費支出2!U52/消費支出2!U$4,0)</f>
        <v>99393</v>
      </c>
      <c r="F65" s="733">
        <f>ROUND(F$5*消費支出2!V52/消費支出2!V$4,0)</f>
        <v>97702</v>
      </c>
      <c r="G65" s="733">
        <f>ROUND(G$5*消費支出2!W52/消費支出2!W$4,0)</f>
        <v>94567</v>
      </c>
      <c r="H65" s="733">
        <f>ROUND(H$5*消費支出2!X52/消費支出2!X$4,0)</f>
        <v>98244</v>
      </c>
      <c r="I65" s="733">
        <f>ROUND(I$5*消費支出2!Y52/消費支出2!Y$4,0)</f>
        <v>97389</v>
      </c>
      <c r="J65" s="733">
        <f>ROUND(J$5*消費支出2!Z52/消費支出2!Z$4,0)</f>
        <v>100123</v>
      </c>
      <c r="K65" s="733">
        <f>ROUND(K$5*消費支出2!AA52/消費支出2!AA$4,0)</f>
        <v>97912</v>
      </c>
      <c r="L65" s="733">
        <f>ROUND(L$5*消費支出2!AB52/消費支出2!AB$4,0)</f>
        <v>97842</v>
      </c>
      <c r="M65" s="733">
        <f>ROUND(M$5*消費支出2!AC52/消費支出2!AC$4,0)</f>
        <v>92662</v>
      </c>
      <c r="N65" s="733">
        <f>ROUND(N$5*消費支出2!AD52/消費支出2!AD$4,0)</f>
        <v>96034</v>
      </c>
      <c r="O65" s="733">
        <f>ROUND(O$5*消費支出2!AE52/消費支出2!AE$4,0)</f>
        <v>99602</v>
      </c>
      <c r="P65" s="733">
        <f>ROUND(P$5*消費支出2!AF52/消費支出2!AF$4,0)</f>
        <v>101812</v>
      </c>
      <c r="Q65" s="733">
        <f>ROUND(Q$5*消費支出2!AG52/消費支出2!AG$4,0)</f>
        <v>97359</v>
      </c>
      <c r="R65" s="733">
        <f>ROUND(R$5*消費支出2!AH52/消費支出2!AH$4,0)</f>
        <v>97064</v>
      </c>
      <c r="S65" s="733">
        <f>ROUND(S$5*消費支出2!AI52/消費支出2!AI$4,0)</f>
        <v>105991</v>
      </c>
      <c r="T65" s="733">
        <f>ROUND(T$5*消費支出2!AJ52/消費支出2!AJ$4,0)</f>
        <v>105314</v>
      </c>
      <c r="U65" s="733">
        <f>ROUND(U$5*消費支出2!AK52/消費支出2!AK$4,0)</f>
        <v>105906</v>
      </c>
      <c r="V65" s="733">
        <f>ROUND(V$5*消費支出2!AL52/消費支出2!AL$4,0)</f>
        <v>109136</v>
      </c>
      <c r="W65" s="733">
        <f>ROUND(W$5*消費支出2!AM52/消費支出2!AM$4,0)</f>
        <v>107955</v>
      </c>
      <c r="X65" s="733">
        <f>ROUND(X$5*消費支出2!AN52/消費支出2!AN$4,0)</f>
        <v>106862</v>
      </c>
    </row>
    <row r="66" spans="1:24">
      <c r="A66" s="730">
        <v>224</v>
      </c>
      <c r="B66" s="730" t="s">
        <v>224</v>
      </c>
      <c r="C66" s="733">
        <f>ROUND(C$5*消費支出2!S53/消費支出2!S$4,0)</f>
        <v>94254</v>
      </c>
      <c r="D66" s="733">
        <f>ROUND(D$5*消費支出2!T53/消費支出2!T$4,0)</f>
        <v>94265</v>
      </c>
      <c r="E66" s="733">
        <f>ROUND(E$5*消費支出2!U53/消費支出2!U$4,0)</f>
        <v>92204</v>
      </c>
      <c r="F66" s="733">
        <f>ROUND(F$5*消費支出2!V53/消費支出2!V$4,0)</f>
        <v>90600</v>
      </c>
      <c r="G66" s="733">
        <f>ROUND(G$5*消費支出2!W53/消費支出2!W$4,0)</f>
        <v>87052</v>
      </c>
      <c r="H66" s="733">
        <f>ROUND(H$5*消費支出2!X53/消費支出2!X$4,0)</f>
        <v>91234</v>
      </c>
      <c r="I66" s="733">
        <f>ROUND(I$5*消費支出2!Y53/消費支出2!Y$4,0)</f>
        <v>90245</v>
      </c>
      <c r="J66" s="733">
        <f>ROUND(J$5*消費支出2!Z53/消費支出2!Z$4,0)</f>
        <v>93404</v>
      </c>
      <c r="K66" s="733">
        <f>ROUND(K$5*消費支出2!AA53/消費支出2!AA$4,0)</f>
        <v>91817</v>
      </c>
      <c r="L66" s="733">
        <f>ROUND(L$5*消費支出2!AB53/消費支出2!AB$4,0)</f>
        <v>91819</v>
      </c>
      <c r="M66" s="733">
        <f>ROUND(M$5*消費支出2!AC53/消費支出2!AC$4,0)</f>
        <v>87337</v>
      </c>
      <c r="N66" s="733">
        <f>ROUND(N$5*消費支出2!AD53/消費支出2!AD$4,0)</f>
        <v>90680</v>
      </c>
      <c r="O66" s="733">
        <f>ROUND(O$5*消費支出2!AE53/消費支出2!AE$4,0)</f>
        <v>94931</v>
      </c>
      <c r="P66" s="733">
        <f>ROUND(P$5*消費支出2!AF53/消費支出2!AF$4,0)</f>
        <v>97492</v>
      </c>
      <c r="Q66" s="733">
        <f>ROUND(Q$5*消費支出2!AG53/消費支出2!AG$4,0)</f>
        <v>93283</v>
      </c>
      <c r="R66" s="733">
        <f>ROUND(R$5*消費支出2!AH53/消費支出2!AH$4,0)</f>
        <v>93170</v>
      </c>
      <c r="S66" s="733">
        <f>ROUND(S$5*消費支出2!AI53/消費支出2!AI$4,0)</f>
        <v>101579</v>
      </c>
      <c r="T66" s="733">
        <f>ROUND(T$5*消費支出2!AJ53/消費支出2!AJ$4,0)</f>
        <v>101247</v>
      </c>
      <c r="U66" s="733">
        <f>ROUND(U$5*消費支出2!AK53/消費支出2!AK$4,0)</f>
        <v>101304</v>
      </c>
      <c r="V66" s="733">
        <f>ROUND(V$5*消費支出2!AL53/消費支出2!AL$4,0)</f>
        <v>104247</v>
      </c>
      <c r="W66" s="733">
        <f>ROUND(W$5*消費支出2!AM53/消費支出2!AM$4,0)</f>
        <v>102639</v>
      </c>
      <c r="X66" s="733">
        <f>ROUND(X$5*消費支出2!AN53/消費支出2!AN$4,0)</f>
        <v>101122</v>
      </c>
    </row>
    <row r="67" spans="1:24">
      <c r="A67" s="731">
        <v>226</v>
      </c>
      <c r="B67" s="731" t="s">
        <v>225</v>
      </c>
      <c r="C67" s="735">
        <f>ROUND(C$5*消費支出2!S54/消費支出2!S$4,0)</f>
        <v>95686</v>
      </c>
      <c r="D67" s="735">
        <f>ROUND(D$5*消費支出2!T54/消費支出2!T$4,0)</f>
        <v>95594</v>
      </c>
      <c r="E67" s="735">
        <f>ROUND(E$5*消費支出2!U54/消費支出2!U$4,0)</f>
        <v>93531</v>
      </c>
      <c r="F67" s="735">
        <f>ROUND(F$5*消費支出2!V54/消費支出2!V$4,0)</f>
        <v>92203</v>
      </c>
      <c r="G67" s="735">
        <f>ROUND(G$5*消費支出2!W54/消費支出2!W$4,0)</f>
        <v>89384</v>
      </c>
      <c r="H67" s="735">
        <f>ROUND(H$5*消費支出2!X54/消費支出2!X$4,0)</f>
        <v>93449</v>
      </c>
      <c r="I67" s="735">
        <f>ROUND(I$5*消費支出2!Y54/消費支出2!Y$4,0)</f>
        <v>92267</v>
      </c>
      <c r="J67" s="735">
        <f>ROUND(J$5*消費支出2!Z54/消費支出2!Z$4,0)</f>
        <v>95849</v>
      </c>
      <c r="K67" s="735">
        <f>ROUND(K$5*消費支出2!AA54/消費支出2!AA$4,0)</f>
        <v>94126</v>
      </c>
      <c r="L67" s="735">
        <f>ROUND(L$5*消費支出2!AB54/消費支出2!AB$4,0)</f>
        <v>94433</v>
      </c>
      <c r="M67" s="735">
        <f>ROUND(M$5*消費支出2!AC54/消費支出2!AC$4,0)</f>
        <v>90027</v>
      </c>
      <c r="N67" s="735">
        <f>ROUND(N$5*消費支出2!AD54/消費支出2!AD$4,0)</f>
        <v>94018</v>
      </c>
      <c r="O67" s="735">
        <f>ROUND(O$5*消費支出2!AE54/消費支出2!AE$4,0)</f>
        <v>97894</v>
      </c>
      <c r="P67" s="735">
        <f>ROUND(P$5*消費支出2!AF54/消費支出2!AF$4,0)</f>
        <v>99958</v>
      </c>
      <c r="Q67" s="735">
        <f>ROUND(Q$5*消費支出2!AG54/消費支出2!AG$4,0)</f>
        <v>95729</v>
      </c>
      <c r="R67" s="735">
        <f>ROUND(R$5*消費支出2!AH54/消費支出2!AH$4,0)</f>
        <v>95177</v>
      </c>
      <c r="S67" s="735">
        <f>ROUND(S$5*消費支出2!AI54/消費支出2!AI$4,0)</f>
        <v>104536</v>
      </c>
      <c r="T67" s="735">
        <f>ROUND(T$5*消費支出2!AJ54/消費支出2!AJ$4,0)</f>
        <v>104297</v>
      </c>
      <c r="U67" s="735">
        <f>ROUND(U$5*消費支出2!AK54/消費支出2!AK$4,0)</f>
        <v>104203</v>
      </c>
      <c r="V67" s="735">
        <f>ROUND(V$5*消費支出2!AL54/消費支出2!AL$4,0)</f>
        <v>106946</v>
      </c>
      <c r="W67" s="735">
        <f>ROUND(W$5*消費支出2!AM54/消費支出2!AM$4,0)</f>
        <v>104282</v>
      </c>
      <c r="X67" s="735">
        <f>ROUND(X$5*消費支出2!AN54/消費支出2!AN$4,0)</f>
        <v>101725</v>
      </c>
    </row>
    <row r="68" spans="1:24">
      <c r="A68" s="75" t="s">
        <v>340</v>
      </c>
    </row>
  </sheetData>
  <phoneticPr fontId="13"/>
  <pageMargins left="0.75" right="0.75" top="1" bottom="1" header="0.51200000000000001" footer="0.51200000000000001"/>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dimension ref="A1:CX171"/>
  <sheetViews>
    <sheetView zoomScaleNormal="100" workbookViewId="0">
      <pane xSplit="18" ySplit="3" topLeftCell="AI4" activePane="bottomRight" state="frozen"/>
      <selection pane="topRight" activeCell="S1" sqref="S1"/>
      <selection pane="bottomLeft" activeCell="A4" sqref="A4"/>
      <selection pane="bottomRight" activeCell="AO8" sqref="AO8"/>
    </sheetView>
  </sheetViews>
  <sheetFormatPr defaultColWidth="8.7109375" defaultRowHeight="13"/>
  <cols>
    <col min="1" max="1" width="8.7109375" style="75"/>
    <col min="2" max="18" width="0" style="75" hidden="1" customWidth="1"/>
    <col min="19" max="26" width="8.7109375" style="75"/>
    <col min="27" max="41" width="8.7109375" style="75" customWidth="1"/>
    <col min="42" max="42" width="4.0703125" style="75" customWidth="1"/>
    <col min="43" max="43" width="7.5" style="75" customWidth="1"/>
    <col min="44" max="45" width="7.5" style="75" hidden="1" customWidth="1"/>
    <col min="46" max="48" width="8.2109375" style="75" hidden="1" customWidth="1"/>
    <col min="49" max="49" width="7.2109375" style="75" hidden="1" customWidth="1"/>
    <col min="50" max="52" width="7.5703125" style="75" hidden="1" customWidth="1"/>
    <col min="53" max="55" width="7.42578125" style="75" hidden="1" customWidth="1"/>
    <col min="56" max="56" width="6.92578125" style="75" hidden="1" customWidth="1"/>
    <col min="57" max="57" width="8" style="75" hidden="1" customWidth="1"/>
    <col min="58" max="58" width="7.92578125" style="75" hidden="1" customWidth="1"/>
    <col min="59" max="59" width="7.0703125" style="75" hidden="1" customWidth="1"/>
    <col min="60" max="62" width="0" style="75" hidden="1" customWidth="1"/>
    <col min="63" max="66" width="8.7109375" style="75"/>
    <col min="67" max="67" width="1.7109375" style="75" customWidth="1"/>
    <col min="68" max="68" width="4.2109375" style="75" customWidth="1"/>
    <col min="69" max="72" width="7.5" style="75" customWidth="1"/>
    <col min="73" max="73" width="3.5703125" style="75" customWidth="1"/>
    <col min="74" max="74" width="4.2109375" style="75" customWidth="1"/>
    <col min="75" max="78" width="7.5" style="75" customWidth="1"/>
    <col min="79" max="79" width="3.0703125" style="75" customWidth="1"/>
    <col min="80" max="80" width="3.2109375" style="75" customWidth="1"/>
    <col min="81" max="84" width="8.7109375" style="75"/>
    <col min="85" max="85" width="4.7109375" style="75" customWidth="1"/>
    <col min="86" max="86" width="5" style="75" customWidth="1"/>
    <col min="87" max="90" width="8.7109375" style="75"/>
    <col min="91" max="91" width="3.5" style="75" customWidth="1"/>
    <col min="92" max="92" width="3.7109375" style="75" customWidth="1"/>
    <col min="93" max="96" width="8.7109375" style="75"/>
    <col min="97" max="97" width="3.2109375" style="75" customWidth="1"/>
    <col min="98" max="98" width="4.7109375" style="75" customWidth="1"/>
    <col min="99" max="102" width="8.7109375" style="75"/>
    <col min="103" max="103" width="3.42578125" style="75" customWidth="1"/>
    <col min="104" max="16384" width="8.7109375" style="75"/>
  </cols>
  <sheetData>
    <row r="1" spans="1:41">
      <c r="A1" s="72" t="s">
        <v>677</v>
      </c>
      <c r="B1" s="72"/>
      <c r="C1" s="73"/>
      <c r="D1" s="73"/>
      <c r="E1" s="73"/>
      <c r="F1" s="73"/>
      <c r="G1" s="73"/>
      <c r="H1" s="72"/>
      <c r="I1" s="72"/>
      <c r="J1" s="72"/>
      <c r="K1" s="72"/>
      <c r="L1" s="73"/>
      <c r="M1" s="744" t="s">
        <v>347</v>
      </c>
      <c r="N1" s="744" t="s">
        <v>347</v>
      </c>
      <c r="O1" s="744" t="s">
        <v>347</v>
      </c>
      <c r="P1" s="744" t="s">
        <v>347</v>
      </c>
      <c r="Q1" s="73" t="s">
        <v>347</v>
      </c>
      <c r="R1" s="73"/>
      <c r="S1" s="73" t="s">
        <v>679</v>
      </c>
      <c r="T1" s="73"/>
      <c r="U1" s="73"/>
      <c r="V1" s="73"/>
      <c r="W1" s="73" t="s">
        <v>627</v>
      </c>
      <c r="X1" s="73" t="s">
        <v>347</v>
      </c>
      <c r="Y1" s="73" t="s">
        <v>11</v>
      </c>
      <c r="Z1" s="73" t="s">
        <v>11</v>
      </c>
      <c r="AA1" s="73" t="s">
        <v>11</v>
      </c>
      <c r="AB1" s="73" t="s">
        <v>627</v>
      </c>
      <c r="AC1" s="73" t="s">
        <v>11</v>
      </c>
      <c r="AD1" s="73" t="s">
        <v>627</v>
      </c>
      <c r="AE1" s="73" t="s">
        <v>627</v>
      </c>
      <c r="AF1" s="73"/>
      <c r="AG1" s="73"/>
      <c r="AH1" s="628"/>
      <c r="AI1" s="628" t="s">
        <v>11</v>
      </c>
      <c r="AJ1" s="75" t="s">
        <v>11</v>
      </c>
      <c r="AK1" s="75" t="s">
        <v>948</v>
      </c>
      <c r="AL1" s="75" t="s">
        <v>14</v>
      </c>
      <c r="AM1" s="75" t="s">
        <v>14</v>
      </c>
      <c r="AN1" s="75" t="s">
        <v>14</v>
      </c>
    </row>
    <row r="2" spans="1:41">
      <c r="A2" s="745"/>
      <c r="B2" s="746"/>
      <c r="C2" s="747" t="s">
        <v>622</v>
      </c>
      <c r="D2" s="748" t="s">
        <v>623</v>
      </c>
      <c r="E2" s="748" t="s">
        <v>624</v>
      </c>
      <c r="F2" s="748" t="s">
        <v>625</v>
      </c>
      <c r="G2" s="748" t="s">
        <v>626</v>
      </c>
      <c r="H2" s="749" t="s">
        <v>610</v>
      </c>
      <c r="I2" s="750" t="s">
        <v>611</v>
      </c>
      <c r="J2" s="748" t="s">
        <v>612</v>
      </c>
      <c r="K2" s="748" t="s">
        <v>613</v>
      </c>
      <c r="L2" s="748" t="s">
        <v>614</v>
      </c>
      <c r="M2" s="747" t="s">
        <v>615</v>
      </c>
      <c r="N2" s="748" t="s">
        <v>616</v>
      </c>
      <c r="O2" s="748" t="s">
        <v>617</v>
      </c>
      <c r="P2" s="748" t="s">
        <v>618</v>
      </c>
      <c r="Q2" s="748" t="s">
        <v>619</v>
      </c>
      <c r="R2" s="747" t="s">
        <v>460</v>
      </c>
      <c r="S2" s="748" t="s">
        <v>459</v>
      </c>
      <c r="T2" s="748" t="s">
        <v>456</v>
      </c>
      <c r="U2" s="748" t="s">
        <v>750</v>
      </c>
      <c r="V2" s="1165" t="s">
        <v>856</v>
      </c>
      <c r="W2" s="748" t="s">
        <v>911</v>
      </c>
      <c r="X2" s="748" t="s">
        <v>96</v>
      </c>
      <c r="Y2" s="1166" t="s">
        <v>118</v>
      </c>
      <c r="Z2" s="1166" t="s">
        <v>119</v>
      </c>
      <c r="AA2" s="1167" t="s">
        <v>67</v>
      </c>
      <c r="AB2" s="1166" t="s">
        <v>157</v>
      </c>
      <c r="AC2" s="1166" t="s">
        <v>1000</v>
      </c>
      <c r="AD2" s="1166" t="s">
        <v>1036</v>
      </c>
      <c r="AE2" s="1166" t="s">
        <v>1062</v>
      </c>
      <c r="AF2" s="1165" t="s">
        <v>1161</v>
      </c>
      <c r="AG2" s="1165" t="s">
        <v>1129</v>
      </c>
      <c r="AH2" s="1165" t="s">
        <v>1160</v>
      </c>
      <c r="AI2" s="1165" t="s">
        <v>1200</v>
      </c>
      <c r="AJ2" s="1068" t="s">
        <v>1234</v>
      </c>
      <c r="AK2" s="1068" t="s">
        <v>1561</v>
      </c>
      <c r="AL2" s="130" t="s">
        <v>1603</v>
      </c>
      <c r="AM2" s="130" t="s">
        <v>1745</v>
      </c>
      <c r="AN2" s="130" t="s">
        <v>1783</v>
      </c>
    </row>
    <row r="3" spans="1:41">
      <c r="A3" s="751"/>
      <c r="B3" s="752"/>
      <c r="C3" s="753" t="s">
        <v>347</v>
      </c>
      <c r="D3" s="751"/>
      <c r="E3" s="751"/>
      <c r="F3" s="751"/>
      <c r="G3" s="751"/>
      <c r="H3" s="754"/>
      <c r="I3" s="258"/>
      <c r="J3" s="258"/>
      <c r="K3" s="258"/>
      <c r="L3" s="258"/>
      <c r="M3" s="754"/>
      <c r="N3" s="258"/>
      <c r="O3" s="258"/>
      <c r="P3" s="258"/>
      <c r="Q3" s="258"/>
      <c r="R3" s="754"/>
      <c r="S3" s="258"/>
      <c r="T3" s="258"/>
      <c r="U3" s="258"/>
      <c r="V3" s="1168"/>
      <c r="W3" s="258"/>
      <c r="X3" s="258"/>
      <c r="Y3" s="258" t="s">
        <v>347</v>
      </c>
      <c r="Z3" s="258" t="s">
        <v>347</v>
      </c>
      <c r="AA3" s="1169" t="s">
        <v>347</v>
      </c>
      <c r="AB3" s="73" t="s">
        <v>627</v>
      </c>
      <c r="AC3" s="258"/>
      <c r="AD3" s="73" t="s">
        <v>11</v>
      </c>
      <c r="AE3" s="73" t="s">
        <v>11</v>
      </c>
      <c r="AF3" s="1168"/>
      <c r="AG3" s="1168"/>
      <c r="AH3" s="1168"/>
      <c r="AI3" s="1168"/>
      <c r="AJ3" s="461"/>
      <c r="AK3" s="461"/>
      <c r="AL3" s="75" t="s">
        <v>11</v>
      </c>
      <c r="AM3" s="75" t="s">
        <v>11</v>
      </c>
      <c r="AN3" s="75" t="s">
        <v>11</v>
      </c>
    </row>
    <row r="4" spans="1:41">
      <c r="A4" s="756" t="s">
        <v>166</v>
      </c>
      <c r="B4" s="757"/>
      <c r="C4" s="758">
        <f>C5+C6+C10+C16+C22+C29+C34+C42+C48+C51</f>
        <v>5284221.0851499988</v>
      </c>
      <c r="D4" s="759">
        <f t="shared" ref="D4:T4" si="0">D5+D6+D10+D16+D22+D29+D34+D42+D48+D51</f>
        <v>5868363.7215400003</v>
      </c>
      <c r="E4" s="759">
        <f t="shared" si="0"/>
        <v>5370829.5059499992</v>
      </c>
      <c r="F4" s="759">
        <f t="shared" si="0"/>
        <v>5486590.0465000002</v>
      </c>
      <c r="G4" s="759">
        <f t="shared" si="0"/>
        <v>6035675.1633399995</v>
      </c>
      <c r="H4" s="758">
        <f t="shared" si="0"/>
        <v>6218830.5296600005</v>
      </c>
      <c r="I4" s="759">
        <f t="shared" si="0"/>
        <v>5968433.1382199991</v>
      </c>
      <c r="J4" s="759">
        <f t="shared" si="0"/>
        <v>6220474.9731300008</v>
      </c>
      <c r="K4" s="759">
        <f t="shared" si="0"/>
        <v>6293711.0288199997</v>
      </c>
      <c r="L4" s="759">
        <f t="shared" si="0"/>
        <v>6738355.5995400008</v>
      </c>
      <c r="M4" s="758">
        <f t="shared" si="0"/>
        <v>6294163.3213</v>
      </c>
      <c r="N4" s="759">
        <f t="shared" si="0"/>
        <v>6153687.6697499985</v>
      </c>
      <c r="O4" s="759">
        <f t="shared" si="0"/>
        <v>7715139.55559</v>
      </c>
      <c r="P4" s="759">
        <f t="shared" si="0"/>
        <v>7755648.4725700002</v>
      </c>
      <c r="Q4" s="759">
        <f t="shared" si="0"/>
        <v>6786693.87634</v>
      </c>
      <c r="R4" s="758">
        <f t="shared" si="0"/>
        <v>6859115.8132399991</v>
      </c>
      <c r="S4" s="759">
        <f t="shared" si="0"/>
        <v>6859489.1665700004</v>
      </c>
      <c r="T4" s="759">
        <f t="shared" si="0"/>
        <v>6934682.9108800013</v>
      </c>
      <c r="U4" s="742">
        <f t="shared" ref="U4:Z4" si="1">U5+U6+U10+U16+U22+U29+U34+U42+U48+U51</f>
        <v>7016027.9754400011</v>
      </c>
      <c r="V4" s="730">
        <f t="shared" si="1"/>
        <v>7093978.4320600005</v>
      </c>
      <c r="W4" s="730">
        <f t="shared" si="1"/>
        <v>7151451.7858599983</v>
      </c>
      <c r="X4" s="730">
        <f t="shared" si="1"/>
        <v>6926562.0342099993</v>
      </c>
      <c r="Y4" s="730">
        <f t="shared" si="1"/>
        <v>7042225.9716000007</v>
      </c>
      <c r="Z4" s="730">
        <f t="shared" si="1"/>
        <v>7053844.1304299999</v>
      </c>
      <c r="AA4" s="728">
        <f t="shared" ref="AA4:AF4" si="2">AA5+AA6+AA10+AA16+AA22+AA29+AA34+AA42+AA48+AA51</f>
        <v>7208841.995360001</v>
      </c>
      <c r="AB4" s="728">
        <f t="shared" si="2"/>
        <v>7252202.1513299998</v>
      </c>
      <c r="AC4" s="728">
        <f t="shared" si="2"/>
        <v>7152803.9299600003</v>
      </c>
      <c r="AD4" s="728">
        <f t="shared" si="2"/>
        <v>7058601.7883899985</v>
      </c>
      <c r="AE4" s="728">
        <f t="shared" si="2"/>
        <v>7028425.9944599997</v>
      </c>
      <c r="AF4" s="728">
        <f t="shared" si="2"/>
        <v>7067695.8735999996</v>
      </c>
      <c r="AG4" s="728">
        <f t="shared" ref="AG4:AL4" si="3">AG5+AG6+AG10+AG16+AG22+AG29+AG34+AG42+AG48+AG51</f>
        <v>6695290.6128800008</v>
      </c>
      <c r="AH4" s="728">
        <f t="shared" si="3"/>
        <v>6672209.6477834834</v>
      </c>
      <c r="AI4" s="728">
        <f t="shared" si="3"/>
        <v>6930712.4076170912</v>
      </c>
      <c r="AJ4" s="728">
        <f t="shared" si="3"/>
        <v>7134649.2518907776</v>
      </c>
      <c r="AK4" s="728">
        <f t="shared" si="3"/>
        <v>7356074.165152113</v>
      </c>
      <c r="AL4" s="728">
        <f t="shared" si="3"/>
        <v>7403953.1601834837</v>
      </c>
      <c r="AM4" s="728">
        <f t="shared" ref="AM4:AN4" si="4">AM5+AM6+AM10+AM16+AM22+AM29+AM34+AM42+AM48+AM51</f>
        <v>7546086.5014520269</v>
      </c>
      <c r="AN4" s="728">
        <f t="shared" si="4"/>
        <v>7688219.8427205728</v>
      </c>
      <c r="AO4" s="730"/>
    </row>
    <row r="5" spans="1:41">
      <c r="A5" s="760" t="s">
        <v>172</v>
      </c>
      <c r="B5" s="761"/>
      <c r="C5" s="762">
        <f t="shared" ref="C5:Y5" si="5">C65*C121/100000</f>
        <v>1637282.9737799999</v>
      </c>
      <c r="D5" s="742">
        <f t="shared" si="5"/>
        <v>1817474.66</v>
      </c>
      <c r="E5" s="742">
        <f t="shared" si="5"/>
        <v>1609387.0864800001</v>
      </c>
      <c r="F5" s="742">
        <f t="shared" si="5"/>
        <v>1644771.96554</v>
      </c>
      <c r="G5" s="742">
        <f t="shared" si="5"/>
        <v>1809388.5179999999</v>
      </c>
      <c r="H5" s="762">
        <f t="shared" si="5"/>
        <v>1838140.78896</v>
      </c>
      <c r="I5" s="742">
        <f t="shared" si="5"/>
        <v>1693560.54736</v>
      </c>
      <c r="J5" s="742">
        <f t="shared" si="5"/>
        <v>1792786.18402</v>
      </c>
      <c r="K5" s="742">
        <f t="shared" si="5"/>
        <v>1807416.4668000001</v>
      </c>
      <c r="L5" s="742">
        <f t="shared" si="5"/>
        <v>1936010.7141199999</v>
      </c>
      <c r="M5" s="762">
        <f t="shared" si="5"/>
        <v>1854540.5157600001</v>
      </c>
      <c r="N5" s="742">
        <f t="shared" si="5"/>
        <v>1820484.5202299999</v>
      </c>
      <c r="O5" s="742">
        <f t="shared" si="5"/>
        <v>2312164.642</v>
      </c>
      <c r="P5" s="742">
        <f t="shared" si="5"/>
        <v>2328021.2377800001</v>
      </c>
      <c r="Q5" s="742">
        <f t="shared" si="5"/>
        <v>2048696.9206399999</v>
      </c>
      <c r="R5" s="762">
        <f t="shared" si="5"/>
        <v>2073270.1662000001</v>
      </c>
      <c r="S5" s="742">
        <f t="shared" si="5"/>
        <v>2071398.1437599999</v>
      </c>
      <c r="T5" s="742">
        <f t="shared" si="5"/>
        <v>2093146.04786</v>
      </c>
      <c r="U5" s="742">
        <f t="shared" si="5"/>
        <v>2118874.1475</v>
      </c>
      <c r="V5" s="730">
        <f t="shared" si="5"/>
        <v>2147048.9663800001</v>
      </c>
      <c r="W5" s="730">
        <f t="shared" si="5"/>
        <v>2214337.7540099998</v>
      </c>
      <c r="X5" s="730">
        <f t="shared" si="5"/>
        <v>2122567.1949999998</v>
      </c>
      <c r="Y5" s="730">
        <f t="shared" si="5"/>
        <v>2144428.29312</v>
      </c>
      <c r="Z5" s="730">
        <f>Z65*Z121/100000</f>
        <v>2140706.0891200001</v>
      </c>
      <c r="AA5" s="730">
        <f>AA65*AA121/100000+AR17</f>
        <v>2195566.4485300002</v>
      </c>
      <c r="AB5" s="730">
        <f t="shared" ref="AB5:AG5" si="6">AB65*AB121/100000</f>
        <v>2233532.5761299999</v>
      </c>
      <c r="AC5" s="730">
        <f t="shared" si="6"/>
        <v>2223849.4108799999</v>
      </c>
      <c r="AD5" s="730">
        <f t="shared" si="6"/>
        <v>2168273.47713</v>
      </c>
      <c r="AE5" s="730">
        <f t="shared" si="6"/>
        <v>2108767.8142499998</v>
      </c>
      <c r="AF5" s="730">
        <f t="shared" si="6"/>
        <v>2063323.7596400001</v>
      </c>
      <c r="AG5" s="730">
        <f t="shared" si="6"/>
        <v>1970680.6307999999</v>
      </c>
      <c r="AH5" s="730">
        <f t="shared" ref="AH5:AM5" si="7">AH65*AH121/100000</f>
        <v>1944124.1095345432</v>
      </c>
      <c r="AI5" s="730">
        <f t="shared" si="7"/>
        <v>1983694.4632515772</v>
      </c>
      <c r="AJ5" s="730">
        <f t="shared" si="7"/>
        <v>2085404.9497443195</v>
      </c>
      <c r="AK5" s="730">
        <f t="shared" si="7"/>
        <v>2178244.9310886986</v>
      </c>
      <c r="AL5" s="730">
        <f t="shared" si="7"/>
        <v>2193334.8684469853</v>
      </c>
      <c r="AM5" s="730">
        <f t="shared" si="7"/>
        <v>2232756.6771165589</v>
      </c>
      <c r="AN5" s="730">
        <f t="shared" ref="AN5" si="8">AN65*AN121/100000</f>
        <v>2272178.4857861325</v>
      </c>
      <c r="AO5" s="730"/>
    </row>
    <row r="6" spans="1:41">
      <c r="A6" s="763" t="s">
        <v>182</v>
      </c>
      <c r="B6" s="764"/>
      <c r="C6" s="762">
        <f>SUM(C7:C9)</f>
        <v>1142509.5187200001</v>
      </c>
      <c r="D6" s="742">
        <f t="shared" ref="D6:T6" si="9">SUM(D7:D9)</f>
        <v>1259772.7600000002</v>
      </c>
      <c r="E6" s="742">
        <f t="shared" si="9"/>
        <v>1106893.9644000002</v>
      </c>
      <c r="F6" s="742">
        <f t="shared" si="9"/>
        <v>1121822.6361100001</v>
      </c>
      <c r="G6" s="742">
        <f t="shared" si="9"/>
        <v>1221678.2490000001</v>
      </c>
      <c r="H6" s="762">
        <f t="shared" si="9"/>
        <v>1270607.4370800001</v>
      </c>
      <c r="I6" s="742">
        <f t="shared" si="9"/>
        <v>1168347.8707999999</v>
      </c>
      <c r="J6" s="742">
        <f t="shared" si="9"/>
        <v>1233462.8085500002</v>
      </c>
      <c r="K6" s="742">
        <f t="shared" si="9"/>
        <v>1245211.4987999999</v>
      </c>
      <c r="L6" s="742">
        <f t="shared" si="9"/>
        <v>1292340.1831199999</v>
      </c>
      <c r="M6" s="762">
        <f t="shared" si="9"/>
        <v>1233542.5627599999</v>
      </c>
      <c r="N6" s="742">
        <f t="shared" si="9"/>
        <v>1207337.21376</v>
      </c>
      <c r="O6" s="742">
        <f t="shared" si="9"/>
        <v>1530835.6756499999</v>
      </c>
      <c r="P6" s="742">
        <f t="shared" si="9"/>
        <v>1542173.4581399998</v>
      </c>
      <c r="Q6" s="742">
        <f t="shared" si="9"/>
        <v>1333609.2139999999</v>
      </c>
      <c r="R6" s="762">
        <f t="shared" si="9"/>
        <v>1349709.6441599999</v>
      </c>
      <c r="S6" s="742">
        <f t="shared" si="9"/>
        <v>1365646.12632</v>
      </c>
      <c r="T6" s="742">
        <f t="shared" si="9"/>
        <v>1384003.8474000001</v>
      </c>
      <c r="U6" s="742">
        <f t="shared" ref="U6:AA6" si="10">SUM(U7:U9)</f>
        <v>1402774.5059200001</v>
      </c>
      <c r="V6" s="730">
        <f t="shared" si="10"/>
        <v>1417435.3934800001</v>
      </c>
      <c r="W6" s="730">
        <f t="shared" si="10"/>
        <v>1434811.3829600001</v>
      </c>
      <c r="X6" s="730">
        <f t="shared" si="10"/>
        <v>1375790.0503700001</v>
      </c>
      <c r="Y6" s="730">
        <f t="shared" si="10"/>
        <v>1400015.57226</v>
      </c>
      <c r="Z6" s="730">
        <f t="shared" si="10"/>
        <v>1398331.9856400001</v>
      </c>
      <c r="AA6" s="730">
        <f t="shared" si="10"/>
        <v>1430929.1675400001</v>
      </c>
      <c r="AB6" s="730">
        <f t="shared" ref="AB6:AG6" si="11">SUM(AB7:AB9)</f>
        <v>1450451.9996699998</v>
      </c>
      <c r="AC6" s="730">
        <f t="shared" si="11"/>
        <v>1438321.15757</v>
      </c>
      <c r="AD6" s="730">
        <f t="shared" si="11"/>
        <v>1398314.5055399998</v>
      </c>
      <c r="AE6" s="730">
        <f t="shared" si="11"/>
        <v>1370287.2451999998</v>
      </c>
      <c r="AF6" s="730">
        <f t="shared" si="11"/>
        <v>1348327.7983200001</v>
      </c>
      <c r="AG6" s="730">
        <f t="shared" si="11"/>
        <v>1284827.45025</v>
      </c>
      <c r="AH6" s="730">
        <f t="shared" ref="AH6:AM6" si="12">SUM(AH7:AH9)</f>
        <v>1269734.1255413219</v>
      </c>
      <c r="AI6" s="730">
        <f t="shared" si="12"/>
        <v>1302009.9887319903</v>
      </c>
      <c r="AJ6" s="730">
        <f t="shared" si="12"/>
        <v>1369893.5219189257</v>
      </c>
      <c r="AK6" s="730">
        <f t="shared" si="12"/>
        <v>1422415.9011080198</v>
      </c>
      <c r="AL6" s="730">
        <f t="shared" si="12"/>
        <v>1434748.0600570445</v>
      </c>
      <c r="AM6" s="730">
        <f t="shared" si="12"/>
        <v>1471941.3222555439</v>
      </c>
      <c r="AN6" s="730">
        <f t="shared" ref="AN6" si="13">SUM(AN7:AN9)</f>
        <v>1509134.5844540438</v>
      </c>
      <c r="AO6" s="730"/>
    </row>
    <row r="7" spans="1:41">
      <c r="A7" s="741" t="s">
        <v>183</v>
      </c>
      <c r="B7" s="765"/>
      <c r="C7" s="762">
        <f t="shared" ref="C7:Y7" si="14">C67*C123/100000</f>
        <v>564291.42281999998</v>
      </c>
      <c r="D7" s="742">
        <f t="shared" si="14"/>
        <v>623302.79</v>
      </c>
      <c r="E7" s="742">
        <f t="shared" si="14"/>
        <v>547870.15032000002</v>
      </c>
      <c r="F7" s="742">
        <f t="shared" si="14"/>
        <v>555783.74060000002</v>
      </c>
      <c r="G7" s="742">
        <f t="shared" si="14"/>
        <v>604186.43200000003</v>
      </c>
      <c r="H7" s="762">
        <f t="shared" si="14"/>
        <v>655783.35083999997</v>
      </c>
      <c r="I7" s="742">
        <f t="shared" si="14"/>
        <v>601597.97103999997</v>
      </c>
      <c r="J7" s="742">
        <f t="shared" si="14"/>
        <v>628331.92307000002</v>
      </c>
      <c r="K7" s="742">
        <f t="shared" si="14"/>
        <v>624136.06079999998</v>
      </c>
      <c r="L7" s="742">
        <f t="shared" si="14"/>
        <v>620948.7844</v>
      </c>
      <c r="M7" s="762">
        <f t="shared" si="14"/>
        <v>584036.37511999998</v>
      </c>
      <c r="N7" s="742">
        <f t="shared" si="14"/>
        <v>565600.6888</v>
      </c>
      <c r="O7" s="742">
        <f t="shared" si="14"/>
        <v>711729.96955000004</v>
      </c>
      <c r="P7" s="742">
        <f t="shared" si="14"/>
        <v>713880.80567999999</v>
      </c>
      <c r="Q7" s="742">
        <f t="shared" si="14"/>
        <v>615524.93400000001</v>
      </c>
      <c r="R7" s="762">
        <f t="shared" si="14"/>
        <v>619577.7696</v>
      </c>
      <c r="S7" s="742">
        <f t="shared" si="14"/>
        <v>628730.41749000002</v>
      </c>
      <c r="T7" s="742">
        <f t="shared" si="14"/>
        <v>634690.2439</v>
      </c>
      <c r="U7" s="742">
        <f t="shared" si="14"/>
        <v>643321.18674000003</v>
      </c>
      <c r="V7" s="730">
        <f t="shared" si="14"/>
        <v>651124.22958000004</v>
      </c>
      <c r="W7" s="730">
        <f t="shared" si="14"/>
        <v>668327.52749999997</v>
      </c>
      <c r="X7" s="730">
        <f t="shared" si="14"/>
        <v>635089.3125</v>
      </c>
      <c r="Y7" s="730">
        <f t="shared" si="14"/>
        <v>643682.99641000002</v>
      </c>
      <c r="Z7" s="730">
        <f>Z67*Z123/100000</f>
        <v>638975.93529000005</v>
      </c>
      <c r="AA7" s="730">
        <f t="shared" ref="AA7:AB54" si="15">AA67*AA123/100000</f>
        <v>649853.71163999999</v>
      </c>
      <c r="AB7" s="730">
        <f t="shared" si="15"/>
        <v>657196.98930999998</v>
      </c>
      <c r="AC7" s="730">
        <f t="shared" ref="AC7:AD9" si="16">AC67*AC123/100000</f>
        <v>653817.46088999999</v>
      </c>
      <c r="AD7" s="730">
        <f t="shared" si="16"/>
        <v>637622.28532999998</v>
      </c>
      <c r="AE7" s="730">
        <f t="shared" ref="AE7:AF9" si="17">AE67*AE123/100000</f>
        <v>622172.39735999994</v>
      </c>
      <c r="AF7" s="730">
        <f t="shared" si="17"/>
        <v>611069.76144000003</v>
      </c>
      <c r="AG7" s="730">
        <f>AG67*AG123/100000</f>
        <v>585629.07828000002</v>
      </c>
      <c r="AH7" s="730">
        <f>AH67*AH123/100000</f>
        <v>577977.55052646226</v>
      </c>
      <c r="AI7" s="730">
        <f t="shared" ref="AI7:AI9" si="18">AI67*AI123/100000</f>
        <v>589080.31532003661</v>
      </c>
      <c r="AJ7" s="730">
        <f t="shared" ref="AJ7:AK7" si="19">AJ67*AJ123/100000</f>
        <v>622418.89265962108</v>
      </c>
      <c r="AK7" s="730">
        <f t="shared" si="19"/>
        <v>652753.26867635699</v>
      </c>
      <c r="AL7" s="730">
        <f t="shared" ref="AL7:AM7" si="20">AL67*AL123/100000</f>
        <v>660541.99058784824</v>
      </c>
      <c r="AM7" s="730">
        <f t="shared" si="20"/>
        <v>684861.00143493304</v>
      </c>
      <c r="AN7" s="730">
        <f t="shared" ref="AN7" si="21">AN67*AN123/100000</f>
        <v>709180.01228201785</v>
      </c>
      <c r="AO7" s="730"/>
    </row>
    <row r="8" spans="1:41">
      <c r="A8" s="741" t="s">
        <v>184</v>
      </c>
      <c r="B8" s="765"/>
      <c r="C8" s="762">
        <f t="shared" ref="C8:Y8" si="22">C68*C124/100000</f>
        <v>479744.43083999999</v>
      </c>
      <c r="D8" s="742">
        <f t="shared" si="22"/>
        <v>527484.91</v>
      </c>
      <c r="E8" s="742">
        <f t="shared" si="22"/>
        <v>462990.68280000001</v>
      </c>
      <c r="F8" s="742">
        <f t="shared" si="22"/>
        <v>468824.41914000001</v>
      </c>
      <c r="G8" s="742">
        <f t="shared" si="22"/>
        <v>512127.55200000003</v>
      </c>
      <c r="H8" s="762">
        <f t="shared" si="22"/>
        <v>515226.77784</v>
      </c>
      <c r="I8" s="742">
        <f t="shared" si="22"/>
        <v>475574.59928000002</v>
      </c>
      <c r="J8" s="742">
        <f t="shared" si="22"/>
        <v>508873.05875000003</v>
      </c>
      <c r="K8" s="742">
        <f t="shared" si="22"/>
        <v>522237.21240000002</v>
      </c>
      <c r="L8" s="742">
        <f t="shared" si="22"/>
        <v>564061.88523999997</v>
      </c>
      <c r="M8" s="762">
        <f t="shared" si="22"/>
        <v>544844.43631999998</v>
      </c>
      <c r="N8" s="742">
        <f t="shared" si="22"/>
        <v>538404.27084000001</v>
      </c>
      <c r="O8" s="742">
        <f t="shared" si="22"/>
        <v>685453.69854999997</v>
      </c>
      <c r="P8" s="742">
        <f t="shared" si="22"/>
        <v>691847.04140999995</v>
      </c>
      <c r="Q8" s="742">
        <f t="shared" si="22"/>
        <v>599621.01199999999</v>
      </c>
      <c r="R8" s="762">
        <f t="shared" si="22"/>
        <v>609938.25983999996</v>
      </c>
      <c r="S8" s="742">
        <f t="shared" si="22"/>
        <v>615850.91819999996</v>
      </c>
      <c r="T8" s="742">
        <f t="shared" si="22"/>
        <v>626448.32620000001</v>
      </c>
      <c r="U8" s="742">
        <f t="shared" si="22"/>
        <v>634858.36977999995</v>
      </c>
      <c r="V8" s="730">
        <f t="shared" si="22"/>
        <v>640987.92961999995</v>
      </c>
      <c r="W8" s="730">
        <f t="shared" si="22"/>
        <v>646953.74</v>
      </c>
      <c r="X8" s="730">
        <f t="shared" si="22"/>
        <v>619669.34375</v>
      </c>
      <c r="Y8" s="730">
        <f t="shared" si="22"/>
        <v>630658.01321</v>
      </c>
      <c r="Z8" s="730">
        <f>Z68*Z124/100000</f>
        <v>630394.93285999994</v>
      </c>
      <c r="AA8" s="730">
        <f t="shared" si="15"/>
        <v>647095.89734999998</v>
      </c>
      <c r="AB8" s="730">
        <f t="shared" si="15"/>
        <v>658858.46255000005</v>
      </c>
      <c r="AC8" s="730">
        <f t="shared" si="16"/>
        <v>653247.92544000002</v>
      </c>
      <c r="AD8" s="730">
        <f t="shared" si="16"/>
        <v>634376.14543000003</v>
      </c>
      <c r="AE8" s="730">
        <f t="shared" si="17"/>
        <v>614475.07551999995</v>
      </c>
      <c r="AF8" s="730">
        <f t="shared" si="17"/>
        <v>599035.97387999995</v>
      </c>
      <c r="AG8" s="730">
        <f t="shared" ref="AG8:AH9" si="23">AG68*AG124/100000</f>
        <v>570411.99057000002</v>
      </c>
      <c r="AH8" s="730">
        <f t="shared" si="23"/>
        <v>563657.91833302076</v>
      </c>
      <c r="AI8" s="730">
        <f t="shared" si="18"/>
        <v>576598.62858418585</v>
      </c>
      <c r="AJ8" s="730">
        <f t="shared" ref="AJ8:AK8" si="24">AJ68*AJ124/100000</f>
        <v>607985.09520556126</v>
      </c>
      <c r="AK8" s="730">
        <f t="shared" si="24"/>
        <v>635204.32250325778</v>
      </c>
      <c r="AL8" s="730">
        <f t="shared" ref="AL8:AM8" si="25">AL68*AL124/100000</f>
        <v>639290.3970402194</v>
      </c>
      <c r="AM8" s="730">
        <f t="shared" si="25"/>
        <v>651196.66885275254</v>
      </c>
      <c r="AN8" s="730">
        <f t="shared" ref="AN8" si="26">AN68*AN124/100000</f>
        <v>663102.94066528569</v>
      </c>
      <c r="AO8" s="730"/>
    </row>
    <row r="9" spans="1:41">
      <c r="A9" s="741" t="s">
        <v>185</v>
      </c>
      <c r="B9" s="765"/>
      <c r="C9" s="762">
        <f t="shared" ref="C9:Y9" si="27">C69*C125/100000</f>
        <v>98473.665059999999</v>
      </c>
      <c r="D9" s="742">
        <f t="shared" si="27"/>
        <v>108985.06</v>
      </c>
      <c r="E9" s="742">
        <f t="shared" si="27"/>
        <v>96033.131280000001</v>
      </c>
      <c r="F9" s="742">
        <f t="shared" si="27"/>
        <v>97214.476370000004</v>
      </c>
      <c r="G9" s="742">
        <f t="shared" si="27"/>
        <v>105364.265</v>
      </c>
      <c r="H9" s="762">
        <f t="shared" si="27"/>
        <v>99597.308399999994</v>
      </c>
      <c r="I9" s="742">
        <f t="shared" si="27"/>
        <v>91175.300480000005</v>
      </c>
      <c r="J9" s="742">
        <f t="shared" si="27"/>
        <v>96257.826730000001</v>
      </c>
      <c r="K9" s="742">
        <f t="shared" si="27"/>
        <v>98838.225600000005</v>
      </c>
      <c r="L9" s="742">
        <f t="shared" si="27"/>
        <v>107329.51347999999</v>
      </c>
      <c r="M9" s="762">
        <f t="shared" si="27"/>
        <v>104661.75132</v>
      </c>
      <c r="N9" s="742">
        <f t="shared" si="27"/>
        <v>103332.25412</v>
      </c>
      <c r="O9" s="742">
        <f t="shared" si="27"/>
        <v>133652.00755000001</v>
      </c>
      <c r="P9" s="742">
        <f t="shared" si="27"/>
        <v>136445.61105000001</v>
      </c>
      <c r="Q9" s="742">
        <f t="shared" si="27"/>
        <v>118463.268</v>
      </c>
      <c r="R9" s="762">
        <f t="shared" si="27"/>
        <v>120193.61472</v>
      </c>
      <c r="S9" s="742">
        <f t="shared" si="27"/>
        <v>121064.79063</v>
      </c>
      <c r="T9" s="742">
        <f t="shared" si="27"/>
        <v>122865.2773</v>
      </c>
      <c r="U9" s="742">
        <f t="shared" si="27"/>
        <v>124594.9494</v>
      </c>
      <c r="V9" s="730">
        <f t="shared" si="27"/>
        <v>125323.23428</v>
      </c>
      <c r="W9" s="730">
        <f t="shared" si="27"/>
        <v>119530.11546</v>
      </c>
      <c r="X9" s="730">
        <f t="shared" si="27"/>
        <v>121031.39412</v>
      </c>
      <c r="Y9" s="730">
        <f t="shared" si="27"/>
        <v>125674.56264</v>
      </c>
      <c r="Z9" s="730">
        <f>Z69*Z125/100000</f>
        <v>128961.11749</v>
      </c>
      <c r="AA9" s="730">
        <f t="shared" si="15"/>
        <v>133979.55854999999</v>
      </c>
      <c r="AB9" s="730">
        <f t="shared" si="15"/>
        <v>134396.54780999999</v>
      </c>
      <c r="AC9" s="730">
        <f t="shared" si="16"/>
        <v>131255.77124</v>
      </c>
      <c r="AD9" s="730">
        <f t="shared" si="16"/>
        <v>126316.07478</v>
      </c>
      <c r="AE9" s="730">
        <f t="shared" si="17"/>
        <v>133639.77231999999</v>
      </c>
      <c r="AF9" s="730">
        <f t="shared" si="17"/>
        <v>138222.06299999999</v>
      </c>
      <c r="AG9" s="730">
        <f t="shared" si="23"/>
        <v>128786.3814</v>
      </c>
      <c r="AH9" s="730">
        <f t="shared" si="23"/>
        <v>128098.6566818389</v>
      </c>
      <c r="AI9" s="730">
        <f t="shared" si="18"/>
        <v>136331.04482776788</v>
      </c>
      <c r="AJ9" s="730">
        <f t="shared" ref="AJ9:AK9" si="28">AJ69*AJ125/100000</f>
        <v>139489.53405374341</v>
      </c>
      <c r="AK9" s="730">
        <f t="shared" si="28"/>
        <v>134458.30992840495</v>
      </c>
      <c r="AL9" s="730">
        <f t="shared" ref="AL9:AM9" si="29">AL69*AL125/100000</f>
        <v>134915.67242897683</v>
      </c>
      <c r="AM9" s="730">
        <f t="shared" si="29"/>
        <v>135883.65196785846</v>
      </c>
      <c r="AN9" s="730">
        <f t="shared" ref="AN9" si="30">AN69*AN125/100000</f>
        <v>136851.63150674009</v>
      </c>
      <c r="AO9" s="730"/>
    </row>
    <row r="10" spans="1:41">
      <c r="A10" s="763" t="s">
        <v>186</v>
      </c>
      <c r="B10" s="764"/>
      <c r="C10" s="762">
        <f>SUM(C11:C15)</f>
        <v>603623.79738</v>
      </c>
      <c r="D10" s="742">
        <f t="shared" ref="D10:T10" si="31">SUM(D11:D15)</f>
        <v>675782.84000000008</v>
      </c>
      <c r="E10" s="742">
        <f t="shared" si="31"/>
        <v>603255.84407999995</v>
      </c>
      <c r="F10" s="742">
        <f t="shared" si="31"/>
        <v>621744.41152999992</v>
      </c>
      <c r="G10" s="742">
        <f t="shared" si="31"/>
        <v>692814.99300000002</v>
      </c>
      <c r="H10" s="762">
        <f t="shared" si="31"/>
        <v>762537.82392</v>
      </c>
      <c r="I10" s="742">
        <f t="shared" si="31"/>
        <v>717495.27519999992</v>
      </c>
      <c r="J10" s="742">
        <f t="shared" si="31"/>
        <v>764480.84902000008</v>
      </c>
      <c r="K10" s="742">
        <f t="shared" si="31"/>
        <v>775296.82019999996</v>
      </c>
      <c r="L10" s="742">
        <f t="shared" si="31"/>
        <v>814752.31348000001</v>
      </c>
      <c r="M10" s="762">
        <f t="shared" si="31"/>
        <v>758191.15516000008</v>
      </c>
      <c r="N10" s="742">
        <f t="shared" si="31"/>
        <v>743222.50861000014</v>
      </c>
      <c r="O10" s="742">
        <f t="shared" si="31"/>
        <v>944433.21435000002</v>
      </c>
      <c r="P10" s="742">
        <f t="shared" si="31"/>
        <v>952809.55119000003</v>
      </c>
      <c r="Q10" s="742">
        <f t="shared" si="31"/>
        <v>826860.10200000007</v>
      </c>
      <c r="R10" s="762">
        <f t="shared" si="31"/>
        <v>839466.18432</v>
      </c>
      <c r="S10" s="742">
        <f t="shared" si="31"/>
        <v>835934.87606999988</v>
      </c>
      <c r="T10" s="742">
        <f t="shared" si="31"/>
        <v>849252.33145000006</v>
      </c>
      <c r="U10" s="742">
        <f t="shared" ref="U10:AA10" si="32">SUM(U11:U15)</f>
        <v>863338.7790000001</v>
      </c>
      <c r="V10" s="730">
        <f t="shared" si="32"/>
        <v>877081.07559999998</v>
      </c>
      <c r="W10" s="730">
        <f t="shared" si="32"/>
        <v>879572.79882000003</v>
      </c>
      <c r="X10" s="730">
        <f t="shared" si="32"/>
        <v>848183.26667999988</v>
      </c>
      <c r="Y10" s="730">
        <f t="shared" si="32"/>
        <v>869503.26833999995</v>
      </c>
      <c r="Z10" s="730">
        <f t="shared" si="32"/>
        <v>868641.07280999993</v>
      </c>
      <c r="AA10" s="730">
        <f t="shared" si="32"/>
        <v>882678.8452000001</v>
      </c>
      <c r="AB10" s="730">
        <f t="shared" ref="AB10:AG10" si="33">SUM(AB11:AB15)</f>
        <v>870996.0631400001</v>
      </c>
      <c r="AC10" s="730">
        <f t="shared" si="33"/>
        <v>858072.91526000004</v>
      </c>
      <c r="AD10" s="730">
        <f t="shared" si="33"/>
        <v>862525.55608999997</v>
      </c>
      <c r="AE10" s="730">
        <f t="shared" si="33"/>
        <v>871706.5891000001</v>
      </c>
      <c r="AF10" s="730">
        <f t="shared" si="33"/>
        <v>907838.37602000008</v>
      </c>
      <c r="AG10" s="730">
        <f t="shared" si="33"/>
        <v>843703.70862999989</v>
      </c>
      <c r="AH10" s="730">
        <f t="shared" ref="AH10:AM10" si="34">SUM(AH11:AH15)</f>
        <v>875661.49182665336</v>
      </c>
      <c r="AI10" s="730">
        <f t="shared" si="34"/>
        <v>921182.06089510152</v>
      </c>
      <c r="AJ10" s="730">
        <f t="shared" si="34"/>
        <v>910389.14552161342</v>
      </c>
      <c r="AK10" s="730">
        <f t="shared" si="34"/>
        <v>933704.11968319607</v>
      </c>
      <c r="AL10" s="730">
        <f t="shared" si="34"/>
        <v>940198.46179646777</v>
      </c>
      <c r="AM10" s="730">
        <f t="shared" si="34"/>
        <v>963886.28765580803</v>
      </c>
      <c r="AN10" s="730">
        <f t="shared" ref="AN10" si="35">SUM(AN11:AN15)</f>
        <v>987574.11351514794</v>
      </c>
      <c r="AO10" s="730"/>
    </row>
    <row r="11" spans="1:41">
      <c r="A11" s="741" t="s">
        <v>187</v>
      </c>
      <c r="B11" s="765"/>
      <c r="C11" s="762">
        <f t="shared" ref="C11:Y11" si="36">C71*C127/100000</f>
        <v>190412.17955999999</v>
      </c>
      <c r="D11" s="742">
        <f t="shared" si="36"/>
        <v>210062.53</v>
      </c>
      <c r="E11" s="742">
        <f t="shared" si="36"/>
        <v>185670.95832000001</v>
      </c>
      <c r="F11" s="742">
        <f t="shared" si="36"/>
        <v>189817.16709999999</v>
      </c>
      <c r="G11" s="742">
        <f t="shared" si="36"/>
        <v>208880.473</v>
      </c>
      <c r="H11" s="762">
        <f t="shared" si="36"/>
        <v>228402.2898</v>
      </c>
      <c r="I11" s="742">
        <f t="shared" si="36"/>
        <v>212459.61</v>
      </c>
      <c r="J11" s="742">
        <f t="shared" si="36"/>
        <v>224303.77162000001</v>
      </c>
      <c r="K11" s="742">
        <f t="shared" si="36"/>
        <v>226110.72779999999</v>
      </c>
      <c r="L11" s="742">
        <f t="shared" si="36"/>
        <v>225320.89916</v>
      </c>
      <c r="M11" s="762">
        <f t="shared" si="36"/>
        <v>216751.92008000001</v>
      </c>
      <c r="N11" s="742">
        <f t="shared" si="36"/>
        <v>210018.41902999999</v>
      </c>
      <c r="O11" s="742">
        <f t="shared" si="36"/>
        <v>265062.80375000002</v>
      </c>
      <c r="P11" s="742">
        <f t="shared" si="36"/>
        <v>266868.39185999997</v>
      </c>
      <c r="Q11" s="742">
        <f t="shared" si="36"/>
        <v>231044.649</v>
      </c>
      <c r="R11" s="762">
        <f t="shared" si="36"/>
        <v>233049.69216000001</v>
      </c>
      <c r="S11" s="742">
        <f t="shared" si="36"/>
        <v>230792.36838</v>
      </c>
      <c r="T11" s="742">
        <f t="shared" si="36"/>
        <v>235016.6874</v>
      </c>
      <c r="U11" s="742">
        <f t="shared" si="36"/>
        <v>238069.93257999999</v>
      </c>
      <c r="V11" s="730">
        <f t="shared" si="36"/>
        <v>241737.29324</v>
      </c>
      <c r="W11" s="730">
        <f t="shared" si="36"/>
        <v>244411.45631000001</v>
      </c>
      <c r="X11" s="730">
        <f t="shared" si="36"/>
        <v>233061.37705000001</v>
      </c>
      <c r="Y11" s="730">
        <f t="shared" si="36"/>
        <v>237092.31841000001</v>
      </c>
      <c r="Z11" s="730">
        <f>Z71*Z127/100000</f>
        <v>236078.03291000001</v>
      </c>
      <c r="AA11" s="730">
        <f>AA71*AA127/100000+AR19</f>
        <v>239151.70116</v>
      </c>
      <c r="AB11" s="730">
        <f t="shared" si="15"/>
        <v>235697.46354</v>
      </c>
      <c r="AC11" s="730">
        <f t="shared" ref="AC11:AD15" si="37">AC71*AC127/100000</f>
        <v>233417.31839999999</v>
      </c>
      <c r="AD11" s="730">
        <f t="shared" si="37"/>
        <v>236823.21249999999</v>
      </c>
      <c r="AE11" s="730">
        <f t="shared" ref="AE11:AF15" si="38">AE71*AE127/100000</f>
        <v>238181.69699999999</v>
      </c>
      <c r="AF11" s="730">
        <f t="shared" si="38"/>
        <v>249419.31896</v>
      </c>
      <c r="AG11" s="730">
        <f t="shared" ref="AG11:AH15" si="39">AG71*AG127/100000</f>
        <v>232739.93694000001</v>
      </c>
      <c r="AH11" s="730">
        <f t="shared" si="39"/>
        <v>244450.60012740517</v>
      </c>
      <c r="AI11" s="730">
        <f t="shared" ref="AI11:AI15" si="40">AI71*AI127/100000</f>
        <v>256718.47150582323</v>
      </c>
      <c r="AJ11" s="730">
        <f t="shared" ref="AJ11:AK11" si="41">AJ71*AJ127/100000</f>
        <v>252274.41929284175</v>
      </c>
      <c r="AK11" s="730">
        <f t="shared" si="41"/>
        <v>261724.15794580968</v>
      </c>
      <c r="AL11" s="730">
        <f t="shared" ref="AL11:AM11" si="42">AL71*AL127/100000</f>
        <v>264614.68268406932</v>
      </c>
      <c r="AM11" s="730">
        <f t="shared" si="42"/>
        <v>276511.37614057225</v>
      </c>
      <c r="AN11" s="730">
        <f t="shared" ref="AN11" si="43">AN71*AN127/100000</f>
        <v>288408.06959707517</v>
      </c>
      <c r="AO11" s="730"/>
    </row>
    <row r="12" spans="1:41">
      <c r="A12" s="741" t="s">
        <v>188</v>
      </c>
      <c r="B12" s="765"/>
      <c r="C12" s="762">
        <f t="shared" ref="C12:Y12" si="44">C72*C128/100000</f>
        <v>206264.17116</v>
      </c>
      <c r="D12" s="742">
        <f t="shared" si="44"/>
        <v>229819.92</v>
      </c>
      <c r="E12" s="742">
        <f t="shared" si="44"/>
        <v>202753.87176000001</v>
      </c>
      <c r="F12" s="742">
        <f t="shared" si="44"/>
        <v>206773.28122</v>
      </c>
      <c r="G12" s="742">
        <f t="shared" si="44"/>
        <v>227636.21900000001</v>
      </c>
      <c r="H12" s="762">
        <f t="shared" si="44"/>
        <v>244498.20155999999</v>
      </c>
      <c r="I12" s="742">
        <f t="shared" si="44"/>
        <v>226867.73647999999</v>
      </c>
      <c r="J12" s="742">
        <f t="shared" si="44"/>
        <v>241601.39438000001</v>
      </c>
      <c r="K12" s="742">
        <f t="shared" si="44"/>
        <v>244663.74840000001</v>
      </c>
      <c r="L12" s="742">
        <f t="shared" si="44"/>
        <v>256467.71444000001</v>
      </c>
      <c r="M12" s="762">
        <f t="shared" si="44"/>
        <v>242099.71187999999</v>
      </c>
      <c r="N12" s="742">
        <f t="shared" si="44"/>
        <v>239841.42911</v>
      </c>
      <c r="O12" s="742">
        <f t="shared" si="44"/>
        <v>305272.12264999998</v>
      </c>
      <c r="P12" s="742">
        <f t="shared" si="44"/>
        <v>308659.08591000002</v>
      </c>
      <c r="Q12" s="742">
        <f t="shared" si="44"/>
        <v>268240.31400000001</v>
      </c>
      <c r="R12" s="762">
        <f t="shared" si="44"/>
        <v>273046.46399999998</v>
      </c>
      <c r="S12" s="742">
        <f t="shared" si="44"/>
        <v>270216.08711999998</v>
      </c>
      <c r="T12" s="742">
        <f t="shared" si="44"/>
        <v>274423.94309999997</v>
      </c>
      <c r="U12" s="742">
        <f t="shared" si="44"/>
        <v>279191.58643999998</v>
      </c>
      <c r="V12" s="730">
        <f t="shared" si="44"/>
        <v>283594.13906000002</v>
      </c>
      <c r="W12" s="730">
        <f t="shared" si="44"/>
        <v>290198.07368999999</v>
      </c>
      <c r="X12" s="730">
        <f t="shared" si="44"/>
        <v>277681.2402</v>
      </c>
      <c r="Y12" s="730">
        <f t="shared" si="44"/>
        <v>285833.18011000002</v>
      </c>
      <c r="Z12" s="730">
        <f>Z72*Z128/100000</f>
        <v>283193.05312</v>
      </c>
      <c r="AA12" s="730">
        <f t="shared" si="15"/>
        <v>286451.38884000003</v>
      </c>
      <c r="AB12" s="730">
        <f t="shared" si="15"/>
        <v>281213.12520000001</v>
      </c>
      <c r="AC12" s="730">
        <f t="shared" si="37"/>
        <v>277180.13439999998</v>
      </c>
      <c r="AD12" s="730">
        <f t="shared" si="37"/>
        <v>280278.72074999998</v>
      </c>
      <c r="AE12" s="730">
        <f t="shared" si="38"/>
        <v>279540.10548000003</v>
      </c>
      <c r="AF12" s="730">
        <f t="shared" si="38"/>
        <v>290535.74536</v>
      </c>
      <c r="AG12" s="730">
        <f t="shared" si="39"/>
        <v>269377.40909999999</v>
      </c>
      <c r="AH12" s="730">
        <f t="shared" si="39"/>
        <v>282518.0223683964</v>
      </c>
      <c r="AI12" s="730">
        <f t="shared" si="40"/>
        <v>296278.83035096934</v>
      </c>
      <c r="AJ12" s="730">
        <f t="shared" ref="AJ12:AK12" si="45">AJ72*AJ128/100000</f>
        <v>290410.84452016227</v>
      </c>
      <c r="AK12" s="730">
        <f t="shared" si="45"/>
        <v>300961.55967148917</v>
      </c>
      <c r="AL12" s="730">
        <f t="shared" ref="AL12:AM12" si="46">AL72*AL128/100000</f>
        <v>302135.73853086797</v>
      </c>
      <c r="AM12" s="730">
        <f t="shared" si="46"/>
        <v>306308.87553240691</v>
      </c>
      <c r="AN12" s="730">
        <f t="shared" ref="AN12" si="47">AN72*AN128/100000</f>
        <v>310482.01253394579</v>
      </c>
      <c r="AO12" s="730"/>
    </row>
    <row r="13" spans="1:41">
      <c r="A13" s="741" t="s">
        <v>189</v>
      </c>
      <c r="B13" s="765"/>
      <c r="C13" s="762">
        <f t="shared" ref="C13:Y13" si="48">C73*C129/100000</f>
        <v>133943.25545999999</v>
      </c>
      <c r="D13" s="742">
        <f t="shared" si="48"/>
        <v>148142.35999999999</v>
      </c>
      <c r="E13" s="742">
        <f t="shared" si="48"/>
        <v>131430.2628</v>
      </c>
      <c r="F13" s="742">
        <f t="shared" si="48"/>
        <v>134929.40505</v>
      </c>
      <c r="G13" s="742">
        <f t="shared" si="48"/>
        <v>149079.72500000001</v>
      </c>
      <c r="H13" s="762">
        <f t="shared" si="48"/>
        <v>166242.19464</v>
      </c>
      <c r="I13" s="742">
        <f t="shared" si="48"/>
        <v>158013.60696</v>
      </c>
      <c r="J13" s="742">
        <f t="shared" si="48"/>
        <v>168057.25674000001</v>
      </c>
      <c r="K13" s="742">
        <f t="shared" si="48"/>
        <v>170310.50520000001</v>
      </c>
      <c r="L13" s="742">
        <f t="shared" si="48"/>
        <v>188538.28224</v>
      </c>
      <c r="M13" s="762">
        <f t="shared" si="48"/>
        <v>167555.48168</v>
      </c>
      <c r="N13" s="742">
        <f t="shared" si="48"/>
        <v>164144.33984</v>
      </c>
      <c r="O13" s="742">
        <f t="shared" si="48"/>
        <v>209470.45785000001</v>
      </c>
      <c r="P13" s="742">
        <f t="shared" si="48"/>
        <v>211756.57146000001</v>
      </c>
      <c r="Q13" s="742">
        <f t="shared" si="48"/>
        <v>183795.679</v>
      </c>
      <c r="R13" s="762">
        <f t="shared" si="48"/>
        <v>187363.6704</v>
      </c>
      <c r="S13" s="742">
        <f t="shared" si="48"/>
        <v>186344.48741999999</v>
      </c>
      <c r="T13" s="742">
        <f t="shared" si="48"/>
        <v>188537.7787</v>
      </c>
      <c r="U13" s="742">
        <f t="shared" si="48"/>
        <v>191236.50322000001</v>
      </c>
      <c r="V13" s="730">
        <f t="shared" si="48"/>
        <v>194292.64772000001</v>
      </c>
      <c r="W13" s="730">
        <f t="shared" si="48"/>
        <v>191649.60808000001</v>
      </c>
      <c r="X13" s="730">
        <f t="shared" si="48"/>
        <v>182685.65625999999</v>
      </c>
      <c r="Y13" s="730">
        <f t="shared" si="48"/>
        <v>187167.35668</v>
      </c>
      <c r="Z13" s="730">
        <f>Z73*Z129/100000</f>
        <v>187369.38524</v>
      </c>
      <c r="AA13" s="730">
        <f t="shared" si="15"/>
        <v>190380.01879999999</v>
      </c>
      <c r="AB13" s="730">
        <f t="shared" si="15"/>
        <v>187221.50649999999</v>
      </c>
      <c r="AC13" s="730">
        <f t="shared" si="37"/>
        <v>184249.36960000001</v>
      </c>
      <c r="AD13" s="730">
        <f t="shared" si="37"/>
        <v>186110.83825</v>
      </c>
      <c r="AE13" s="730">
        <f t="shared" si="38"/>
        <v>185535.96312</v>
      </c>
      <c r="AF13" s="730">
        <f t="shared" si="38"/>
        <v>192933.03554000001</v>
      </c>
      <c r="AG13" s="730">
        <f t="shared" si="39"/>
        <v>178703.61593999999</v>
      </c>
      <c r="AH13" s="730">
        <f t="shared" si="39"/>
        <v>187885.71063959179</v>
      </c>
      <c r="AI13" s="730">
        <f t="shared" si="40"/>
        <v>197411.7192588569</v>
      </c>
      <c r="AJ13" s="730">
        <f t="shared" ref="AJ13:AK13" si="49">AJ73*AJ129/100000</f>
        <v>193804.37145159999</v>
      </c>
      <c r="AK13" s="730">
        <f t="shared" si="49"/>
        <v>200561.52195146581</v>
      </c>
      <c r="AL13" s="730">
        <f t="shared" ref="AL13:AM13" si="50">AL73*AL129/100000</f>
        <v>202023.82385549427</v>
      </c>
      <c r="AM13" s="730">
        <f t="shared" si="50"/>
        <v>206894.03273925019</v>
      </c>
      <c r="AN13" s="730">
        <f t="shared" ref="AN13" si="51">AN73*AN129/100000</f>
        <v>211764.24162300606</v>
      </c>
      <c r="AO13" s="730"/>
    </row>
    <row r="14" spans="1:41">
      <c r="A14" s="741" t="s">
        <v>190</v>
      </c>
      <c r="B14" s="765"/>
      <c r="C14" s="762">
        <f t="shared" ref="C14:Y14" si="52">C74*C130/100000</f>
        <v>55321.021260000001</v>
      </c>
      <c r="D14" s="742">
        <f t="shared" si="52"/>
        <v>67222.789999999994</v>
      </c>
      <c r="E14" s="742">
        <f t="shared" si="52"/>
        <v>64519.787759999999</v>
      </c>
      <c r="F14" s="742">
        <f t="shared" si="52"/>
        <v>69980.090620000003</v>
      </c>
      <c r="G14" s="742">
        <f t="shared" si="52"/>
        <v>83878.648000000001</v>
      </c>
      <c r="H14" s="762">
        <f t="shared" si="52"/>
        <v>97216.154999999999</v>
      </c>
      <c r="I14" s="742">
        <f t="shared" si="52"/>
        <v>95382.235520000002</v>
      </c>
      <c r="J14" s="742">
        <f t="shared" si="52"/>
        <v>104016.41485</v>
      </c>
      <c r="K14" s="742">
        <f t="shared" si="52"/>
        <v>107189.17019999999</v>
      </c>
      <c r="L14" s="742">
        <f t="shared" si="52"/>
        <v>115272.86092000001</v>
      </c>
      <c r="M14" s="762">
        <f t="shared" si="52"/>
        <v>105166.56552</v>
      </c>
      <c r="N14" s="742">
        <f t="shared" si="52"/>
        <v>103267.4727</v>
      </c>
      <c r="O14" s="742">
        <f t="shared" si="52"/>
        <v>131580.08309999999</v>
      </c>
      <c r="P14" s="742">
        <f t="shared" si="52"/>
        <v>132403.59026999999</v>
      </c>
      <c r="Q14" s="742">
        <f t="shared" si="52"/>
        <v>114504.486</v>
      </c>
      <c r="R14" s="762">
        <f t="shared" si="52"/>
        <v>115539.62688</v>
      </c>
      <c r="S14" s="742">
        <f t="shared" si="52"/>
        <v>118027.14336</v>
      </c>
      <c r="T14" s="742">
        <f t="shared" si="52"/>
        <v>119510.9357</v>
      </c>
      <c r="U14" s="742">
        <f t="shared" si="52"/>
        <v>122141.23324</v>
      </c>
      <c r="V14" s="730">
        <f t="shared" si="52"/>
        <v>124064.80544</v>
      </c>
      <c r="W14" s="730">
        <f t="shared" si="52"/>
        <v>120477.26376</v>
      </c>
      <c r="X14" s="730">
        <f t="shared" si="52"/>
        <v>121303.98735</v>
      </c>
      <c r="Y14" s="730">
        <f t="shared" si="52"/>
        <v>125720.96784</v>
      </c>
      <c r="Z14" s="730">
        <f>Z74*Z130/100000</f>
        <v>127814.40655</v>
      </c>
      <c r="AA14" s="730">
        <f t="shared" si="15"/>
        <v>131666.95976</v>
      </c>
      <c r="AB14" s="730">
        <f t="shared" si="15"/>
        <v>131794.04070000001</v>
      </c>
      <c r="AC14" s="730">
        <f t="shared" si="37"/>
        <v>129804.20142</v>
      </c>
      <c r="AD14" s="730">
        <f t="shared" si="37"/>
        <v>125323.56135</v>
      </c>
      <c r="AE14" s="730">
        <f t="shared" si="38"/>
        <v>132934.17356</v>
      </c>
      <c r="AF14" s="730">
        <f t="shared" si="38"/>
        <v>138493.72200000001</v>
      </c>
      <c r="AG14" s="730">
        <f t="shared" si="39"/>
        <v>128419.9087</v>
      </c>
      <c r="AH14" s="730">
        <f t="shared" si="39"/>
        <v>127873.13617173025</v>
      </c>
      <c r="AI14" s="730">
        <f t="shared" si="40"/>
        <v>135511.82019598578</v>
      </c>
      <c r="AJ14" s="730">
        <f t="shared" ref="AJ14:AK14" si="53">AJ74*AJ130/100000</f>
        <v>138432.42667522983</v>
      </c>
      <c r="AK14" s="730">
        <f t="shared" si="53"/>
        <v>134984.59006604934</v>
      </c>
      <c r="AL14" s="730">
        <f t="shared" ref="AL14:AM14" si="54">AL74*AL130/100000</f>
        <v>135971.36532413255</v>
      </c>
      <c r="AM14" s="730">
        <f t="shared" si="54"/>
        <v>138894.09965997899</v>
      </c>
      <c r="AN14" s="730">
        <f t="shared" ref="AN14" si="55">AN74*AN130/100000</f>
        <v>141816.83399582547</v>
      </c>
      <c r="AO14" s="730"/>
    </row>
    <row r="15" spans="1:41">
      <c r="A15" s="741" t="s">
        <v>191</v>
      </c>
      <c r="B15" s="765"/>
      <c r="C15" s="762">
        <f t="shared" ref="C15:Y15" si="56">C75*C131/100000</f>
        <v>17683.16994</v>
      </c>
      <c r="D15" s="742">
        <f t="shared" si="56"/>
        <v>20535.240000000002</v>
      </c>
      <c r="E15" s="742">
        <f t="shared" si="56"/>
        <v>18880.96344</v>
      </c>
      <c r="F15" s="742">
        <f t="shared" si="56"/>
        <v>20244.467540000001</v>
      </c>
      <c r="G15" s="742">
        <f t="shared" si="56"/>
        <v>23339.928</v>
      </c>
      <c r="H15" s="762">
        <f t="shared" si="56"/>
        <v>26178.982919999999</v>
      </c>
      <c r="I15" s="742">
        <f t="shared" si="56"/>
        <v>24772.086240000001</v>
      </c>
      <c r="J15" s="742">
        <f t="shared" si="56"/>
        <v>26502.011429999999</v>
      </c>
      <c r="K15" s="742">
        <f t="shared" si="56"/>
        <v>27022.668600000001</v>
      </c>
      <c r="L15" s="742">
        <f t="shared" si="56"/>
        <v>29152.55672</v>
      </c>
      <c r="M15" s="762">
        <f t="shared" si="56"/>
        <v>26617.475999999999</v>
      </c>
      <c r="N15" s="742">
        <f t="shared" si="56"/>
        <v>25950.84793</v>
      </c>
      <c r="O15" s="742">
        <f t="shared" si="56"/>
        <v>33047.747000000003</v>
      </c>
      <c r="P15" s="742">
        <f t="shared" si="56"/>
        <v>33121.911690000001</v>
      </c>
      <c r="Q15" s="742">
        <f t="shared" si="56"/>
        <v>29274.973999999998</v>
      </c>
      <c r="R15" s="762">
        <f t="shared" si="56"/>
        <v>30466.730879999999</v>
      </c>
      <c r="S15" s="742">
        <f t="shared" si="56"/>
        <v>30554.789789999999</v>
      </c>
      <c r="T15" s="742">
        <f t="shared" si="56"/>
        <v>31762.986550000001</v>
      </c>
      <c r="U15" s="742">
        <f t="shared" si="56"/>
        <v>32699.523519999999</v>
      </c>
      <c r="V15" s="730">
        <f t="shared" si="56"/>
        <v>33392.190139999999</v>
      </c>
      <c r="W15" s="730">
        <f t="shared" si="56"/>
        <v>32836.396979999998</v>
      </c>
      <c r="X15" s="730">
        <f t="shared" si="56"/>
        <v>33451.005819999998</v>
      </c>
      <c r="Y15" s="730">
        <f t="shared" si="56"/>
        <v>33689.445299999999</v>
      </c>
      <c r="Z15" s="730">
        <f>Z75*Z131/100000</f>
        <v>34186.194990000004</v>
      </c>
      <c r="AA15" s="730">
        <f t="shared" si="15"/>
        <v>35028.776639999996</v>
      </c>
      <c r="AB15" s="730">
        <f t="shared" si="15"/>
        <v>35069.927199999998</v>
      </c>
      <c r="AC15" s="730">
        <f t="shared" si="37"/>
        <v>33421.891439999999</v>
      </c>
      <c r="AD15" s="730">
        <f t="shared" si="37"/>
        <v>33989.223239999999</v>
      </c>
      <c r="AE15" s="730">
        <f t="shared" si="38"/>
        <v>35514.649940000003</v>
      </c>
      <c r="AF15" s="730">
        <f t="shared" si="38"/>
        <v>36456.55416</v>
      </c>
      <c r="AG15" s="730">
        <f t="shared" si="39"/>
        <v>34462.837950000001</v>
      </c>
      <c r="AH15" s="730">
        <f t="shared" si="39"/>
        <v>32934.022519529768</v>
      </c>
      <c r="AI15" s="730">
        <f t="shared" si="40"/>
        <v>35261.219583466329</v>
      </c>
      <c r="AJ15" s="730">
        <f t="shared" ref="AJ15:AK15" si="57">AJ75*AJ131/100000</f>
        <v>35467.083581779611</v>
      </c>
      <c r="AK15" s="730">
        <f t="shared" si="57"/>
        <v>35472.29004838207</v>
      </c>
      <c r="AL15" s="730">
        <f t="shared" ref="AL15:AM15" si="58">AL75*AL131/100000</f>
        <v>35452.851401903827</v>
      </c>
      <c r="AM15" s="730">
        <f t="shared" si="58"/>
        <v>35277.903583599633</v>
      </c>
      <c r="AN15" s="730">
        <f t="shared" ref="AN15" si="59">AN75*AN131/100000</f>
        <v>35102.955765295432</v>
      </c>
      <c r="AO15" s="730"/>
    </row>
    <row r="16" spans="1:41">
      <c r="A16" s="763" t="s">
        <v>192</v>
      </c>
      <c r="B16" s="764"/>
      <c r="C16" s="762">
        <f>SUM(C17:C21)</f>
        <v>586384.39440000011</v>
      </c>
      <c r="D16" s="742">
        <f t="shared" ref="D16:T16" si="60">SUM(D17:D21)</f>
        <v>657749.26112000004</v>
      </c>
      <c r="E16" s="742">
        <f t="shared" si="60"/>
        <v>637031.96199999994</v>
      </c>
      <c r="F16" s="742">
        <f t="shared" si="60"/>
        <v>655674.91531999991</v>
      </c>
      <c r="G16" s="742">
        <f t="shared" si="60"/>
        <v>725392.06219999993</v>
      </c>
      <c r="H16" s="762">
        <f t="shared" si="60"/>
        <v>747979.41659999988</v>
      </c>
      <c r="I16" s="742">
        <f t="shared" si="60"/>
        <v>764327.03020000004</v>
      </c>
      <c r="J16" s="742">
        <f t="shared" si="60"/>
        <v>781140.72199999995</v>
      </c>
      <c r="K16" s="742">
        <f t="shared" si="60"/>
        <v>796540.32620000001</v>
      </c>
      <c r="L16" s="742">
        <f t="shared" si="60"/>
        <v>850007.36100000015</v>
      </c>
      <c r="M16" s="762">
        <f t="shared" si="60"/>
        <v>774175.72751999996</v>
      </c>
      <c r="N16" s="742">
        <f t="shared" si="60"/>
        <v>753845.94040000008</v>
      </c>
      <c r="O16" s="742">
        <f t="shared" si="60"/>
        <v>940054.71144999994</v>
      </c>
      <c r="P16" s="742">
        <f t="shared" si="60"/>
        <v>942741.9797599999</v>
      </c>
      <c r="Q16" s="742">
        <f t="shared" si="60"/>
        <v>831160.10759999987</v>
      </c>
      <c r="R16" s="762">
        <f t="shared" si="60"/>
        <v>836700.60606000002</v>
      </c>
      <c r="S16" s="742">
        <f t="shared" si="60"/>
        <v>835731.56219000008</v>
      </c>
      <c r="T16" s="742">
        <f t="shared" si="60"/>
        <v>844262.5259400002</v>
      </c>
      <c r="U16" s="742">
        <f t="shared" ref="U16:AA16" si="61">SUM(U17:U21)</f>
        <v>853800.84774</v>
      </c>
      <c r="V16" s="730">
        <f t="shared" si="61"/>
        <v>862787.01359999995</v>
      </c>
      <c r="W16" s="730">
        <f t="shared" si="61"/>
        <v>858232.60681000003</v>
      </c>
      <c r="X16" s="730">
        <f t="shared" si="61"/>
        <v>830237.38437999994</v>
      </c>
      <c r="Y16" s="730">
        <f t="shared" si="61"/>
        <v>854331.04782000009</v>
      </c>
      <c r="Z16" s="730">
        <f t="shared" si="61"/>
        <v>856543.53744999995</v>
      </c>
      <c r="AA16" s="730">
        <f t="shared" si="61"/>
        <v>873951.0153999998</v>
      </c>
      <c r="AB16" s="730">
        <f t="shared" ref="AB16:AG16" si="62">SUM(AB17:AB21)</f>
        <v>863456.00607999996</v>
      </c>
      <c r="AC16" s="730">
        <f t="shared" si="62"/>
        <v>852760.08987000003</v>
      </c>
      <c r="AD16" s="730">
        <f t="shared" si="62"/>
        <v>863660.22641000012</v>
      </c>
      <c r="AE16" s="730">
        <f t="shared" si="62"/>
        <v>879639.10013999988</v>
      </c>
      <c r="AF16" s="730">
        <f t="shared" si="62"/>
        <v>921347.64792000013</v>
      </c>
      <c r="AG16" s="730">
        <f t="shared" si="62"/>
        <v>864264.35496000014</v>
      </c>
      <c r="AH16" s="730">
        <f t="shared" ref="AH16:AM16" si="63">SUM(AH17:AH21)</f>
        <v>896167.56286515447</v>
      </c>
      <c r="AI16" s="730">
        <f t="shared" si="63"/>
        <v>945193.1878898479</v>
      </c>
      <c r="AJ16" s="730">
        <f t="shared" si="63"/>
        <v>939466.07640732138</v>
      </c>
      <c r="AK16" s="730">
        <f t="shared" si="63"/>
        <v>967909.06765587546</v>
      </c>
      <c r="AL16" s="730">
        <f t="shared" si="63"/>
        <v>974937.80222876021</v>
      </c>
      <c r="AM16" s="730">
        <f t="shared" si="63"/>
        <v>997801.56052265153</v>
      </c>
      <c r="AN16" s="730">
        <f t="shared" ref="AN16" si="64">SUM(AN17:AN21)</f>
        <v>1020665.318816543</v>
      </c>
      <c r="AO16" s="730"/>
    </row>
    <row r="17" spans="1:41">
      <c r="A17" s="741" t="s">
        <v>193</v>
      </c>
      <c r="B17" s="765"/>
      <c r="C17" s="762">
        <f t="shared" ref="C17:Y17" si="65">C77*C133/100000</f>
        <v>253591.95415000001</v>
      </c>
      <c r="D17" s="742">
        <f t="shared" si="65"/>
        <v>285658.95512</v>
      </c>
      <c r="E17" s="742">
        <f t="shared" si="65"/>
        <v>276216.56400000001</v>
      </c>
      <c r="F17" s="742">
        <f t="shared" si="65"/>
        <v>283307.67648000002</v>
      </c>
      <c r="G17" s="742">
        <f t="shared" si="65"/>
        <v>313118.94420000003</v>
      </c>
      <c r="H17" s="762">
        <f t="shared" si="65"/>
        <v>320290.84139999998</v>
      </c>
      <c r="I17" s="742">
        <f t="shared" si="65"/>
        <v>326270.59299999999</v>
      </c>
      <c r="J17" s="742">
        <f t="shared" si="65"/>
        <v>334073.43959999998</v>
      </c>
      <c r="K17" s="742">
        <f t="shared" si="65"/>
        <v>341448.25520000001</v>
      </c>
      <c r="L17" s="742">
        <f t="shared" si="65"/>
        <v>359350.05072</v>
      </c>
      <c r="M17" s="762">
        <f t="shared" si="65"/>
        <v>332427.73590000003</v>
      </c>
      <c r="N17" s="742">
        <f t="shared" si="65"/>
        <v>322913.30560000002</v>
      </c>
      <c r="O17" s="742">
        <f t="shared" si="65"/>
        <v>400878.86231</v>
      </c>
      <c r="P17" s="742">
        <f t="shared" si="65"/>
        <v>402053.28096</v>
      </c>
      <c r="Q17" s="742">
        <f t="shared" si="65"/>
        <v>354606.2452</v>
      </c>
      <c r="R17" s="762">
        <f t="shared" si="65"/>
        <v>356739.06040000002</v>
      </c>
      <c r="S17" s="742">
        <f t="shared" si="65"/>
        <v>355301.31952000002</v>
      </c>
      <c r="T17" s="742">
        <f t="shared" si="65"/>
        <v>359357.49372000003</v>
      </c>
      <c r="U17" s="742">
        <f t="shared" si="65"/>
        <v>363158.98343999998</v>
      </c>
      <c r="V17" s="730">
        <f t="shared" si="65"/>
        <v>367858.44912</v>
      </c>
      <c r="W17" s="730">
        <f t="shared" si="65"/>
        <v>367640.07176000002</v>
      </c>
      <c r="X17" s="730">
        <f t="shared" si="65"/>
        <v>350113.04730999999</v>
      </c>
      <c r="Y17" s="730">
        <f t="shared" si="65"/>
        <v>359962.10388000001</v>
      </c>
      <c r="Z17" s="730">
        <f>Z77*Z133/100000</f>
        <v>359690.04892999999</v>
      </c>
      <c r="AA17" s="730">
        <f t="shared" si="15"/>
        <v>366777.26668</v>
      </c>
      <c r="AB17" s="730">
        <f t="shared" si="15"/>
        <v>361832.90279999998</v>
      </c>
      <c r="AC17" s="730">
        <f t="shared" ref="AC17:AD21" si="66">AC77*AC133/100000</f>
        <v>360601.21755</v>
      </c>
      <c r="AD17" s="730">
        <f t="shared" si="66"/>
        <v>371804.78496000002</v>
      </c>
      <c r="AE17" s="730">
        <f t="shared" ref="AE17:AF21" si="67">AE77*AE133/100000</f>
        <v>377754.44358000002</v>
      </c>
      <c r="AF17" s="730">
        <f t="shared" si="67"/>
        <v>399020.98433000001</v>
      </c>
      <c r="AG17" s="730">
        <f t="shared" ref="AG17:AH21" si="68">AG77*AG133/100000</f>
        <v>374762.22564000002</v>
      </c>
      <c r="AH17" s="730">
        <f t="shared" si="68"/>
        <v>394008.77949606418</v>
      </c>
      <c r="AI17" s="730">
        <f t="shared" ref="AI17:AI21" si="69">AI77*AI133/100000</f>
        <v>414462.60411369911</v>
      </c>
      <c r="AJ17" s="730">
        <f t="shared" ref="AJ17:AK17" si="70">AJ77*AJ133/100000</f>
        <v>409237.65591161797</v>
      </c>
      <c r="AK17" s="730">
        <f t="shared" si="70"/>
        <v>426721.12596911367</v>
      </c>
      <c r="AL17" s="730">
        <f t="shared" ref="AL17:AM17" si="71">AL77*AL133/100000</f>
        <v>429886.08258948172</v>
      </c>
      <c r="AM17" s="730">
        <f t="shared" si="71"/>
        <v>440710.97313151864</v>
      </c>
      <c r="AN17" s="730">
        <f t="shared" ref="AN17" si="72">AN77*AN133/100000</f>
        <v>451535.86367355561</v>
      </c>
      <c r="AO17" s="730"/>
    </row>
    <row r="18" spans="1:41">
      <c r="A18" s="741" t="s">
        <v>194</v>
      </c>
      <c r="B18" s="765"/>
      <c r="C18" s="762">
        <f t="shared" ref="C18:Y18" si="73">C78*C134/100000</f>
        <v>203506.37265</v>
      </c>
      <c r="D18" s="742">
        <f t="shared" si="73"/>
        <v>227983.41118</v>
      </c>
      <c r="E18" s="742">
        <f t="shared" si="73"/>
        <v>221665.747</v>
      </c>
      <c r="F18" s="742">
        <f t="shared" si="73"/>
        <v>228797.25907999999</v>
      </c>
      <c r="G18" s="742">
        <f t="shared" si="73"/>
        <v>253508.49359999999</v>
      </c>
      <c r="H18" s="762">
        <f t="shared" si="73"/>
        <v>265670.91519999999</v>
      </c>
      <c r="I18" s="742">
        <f t="shared" si="73"/>
        <v>272484.53460000001</v>
      </c>
      <c r="J18" s="742">
        <f t="shared" si="73"/>
        <v>278435.75079999998</v>
      </c>
      <c r="K18" s="742">
        <f t="shared" si="73"/>
        <v>284180.87800000003</v>
      </c>
      <c r="L18" s="742">
        <f t="shared" si="73"/>
        <v>306832.58912000002</v>
      </c>
      <c r="M18" s="762">
        <f t="shared" si="73"/>
        <v>276584.44826999999</v>
      </c>
      <c r="N18" s="742">
        <f t="shared" si="73"/>
        <v>269921.962</v>
      </c>
      <c r="O18" s="742">
        <f t="shared" si="73"/>
        <v>337699.64016000001</v>
      </c>
      <c r="P18" s="742">
        <f t="shared" si="73"/>
        <v>339242.93391999998</v>
      </c>
      <c r="Q18" s="742">
        <f t="shared" si="73"/>
        <v>299222.20439999999</v>
      </c>
      <c r="R18" s="762">
        <f t="shared" si="73"/>
        <v>301598.33278</v>
      </c>
      <c r="S18" s="742">
        <f t="shared" si="73"/>
        <v>301933.11791999999</v>
      </c>
      <c r="T18" s="742">
        <f t="shared" si="73"/>
        <v>305295.25030000001</v>
      </c>
      <c r="U18" s="742">
        <f t="shared" si="73"/>
        <v>309043.63566000003</v>
      </c>
      <c r="V18" s="730">
        <f t="shared" si="73"/>
        <v>312061.70543999999</v>
      </c>
      <c r="W18" s="730">
        <f t="shared" si="73"/>
        <v>313246.01490000001</v>
      </c>
      <c r="X18" s="730">
        <f t="shared" si="73"/>
        <v>300821.86790999997</v>
      </c>
      <c r="Y18" s="730">
        <f t="shared" si="73"/>
        <v>309503.67878000002</v>
      </c>
      <c r="Z18" s="730">
        <f>Z78*Z134/100000</f>
        <v>308509.62972000003</v>
      </c>
      <c r="AA18" s="730">
        <f>AA78*AA134/100000+AR20</f>
        <v>313356.07445999997</v>
      </c>
      <c r="AB18" s="730">
        <f t="shared" si="15"/>
        <v>307226.97739999997</v>
      </c>
      <c r="AC18" s="730">
        <f t="shared" si="66"/>
        <v>303354.19037999999</v>
      </c>
      <c r="AD18" s="730">
        <f t="shared" si="66"/>
        <v>307159.42431999999</v>
      </c>
      <c r="AE18" s="730">
        <f t="shared" si="67"/>
        <v>308154.47502000001</v>
      </c>
      <c r="AF18" s="730">
        <f t="shared" si="67"/>
        <v>321602.89299999998</v>
      </c>
      <c r="AG18" s="730">
        <f t="shared" si="68"/>
        <v>300587.6434</v>
      </c>
      <c r="AH18" s="730">
        <f t="shared" si="68"/>
        <v>316554.48759462259</v>
      </c>
      <c r="AI18" s="730">
        <f t="shared" si="69"/>
        <v>332060.27899470826</v>
      </c>
      <c r="AJ18" s="730">
        <f t="shared" ref="AJ18:AK18" si="74">AJ78*AJ134/100000</f>
        <v>326889.50813641417</v>
      </c>
      <c r="AK18" s="730">
        <f t="shared" si="74"/>
        <v>339934.19778666797</v>
      </c>
      <c r="AL18" s="730">
        <f t="shared" ref="AL18:AM18" si="75">AL78*AL134/100000</f>
        <v>342197.08019519952</v>
      </c>
      <c r="AM18" s="730">
        <f t="shared" si="75"/>
        <v>349539.90270451643</v>
      </c>
      <c r="AN18" s="730">
        <f t="shared" ref="AN18" si="76">AN78*AN134/100000</f>
        <v>356882.72521383333</v>
      </c>
      <c r="AO18" s="730"/>
    </row>
    <row r="19" spans="1:41">
      <c r="A19" s="741" t="s">
        <v>195</v>
      </c>
      <c r="B19" s="765"/>
      <c r="C19" s="762">
        <f t="shared" ref="C19:Y19" si="77">C79*C135/100000</f>
        <v>80866.221869999994</v>
      </c>
      <c r="D19" s="742">
        <f t="shared" si="77"/>
        <v>89722.324160000004</v>
      </c>
      <c r="E19" s="742">
        <f t="shared" si="77"/>
        <v>86646.567999999999</v>
      </c>
      <c r="F19" s="742">
        <f t="shared" si="77"/>
        <v>89033.193440000003</v>
      </c>
      <c r="G19" s="742">
        <f t="shared" si="77"/>
        <v>98612.001199999999</v>
      </c>
      <c r="H19" s="762">
        <f t="shared" si="77"/>
        <v>100590.4556</v>
      </c>
      <c r="I19" s="742">
        <f t="shared" si="77"/>
        <v>101995.03140000001</v>
      </c>
      <c r="J19" s="742">
        <f t="shared" si="77"/>
        <v>103653.2552</v>
      </c>
      <c r="K19" s="742">
        <f t="shared" si="77"/>
        <v>105026.125</v>
      </c>
      <c r="L19" s="742">
        <f t="shared" si="77"/>
        <v>112218.65888</v>
      </c>
      <c r="M19" s="762">
        <f t="shared" si="77"/>
        <v>100809.53727</v>
      </c>
      <c r="N19" s="742">
        <f t="shared" si="77"/>
        <v>97868.824399999998</v>
      </c>
      <c r="O19" s="742">
        <f t="shared" si="77"/>
        <v>122273.72317</v>
      </c>
      <c r="P19" s="742">
        <f t="shared" si="77"/>
        <v>122125.56104</v>
      </c>
      <c r="Q19" s="742">
        <f t="shared" si="77"/>
        <v>107204.3272</v>
      </c>
      <c r="R19" s="762">
        <f t="shared" si="77"/>
        <v>107625.02218</v>
      </c>
      <c r="S19" s="742">
        <f t="shared" si="77"/>
        <v>108177.59638</v>
      </c>
      <c r="T19" s="742">
        <f t="shared" si="77"/>
        <v>108660.53251</v>
      </c>
      <c r="U19" s="742">
        <f t="shared" si="77"/>
        <v>110104.38756</v>
      </c>
      <c r="V19" s="730">
        <f t="shared" si="77"/>
        <v>110977.53311999999</v>
      </c>
      <c r="W19" s="730">
        <f t="shared" si="77"/>
        <v>106783.94285000001</v>
      </c>
      <c r="X19" s="730">
        <f t="shared" si="77"/>
        <v>106558.96464000001</v>
      </c>
      <c r="Y19" s="730">
        <f t="shared" si="77"/>
        <v>110505.15528000001</v>
      </c>
      <c r="Z19" s="730">
        <f>Z79*Z135/100000</f>
        <v>112118.5754</v>
      </c>
      <c r="AA19" s="730">
        <f t="shared" si="15"/>
        <v>115605.22512</v>
      </c>
      <c r="AB19" s="730">
        <f t="shared" si="15"/>
        <v>115887.89659999999</v>
      </c>
      <c r="AC19" s="730">
        <f t="shared" si="66"/>
        <v>113908.72038</v>
      </c>
      <c r="AD19" s="730">
        <f t="shared" si="66"/>
        <v>108715.75288</v>
      </c>
      <c r="AE19" s="730">
        <f t="shared" si="67"/>
        <v>114508.88645999999</v>
      </c>
      <c r="AF19" s="730">
        <f t="shared" si="67"/>
        <v>118657.37098000001</v>
      </c>
      <c r="AG19" s="730">
        <f t="shared" si="68"/>
        <v>110495.7776</v>
      </c>
      <c r="AH19" s="730">
        <f t="shared" si="68"/>
        <v>110000.73207353945</v>
      </c>
      <c r="AI19" s="730">
        <f t="shared" si="69"/>
        <v>116891.39772193923</v>
      </c>
      <c r="AJ19" s="730">
        <f t="shared" ref="AJ19:AK19" si="78">AJ79*AJ135/100000</f>
        <v>119993.45801867785</v>
      </c>
      <c r="AK19" s="730">
        <f t="shared" si="78"/>
        <v>116522.26159128698</v>
      </c>
      <c r="AL19" s="730">
        <f t="shared" ref="AL19:AM19" si="79">AL79*AL135/100000</f>
        <v>117440.61764710932</v>
      </c>
      <c r="AM19" s="730">
        <f t="shared" si="79"/>
        <v>119924.84860489309</v>
      </c>
      <c r="AN19" s="730">
        <f t="shared" ref="AN19" si="80">AN79*AN135/100000</f>
        <v>122409.07956267688</v>
      </c>
      <c r="AO19" s="730"/>
    </row>
    <row r="20" spans="1:41">
      <c r="A20" s="741" t="s">
        <v>196</v>
      </c>
      <c r="B20" s="765"/>
      <c r="C20" s="762">
        <f t="shared" ref="C20:Y20" si="81">C80*C136/100000</f>
        <v>22312.91373</v>
      </c>
      <c r="D20" s="742">
        <f t="shared" si="81"/>
        <v>24830.76456</v>
      </c>
      <c r="E20" s="742">
        <f t="shared" si="81"/>
        <v>24091.503000000001</v>
      </c>
      <c r="F20" s="742">
        <f t="shared" si="81"/>
        <v>24751.626240000001</v>
      </c>
      <c r="G20" s="742">
        <f t="shared" si="81"/>
        <v>27263.989399999999</v>
      </c>
      <c r="H20" s="762">
        <f t="shared" si="81"/>
        <v>27168.8714</v>
      </c>
      <c r="I20" s="742">
        <f t="shared" si="81"/>
        <v>27948.839</v>
      </c>
      <c r="J20" s="742">
        <f t="shared" si="81"/>
        <v>28592.470799999999</v>
      </c>
      <c r="K20" s="742">
        <f t="shared" si="81"/>
        <v>29064.890200000002</v>
      </c>
      <c r="L20" s="742">
        <f t="shared" si="81"/>
        <v>31813.200669999998</v>
      </c>
      <c r="M20" s="762">
        <f t="shared" si="81"/>
        <v>29180.488740000001</v>
      </c>
      <c r="N20" s="742">
        <f t="shared" si="81"/>
        <v>28721.112000000001</v>
      </c>
      <c r="O20" s="742">
        <f t="shared" si="81"/>
        <v>36028.488169999997</v>
      </c>
      <c r="P20" s="742">
        <f t="shared" si="81"/>
        <v>36113.945039999999</v>
      </c>
      <c r="Q20" s="742">
        <f t="shared" si="81"/>
        <v>32010.3776</v>
      </c>
      <c r="R20" s="762">
        <f t="shared" si="81"/>
        <v>32265.711899999998</v>
      </c>
      <c r="S20" s="742">
        <f t="shared" si="81"/>
        <v>31674.782859999999</v>
      </c>
      <c r="T20" s="742">
        <f t="shared" si="81"/>
        <v>31915.093369999999</v>
      </c>
      <c r="U20" s="742">
        <f t="shared" si="81"/>
        <v>32193.151379999999</v>
      </c>
      <c r="V20" s="730">
        <f t="shared" si="81"/>
        <v>32225.605920000002</v>
      </c>
      <c r="W20" s="730">
        <f t="shared" si="81"/>
        <v>31638.221399999999</v>
      </c>
      <c r="X20" s="730">
        <f t="shared" si="81"/>
        <v>32587.10916</v>
      </c>
      <c r="Y20" s="730">
        <f t="shared" si="81"/>
        <v>33343.315790000001</v>
      </c>
      <c r="Z20" s="730">
        <f>Z80*Z136/100000</f>
        <v>34324.563320000001</v>
      </c>
      <c r="AA20" s="730">
        <f t="shared" si="15"/>
        <v>35293.19745</v>
      </c>
      <c r="AB20" s="730">
        <f t="shared" si="15"/>
        <v>35646.175920000001</v>
      </c>
      <c r="AC20" s="730">
        <f t="shared" si="66"/>
        <v>33976.700640000003</v>
      </c>
      <c r="AD20" s="730">
        <f t="shared" si="66"/>
        <v>34406.79825</v>
      </c>
      <c r="AE20" s="730">
        <f t="shared" si="67"/>
        <v>35926.979039999998</v>
      </c>
      <c r="AF20" s="730">
        <f t="shared" si="67"/>
        <v>37176.108630000002</v>
      </c>
      <c r="AG20" s="730">
        <f t="shared" si="68"/>
        <v>35459.11088</v>
      </c>
      <c r="AH20" s="730">
        <f t="shared" si="68"/>
        <v>34126.876705725575</v>
      </c>
      <c r="AI20" s="730">
        <f t="shared" si="69"/>
        <v>36947.99501164657</v>
      </c>
      <c r="AJ20" s="730">
        <f t="shared" ref="AJ20:AK20" si="82">AJ80*AJ136/100000</f>
        <v>37728.658348082441</v>
      </c>
      <c r="AK20" s="730">
        <f t="shared" si="82"/>
        <v>38489.431985781077</v>
      </c>
      <c r="AL20" s="730">
        <f t="shared" ref="AL20:AM20" si="83">AL80*AL136/100000</f>
        <v>38734.115953235647</v>
      </c>
      <c r="AM20" s="730">
        <f t="shared" si="83"/>
        <v>39632.363675864915</v>
      </c>
      <c r="AN20" s="730">
        <f t="shared" ref="AN20" si="84">AN80*AN136/100000</f>
        <v>40530.611398494184</v>
      </c>
      <c r="AO20" s="730"/>
    </row>
    <row r="21" spans="1:41">
      <c r="A21" s="741" t="s">
        <v>197</v>
      </c>
      <c r="B21" s="765"/>
      <c r="C21" s="762">
        <f t="shared" ref="C21:Y21" si="85">C81*C137/100000</f>
        <v>26106.932000000001</v>
      </c>
      <c r="D21" s="742">
        <f t="shared" si="85"/>
        <v>29553.806100000002</v>
      </c>
      <c r="E21" s="742">
        <f t="shared" si="85"/>
        <v>28411.58</v>
      </c>
      <c r="F21" s="742">
        <f t="shared" si="85"/>
        <v>29785.160080000001</v>
      </c>
      <c r="G21" s="742">
        <f t="shared" si="85"/>
        <v>32888.633800000003</v>
      </c>
      <c r="H21" s="762">
        <f t="shared" si="85"/>
        <v>34258.332999999999</v>
      </c>
      <c r="I21" s="742">
        <f t="shared" si="85"/>
        <v>35628.032200000001</v>
      </c>
      <c r="J21" s="742">
        <f t="shared" si="85"/>
        <v>36385.8056</v>
      </c>
      <c r="K21" s="742">
        <f t="shared" si="85"/>
        <v>36820.177799999998</v>
      </c>
      <c r="L21" s="742">
        <f t="shared" si="85"/>
        <v>39792.86161</v>
      </c>
      <c r="M21" s="762">
        <f t="shared" si="85"/>
        <v>35173.517339999999</v>
      </c>
      <c r="N21" s="742">
        <f t="shared" si="85"/>
        <v>34420.736400000002</v>
      </c>
      <c r="O21" s="742">
        <f t="shared" si="85"/>
        <v>43173.997640000001</v>
      </c>
      <c r="P21" s="742">
        <f t="shared" si="85"/>
        <v>43206.258800000003</v>
      </c>
      <c r="Q21" s="742">
        <f t="shared" si="85"/>
        <v>38116.953200000004</v>
      </c>
      <c r="R21" s="762">
        <f t="shared" si="85"/>
        <v>38472.478799999997</v>
      </c>
      <c r="S21" s="742">
        <f t="shared" si="85"/>
        <v>38644.745510000001</v>
      </c>
      <c r="T21" s="742">
        <f t="shared" si="85"/>
        <v>39034.156040000002</v>
      </c>
      <c r="U21" s="742">
        <f t="shared" si="85"/>
        <v>39300.689700000003</v>
      </c>
      <c r="V21" s="730">
        <f t="shared" si="85"/>
        <v>39663.72</v>
      </c>
      <c r="W21" s="730">
        <f t="shared" si="85"/>
        <v>38924.355900000002</v>
      </c>
      <c r="X21" s="730">
        <f t="shared" si="85"/>
        <v>40156.395360000002</v>
      </c>
      <c r="Y21" s="730">
        <f t="shared" si="85"/>
        <v>41016.794090000003</v>
      </c>
      <c r="Z21" s="730">
        <f>Z81*Z137/100000</f>
        <v>41900.720079999999</v>
      </c>
      <c r="AA21" s="730">
        <f t="shared" si="15"/>
        <v>42919.251689999997</v>
      </c>
      <c r="AB21" s="730">
        <f t="shared" si="15"/>
        <v>42862.053359999998</v>
      </c>
      <c r="AC21" s="730">
        <f t="shared" si="66"/>
        <v>40919.260920000001</v>
      </c>
      <c r="AD21" s="730">
        <f t="shared" si="66"/>
        <v>41573.466</v>
      </c>
      <c r="AE21" s="730">
        <f t="shared" si="67"/>
        <v>43294.316039999998</v>
      </c>
      <c r="AF21" s="730">
        <f t="shared" si="67"/>
        <v>44890.290979999998</v>
      </c>
      <c r="AG21" s="730">
        <f t="shared" si="68"/>
        <v>42959.597439999998</v>
      </c>
      <c r="AH21" s="730">
        <f t="shared" si="68"/>
        <v>41476.686995202675</v>
      </c>
      <c r="AI21" s="730">
        <f t="shared" si="69"/>
        <v>44830.912047854712</v>
      </c>
      <c r="AJ21" s="730">
        <f t="shared" ref="AJ21:AK21" si="86">AJ81*AJ137/100000</f>
        <v>45616.79599252886</v>
      </c>
      <c r="AK21" s="730">
        <f t="shared" si="86"/>
        <v>46242.050323025818</v>
      </c>
      <c r="AL21" s="730">
        <f t="shared" ref="AL21:AM21" si="87">AL81*AL137/100000</f>
        <v>46679.905843733985</v>
      </c>
      <c r="AM21" s="730">
        <f t="shared" si="87"/>
        <v>47993.47240585852</v>
      </c>
      <c r="AN21" s="730">
        <f t="shared" ref="AN21" si="88">AN81*AN137/100000</f>
        <v>49307.038967983033</v>
      </c>
      <c r="AO21" s="730"/>
    </row>
    <row r="22" spans="1:41">
      <c r="A22" s="766" t="s">
        <v>198</v>
      </c>
      <c r="B22" s="767"/>
      <c r="C22" s="762">
        <f>SUM(C23:C28)</f>
        <v>221982.70246</v>
      </c>
      <c r="D22" s="742">
        <f t="shared" ref="D22:T22" si="89">SUM(D23:D28)</f>
        <v>248381.87807999999</v>
      </c>
      <c r="E22" s="742">
        <f t="shared" si="89"/>
        <v>238526.00699999998</v>
      </c>
      <c r="F22" s="742">
        <f t="shared" si="89"/>
        <v>243915.43987999999</v>
      </c>
      <c r="G22" s="742">
        <f t="shared" si="89"/>
        <v>268353.24280000001</v>
      </c>
      <c r="H22" s="762">
        <f t="shared" si="89"/>
        <v>269462.95279999997</v>
      </c>
      <c r="I22" s="742">
        <f t="shared" si="89"/>
        <v>274849.80219999998</v>
      </c>
      <c r="J22" s="742">
        <f t="shared" si="89"/>
        <v>280195.4338</v>
      </c>
      <c r="K22" s="742">
        <f t="shared" si="89"/>
        <v>284624.76199999999</v>
      </c>
      <c r="L22" s="742">
        <f t="shared" si="89"/>
        <v>305727.13737000001</v>
      </c>
      <c r="M22" s="762">
        <f t="shared" si="89"/>
        <v>278413.24874999997</v>
      </c>
      <c r="N22" s="742">
        <f t="shared" si="89"/>
        <v>271027.99239999999</v>
      </c>
      <c r="O22" s="742">
        <f t="shared" si="89"/>
        <v>337248.22892999998</v>
      </c>
      <c r="P22" s="742">
        <f t="shared" si="89"/>
        <v>337949.11511999997</v>
      </c>
      <c r="Q22" s="742">
        <f t="shared" si="89"/>
        <v>297116.92599999998</v>
      </c>
      <c r="R22" s="762">
        <f t="shared" si="89"/>
        <v>299273.55901999999</v>
      </c>
      <c r="S22" s="742">
        <f t="shared" si="89"/>
        <v>296319.38728000002</v>
      </c>
      <c r="T22" s="742">
        <f t="shared" si="89"/>
        <v>298188.72671000002</v>
      </c>
      <c r="U22" s="742">
        <f t="shared" ref="U22:AA22" si="90">SUM(U23:U28)</f>
        <v>300805.63649999996</v>
      </c>
      <c r="V22" s="730">
        <f t="shared" si="90"/>
        <v>302685.51311999996</v>
      </c>
      <c r="W22" s="730">
        <f t="shared" si="90"/>
        <v>293981.57039999997</v>
      </c>
      <c r="X22" s="730">
        <f t="shared" si="90"/>
        <v>297959.17199999996</v>
      </c>
      <c r="Y22" s="730">
        <f t="shared" si="90"/>
        <v>303346.74072</v>
      </c>
      <c r="Z22" s="730">
        <f t="shared" si="90"/>
        <v>307922.83048</v>
      </c>
      <c r="AA22" s="730">
        <f t="shared" si="90"/>
        <v>314090.19308</v>
      </c>
      <c r="AB22" s="730">
        <f t="shared" ref="AB22:AG22" si="91">SUM(AB23:AB28)</f>
        <v>314523.20055000001</v>
      </c>
      <c r="AC22" s="730">
        <f t="shared" si="91"/>
        <v>303406.49787999998</v>
      </c>
      <c r="AD22" s="730">
        <f t="shared" si="91"/>
        <v>304871.91479000001</v>
      </c>
      <c r="AE22" s="730">
        <f t="shared" si="91"/>
        <v>321494.15412000002</v>
      </c>
      <c r="AF22" s="730">
        <f t="shared" si="91"/>
        <v>334925.24190000002</v>
      </c>
      <c r="AG22" s="730">
        <f t="shared" si="91"/>
        <v>318334.72228000005</v>
      </c>
      <c r="AH22" s="730">
        <f t="shared" ref="AH22:AM22" si="92">SUM(AH23:AH28)</f>
        <v>306991.21143818507</v>
      </c>
      <c r="AI22" s="730">
        <f t="shared" si="92"/>
        <v>329398.65015650116</v>
      </c>
      <c r="AJ22" s="730">
        <f t="shared" si="92"/>
        <v>334954.35359267466</v>
      </c>
      <c r="AK22" s="730">
        <f t="shared" si="92"/>
        <v>335546.01583701331</v>
      </c>
      <c r="AL22" s="730">
        <f t="shared" si="92"/>
        <v>338189.9054235252</v>
      </c>
      <c r="AM22" s="730">
        <f t="shared" si="92"/>
        <v>346056.0443409867</v>
      </c>
      <c r="AN22" s="730">
        <f t="shared" ref="AN22" si="93">SUM(AN23:AN28)</f>
        <v>353922.18325844826</v>
      </c>
      <c r="AO22" s="730"/>
    </row>
    <row r="23" spans="1:41">
      <c r="A23" s="768" t="s">
        <v>231</v>
      </c>
      <c r="B23" s="769"/>
      <c r="C23" s="762">
        <f t="shared" ref="C23:Y23" si="94">C83*C139/100000</f>
        <v>36910.093970000002</v>
      </c>
      <c r="D23" s="742">
        <f t="shared" si="94"/>
        <v>40617.538639999999</v>
      </c>
      <c r="E23" s="742">
        <f t="shared" si="94"/>
        <v>38950.701000000001</v>
      </c>
      <c r="F23" s="742">
        <f t="shared" si="94"/>
        <v>39790.700279999997</v>
      </c>
      <c r="G23" s="742">
        <f t="shared" si="94"/>
        <v>43608.432399999998</v>
      </c>
      <c r="H23" s="762">
        <f t="shared" si="94"/>
        <v>44007.928</v>
      </c>
      <c r="I23" s="742">
        <f t="shared" si="94"/>
        <v>44810.089800000002</v>
      </c>
      <c r="J23" s="742">
        <f t="shared" si="94"/>
        <v>45507.621800000001</v>
      </c>
      <c r="K23" s="742">
        <f t="shared" si="94"/>
        <v>46116.377</v>
      </c>
      <c r="L23" s="742">
        <f t="shared" si="94"/>
        <v>50071.86219</v>
      </c>
      <c r="M23" s="762">
        <f t="shared" si="94"/>
        <v>45278.257830000002</v>
      </c>
      <c r="N23" s="742">
        <f t="shared" si="94"/>
        <v>43833.887600000002</v>
      </c>
      <c r="O23" s="742">
        <f t="shared" si="94"/>
        <v>54349.178090000001</v>
      </c>
      <c r="P23" s="742">
        <f t="shared" si="94"/>
        <v>54387.768880000003</v>
      </c>
      <c r="Q23" s="742">
        <f t="shared" si="94"/>
        <v>47581.194199999998</v>
      </c>
      <c r="R23" s="762">
        <f t="shared" si="94"/>
        <v>47860.016320000002</v>
      </c>
      <c r="S23" s="742">
        <f t="shared" si="94"/>
        <v>46495.786959999998</v>
      </c>
      <c r="T23" s="742">
        <f t="shared" si="94"/>
        <v>46532.525880000001</v>
      </c>
      <c r="U23" s="742">
        <f t="shared" si="94"/>
        <v>47010.932280000001</v>
      </c>
      <c r="V23" s="730">
        <f t="shared" si="94"/>
        <v>47335.150079999999</v>
      </c>
      <c r="W23" s="730">
        <f t="shared" si="94"/>
        <v>46374.467100000002</v>
      </c>
      <c r="X23" s="730">
        <f t="shared" si="94"/>
        <v>47199.122519999997</v>
      </c>
      <c r="Y23" s="730">
        <f t="shared" si="94"/>
        <v>47537.671739999998</v>
      </c>
      <c r="Z23" s="730">
        <f t="shared" ref="Z23:Z28" si="95">Z83*Z139/100000</f>
        <v>48223.245159999999</v>
      </c>
      <c r="AA23" s="730">
        <f>AA83*AA139/100000+AR21</f>
        <v>48810.63798</v>
      </c>
      <c r="AB23" s="730">
        <f t="shared" si="15"/>
        <v>48652.213080000001</v>
      </c>
      <c r="AC23" s="730">
        <f t="shared" ref="AC23:AD28" si="96">AC83*AC139/100000</f>
        <v>45916.193879999999</v>
      </c>
      <c r="AD23" s="730">
        <f t="shared" si="96"/>
        <v>46384.180500000002</v>
      </c>
      <c r="AE23" s="730">
        <f t="shared" ref="AE23:AF28" si="97">AE83*AE139/100000</f>
        <v>48320.121149999999</v>
      </c>
      <c r="AF23" s="730">
        <f t="shared" si="97"/>
        <v>49732.626340000003</v>
      </c>
      <c r="AG23" s="730">
        <f t="shared" ref="AG23:AH28" si="98">AG83*AG139/100000</f>
        <v>47242.47494</v>
      </c>
      <c r="AH23" s="730">
        <f t="shared" si="98"/>
        <v>44654.180736511968</v>
      </c>
      <c r="AI23" s="730">
        <f t="shared" ref="AI23:AI28" si="99">AI83*AI139/100000</f>
        <v>47901.435377280948</v>
      </c>
      <c r="AJ23" s="730">
        <f t="shared" ref="AJ23:AK23" si="100">AJ83*AJ139/100000</f>
        <v>48295.242730217149</v>
      </c>
      <c r="AK23" s="730">
        <f t="shared" si="100"/>
        <v>48733.963359997339</v>
      </c>
      <c r="AL23" s="730">
        <f t="shared" ref="AL23:AM23" si="101">AL83*AL139/100000</f>
        <v>48717.865730559541</v>
      </c>
      <c r="AM23" s="730">
        <f t="shared" si="101"/>
        <v>48312.20546872697</v>
      </c>
      <c r="AN23" s="730">
        <f t="shared" ref="AN23" si="102">AN83*AN139/100000</f>
        <v>47906.545206894385</v>
      </c>
      <c r="AO23" s="730"/>
    </row>
    <row r="24" spans="1:41">
      <c r="A24" s="768" t="s">
        <v>232</v>
      </c>
      <c r="B24" s="769"/>
      <c r="C24" s="762">
        <f t="shared" ref="C24:Y24" si="103">C84*C140/100000</f>
        <v>66110.129870000004</v>
      </c>
      <c r="D24" s="742">
        <f t="shared" si="103"/>
        <v>73304.573999999993</v>
      </c>
      <c r="E24" s="742">
        <f t="shared" si="103"/>
        <v>70422.214000000007</v>
      </c>
      <c r="F24" s="742">
        <f t="shared" si="103"/>
        <v>71682.444080000001</v>
      </c>
      <c r="G24" s="742">
        <f t="shared" si="103"/>
        <v>78760.874599999996</v>
      </c>
      <c r="H24" s="762">
        <f t="shared" si="103"/>
        <v>80460.316200000001</v>
      </c>
      <c r="I24" s="742">
        <f t="shared" si="103"/>
        <v>82388.040999999997</v>
      </c>
      <c r="J24" s="742">
        <f t="shared" si="103"/>
        <v>84236.500799999994</v>
      </c>
      <c r="K24" s="742">
        <f t="shared" si="103"/>
        <v>85536.446800000005</v>
      </c>
      <c r="L24" s="742">
        <f t="shared" si="103"/>
        <v>88738.863710000005</v>
      </c>
      <c r="M24" s="762">
        <f t="shared" si="103"/>
        <v>82061.243159999998</v>
      </c>
      <c r="N24" s="742">
        <f t="shared" si="103"/>
        <v>80118.820399999997</v>
      </c>
      <c r="O24" s="742">
        <f t="shared" si="103"/>
        <v>100007.77250000001</v>
      </c>
      <c r="P24" s="742">
        <f t="shared" si="103"/>
        <v>100250.91192</v>
      </c>
      <c r="Q24" s="742">
        <f t="shared" si="103"/>
        <v>88298.039399999994</v>
      </c>
      <c r="R24" s="762">
        <f t="shared" si="103"/>
        <v>89058.418699999995</v>
      </c>
      <c r="S24" s="742">
        <f t="shared" si="103"/>
        <v>88331.296409999995</v>
      </c>
      <c r="T24" s="742">
        <f t="shared" si="103"/>
        <v>89071.354779999994</v>
      </c>
      <c r="U24" s="742">
        <f t="shared" si="103"/>
        <v>90034.023419999998</v>
      </c>
      <c r="V24" s="730">
        <f t="shared" si="103"/>
        <v>90654.154079999993</v>
      </c>
      <c r="W24" s="730">
        <f t="shared" si="103"/>
        <v>85177.353300000002</v>
      </c>
      <c r="X24" s="730">
        <f t="shared" si="103"/>
        <v>85063.202999999994</v>
      </c>
      <c r="Y24" s="730">
        <f t="shared" si="103"/>
        <v>87684.106769999999</v>
      </c>
      <c r="Z24" s="730">
        <f t="shared" si="95"/>
        <v>88630.029639999993</v>
      </c>
      <c r="AA24" s="730">
        <f t="shared" si="15"/>
        <v>91060.53026</v>
      </c>
      <c r="AB24" s="730">
        <f t="shared" si="15"/>
        <v>91374.130470000004</v>
      </c>
      <c r="AC24" s="730">
        <f t="shared" si="96"/>
        <v>90239.659119999997</v>
      </c>
      <c r="AD24" s="730">
        <f t="shared" si="96"/>
        <v>87299.786540000001</v>
      </c>
      <c r="AE24" s="730">
        <f t="shared" si="97"/>
        <v>93189.990059999996</v>
      </c>
      <c r="AF24" s="730">
        <f t="shared" si="97"/>
        <v>97486.32776</v>
      </c>
      <c r="AG24" s="730">
        <f t="shared" si="98"/>
        <v>91407.626000000004</v>
      </c>
      <c r="AH24" s="730">
        <f t="shared" si="98"/>
        <v>90986.968676170887</v>
      </c>
      <c r="AI24" s="730">
        <f t="shared" si="99"/>
        <v>96630.095897822699</v>
      </c>
      <c r="AJ24" s="730">
        <f t="shared" ref="AJ24:AK24" si="104">AJ84*AJ140/100000</f>
        <v>99299.041513697608</v>
      </c>
      <c r="AK24" s="730">
        <f t="shared" si="104"/>
        <v>96579.926358751996</v>
      </c>
      <c r="AL24" s="730">
        <f t="shared" ref="AL24:AM24" si="105">AL84*AL140/100000</f>
        <v>97408.003344679921</v>
      </c>
      <c r="AM24" s="730">
        <f t="shared" si="105"/>
        <v>99266.506955954261</v>
      </c>
      <c r="AN24" s="730">
        <f t="shared" ref="AN24" si="106">AN84*AN140/100000</f>
        <v>101125.0105672286</v>
      </c>
      <c r="AO24" s="730"/>
    </row>
    <row r="25" spans="1:41">
      <c r="A25" s="741" t="s">
        <v>200</v>
      </c>
      <c r="B25" s="765"/>
      <c r="C25" s="762">
        <f t="shared" ref="C25:Y25" si="107">C85*C141/100000</f>
        <v>34517.904439999998</v>
      </c>
      <c r="D25" s="742">
        <f t="shared" si="107"/>
        <v>38529.750139999996</v>
      </c>
      <c r="E25" s="742">
        <f t="shared" si="107"/>
        <v>37369.686999999998</v>
      </c>
      <c r="F25" s="742">
        <f t="shared" si="107"/>
        <v>38586.5196</v>
      </c>
      <c r="G25" s="742">
        <f t="shared" si="107"/>
        <v>42844.317799999997</v>
      </c>
      <c r="H25" s="762">
        <f t="shared" si="107"/>
        <v>44011.098599999998</v>
      </c>
      <c r="I25" s="742">
        <f t="shared" si="107"/>
        <v>44806.919199999997</v>
      </c>
      <c r="J25" s="742">
        <f t="shared" si="107"/>
        <v>45758.099199999997</v>
      </c>
      <c r="K25" s="742">
        <f t="shared" si="107"/>
        <v>47023.168599999997</v>
      </c>
      <c r="L25" s="742">
        <f t="shared" si="107"/>
        <v>51653.508540000003</v>
      </c>
      <c r="M25" s="762">
        <f t="shared" si="107"/>
        <v>45970.236389999998</v>
      </c>
      <c r="N25" s="742">
        <f t="shared" si="107"/>
        <v>44785.311600000001</v>
      </c>
      <c r="O25" s="742">
        <f t="shared" si="107"/>
        <v>56019.032639999998</v>
      </c>
      <c r="P25" s="742">
        <f t="shared" si="107"/>
        <v>56618.239600000001</v>
      </c>
      <c r="Q25" s="742">
        <f t="shared" si="107"/>
        <v>49921.097000000002</v>
      </c>
      <c r="R25" s="762">
        <f t="shared" si="107"/>
        <v>50548.035980000001</v>
      </c>
      <c r="S25" s="742">
        <f t="shared" si="107"/>
        <v>50640.004029999996</v>
      </c>
      <c r="T25" s="742">
        <f t="shared" si="107"/>
        <v>51140.637779999997</v>
      </c>
      <c r="U25" s="742">
        <f t="shared" si="107"/>
        <v>51782.601240000004</v>
      </c>
      <c r="V25" s="730">
        <f t="shared" si="107"/>
        <v>52645.42224</v>
      </c>
      <c r="W25" s="730">
        <f t="shared" si="107"/>
        <v>50956.533000000003</v>
      </c>
      <c r="X25" s="730">
        <f t="shared" si="107"/>
        <v>52151.284919999998</v>
      </c>
      <c r="Y25" s="730">
        <f t="shared" si="107"/>
        <v>52861.739399999999</v>
      </c>
      <c r="Z25" s="730">
        <f t="shared" si="95"/>
        <v>53867.785759999999</v>
      </c>
      <c r="AA25" s="730">
        <f t="shared" si="15"/>
        <v>54773.35641</v>
      </c>
      <c r="AB25" s="730">
        <f t="shared" si="15"/>
        <v>54507.031199999998</v>
      </c>
      <c r="AC25" s="730">
        <f t="shared" si="96"/>
        <v>51939.391799999998</v>
      </c>
      <c r="AD25" s="730">
        <f t="shared" si="96"/>
        <v>53319.267</v>
      </c>
      <c r="AE25" s="730">
        <f t="shared" si="97"/>
        <v>55863.633600000001</v>
      </c>
      <c r="AF25" s="730">
        <f t="shared" si="97"/>
        <v>58104.734689999997</v>
      </c>
      <c r="AG25" s="730">
        <f t="shared" si="98"/>
        <v>55474.944199999998</v>
      </c>
      <c r="AH25" s="730">
        <f t="shared" si="98"/>
        <v>53408.621436866903</v>
      </c>
      <c r="AI25" s="730">
        <f t="shared" si="99"/>
        <v>57602.509084743557</v>
      </c>
      <c r="AJ25" s="730">
        <f t="shared" ref="AJ25:AK25" si="108">AJ85*AJ141/100000</f>
        <v>58567.421975114921</v>
      </c>
      <c r="AK25" s="730">
        <f t="shared" si="108"/>
        <v>59265.03253820644</v>
      </c>
      <c r="AL25" s="730">
        <f t="shared" ref="AL25:AM25" si="109">AL85*AL141/100000</f>
        <v>60372.549443527125</v>
      </c>
      <c r="AM25" s="730">
        <f t="shared" si="109"/>
        <v>63695.100159489157</v>
      </c>
      <c r="AN25" s="730">
        <f t="shared" ref="AN25" si="110">AN85*AN141/100000</f>
        <v>67017.650875451189</v>
      </c>
      <c r="AO25" s="730"/>
    </row>
    <row r="26" spans="1:41">
      <c r="A26" s="741" t="s">
        <v>201</v>
      </c>
      <c r="B26" s="765"/>
      <c r="C26" s="762">
        <f t="shared" ref="C26:Y26" si="111">C86*C142/100000</f>
        <v>37684.788800000002</v>
      </c>
      <c r="D26" s="742">
        <f t="shared" si="111"/>
        <v>43323.931140000001</v>
      </c>
      <c r="E26" s="742">
        <f t="shared" si="111"/>
        <v>41368.894</v>
      </c>
      <c r="F26" s="742">
        <f t="shared" si="111"/>
        <v>42339.695879999999</v>
      </c>
      <c r="G26" s="742">
        <f t="shared" si="111"/>
        <v>46734.644</v>
      </c>
      <c r="H26" s="762">
        <f t="shared" si="111"/>
        <v>44150.605000000003</v>
      </c>
      <c r="I26" s="742">
        <f t="shared" si="111"/>
        <v>44689.607000000004</v>
      </c>
      <c r="J26" s="742">
        <f t="shared" si="111"/>
        <v>45441.039199999999</v>
      </c>
      <c r="K26" s="742">
        <f t="shared" si="111"/>
        <v>45872.2408</v>
      </c>
      <c r="L26" s="742">
        <f t="shared" si="111"/>
        <v>49973.221879999997</v>
      </c>
      <c r="M26" s="762">
        <f t="shared" si="111"/>
        <v>45197.938889999998</v>
      </c>
      <c r="N26" s="742">
        <f t="shared" si="111"/>
        <v>44241.216</v>
      </c>
      <c r="O26" s="742">
        <f t="shared" si="111"/>
        <v>54818.93937</v>
      </c>
      <c r="P26" s="742">
        <f t="shared" si="111"/>
        <v>54843.338880000003</v>
      </c>
      <c r="Q26" s="742">
        <f t="shared" si="111"/>
        <v>48278.726199999997</v>
      </c>
      <c r="R26" s="762">
        <f t="shared" si="111"/>
        <v>48501.224300000002</v>
      </c>
      <c r="S26" s="742">
        <f t="shared" si="111"/>
        <v>47767.057800000002</v>
      </c>
      <c r="T26" s="742">
        <f t="shared" si="111"/>
        <v>47908.689910000001</v>
      </c>
      <c r="U26" s="742">
        <f t="shared" si="111"/>
        <v>48107.042099999999</v>
      </c>
      <c r="V26" s="730">
        <f t="shared" si="111"/>
        <v>47944.882559999998</v>
      </c>
      <c r="W26" s="730">
        <f t="shared" si="111"/>
        <v>46990.153200000001</v>
      </c>
      <c r="X26" s="730">
        <f t="shared" si="111"/>
        <v>47697.473039999997</v>
      </c>
      <c r="Y26" s="730">
        <f t="shared" si="111"/>
        <v>48150.28688</v>
      </c>
      <c r="Z26" s="730">
        <f t="shared" si="95"/>
        <v>48693.357040000003</v>
      </c>
      <c r="AA26" s="730">
        <f t="shared" si="15"/>
        <v>49656.896549999998</v>
      </c>
      <c r="AB26" s="730">
        <f t="shared" si="15"/>
        <v>49670.582880000002</v>
      </c>
      <c r="AC26" s="730">
        <f t="shared" si="96"/>
        <v>47473.917479999996</v>
      </c>
      <c r="AD26" s="730">
        <f t="shared" si="96"/>
        <v>48425.183250000002</v>
      </c>
      <c r="AE26" s="730">
        <f t="shared" si="97"/>
        <v>51180.569819999997</v>
      </c>
      <c r="AF26" s="730">
        <f t="shared" si="97"/>
        <v>53150.551910000002</v>
      </c>
      <c r="AG26" s="730">
        <f>AG86*AG142/100000</f>
        <v>50600.250899999999</v>
      </c>
      <c r="AH26" s="730">
        <f t="shared" si="98"/>
        <v>47986.094734408245</v>
      </c>
      <c r="AI26" s="730">
        <f t="shared" si="99"/>
        <v>51674.428329691866</v>
      </c>
      <c r="AJ26" s="730">
        <f t="shared" ref="AJ26:AK26" si="112">AJ86*AJ142/100000</f>
        <v>52400.914372336723</v>
      </c>
      <c r="AK26" s="730">
        <f t="shared" si="112"/>
        <v>53302.470594445134</v>
      </c>
      <c r="AL26" s="730">
        <f t="shared" ref="AL26:AM26" si="113">AL86*AL142/100000</f>
        <v>53463.446888823135</v>
      </c>
      <c r="AM26" s="730">
        <f t="shared" si="113"/>
        <v>54313.401723139003</v>
      </c>
      <c r="AN26" s="730">
        <f t="shared" ref="AN26" si="114">AN86*AN142/100000</f>
        <v>55163.35655745487</v>
      </c>
      <c r="AO26" s="730"/>
    </row>
    <row r="27" spans="1:41">
      <c r="A27" s="741" t="s">
        <v>239</v>
      </c>
      <c r="B27" s="765"/>
      <c r="C27" s="762">
        <f t="shared" ref="C27:Y27" si="115">C87*C143/100000</f>
        <v>29293.680329999999</v>
      </c>
      <c r="D27" s="742">
        <f t="shared" si="115"/>
        <v>32801.477099999996</v>
      </c>
      <c r="E27" s="742">
        <f t="shared" si="115"/>
        <v>31553.188999999998</v>
      </c>
      <c r="F27" s="742">
        <f t="shared" si="115"/>
        <v>32451.350880000002</v>
      </c>
      <c r="G27" s="742">
        <f t="shared" si="115"/>
        <v>35666.079400000002</v>
      </c>
      <c r="H27" s="762">
        <f t="shared" si="115"/>
        <v>36706.036200000002</v>
      </c>
      <c r="I27" s="742">
        <f t="shared" si="115"/>
        <v>37837.940399999999</v>
      </c>
      <c r="J27" s="742">
        <f t="shared" si="115"/>
        <v>38713.025999999998</v>
      </c>
      <c r="K27" s="742">
        <f t="shared" si="115"/>
        <v>39324.951800000003</v>
      </c>
      <c r="L27" s="742">
        <f t="shared" si="115"/>
        <v>42684.043109999999</v>
      </c>
      <c r="M27" s="762">
        <f t="shared" si="115"/>
        <v>39458.223870000002</v>
      </c>
      <c r="N27" s="742">
        <f t="shared" si="115"/>
        <v>38330.494400000003</v>
      </c>
      <c r="O27" s="742">
        <f t="shared" si="115"/>
        <v>47530.299509999997</v>
      </c>
      <c r="P27" s="742">
        <f t="shared" si="115"/>
        <v>47371.990879999998</v>
      </c>
      <c r="Q27" s="742">
        <f t="shared" si="115"/>
        <v>41519.006999999998</v>
      </c>
      <c r="R27" s="762">
        <f t="shared" si="115"/>
        <v>41943.846140000001</v>
      </c>
      <c r="S27" s="742">
        <f t="shared" si="115"/>
        <v>41920.47062</v>
      </c>
      <c r="T27" s="742">
        <f t="shared" si="115"/>
        <v>42278.64299</v>
      </c>
      <c r="U27" s="742">
        <f t="shared" si="115"/>
        <v>42532.808400000002</v>
      </c>
      <c r="V27" s="730">
        <f t="shared" si="115"/>
        <v>42852.372000000003</v>
      </c>
      <c r="W27" s="730">
        <f t="shared" si="115"/>
        <v>43726.0887</v>
      </c>
      <c r="X27" s="730">
        <f t="shared" si="115"/>
        <v>44854.681080000002</v>
      </c>
      <c r="Y27" s="730">
        <f t="shared" si="115"/>
        <v>45810.349670000003</v>
      </c>
      <c r="Z27" s="730">
        <f t="shared" si="95"/>
        <v>46921.642879999999</v>
      </c>
      <c r="AA27" s="730">
        <f t="shared" si="15"/>
        <v>48038.95392</v>
      </c>
      <c r="AB27" s="730">
        <f t="shared" si="15"/>
        <v>48771.831120000003</v>
      </c>
      <c r="AC27" s="730">
        <f t="shared" si="96"/>
        <v>47535.004679999998</v>
      </c>
      <c r="AD27" s="730">
        <f t="shared" si="96"/>
        <v>49048.908750000002</v>
      </c>
      <c r="AE27" s="730">
        <f t="shared" si="97"/>
        <v>51907.693950000001</v>
      </c>
      <c r="AF27" s="730">
        <f t="shared" si="97"/>
        <v>54841.421730000002</v>
      </c>
      <c r="AG27" s="730">
        <f t="shared" si="98"/>
        <v>53169.977400000003</v>
      </c>
      <c r="AH27" s="730">
        <f t="shared" si="98"/>
        <v>50522.150486817722</v>
      </c>
      <c r="AI27" s="730">
        <f t="shared" si="99"/>
        <v>54646.415196165508</v>
      </c>
      <c r="AJ27" s="730">
        <f t="shared" ref="AJ27:AK27" si="116">AJ87*AJ143/100000</f>
        <v>55533.76903923857</v>
      </c>
      <c r="AK27" s="730">
        <f t="shared" si="116"/>
        <v>56550.972214993279</v>
      </c>
      <c r="AL27" s="730">
        <f t="shared" ref="AL27:AM27" si="117">AL87*AL143/100000</f>
        <v>56943.754373275617</v>
      </c>
      <c r="AM27" s="730">
        <f t="shared" si="117"/>
        <v>58614.688308919307</v>
      </c>
      <c r="AN27" s="730">
        <f t="shared" ref="AN27" si="118">AN87*AN143/100000</f>
        <v>60285.622244562997</v>
      </c>
      <c r="AO27" s="730"/>
    </row>
    <row r="28" spans="1:41">
      <c r="A28" s="741" t="s">
        <v>233</v>
      </c>
      <c r="B28" s="765"/>
      <c r="C28" s="762">
        <f t="shared" ref="C28:Y28" si="119">C88*C144/100000</f>
        <v>17466.105049999998</v>
      </c>
      <c r="D28" s="742">
        <f t="shared" si="119"/>
        <v>19804.607059999998</v>
      </c>
      <c r="E28" s="742">
        <f t="shared" si="119"/>
        <v>18861.322</v>
      </c>
      <c r="F28" s="742">
        <f t="shared" si="119"/>
        <v>19064.729159999999</v>
      </c>
      <c r="G28" s="742">
        <f t="shared" si="119"/>
        <v>20738.8946</v>
      </c>
      <c r="H28" s="762">
        <f t="shared" si="119"/>
        <v>20126.968799999999</v>
      </c>
      <c r="I28" s="742">
        <f t="shared" si="119"/>
        <v>20317.2048</v>
      </c>
      <c r="J28" s="742">
        <f t="shared" si="119"/>
        <v>20539.146799999999</v>
      </c>
      <c r="K28" s="742">
        <f t="shared" si="119"/>
        <v>20751.577000000001</v>
      </c>
      <c r="L28" s="742">
        <f t="shared" si="119"/>
        <v>22605.637940000001</v>
      </c>
      <c r="M28" s="762">
        <f t="shared" si="119"/>
        <v>20447.348610000001</v>
      </c>
      <c r="N28" s="742">
        <f t="shared" si="119"/>
        <v>19718.2624</v>
      </c>
      <c r="O28" s="742">
        <f t="shared" si="119"/>
        <v>24523.006819999999</v>
      </c>
      <c r="P28" s="742">
        <f t="shared" si="119"/>
        <v>24476.864959999999</v>
      </c>
      <c r="Q28" s="742">
        <f t="shared" si="119"/>
        <v>21518.8622</v>
      </c>
      <c r="R28" s="762">
        <f t="shared" si="119"/>
        <v>21362.01758</v>
      </c>
      <c r="S28" s="742">
        <f t="shared" si="119"/>
        <v>21164.77146</v>
      </c>
      <c r="T28" s="742">
        <f t="shared" si="119"/>
        <v>21256.875370000002</v>
      </c>
      <c r="U28" s="742">
        <f t="shared" si="119"/>
        <v>21338.229060000001</v>
      </c>
      <c r="V28" s="730">
        <f t="shared" si="119"/>
        <v>21253.532159999999</v>
      </c>
      <c r="W28" s="730">
        <f t="shared" si="119"/>
        <v>20756.9751</v>
      </c>
      <c r="X28" s="730">
        <f t="shared" si="119"/>
        <v>20993.407439999999</v>
      </c>
      <c r="Y28" s="730">
        <f t="shared" si="119"/>
        <v>21302.58626</v>
      </c>
      <c r="Z28" s="730">
        <f t="shared" si="95"/>
        <v>21586.77</v>
      </c>
      <c r="AA28" s="730">
        <f t="shared" si="15"/>
        <v>21749.81796</v>
      </c>
      <c r="AB28" s="730">
        <f t="shared" si="15"/>
        <v>21547.411800000002</v>
      </c>
      <c r="AC28" s="730">
        <f t="shared" si="96"/>
        <v>20302.33092</v>
      </c>
      <c r="AD28" s="730">
        <f t="shared" si="96"/>
        <v>20394.588749999999</v>
      </c>
      <c r="AE28" s="730">
        <f t="shared" si="97"/>
        <v>21032.145540000001</v>
      </c>
      <c r="AF28" s="730">
        <f t="shared" si="97"/>
        <v>21609.579470000001</v>
      </c>
      <c r="AG28" s="730">
        <f t="shared" si="98"/>
        <v>20439.448840000001</v>
      </c>
      <c r="AH28" s="730">
        <f t="shared" si="98"/>
        <v>19433.195367409342</v>
      </c>
      <c r="AI28" s="730">
        <f t="shared" si="99"/>
        <v>20943.766270796561</v>
      </c>
      <c r="AJ28" s="730">
        <f t="shared" ref="AJ28:AK28" si="120">AJ88*AJ144/100000</f>
        <v>20857.963962069665</v>
      </c>
      <c r="AK28" s="730">
        <f t="shared" si="120"/>
        <v>21113.650770619181</v>
      </c>
      <c r="AL28" s="730">
        <f t="shared" ref="AL28:AM28" si="121">AL88*AL144/100000</f>
        <v>21284.285642659866</v>
      </c>
      <c r="AM28" s="730">
        <f t="shared" si="121"/>
        <v>21854.141724758007</v>
      </c>
      <c r="AN28" s="730">
        <f t="shared" ref="AN28" si="122">AN88*AN144/100000</f>
        <v>22423.997806856147</v>
      </c>
      <c r="AO28" s="730"/>
    </row>
    <row r="29" spans="1:41">
      <c r="A29" s="766" t="s">
        <v>202</v>
      </c>
      <c r="B29" s="767"/>
      <c r="C29" s="762">
        <f>SUM(C30:C33)</f>
        <v>474962.76</v>
      </c>
      <c r="D29" s="742">
        <f t="shared" ref="D29:T29" si="123">SUM(D30:D33)</f>
        <v>529988.42445000005</v>
      </c>
      <c r="E29" s="742">
        <f t="shared" si="123"/>
        <v>503281.62239999999</v>
      </c>
      <c r="F29" s="742">
        <f t="shared" si="123"/>
        <v>515269.6545</v>
      </c>
      <c r="G29" s="742">
        <f t="shared" si="123"/>
        <v>569441.24593999994</v>
      </c>
      <c r="H29" s="762">
        <f t="shared" si="123"/>
        <v>575554.55481999996</v>
      </c>
      <c r="I29" s="742">
        <f t="shared" si="123"/>
        <v>586136.45972000004</v>
      </c>
      <c r="J29" s="742">
        <f t="shared" si="123"/>
        <v>595536.13153999997</v>
      </c>
      <c r="K29" s="742">
        <f t="shared" si="123"/>
        <v>603992.46711999993</v>
      </c>
      <c r="L29" s="742">
        <f t="shared" si="123"/>
        <v>692675.03284</v>
      </c>
      <c r="M29" s="762">
        <f t="shared" si="123"/>
        <v>631721.92217999999</v>
      </c>
      <c r="N29" s="742">
        <f t="shared" si="123"/>
        <v>617107.19589999993</v>
      </c>
      <c r="O29" s="742">
        <f t="shared" si="123"/>
        <v>729923.28689999995</v>
      </c>
      <c r="P29" s="742">
        <f t="shared" si="123"/>
        <v>734380.20828000002</v>
      </c>
      <c r="Q29" s="742">
        <f t="shared" si="123"/>
        <v>646084.25266</v>
      </c>
      <c r="R29" s="762">
        <f t="shared" si="123"/>
        <v>655899.02439999999</v>
      </c>
      <c r="S29" s="742">
        <f t="shared" si="123"/>
        <v>658929.71195999999</v>
      </c>
      <c r="T29" s="742">
        <f t="shared" si="123"/>
        <v>669983.12112000014</v>
      </c>
      <c r="U29" s="742">
        <f t="shared" ref="U29:AA29" si="124">SUM(U30:U33)</f>
        <v>680320.30494000006</v>
      </c>
      <c r="V29" s="730">
        <f t="shared" si="124"/>
        <v>690242.05439999991</v>
      </c>
      <c r="W29" s="730">
        <f t="shared" si="124"/>
        <v>698035.05638999993</v>
      </c>
      <c r="X29" s="730">
        <f t="shared" si="124"/>
        <v>671596.17891000002</v>
      </c>
      <c r="Y29" s="730">
        <f t="shared" si="124"/>
        <v>680780.99234999996</v>
      </c>
      <c r="Z29" s="730">
        <f t="shared" si="124"/>
        <v>682568.23828999989</v>
      </c>
      <c r="AA29" s="730">
        <f t="shared" si="124"/>
        <v>699153.44328000001</v>
      </c>
      <c r="AB29" s="730">
        <f t="shared" ref="AB29:AG29" si="125">SUM(AB30:AB33)</f>
        <v>709061.57854000013</v>
      </c>
      <c r="AC29" s="730">
        <f t="shared" si="125"/>
        <v>704231.06803999993</v>
      </c>
      <c r="AD29" s="730">
        <f t="shared" si="125"/>
        <v>689967.61682999996</v>
      </c>
      <c r="AE29" s="730">
        <f t="shared" si="125"/>
        <v>675369.58989000006</v>
      </c>
      <c r="AF29" s="730">
        <f t="shared" si="125"/>
        <v>666565.37028999999</v>
      </c>
      <c r="AG29" s="730">
        <f t="shared" si="125"/>
        <v>638597.71678000002</v>
      </c>
      <c r="AH29" s="730">
        <f t="shared" ref="AH29:AM29" si="126">SUM(AH30:AH33)</f>
        <v>628818.54552081088</v>
      </c>
      <c r="AI29" s="730">
        <f t="shared" si="126"/>
        <v>646086.31624245609</v>
      </c>
      <c r="AJ29" s="730">
        <f t="shared" si="126"/>
        <v>680463.16237394081</v>
      </c>
      <c r="AK29" s="730">
        <f t="shared" si="126"/>
        <v>709453.4145400899</v>
      </c>
      <c r="AL29" s="730">
        <f t="shared" si="126"/>
        <v>714826.63838661939</v>
      </c>
      <c r="AM29" s="730">
        <f t="shared" si="126"/>
        <v>732867.60961646528</v>
      </c>
      <c r="AN29" s="730">
        <f t="shared" ref="AN29" si="127">SUM(AN30:AN33)</f>
        <v>750908.58084631118</v>
      </c>
      <c r="AO29" s="730"/>
    </row>
    <row r="30" spans="1:41">
      <c r="A30" s="768" t="s">
        <v>240</v>
      </c>
      <c r="B30" s="769"/>
      <c r="C30" s="762">
        <f t="shared" ref="C30:Y30" si="128">C90*C146/100000</f>
        <v>439021.1336</v>
      </c>
      <c r="D30" s="742">
        <f t="shared" si="128"/>
        <v>490216.8138</v>
      </c>
      <c r="E30" s="742">
        <f t="shared" si="128"/>
        <v>465644.26779999997</v>
      </c>
      <c r="F30" s="742">
        <f t="shared" si="128"/>
        <v>477239.58525</v>
      </c>
      <c r="G30" s="742">
        <f t="shared" si="128"/>
        <v>527931.38859999995</v>
      </c>
      <c r="H30" s="762">
        <f t="shared" si="128"/>
        <v>535475.01573999994</v>
      </c>
      <c r="I30" s="742">
        <f t="shared" si="128"/>
        <v>545677.13592000003</v>
      </c>
      <c r="J30" s="742">
        <f t="shared" si="128"/>
        <v>554448.93784000003</v>
      </c>
      <c r="K30" s="742">
        <f t="shared" si="128"/>
        <v>562424.41695999994</v>
      </c>
      <c r="L30" s="742">
        <f t="shared" si="128"/>
        <v>645060.47696999996</v>
      </c>
      <c r="M30" s="762">
        <f t="shared" si="128"/>
        <v>588357.98375999997</v>
      </c>
      <c r="N30" s="742">
        <f t="shared" si="128"/>
        <v>574413.06259999995</v>
      </c>
      <c r="O30" s="742">
        <f t="shared" si="128"/>
        <v>679315.41414999997</v>
      </c>
      <c r="P30" s="742">
        <f t="shared" si="128"/>
        <v>683549.49672000005</v>
      </c>
      <c r="Q30" s="742">
        <f t="shared" si="128"/>
        <v>601441.17137999996</v>
      </c>
      <c r="R30" s="762">
        <f t="shared" si="128"/>
        <v>610704.02040000004</v>
      </c>
      <c r="S30" s="742">
        <f t="shared" si="128"/>
        <v>613602.44382000004</v>
      </c>
      <c r="T30" s="742">
        <f t="shared" si="128"/>
        <v>624217.57420000003</v>
      </c>
      <c r="U30" s="742">
        <f t="shared" si="128"/>
        <v>634437.16324000002</v>
      </c>
      <c r="V30" s="730">
        <f t="shared" si="128"/>
        <v>644194.80863999994</v>
      </c>
      <c r="W30" s="730">
        <f t="shared" si="128"/>
        <v>652239.14859</v>
      </c>
      <c r="X30" s="730">
        <f t="shared" si="128"/>
        <v>624983.16674999997</v>
      </c>
      <c r="Y30" s="730">
        <f t="shared" si="128"/>
        <v>633972.77471999999</v>
      </c>
      <c r="Z30" s="730">
        <f>Z90*Z146/100000</f>
        <v>634898.25404999999</v>
      </c>
      <c r="AA30" s="730">
        <f>AA90*AA146/100000+AR22</f>
        <v>650715.67784999998</v>
      </c>
      <c r="AB30" s="730">
        <f t="shared" si="15"/>
        <v>660444.92758000002</v>
      </c>
      <c r="AC30" s="730">
        <f t="shared" ref="AC30:AD33" si="129">AC90*AC146/100000</f>
        <v>657539.06672</v>
      </c>
      <c r="AD30" s="730">
        <f t="shared" si="129"/>
        <v>642079.70207999996</v>
      </c>
      <c r="AE30" s="730">
        <f t="shared" ref="AE30:AF33" si="130">AE90*AE146/100000</f>
        <v>625255.68234000006</v>
      </c>
      <c r="AF30" s="730">
        <f t="shared" si="130"/>
        <v>614421.44516</v>
      </c>
      <c r="AG30" s="730">
        <f t="shared" ref="AG30:AH33" si="131">AG90*AG146/100000</f>
        <v>589078.30842000002</v>
      </c>
      <c r="AH30" s="730">
        <f t="shared" si="131"/>
        <v>581684.73181795015</v>
      </c>
      <c r="AI30" s="730">
        <f t="shared" ref="AI30:AI33" si="132">AI90*AI146/100000</f>
        <v>595483.0746229263</v>
      </c>
      <c r="AJ30" s="730">
        <f t="shared" ref="AJ30:AK30" si="133">AJ90*AJ146/100000</f>
        <v>628852.66179396852</v>
      </c>
      <c r="AK30" s="730">
        <f t="shared" si="133"/>
        <v>657445.19335244398</v>
      </c>
      <c r="AL30" s="730">
        <f t="shared" ref="AL30:AM30" si="134">AL90*AL146/100000</f>
        <v>662876.36866494955</v>
      </c>
      <c r="AM30" s="730">
        <f t="shared" si="134"/>
        <v>681294.02442363999</v>
      </c>
      <c r="AN30" s="730">
        <f t="shared" ref="AN30" si="135">AN90*AN146/100000</f>
        <v>699711.68018233043</v>
      </c>
      <c r="AO30" s="730"/>
    </row>
    <row r="31" spans="1:41">
      <c r="A31" s="741" t="s">
        <v>203</v>
      </c>
      <c r="B31" s="765"/>
      <c r="C31" s="762">
        <f t="shared" ref="C31:Y31" si="136">C91*C147/100000</f>
        <v>10851.92692</v>
      </c>
      <c r="D31" s="742">
        <f t="shared" si="136"/>
        <v>12103.7451</v>
      </c>
      <c r="E31" s="742">
        <f t="shared" si="136"/>
        <v>11507.895200000001</v>
      </c>
      <c r="F31" s="742">
        <f t="shared" si="136"/>
        <v>11578.552750000001</v>
      </c>
      <c r="G31" s="742">
        <f t="shared" si="136"/>
        <v>12722.788119999999</v>
      </c>
      <c r="H31" s="762">
        <f t="shared" si="136"/>
        <v>12502.267959999999</v>
      </c>
      <c r="I31" s="742">
        <f t="shared" si="136"/>
        <v>12575.77468</v>
      </c>
      <c r="J31" s="742">
        <f t="shared" si="136"/>
        <v>12731.97646</v>
      </c>
      <c r="K31" s="742">
        <f t="shared" si="136"/>
        <v>12857.550440000001</v>
      </c>
      <c r="L31" s="742">
        <f t="shared" si="136"/>
        <v>14680.258390000001</v>
      </c>
      <c r="M31" s="762">
        <f t="shared" si="136"/>
        <v>13288.694740000001</v>
      </c>
      <c r="N31" s="742">
        <f t="shared" si="136"/>
        <v>13023.2726</v>
      </c>
      <c r="O31" s="742">
        <f t="shared" si="136"/>
        <v>15208.9509</v>
      </c>
      <c r="P31" s="742">
        <f t="shared" si="136"/>
        <v>15177.392819999999</v>
      </c>
      <c r="Q31" s="742">
        <f t="shared" si="136"/>
        <v>13237.335160000001</v>
      </c>
      <c r="R31" s="762">
        <f t="shared" si="136"/>
        <v>13368.0124</v>
      </c>
      <c r="S31" s="742">
        <f t="shared" si="136"/>
        <v>13511.57568</v>
      </c>
      <c r="T31" s="742">
        <f t="shared" si="136"/>
        <v>13593.941080000001</v>
      </c>
      <c r="U31" s="742">
        <f t="shared" si="136"/>
        <v>13602.12636</v>
      </c>
      <c r="V31" s="730">
        <f t="shared" si="136"/>
        <v>13616.321760000001</v>
      </c>
      <c r="W31" s="730">
        <f t="shared" si="136"/>
        <v>13458.465</v>
      </c>
      <c r="X31" s="730">
        <f t="shared" si="136"/>
        <v>13580.83524</v>
      </c>
      <c r="Y31" s="730">
        <f t="shared" si="136"/>
        <v>13667.001679999999</v>
      </c>
      <c r="Z31" s="730">
        <f>Z91*Z147/100000</f>
        <v>13914.672039999999</v>
      </c>
      <c r="AA31" s="730">
        <f t="shared" si="15"/>
        <v>14078.37054</v>
      </c>
      <c r="AB31" s="730">
        <f t="shared" si="15"/>
        <v>14011.475280000001</v>
      </c>
      <c r="AC31" s="730">
        <f t="shared" si="129"/>
        <v>13216.21572</v>
      </c>
      <c r="AD31" s="730">
        <f t="shared" si="129"/>
        <v>13468.7655</v>
      </c>
      <c r="AE31" s="730">
        <f t="shared" si="130"/>
        <v>13873.015890000001</v>
      </c>
      <c r="AF31" s="730">
        <f t="shared" si="130"/>
        <v>14253.96679</v>
      </c>
      <c r="AG31" s="730">
        <f t="shared" si="131"/>
        <v>13468.481680000001</v>
      </c>
      <c r="AH31" s="730">
        <f t="shared" si="131"/>
        <v>12766.397751297793</v>
      </c>
      <c r="AI31" s="730">
        <f t="shared" si="132"/>
        <v>13594.853291879936</v>
      </c>
      <c r="AJ31" s="730">
        <f t="shared" ref="AJ31:AK31" si="137">AJ91*AJ147/100000</f>
        <v>13645.038099764506</v>
      </c>
      <c r="AK31" s="730">
        <f t="shared" si="137"/>
        <v>13695.863125680695</v>
      </c>
      <c r="AL31" s="730">
        <f t="shared" ref="AL31:AM31" si="138">AL91*AL147/100000</f>
        <v>13544.54540896537</v>
      </c>
      <c r="AM31" s="730">
        <f t="shared" si="138"/>
        <v>12984.34790452991</v>
      </c>
      <c r="AN31" s="730">
        <f t="shared" ref="AN31" si="139">AN91*AN147/100000</f>
        <v>12424.150400094451</v>
      </c>
      <c r="AO31" s="730"/>
    </row>
    <row r="32" spans="1:41">
      <c r="A32" s="741" t="s">
        <v>204</v>
      </c>
      <c r="B32" s="765"/>
      <c r="C32" s="762">
        <f t="shared" ref="C32:Y32" si="140">C92*C148/100000</f>
        <v>13879.46732</v>
      </c>
      <c r="D32" s="742">
        <f t="shared" si="140"/>
        <v>15403.6656</v>
      </c>
      <c r="E32" s="742">
        <f t="shared" si="140"/>
        <v>14661.0134</v>
      </c>
      <c r="F32" s="742">
        <f t="shared" si="140"/>
        <v>14822.019249999999</v>
      </c>
      <c r="G32" s="742">
        <f t="shared" si="140"/>
        <v>16061.21832</v>
      </c>
      <c r="H32" s="762">
        <f t="shared" si="140"/>
        <v>16318.491840000001</v>
      </c>
      <c r="I32" s="742">
        <f t="shared" si="140"/>
        <v>16542.074779999999</v>
      </c>
      <c r="J32" s="742">
        <f t="shared" si="140"/>
        <v>16839.16444</v>
      </c>
      <c r="K32" s="742">
        <f t="shared" si="140"/>
        <v>17114.814640000001</v>
      </c>
      <c r="L32" s="742">
        <f t="shared" si="140"/>
        <v>19614.157569999999</v>
      </c>
      <c r="M32" s="762">
        <f t="shared" si="140"/>
        <v>17952.500339999999</v>
      </c>
      <c r="N32" s="742">
        <f t="shared" si="140"/>
        <v>17830.419099999999</v>
      </c>
      <c r="O32" s="742">
        <f t="shared" si="140"/>
        <v>21515.879489999999</v>
      </c>
      <c r="P32" s="742">
        <f t="shared" si="140"/>
        <v>21704.622299999999</v>
      </c>
      <c r="Q32" s="742">
        <f t="shared" si="140"/>
        <v>19267.948980000001</v>
      </c>
      <c r="R32" s="762">
        <f t="shared" si="140"/>
        <v>19583.477599999998</v>
      </c>
      <c r="S32" s="742">
        <f t="shared" si="140"/>
        <v>20023.88394</v>
      </c>
      <c r="T32" s="742">
        <f t="shared" si="140"/>
        <v>20361.54104</v>
      </c>
      <c r="U32" s="742">
        <f t="shared" si="140"/>
        <v>20427.999619999999</v>
      </c>
      <c r="V32" s="730">
        <f t="shared" si="140"/>
        <v>20469.590400000001</v>
      </c>
      <c r="W32" s="730">
        <f t="shared" si="140"/>
        <v>20540.402099999999</v>
      </c>
      <c r="X32" s="730">
        <f t="shared" si="140"/>
        <v>21084.30156</v>
      </c>
      <c r="Y32" s="730">
        <f t="shared" si="140"/>
        <v>21214.167580000001</v>
      </c>
      <c r="Z32" s="730">
        <f>Z92*Z148/100000</f>
        <v>21599.562160000001</v>
      </c>
      <c r="AA32" s="730">
        <f t="shared" si="15"/>
        <v>22064.327850000001</v>
      </c>
      <c r="AB32" s="730">
        <f t="shared" si="15"/>
        <v>22326.54552</v>
      </c>
      <c r="AC32" s="730">
        <f t="shared" si="129"/>
        <v>21759.26064</v>
      </c>
      <c r="AD32" s="730">
        <f t="shared" si="129"/>
        <v>22633.2075</v>
      </c>
      <c r="AE32" s="730">
        <f t="shared" si="130"/>
        <v>24091.191989999999</v>
      </c>
      <c r="AF32" s="730">
        <f t="shared" si="130"/>
        <v>25392.653969999999</v>
      </c>
      <c r="AG32" s="730">
        <f t="shared" si="131"/>
        <v>24280.0219</v>
      </c>
      <c r="AH32" s="730">
        <f t="shared" si="131"/>
        <v>23079.889119117575</v>
      </c>
      <c r="AI32" s="730">
        <f t="shared" si="132"/>
        <v>24945.618104903842</v>
      </c>
      <c r="AJ32" s="730">
        <f t="shared" ref="AJ32:AK32" si="141">AJ92*AJ148/100000</f>
        <v>25827.65068086288</v>
      </c>
      <c r="AK32" s="730">
        <f t="shared" si="141"/>
        <v>26049.183956248828</v>
      </c>
      <c r="AL32" s="730">
        <f t="shared" ref="AL32:AM32" si="142">AL92*AL148/100000</f>
        <v>26226.25788006463</v>
      </c>
      <c r="AM32" s="730">
        <f t="shared" si="142"/>
        <v>26573.966675921121</v>
      </c>
      <c r="AN32" s="730">
        <f t="shared" ref="AN32" si="143">AN92*AN148/100000</f>
        <v>26921.675471777617</v>
      </c>
      <c r="AO32" s="730"/>
    </row>
    <row r="33" spans="1:41">
      <c r="A33" s="741" t="s">
        <v>234</v>
      </c>
      <c r="B33" s="765"/>
      <c r="C33" s="762">
        <f t="shared" ref="C33:Y33" si="144">C93*C149/100000</f>
        <v>11210.23216</v>
      </c>
      <c r="D33" s="742">
        <f t="shared" si="144"/>
        <v>12264.19995</v>
      </c>
      <c r="E33" s="742">
        <f t="shared" si="144"/>
        <v>11468.446</v>
      </c>
      <c r="F33" s="742">
        <f t="shared" si="144"/>
        <v>11629.49725</v>
      </c>
      <c r="G33" s="742">
        <f t="shared" si="144"/>
        <v>12725.850899999999</v>
      </c>
      <c r="H33" s="762">
        <f t="shared" si="144"/>
        <v>11258.779280000001</v>
      </c>
      <c r="I33" s="742">
        <f t="shared" si="144"/>
        <v>11341.474340000001</v>
      </c>
      <c r="J33" s="742">
        <f t="shared" si="144"/>
        <v>11516.052799999999</v>
      </c>
      <c r="K33" s="742">
        <f t="shared" si="144"/>
        <v>11595.685079999999</v>
      </c>
      <c r="L33" s="742">
        <f t="shared" si="144"/>
        <v>13320.13991</v>
      </c>
      <c r="M33" s="762">
        <f t="shared" si="144"/>
        <v>12122.743340000001</v>
      </c>
      <c r="N33" s="742">
        <f t="shared" si="144"/>
        <v>11840.4416</v>
      </c>
      <c r="O33" s="742">
        <f t="shared" si="144"/>
        <v>13883.042359999999</v>
      </c>
      <c r="P33" s="742">
        <f t="shared" si="144"/>
        <v>13948.69644</v>
      </c>
      <c r="Q33" s="742">
        <f t="shared" si="144"/>
        <v>12137.797140000001</v>
      </c>
      <c r="R33" s="762">
        <f t="shared" si="144"/>
        <v>12243.513999999999</v>
      </c>
      <c r="S33" s="742">
        <f t="shared" si="144"/>
        <v>11791.80852</v>
      </c>
      <c r="T33" s="742">
        <f t="shared" si="144"/>
        <v>11810.0648</v>
      </c>
      <c r="U33" s="742">
        <f t="shared" si="144"/>
        <v>11853.015719999999</v>
      </c>
      <c r="V33" s="730">
        <f t="shared" si="144"/>
        <v>11961.3336</v>
      </c>
      <c r="W33" s="730">
        <f t="shared" si="144"/>
        <v>11797.0407</v>
      </c>
      <c r="X33" s="730">
        <f t="shared" si="144"/>
        <v>11947.87536</v>
      </c>
      <c r="Y33" s="730">
        <f t="shared" si="144"/>
        <v>11927.04837</v>
      </c>
      <c r="Z33" s="730">
        <f>Z93*Z149/100000</f>
        <v>12155.750040000001</v>
      </c>
      <c r="AA33" s="730">
        <f t="shared" si="15"/>
        <v>12295.06704</v>
      </c>
      <c r="AB33" s="730">
        <f t="shared" si="15"/>
        <v>12278.630160000001</v>
      </c>
      <c r="AC33" s="730">
        <f t="shared" si="129"/>
        <v>11716.524960000001</v>
      </c>
      <c r="AD33" s="730">
        <f t="shared" si="129"/>
        <v>11785.94175</v>
      </c>
      <c r="AE33" s="730">
        <f t="shared" si="130"/>
        <v>12149.69967</v>
      </c>
      <c r="AF33" s="730">
        <f t="shared" si="130"/>
        <v>12497.30437</v>
      </c>
      <c r="AG33" s="730">
        <f t="shared" si="131"/>
        <v>11770.904780000001</v>
      </c>
      <c r="AH33" s="730">
        <f t="shared" si="131"/>
        <v>11287.526832445434</v>
      </c>
      <c r="AI33" s="730">
        <f t="shared" si="132"/>
        <v>12062.770222745934</v>
      </c>
      <c r="AJ33" s="730">
        <f t="shared" ref="AJ33:AK33" si="145">AJ93*AJ149/100000</f>
        <v>12137.811799344929</v>
      </c>
      <c r="AK33" s="730">
        <f t="shared" si="145"/>
        <v>12263.174105716447</v>
      </c>
      <c r="AL33" s="730">
        <f t="shared" ref="AL33:AM33" si="146">AL93*AL149/100000</f>
        <v>12179.466432639885</v>
      </c>
      <c r="AM33" s="730">
        <f t="shared" si="146"/>
        <v>12015.270612374319</v>
      </c>
      <c r="AN33" s="730">
        <f t="shared" ref="AN33" si="147">AN93*AN149/100000</f>
        <v>11851.074792108753</v>
      </c>
      <c r="AO33" s="730"/>
    </row>
    <row r="34" spans="1:41">
      <c r="A34" s="766" t="s">
        <v>205</v>
      </c>
      <c r="B34" s="767"/>
      <c r="C34" s="762">
        <f>SUM(C35:C41)</f>
        <v>226496.13019999999</v>
      </c>
      <c r="D34" s="742">
        <f t="shared" ref="D34:T34" si="148">SUM(D35:D41)</f>
        <v>249274.17810000002</v>
      </c>
      <c r="E34" s="742">
        <f t="shared" si="148"/>
        <v>234686.10859999998</v>
      </c>
      <c r="F34" s="742">
        <f t="shared" si="148"/>
        <v>238689.13374999998</v>
      </c>
      <c r="G34" s="742">
        <f t="shared" si="148"/>
        <v>260970.29546000002</v>
      </c>
      <c r="H34" s="762">
        <f t="shared" si="148"/>
        <v>262544.56438</v>
      </c>
      <c r="I34" s="742">
        <f t="shared" si="148"/>
        <v>265714.54168000002</v>
      </c>
      <c r="J34" s="742">
        <f t="shared" si="148"/>
        <v>269181.60863999999</v>
      </c>
      <c r="K34" s="742">
        <f t="shared" si="148"/>
        <v>272492.47382000001</v>
      </c>
      <c r="L34" s="742">
        <f t="shared" si="148"/>
        <v>312667.64465999999</v>
      </c>
      <c r="M34" s="762">
        <f t="shared" si="148"/>
        <v>282777.87792</v>
      </c>
      <c r="N34" s="742">
        <f t="shared" si="148"/>
        <v>274180.22580000001</v>
      </c>
      <c r="O34" s="742">
        <f t="shared" si="148"/>
        <v>322918.99805999995</v>
      </c>
      <c r="P34" s="742">
        <f t="shared" si="148"/>
        <v>322907.74578000006</v>
      </c>
      <c r="Q34" s="742">
        <f t="shared" si="148"/>
        <v>283074.37871999998</v>
      </c>
      <c r="R34" s="762">
        <f t="shared" si="148"/>
        <v>286406.05560000002</v>
      </c>
      <c r="S34" s="742">
        <f t="shared" si="148"/>
        <v>288655.82916000002</v>
      </c>
      <c r="T34" s="742">
        <f t="shared" si="148"/>
        <v>291822.99124</v>
      </c>
      <c r="U34" s="742">
        <f t="shared" ref="U34:AA34" si="149">SUM(U35:U41)</f>
        <v>295041.47136000003</v>
      </c>
      <c r="V34" s="730">
        <f t="shared" si="149"/>
        <v>297969.41904000001</v>
      </c>
      <c r="W34" s="730">
        <f t="shared" si="149"/>
        <v>290325.39695000002</v>
      </c>
      <c r="X34" s="730">
        <f t="shared" si="149"/>
        <v>293142.04415999999</v>
      </c>
      <c r="Y34" s="730">
        <f t="shared" si="149"/>
        <v>297020.35383000004</v>
      </c>
      <c r="Z34" s="730">
        <f t="shared" si="149"/>
        <v>300969.23707999999</v>
      </c>
      <c r="AA34" s="730">
        <f t="shared" si="149"/>
        <v>306287.99554999999</v>
      </c>
      <c r="AB34" s="730">
        <f t="shared" ref="AB34:AG34" si="150">SUM(AB35:AB41)</f>
        <v>305336.61842999997</v>
      </c>
      <c r="AC34" s="730">
        <f t="shared" si="150"/>
        <v>291827.88669999997</v>
      </c>
      <c r="AD34" s="730">
        <f t="shared" si="150"/>
        <v>291058.70947999996</v>
      </c>
      <c r="AE34" s="730">
        <f t="shared" si="150"/>
        <v>303087.20097000001</v>
      </c>
      <c r="AF34" s="730">
        <f t="shared" si="150"/>
        <v>312940.62562999997</v>
      </c>
      <c r="AG34" s="730">
        <f t="shared" si="150"/>
        <v>294790.11099999998</v>
      </c>
      <c r="AH34" s="730">
        <f t="shared" ref="AH34:AM34" si="151">SUM(AH35:AH41)</f>
        <v>284483.87684039347</v>
      </c>
      <c r="AI34" s="730">
        <f t="shared" si="151"/>
        <v>304383.13599733572</v>
      </c>
      <c r="AJ34" s="730">
        <f t="shared" si="151"/>
        <v>308104.54207176482</v>
      </c>
      <c r="AK34" s="730">
        <f t="shared" si="151"/>
        <v>306388.72668900242</v>
      </c>
      <c r="AL34" s="730">
        <f t="shared" si="151"/>
        <v>306463.99567272014</v>
      </c>
      <c r="AM34" s="730">
        <f t="shared" si="151"/>
        <v>306899.33071187302</v>
      </c>
      <c r="AN34" s="730">
        <f t="shared" ref="AN34" si="152">SUM(AN35:AN41)</f>
        <v>307334.6657510259</v>
      </c>
      <c r="AO34" s="730"/>
    </row>
    <row r="35" spans="1:41">
      <c r="A35" s="741" t="s">
        <v>206</v>
      </c>
      <c r="B35" s="765"/>
      <c r="C35" s="762">
        <f t="shared" ref="C35:Y35" si="153">C95*C151/100000</f>
        <v>31819.727360000001</v>
      </c>
      <c r="D35" s="742">
        <f t="shared" si="153"/>
        <v>34930.718099999998</v>
      </c>
      <c r="E35" s="742">
        <f t="shared" si="153"/>
        <v>32818.916599999997</v>
      </c>
      <c r="F35" s="742">
        <f t="shared" si="153"/>
        <v>33125.245999999999</v>
      </c>
      <c r="G35" s="742">
        <f t="shared" si="153"/>
        <v>36033.606699999997</v>
      </c>
      <c r="H35" s="762">
        <f t="shared" si="153"/>
        <v>36652.288260000001</v>
      </c>
      <c r="I35" s="742">
        <f t="shared" si="153"/>
        <v>36762.548340000001</v>
      </c>
      <c r="J35" s="742">
        <f t="shared" si="153"/>
        <v>36998.382400000002</v>
      </c>
      <c r="K35" s="742">
        <f t="shared" si="153"/>
        <v>36958.56626</v>
      </c>
      <c r="L35" s="742">
        <f t="shared" si="153"/>
        <v>42011.006520000003</v>
      </c>
      <c r="M35" s="762">
        <f t="shared" si="153"/>
        <v>37701.196080000002</v>
      </c>
      <c r="N35" s="742">
        <f t="shared" si="153"/>
        <v>36537.346299999997</v>
      </c>
      <c r="O35" s="742">
        <f t="shared" si="153"/>
        <v>42549.610419999997</v>
      </c>
      <c r="P35" s="742">
        <f t="shared" si="153"/>
        <v>42201.67194</v>
      </c>
      <c r="Q35" s="742">
        <f t="shared" si="153"/>
        <v>36878.933980000002</v>
      </c>
      <c r="R35" s="762">
        <f t="shared" si="153"/>
        <v>37326.587599999999</v>
      </c>
      <c r="S35" s="742">
        <f t="shared" si="153"/>
        <v>37178.40726</v>
      </c>
      <c r="T35" s="742">
        <f t="shared" si="153"/>
        <v>37365.561040000001</v>
      </c>
      <c r="U35" s="742">
        <f t="shared" si="153"/>
        <v>37779.549319999998</v>
      </c>
      <c r="V35" s="730">
        <f t="shared" si="153"/>
        <v>38005.62096</v>
      </c>
      <c r="W35" s="730">
        <f t="shared" si="153"/>
        <v>37563.039900000003</v>
      </c>
      <c r="X35" s="730">
        <f t="shared" si="153"/>
        <v>37796.282520000001</v>
      </c>
      <c r="Y35" s="730">
        <f t="shared" si="153"/>
        <v>38218.974430000002</v>
      </c>
      <c r="Z35" s="730">
        <f t="shared" ref="Z35:Z41" si="154">Z95*Z151/100000</f>
        <v>38747.452640000003</v>
      </c>
      <c r="AA35" s="730">
        <f t="shared" si="15"/>
        <v>39365.614170000001</v>
      </c>
      <c r="AB35" s="730">
        <f t="shared" si="15"/>
        <v>39289.676760000002</v>
      </c>
      <c r="AC35" s="730">
        <f t="shared" ref="AC35:AD41" si="155">AC95*AC151/100000</f>
        <v>37058.549879999999</v>
      </c>
      <c r="AD35" s="730">
        <f t="shared" si="155"/>
        <v>37405.003499999999</v>
      </c>
      <c r="AE35" s="730">
        <f t="shared" ref="AE35:AF41" si="156">AE95*AE151/100000</f>
        <v>38553.594839999998</v>
      </c>
      <c r="AF35" s="730">
        <f t="shared" si="156"/>
        <v>39146.597000000002</v>
      </c>
      <c r="AG35" s="730">
        <f t="shared" ref="AG35:AH41" si="157">AG95*AG151/100000</f>
        <v>36773.564919999997</v>
      </c>
      <c r="AH35" s="730">
        <f t="shared" si="157"/>
        <v>34827.707101005013</v>
      </c>
      <c r="AI35" s="730">
        <f t="shared" ref="AI35:AI41" si="158">AI95*AI151/100000</f>
        <v>37036.995687861818</v>
      </c>
      <c r="AJ35" s="730">
        <f t="shared" ref="AJ35:AK35" si="159">AJ95*AJ151/100000</f>
        <v>37056.646621780717</v>
      </c>
      <c r="AK35" s="730">
        <f t="shared" si="159"/>
        <v>37114.694431792916</v>
      </c>
      <c r="AL35" s="730">
        <f t="shared" ref="AL35:AM35" si="160">AL95*AL151/100000</f>
        <v>37079.279647029754</v>
      </c>
      <c r="AM35" s="730">
        <f t="shared" si="160"/>
        <v>36673.619385197177</v>
      </c>
      <c r="AN35" s="730">
        <f t="shared" ref="AN35" si="161">AN95*AN151/100000</f>
        <v>36267.959123364606</v>
      </c>
      <c r="AO35" s="730"/>
    </row>
    <row r="36" spans="1:41">
      <c r="A36" s="741" t="s">
        <v>207</v>
      </c>
      <c r="B36" s="765"/>
      <c r="C36" s="762">
        <f t="shared" ref="C36:Y36" si="162">C96*C152/100000</f>
        <v>41527.299559999999</v>
      </c>
      <c r="D36" s="742">
        <f t="shared" si="162"/>
        <v>45644.863649999999</v>
      </c>
      <c r="E36" s="742">
        <f t="shared" si="162"/>
        <v>43120.793400000002</v>
      </c>
      <c r="F36" s="742">
        <f t="shared" si="162"/>
        <v>43919.819499999998</v>
      </c>
      <c r="G36" s="742">
        <f t="shared" si="162"/>
        <v>47886.565300000002</v>
      </c>
      <c r="H36" s="762">
        <f t="shared" si="162"/>
        <v>48636.946400000001</v>
      </c>
      <c r="I36" s="742">
        <f t="shared" si="162"/>
        <v>49537.403720000002</v>
      </c>
      <c r="J36" s="742">
        <f t="shared" si="162"/>
        <v>50802.331859999998</v>
      </c>
      <c r="K36" s="742">
        <f t="shared" si="162"/>
        <v>52058.071660000001</v>
      </c>
      <c r="L36" s="742">
        <f t="shared" si="162"/>
        <v>60164.424599999998</v>
      </c>
      <c r="M36" s="762">
        <f t="shared" si="162"/>
        <v>55231.432939999999</v>
      </c>
      <c r="N36" s="742">
        <f t="shared" si="162"/>
        <v>53718.724800000004</v>
      </c>
      <c r="O36" s="742">
        <f t="shared" si="162"/>
        <v>63388.354800000001</v>
      </c>
      <c r="P36" s="742">
        <f t="shared" si="162"/>
        <v>63438.051780000002</v>
      </c>
      <c r="Q36" s="742">
        <f t="shared" si="162"/>
        <v>55610.896460000004</v>
      </c>
      <c r="R36" s="762">
        <f t="shared" si="162"/>
        <v>56378.54</v>
      </c>
      <c r="S36" s="742">
        <f t="shared" si="162"/>
        <v>57199.209179999998</v>
      </c>
      <c r="T36" s="742">
        <f t="shared" si="162"/>
        <v>57816.759639999997</v>
      </c>
      <c r="U36" s="742">
        <f t="shared" si="162"/>
        <v>58508.371160000002</v>
      </c>
      <c r="V36" s="730">
        <f t="shared" si="162"/>
        <v>58963.61952</v>
      </c>
      <c r="W36" s="730">
        <f t="shared" si="162"/>
        <v>58245.761400000003</v>
      </c>
      <c r="X36" s="730">
        <f t="shared" si="162"/>
        <v>58987.149599999997</v>
      </c>
      <c r="Y36" s="730">
        <f t="shared" si="162"/>
        <v>59069.993860000002</v>
      </c>
      <c r="Z36" s="730">
        <f t="shared" si="154"/>
        <v>59752.179360000002</v>
      </c>
      <c r="AA36" s="730">
        <f t="shared" si="15"/>
        <v>60710.135880000002</v>
      </c>
      <c r="AB36" s="730">
        <f t="shared" si="15"/>
        <v>60549.358679999998</v>
      </c>
      <c r="AC36" s="730">
        <f t="shared" si="155"/>
        <v>57428.076719999997</v>
      </c>
      <c r="AD36" s="730">
        <f t="shared" si="155"/>
        <v>58006.4715</v>
      </c>
      <c r="AE36" s="730">
        <f t="shared" si="156"/>
        <v>60024.577409999998</v>
      </c>
      <c r="AF36" s="730">
        <f t="shared" si="156"/>
        <v>62121.372920000002</v>
      </c>
      <c r="AG36" s="730">
        <f t="shared" si="157"/>
        <v>58904.361019999997</v>
      </c>
      <c r="AH36" s="730">
        <f t="shared" si="157"/>
        <v>56084.249344268464</v>
      </c>
      <c r="AI36" s="730">
        <f t="shared" si="158"/>
        <v>60110.420996666231</v>
      </c>
      <c r="AJ36" s="730">
        <f t="shared" ref="AJ36:AK36" si="163">AJ96*AJ152/100000</f>
        <v>60721.059555119966</v>
      </c>
      <c r="AK36" s="730">
        <f t="shared" si="163"/>
        <v>61274.016692043951</v>
      </c>
      <c r="AL36" s="730">
        <f t="shared" ref="AL36:AM36" si="164">AL96*AL152/100000</f>
        <v>61225.723803730558</v>
      </c>
      <c r="AM36" s="730">
        <f t="shared" si="164"/>
        <v>60849.039274886018</v>
      </c>
      <c r="AN36" s="730">
        <f t="shared" ref="AN36" si="165">AN96*AN152/100000</f>
        <v>60472.354746041492</v>
      </c>
      <c r="AO36" s="730"/>
    </row>
    <row r="37" spans="1:41">
      <c r="A37" s="741" t="s">
        <v>219</v>
      </c>
      <c r="B37" s="765"/>
      <c r="C37" s="762">
        <f t="shared" ref="C37:Y37" si="166">C97*C153/100000</f>
        <v>34483.407399999996</v>
      </c>
      <c r="D37" s="742">
        <f t="shared" si="166"/>
        <v>37809.823049999999</v>
      </c>
      <c r="E37" s="742">
        <f t="shared" si="166"/>
        <v>35402.839200000002</v>
      </c>
      <c r="F37" s="742">
        <f t="shared" si="166"/>
        <v>35828.134749999997</v>
      </c>
      <c r="G37" s="742">
        <f t="shared" si="166"/>
        <v>39206.646780000003</v>
      </c>
      <c r="H37" s="762">
        <f t="shared" si="166"/>
        <v>39154.579519999999</v>
      </c>
      <c r="I37" s="742">
        <f t="shared" si="166"/>
        <v>39304.655740000002</v>
      </c>
      <c r="J37" s="742">
        <f t="shared" si="166"/>
        <v>39378.16246</v>
      </c>
      <c r="K37" s="742">
        <f t="shared" si="166"/>
        <v>39525.175900000002</v>
      </c>
      <c r="L37" s="742">
        <f t="shared" si="166"/>
        <v>45126.788139999997</v>
      </c>
      <c r="M37" s="762">
        <f t="shared" si="166"/>
        <v>40931.196580000003</v>
      </c>
      <c r="N37" s="742">
        <f t="shared" si="166"/>
        <v>39509.588300000003</v>
      </c>
      <c r="O37" s="742">
        <f t="shared" si="166"/>
        <v>46179.905460000002</v>
      </c>
      <c r="P37" s="742">
        <f t="shared" si="166"/>
        <v>46187.013780000001</v>
      </c>
      <c r="Q37" s="742">
        <f t="shared" si="166"/>
        <v>40208.175840000004</v>
      </c>
      <c r="R37" s="762">
        <f t="shared" si="166"/>
        <v>40414.349600000001</v>
      </c>
      <c r="S37" s="742">
        <f t="shared" si="166"/>
        <v>40907.651460000001</v>
      </c>
      <c r="T37" s="742">
        <f t="shared" si="166"/>
        <v>41060.07084</v>
      </c>
      <c r="U37" s="742">
        <f t="shared" si="166"/>
        <v>41466.947460000003</v>
      </c>
      <c r="V37" s="730">
        <f t="shared" si="166"/>
        <v>41903.553599999999</v>
      </c>
      <c r="W37" s="730">
        <f t="shared" si="166"/>
        <v>40759.0386</v>
      </c>
      <c r="X37" s="730">
        <f t="shared" si="166"/>
        <v>41143.69356</v>
      </c>
      <c r="Y37" s="730">
        <f t="shared" si="166"/>
        <v>41174.684589999997</v>
      </c>
      <c r="Z37" s="730">
        <f t="shared" si="154"/>
        <v>41347.459159999999</v>
      </c>
      <c r="AA37" s="730">
        <f>AA97*AA153/100000+AR23</f>
        <v>41554.213920000002</v>
      </c>
      <c r="AB37" s="730">
        <f t="shared" si="15"/>
        <v>41132.441160000002</v>
      </c>
      <c r="AC37" s="730">
        <f t="shared" si="155"/>
        <v>38811.752520000002</v>
      </c>
      <c r="AD37" s="730">
        <f t="shared" si="155"/>
        <v>39495.410250000001</v>
      </c>
      <c r="AE37" s="730">
        <f t="shared" si="156"/>
        <v>40949.580959999999</v>
      </c>
      <c r="AF37" s="730">
        <f t="shared" si="156"/>
        <v>42232.269939999998</v>
      </c>
      <c r="AG37" s="730">
        <f t="shared" si="157"/>
        <v>40125.111239999998</v>
      </c>
      <c r="AH37" s="730">
        <f t="shared" si="157"/>
        <v>38201.195783367024</v>
      </c>
      <c r="AI37" s="730">
        <f t="shared" si="158"/>
        <v>40924.418081120923</v>
      </c>
      <c r="AJ37" s="730">
        <f t="shared" ref="AJ37:AK37" si="167">AJ97*AJ153/100000</f>
        <v>41005.515527763222</v>
      </c>
      <c r="AK37" s="730">
        <f t="shared" si="167"/>
        <v>41245.34614553253</v>
      </c>
      <c r="AL37" s="730">
        <f t="shared" ref="AL37:AM37" si="168">AL97*AL153/100000</f>
        <v>40842.905409587518</v>
      </c>
      <c r="AM37" s="730">
        <f t="shared" si="168"/>
        <v>39635.583201752474</v>
      </c>
      <c r="AN37" s="730">
        <f t="shared" ref="AN37" si="169">AN97*AN153/100000</f>
        <v>38428.260993917436</v>
      </c>
      <c r="AO37" s="730"/>
    </row>
    <row r="38" spans="1:41">
      <c r="A38" s="741" t="s">
        <v>235</v>
      </c>
      <c r="B38" s="765"/>
      <c r="C38" s="762">
        <f t="shared" ref="C38:Y38" si="170">C98*C154/100000</f>
        <v>61403.518920000002</v>
      </c>
      <c r="D38" s="742">
        <f t="shared" si="170"/>
        <v>67799.742750000005</v>
      </c>
      <c r="E38" s="742">
        <f t="shared" si="170"/>
        <v>63989.4202</v>
      </c>
      <c r="F38" s="742">
        <f t="shared" si="170"/>
        <v>65183.48775</v>
      </c>
      <c r="G38" s="742">
        <f t="shared" si="170"/>
        <v>71430.155159999995</v>
      </c>
      <c r="H38" s="762">
        <f t="shared" si="170"/>
        <v>71224.948900000003</v>
      </c>
      <c r="I38" s="742">
        <f t="shared" si="170"/>
        <v>72401.056419999994</v>
      </c>
      <c r="J38" s="742">
        <f t="shared" si="170"/>
        <v>73267.82316</v>
      </c>
      <c r="K38" s="742">
        <f t="shared" si="170"/>
        <v>74401.051760000002</v>
      </c>
      <c r="L38" s="742">
        <f t="shared" si="170"/>
        <v>85593.782609999995</v>
      </c>
      <c r="M38" s="762">
        <f t="shared" si="170"/>
        <v>77482.197360000006</v>
      </c>
      <c r="N38" s="742">
        <f t="shared" si="170"/>
        <v>75140.097500000003</v>
      </c>
      <c r="O38" s="742">
        <f t="shared" si="170"/>
        <v>88658.611680000002</v>
      </c>
      <c r="P38" s="742">
        <f t="shared" si="170"/>
        <v>88807.639500000005</v>
      </c>
      <c r="Q38" s="742">
        <f t="shared" si="170"/>
        <v>78272.405679999996</v>
      </c>
      <c r="R38" s="762">
        <f t="shared" si="170"/>
        <v>79252.558000000005</v>
      </c>
      <c r="S38" s="742">
        <f t="shared" si="170"/>
        <v>80385.245639999994</v>
      </c>
      <c r="T38" s="742">
        <f t="shared" si="170"/>
        <v>81693.495360000001</v>
      </c>
      <c r="U38" s="742">
        <f t="shared" si="170"/>
        <v>82527.629860000001</v>
      </c>
      <c r="V38" s="730">
        <f t="shared" si="170"/>
        <v>83844.437760000001</v>
      </c>
      <c r="W38" s="730">
        <f t="shared" si="170"/>
        <v>80088.704150000005</v>
      </c>
      <c r="X38" s="730">
        <f t="shared" si="170"/>
        <v>80139.509640000004</v>
      </c>
      <c r="Y38" s="730">
        <f t="shared" si="170"/>
        <v>82845.048389999996</v>
      </c>
      <c r="Z38" s="730">
        <f t="shared" si="154"/>
        <v>84426.750639999998</v>
      </c>
      <c r="AA38" s="730">
        <f t="shared" si="15"/>
        <v>87081.086960000001</v>
      </c>
      <c r="AB38" s="730">
        <f t="shared" si="15"/>
        <v>87049.860029999996</v>
      </c>
      <c r="AC38" s="730">
        <f t="shared" si="155"/>
        <v>85444.781499999997</v>
      </c>
      <c r="AD38" s="730">
        <f t="shared" si="155"/>
        <v>82061.26298</v>
      </c>
      <c r="AE38" s="730">
        <f t="shared" si="156"/>
        <v>86586.792060000007</v>
      </c>
      <c r="AF38" s="730">
        <f t="shared" si="156"/>
        <v>89979.373120000004</v>
      </c>
      <c r="AG38" s="730">
        <f t="shared" si="157"/>
        <v>83543.018599999996</v>
      </c>
      <c r="AH38" s="730">
        <f t="shared" si="157"/>
        <v>83241.616684032066</v>
      </c>
      <c r="AI38" s="730">
        <f t="shared" si="158"/>
        <v>88817.141012834021</v>
      </c>
      <c r="AJ38" s="730">
        <f t="shared" ref="AJ38:AK38" si="171">AJ98*AJ154/100000</f>
        <v>90807.950344182987</v>
      </c>
      <c r="AK38" s="730">
        <f t="shared" si="171"/>
        <v>87766.821294233348</v>
      </c>
      <c r="AL38" s="730">
        <f t="shared" ref="AL38:AM38" si="172">AL98*AL154/100000</f>
        <v>88296.043428097051</v>
      </c>
      <c r="AM38" s="730">
        <f t="shared" si="172"/>
        <v>90817.631242388859</v>
      </c>
      <c r="AN38" s="730">
        <f t="shared" ref="AN38" si="173">AN98*AN154/100000</f>
        <v>93339.219056680682</v>
      </c>
      <c r="AO38" s="730"/>
    </row>
    <row r="39" spans="1:41">
      <c r="A39" s="741" t="s">
        <v>208</v>
      </c>
      <c r="B39" s="765"/>
      <c r="C39" s="762">
        <f t="shared" ref="C39:Y39" si="174">C99*C155/100000</f>
        <v>24573.07332</v>
      </c>
      <c r="D39" s="742">
        <f t="shared" si="174"/>
        <v>27268.242149999998</v>
      </c>
      <c r="E39" s="742">
        <f t="shared" si="174"/>
        <v>25720.878400000001</v>
      </c>
      <c r="F39" s="742">
        <f t="shared" si="174"/>
        <v>26462.837500000001</v>
      </c>
      <c r="G39" s="742">
        <f t="shared" si="174"/>
        <v>29123.975020000002</v>
      </c>
      <c r="H39" s="762">
        <f t="shared" si="174"/>
        <v>29702.84044</v>
      </c>
      <c r="I39" s="742">
        <f t="shared" si="174"/>
        <v>30159.194660000001</v>
      </c>
      <c r="J39" s="742">
        <f t="shared" si="174"/>
        <v>30866.696840000001</v>
      </c>
      <c r="K39" s="742">
        <f t="shared" si="174"/>
        <v>31467.00172</v>
      </c>
      <c r="L39" s="742">
        <f t="shared" si="174"/>
        <v>36313.775540000002</v>
      </c>
      <c r="M39" s="762">
        <f t="shared" si="174"/>
        <v>32268.4928</v>
      </c>
      <c r="N39" s="742">
        <f t="shared" si="174"/>
        <v>31563.390299999999</v>
      </c>
      <c r="O39" s="742">
        <f t="shared" si="174"/>
        <v>37763.57692</v>
      </c>
      <c r="P39" s="742">
        <f t="shared" si="174"/>
        <v>38082.546540000003</v>
      </c>
      <c r="Q39" s="742">
        <f t="shared" si="174"/>
        <v>33617.073279999997</v>
      </c>
      <c r="R39" s="762">
        <f t="shared" si="174"/>
        <v>34226.536</v>
      </c>
      <c r="S39" s="742">
        <f t="shared" si="174"/>
        <v>34222.750079999998</v>
      </c>
      <c r="T39" s="742">
        <f t="shared" si="174"/>
        <v>34975.723319999997</v>
      </c>
      <c r="U39" s="742">
        <f t="shared" si="174"/>
        <v>35621.072359999998</v>
      </c>
      <c r="V39" s="730">
        <f t="shared" si="174"/>
        <v>36201.310559999998</v>
      </c>
      <c r="W39" s="730">
        <f t="shared" si="174"/>
        <v>36012.995999999999</v>
      </c>
      <c r="X39" s="730">
        <f t="shared" si="174"/>
        <v>36997.041120000002</v>
      </c>
      <c r="Y39" s="730">
        <f t="shared" si="174"/>
        <v>37622.14834</v>
      </c>
      <c r="Z39" s="730">
        <f t="shared" si="154"/>
        <v>38338.103519999997</v>
      </c>
      <c r="AA39" s="730">
        <f t="shared" si="15"/>
        <v>38999.226360000001</v>
      </c>
      <c r="AB39" s="730">
        <f t="shared" si="15"/>
        <v>39092.468639999999</v>
      </c>
      <c r="AC39" s="730">
        <f t="shared" si="155"/>
        <v>37354.822800000002</v>
      </c>
      <c r="AD39" s="730">
        <f t="shared" si="155"/>
        <v>38318.977500000001</v>
      </c>
      <c r="AE39" s="730">
        <f t="shared" si="156"/>
        <v>40116.751559999997</v>
      </c>
      <c r="AF39" s="730">
        <f t="shared" si="156"/>
        <v>41617.109129999997</v>
      </c>
      <c r="AG39" s="730">
        <f t="shared" si="157"/>
        <v>39735.758739999997</v>
      </c>
      <c r="AH39" s="730">
        <f t="shared" si="157"/>
        <v>38233.861606875813</v>
      </c>
      <c r="AI39" s="730">
        <f t="shared" si="158"/>
        <v>41283.599381561049</v>
      </c>
      <c r="AJ39" s="730">
        <f t="shared" ref="AJ39:AK39" si="175">AJ99*AJ155/100000</f>
        <v>42000.732893857683</v>
      </c>
      <c r="AK39" s="730">
        <f t="shared" si="175"/>
        <v>42687.693743159456</v>
      </c>
      <c r="AL39" s="730">
        <f t="shared" ref="AL39:AM39" si="176">AL99*AL155/100000</f>
        <v>43106.232108542274</v>
      </c>
      <c r="AM39" s="730">
        <f t="shared" si="176"/>
        <v>44583.99449093236</v>
      </c>
      <c r="AN39" s="730">
        <f t="shared" ref="AN39" si="177">AN99*AN155/100000</f>
        <v>46061.756873322447</v>
      </c>
      <c r="AO39" s="730"/>
    </row>
    <row r="40" spans="1:41">
      <c r="A40" s="741" t="s">
        <v>209</v>
      </c>
      <c r="B40" s="765"/>
      <c r="C40" s="762">
        <f t="shared" ref="C40:Y40" si="178">C100*C156/100000</f>
        <v>14484.975399999999</v>
      </c>
      <c r="D40" s="742">
        <f t="shared" si="178"/>
        <v>16030.347750000001</v>
      </c>
      <c r="E40" s="742">
        <f t="shared" si="178"/>
        <v>15137.221600000001</v>
      </c>
      <c r="F40" s="742">
        <f t="shared" si="178"/>
        <v>15489.95825</v>
      </c>
      <c r="G40" s="742">
        <f t="shared" si="178"/>
        <v>17059.684600000001</v>
      </c>
      <c r="H40" s="762">
        <f t="shared" si="178"/>
        <v>17004.55456</v>
      </c>
      <c r="I40" s="742">
        <f t="shared" si="178"/>
        <v>17316.958119999999</v>
      </c>
      <c r="J40" s="742">
        <f t="shared" si="178"/>
        <v>17629.361680000002</v>
      </c>
      <c r="K40" s="742">
        <f t="shared" si="178"/>
        <v>17816.19126</v>
      </c>
      <c r="L40" s="742">
        <f t="shared" si="178"/>
        <v>20308.095570000001</v>
      </c>
      <c r="M40" s="762">
        <f t="shared" si="178"/>
        <v>18330.64674</v>
      </c>
      <c r="N40" s="742">
        <f t="shared" si="178"/>
        <v>17663.6096</v>
      </c>
      <c r="O40" s="742">
        <f t="shared" si="178"/>
        <v>20874.196479999999</v>
      </c>
      <c r="P40" s="742">
        <f t="shared" si="178"/>
        <v>20792.781719999999</v>
      </c>
      <c r="Q40" s="742">
        <f t="shared" si="178"/>
        <v>18171.473740000001</v>
      </c>
      <c r="R40" s="762">
        <f t="shared" si="178"/>
        <v>18437.472399999999</v>
      </c>
      <c r="S40" s="742">
        <f t="shared" si="178"/>
        <v>18254.804459999999</v>
      </c>
      <c r="T40" s="742">
        <f t="shared" si="178"/>
        <v>18407.62456</v>
      </c>
      <c r="U40" s="742">
        <f t="shared" si="178"/>
        <v>18681.990239999999</v>
      </c>
      <c r="V40" s="730">
        <f t="shared" si="178"/>
        <v>18739.94112</v>
      </c>
      <c r="W40" s="730">
        <f t="shared" si="178"/>
        <v>18161.192999999999</v>
      </c>
      <c r="X40" s="730">
        <f t="shared" si="178"/>
        <v>18370.015080000001</v>
      </c>
      <c r="Y40" s="730">
        <f t="shared" si="178"/>
        <v>18353.191719999999</v>
      </c>
      <c r="Z40" s="730">
        <f t="shared" si="154"/>
        <v>18519.84964</v>
      </c>
      <c r="AA40" s="730">
        <f t="shared" si="15"/>
        <v>18630.658019999999</v>
      </c>
      <c r="AB40" s="730">
        <f t="shared" si="15"/>
        <v>18476.1378</v>
      </c>
      <c r="AC40" s="730">
        <f t="shared" si="155"/>
        <v>17281.568879999999</v>
      </c>
      <c r="AD40" s="730">
        <f t="shared" si="155"/>
        <v>17279.048999999999</v>
      </c>
      <c r="AE40" s="730">
        <f t="shared" si="156"/>
        <v>17803.330020000001</v>
      </c>
      <c r="AF40" s="730">
        <f t="shared" si="156"/>
        <v>18316.65984</v>
      </c>
      <c r="AG40" s="730">
        <f t="shared" si="157"/>
        <v>17246.75834</v>
      </c>
      <c r="AH40" s="730">
        <f t="shared" si="157"/>
        <v>16380.425679497239</v>
      </c>
      <c r="AI40" s="730">
        <f t="shared" si="158"/>
        <v>17488.632876297266</v>
      </c>
      <c r="AJ40" s="730">
        <f t="shared" ref="AJ40:AK40" si="179">AJ100*AJ156/100000</f>
        <v>17699.508848451565</v>
      </c>
      <c r="AK40" s="730">
        <f t="shared" si="179"/>
        <v>17626.904234391586</v>
      </c>
      <c r="AL40" s="730">
        <f t="shared" ref="AL40:AM40" si="180">AL100*AL156/100000</f>
        <v>17449.830310575777</v>
      </c>
      <c r="AM40" s="730">
        <f t="shared" si="180"/>
        <v>16706.119830549396</v>
      </c>
      <c r="AN40" s="730">
        <f t="shared" ref="AN40" si="181">AN100*AN156/100000</f>
        <v>15962.409350523008</v>
      </c>
      <c r="AO40" s="730"/>
    </row>
    <row r="41" spans="1:41">
      <c r="A41" s="741" t="s">
        <v>236</v>
      </c>
      <c r="B41" s="765"/>
      <c r="C41" s="762">
        <f t="shared" ref="C41:Y41" si="182">C101*C157/100000</f>
        <v>18204.128239999998</v>
      </c>
      <c r="D41" s="742">
        <f t="shared" si="182"/>
        <v>19790.44065</v>
      </c>
      <c r="E41" s="742">
        <f t="shared" si="182"/>
        <v>18496.039199999999</v>
      </c>
      <c r="F41" s="742">
        <f t="shared" si="182"/>
        <v>18679.650000000001</v>
      </c>
      <c r="G41" s="742">
        <f t="shared" si="182"/>
        <v>20229.661899999999</v>
      </c>
      <c r="H41" s="762">
        <f t="shared" si="182"/>
        <v>20168.406299999999</v>
      </c>
      <c r="I41" s="742">
        <f t="shared" si="182"/>
        <v>20232.724679999999</v>
      </c>
      <c r="J41" s="742">
        <f t="shared" si="182"/>
        <v>20238.85024</v>
      </c>
      <c r="K41" s="742">
        <f t="shared" si="182"/>
        <v>20266.415260000002</v>
      </c>
      <c r="L41" s="742">
        <f t="shared" si="182"/>
        <v>23149.771680000002</v>
      </c>
      <c r="M41" s="762">
        <f t="shared" si="182"/>
        <v>20832.71542</v>
      </c>
      <c r="N41" s="742">
        <f t="shared" si="182"/>
        <v>20047.469000000001</v>
      </c>
      <c r="O41" s="742">
        <f t="shared" si="182"/>
        <v>23504.742300000002</v>
      </c>
      <c r="P41" s="742">
        <f t="shared" si="182"/>
        <v>23398.040519999999</v>
      </c>
      <c r="Q41" s="742">
        <f t="shared" si="182"/>
        <v>20315.419740000001</v>
      </c>
      <c r="R41" s="762">
        <f t="shared" si="182"/>
        <v>20370.011999999999</v>
      </c>
      <c r="S41" s="742">
        <f t="shared" si="182"/>
        <v>20507.76108</v>
      </c>
      <c r="T41" s="742">
        <f t="shared" si="182"/>
        <v>20503.75648</v>
      </c>
      <c r="U41" s="742">
        <f t="shared" si="182"/>
        <v>20455.910960000001</v>
      </c>
      <c r="V41" s="730">
        <f t="shared" si="182"/>
        <v>20310.935519999999</v>
      </c>
      <c r="W41" s="730">
        <f t="shared" si="182"/>
        <v>19494.6639</v>
      </c>
      <c r="X41" s="730">
        <f t="shared" si="182"/>
        <v>19708.352640000001</v>
      </c>
      <c r="Y41" s="730">
        <f t="shared" si="182"/>
        <v>19736.3125</v>
      </c>
      <c r="Z41" s="730">
        <f t="shared" si="154"/>
        <v>19837.44212</v>
      </c>
      <c r="AA41" s="730">
        <f t="shared" si="15"/>
        <v>19947.060239999999</v>
      </c>
      <c r="AB41" s="730">
        <f t="shared" si="15"/>
        <v>19746.675360000001</v>
      </c>
      <c r="AC41" s="730">
        <f t="shared" si="155"/>
        <v>18448.3344</v>
      </c>
      <c r="AD41" s="730">
        <f t="shared" si="155"/>
        <v>18492.534749999999</v>
      </c>
      <c r="AE41" s="730">
        <f t="shared" si="156"/>
        <v>19052.574120000001</v>
      </c>
      <c r="AF41" s="730">
        <f t="shared" si="156"/>
        <v>19527.24368</v>
      </c>
      <c r="AG41" s="730">
        <f t="shared" si="157"/>
        <v>18461.538140000001</v>
      </c>
      <c r="AH41" s="730">
        <f t="shared" si="157"/>
        <v>17514.820641347847</v>
      </c>
      <c r="AI41" s="730">
        <f t="shared" si="158"/>
        <v>18721.927960994348</v>
      </c>
      <c r="AJ41" s="730">
        <f t="shared" ref="AJ41:AK41" si="183">AJ101*AJ157/100000</f>
        <v>18813.128280608707</v>
      </c>
      <c r="AK41" s="730">
        <f t="shared" si="183"/>
        <v>18673.250147848619</v>
      </c>
      <c r="AL41" s="730">
        <f t="shared" ref="AL41:AM41" si="184">AL101*AL157/100000</f>
        <v>18463.980965157214</v>
      </c>
      <c r="AM41" s="730">
        <f t="shared" si="184"/>
        <v>17633.343286166706</v>
      </c>
      <c r="AN41" s="730">
        <f t="shared" ref="AN41" si="185">AN101*AN157/100000</f>
        <v>16802.705607176198</v>
      </c>
      <c r="AO41" s="730"/>
    </row>
    <row r="42" spans="1:41">
      <c r="A42" s="770" t="s">
        <v>210</v>
      </c>
      <c r="B42" s="771"/>
      <c r="C42" s="762">
        <f>SUM(C43:C47)</f>
        <v>158612.91534000001</v>
      </c>
      <c r="D42" s="742">
        <f t="shared" ref="D42:T42" si="186">SUM(D43:D47)</f>
        <v>174088.98414000002</v>
      </c>
      <c r="E42" s="742">
        <f t="shared" si="186"/>
        <v>194233.50736999998</v>
      </c>
      <c r="F42" s="742">
        <f t="shared" si="186"/>
        <v>197149.51475999999</v>
      </c>
      <c r="G42" s="742">
        <f t="shared" si="186"/>
        <v>215588.92410999999</v>
      </c>
      <c r="H42" s="762">
        <f t="shared" si="186"/>
        <v>218083.46510999996</v>
      </c>
      <c r="I42" s="742">
        <f t="shared" si="186"/>
        <v>220627.89692999999</v>
      </c>
      <c r="J42" s="742">
        <f t="shared" si="186"/>
        <v>222673.42054999998</v>
      </c>
      <c r="K42" s="742">
        <f t="shared" si="186"/>
        <v>224366.14480000004</v>
      </c>
      <c r="L42" s="742">
        <f t="shared" si="186"/>
        <v>221899.54639999999</v>
      </c>
      <c r="M42" s="762">
        <f t="shared" si="186"/>
        <v>199388.89538999999</v>
      </c>
      <c r="N42" s="742">
        <f t="shared" si="186"/>
        <v>193110.03518999997</v>
      </c>
      <c r="O42" s="742">
        <f t="shared" si="186"/>
        <v>261270.20804999999</v>
      </c>
      <c r="P42" s="742">
        <f t="shared" si="186"/>
        <v>259290.7623</v>
      </c>
      <c r="Q42" s="742">
        <f t="shared" si="186"/>
        <v>226661.12252</v>
      </c>
      <c r="R42" s="762">
        <f t="shared" si="186"/>
        <v>225289.56472000002</v>
      </c>
      <c r="S42" s="742">
        <f t="shared" si="186"/>
        <v>220021.12647000002</v>
      </c>
      <c r="T42" s="742">
        <f t="shared" si="186"/>
        <v>218316.82137999995</v>
      </c>
      <c r="U42" s="742">
        <f t="shared" ref="U42:AA42" si="187">SUM(U43:U47)</f>
        <v>215625.36473999999</v>
      </c>
      <c r="V42" s="730">
        <f t="shared" si="187"/>
        <v>213567.92835999999</v>
      </c>
      <c r="W42" s="730">
        <f t="shared" si="187"/>
        <v>204177.68219999998</v>
      </c>
      <c r="X42" s="730">
        <f t="shared" si="187"/>
        <v>205135.97602</v>
      </c>
      <c r="Y42" s="730">
        <f t="shared" si="187"/>
        <v>208410.94886</v>
      </c>
      <c r="Z42" s="730">
        <f t="shared" si="187"/>
        <v>210839.59703999999</v>
      </c>
      <c r="AA42" s="730">
        <f t="shared" si="187"/>
        <v>214710.75717999999</v>
      </c>
      <c r="AB42" s="730">
        <f t="shared" ref="AB42:AG42" si="188">SUM(AB43:AB47)</f>
        <v>214325.00263</v>
      </c>
      <c r="AC42" s="730">
        <f t="shared" si="188"/>
        <v>205554.08108999999</v>
      </c>
      <c r="AD42" s="730">
        <f t="shared" si="188"/>
        <v>201850.37023</v>
      </c>
      <c r="AE42" s="730">
        <f t="shared" si="188"/>
        <v>209871.08348999996</v>
      </c>
      <c r="AF42" s="730">
        <f t="shared" si="188"/>
        <v>215498.39892000001</v>
      </c>
      <c r="AG42" s="730">
        <f t="shared" si="188"/>
        <v>200721.25539999999</v>
      </c>
      <c r="AH42" s="730">
        <f t="shared" ref="AH42:AM42" si="189">SUM(AH43:AH47)</f>
        <v>195491.95672819731</v>
      </c>
      <c r="AI42" s="730">
        <f t="shared" si="189"/>
        <v>208120.75176497613</v>
      </c>
      <c r="AJ42" s="730">
        <f t="shared" si="189"/>
        <v>210633.34415830771</v>
      </c>
      <c r="AK42" s="730">
        <f t="shared" si="189"/>
        <v>207438.29379262755</v>
      </c>
      <c r="AL42" s="730">
        <f t="shared" si="189"/>
        <v>206098.32739605269</v>
      </c>
      <c r="AM42" s="730">
        <f t="shared" si="189"/>
        <v>199668.95687812995</v>
      </c>
      <c r="AN42" s="730">
        <f t="shared" ref="AN42" si="190">SUM(AN43:AN47)</f>
        <v>193239.58636020718</v>
      </c>
      <c r="AO42" s="730"/>
    </row>
    <row r="43" spans="1:41">
      <c r="A43" s="741" t="s">
        <v>221</v>
      </c>
      <c r="B43" s="765"/>
      <c r="C43" s="762">
        <f t="shared" ref="C43:Y43" si="191">C103*C159/100000</f>
        <v>71697.680009999996</v>
      </c>
      <c r="D43" s="742">
        <f t="shared" si="191"/>
        <v>79111.742190000004</v>
      </c>
      <c r="E43" s="742">
        <f t="shared" si="191"/>
        <v>88298.985879999993</v>
      </c>
      <c r="F43" s="742">
        <f t="shared" si="191"/>
        <v>89844.828810000006</v>
      </c>
      <c r="G43" s="742">
        <f t="shared" si="191"/>
        <v>98684.041960000002</v>
      </c>
      <c r="H43" s="762">
        <f t="shared" si="191"/>
        <v>100248.47553</v>
      </c>
      <c r="I43" s="742">
        <f t="shared" si="191"/>
        <v>101713.12746</v>
      </c>
      <c r="J43" s="742">
        <f t="shared" si="191"/>
        <v>102800.03461</v>
      </c>
      <c r="K43" s="742">
        <f t="shared" si="191"/>
        <v>103865.55998000001</v>
      </c>
      <c r="L43" s="742">
        <f t="shared" si="191"/>
        <v>103084.40211</v>
      </c>
      <c r="M43" s="762">
        <f t="shared" si="191"/>
        <v>92934.773369999995</v>
      </c>
      <c r="N43" s="742">
        <f t="shared" si="191"/>
        <v>90266.780310000002</v>
      </c>
      <c r="O43" s="742">
        <f t="shared" si="191"/>
        <v>122197.51880000001</v>
      </c>
      <c r="P43" s="742">
        <f t="shared" si="191"/>
        <v>121669.7877</v>
      </c>
      <c r="Q43" s="742">
        <f t="shared" si="191"/>
        <v>106705.77309</v>
      </c>
      <c r="R43" s="762">
        <f t="shared" si="191"/>
        <v>105989.20406</v>
      </c>
      <c r="S43" s="742">
        <f t="shared" si="191"/>
        <v>103826.08971</v>
      </c>
      <c r="T43" s="742">
        <f t="shared" si="191"/>
        <v>103179.50566</v>
      </c>
      <c r="U43" s="742">
        <f t="shared" si="191"/>
        <v>102171.9231</v>
      </c>
      <c r="V43" s="730">
        <f t="shared" si="191"/>
        <v>101791.6152</v>
      </c>
      <c r="W43" s="730">
        <f t="shared" si="191"/>
        <v>95779.106039999999</v>
      </c>
      <c r="X43" s="730">
        <f t="shared" si="191"/>
        <v>95846.247900000002</v>
      </c>
      <c r="Y43" s="730">
        <f t="shared" si="191"/>
        <v>98801.048460000005</v>
      </c>
      <c r="Z43" s="730">
        <f>Z103*Z159/100000</f>
        <v>100274.42976</v>
      </c>
      <c r="AA43" s="730">
        <f t="shared" si="15"/>
        <v>103406.16364</v>
      </c>
      <c r="AB43" s="730">
        <f t="shared" si="15"/>
        <v>103759.29111000001</v>
      </c>
      <c r="AC43" s="730">
        <f t="shared" ref="AC43:AD47" si="192">AC103*AC159/100000</f>
        <v>101404.31613000001</v>
      </c>
      <c r="AD43" s="730">
        <f t="shared" si="192"/>
        <v>97297.421759999997</v>
      </c>
      <c r="AE43" s="730">
        <f t="shared" ref="AE43:AF47" si="193">AE103*AE159/100000</f>
        <v>102375.88428</v>
      </c>
      <c r="AF43" s="730">
        <f t="shared" si="193"/>
        <v>106091.35992</v>
      </c>
      <c r="AG43" s="730">
        <f t="shared" ref="AG43:AH47" si="194">AG103*AG159/100000</f>
        <v>97899.996599999999</v>
      </c>
      <c r="AH43" s="730">
        <f t="shared" si="194"/>
        <v>97956.681736310595</v>
      </c>
      <c r="AI43" s="730">
        <f t="shared" ref="AI43:AI47" si="195">AI103*AI159/100000</f>
        <v>103917.09103282915</v>
      </c>
      <c r="AJ43" s="730">
        <f t="shared" ref="AJ43:AK43" si="196">AJ103*AJ159/100000</f>
        <v>106243.49817738032</v>
      </c>
      <c r="AK43" s="730">
        <f t="shared" si="196"/>
        <v>102919.92309157464</v>
      </c>
      <c r="AL43" s="730">
        <f t="shared" ref="AL43:AM43" si="197">AL103*AL159/100000</f>
        <v>102530.72305641172</v>
      </c>
      <c r="AM43" s="730">
        <f t="shared" si="197"/>
        <v>100286.11250879109</v>
      </c>
      <c r="AN43" s="730">
        <f t="shared" ref="AN43" si="198">AN103*AN159/100000</f>
        <v>98041.501961170419</v>
      </c>
      <c r="AO43" s="730"/>
    </row>
    <row r="44" spans="1:41">
      <c r="A44" s="741" t="s">
        <v>218</v>
      </c>
      <c r="B44" s="765"/>
      <c r="C44" s="762">
        <f t="shared" ref="C44:Y44" si="199">C104*C160/100000</f>
        <v>24418.048050000001</v>
      </c>
      <c r="D44" s="742">
        <f t="shared" si="199"/>
        <v>26679.930390000001</v>
      </c>
      <c r="E44" s="742">
        <f t="shared" si="199"/>
        <v>29638.453600000001</v>
      </c>
      <c r="F44" s="742">
        <f t="shared" si="199"/>
        <v>30151.34892</v>
      </c>
      <c r="G44" s="742">
        <f t="shared" si="199"/>
        <v>32956.450239999998</v>
      </c>
      <c r="H44" s="762">
        <f t="shared" si="199"/>
        <v>32970.704760000001</v>
      </c>
      <c r="I44" s="742">
        <f t="shared" si="199"/>
        <v>33409.03125</v>
      </c>
      <c r="J44" s="742">
        <f t="shared" si="199"/>
        <v>33711.9398</v>
      </c>
      <c r="K44" s="742">
        <f t="shared" si="199"/>
        <v>33768.957880000002</v>
      </c>
      <c r="L44" s="742">
        <f t="shared" si="199"/>
        <v>33327.01152</v>
      </c>
      <c r="M44" s="762">
        <f t="shared" si="199"/>
        <v>29611.991460000001</v>
      </c>
      <c r="N44" s="742">
        <f t="shared" si="199"/>
        <v>28539.984090000002</v>
      </c>
      <c r="O44" s="742">
        <f t="shared" si="199"/>
        <v>38568.282500000001</v>
      </c>
      <c r="P44" s="742">
        <f t="shared" si="199"/>
        <v>38177.982000000004</v>
      </c>
      <c r="Q44" s="742">
        <f t="shared" si="199"/>
        <v>33280.740570000002</v>
      </c>
      <c r="R44" s="762">
        <f t="shared" si="199"/>
        <v>33052.517419999996</v>
      </c>
      <c r="S44" s="742">
        <f t="shared" si="199"/>
        <v>32173.17957</v>
      </c>
      <c r="T44" s="742">
        <f t="shared" si="199"/>
        <v>31772.922159999998</v>
      </c>
      <c r="U44" s="742">
        <f t="shared" si="199"/>
        <v>31308.505560000001</v>
      </c>
      <c r="V44" s="730">
        <f t="shared" si="199"/>
        <v>30882.82502</v>
      </c>
      <c r="W44" s="730">
        <f t="shared" si="199"/>
        <v>30217.420239999999</v>
      </c>
      <c r="X44" s="730">
        <f t="shared" si="199"/>
        <v>30277.372520000001</v>
      </c>
      <c r="Y44" s="730">
        <f t="shared" si="199"/>
        <v>30242.612400000002</v>
      </c>
      <c r="Z44" s="730">
        <f>Z104*Z160/100000</f>
        <v>30417.656999999999</v>
      </c>
      <c r="AA44" s="730">
        <f t="shared" si="15"/>
        <v>30640.12672</v>
      </c>
      <c r="AB44" s="730">
        <f t="shared" si="15"/>
        <v>30359.22868</v>
      </c>
      <c r="AC44" s="730">
        <f t="shared" si="192"/>
        <v>28567.281760000002</v>
      </c>
      <c r="AD44" s="730">
        <f t="shared" si="192"/>
        <v>28659.960920000001</v>
      </c>
      <c r="AE44" s="730">
        <f t="shared" si="193"/>
        <v>29320.63869</v>
      </c>
      <c r="AF44" s="730">
        <f t="shared" si="193"/>
        <v>29895.655999999999</v>
      </c>
      <c r="AG44" s="730">
        <f t="shared" si="194"/>
        <v>28159.354800000001</v>
      </c>
      <c r="AH44" s="730">
        <f t="shared" si="194"/>
        <v>26709.059191681263</v>
      </c>
      <c r="AI44" s="730">
        <f t="shared" si="195"/>
        <v>28417.311561730588</v>
      </c>
      <c r="AJ44" s="730">
        <f t="shared" ref="AJ44:AK44" si="200">AJ104*AJ160/100000</f>
        <v>28336.702500389834</v>
      </c>
      <c r="AK44" s="730">
        <f t="shared" si="200"/>
        <v>28179.465770168666</v>
      </c>
      <c r="AL44" s="730">
        <f t="shared" ref="AL44:AM44" si="201">AL104*AL160/100000</f>
        <v>27929.629354031229</v>
      </c>
      <c r="AM44" s="730">
        <f t="shared" si="201"/>
        <v>26680.447273344034</v>
      </c>
      <c r="AN44" s="730">
        <f t="shared" ref="AN44" si="202">AN104*AN160/100000</f>
        <v>25431.265192656836</v>
      </c>
      <c r="AO44" s="730"/>
    </row>
    <row r="45" spans="1:41">
      <c r="A45" s="741" t="s">
        <v>222</v>
      </c>
      <c r="B45" s="765"/>
      <c r="C45" s="762">
        <f t="shared" ref="C45:Y45" si="203">C105*C161/100000</f>
        <v>29025.07344</v>
      </c>
      <c r="D45" s="742">
        <f t="shared" si="203"/>
        <v>31828.533329999998</v>
      </c>
      <c r="E45" s="742">
        <f t="shared" si="203"/>
        <v>35798.924209999997</v>
      </c>
      <c r="F45" s="742">
        <f t="shared" si="203"/>
        <v>36302.803679999997</v>
      </c>
      <c r="G45" s="742">
        <f t="shared" si="203"/>
        <v>39606.183819999998</v>
      </c>
      <c r="H45" s="762">
        <f t="shared" si="203"/>
        <v>40664.58193</v>
      </c>
      <c r="I45" s="742">
        <f t="shared" si="203"/>
        <v>40974.617740000002</v>
      </c>
      <c r="J45" s="742">
        <f t="shared" si="203"/>
        <v>41541.234909999999</v>
      </c>
      <c r="K45" s="742">
        <f t="shared" si="203"/>
        <v>41990.252289999997</v>
      </c>
      <c r="L45" s="742">
        <f t="shared" si="203"/>
        <v>41525.512459999998</v>
      </c>
      <c r="M45" s="762">
        <f t="shared" si="203"/>
        <v>37214.037450000003</v>
      </c>
      <c r="N45" s="742">
        <f t="shared" si="203"/>
        <v>36126.329339999997</v>
      </c>
      <c r="O45" s="742">
        <f t="shared" si="203"/>
        <v>49025.030749999998</v>
      </c>
      <c r="P45" s="742">
        <f t="shared" si="203"/>
        <v>48627.770850000001</v>
      </c>
      <c r="Q45" s="742">
        <f t="shared" si="203"/>
        <v>42542.614939999999</v>
      </c>
      <c r="R45" s="762">
        <f t="shared" si="203"/>
        <v>42490.05702</v>
      </c>
      <c r="S45" s="742">
        <f t="shared" si="203"/>
        <v>41616.02691</v>
      </c>
      <c r="T45" s="742">
        <f t="shared" si="203"/>
        <v>41376.291319999997</v>
      </c>
      <c r="U45" s="742">
        <f t="shared" si="203"/>
        <v>40787.289720000001</v>
      </c>
      <c r="V45" s="730">
        <f t="shared" si="203"/>
        <v>40190.253340000003</v>
      </c>
      <c r="W45" s="730">
        <f t="shared" si="203"/>
        <v>38863.830600000001</v>
      </c>
      <c r="X45" s="730">
        <f t="shared" si="203"/>
        <v>39364.30012</v>
      </c>
      <c r="Y45" s="730">
        <f t="shared" si="203"/>
        <v>39435.195800000001</v>
      </c>
      <c r="Z45" s="730">
        <f>Z105*Z161/100000</f>
        <v>39885.906719999999</v>
      </c>
      <c r="AA45" s="730">
        <f t="shared" si="15"/>
        <v>40299.035279999996</v>
      </c>
      <c r="AB45" s="730">
        <f t="shared" si="15"/>
        <v>40070.14</v>
      </c>
      <c r="AC45" s="730">
        <f t="shared" si="192"/>
        <v>38074.346720000001</v>
      </c>
      <c r="AD45" s="730">
        <f t="shared" si="192"/>
        <v>38350.834840000003</v>
      </c>
      <c r="AE45" s="730">
        <f t="shared" si="193"/>
        <v>39743.222959999999</v>
      </c>
      <c r="AF45" s="730">
        <f t="shared" si="193"/>
        <v>40567.610999999997</v>
      </c>
      <c r="AG45" s="730">
        <f t="shared" si="194"/>
        <v>38267.582900000001</v>
      </c>
      <c r="AH45" s="730">
        <f t="shared" si="194"/>
        <v>36346.084623215385</v>
      </c>
      <c r="AI45" s="730">
        <f t="shared" si="195"/>
        <v>39057.95890479692</v>
      </c>
      <c r="AJ45" s="730">
        <f t="shared" ref="AJ45:AK45" si="204">AJ105*AJ161/100000</f>
        <v>39207.842505407942</v>
      </c>
      <c r="AK45" s="730">
        <f t="shared" si="204"/>
        <v>39363.115342543206</v>
      </c>
      <c r="AL45" s="730">
        <f t="shared" ref="AL45:AM45" si="205">AL105*AL161/100000</f>
        <v>39137.568577974685</v>
      </c>
      <c r="AM45" s="730">
        <f t="shared" si="205"/>
        <v>37950.845601321853</v>
      </c>
      <c r="AN45" s="730">
        <f t="shared" ref="AN45" si="206">AN105*AN161/100000</f>
        <v>36764.122624669013</v>
      </c>
      <c r="AO45" s="730"/>
    </row>
    <row r="46" spans="1:41">
      <c r="A46" s="741" t="s">
        <v>220</v>
      </c>
      <c r="B46" s="765"/>
      <c r="C46" s="762">
        <f t="shared" ref="C46:Y46" si="207">C106*C162/100000</f>
        <v>18528.431130000001</v>
      </c>
      <c r="D46" s="742">
        <f t="shared" si="207"/>
        <v>20171.76525</v>
      </c>
      <c r="E46" s="742">
        <f t="shared" si="207"/>
        <v>22363.26239</v>
      </c>
      <c r="F46" s="742">
        <f t="shared" si="207"/>
        <v>22521.30573</v>
      </c>
      <c r="G46" s="742">
        <f t="shared" si="207"/>
        <v>24400.174609999998</v>
      </c>
      <c r="H46" s="762">
        <f t="shared" si="207"/>
        <v>24289.702079999999</v>
      </c>
      <c r="I46" s="742">
        <f t="shared" si="207"/>
        <v>24496.392619999999</v>
      </c>
      <c r="J46" s="742">
        <f t="shared" si="207"/>
        <v>24539.156180000002</v>
      </c>
      <c r="K46" s="742">
        <f t="shared" si="207"/>
        <v>24603.301520000001</v>
      </c>
      <c r="L46" s="742">
        <f t="shared" si="207"/>
        <v>24167.693960000001</v>
      </c>
      <c r="M46" s="762">
        <f t="shared" si="207"/>
        <v>21904.84806</v>
      </c>
      <c r="N46" s="742">
        <f t="shared" si="207"/>
        <v>21100.767960000001</v>
      </c>
      <c r="O46" s="742">
        <f t="shared" si="207"/>
        <v>28379.655999999999</v>
      </c>
      <c r="P46" s="742">
        <f t="shared" si="207"/>
        <v>28023.130349999999</v>
      </c>
      <c r="Q46" s="742">
        <f t="shared" si="207"/>
        <v>24232.684000000001</v>
      </c>
      <c r="R46" s="762">
        <f t="shared" si="207"/>
        <v>23886.131010000001</v>
      </c>
      <c r="S46" s="742">
        <f t="shared" si="207"/>
        <v>23050.428749999999</v>
      </c>
      <c r="T46" s="742">
        <f t="shared" si="207"/>
        <v>22881.040980000002</v>
      </c>
      <c r="U46" s="742">
        <f t="shared" si="207"/>
        <v>22498.532459999999</v>
      </c>
      <c r="V46" s="730">
        <f t="shared" si="207"/>
        <v>22158.787380000002</v>
      </c>
      <c r="W46" s="730">
        <f t="shared" si="207"/>
        <v>21504.319479999998</v>
      </c>
      <c r="X46" s="730">
        <f t="shared" si="207"/>
        <v>21616.077959999999</v>
      </c>
      <c r="Y46" s="730">
        <f t="shared" si="207"/>
        <v>21662.641</v>
      </c>
      <c r="Z46" s="730">
        <f>Z106*Z162/100000</f>
        <v>21811.097280000002</v>
      </c>
      <c r="AA46" s="730">
        <f t="shared" si="15"/>
        <v>21816.413219999999</v>
      </c>
      <c r="AB46" s="730">
        <f t="shared" si="15"/>
        <v>21700.594079999999</v>
      </c>
      <c r="AC46" s="730">
        <f t="shared" si="192"/>
        <v>20340.773679999998</v>
      </c>
      <c r="AD46" s="730">
        <f t="shared" si="192"/>
        <v>20390.10457</v>
      </c>
      <c r="AE46" s="730">
        <f t="shared" si="193"/>
        <v>20948.738440000001</v>
      </c>
      <c r="AF46" s="730">
        <f t="shared" si="193"/>
        <v>21159.544000000002</v>
      </c>
      <c r="AG46" s="730">
        <f t="shared" si="194"/>
        <v>19847.175200000001</v>
      </c>
      <c r="AH46" s="730">
        <f t="shared" si="194"/>
        <v>18793.95992493138</v>
      </c>
      <c r="AI46" s="730">
        <f t="shared" si="195"/>
        <v>19955.496063541974</v>
      </c>
      <c r="AJ46" s="730">
        <f t="shared" ref="AJ46:AK46" si="208">AJ106*AJ162/100000</f>
        <v>20021.246106957518</v>
      </c>
      <c r="AK46" s="730">
        <f t="shared" si="208"/>
        <v>20066.722146150154</v>
      </c>
      <c r="AL46" s="730">
        <f t="shared" ref="AL46:AM46" si="209">AL106*AL162/100000</f>
        <v>19709.317273064651</v>
      </c>
      <c r="AM46" s="730">
        <f t="shared" si="209"/>
        <v>18543.413997756601</v>
      </c>
      <c r="AN46" s="730">
        <f t="shared" ref="AN46" si="210">AN106*AN162/100000</f>
        <v>17377.510722448551</v>
      </c>
      <c r="AO46" s="730"/>
    </row>
    <row r="47" spans="1:41">
      <c r="A47" s="741" t="s">
        <v>237</v>
      </c>
      <c r="B47" s="765"/>
      <c r="C47" s="762">
        <f t="shared" ref="C47:Y47" si="211">C107*C163/100000</f>
        <v>14943.682709999999</v>
      </c>
      <c r="D47" s="742">
        <f t="shared" si="211"/>
        <v>16297.01298</v>
      </c>
      <c r="E47" s="742">
        <f t="shared" si="211"/>
        <v>18133.881290000001</v>
      </c>
      <c r="F47" s="742">
        <f t="shared" si="211"/>
        <v>18329.227620000001</v>
      </c>
      <c r="G47" s="742">
        <f t="shared" si="211"/>
        <v>19942.073479999999</v>
      </c>
      <c r="H47" s="762">
        <f t="shared" si="211"/>
        <v>19910.000810000001</v>
      </c>
      <c r="I47" s="742">
        <f t="shared" si="211"/>
        <v>20034.727859999999</v>
      </c>
      <c r="J47" s="742">
        <f t="shared" si="211"/>
        <v>20081.055049999999</v>
      </c>
      <c r="K47" s="742">
        <f t="shared" si="211"/>
        <v>20138.073130000001</v>
      </c>
      <c r="L47" s="742">
        <f t="shared" si="211"/>
        <v>19794.926350000002</v>
      </c>
      <c r="M47" s="762">
        <f t="shared" si="211"/>
        <v>17723.245050000001</v>
      </c>
      <c r="N47" s="742">
        <f t="shared" si="211"/>
        <v>17076.173490000001</v>
      </c>
      <c r="O47" s="742">
        <f t="shared" si="211"/>
        <v>23099.72</v>
      </c>
      <c r="P47" s="742">
        <f t="shared" si="211"/>
        <v>22792.091400000001</v>
      </c>
      <c r="Q47" s="742">
        <f t="shared" si="211"/>
        <v>19899.30992</v>
      </c>
      <c r="R47" s="762">
        <f t="shared" si="211"/>
        <v>19871.655210000001</v>
      </c>
      <c r="S47" s="742">
        <f t="shared" si="211"/>
        <v>19355.401529999999</v>
      </c>
      <c r="T47" s="742">
        <f t="shared" si="211"/>
        <v>19107.061259999999</v>
      </c>
      <c r="U47" s="742">
        <f t="shared" si="211"/>
        <v>18859.1139</v>
      </c>
      <c r="V47" s="730">
        <f t="shared" si="211"/>
        <v>18544.44742</v>
      </c>
      <c r="W47" s="730">
        <f t="shared" si="211"/>
        <v>17813.005840000002</v>
      </c>
      <c r="X47" s="730">
        <f t="shared" si="211"/>
        <v>18031.97752</v>
      </c>
      <c r="Y47" s="730">
        <f t="shared" si="211"/>
        <v>18269.4512</v>
      </c>
      <c r="Z47" s="730">
        <f>Z107*Z163/100000</f>
        <v>18450.506280000001</v>
      </c>
      <c r="AA47" s="730">
        <f t="shared" si="15"/>
        <v>18549.018319999999</v>
      </c>
      <c r="AB47" s="730">
        <f t="shared" si="15"/>
        <v>18435.748759999999</v>
      </c>
      <c r="AC47" s="730">
        <f t="shared" si="192"/>
        <v>17167.362799999999</v>
      </c>
      <c r="AD47" s="730">
        <f t="shared" si="192"/>
        <v>17152.048139999999</v>
      </c>
      <c r="AE47" s="730">
        <f t="shared" si="193"/>
        <v>17482.599119999999</v>
      </c>
      <c r="AF47" s="730">
        <f t="shared" si="193"/>
        <v>17784.227999999999</v>
      </c>
      <c r="AG47" s="730">
        <f t="shared" si="194"/>
        <v>16547.1459</v>
      </c>
      <c r="AH47" s="730">
        <f t="shared" si="194"/>
        <v>15686.171252058701</v>
      </c>
      <c r="AI47" s="730">
        <f t="shared" si="195"/>
        <v>16772.894202077514</v>
      </c>
      <c r="AJ47" s="730">
        <f t="shared" ref="AJ47:AK47" si="212">AJ107*AJ163/100000</f>
        <v>16824.054868172054</v>
      </c>
      <c r="AK47" s="730">
        <f t="shared" si="212"/>
        <v>16909.067442190855</v>
      </c>
      <c r="AL47" s="730">
        <f t="shared" ref="AL47:AM47" si="213">AL107*AL163/100000</f>
        <v>16791.089134570397</v>
      </c>
      <c r="AM47" s="730">
        <f t="shared" si="213"/>
        <v>16208.13749691637</v>
      </c>
      <c r="AN47" s="730">
        <f t="shared" ref="AN47" si="214">AN107*AN163/100000</f>
        <v>15625.185859262347</v>
      </c>
      <c r="AO47" s="730"/>
    </row>
    <row r="48" spans="1:41">
      <c r="A48" s="772" t="s">
        <v>211</v>
      </c>
      <c r="B48" s="773"/>
      <c r="C48" s="762">
        <f>SUM(C49:C50)</f>
        <v>85589.258040000001</v>
      </c>
      <c r="D48" s="742">
        <f t="shared" ref="D48:T48" si="215">SUM(D49:D50)</f>
        <v>95054.086769999994</v>
      </c>
      <c r="E48" s="742">
        <f t="shared" si="215"/>
        <v>107504.96610000001</v>
      </c>
      <c r="F48" s="742">
        <f t="shared" si="215"/>
        <v>109771.19538</v>
      </c>
      <c r="G48" s="742">
        <f t="shared" si="215"/>
        <v>120653.82090999999</v>
      </c>
      <c r="H48" s="762">
        <f t="shared" si="215"/>
        <v>122093.52743</v>
      </c>
      <c r="I48" s="742">
        <f t="shared" si="215"/>
        <v>124032.14215</v>
      </c>
      <c r="J48" s="742">
        <f t="shared" si="215"/>
        <v>126327.11986999999</v>
      </c>
      <c r="K48" s="742">
        <f t="shared" si="215"/>
        <v>127920.06247999999</v>
      </c>
      <c r="L48" s="742">
        <f t="shared" si="215"/>
        <v>127490.54690999999</v>
      </c>
      <c r="M48" s="762">
        <f t="shared" si="215"/>
        <v>115779.12858</v>
      </c>
      <c r="N48" s="742">
        <f t="shared" si="215"/>
        <v>112823.51352000001</v>
      </c>
      <c r="O48" s="742">
        <f t="shared" si="215"/>
        <v>152718.02385</v>
      </c>
      <c r="P48" s="742">
        <f t="shared" si="215"/>
        <v>152695.54259999999</v>
      </c>
      <c r="Q48" s="742">
        <f t="shared" si="215"/>
        <v>134135.03320000001</v>
      </c>
      <c r="R48" s="762">
        <f t="shared" si="215"/>
        <v>134030.66967</v>
      </c>
      <c r="S48" s="742">
        <f t="shared" si="215"/>
        <v>131538.79386000001</v>
      </c>
      <c r="T48" s="742">
        <f t="shared" si="215"/>
        <v>130614.75714</v>
      </c>
      <c r="U48" s="742">
        <f t="shared" ref="U48:AA48" si="216">SUM(U49:U50)</f>
        <v>129949.64945999999</v>
      </c>
      <c r="V48" s="730">
        <f t="shared" si="216"/>
        <v>128902.51772</v>
      </c>
      <c r="W48" s="730">
        <f t="shared" si="216"/>
        <v>126054.85956000001</v>
      </c>
      <c r="X48" s="730">
        <f t="shared" si="216"/>
        <v>128385.78823999999</v>
      </c>
      <c r="Y48" s="730">
        <f t="shared" si="216"/>
        <v>129720.59100000001</v>
      </c>
      <c r="Z48" s="730">
        <f t="shared" si="216"/>
        <v>131235.38699999999</v>
      </c>
      <c r="AA48" s="730">
        <f t="shared" si="216"/>
        <v>132974.23608</v>
      </c>
      <c r="AB48" s="730">
        <f t="shared" ref="AB48:AG48" si="217">SUM(AB49:AB50)</f>
        <v>132862.13115999999</v>
      </c>
      <c r="AC48" s="730">
        <f t="shared" si="217"/>
        <v>125879.72888000001</v>
      </c>
      <c r="AD48" s="730">
        <f t="shared" si="217"/>
        <v>127538.82284000001</v>
      </c>
      <c r="AE48" s="730">
        <f t="shared" si="217"/>
        <v>132831.84908000001</v>
      </c>
      <c r="AF48" s="730">
        <f t="shared" si="217"/>
        <v>137125.758</v>
      </c>
      <c r="AG48" s="730">
        <f t="shared" si="217"/>
        <v>127955.59388</v>
      </c>
      <c r="AH48" s="730">
        <f t="shared" ref="AH48:AM48" si="218">SUM(AH49:AH50)</f>
        <v>125177.35208645527</v>
      </c>
      <c r="AI48" s="730">
        <f t="shared" si="218"/>
        <v>134182.85392163048</v>
      </c>
      <c r="AJ48" s="730">
        <f t="shared" si="218"/>
        <v>137198.59271697048</v>
      </c>
      <c r="AK48" s="730">
        <f t="shared" si="218"/>
        <v>135316.69972408886</v>
      </c>
      <c r="AL48" s="730">
        <f t="shared" si="218"/>
        <v>135471.19070714863</v>
      </c>
      <c r="AM48" s="730">
        <f t="shared" si="218"/>
        <v>136023.07254849485</v>
      </c>
      <c r="AN48" s="730">
        <f t="shared" ref="AN48" si="219">SUM(AN49:AN50)</f>
        <v>136574.95438984106</v>
      </c>
      <c r="AO48" s="730"/>
    </row>
    <row r="49" spans="1:64">
      <c r="A49" s="741" t="s">
        <v>1144</v>
      </c>
      <c r="B49" s="765"/>
      <c r="C49" s="762">
        <f t="shared" ref="C49:Y49" si="220">C109*C165/100000</f>
        <v>32064.788250000001</v>
      </c>
      <c r="D49" s="742">
        <f t="shared" si="220"/>
        <v>35818.552830000001</v>
      </c>
      <c r="E49" s="742">
        <f t="shared" si="220"/>
        <v>40756.152289999998</v>
      </c>
      <c r="F49" s="742">
        <f t="shared" si="220"/>
        <v>41802.230580000003</v>
      </c>
      <c r="G49" s="742">
        <f t="shared" si="220"/>
        <v>46198.899319999997</v>
      </c>
      <c r="H49" s="762">
        <f t="shared" si="220"/>
        <v>47139.697639999999</v>
      </c>
      <c r="I49" s="742">
        <f t="shared" si="220"/>
        <v>48183.841229999998</v>
      </c>
      <c r="J49" s="742">
        <f t="shared" si="220"/>
        <v>49530.893369999998</v>
      </c>
      <c r="K49" s="742">
        <f t="shared" si="220"/>
        <v>50582.164219999999</v>
      </c>
      <c r="L49" s="742">
        <f t="shared" si="220"/>
        <v>50965.360419999997</v>
      </c>
      <c r="M49" s="762">
        <f t="shared" si="220"/>
        <v>46449.870450000002</v>
      </c>
      <c r="N49" s="742">
        <f t="shared" si="220"/>
        <v>45659.070240000001</v>
      </c>
      <c r="O49" s="742">
        <f t="shared" si="220"/>
        <v>62179.496299999999</v>
      </c>
      <c r="P49" s="742">
        <f t="shared" si="220"/>
        <v>62379.217799999999</v>
      </c>
      <c r="Q49" s="742">
        <f t="shared" si="220"/>
        <v>54762.302210000002</v>
      </c>
      <c r="R49" s="762">
        <f t="shared" si="220"/>
        <v>54737.729679999997</v>
      </c>
      <c r="S49" s="742">
        <f t="shared" si="220"/>
        <v>52875.074070000002</v>
      </c>
      <c r="T49" s="742">
        <f t="shared" si="220"/>
        <v>52577.93058</v>
      </c>
      <c r="U49" s="742">
        <f t="shared" si="220"/>
        <v>52194.42252</v>
      </c>
      <c r="V49" s="730">
        <f t="shared" si="220"/>
        <v>51898.300779999998</v>
      </c>
      <c r="W49" s="730">
        <f t="shared" si="220"/>
        <v>51158.205840000002</v>
      </c>
      <c r="X49" s="730">
        <f t="shared" si="220"/>
        <v>52136.66936</v>
      </c>
      <c r="Y49" s="730">
        <f t="shared" si="220"/>
        <v>52878.625800000002</v>
      </c>
      <c r="Z49" s="730">
        <f>Z109*Z165/100000</f>
        <v>53431.673519999997</v>
      </c>
      <c r="AA49" s="730">
        <f t="shared" si="15"/>
        <v>54130.424599999998</v>
      </c>
      <c r="AB49" s="730">
        <f t="shared" si="15"/>
        <v>54279.360079999999</v>
      </c>
      <c r="AC49" s="730">
        <f t="shared" ref="AC49:AE50" si="221">AC109*AC165/100000</f>
        <v>51446.125760000003</v>
      </c>
      <c r="AD49" s="730">
        <f t="shared" si="221"/>
        <v>51838.854070000001</v>
      </c>
      <c r="AE49" s="730">
        <f t="shared" si="221"/>
        <v>53870.157319999998</v>
      </c>
      <c r="AF49" s="730">
        <f t="shared" ref="AF49:AH50" si="222">AF109*AF165/100000</f>
        <v>55494.165999999997</v>
      </c>
      <c r="AG49" s="730">
        <f t="shared" si="222"/>
        <v>52387.5455</v>
      </c>
      <c r="AH49" s="730">
        <f t="shared" si="222"/>
        <v>50041.478785133193</v>
      </c>
      <c r="AI49" s="730">
        <f t="shared" ref="AI49:AK50" si="223">AI109*AI165/100000</f>
        <v>54093.954136193606</v>
      </c>
      <c r="AJ49" s="730">
        <f t="shared" si="223"/>
        <v>54876.493851473053</v>
      </c>
      <c r="AK49" s="730">
        <f t="shared" si="223"/>
        <v>55408.165178925417</v>
      </c>
      <c r="AL49" s="730">
        <f t="shared" ref="AL49:AM49" si="224">AL109*AL165/100000</f>
        <v>55335.296224218662</v>
      </c>
      <c r="AM49" s="730">
        <f t="shared" si="224"/>
        <v>54970.951450684901</v>
      </c>
      <c r="AN49" s="730">
        <f t="shared" ref="AN49" si="225">AN109*AN165/100000</f>
        <v>54606.606677151125</v>
      </c>
      <c r="AO49" s="730"/>
    </row>
    <row r="50" spans="1:64">
      <c r="A50" s="741" t="s">
        <v>223</v>
      </c>
      <c r="B50" s="765"/>
      <c r="C50" s="762">
        <f t="shared" ref="C50:Y50" si="226">C110*C166/100000</f>
        <v>53524.469790000003</v>
      </c>
      <c r="D50" s="742">
        <f t="shared" si="226"/>
        <v>59235.533940000001</v>
      </c>
      <c r="E50" s="742">
        <f t="shared" si="226"/>
        <v>66748.813810000007</v>
      </c>
      <c r="F50" s="742">
        <f t="shared" si="226"/>
        <v>67968.964800000002</v>
      </c>
      <c r="G50" s="742">
        <f t="shared" si="226"/>
        <v>74454.921589999998</v>
      </c>
      <c r="H50" s="762">
        <f t="shared" si="226"/>
        <v>74953.829790000003</v>
      </c>
      <c r="I50" s="742">
        <f t="shared" si="226"/>
        <v>75848.300919999994</v>
      </c>
      <c r="J50" s="742">
        <f t="shared" si="226"/>
        <v>76796.226500000004</v>
      </c>
      <c r="K50" s="742">
        <f t="shared" si="226"/>
        <v>77337.898260000002</v>
      </c>
      <c r="L50" s="742">
        <f t="shared" si="226"/>
        <v>76525.186489999993</v>
      </c>
      <c r="M50" s="762">
        <f t="shared" si="226"/>
        <v>69329.258130000002</v>
      </c>
      <c r="N50" s="742">
        <f t="shared" si="226"/>
        <v>67164.443280000007</v>
      </c>
      <c r="O50" s="742">
        <f t="shared" si="226"/>
        <v>90538.527549999999</v>
      </c>
      <c r="P50" s="742">
        <f t="shared" si="226"/>
        <v>90316.324800000002</v>
      </c>
      <c r="Q50" s="742">
        <f t="shared" si="226"/>
        <v>79372.730989999996</v>
      </c>
      <c r="R50" s="762">
        <f t="shared" si="226"/>
        <v>79292.939989999999</v>
      </c>
      <c r="S50" s="742">
        <f t="shared" si="226"/>
        <v>78663.719790000003</v>
      </c>
      <c r="T50" s="742">
        <f t="shared" si="226"/>
        <v>78036.826560000001</v>
      </c>
      <c r="U50" s="742">
        <f t="shared" si="226"/>
        <v>77755.226939999993</v>
      </c>
      <c r="V50" s="730">
        <f t="shared" si="226"/>
        <v>77004.216939999998</v>
      </c>
      <c r="W50" s="730">
        <f t="shared" si="226"/>
        <v>74896.653720000002</v>
      </c>
      <c r="X50" s="730">
        <f t="shared" si="226"/>
        <v>76249.118879999995</v>
      </c>
      <c r="Y50" s="730">
        <f t="shared" si="226"/>
        <v>76841.965200000006</v>
      </c>
      <c r="Z50" s="730">
        <f>Z110*Z166/100000</f>
        <v>77803.713480000006</v>
      </c>
      <c r="AA50" s="730">
        <f t="shared" si="15"/>
        <v>78843.811480000004</v>
      </c>
      <c r="AB50" s="730">
        <f t="shared" si="15"/>
        <v>78582.771080000006</v>
      </c>
      <c r="AC50" s="730">
        <f t="shared" si="221"/>
        <v>74433.60312</v>
      </c>
      <c r="AD50" s="730">
        <f t="shared" si="221"/>
        <v>75699.968770000007</v>
      </c>
      <c r="AE50" s="730">
        <f t="shared" si="221"/>
        <v>78961.691760000002</v>
      </c>
      <c r="AF50" s="730">
        <f t="shared" si="222"/>
        <v>81631.592000000004</v>
      </c>
      <c r="AG50" s="730">
        <f t="shared" si="222"/>
        <v>75568.048379999993</v>
      </c>
      <c r="AH50" s="730">
        <f t="shared" si="222"/>
        <v>75135.873301322077</v>
      </c>
      <c r="AI50" s="730">
        <f t="shared" si="223"/>
        <v>80088.899785436864</v>
      </c>
      <c r="AJ50" s="730">
        <f t="shared" si="223"/>
        <v>82322.098865497421</v>
      </c>
      <c r="AK50" s="730">
        <f t="shared" si="223"/>
        <v>79908.534545163435</v>
      </c>
      <c r="AL50" s="730">
        <f t="shared" ref="AL50:AM50" si="227">AL110*AL166/100000</f>
        <v>80135.894482929958</v>
      </c>
      <c r="AM50" s="730">
        <f t="shared" si="227"/>
        <v>81052.121097809955</v>
      </c>
      <c r="AN50" s="730">
        <f t="shared" ref="AN50" si="228">AN110*AN166/100000</f>
        <v>81968.347712689938</v>
      </c>
      <c r="AO50" s="730"/>
    </row>
    <row r="51" spans="1:64">
      <c r="A51" s="774" t="s">
        <v>212</v>
      </c>
      <c r="B51" s="775"/>
      <c r="C51" s="762">
        <f>SUM(C52:C54)</f>
        <v>146776.63483</v>
      </c>
      <c r="D51" s="742">
        <f t="shared" ref="D51:T51" si="229">SUM(D52:D54)</f>
        <v>160796.64887999999</v>
      </c>
      <c r="E51" s="742">
        <f t="shared" si="229"/>
        <v>136028.43752000001</v>
      </c>
      <c r="F51" s="742">
        <f t="shared" si="229"/>
        <v>137781.17973</v>
      </c>
      <c r="G51" s="742">
        <f t="shared" si="229"/>
        <v>151393.81192000001</v>
      </c>
      <c r="H51" s="762">
        <f t="shared" si="229"/>
        <v>151825.99855999998</v>
      </c>
      <c r="I51" s="742">
        <f t="shared" si="229"/>
        <v>153341.57198000001</v>
      </c>
      <c r="J51" s="742">
        <f t="shared" si="229"/>
        <v>154690.69514000003</v>
      </c>
      <c r="K51" s="742">
        <f t="shared" si="229"/>
        <v>155850.00659999999</v>
      </c>
      <c r="L51" s="742">
        <f t="shared" si="229"/>
        <v>184785.11963999999</v>
      </c>
      <c r="M51" s="762">
        <f t="shared" si="229"/>
        <v>165632.28727999999</v>
      </c>
      <c r="N51" s="742">
        <f t="shared" si="229"/>
        <v>160548.52394000001</v>
      </c>
      <c r="O51" s="742">
        <f t="shared" si="229"/>
        <v>183572.56634999998</v>
      </c>
      <c r="P51" s="742">
        <f t="shared" si="229"/>
        <v>182678.87161999999</v>
      </c>
      <c r="Q51" s="742">
        <f t="shared" si="229"/>
        <v>159295.81899999999</v>
      </c>
      <c r="R51" s="762">
        <f t="shared" si="229"/>
        <v>159070.33908999999</v>
      </c>
      <c r="S51" s="742">
        <f t="shared" si="229"/>
        <v>155313.60949999999</v>
      </c>
      <c r="T51" s="742">
        <f t="shared" si="229"/>
        <v>155091.74064</v>
      </c>
      <c r="U51" s="742">
        <f t="shared" ref="U51:AA51" si="230">SUM(U52:U54)</f>
        <v>155497.26827999999</v>
      </c>
      <c r="V51" s="730">
        <f t="shared" si="230"/>
        <v>156258.55035999999</v>
      </c>
      <c r="W51" s="730">
        <f t="shared" si="230"/>
        <v>151922.67775999999</v>
      </c>
      <c r="X51" s="730">
        <f t="shared" si="230"/>
        <v>153564.97845</v>
      </c>
      <c r="Y51" s="730">
        <f t="shared" si="230"/>
        <v>154668.16330000001</v>
      </c>
      <c r="Z51" s="730">
        <f t="shared" si="230"/>
        <v>156086.15552</v>
      </c>
      <c r="AA51" s="730">
        <f t="shared" si="230"/>
        <v>158499.89351999998</v>
      </c>
      <c r="AB51" s="730">
        <f t="shared" ref="AB51:AG51" si="231">SUM(AB52:AB54)</f>
        <v>157656.97500000001</v>
      </c>
      <c r="AC51" s="730">
        <f t="shared" si="231"/>
        <v>148901.09379000001</v>
      </c>
      <c r="AD51" s="730">
        <f t="shared" si="231"/>
        <v>150540.58905000001</v>
      </c>
      <c r="AE51" s="730">
        <f t="shared" si="231"/>
        <v>155371.36822</v>
      </c>
      <c r="AF51" s="730">
        <f t="shared" si="231"/>
        <v>159802.89696000001</v>
      </c>
      <c r="AG51" s="730">
        <f t="shared" si="231"/>
        <v>151415.06889999998</v>
      </c>
      <c r="AH51" s="730">
        <f t="shared" ref="AH51:AM51" si="232">SUM(AH52:AH54)</f>
        <v>145559.41540176887</v>
      </c>
      <c r="AI51" s="730">
        <f t="shared" si="232"/>
        <v>156460.99876567553</v>
      </c>
      <c r="AJ51" s="730">
        <f t="shared" si="232"/>
        <v>158141.56338493957</v>
      </c>
      <c r="AK51" s="730">
        <f t="shared" si="232"/>
        <v>159656.99503350136</v>
      </c>
      <c r="AL51" s="730">
        <f t="shared" si="232"/>
        <v>159683.91006815963</v>
      </c>
      <c r="AM51" s="730">
        <f t="shared" si="232"/>
        <v>158185.63980551547</v>
      </c>
      <c r="AN51" s="730">
        <f t="shared" ref="AN51" si="233">SUM(AN52:AN54)</f>
        <v>156687.36954287131</v>
      </c>
      <c r="AO51" s="730"/>
    </row>
    <row r="52" spans="1:64">
      <c r="A52" s="768" t="s">
        <v>241</v>
      </c>
      <c r="B52" s="769"/>
      <c r="C52" s="762">
        <f t="shared" ref="C52:Y52" si="234">C112*C168/100000</f>
        <v>50981.987529999999</v>
      </c>
      <c r="D52" s="742">
        <f t="shared" si="234"/>
        <v>55728.477630000001</v>
      </c>
      <c r="E52" s="742">
        <f t="shared" si="234"/>
        <v>47225.230580000003</v>
      </c>
      <c r="F52" s="742">
        <f t="shared" si="234"/>
        <v>47422.911780000002</v>
      </c>
      <c r="G52" s="742">
        <f t="shared" si="234"/>
        <v>52446.432800000002</v>
      </c>
      <c r="H52" s="762">
        <f t="shared" si="234"/>
        <v>52507.756580000001</v>
      </c>
      <c r="I52" s="742">
        <f t="shared" si="234"/>
        <v>53214.440139999999</v>
      </c>
      <c r="J52" s="742">
        <f t="shared" si="234"/>
        <v>53757.59362</v>
      </c>
      <c r="K52" s="742">
        <f t="shared" si="234"/>
        <v>54108.015220000001</v>
      </c>
      <c r="L52" s="742">
        <f t="shared" si="234"/>
        <v>64936.905659999997</v>
      </c>
      <c r="M52" s="762">
        <f t="shared" si="234"/>
        <v>58176.936040000001</v>
      </c>
      <c r="N52" s="742">
        <f t="shared" si="234"/>
        <v>56429.421410000003</v>
      </c>
      <c r="O52" s="742">
        <f t="shared" si="234"/>
        <v>64584.52605</v>
      </c>
      <c r="P52" s="742">
        <f t="shared" si="234"/>
        <v>64173.58178</v>
      </c>
      <c r="Q52" s="742">
        <f t="shared" si="234"/>
        <v>55933.127719999997</v>
      </c>
      <c r="R52" s="762">
        <f t="shared" si="234"/>
        <v>55617.940020000002</v>
      </c>
      <c r="S52" s="742">
        <f t="shared" si="234"/>
        <v>54637.472549999999</v>
      </c>
      <c r="T52" s="742">
        <f t="shared" si="234"/>
        <v>54418.205520000003</v>
      </c>
      <c r="U52" s="742">
        <f t="shared" si="234"/>
        <v>54204.982680000001</v>
      </c>
      <c r="V52" s="730">
        <f t="shared" si="234"/>
        <v>54425.804349999999</v>
      </c>
      <c r="W52" s="730">
        <f t="shared" si="234"/>
        <v>53013.726479999998</v>
      </c>
      <c r="X52" s="730">
        <f t="shared" si="234"/>
        <v>53324.286599999999</v>
      </c>
      <c r="Y52" s="730">
        <f t="shared" si="234"/>
        <v>53815.603869999999</v>
      </c>
      <c r="Z52" s="730">
        <f>Z112*Z168/100000</f>
        <v>54005.144399999997</v>
      </c>
      <c r="AA52" s="730">
        <f t="shared" si="15"/>
        <v>54672.47928</v>
      </c>
      <c r="AB52" s="730">
        <f t="shared" si="15"/>
        <v>54297.062189999997</v>
      </c>
      <c r="AC52" s="730">
        <f t="shared" ref="AC52:AD54" si="235">AC112*AC168/100000</f>
        <v>51096.711300000003</v>
      </c>
      <c r="AD52" s="730">
        <f t="shared" si="235"/>
        <v>51497.633249999999</v>
      </c>
      <c r="AE52" s="730">
        <f t="shared" ref="AE52:AF54" si="236">AE112*AE168/100000</f>
        <v>52920.108679999998</v>
      </c>
      <c r="AF52" s="730">
        <f t="shared" si="236"/>
        <v>54366.658560000003</v>
      </c>
      <c r="AG52" s="730">
        <f t="shared" ref="AG52:AH54" si="237">AG112*AG168/100000</f>
        <v>51477.5936</v>
      </c>
      <c r="AH52" s="730">
        <f t="shared" si="237"/>
        <v>49502.724493550078</v>
      </c>
      <c r="AI52" s="730">
        <f t="shared" ref="AI52:AI54" si="238">AI112*AI168/100000</f>
        <v>53133.90952949685</v>
      </c>
      <c r="AJ52" s="730">
        <f t="shared" ref="AJ52:AK52" si="239">AJ112*AJ168/100000</f>
        <v>53575.871930569345</v>
      </c>
      <c r="AK52" s="730">
        <f t="shared" si="239"/>
        <v>54296.596583967083</v>
      </c>
      <c r="AL52" s="730">
        <f t="shared" ref="AL52:AM52" si="240">AL112*AL168/100000</f>
        <v>54404.256722600192</v>
      </c>
      <c r="AM52" s="730">
        <f t="shared" si="240"/>
        <v>54233.794836431101</v>
      </c>
      <c r="AN52" s="730">
        <f t="shared" ref="AN52" si="241">AN112*AN168/100000</f>
        <v>54063.332950262004</v>
      </c>
      <c r="AO52" s="730"/>
    </row>
    <row r="53" spans="1:64">
      <c r="A53" s="741" t="s">
        <v>224</v>
      </c>
      <c r="B53" s="765"/>
      <c r="C53" s="762">
        <f t="shared" ref="C53:Y53" si="242">C113*C169/100000</f>
        <v>46964.88723</v>
      </c>
      <c r="D53" s="742">
        <f t="shared" si="242"/>
        <v>51564.102659999997</v>
      </c>
      <c r="E53" s="742">
        <f t="shared" si="242"/>
        <v>43595.620470000002</v>
      </c>
      <c r="F53" s="742">
        <f t="shared" si="242"/>
        <v>44252.20953</v>
      </c>
      <c r="G53" s="742">
        <f t="shared" si="242"/>
        <v>48691.081319999998</v>
      </c>
      <c r="H53" s="762">
        <f t="shared" si="242"/>
        <v>48813.728880000002</v>
      </c>
      <c r="I53" s="742">
        <f t="shared" si="242"/>
        <v>49237.154979999999</v>
      </c>
      <c r="J53" s="742">
        <f t="shared" si="242"/>
        <v>49464.929020000003</v>
      </c>
      <c r="K53" s="742">
        <f t="shared" si="242"/>
        <v>49718.984680000001</v>
      </c>
      <c r="L53" s="742">
        <f t="shared" si="242"/>
        <v>58446.954720000002</v>
      </c>
      <c r="M53" s="762">
        <f t="shared" si="242"/>
        <v>52921.806799999998</v>
      </c>
      <c r="N53" s="742">
        <f t="shared" si="242"/>
        <v>51442.925589999999</v>
      </c>
      <c r="O53" s="742">
        <f t="shared" si="242"/>
        <v>58926.154949999996</v>
      </c>
      <c r="P53" s="742">
        <f t="shared" si="242"/>
        <v>58671.934090000002</v>
      </c>
      <c r="Q53" s="742">
        <f t="shared" si="242"/>
        <v>51141.11234</v>
      </c>
      <c r="R53" s="762">
        <f t="shared" si="242"/>
        <v>51354.655610000002</v>
      </c>
      <c r="S53" s="742">
        <f t="shared" si="242"/>
        <v>49958.580999999998</v>
      </c>
      <c r="T53" s="742">
        <f t="shared" si="242"/>
        <v>49984.194000000003</v>
      </c>
      <c r="U53" s="742">
        <f t="shared" si="242"/>
        <v>50284.177799999998</v>
      </c>
      <c r="V53" s="730">
        <f t="shared" si="242"/>
        <v>50469.928260000001</v>
      </c>
      <c r="W53" s="730">
        <f t="shared" si="242"/>
        <v>48800.677040000002</v>
      </c>
      <c r="X53" s="730">
        <f t="shared" si="242"/>
        <v>49519.152150000002</v>
      </c>
      <c r="Y53" s="730">
        <f t="shared" si="242"/>
        <v>49867.503210000003</v>
      </c>
      <c r="Z53" s="730">
        <f>Z113*Z169/100000</f>
        <v>50381.036800000002</v>
      </c>
      <c r="AA53" s="730">
        <f t="shared" si="15"/>
        <v>51269.190479999997</v>
      </c>
      <c r="AB53" s="730">
        <f t="shared" si="15"/>
        <v>50954.734320000003</v>
      </c>
      <c r="AC53" s="730">
        <f t="shared" si="235"/>
        <v>48160.281750000002</v>
      </c>
      <c r="AD53" s="730">
        <f t="shared" si="235"/>
        <v>48626.615100000003</v>
      </c>
      <c r="AE53" s="730">
        <f t="shared" si="236"/>
        <v>50438.641759999999</v>
      </c>
      <c r="AF53" s="730">
        <f t="shared" si="236"/>
        <v>52059.620159999999</v>
      </c>
      <c r="AG53" s="730">
        <f t="shared" si="237"/>
        <v>49322.085099999997</v>
      </c>
      <c r="AH53" s="730">
        <f t="shared" si="237"/>
        <v>47516.657312264215</v>
      </c>
      <c r="AI53" s="730">
        <f t="shared" si="238"/>
        <v>50922.4570824201</v>
      </c>
      <c r="AJ53" s="730">
        <f t="shared" ref="AJ53:AK53" si="243">AJ113*AJ169/100000</f>
        <v>51507.030005154549</v>
      </c>
      <c r="AK53" s="730">
        <f t="shared" si="243"/>
        <v>51937.045212258003</v>
      </c>
      <c r="AL53" s="730">
        <f t="shared" ref="AL53:AM53" si="244">AL113*AL169/100000</f>
        <v>51966.950806322755</v>
      </c>
      <c r="AM53" s="730">
        <f t="shared" si="244"/>
        <v>51563.225286448585</v>
      </c>
      <c r="AN53" s="730">
        <f t="shared" ref="AN53" si="245">AN113*AN169/100000</f>
        <v>51159.499766574401</v>
      </c>
      <c r="AO53" s="730"/>
    </row>
    <row r="54" spans="1:64">
      <c r="A54" s="776" t="s">
        <v>225</v>
      </c>
      <c r="B54" s="777"/>
      <c r="C54" s="778">
        <f t="shared" ref="C54:Y54" si="246">C114*C170/100000</f>
        <v>48829.760069999997</v>
      </c>
      <c r="D54" s="779">
        <f t="shared" si="246"/>
        <v>53504.068590000003</v>
      </c>
      <c r="E54" s="779">
        <f t="shared" si="246"/>
        <v>45207.586470000002</v>
      </c>
      <c r="F54" s="779">
        <f t="shared" si="246"/>
        <v>46106.058420000001</v>
      </c>
      <c r="G54" s="779">
        <f t="shared" si="246"/>
        <v>50256.2978</v>
      </c>
      <c r="H54" s="778">
        <f t="shared" si="246"/>
        <v>50504.513099999996</v>
      </c>
      <c r="I54" s="779">
        <f t="shared" si="246"/>
        <v>50889.976860000002</v>
      </c>
      <c r="J54" s="779">
        <f t="shared" si="246"/>
        <v>51468.172500000001</v>
      </c>
      <c r="K54" s="779">
        <f t="shared" si="246"/>
        <v>52023.006699999998</v>
      </c>
      <c r="L54" s="779">
        <f t="shared" si="246"/>
        <v>61401.259259999999</v>
      </c>
      <c r="M54" s="778">
        <f t="shared" si="246"/>
        <v>54533.544439999998</v>
      </c>
      <c r="N54" s="779">
        <f t="shared" si="246"/>
        <v>52676.176939999998</v>
      </c>
      <c r="O54" s="779">
        <f t="shared" si="246"/>
        <v>60061.885349999997</v>
      </c>
      <c r="P54" s="779">
        <f t="shared" si="246"/>
        <v>59833.355750000002</v>
      </c>
      <c r="Q54" s="779">
        <f t="shared" si="246"/>
        <v>52221.578939999999</v>
      </c>
      <c r="R54" s="778">
        <f t="shared" si="246"/>
        <v>52097.743459999998</v>
      </c>
      <c r="S54" s="779">
        <f t="shared" si="246"/>
        <v>50717.555950000002</v>
      </c>
      <c r="T54" s="779">
        <f t="shared" si="246"/>
        <v>50689.341119999997</v>
      </c>
      <c r="U54" s="779">
        <f t="shared" si="246"/>
        <v>51008.107799999998</v>
      </c>
      <c r="V54" s="731">
        <f t="shared" si="246"/>
        <v>51362.817750000002</v>
      </c>
      <c r="W54" s="731">
        <f t="shared" si="246"/>
        <v>50108.274239999999</v>
      </c>
      <c r="X54" s="731">
        <f t="shared" si="246"/>
        <v>50721.539700000001</v>
      </c>
      <c r="Y54" s="731">
        <f t="shared" si="246"/>
        <v>50985.056219999999</v>
      </c>
      <c r="Z54" s="731">
        <f>Z114*Z170/100000</f>
        <v>51699.974320000001</v>
      </c>
      <c r="AA54" s="731">
        <f t="shared" si="15"/>
        <v>52558.223760000001</v>
      </c>
      <c r="AB54" s="731">
        <f t="shared" si="15"/>
        <v>52405.178489999998</v>
      </c>
      <c r="AC54" s="731">
        <f t="shared" si="235"/>
        <v>49644.100740000002</v>
      </c>
      <c r="AD54" s="731">
        <f t="shared" si="235"/>
        <v>50416.340700000001</v>
      </c>
      <c r="AE54" s="731">
        <f t="shared" si="236"/>
        <v>52012.61778</v>
      </c>
      <c r="AF54" s="731">
        <f t="shared" si="236"/>
        <v>53376.618240000003</v>
      </c>
      <c r="AG54" s="731">
        <f t="shared" si="237"/>
        <v>50615.390200000002</v>
      </c>
      <c r="AH54" s="731">
        <f t="shared" si="237"/>
        <v>48540.03359595457</v>
      </c>
      <c r="AI54" s="731">
        <f t="shared" si="238"/>
        <v>52404.63215375859</v>
      </c>
      <c r="AJ54" s="731">
        <f t="shared" ref="AJ54:AK54" si="247">AJ114*AJ170/100000</f>
        <v>53058.661449215651</v>
      </c>
      <c r="AK54" s="731">
        <f t="shared" si="247"/>
        <v>53423.353237276271</v>
      </c>
      <c r="AL54" s="731">
        <f t="shared" ref="AL54:AM54" si="248">AL114*AL170/100000</f>
        <v>53312.702539236678</v>
      </c>
      <c r="AM54" s="731">
        <f t="shared" si="248"/>
        <v>52388.619682635785</v>
      </c>
      <c r="AN54" s="731">
        <f t="shared" ref="AN54" si="249">AN114*AN170/100000</f>
        <v>51464.536826034891</v>
      </c>
      <c r="AO54" s="730"/>
    </row>
    <row r="55" spans="1:64">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row>
    <row r="56" spans="1:64">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row>
    <row r="57" spans="1:64">
      <c r="A57" s="72" t="s">
        <v>271</v>
      </c>
      <c r="B57" s="72"/>
      <c r="C57" s="73" t="s">
        <v>683</v>
      </c>
      <c r="D57" s="73"/>
      <c r="E57" s="73"/>
      <c r="F57" s="73"/>
      <c r="G57" s="73"/>
      <c r="H57" s="72"/>
      <c r="I57" s="72"/>
      <c r="J57" s="72"/>
      <c r="K57" s="72"/>
      <c r="L57" s="73"/>
      <c r="M57" s="744" t="s">
        <v>347</v>
      </c>
      <c r="N57" s="744" t="s">
        <v>347</v>
      </c>
      <c r="O57" s="744" t="s">
        <v>347</v>
      </c>
      <c r="P57" s="744" t="s">
        <v>347</v>
      </c>
      <c r="Q57" s="73" t="s">
        <v>347</v>
      </c>
      <c r="R57" s="73"/>
      <c r="S57" s="73" t="s">
        <v>620</v>
      </c>
      <c r="T57" s="73"/>
      <c r="U57" s="73"/>
      <c r="V57" s="73"/>
      <c r="W57" s="73"/>
      <c r="X57" s="258"/>
      <c r="Y57" s="73" t="s">
        <v>347</v>
      </c>
      <c r="Z57" s="73" t="s">
        <v>924</v>
      </c>
      <c r="AA57" s="73"/>
      <c r="AB57" s="73"/>
      <c r="AC57" s="73"/>
      <c r="AD57" s="73"/>
      <c r="AE57" s="73"/>
      <c r="AF57" s="73"/>
      <c r="AG57" s="73"/>
      <c r="AH57" s="73"/>
      <c r="AI57" s="73"/>
    </row>
    <row r="58" spans="1:64">
      <c r="A58" s="780"/>
      <c r="B58" s="422" t="s">
        <v>682</v>
      </c>
      <c r="C58" s="84" t="s">
        <v>622</v>
      </c>
      <c r="D58" s="84" t="s">
        <v>623</v>
      </c>
      <c r="E58" s="84" t="s">
        <v>624</v>
      </c>
      <c r="F58" s="84" t="s">
        <v>625</v>
      </c>
      <c r="G58" s="422" t="s">
        <v>626</v>
      </c>
      <c r="H58" s="781" t="s">
        <v>610</v>
      </c>
      <c r="I58" s="781" t="s">
        <v>611</v>
      </c>
      <c r="J58" s="84" t="s">
        <v>612</v>
      </c>
      <c r="K58" s="84" t="s">
        <v>613</v>
      </c>
      <c r="L58" s="422" t="s">
        <v>614</v>
      </c>
      <c r="M58" s="84" t="s">
        <v>615</v>
      </c>
      <c r="N58" s="84" t="s">
        <v>616</v>
      </c>
      <c r="O58" s="84" t="s">
        <v>617</v>
      </c>
      <c r="P58" s="84" t="s">
        <v>618</v>
      </c>
      <c r="Q58" s="422" t="s">
        <v>619</v>
      </c>
      <c r="R58" s="84" t="s">
        <v>460</v>
      </c>
      <c r="S58" s="84" t="s">
        <v>459</v>
      </c>
      <c r="T58" s="84" t="s">
        <v>456</v>
      </c>
      <c r="U58" s="84" t="s">
        <v>750</v>
      </c>
      <c r="V58" s="84" t="s">
        <v>856</v>
      </c>
      <c r="W58" s="84" t="s">
        <v>911</v>
      </c>
      <c r="X58" s="84" t="s">
        <v>96</v>
      </c>
      <c r="Y58" s="84" t="s">
        <v>118</v>
      </c>
      <c r="Z58" s="84" t="s">
        <v>119</v>
      </c>
      <c r="AA58" s="1080" t="s">
        <v>67</v>
      </c>
      <c r="AB58" s="84" t="s">
        <v>157</v>
      </c>
      <c r="AC58" s="84" t="s">
        <v>1000</v>
      </c>
      <c r="AD58" s="1166" t="s">
        <v>1036</v>
      </c>
      <c r="AE58" s="1170" t="s">
        <v>1062</v>
      </c>
      <c r="AF58" s="1080" t="s">
        <v>1086</v>
      </c>
      <c r="AG58" s="1080" t="s">
        <v>1129</v>
      </c>
      <c r="AH58" s="1165" t="s">
        <v>1160</v>
      </c>
      <c r="AI58" s="1165" t="s">
        <v>1200</v>
      </c>
      <c r="AJ58" s="1165" t="s">
        <v>1234</v>
      </c>
      <c r="AK58" s="1165" t="s">
        <v>1561</v>
      </c>
      <c r="AL58" s="804" t="s">
        <v>1723</v>
      </c>
      <c r="AM58" s="804" t="s">
        <v>1745</v>
      </c>
      <c r="AN58" s="804" t="s">
        <v>1783</v>
      </c>
      <c r="AP58" s="65" t="s">
        <v>874</v>
      </c>
      <c r="AT58" s="75" t="s">
        <v>1007</v>
      </c>
    </row>
    <row r="59" spans="1:64">
      <c r="A59" s="745" t="s">
        <v>751</v>
      </c>
      <c r="B59" s="747">
        <f>消費ﾃﾞｰﾀ!V12</f>
        <v>308399</v>
      </c>
      <c r="C59" s="747">
        <f>消費ﾃﾞｰﾀ!W12</f>
        <v>289932</v>
      </c>
      <c r="D59" s="747">
        <f>消費ﾃﾞｰﾀ!X12</f>
        <v>316017</v>
      </c>
      <c r="E59" s="747">
        <f>消費ﾃﾞｰﾀ!Y12</f>
        <v>328550</v>
      </c>
      <c r="F59" s="747">
        <f>消費ﾃﾞｰﾀ!Z12</f>
        <v>330001</v>
      </c>
      <c r="G59" s="747">
        <f>消費ﾃﾞｰﾀ!AA12</f>
        <v>357114</v>
      </c>
      <c r="H59" s="747">
        <f>消費ﾃﾞｰﾀ!AB12</f>
        <v>391274</v>
      </c>
      <c r="I59" s="747">
        <f>消費ﾃﾞｰﾀ!AC12</f>
        <v>357475</v>
      </c>
      <c r="J59" s="747">
        <f>消費ﾃﾞｰﾀ!AD12</f>
        <v>371046</v>
      </c>
      <c r="K59" s="747">
        <f>消費ﾃﾞｰﾀ!AE12</f>
        <v>366387</v>
      </c>
      <c r="L59" s="747">
        <f>消費ﾃﾞｰﾀ!AF12</f>
        <v>374607</v>
      </c>
      <c r="M59" s="747">
        <f>消費ﾃﾞｰﾀ!AG12</f>
        <v>340223</v>
      </c>
      <c r="N59" s="747">
        <f>消費ﾃﾞｰﾀ!AH12</f>
        <v>327449</v>
      </c>
      <c r="O59" s="747">
        <f>消費ﾃﾞｰﾀ!AI12</f>
        <v>327625</v>
      </c>
      <c r="P59" s="747">
        <f>消費ﾃﾞｰﾀ!AJ12</f>
        <v>325353</v>
      </c>
      <c r="Q59" s="747">
        <f>消費ﾃﾞｰﾀ!AK12</f>
        <v>283042</v>
      </c>
      <c r="R59" s="747">
        <f>消費ﾃﾞｰﾀ!AL12</f>
        <v>249152</v>
      </c>
      <c r="S59" s="748">
        <f>消費ﾃﾞｰﾀ!AM12</f>
        <v>242715</v>
      </c>
      <c r="T59" s="748">
        <f>消費ﾃﾞｰﾀ!AN12</f>
        <v>244833</v>
      </c>
      <c r="U59" s="748">
        <f>消費ﾃﾞｰﾀ!AO12</f>
        <v>251801</v>
      </c>
      <c r="V59" s="747">
        <f>消費ﾃﾞｰﾀ!AP12</f>
        <v>238444</v>
      </c>
      <c r="W59" s="748">
        <f>消費ﾃﾞｰﾀ!AQ12</f>
        <v>223420</v>
      </c>
      <c r="X59" s="748">
        <f>消費ﾃﾞｰﾀ!AR12</f>
        <v>229983</v>
      </c>
      <c r="Y59" s="748">
        <f>消費ﾃﾞｰﾀ!AS12</f>
        <v>230687</v>
      </c>
      <c r="Z59" s="748">
        <f>消費ﾃﾞｰﾀ!AT12</f>
        <v>236777</v>
      </c>
      <c r="AA59" s="747">
        <f>消費ﾃﾞｰﾀ!AU12</f>
        <v>229443</v>
      </c>
      <c r="AB59" s="748">
        <f t="shared" ref="AB59:AI59" si="250">AA59</f>
        <v>229443</v>
      </c>
      <c r="AC59" s="748">
        <f t="shared" si="250"/>
        <v>229443</v>
      </c>
      <c r="AD59" s="748">
        <f t="shared" si="250"/>
        <v>229443</v>
      </c>
      <c r="AE59" s="748">
        <f t="shared" si="250"/>
        <v>229443</v>
      </c>
      <c r="AF59" s="747">
        <f t="shared" si="250"/>
        <v>229443</v>
      </c>
      <c r="AG59" s="747">
        <f t="shared" si="250"/>
        <v>229443</v>
      </c>
      <c r="AH59" s="747">
        <f t="shared" si="250"/>
        <v>229443</v>
      </c>
      <c r="AI59" s="747">
        <f t="shared" si="250"/>
        <v>229443</v>
      </c>
      <c r="AJ59" s="747">
        <f t="shared" ref="AJ59:AN60" si="251">AI59</f>
        <v>229443</v>
      </c>
      <c r="AK59" s="747">
        <f t="shared" si="251"/>
        <v>229443</v>
      </c>
      <c r="AL59" s="747">
        <f t="shared" si="251"/>
        <v>229443</v>
      </c>
      <c r="AM59" s="747">
        <f t="shared" si="251"/>
        <v>229443</v>
      </c>
      <c r="AN59" s="747">
        <f t="shared" si="251"/>
        <v>229443</v>
      </c>
      <c r="AP59" s="1171" t="s">
        <v>84</v>
      </c>
      <c r="AQ59" s="1171"/>
      <c r="AR59" s="1171"/>
      <c r="AS59" s="130" t="s">
        <v>95</v>
      </c>
      <c r="AT59" s="130"/>
      <c r="AU59" s="130"/>
      <c r="AV59" s="130"/>
      <c r="AW59" s="130"/>
      <c r="AX59" s="130"/>
      <c r="AY59" s="130"/>
      <c r="AZ59" s="130"/>
      <c r="BA59" s="130"/>
      <c r="BB59" s="1171" t="s">
        <v>86</v>
      </c>
      <c r="BC59" s="1171"/>
      <c r="BD59" s="1171"/>
      <c r="BE59" s="130" t="s">
        <v>95</v>
      </c>
      <c r="BF59" s="130"/>
      <c r="BG59" s="130"/>
      <c r="BH59" s="130"/>
      <c r="BI59" s="130"/>
      <c r="BJ59" s="130"/>
      <c r="BK59" s="130"/>
      <c r="BL59" s="130"/>
    </row>
    <row r="60" spans="1:64">
      <c r="A60" s="782" t="s">
        <v>748</v>
      </c>
      <c r="B60" s="754"/>
      <c r="C60" s="783">
        <f>C59/B59</f>
        <v>0.94011977989552498</v>
      </c>
      <c r="D60" s="783">
        <f>D59/B59</f>
        <v>1.0247017662184379</v>
      </c>
      <c r="E60" s="783">
        <f>E59/G59</f>
        <v>0.92001433715844239</v>
      </c>
      <c r="F60" s="783">
        <f>F59/G59</f>
        <v>0.9240774654592091</v>
      </c>
      <c r="G60" s="754"/>
      <c r="H60" s="783">
        <f>H59/G59</f>
        <v>1.0956557289829019</v>
      </c>
      <c r="I60" s="783">
        <f>I59/G59</f>
        <v>1.0010108816792396</v>
      </c>
      <c r="J60" s="783">
        <f>J59/L59</f>
        <v>0.99049403775156364</v>
      </c>
      <c r="K60" s="783">
        <f>K59/L59</f>
        <v>0.97805700373991944</v>
      </c>
      <c r="L60" s="754"/>
      <c r="M60" s="783">
        <f>M59/L59</f>
        <v>0.90821314070479198</v>
      </c>
      <c r="N60" s="783">
        <f>N59/L59</f>
        <v>0.87411340418091488</v>
      </c>
      <c r="O60" s="783">
        <f>O59/Q59</f>
        <v>1.1575137258781383</v>
      </c>
      <c r="P60" s="783">
        <f>P59/Q59</f>
        <v>1.1494866486245858</v>
      </c>
      <c r="Q60" s="754"/>
      <c r="R60" s="783">
        <f>R59/Q59</f>
        <v>0.8802651196642195</v>
      </c>
      <c r="S60" s="784">
        <f>S59/Q59</f>
        <v>0.85752291179400941</v>
      </c>
      <c r="T60" s="784">
        <f>T59/Q59</f>
        <v>0.86500590018442491</v>
      </c>
      <c r="U60" s="784">
        <f>U59/R59</f>
        <v>1.0106320639609556</v>
      </c>
      <c r="V60" s="783" t="s">
        <v>347</v>
      </c>
      <c r="W60" s="784">
        <f t="shared" ref="W60:AC60" si="252">AR74</f>
        <v>0.97089343184007137</v>
      </c>
      <c r="X60" s="784">
        <f t="shared" si="252"/>
        <v>0.98848323416697992</v>
      </c>
      <c r="Y60" s="784">
        <f t="shared" si="252"/>
        <v>0.99088338405259224</v>
      </c>
      <c r="Z60" s="784">
        <f t="shared" si="252"/>
        <v>0.98951867549456218</v>
      </c>
      <c r="AA60" s="783">
        <f t="shared" si="252"/>
        <v>0.97497143149581622</v>
      </c>
      <c r="AB60" s="784">
        <f t="shared" si="252"/>
        <v>1.0139087150953856</v>
      </c>
      <c r="AC60" s="784">
        <f t="shared" si="252"/>
        <v>1.003683912131593</v>
      </c>
      <c r="AD60" s="784">
        <f>AY74</f>
        <v>0.88782883335671225</v>
      </c>
      <c r="AE60" s="784">
        <f>AZ74</f>
        <v>1.1945310590360805</v>
      </c>
      <c r="AF60" s="1172">
        <f>AE60</f>
        <v>1.1945310590360805</v>
      </c>
      <c r="AG60" s="1172">
        <f>AF60</f>
        <v>1.1945310590360805</v>
      </c>
      <c r="AH60" s="1172">
        <f>AG60</f>
        <v>1.1945310590360805</v>
      </c>
      <c r="AI60" s="1172">
        <f>AH60</f>
        <v>1.1945310590360805</v>
      </c>
      <c r="AJ60" s="1172">
        <f t="shared" si="251"/>
        <v>1.1945310590360805</v>
      </c>
      <c r="AK60" s="1172">
        <f t="shared" si="251"/>
        <v>1.1945310590360805</v>
      </c>
      <c r="AL60" s="1172">
        <f t="shared" si="251"/>
        <v>1.1945310590360805</v>
      </c>
      <c r="AM60" s="1172">
        <f t="shared" si="251"/>
        <v>1.1945310590360805</v>
      </c>
      <c r="AN60" s="1172">
        <f t="shared" si="251"/>
        <v>1.1945310590360805</v>
      </c>
      <c r="AO60" s="1173"/>
      <c r="AP60" s="132"/>
      <c r="AQ60" s="132" t="s">
        <v>828</v>
      </c>
      <c r="AR60" s="132" t="s">
        <v>12</v>
      </c>
      <c r="AS60" s="132" t="s">
        <v>102</v>
      </c>
      <c r="AT60" s="132" t="s">
        <v>110</v>
      </c>
      <c r="AU60" s="132" t="s">
        <v>863</v>
      </c>
      <c r="AV60" s="132" t="s">
        <v>770</v>
      </c>
      <c r="AW60" s="132" t="s">
        <v>125</v>
      </c>
      <c r="AX60" s="132" t="s">
        <v>1023</v>
      </c>
      <c r="AY60" s="132" t="s">
        <v>1058</v>
      </c>
      <c r="AZ60" s="132" t="s">
        <v>1091</v>
      </c>
      <c r="BA60" s="132" t="s">
        <v>1109</v>
      </c>
      <c r="BB60" s="132"/>
      <c r="BC60" s="132" t="s">
        <v>828</v>
      </c>
      <c r="BD60" s="132" t="s">
        <v>12</v>
      </c>
      <c r="BE60" s="132" t="s">
        <v>102</v>
      </c>
      <c r="BF60" s="132" t="s">
        <v>110</v>
      </c>
      <c r="BG60" s="132" t="s">
        <v>863</v>
      </c>
      <c r="BH60" s="132" t="s">
        <v>770</v>
      </c>
      <c r="BI60" s="132" t="s">
        <v>125</v>
      </c>
      <c r="BJ60" s="132" t="s">
        <v>1023</v>
      </c>
      <c r="BK60" s="132" t="s">
        <v>1058</v>
      </c>
      <c r="BL60" s="132" t="s">
        <v>1091</v>
      </c>
    </row>
    <row r="61" spans="1:64">
      <c r="A61" s="72" t="s">
        <v>428</v>
      </c>
      <c r="B61" s="785"/>
      <c r="C61" s="786"/>
      <c r="D61" s="786"/>
      <c r="E61" s="786"/>
      <c r="F61" s="786"/>
      <c r="G61" s="785"/>
      <c r="H61" s="786"/>
      <c r="I61" s="786"/>
      <c r="J61" s="786"/>
      <c r="K61" s="786"/>
      <c r="L61" s="785"/>
      <c r="M61" s="786"/>
      <c r="N61" s="786"/>
      <c r="O61" s="786"/>
      <c r="P61" s="786"/>
      <c r="Q61" s="785"/>
      <c r="R61" s="786"/>
      <c r="S61" s="787"/>
      <c r="T61" s="787"/>
      <c r="U61" s="787"/>
      <c r="V61" s="786"/>
      <c r="W61" s="787"/>
      <c r="X61" s="787"/>
      <c r="Y61" s="787"/>
      <c r="Z61" s="787"/>
      <c r="AA61" s="1174"/>
      <c r="AB61" s="1174"/>
      <c r="AC61" s="1174"/>
      <c r="AD61" s="1174"/>
      <c r="AE61" s="1174"/>
      <c r="AF61" s="785"/>
      <c r="AG61" s="785"/>
      <c r="AH61" s="785"/>
      <c r="AI61" s="785"/>
      <c r="AP61" s="75">
        <v>1</v>
      </c>
      <c r="AQ61" s="75">
        <v>307504</v>
      </c>
      <c r="AR61" s="75">
        <v>271195</v>
      </c>
      <c r="AS61" s="316">
        <v>275070</v>
      </c>
      <c r="AT61" s="456">
        <v>337713</v>
      </c>
      <c r="AU61" s="75">
        <v>264037</v>
      </c>
      <c r="AV61" s="75">
        <v>276485</v>
      </c>
      <c r="AW61" s="75">
        <v>233995</v>
      </c>
      <c r="AX61" s="75">
        <v>256873</v>
      </c>
      <c r="AY61" s="75">
        <v>262059</v>
      </c>
      <c r="AZ61" s="75">
        <v>261808</v>
      </c>
      <c r="BB61" s="130">
        <v>1</v>
      </c>
      <c r="BC61" s="130">
        <v>290910</v>
      </c>
      <c r="BD61" s="130">
        <v>290063</v>
      </c>
      <c r="BE61" s="1175">
        <v>297886</v>
      </c>
      <c r="BF61" s="130">
        <v>279587</v>
      </c>
      <c r="BG61" s="130">
        <v>289831</v>
      </c>
      <c r="BH61" s="130">
        <v>296072</v>
      </c>
      <c r="BI61" s="75">
        <v>283087</v>
      </c>
      <c r="BJ61" s="75">
        <v>282302</v>
      </c>
      <c r="BK61" s="75">
        <v>271537</v>
      </c>
      <c r="BL61" s="75">
        <v>275295</v>
      </c>
    </row>
    <row r="62" spans="1:64">
      <c r="A62" s="745" t="s">
        <v>749</v>
      </c>
      <c r="B62" s="788"/>
      <c r="C62" s="789"/>
      <c r="D62" s="789"/>
      <c r="E62" s="789"/>
      <c r="F62" s="789"/>
      <c r="G62" s="788"/>
      <c r="H62" s="789"/>
      <c r="I62" s="789"/>
      <c r="J62" s="789"/>
      <c r="K62" s="789"/>
      <c r="L62" s="788"/>
      <c r="M62" s="789"/>
      <c r="N62" s="789"/>
      <c r="O62" s="68">
        <f>消費ﾃﾞｰﾀ!AI17</f>
        <v>318312</v>
      </c>
      <c r="P62" s="68">
        <f>消費ﾃﾞｰﾀ!AJ17</f>
        <v>318268</v>
      </c>
      <c r="Q62" s="68">
        <f>消費ﾃﾞｰﾀ!AK17</f>
        <v>316329</v>
      </c>
      <c r="R62" s="68">
        <f>消費ﾃﾞｰﾀ!AL17</f>
        <v>322433</v>
      </c>
      <c r="S62" s="728">
        <f>消費ﾃﾞｰﾀ!AM17</f>
        <v>324869</v>
      </c>
      <c r="T62" s="728">
        <f>消費ﾃﾞｰﾀ!AN17</f>
        <v>312774</v>
      </c>
      <c r="U62" s="728">
        <f>消費ﾃﾞｰﾀ!AO17</f>
        <v>304713</v>
      </c>
      <c r="V62" s="68">
        <f>消費ﾃﾞｰﾀ!AP17</f>
        <v>306287</v>
      </c>
      <c r="W62" s="728">
        <f>消費ﾃﾞｰﾀ!AQ17</f>
        <v>295070</v>
      </c>
      <c r="X62" s="728">
        <f>消費ﾃﾞｰﾀ!AR17</f>
        <v>284024</v>
      </c>
      <c r="Y62" s="728">
        <f>消費ﾃﾞｰﾀ!AS17</f>
        <v>288761</v>
      </c>
      <c r="Z62" s="728">
        <f>消費ﾃﾞｰﾀ!AT17</f>
        <v>304007</v>
      </c>
      <c r="AA62" s="758">
        <f>消費ﾃﾞｰﾀ!AU17</f>
        <v>304743</v>
      </c>
      <c r="AB62" s="728">
        <f t="shared" ref="AB62:AN62" si="253">AA62</f>
        <v>304743</v>
      </c>
      <c r="AC62" s="728">
        <f t="shared" si="253"/>
        <v>304743</v>
      </c>
      <c r="AD62" s="728">
        <f t="shared" si="253"/>
        <v>304743</v>
      </c>
      <c r="AE62" s="728">
        <f t="shared" si="253"/>
        <v>304743</v>
      </c>
      <c r="AF62" s="758">
        <f t="shared" si="253"/>
        <v>304743</v>
      </c>
      <c r="AG62" s="758">
        <f t="shared" si="253"/>
        <v>304743</v>
      </c>
      <c r="AH62" s="758">
        <f t="shared" si="253"/>
        <v>304743</v>
      </c>
      <c r="AI62" s="758">
        <f t="shared" si="253"/>
        <v>304743</v>
      </c>
      <c r="AJ62" s="758">
        <f t="shared" si="253"/>
        <v>304743</v>
      </c>
      <c r="AK62" s="758">
        <f t="shared" si="253"/>
        <v>304743</v>
      </c>
      <c r="AL62" s="758">
        <f t="shared" si="253"/>
        <v>304743</v>
      </c>
      <c r="AM62" s="758">
        <f t="shared" si="253"/>
        <v>304743</v>
      </c>
      <c r="AN62" s="758">
        <f t="shared" si="253"/>
        <v>304743</v>
      </c>
      <c r="AO62" s="737"/>
      <c r="AP62" s="75">
        <v>2</v>
      </c>
      <c r="AQ62" s="75">
        <v>322808</v>
      </c>
      <c r="AR62" s="75">
        <v>228755</v>
      </c>
      <c r="AS62" s="316">
        <v>262545</v>
      </c>
      <c r="AT62" s="75">
        <v>288326</v>
      </c>
      <c r="AU62" s="75">
        <v>326536</v>
      </c>
      <c r="AV62" s="75">
        <v>251581</v>
      </c>
      <c r="AW62" s="75">
        <v>251082</v>
      </c>
      <c r="AX62" s="75">
        <v>226524</v>
      </c>
      <c r="AY62" s="75">
        <v>214409</v>
      </c>
      <c r="AZ62" s="75">
        <v>313459</v>
      </c>
      <c r="BB62" s="75">
        <v>2</v>
      </c>
      <c r="BC62" s="75">
        <v>271291</v>
      </c>
      <c r="BD62" s="75">
        <v>251076</v>
      </c>
      <c r="BE62" s="316">
        <v>259064</v>
      </c>
      <c r="BF62" s="75">
        <v>283557</v>
      </c>
      <c r="BG62" s="75">
        <v>259727</v>
      </c>
      <c r="BH62" s="75">
        <v>272111</v>
      </c>
      <c r="BI62" s="75">
        <v>267719</v>
      </c>
      <c r="BJ62" s="75">
        <v>265786</v>
      </c>
      <c r="BK62" s="75">
        <v>256814</v>
      </c>
      <c r="BL62" s="75">
        <v>261951</v>
      </c>
    </row>
    <row r="63" spans="1:64">
      <c r="A63" s="751"/>
      <c r="B63" s="790" t="s">
        <v>627</v>
      </c>
      <c r="C63" s="791" t="s">
        <v>347</v>
      </c>
      <c r="D63" s="792"/>
      <c r="E63" s="792"/>
      <c r="F63" s="792"/>
      <c r="G63" s="792"/>
      <c r="H63" s="793"/>
      <c r="I63" s="793"/>
      <c r="J63" s="793"/>
      <c r="K63" s="793"/>
      <c r="L63" s="793"/>
      <c r="M63" s="793"/>
      <c r="N63" s="793"/>
      <c r="O63" s="793"/>
      <c r="P63" s="793"/>
      <c r="Q63" s="793"/>
      <c r="R63" s="793"/>
      <c r="S63" s="258"/>
      <c r="T63" s="258"/>
      <c r="U63" s="258"/>
      <c r="V63" s="793"/>
      <c r="W63" s="784">
        <f t="shared" ref="W63:AC63" si="254">BD74</f>
        <v>0.95212419499585166</v>
      </c>
      <c r="X63" s="784">
        <f t="shared" si="254"/>
        <v>1.0132953387471864</v>
      </c>
      <c r="Y63" s="784">
        <f t="shared" si="254"/>
        <v>0.97268148139481148</v>
      </c>
      <c r="Z63" s="784">
        <f t="shared" si="254"/>
        <v>1.0527989096848172</v>
      </c>
      <c r="AA63" s="783">
        <f t="shared" si="254"/>
        <v>1.0024214133261427</v>
      </c>
      <c r="AB63" s="784">
        <f t="shared" si="254"/>
        <v>0.98080656536513433</v>
      </c>
      <c r="AC63" s="784">
        <f t="shared" si="254"/>
        <v>0.97309853749409125</v>
      </c>
      <c r="AD63" s="784">
        <f>BK74</f>
        <v>0.98959925359208811</v>
      </c>
      <c r="AE63" s="784">
        <f>BL74</f>
        <v>1.0057872301396966</v>
      </c>
      <c r="AF63" s="1172">
        <f t="shared" ref="AF63:AN63" si="255">AE63</f>
        <v>1.0057872301396966</v>
      </c>
      <c r="AG63" s="1172">
        <f t="shared" si="255"/>
        <v>1.0057872301396966</v>
      </c>
      <c r="AH63" s="1172">
        <f t="shared" si="255"/>
        <v>1.0057872301396966</v>
      </c>
      <c r="AI63" s="1172">
        <f t="shared" si="255"/>
        <v>1.0057872301396966</v>
      </c>
      <c r="AJ63" s="1172">
        <f t="shared" si="255"/>
        <v>1.0057872301396966</v>
      </c>
      <c r="AK63" s="1172">
        <f t="shared" si="255"/>
        <v>1.0057872301396966</v>
      </c>
      <c r="AL63" s="1172">
        <f t="shared" si="255"/>
        <v>1.0057872301396966</v>
      </c>
      <c r="AM63" s="1172">
        <f t="shared" si="255"/>
        <v>1.0057872301396966</v>
      </c>
      <c r="AN63" s="1172">
        <f t="shared" si="255"/>
        <v>1.0057872301396966</v>
      </c>
      <c r="AO63" s="1173"/>
      <c r="AP63" s="75">
        <v>3</v>
      </c>
      <c r="AQ63" s="75">
        <v>283081</v>
      </c>
      <c r="AR63" s="75">
        <v>290247</v>
      </c>
      <c r="AS63" s="316">
        <v>280834</v>
      </c>
      <c r="AT63" s="75">
        <v>271964</v>
      </c>
      <c r="AU63" s="75">
        <v>298361</v>
      </c>
      <c r="AV63" s="75">
        <v>309809</v>
      </c>
      <c r="AW63" s="75">
        <v>318550</v>
      </c>
      <c r="AX63" s="75">
        <v>282009</v>
      </c>
      <c r="AY63" s="75">
        <v>263817</v>
      </c>
      <c r="AZ63" s="75">
        <v>261505</v>
      </c>
      <c r="BB63" s="75">
        <v>3</v>
      </c>
      <c r="BC63" s="75">
        <v>317620</v>
      </c>
      <c r="BD63" s="75">
        <v>296345</v>
      </c>
      <c r="BE63" s="316">
        <v>286221</v>
      </c>
      <c r="BF63" s="75">
        <v>288385</v>
      </c>
      <c r="BG63" s="75">
        <v>314270</v>
      </c>
      <c r="BH63" s="75">
        <v>323128</v>
      </c>
      <c r="BI63" s="75">
        <v>321632</v>
      </c>
      <c r="BJ63" s="75">
        <v>298844</v>
      </c>
      <c r="BK63" s="75">
        <v>295883</v>
      </c>
      <c r="BL63" s="75">
        <v>288503</v>
      </c>
    </row>
    <row r="64" spans="1:64">
      <c r="A64" s="794" t="s">
        <v>166</v>
      </c>
      <c r="B64" s="762">
        <f>消費ﾃﾞｰﾀ!B3</f>
        <v>314281</v>
      </c>
      <c r="C64" s="795"/>
      <c r="D64" s="795"/>
      <c r="E64" s="795"/>
      <c r="F64" s="795"/>
      <c r="G64" s="796">
        <f>消費ﾃﾞｰﾀ!C3</f>
        <v>361329</v>
      </c>
      <c r="H64" s="795"/>
      <c r="I64" s="795"/>
      <c r="J64" s="795"/>
      <c r="K64" s="795"/>
      <c r="L64" s="796">
        <f>消費ﾃﾞｰﾀ!D3</f>
        <v>342061</v>
      </c>
      <c r="M64" s="795"/>
      <c r="N64" s="795"/>
      <c r="O64" s="795"/>
      <c r="P64" s="795"/>
      <c r="Q64" s="796">
        <f>消費ﾃﾞｰﾀ!E3</f>
        <v>314498</v>
      </c>
      <c r="R64" s="795"/>
      <c r="S64" s="797"/>
      <c r="T64" s="797"/>
      <c r="U64" s="797"/>
      <c r="V64" s="797"/>
      <c r="W64" s="797"/>
      <c r="X64" s="73"/>
      <c r="Y64" s="1176"/>
      <c r="Z64" s="797"/>
      <c r="AA64" s="795">
        <f>消費ﾃﾞｰﾀ!L4</f>
        <v>297515</v>
      </c>
      <c r="AB64" s="1177">
        <f>AA64/AA65</f>
        <v>0.94816129721047482</v>
      </c>
      <c r="AC64" s="1178"/>
      <c r="AD64" s="1178"/>
      <c r="AE64" s="1178"/>
      <c r="AF64" s="785"/>
      <c r="AG64" s="785"/>
      <c r="AH64" s="785"/>
      <c r="AI64" s="785"/>
      <c r="AJ64" s="785"/>
      <c r="AK64" s="785"/>
      <c r="AL64" s="785"/>
      <c r="AM64" s="785"/>
      <c r="AN64" s="785"/>
      <c r="AP64" s="75">
        <v>4</v>
      </c>
      <c r="AQ64" s="75">
        <v>271933</v>
      </c>
      <c r="AR64" s="75">
        <v>271660</v>
      </c>
      <c r="AS64" s="316">
        <v>295081</v>
      </c>
      <c r="AT64" s="75">
        <v>242667</v>
      </c>
      <c r="AU64" s="75">
        <v>238053</v>
      </c>
      <c r="AV64" s="75">
        <v>281478</v>
      </c>
      <c r="AW64" s="75">
        <v>287052</v>
      </c>
      <c r="AX64" s="75">
        <v>287251</v>
      </c>
      <c r="AY64" s="75">
        <v>251966</v>
      </c>
      <c r="AZ64" s="75">
        <v>311718</v>
      </c>
      <c r="BB64" s="75">
        <v>4</v>
      </c>
      <c r="BC64" s="75">
        <v>308035</v>
      </c>
      <c r="BD64" s="75">
        <v>282562</v>
      </c>
      <c r="BE64" s="316">
        <v>289114</v>
      </c>
      <c r="BF64" s="75">
        <v>281962</v>
      </c>
      <c r="BG64" s="75">
        <v>295963</v>
      </c>
      <c r="BH64" s="75">
        <v>297935</v>
      </c>
      <c r="BI64" s="75">
        <v>290192</v>
      </c>
      <c r="BJ64" s="75">
        <v>287854</v>
      </c>
      <c r="BK64" s="75">
        <v>284290</v>
      </c>
      <c r="BL64" s="75">
        <v>274841</v>
      </c>
    </row>
    <row r="65" spans="1:96">
      <c r="A65" s="794" t="s">
        <v>172</v>
      </c>
      <c r="B65" s="743">
        <f>消費ﾃﾞｰﾀ!B5</f>
        <v>323021</v>
      </c>
      <c r="C65" s="795">
        <f>ROUND($B$65*C60,0)</f>
        <v>303678</v>
      </c>
      <c r="D65" s="795">
        <f>ROUND($B$65*D60,0)</f>
        <v>331000</v>
      </c>
      <c r="E65" s="795">
        <f>ROUND($G$65*E60,0)</f>
        <v>287688</v>
      </c>
      <c r="F65" s="795">
        <f>ROUND($G$65*F60,0)</f>
        <v>288959</v>
      </c>
      <c r="G65" s="795">
        <v>312700</v>
      </c>
      <c r="H65" s="795">
        <f>ROUND(H59*$G$65/$G$59,0)</f>
        <v>342612</v>
      </c>
      <c r="I65" s="795">
        <f>ROUND(I59*$G$65/$G$59,0)</f>
        <v>313016</v>
      </c>
      <c r="J65" s="795">
        <f>ROUND(J59*$G$65/$G$59,0)</f>
        <v>324899</v>
      </c>
      <c r="K65" s="795">
        <f>ROUND(K59*$G$65/$G$59,0)</f>
        <v>320820</v>
      </c>
      <c r="L65" s="795">
        <f>消費ﾃﾞｰﾀ!D5</f>
        <v>336868</v>
      </c>
      <c r="M65" s="795">
        <f>ROUND($L$65*M60,0)</f>
        <v>305948</v>
      </c>
      <c r="N65" s="795">
        <f>ROUND($L$65*N60,0)</f>
        <v>294461</v>
      </c>
      <c r="O65" s="795">
        <f>ROUND($Q$65*O60,0)</f>
        <v>368015</v>
      </c>
      <c r="P65" s="795">
        <f>ROUND($Q$65*P60,0)</f>
        <v>365463</v>
      </c>
      <c r="Q65" s="795">
        <f>消費ﾃﾞｰﾀ!E4</f>
        <v>317936</v>
      </c>
      <c r="R65" s="796">
        <f>ROUND(Q65+(V65-Q65)/5,0)</f>
        <v>317820</v>
      </c>
      <c r="S65" s="797">
        <f>ROUND(Q65+(V65-Q65)/5*2,0)</f>
        <v>317703</v>
      </c>
      <c r="T65" s="797">
        <f>ROUND(Q65+(V65-Q65)/5*3,0)</f>
        <v>317587</v>
      </c>
      <c r="U65" s="73">
        <f>ROUND(Q65+(V65-Q65)/5*4,0)</f>
        <v>317470</v>
      </c>
      <c r="V65" s="795">
        <f>消費ﾃﾞｰﾀ!F4</f>
        <v>317354</v>
      </c>
      <c r="W65" s="73">
        <f t="shared" ref="W65:AF65" si="256">ROUND(V65*AS83,0)</f>
        <v>323647</v>
      </c>
      <c r="X65" s="73">
        <f t="shared" si="256"/>
        <v>307300</v>
      </c>
      <c r="Y65" s="73">
        <f t="shared" si="256"/>
        <v>311424</v>
      </c>
      <c r="Z65" s="797">
        <f t="shared" si="256"/>
        <v>308372</v>
      </c>
      <c r="AA65" s="73">
        <f t="shared" si="256"/>
        <v>313781</v>
      </c>
      <c r="AB65" s="73">
        <f t="shared" si="256"/>
        <v>316607</v>
      </c>
      <c r="AC65" s="73">
        <f t="shared" si="256"/>
        <v>312096</v>
      </c>
      <c r="AD65" s="73">
        <f t="shared" si="256"/>
        <v>301911</v>
      </c>
      <c r="AE65" s="73">
        <f t="shared" si="256"/>
        <v>291385</v>
      </c>
      <c r="AF65" s="73">
        <f t="shared" si="256"/>
        <v>282854</v>
      </c>
      <c r="AG65" s="73">
        <f>ROUND(AF65*BW128,0)</f>
        <v>268149</v>
      </c>
      <c r="AH65" s="1743">
        <f>AG65*BK83</f>
        <v>263319.4155243627</v>
      </c>
      <c r="AI65" s="1743">
        <f>AH65*BL83</f>
        <v>266952.47315618681</v>
      </c>
      <c r="AJ65" s="1743">
        <f>AI65*BM83</f>
        <v>279673.86432139209</v>
      </c>
      <c r="AK65" s="1743">
        <f>AJ65*BN83</f>
        <v>290079.53399244632</v>
      </c>
      <c r="AL65" s="1741">
        <f>AK65</f>
        <v>290079.53399244632</v>
      </c>
      <c r="AM65" s="1741">
        <f>AL65</f>
        <v>290079.53399244632</v>
      </c>
      <c r="AN65" s="1741">
        <f>AM65</f>
        <v>290079.53399244632</v>
      </c>
      <c r="AO65" s="75" t="s">
        <v>1014</v>
      </c>
      <c r="AP65" s="75">
        <v>5</v>
      </c>
      <c r="AQ65" s="75">
        <v>286126</v>
      </c>
      <c r="AR65" s="75">
        <v>288212</v>
      </c>
      <c r="AS65" s="316">
        <v>266898</v>
      </c>
      <c r="AT65" s="75">
        <v>242509</v>
      </c>
      <c r="AU65" s="75">
        <v>226378</v>
      </c>
      <c r="AV65" s="75">
        <v>263851</v>
      </c>
      <c r="AW65" s="75">
        <v>319529</v>
      </c>
      <c r="AX65" s="75">
        <v>261892</v>
      </c>
      <c r="AY65" s="75">
        <v>261675</v>
      </c>
      <c r="AZ65" s="75">
        <v>250062</v>
      </c>
      <c r="BB65" s="75">
        <v>5</v>
      </c>
      <c r="BC65" s="75">
        <v>285747</v>
      </c>
      <c r="BD65" s="75">
        <v>273580</v>
      </c>
      <c r="BE65" s="316">
        <v>284218</v>
      </c>
      <c r="BF65" s="75">
        <v>267615</v>
      </c>
      <c r="BG65" s="75">
        <v>279397</v>
      </c>
      <c r="BH65" s="75">
        <v>269189</v>
      </c>
      <c r="BI65" s="75">
        <v>285790</v>
      </c>
      <c r="BJ65" s="75">
        <v>271411</v>
      </c>
      <c r="BK65" s="75">
        <v>282018</v>
      </c>
      <c r="BL65" s="75">
        <v>273422</v>
      </c>
    </row>
    <row r="66" spans="1:96">
      <c r="A66" s="763" t="s">
        <v>182</v>
      </c>
      <c r="B66" s="798"/>
      <c r="C66" s="744"/>
      <c r="D66" s="744"/>
      <c r="E66" s="744"/>
      <c r="F66" s="744"/>
      <c r="G66" s="796"/>
      <c r="H66" s="744"/>
      <c r="I66" s="744"/>
      <c r="J66" s="744"/>
      <c r="K66" s="744"/>
      <c r="L66" s="796"/>
      <c r="M66" s="744"/>
      <c r="N66" s="744"/>
      <c r="O66" s="744"/>
      <c r="P66" s="744"/>
      <c r="Q66" s="795">
        <f>消費ﾃﾞｰﾀ!E5</f>
        <v>312700</v>
      </c>
      <c r="R66" s="796">
        <f>ROUND(Q66+(V66-Q66)/5,0)</f>
        <v>312768</v>
      </c>
      <c r="S66" s="797">
        <f>ROUND(Q66+(V66-Q66)/5*2,0)</f>
        <v>312837</v>
      </c>
      <c r="T66" s="797">
        <f>ROUND(Q66+(V66-Q66)/5*3,0)</f>
        <v>312905</v>
      </c>
      <c r="U66" s="73">
        <f>ROUND(Q66+(V66-Q66)/5*4,0)</f>
        <v>312974</v>
      </c>
      <c r="V66" s="1179">
        <f>消費ﾃﾞｰﾀ!F5</f>
        <v>313042</v>
      </c>
      <c r="W66" s="73"/>
      <c r="X66" s="73" t="s">
        <v>627</v>
      </c>
      <c r="Y66" s="73"/>
      <c r="Z66" s="797"/>
      <c r="AA66" s="795">
        <f>消費ﾃﾞｰﾀ!L6</f>
        <v>291455</v>
      </c>
      <c r="AB66" s="1177">
        <f>AA66/AA67</f>
        <v>0.94163847776711607</v>
      </c>
      <c r="AC66" s="73"/>
      <c r="AD66" s="73"/>
      <c r="AE66" s="73"/>
      <c r="AF66" s="73"/>
      <c r="AG66" s="73"/>
      <c r="AH66" s="1169"/>
      <c r="AI66" s="1169"/>
      <c r="AJ66" s="1169"/>
      <c r="AK66" s="1169"/>
      <c r="AL66" s="1741"/>
      <c r="AM66" s="1741"/>
      <c r="AN66" s="1741"/>
      <c r="AO66" s="75" t="s">
        <v>1012</v>
      </c>
      <c r="AP66" s="75">
        <v>6</v>
      </c>
      <c r="AQ66" s="75">
        <v>281333</v>
      </c>
      <c r="AR66" s="75">
        <v>262156</v>
      </c>
      <c r="AS66" s="316">
        <v>276792</v>
      </c>
      <c r="AT66" s="75">
        <v>302182</v>
      </c>
      <c r="AU66" s="75">
        <v>244596</v>
      </c>
      <c r="AV66" s="75">
        <v>220544</v>
      </c>
      <c r="AW66" s="75">
        <v>241309</v>
      </c>
      <c r="AX66" s="75">
        <v>222743</v>
      </c>
      <c r="AY66" s="75">
        <v>209924</v>
      </c>
      <c r="AZ66" s="75">
        <v>235688</v>
      </c>
      <c r="BB66" s="75">
        <v>6</v>
      </c>
      <c r="BC66" s="75">
        <v>286687</v>
      </c>
      <c r="BD66" s="75">
        <v>272946</v>
      </c>
      <c r="BE66" s="316">
        <v>276336</v>
      </c>
      <c r="BF66" s="75">
        <v>254968</v>
      </c>
      <c r="BG66" s="75">
        <v>268813</v>
      </c>
      <c r="BH66" s="75">
        <v>279633</v>
      </c>
      <c r="BI66" s="75">
        <v>256285</v>
      </c>
      <c r="BJ66" s="75">
        <v>242924</v>
      </c>
      <c r="BK66" s="75">
        <v>256197</v>
      </c>
      <c r="BL66" s="75">
        <v>263513</v>
      </c>
    </row>
    <row r="67" spans="1:96">
      <c r="A67" s="741" t="s">
        <v>183</v>
      </c>
      <c r="B67" s="796">
        <f>B65</f>
        <v>323021</v>
      </c>
      <c r="C67" s="744">
        <f>C65</f>
        <v>303678</v>
      </c>
      <c r="D67" s="744">
        <f t="shared" ref="D67:P67" si="257">D65</f>
        <v>331000</v>
      </c>
      <c r="E67" s="744">
        <f t="shared" si="257"/>
        <v>287688</v>
      </c>
      <c r="F67" s="744">
        <f t="shared" si="257"/>
        <v>288959</v>
      </c>
      <c r="G67" s="796">
        <f t="shared" si="257"/>
        <v>312700</v>
      </c>
      <c r="H67" s="744">
        <f t="shared" si="257"/>
        <v>342612</v>
      </c>
      <c r="I67" s="744">
        <f t="shared" si="257"/>
        <v>313016</v>
      </c>
      <c r="J67" s="744">
        <f t="shared" si="257"/>
        <v>324899</v>
      </c>
      <c r="K67" s="744">
        <f t="shared" si="257"/>
        <v>320820</v>
      </c>
      <c r="L67" s="796">
        <f t="shared" si="257"/>
        <v>336868</v>
      </c>
      <c r="M67" s="744">
        <f t="shared" si="257"/>
        <v>305948</v>
      </c>
      <c r="N67" s="744">
        <f t="shared" si="257"/>
        <v>294461</v>
      </c>
      <c r="O67" s="744">
        <f t="shared" si="257"/>
        <v>368015</v>
      </c>
      <c r="P67" s="744">
        <f t="shared" si="257"/>
        <v>365463</v>
      </c>
      <c r="Q67" s="796">
        <f t="shared" ref="Q67:V67" si="258">Q66</f>
        <v>312700</v>
      </c>
      <c r="R67" s="744">
        <f t="shared" si="258"/>
        <v>312768</v>
      </c>
      <c r="S67" s="797">
        <f t="shared" si="258"/>
        <v>312837</v>
      </c>
      <c r="T67" s="797">
        <f t="shared" si="258"/>
        <v>312905</v>
      </c>
      <c r="U67" s="797">
        <f t="shared" si="258"/>
        <v>312974</v>
      </c>
      <c r="V67" s="744">
        <f t="shared" si="258"/>
        <v>313042</v>
      </c>
      <c r="W67" s="73">
        <f t="shared" ref="W67:AF67" si="259">ROUND(V67*AS83,0)</f>
        <v>319250</v>
      </c>
      <c r="X67" s="73">
        <f t="shared" si="259"/>
        <v>303125</v>
      </c>
      <c r="Y67" s="73">
        <f t="shared" si="259"/>
        <v>307193</v>
      </c>
      <c r="Z67" s="797">
        <f t="shared" si="259"/>
        <v>304183</v>
      </c>
      <c r="AA67" s="73">
        <f t="shared" si="259"/>
        <v>309519</v>
      </c>
      <c r="AB67" s="73">
        <f t="shared" si="259"/>
        <v>312307</v>
      </c>
      <c r="AC67" s="73">
        <f t="shared" si="259"/>
        <v>307857</v>
      </c>
      <c r="AD67" s="73">
        <f t="shared" si="259"/>
        <v>297811</v>
      </c>
      <c r="AE67" s="73">
        <f t="shared" si="259"/>
        <v>287428</v>
      </c>
      <c r="AF67" s="73">
        <f t="shared" si="259"/>
        <v>279012</v>
      </c>
      <c r="AG67" s="73">
        <f>ROUND(AF67*BW128,0)</f>
        <v>264507</v>
      </c>
      <c r="AH67" s="1743">
        <f>AG67*BK83</f>
        <v>259743.01094578989</v>
      </c>
      <c r="AI67" s="1743">
        <f>AH67*BL83</f>
        <v>263326.72438503784</v>
      </c>
      <c r="AJ67" s="1743">
        <f>AI67*BM83</f>
        <v>275875.33360205882</v>
      </c>
      <c r="AK67" s="1743">
        <f>AJ67*BN83</f>
        <v>286139.67345669767</v>
      </c>
      <c r="AL67" s="1741">
        <f t="shared" ref="AL67:AN69" si="260">AK67</f>
        <v>286139.67345669767</v>
      </c>
      <c r="AM67" s="1741">
        <f t="shared" si="260"/>
        <v>286139.67345669767</v>
      </c>
      <c r="AN67" s="1741">
        <f t="shared" si="260"/>
        <v>286139.67345669767</v>
      </c>
      <c r="AO67" s="75" t="s">
        <v>1014</v>
      </c>
      <c r="AP67" s="75">
        <v>7</v>
      </c>
      <c r="AQ67" s="75">
        <v>260482</v>
      </c>
      <c r="AR67" s="75">
        <v>260793</v>
      </c>
      <c r="AS67" s="316">
        <v>260044</v>
      </c>
      <c r="AT67" s="75">
        <v>256472</v>
      </c>
      <c r="AU67" s="75">
        <v>226034</v>
      </c>
      <c r="AV67" s="75">
        <v>240903</v>
      </c>
      <c r="AW67" s="75">
        <v>266084</v>
      </c>
      <c r="AX67" s="75">
        <v>241712</v>
      </c>
      <c r="AY67" s="75">
        <v>206168</v>
      </c>
      <c r="AZ67" s="75">
        <v>293775</v>
      </c>
      <c r="BB67" s="75">
        <v>7</v>
      </c>
      <c r="BC67" s="75">
        <v>290592</v>
      </c>
      <c r="BD67" s="75">
        <v>266167</v>
      </c>
      <c r="BE67" s="316">
        <v>280970</v>
      </c>
      <c r="BF67" s="75">
        <v>286150</v>
      </c>
      <c r="BG67" s="75">
        <v>286152</v>
      </c>
      <c r="BH67" s="75">
        <v>283992</v>
      </c>
      <c r="BI67" s="75">
        <v>274454</v>
      </c>
      <c r="BJ67" s="75">
        <v>284342</v>
      </c>
      <c r="BK67" s="75">
        <v>270011</v>
      </c>
      <c r="BL67" s="75">
        <v>272497</v>
      </c>
    </row>
    <row r="68" spans="1:96">
      <c r="A68" s="741" t="s">
        <v>184</v>
      </c>
      <c r="B68" s="796">
        <f>B65</f>
        <v>323021</v>
      </c>
      <c r="C68" s="744">
        <f>C65</f>
        <v>303678</v>
      </c>
      <c r="D68" s="744">
        <f t="shared" ref="D68:P68" si="261">D65</f>
        <v>331000</v>
      </c>
      <c r="E68" s="744">
        <f t="shared" si="261"/>
        <v>287688</v>
      </c>
      <c r="F68" s="744">
        <f t="shared" si="261"/>
        <v>288959</v>
      </c>
      <c r="G68" s="796">
        <f t="shared" si="261"/>
        <v>312700</v>
      </c>
      <c r="H68" s="744">
        <f t="shared" si="261"/>
        <v>342612</v>
      </c>
      <c r="I68" s="744">
        <f t="shared" si="261"/>
        <v>313016</v>
      </c>
      <c r="J68" s="744">
        <f t="shared" si="261"/>
        <v>324899</v>
      </c>
      <c r="K68" s="744">
        <f t="shared" si="261"/>
        <v>320820</v>
      </c>
      <c r="L68" s="796">
        <f t="shared" si="261"/>
        <v>336868</v>
      </c>
      <c r="M68" s="744">
        <f t="shared" si="261"/>
        <v>305948</v>
      </c>
      <c r="N68" s="744">
        <f t="shared" si="261"/>
        <v>294461</v>
      </c>
      <c r="O68" s="744">
        <f t="shared" si="261"/>
        <v>368015</v>
      </c>
      <c r="P68" s="744">
        <f t="shared" si="261"/>
        <v>365463</v>
      </c>
      <c r="Q68" s="796">
        <f t="shared" ref="Q68:V68" si="262">Q66</f>
        <v>312700</v>
      </c>
      <c r="R68" s="744">
        <f t="shared" si="262"/>
        <v>312768</v>
      </c>
      <c r="S68" s="797">
        <f t="shared" si="262"/>
        <v>312837</v>
      </c>
      <c r="T68" s="797">
        <f t="shared" si="262"/>
        <v>312905</v>
      </c>
      <c r="U68" s="797">
        <f t="shared" si="262"/>
        <v>312974</v>
      </c>
      <c r="V68" s="744">
        <f t="shared" si="262"/>
        <v>313042</v>
      </c>
      <c r="W68" s="73">
        <f t="shared" ref="W68:AF68" si="263">ROUND(V68*AS83,0)</f>
        <v>319250</v>
      </c>
      <c r="X68" s="73">
        <f t="shared" si="263"/>
        <v>303125</v>
      </c>
      <c r="Y68" s="73">
        <f t="shared" si="263"/>
        <v>307193</v>
      </c>
      <c r="Z68" s="797">
        <f t="shared" si="263"/>
        <v>304183</v>
      </c>
      <c r="AA68" s="73">
        <f t="shared" si="263"/>
        <v>309519</v>
      </c>
      <c r="AB68" s="73">
        <f t="shared" si="263"/>
        <v>312307</v>
      </c>
      <c r="AC68" s="73">
        <f t="shared" si="263"/>
        <v>307857</v>
      </c>
      <c r="AD68" s="73">
        <f t="shared" si="263"/>
        <v>297811</v>
      </c>
      <c r="AE68" s="73">
        <f t="shared" si="263"/>
        <v>287428</v>
      </c>
      <c r="AF68" s="73">
        <f t="shared" si="263"/>
        <v>279012</v>
      </c>
      <c r="AG68" s="73">
        <f>ROUND(AF68*BW128,0)</f>
        <v>264507</v>
      </c>
      <c r="AH68" s="1743">
        <f>AG68*BK83</f>
        <v>259743.01094578989</v>
      </c>
      <c r="AI68" s="1743">
        <f>AH68*BL83</f>
        <v>263326.72438503784</v>
      </c>
      <c r="AJ68" s="1743">
        <f>AI68*BM83</f>
        <v>275875.33360205882</v>
      </c>
      <c r="AK68" s="1743">
        <f>AJ68*BN83</f>
        <v>286139.67345669767</v>
      </c>
      <c r="AL68" s="1741">
        <f t="shared" si="260"/>
        <v>286139.67345669767</v>
      </c>
      <c r="AM68" s="1741">
        <f t="shared" si="260"/>
        <v>286139.67345669767</v>
      </c>
      <c r="AN68" s="1741">
        <f t="shared" si="260"/>
        <v>286139.67345669767</v>
      </c>
      <c r="AO68" s="75" t="s">
        <v>1014</v>
      </c>
      <c r="AP68" s="75">
        <v>8</v>
      </c>
      <c r="AQ68" s="75">
        <v>265646</v>
      </c>
      <c r="AR68" s="75">
        <v>258602</v>
      </c>
      <c r="AS68" s="316">
        <v>267157</v>
      </c>
      <c r="AT68" s="75">
        <v>256140</v>
      </c>
      <c r="AU68" s="75">
        <v>263316</v>
      </c>
      <c r="AV68" s="75">
        <v>239634</v>
      </c>
      <c r="AW68" s="75">
        <v>245697</v>
      </c>
      <c r="AX68" s="75">
        <v>259415</v>
      </c>
      <c r="AY68" s="75">
        <v>208005</v>
      </c>
      <c r="AZ68" s="75">
        <v>268308</v>
      </c>
      <c r="BB68" s="75">
        <v>8</v>
      </c>
      <c r="BC68" s="75">
        <v>291004</v>
      </c>
      <c r="BD68" s="75">
        <v>271394</v>
      </c>
      <c r="BE68" s="316">
        <v>283975</v>
      </c>
      <c r="BF68" s="75">
        <v>275097</v>
      </c>
      <c r="BG68" s="75">
        <v>292647</v>
      </c>
      <c r="BH68" s="75">
        <v>286694</v>
      </c>
      <c r="BI68" s="75">
        <v>280265</v>
      </c>
      <c r="BJ68" s="75">
        <v>276144</v>
      </c>
      <c r="BK68" s="75">
        <v>271202</v>
      </c>
      <c r="BL68" s="75">
        <v>276613</v>
      </c>
    </row>
    <row r="69" spans="1:96">
      <c r="A69" s="741" t="s">
        <v>185</v>
      </c>
      <c r="B69" s="796">
        <f>B65</f>
        <v>323021</v>
      </c>
      <c r="C69" s="744">
        <f>C65</f>
        <v>303678</v>
      </c>
      <c r="D69" s="744">
        <f t="shared" ref="D69:P69" si="264">D65</f>
        <v>331000</v>
      </c>
      <c r="E69" s="744">
        <f t="shared" si="264"/>
        <v>287688</v>
      </c>
      <c r="F69" s="744">
        <f t="shared" si="264"/>
        <v>288959</v>
      </c>
      <c r="G69" s="796">
        <f t="shared" si="264"/>
        <v>312700</v>
      </c>
      <c r="H69" s="744">
        <f t="shared" si="264"/>
        <v>342612</v>
      </c>
      <c r="I69" s="744">
        <f t="shared" si="264"/>
        <v>313016</v>
      </c>
      <c r="J69" s="744">
        <f t="shared" si="264"/>
        <v>324899</v>
      </c>
      <c r="K69" s="744">
        <f t="shared" si="264"/>
        <v>320820</v>
      </c>
      <c r="L69" s="796">
        <f t="shared" si="264"/>
        <v>336868</v>
      </c>
      <c r="M69" s="744">
        <f t="shared" si="264"/>
        <v>305948</v>
      </c>
      <c r="N69" s="744">
        <f t="shared" si="264"/>
        <v>294461</v>
      </c>
      <c r="O69" s="744">
        <f t="shared" si="264"/>
        <v>368015</v>
      </c>
      <c r="P69" s="744">
        <f t="shared" si="264"/>
        <v>365463</v>
      </c>
      <c r="Q69" s="796">
        <f t="shared" ref="Q69:V69" si="265">Q66</f>
        <v>312700</v>
      </c>
      <c r="R69" s="744">
        <f t="shared" si="265"/>
        <v>312768</v>
      </c>
      <c r="S69" s="797">
        <f t="shared" si="265"/>
        <v>312837</v>
      </c>
      <c r="T69" s="797">
        <f t="shared" si="265"/>
        <v>312905</v>
      </c>
      <c r="U69" s="797">
        <f t="shared" si="265"/>
        <v>312974</v>
      </c>
      <c r="V69" s="744">
        <f t="shared" si="265"/>
        <v>313042</v>
      </c>
      <c r="W69" s="73">
        <f t="shared" ref="W69:AF69" si="266">ROUND(V69*AS85,0)</f>
        <v>300682</v>
      </c>
      <c r="X69" s="73">
        <f t="shared" si="266"/>
        <v>299553</v>
      </c>
      <c r="Y69" s="73">
        <f t="shared" si="266"/>
        <v>309368</v>
      </c>
      <c r="Z69" s="797">
        <f t="shared" si="266"/>
        <v>313309</v>
      </c>
      <c r="AA69" s="73">
        <f t="shared" si="266"/>
        <v>321641</v>
      </c>
      <c r="AB69" s="73">
        <f t="shared" si="266"/>
        <v>320901</v>
      </c>
      <c r="AC69" s="73">
        <f t="shared" si="266"/>
        <v>313514</v>
      </c>
      <c r="AD69" s="73">
        <f t="shared" si="266"/>
        <v>299853</v>
      </c>
      <c r="AE69" s="73">
        <f t="shared" si="266"/>
        <v>316412</v>
      </c>
      <c r="AF69" s="73">
        <f t="shared" si="266"/>
        <v>327300</v>
      </c>
      <c r="AG69" s="73">
        <f>ROUND(AF69*BY128,0)</f>
        <v>302870</v>
      </c>
      <c r="AH69" s="1743">
        <f>AG69*BK85</f>
        <v>300694.01347817865</v>
      </c>
      <c r="AI69" s="1743">
        <f>AH69*BL85</f>
        <v>317528.92704732239</v>
      </c>
      <c r="AJ69" s="1743">
        <f>AI69*BM85</f>
        <v>324266.06702871755</v>
      </c>
      <c r="AK69" s="1743">
        <f>AJ69*BN85</f>
        <v>313261.98669308267</v>
      </c>
      <c r="AL69" s="1741">
        <f t="shared" si="260"/>
        <v>313261.98669308267</v>
      </c>
      <c r="AM69" s="1741">
        <f t="shared" si="260"/>
        <v>313261.98669308267</v>
      </c>
      <c r="AN69" s="1741">
        <f t="shared" si="260"/>
        <v>313261.98669308267</v>
      </c>
      <c r="AO69" s="75" t="s">
        <v>1017</v>
      </c>
      <c r="AP69" s="75">
        <v>9</v>
      </c>
      <c r="AQ69" s="75">
        <v>257244</v>
      </c>
      <c r="AR69" s="75">
        <v>294256</v>
      </c>
      <c r="AS69" s="75">
        <v>236265</v>
      </c>
      <c r="AT69" s="75">
        <v>242768</v>
      </c>
      <c r="AU69" s="75">
        <v>259285</v>
      </c>
      <c r="AV69" s="75">
        <v>243437</v>
      </c>
      <c r="AW69" s="75">
        <v>234091</v>
      </c>
      <c r="AX69" s="75">
        <v>251473</v>
      </c>
      <c r="AY69" s="75">
        <v>207393</v>
      </c>
      <c r="AZ69" s="75">
        <v>280087</v>
      </c>
      <c r="BB69" s="75">
        <v>9</v>
      </c>
      <c r="BC69" s="1180">
        <v>278908</v>
      </c>
      <c r="BD69" s="75">
        <v>280084</v>
      </c>
      <c r="BE69" s="75">
        <v>260657</v>
      </c>
      <c r="BF69" s="75">
        <v>248639</v>
      </c>
      <c r="BG69" s="75">
        <v>269797</v>
      </c>
      <c r="BH69" s="75">
        <v>283204</v>
      </c>
      <c r="BI69" s="75">
        <v>274744</v>
      </c>
      <c r="BJ69" s="75">
        <v>274400</v>
      </c>
      <c r="BK69" s="75">
        <v>263089</v>
      </c>
      <c r="BL69" s="75">
        <v>261081</v>
      </c>
    </row>
    <row r="70" spans="1:96">
      <c r="A70" s="763" t="s">
        <v>186</v>
      </c>
      <c r="B70" s="796"/>
      <c r="C70" s="744"/>
      <c r="D70" s="744"/>
      <c r="E70" s="744"/>
      <c r="F70" s="744"/>
      <c r="G70" s="796"/>
      <c r="H70" s="744"/>
      <c r="I70" s="744"/>
      <c r="J70" s="744"/>
      <c r="K70" s="744"/>
      <c r="L70" s="796"/>
      <c r="M70" s="744"/>
      <c r="N70" s="744"/>
      <c r="O70" s="744"/>
      <c r="P70" s="744"/>
      <c r="Q70" s="796"/>
      <c r="R70" s="744"/>
      <c r="S70" s="797"/>
      <c r="T70" s="797"/>
      <c r="U70" s="797"/>
      <c r="V70" s="744"/>
      <c r="W70" s="797"/>
      <c r="X70" s="73" t="s">
        <v>627</v>
      </c>
      <c r="Y70" s="73"/>
      <c r="Z70" s="797"/>
      <c r="AA70" s="795">
        <f>消費ﾃﾞｰﾀ!L7</f>
        <v>291383</v>
      </c>
      <c r="AB70" s="1177">
        <f>AA70/AA71</f>
        <v>0.95214490177369393</v>
      </c>
      <c r="AC70" s="73"/>
      <c r="AD70" s="73"/>
      <c r="AE70" s="73"/>
      <c r="AF70" s="73"/>
      <c r="AG70" s="73"/>
      <c r="AH70" s="1169"/>
      <c r="AI70" s="1169"/>
      <c r="AJ70" s="1169"/>
      <c r="AK70" s="1169"/>
      <c r="AL70" s="1741"/>
      <c r="AM70" s="1741"/>
      <c r="AN70" s="1741"/>
      <c r="AO70" s="75" t="s">
        <v>1015</v>
      </c>
      <c r="AP70" s="75">
        <v>10</v>
      </c>
      <c r="AQ70" s="75">
        <v>280588</v>
      </c>
      <c r="AR70" s="75">
        <v>305421</v>
      </c>
      <c r="AS70" s="75">
        <v>279028</v>
      </c>
      <c r="AT70" s="75">
        <v>260504</v>
      </c>
      <c r="AU70" s="75">
        <v>277819</v>
      </c>
      <c r="AV70" s="75">
        <v>257598</v>
      </c>
      <c r="AW70" s="75">
        <v>233283</v>
      </c>
      <c r="AX70" s="75">
        <v>285639</v>
      </c>
      <c r="AY70" s="75">
        <v>247889</v>
      </c>
      <c r="AZ70" s="75">
        <v>316708</v>
      </c>
      <c r="BB70" s="75">
        <v>10</v>
      </c>
      <c r="BC70" s="75">
        <v>286821</v>
      </c>
      <c r="BD70" s="75">
        <v>284321</v>
      </c>
      <c r="BE70" s="75">
        <v>281375</v>
      </c>
      <c r="BF70" s="75">
        <v>270828</v>
      </c>
      <c r="BG70" s="75">
        <v>308105</v>
      </c>
      <c r="BH70" s="75">
        <v>286325</v>
      </c>
      <c r="BI70" s="75">
        <v>295514</v>
      </c>
      <c r="BJ70" s="75">
        <v>273773</v>
      </c>
      <c r="BK70" s="75">
        <v>273416</v>
      </c>
      <c r="BL70" s="75">
        <v>287982</v>
      </c>
    </row>
    <row r="71" spans="1:96">
      <c r="A71" s="741" t="s">
        <v>187</v>
      </c>
      <c r="B71" s="796">
        <f>B65</f>
        <v>323021</v>
      </c>
      <c r="C71" s="744">
        <f>C65</f>
        <v>303678</v>
      </c>
      <c r="D71" s="744">
        <f t="shared" ref="D71:P71" si="267">D65</f>
        <v>331000</v>
      </c>
      <c r="E71" s="744">
        <f t="shared" si="267"/>
        <v>287688</v>
      </c>
      <c r="F71" s="744">
        <f t="shared" si="267"/>
        <v>288959</v>
      </c>
      <c r="G71" s="796">
        <f t="shared" si="267"/>
        <v>312700</v>
      </c>
      <c r="H71" s="744">
        <f t="shared" si="267"/>
        <v>342612</v>
      </c>
      <c r="I71" s="744">
        <f t="shared" si="267"/>
        <v>313016</v>
      </c>
      <c r="J71" s="744">
        <f t="shared" si="267"/>
        <v>324899</v>
      </c>
      <c r="K71" s="744">
        <f t="shared" si="267"/>
        <v>320820</v>
      </c>
      <c r="L71" s="796">
        <f t="shared" si="267"/>
        <v>336868</v>
      </c>
      <c r="M71" s="744">
        <f t="shared" si="267"/>
        <v>305948</v>
      </c>
      <c r="N71" s="744">
        <f t="shared" si="267"/>
        <v>294461</v>
      </c>
      <c r="O71" s="744">
        <f t="shared" si="267"/>
        <v>368015</v>
      </c>
      <c r="P71" s="744">
        <f t="shared" si="267"/>
        <v>365463</v>
      </c>
      <c r="Q71" s="796">
        <f t="shared" ref="Q71:V71" si="268">Q66</f>
        <v>312700</v>
      </c>
      <c r="R71" s="744">
        <f t="shared" si="268"/>
        <v>312768</v>
      </c>
      <c r="S71" s="797">
        <f t="shared" si="268"/>
        <v>312837</v>
      </c>
      <c r="T71" s="797">
        <f t="shared" si="268"/>
        <v>312905</v>
      </c>
      <c r="U71" s="797">
        <f t="shared" si="268"/>
        <v>312974</v>
      </c>
      <c r="V71" s="744">
        <f t="shared" si="268"/>
        <v>313042</v>
      </c>
      <c r="W71" s="73">
        <f t="shared" ref="W71:AF71" si="269">ROUND(V71*AS84,0)</f>
        <v>316337</v>
      </c>
      <c r="X71" s="73">
        <f t="shared" si="269"/>
        <v>299161</v>
      </c>
      <c r="Y71" s="73">
        <f t="shared" si="269"/>
        <v>305969</v>
      </c>
      <c r="Z71" s="797">
        <f t="shared" si="269"/>
        <v>302971</v>
      </c>
      <c r="AA71" s="73">
        <f t="shared" si="269"/>
        <v>306028</v>
      </c>
      <c r="AB71" s="73">
        <f t="shared" si="269"/>
        <v>298718</v>
      </c>
      <c r="AC71" s="73">
        <f t="shared" si="269"/>
        <v>293120</v>
      </c>
      <c r="AD71" s="73">
        <f t="shared" si="269"/>
        <v>295475</v>
      </c>
      <c r="AE71" s="73">
        <f t="shared" si="269"/>
        <v>294324</v>
      </c>
      <c r="AF71" s="73">
        <f t="shared" si="269"/>
        <v>305018</v>
      </c>
      <c r="AG71" s="73">
        <f>ROUND(AF71*BX128,0)</f>
        <v>282174</v>
      </c>
      <c r="AH71" s="1743">
        <f>AG71*BK84</f>
        <v>294639.49102934357</v>
      </c>
      <c r="AI71" s="1743">
        <f>AH71*BL84</f>
        <v>307145.64320765622</v>
      </c>
      <c r="AJ71" s="1743">
        <f>AI71*BM84</f>
        <v>300215.8956728371</v>
      </c>
      <c r="AK71" s="1743">
        <f>AJ71*BN84</f>
        <v>309809.7254297632</v>
      </c>
      <c r="AL71" s="1741">
        <f t="shared" ref="AL71:AN75" si="270">AK71</f>
        <v>309809.7254297632</v>
      </c>
      <c r="AM71" s="1741">
        <f t="shared" si="270"/>
        <v>309809.7254297632</v>
      </c>
      <c r="AN71" s="1741">
        <f t="shared" si="270"/>
        <v>309809.7254297632</v>
      </c>
      <c r="AO71" s="75" t="s">
        <v>1016</v>
      </c>
      <c r="AP71" s="75">
        <v>11</v>
      </c>
      <c r="AQ71" s="75">
        <v>279762</v>
      </c>
      <c r="AR71" s="75">
        <v>276546</v>
      </c>
      <c r="AS71" s="75">
        <v>253301</v>
      </c>
      <c r="AT71" s="453">
        <v>245190</v>
      </c>
      <c r="AU71" s="456">
        <v>258844</v>
      </c>
      <c r="AV71" s="456">
        <v>255964</v>
      </c>
      <c r="AW71" s="75">
        <v>245464</v>
      </c>
      <c r="AX71" s="453">
        <v>272857</v>
      </c>
      <c r="AY71" s="453">
        <v>213293</v>
      </c>
      <c r="AZ71" s="453">
        <v>265905</v>
      </c>
      <c r="BB71" s="75">
        <v>11</v>
      </c>
      <c r="BC71" s="75">
        <v>288394</v>
      </c>
      <c r="BD71" s="75">
        <v>276540</v>
      </c>
      <c r="BE71" s="75">
        <v>274503</v>
      </c>
      <c r="BF71" s="453">
        <v>261609</v>
      </c>
      <c r="BG71" s="456">
        <v>303655</v>
      </c>
      <c r="BH71" s="456">
        <v>288702</v>
      </c>
      <c r="BI71" s="75">
        <v>272873</v>
      </c>
      <c r="BJ71" s="453">
        <v>266857</v>
      </c>
      <c r="BK71" s="453">
        <v>281373</v>
      </c>
      <c r="BL71" s="453">
        <v>278246</v>
      </c>
      <c r="BM71" s="453"/>
      <c r="BN71" s="453"/>
    </row>
    <row r="72" spans="1:96">
      <c r="A72" s="741" t="s">
        <v>188</v>
      </c>
      <c r="B72" s="796">
        <f>B65</f>
        <v>323021</v>
      </c>
      <c r="C72" s="744">
        <f>C65</f>
        <v>303678</v>
      </c>
      <c r="D72" s="744">
        <f t="shared" ref="D72:P72" si="271">D65</f>
        <v>331000</v>
      </c>
      <c r="E72" s="744">
        <f t="shared" si="271"/>
        <v>287688</v>
      </c>
      <c r="F72" s="744">
        <f t="shared" si="271"/>
        <v>288959</v>
      </c>
      <c r="G72" s="796">
        <f t="shared" si="271"/>
        <v>312700</v>
      </c>
      <c r="H72" s="744">
        <f t="shared" si="271"/>
        <v>342612</v>
      </c>
      <c r="I72" s="744">
        <f t="shared" si="271"/>
        <v>313016</v>
      </c>
      <c r="J72" s="744">
        <f t="shared" si="271"/>
        <v>324899</v>
      </c>
      <c r="K72" s="744">
        <f t="shared" si="271"/>
        <v>320820</v>
      </c>
      <c r="L72" s="796">
        <f t="shared" si="271"/>
        <v>336868</v>
      </c>
      <c r="M72" s="744">
        <f t="shared" si="271"/>
        <v>305948</v>
      </c>
      <c r="N72" s="744">
        <f t="shared" si="271"/>
        <v>294461</v>
      </c>
      <c r="O72" s="744">
        <f t="shared" si="271"/>
        <v>368015</v>
      </c>
      <c r="P72" s="744">
        <f t="shared" si="271"/>
        <v>365463</v>
      </c>
      <c r="Q72" s="796">
        <f t="shared" ref="Q72:V72" si="272">Q66</f>
        <v>312700</v>
      </c>
      <c r="R72" s="744">
        <f t="shared" si="272"/>
        <v>312768</v>
      </c>
      <c r="S72" s="797">
        <f t="shared" si="272"/>
        <v>312837</v>
      </c>
      <c r="T72" s="797">
        <f t="shared" si="272"/>
        <v>312905</v>
      </c>
      <c r="U72" s="797">
        <f t="shared" si="272"/>
        <v>312974</v>
      </c>
      <c r="V72" s="744">
        <f t="shared" si="272"/>
        <v>313042</v>
      </c>
      <c r="W72" s="73">
        <f t="shared" ref="W72:AF72" si="273">ROUND(V72*AS84,0)</f>
        <v>316337</v>
      </c>
      <c r="X72" s="73">
        <f t="shared" si="273"/>
        <v>299161</v>
      </c>
      <c r="Y72" s="73">
        <f t="shared" si="273"/>
        <v>305969</v>
      </c>
      <c r="Z72" s="797">
        <f t="shared" si="273"/>
        <v>302971</v>
      </c>
      <c r="AA72" s="73">
        <f t="shared" si="273"/>
        <v>306028</v>
      </c>
      <c r="AB72" s="73">
        <f t="shared" si="273"/>
        <v>298718</v>
      </c>
      <c r="AC72" s="73">
        <f t="shared" si="273"/>
        <v>293120</v>
      </c>
      <c r="AD72" s="73">
        <f t="shared" si="273"/>
        <v>295475</v>
      </c>
      <c r="AE72" s="73">
        <f t="shared" si="273"/>
        <v>294324</v>
      </c>
      <c r="AF72" s="73">
        <f t="shared" si="273"/>
        <v>305018</v>
      </c>
      <c r="AG72" s="73">
        <f>ROUND(AF72*BX128,0)</f>
        <v>282174</v>
      </c>
      <c r="AH72" s="1743">
        <f>AG72*BK84</f>
        <v>294639.49102934357</v>
      </c>
      <c r="AI72" s="1743">
        <f>AH72*BL84</f>
        <v>307145.64320765622</v>
      </c>
      <c r="AJ72" s="1743">
        <f>AI72*BM84</f>
        <v>300215.8956728371</v>
      </c>
      <c r="AK72" s="1743">
        <f>AJ72*BN84</f>
        <v>309809.7254297632</v>
      </c>
      <c r="AL72" s="1741">
        <f t="shared" si="270"/>
        <v>309809.7254297632</v>
      </c>
      <c r="AM72" s="1741">
        <f t="shared" si="270"/>
        <v>309809.7254297632</v>
      </c>
      <c r="AN72" s="1741">
        <f t="shared" si="270"/>
        <v>309809.7254297632</v>
      </c>
      <c r="AO72" s="75" t="s">
        <v>1016</v>
      </c>
      <c r="AP72" s="132">
        <v>12</v>
      </c>
      <c r="AQ72" s="132">
        <v>309013</v>
      </c>
      <c r="AR72" s="132">
        <v>298554</v>
      </c>
      <c r="AS72" s="132">
        <v>315303</v>
      </c>
      <c r="AT72" s="450">
        <v>292087</v>
      </c>
      <c r="AU72" s="456">
        <v>321319</v>
      </c>
      <c r="AV72" s="456">
        <v>283088</v>
      </c>
      <c r="AW72" s="75">
        <v>291692</v>
      </c>
      <c r="AX72" s="453">
        <v>331110</v>
      </c>
      <c r="AY72" s="453">
        <v>276252</v>
      </c>
      <c r="AZ72" s="453">
        <v>312959</v>
      </c>
      <c r="BB72" s="75">
        <v>12</v>
      </c>
      <c r="BC72" s="75">
        <v>347451</v>
      </c>
      <c r="BD72" s="75">
        <v>328736</v>
      </c>
      <c r="BE72" s="75">
        <v>344351</v>
      </c>
      <c r="BF72" s="453">
        <v>326880</v>
      </c>
      <c r="BG72" s="456">
        <v>332491</v>
      </c>
      <c r="BH72" s="456">
        <v>342340</v>
      </c>
      <c r="BI72" s="75">
        <v>339414</v>
      </c>
      <c r="BJ72" s="453">
        <v>324738</v>
      </c>
      <c r="BK72" s="453">
        <v>308709</v>
      </c>
      <c r="BL72" s="453">
        <v>319777</v>
      </c>
      <c r="BM72" s="453"/>
      <c r="BN72" s="453"/>
    </row>
    <row r="73" spans="1:96">
      <c r="A73" s="741" t="s">
        <v>189</v>
      </c>
      <c r="B73" s="796">
        <f>B65</f>
        <v>323021</v>
      </c>
      <c r="C73" s="744">
        <f>C65</f>
        <v>303678</v>
      </c>
      <c r="D73" s="744">
        <f t="shared" ref="D73:P73" si="274">D65</f>
        <v>331000</v>
      </c>
      <c r="E73" s="744">
        <f t="shared" si="274"/>
        <v>287688</v>
      </c>
      <c r="F73" s="744">
        <f t="shared" si="274"/>
        <v>288959</v>
      </c>
      <c r="G73" s="796">
        <f t="shared" si="274"/>
        <v>312700</v>
      </c>
      <c r="H73" s="744">
        <f t="shared" si="274"/>
        <v>342612</v>
      </c>
      <c r="I73" s="744">
        <f t="shared" si="274"/>
        <v>313016</v>
      </c>
      <c r="J73" s="744">
        <f t="shared" si="274"/>
        <v>324899</v>
      </c>
      <c r="K73" s="744">
        <f t="shared" si="274"/>
        <v>320820</v>
      </c>
      <c r="L73" s="796">
        <f t="shared" si="274"/>
        <v>336868</v>
      </c>
      <c r="M73" s="744">
        <f t="shared" si="274"/>
        <v>305948</v>
      </c>
      <c r="N73" s="744">
        <f t="shared" si="274"/>
        <v>294461</v>
      </c>
      <c r="O73" s="744">
        <f t="shared" si="274"/>
        <v>368015</v>
      </c>
      <c r="P73" s="744">
        <f t="shared" si="274"/>
        <v>365463</v>
      </c>
      <c r="Q73" s="796">
        <f t="shared" ref="Q73:V73" si="275">Q66</f>
        <v>312700</v>
      </c>
      <c r="R73" s="744">
        <f t="shared" si="275"/>
        <v>312768</v>
      </c>
      <c r="S73" s="797">
        <f t="shared" si="275"/>
        <v>312837</v>
      </c>
      <c r="T73" s="797">
        <f t="shared" si="275"/>
        <v>312905</v>
      </c>
      <c r="U73" s="797">
        <f t="shared" si="275"/>
        <v>312974</v>
      </c>
      <c r="V73" s="744">
        <f t="shared" si="275"/>
        <v>313042</v>
      </c>
      <c r="W73" s="73">
        <f t="shared" ref="W73:AF75" si="276">ROUND(V73*AS84,0)</f>
        <v>316337</v>
      </c>
      <c r="X73" s="73">
        <f t="shared" si="276"/>
        <v>299161</v>
      </c>
      <c r="Y73" s="73">
        <f t="shared" si="276"/>
        <v>305969</v>
      </c>
      <c r="Z73" s="797">
        <f t="shared" si="276"/>
        <v>302971</v>
      </c>
      <c r="AA73" s="73">
        <f t="shared" si="276"/>
        <v>306028</v>
      </c>
      <c r="AB73" s="73">
        <f t="shared" si="276"/>
        <v>298718</v>
      </c>
      <c r="AC73" s="73">
        <f t="shared" si="276"/>
        <v>293120</v>
      </c>
      <c r="AD73" s="73">
        <f t="shared" si="276"/>
        <v>295475</v>
      </c>
      <c r="AE73" s="73">
        <f t="shared" si="276"/>
        <v>294324</v>
      </c>
      <c r="AF73" s="73">
        <f t="shared" si="276"/>
        <v>305018</v>
      </c>
      <c r="AG73" s="73">
        <f>ROUND(AF73*BX128,0)</f>
        <v>282174</v>
      </c>
      <c r="AH73" s="1743">
        <f t="shared" ref="AH73:AK75" si="277">AG73*BK84</f>
        <v>294639.49102934357</v>
      </c>
      <c r="AI73" s="1743">
        <f t="shared" si="277"/>
        <v>307145.64320765622</v>
      </c>
      <c r="AJ73" s="1743">
        <f t="shared" si="277"/>
        <v>300215.8956728371</v>
      </c>
      <c r="AK73" s="1743">
        <f t="shared" si="277"/>
        <v>309809.7254297632</v>
      </c>
      <c r="AL73" s="1741">
        <f t="shared" si="270"/>
        <v>309809.7254297632</v>
      </c>
      <c r="AM73" s="1741">
        <f t="shared" si="270"/>
        <v>309809.7254297632</v>
      </c>
      <c r="AN73" s="1741">
        <f t="shared" si="270"/>
        <v>309809.7254297632</v>
      </c>
      <c r="AO73" s="75" t="s">
        <v>1016</v>
      </c>
      <c r="AP73" s="75" t="s">
        <v>85</v>
      </c>
      <c r="AQ73" s="75">
        <f>AVERAGE(AQ61:AQ72)</f>
        <v>283793.33333333331</v>
      </c>
      <c r="AR73" s="75">
        <f>AVERAGE(AR61:AR72)</f>
        <v>275533.08333333331</v>
      </c>
      <c r="AS73" s="75">
        <f>AVERAGE(AS61:AS72)</f>
        <v>272359.83333333331</v>
      </c>
      <c r="AT73" s="75">
        <f>AVERAGE(AT61:AT72)</f>
        <v>269876.83333333331</v>
      </c>
      <c r="AU73" s="130">
        <f>AVERAGE(AU61:AU72)</f>
        <v>267048.16666666669</v>
      </c>
      <c r="AV73" s="130">
        <f t="shared" ref="AV73" si="278">AVERAGE(AV61:AV72)</f>
        <v>260364.33333333334</v>
      </c>
      <c r="AW73" s="130">
        <f>AVERAGE(AW61:AW72)</f>
        <v>263985.66666666669</v>
      </c>
      <c r="AX73" s="130">
        <f>AVERAGE(AX61:AX72)</f>
        <v>264958.16666666669</v>
      </c>
      <c r="AY73" s="130">
        <f>AVERAGE(AY61:AY72)</f>
        <v>235237.5</v>
      </c>
      <c r="AZ73" s="130">
        <f>AVERAGE(AZ61:AZ72)</f>
        <v>280998.5</v>
      </c>
      <c r="BA73" s="130"/>
      <c r="BB73" s="130" t="s">
        <v>85</v>
      </c>
      <c r="BC73" s="130">
        <f>AVERAGE(BC61:BC72)</f>
        <v>295288.33333333331</v>
      </c>
      <c r="BD73" s="130">
        <f t="shared" ref="BD73:BH73" si="279">AVERAGE(BD61:BD72)</f>
        <v>281151.16666666669</v>
      </c>
      <c r="BE73" s="130">
        <f t="shared" si="279"/>
        <v>284889.16666666669</v>
      </c>
      <c r="BF73" s="130">
        <f t="shared" si="279"/>
        <v>277106.41666666669</v>
      </c>
      <c r="BG73" s="130">
        <f t="shared" si="279"/>
        <v>291737.33333333331</v>
      </c>
      <c r="BH73" s="130">
        <f t="shared" si="279"/>
        <v>292443.75</v>
      </c>
      <c r="BI73" s="130">
        <f>AVERAGE(BI61:BI72)</f>
        <v>286830.75</v>
      </c>
      <c r="BJ73" s="130">
        <f>AVERAGE(BJ61:BJ72)</f>
        <v>279114.58333333331</v>
      </c>
      <c r="BK73" s="130">
        <f>AVERAGE(BK61:BK72)</f>
        <v>276211.58333333331</v>
      </c>
      <c r="BL73" s="130">
        <f>AVERAGE(BL61:BL72)</f>
        <v>277810.08333333331</v>
      </c>
    </row>
    <row r="74" spans="1:96">
      <c r="A74" s="741" t="s">
        <v>190</v>
      </c>
      <c r="B74" s="796">
        <f>B65</f>
        <v>323021</v>
      </c>
      <c r="C74" s="744">
        <f>C65</f>
        <v>303678</v>
      </c>
      <c r="D74" s="744">
        <f t="shared" ref="D74:P74" si="280">D65</f>
        <v>331000</v>
      </c>
      <c r="E74" s="744">
        <f t="shared" si="280"/>
        <v>287688</v>
      </c>
      <c r="F74" s="744">
        <f t="shared" si="280"/>
        <v>288959</v>
      </c>
      <c r="G74" s="796">
        <f t="shared" si="280"/>
        <v>312700</v>
      </c>
      <c r="H74" s="744">
        <f t="shared" si="280"/>
        <v>342612</v>
      </c>
      <c r="I74" s="744">
        <f t="shared" si="280"/>
        <v>313016</v>
      </c>
      <c r="J74" s="744">
        <f t="shared" si="280"/>
        <v>324899</v>
      </c>
      <c r="K74" s="744">
        <f t="shared" si="280"/>
        <v>320820</v>
      </c>
      <c r="L74" s="796">
        <f t="shared" si="280"/>
        <v>336868</v>
      </c>
      <c r="M74" s="744">
        <f t="shared" si="280"/>
        <v>305948</v>
      </c>
      <c r="N74" s="744">
        <f t="shared" si="280"/>
        <v>294461</v>
      </c>
      <c r="O74" s="744">
        <f t="shared" si="280"/>
        <v>368015</v>
      </c>
      <c r="P74" s="744">
        <f t="shared" si="280"/>
        <v>365463</v>
      </c>
      <c r="Q74" s="796">
        <f t="shared" ref="Q74:V74" si="281">Q66</f>
        <v>312700</v>
      </c>
      <c r="R74" s="744">
        <f t="shared" si="281"/>
        <v>312768</v>
      </c>
      <c r="S74" s="797">
        <f t="shared" si="281"/>
        <v>312837</v>
      </c>
      <c r="T74" s="797">
        <f t="shared" si="281"/>
        <v>312905</v>
      </c>
      <c r="U74" s="797">
        <f t="shared" si="281"/>
        <v>312974</v>
      </c>
      <c r="V74" s="744">
        <f t="shared" si="281"/>
        <v>313042</v>
      </c>
      <c r="W74" s="73">
        <f t="shared" si="276"/>
        <v>300682</v>
      </c>
      <c r="X74" s="73">
        <f t="shared" si="276"/>
        <v>299553</v>
      </c>
      <c r="Y74" s="73">
        <f t="shared" si="276"/>
        <v>309368</v>
      </c>
      <c r="Z74" s="797">
        <f t="shared" si="276"/>
        <v>313309</v>
      </c>
      <c r="AA74" s="73">
        <f t="shared" si="276"/>
        <v>321641</v>
      </c>
      <c r="AB74" s="73">
        <f t="shared" si="276"/>
        <v>320901</v>
      </c>
      <c r="AC74" s="73">
        <f t="shared" si="276"/>
        <v>313514</v>
      </c>
      <c r="AD74" s="73">
        <f t="shared" si="276"/>
        <v>299853</v>
      </c>
      <c r="AE74" s="73">
        <f t="shared" si="276"/>
        <v>316412</v>
      </c>
      <c r="AF74" s="73">
        <f t="shared" si="276"/>
        <v>327300</v>
      </c>
      <c r="AG74" s="73">
        <f>ROUND(AF74*BY128,0)</f>
        <v>302870</v>
      </c>
      <c r="AH74" s="1743">
        <f t="shared" si="277"/>
        <v>300694.01347817865</v>
      </c>
      <c r="AI74" s="1743">
        <f t="shared" si="277"/>
        <v>317528.92704732239</v>
      </c>
      <c r="AJ74" s="1743">
        <f t="shared" si="277"/>
        <v>324266.06702871755</v>
      </c>
      <c r="AK74" s="1743">
        <f t="shared" si="277"/>
        <v>313261.98669308267</v>
      </c>
      <c r="AL74" s="1741">
        <f t="shared" si="270"/>
        <v>313261.98669308267</v>
      </c>
      <c r="AM74" s="1741">
        <f t="shared" si="270"/>
        <v>313261.98669308267</v>
      </c>
      <c r="AN74" s="1741">
        <f t="shared" si="270"/>
        <v>313261.98669308267</v>
      </c>
      <c r="AO74" s="75" t="s">
        <v>1017</v>
      </c>
      <c r="AQ74" s="132"/>
      <c r="AR74" s="482">
        <f t="shared" ref="AR74:AX74" si="282">AR73/AQ73</f>
        <v>0.97089343184007137</v>
      </c>
      <c r="AS74" s="482">
        <f t="shared" si="282"/>
        <v>0.98848323416697992</v>
      </c>
      <c r="AT74" s="482">
        <f t="shared" si="282"/>
        <v>0.99088338405259224</v>
      </c>
      <c r="AU74" s="482">
        <f>AU73/AT73</f>
        <v>0.98951867549456218</v>
      </c>
      <c r="AV74" s="482">
        <f t="shared" si="282"/>
        <v>0.97497143149581622</v>
      </c>
      <c r="AW74" s="482">
        <f t="shared" si="282"/>
        <v>1.0139087150953856</v>
      </c>
      <c r="AX74" s="482">
        <f t="shared" si="282"/>
        <v>1.003683912131593</v>
      </c>
      <c r="AY74" s="482">
        <f>AY73/AX73</f>
        <v>0.88782883335671225</v>
      </c>
      <c r="AZ74" s="482">
        <f>AZ73/AY73</f>
        <v>1.1945310590360805</v>
      </c>
      <c r="BA74" s="132"/>
      <c r="BB74" s="132"/>
      <c r="BC74" s="132"/>
      <c r="BD74" s="482">
        <f t="shared" ref="BD74:BJ74" si="283">BD73/BC73</f>
        <v>0.95212419499585166</v>
      </c>
      <c r="BE74" s="482">
        <f t="shared" si="283"/>
        <v>1.0132953387471864</v>
      </c>
      <c r="BF74" s="482">
        <f t="shared" si="283"/>
        <v>0.97268148139481148</v>
      </c>
      <c r="BG74" s="482">
        <f t="shared" si="283"/>
        <v>1.0527989096848172</v>
      </c>
      <c r="BH74" s="482">
        <f t="shared" si="283"/>
        <v>1.0024214133261427</v>
      </c>
      <c r="BI74" s="482">
        <f t="shared" si="283"/>
        <v>0.98080656536513433</v>
      </c>
      <c r="BJ74" s="482">
        <f t="shared" si="283"/>
        <v>0.97309853749409125</v>
      </c>
      <c r="BK74" s="482">
        <f>BK73/BJ73</f>
        <v>0.98959925359208811</v>
      </c>
      <c r="BL74" s="482">
        <f>BL73/BK73</f>
        <v>1.0057872301396966</v>
      </c>
      <c r="BM74" s="481"/>
      <c r="BN74" s="481"/>
      <c r="CB74" s="132"/>
      <c r="CC74" s="132"/>
      <c r="CD74" s="132"/>
    </row>
    <row r="75" spans="1:96">
      <c r="A75" s="741" t="s">
        <v>191</v>
      </c>
      <c r="B75" s="796">
        <f>B65</f>
        <v>323021</v>
      </c>
      <c r="C75" s="744">
        <f>C65</f>
        <v>303678</v>
      </c>
      <c r="D75" s="744">
        <f t="shared" ref="D75:P75" si="284">D65</f>
        <v>331000</v>
      </c>
      <c r="E75" s="744">
        <f t="shared" si="284"/>
        <v>287688</v>
      </c>
      <c r="F75" s="744">
        <f t="shared" si="284"/>
        <v>288959</v>
      </c>
      <c r="G75" s="796">
        <f t="shared" si="284"/>
        <v>312700</v>
      </c>
      <c r="H75" s="744">
        <f t="shared" si="284"/>
        <v>342612</v>
      </c>
      <c r="I75" s="744">
        <f t="shared" si="284"/>
        <v>313016</v>
      </c>
      <c r="J75" s="744">
        <f t="shared" si="284"/>
        <v>324899</v>
      </c>
      <c r="K75" s="744">
        <f t="shared" si="284"/>
        <v>320820</v>
      </c>
      <c r="L75" s="796">
        <f t="shared" si="284"/>
        <v>336868</v>
      </c>
      <c r="M75" s="744">
        <f t="shared" si="284"/>
        <v>305948</v>
      </c>
      <c r="N75" s="744">
        <f t="shared" si="284"/>
        <v>294461</v>
      </c>
      <c r="O75" s="744">
        <f t="shared" si="284"/>
        <v>368015</v>
      </c>
      <c r="P75" s="744">
        <f t="shared" si="284"/>
        <v>365463</v>
      </c>
      <c r="Q75" s="796">
        <f t="shared" ref="Q75:V75" si="285">Q66</f>
        <v>312700</v>
      </c>
      <c r="R75" s="744">
        <f t="shared" si="285"/>
        <v>312768</v>
      </c>
      <c r="S75" s="797">
        <f t="shared" si="285"/>
        <v>312837</v>
      </c>
      <c r="T75" s="797">
        <f t="shared" si="285"/>
        <v>312905</v>
      </c>
      <c r="U75" s="797">
        <f t="shared" si="285"/>
        <v>312974</v>
      </c>
      <c r="V75" s="744">
        <f t="shared" si="285"/>
        <v>313042</v>
      </c>
      <c r="W75" s="73">
        <f t="shared" si="276"/>
        <v>311334</v>
      </c>
      <c r="X75" s="73">
        <f t="shared" si="276"/>
        <v>315397</v>
      </c>
      <c r="Y75" s="73">
        <f t="shared" si="276"/>
        <v>317765</v>
      </c>
      <c r="Z75" s="797">
        <f t="shared" si="276"/>
        <v>321813</v>
      </c>
      <c r="AA75" s="73">
        <f t="shared" si="276"/>
        <v>326274</v>
      </c>
      <c r="AB75" s="73">
        <f t="shared" si="276"/>
        <v>325324</v>
      </c>
      <c r="AC75" s="73">
        <f t="shared" si="276"/>
        <v>307356</v>
      </c>
      <c r="AD75" s="73">
        <f t="shared" si="276"/>
        <v>310716</v>
      </c>
      <c r="AE75" s="73">
        <f t="shared" si="276"/>
        <v>322333</v>
      </c>
      <c r="AF75" s="73">
        <f t="shared" si="276"/>
        <v>331032</v>
      </c>
      <c r="AG75" s="73">
        <f>ROUND(AF75*BZ128,0)</f>
        <v>313441</v>
      </c>
      <c r="AH75" s="1743">
        <f t="shared" si="277"/>
        <v>298829.71163714514</v>
      </c>
      <c r="AI75" s="1743">
        <f t="shared" si="277"/>
        <v>319858.66820996307</v>
      </c>
      <c r="AJ75" s="1743">
        <f t="shared" si="277"/>
        <v>322018.19122734346</v>
      </c>
      <c r="AK75" s="1743">
        <f t="shared" si="277"/>
        <v>323977.44130406494</v>
      </c>
      <c r="AL75" s="1741">
        <f t="shared" si="270"/>
        <v>323977.44130406494</v>
      </c>
      <c r="AM75" s="1741">
        <f t="shared" si="270"/>
        <v>323977.44130406494</v>
      </c>
      <c r="AN75" s="1741">
        <f t="shared" si="270"/>
        <v>323977.44130406494</v>
      </c>
      <c r="AO75" s="75" t="s">
        <v>1018</v>
      </c>
      <c r="AU75" s="75">
        <f t="shared" ref="AU75:AZ75" si="286">AVERAGE(AU61:AU70)</f>
        <v>262441.5</v>
      </c>
      <c r="AV75" s="75">
        <f t="shared" si="286"/>
        <v>258532</v>
      </c>
      <c r="AW75" s="75">
        <f t="shared" si="286"/>
        <v>263067.2</v>
      </c>
      <c r="AX75" s="75">
        <f t="shared" si="286"/>
        <v>257553.1</v>
      </c>
      <c r="AY75" s="75">
        <f t="shared" si="286"/>
        <v>233330.5</v>
      </c>
      <c r="AZ75" s="75">
        <f t="shared" si="286"/>
        <v>279311.8</v>
      </c>
      <c r="BF75" s="75">
        <f>AVERAGE(BG61:BG70)</f>
        <v>286470.2</v>
      </c>
      <c r="BG75" s="75">
        <f>AVERAGE(BH61:BH70)</f>
        <v>287828.3</v>
      </c>
      <c r="BP75" s="128" t="s">
        <v>93</v>
      </c>
      <c r="BQ75" s="130"/>
      <c r="BR75" s="130"/>
      <c r="BS75" s="130"/>
      <c r="BT75" s="130" t="s">
        <v>95</v>
      </c>
      <c r="BV75" s="128" t="s">
        <v>94</v>
      </c>
      <c r="BW75" s="130"/>
      <c r="BX75" s="130"/>
      <c r="BY75" s="130"/>
      <c r="BZ75" s="130" t="s">
        <v>95</v>
      </c>
      <c r="CB75" s="65" t="s">
        <v>360</v>
      </c>
      <c r="CE75" s="130"/>
      <c r="CF75" s="130" t="s">
        <v>95</v>
      </c>
      <c r="CH75" s="128" t="s">
        <v>250</v>
      </c>
      <c r="CI75" s="130"/>
      <c r="CJ75" s="130"/>
      <c r="CK75" s="130"/>
      <c r="CL75" s="130" t="s">
        <v>95</v>
      </c>
      <c r="CN75" s="128" t="s">
        <v>251</v>
      </c>
      <c r="CO75" s="130"/>
      <c r="CP75" s="130"/>
      <c r="CQ75" s="130"/>
      <c r="CR75" s="130" t="s">
        <v>95</v>
      </c>
    </row>
    <row r="76" spans="1:96">
      <c r="A76" s="763" t="s">
        <v>192</v>
      </c>
      <c r="B76" s="798"/>
      <c r="C76" s="744"/>
      <c r="D76" s="744"/>
      <c r="E76" s="744"/>
      <c r="F76" s="744"/>
      <c r="G76" s="796"/>
      <c r="H76" s="744"/>
      <c r="I76" s="744"/>
      <c r="J76" s="744"/>
      <c r="K76" s="744"/>
      <c r="L76" s="796"/>
      <c r="M76" s="744"/>
      <c r="N76" s="744"/>
      <c r="O76" s="744"/>
      <c r="P76" s="744"/>
      <c r="Q76" s="795">
        <f>消費ﾃﾞｰﾀ!E6</f>
        <v>317060</v>
      </c>
      <c r="R76" s="796">
        <f>ROUND(Q76+(V76-Q76)/5,0)</f>
        <v>315866</v>
      </c>
      <c r="S76" s="797">
        <f>ROUND(Q76+(V76-Q76)/5*2,0)</f>
        <v>314671</v>
      </c>
      <c r="T76" s="797">
        <f>ROUND(Q76+(V76-Q76)/5*3,0)</f>
        <v>313477</v>
      </c>
      <c r="U76" s="73">
        <f>ROUND(Q76+(V76-Q76)/5*4,0)</f>
        <v>312282</v>
      </c>
      <c r="V76" s="1179">
        <f>消費ﾃﾞｰﾀ!F7</f>
        <v>311088</v>
      </c>
      <c r="W76" s="73"/>
      <c r="X76" s="73" t="s">
        <v>627</v>
      </c>
      <c r="Y76" s="73"/>
      <c r="Z76" s="797"/>
      <c r="AA76" s="795">
        <f>消費ﾃﾞｰﾀ!L8</f>
        <v>279740</v>
      </c>
      <c r="AB76" s="1177">
        <f>AA76/AA77</f>
        <v>0.91984334976341342</v>
      </c>
      <c r="AC76" s="73"/>
      <c r="AD76" s="73"/>
      <c r="AE76" s="73"/>
      <c r="AF76" s="73"/>
      <c r="AG76" s="73"/>
      <c r="AH76" s="1169"/>
      <c r="AI76" s="1169"/>
      <c r="AJ76" s="1169"/>
      <c r="AK76" s="1169"/>
      <c r="AL76" s="1741"/>
      <c r="AM76" s="1741"/>
      <c r="AN76" s="1741"/>
      <c r="AO76" s="75" t="s">
        <v>1012</v>
      </c>
      <c r="AU76" s="1181"/>
      <c r="AV76" s="1181"/>
      <c r="AW76" s="1181"/>
      <c r="BE76" s="1181"/>
      <c r="BQ76" s="1181" t="s">
        <v>88</v>
      </c>
      <c r="BR76" s="1181" t="s">
        <v>89</v>
      </c>
      <c r="BS76" s="1181" t="s">
        <v>90</v>
      </c>
      <c r="BT76" s="1181" t="s">
        <v>91</v>
      </c>
      <c r="BW76" s="1181" t="s">
        <v>88</v>
      </c>
      <c r="BX76" s="1181" t="s">
        <v>89</v>
      </c>
      <c r="BY76" s="1181" t="s">
        <v>90</v>
      </c>
      <c r="BZ76" s="1181" t="s">
        <v>91</v>
      </c>
      <c r="CC76" s="1181" t="s">
        <v>88</v>
      </c>
      <c r="CD76" s="1181" t="s">
        <v>89</v>
      </c>
      <c r="CE76" s="1181" t="s">
        <v>90</v>
      </c>
      <c r="CF76" s="1181" t="s">
        <v>91</v>
      </c>
      <c r="CI76" s="1181" t="s">
        <v>88</v>
      </c>
      <c r="CJ76" s="1181" t="s">
        <v>89</v>
      </c>
      <c r="CK76" s="1181" t="s">
        <v>90</v>
      </c>
      <c r="CL76" s="1181" t="s">
        <v>91</v>
      </c>
      <c r="CO76" s="1181" t="s">
        <v>88</v>
      </c>
      <c r="CP76" s="1181" t="s">
        <v>89</v>
      </c>
      <c r="CQ76" s="1181" t="s">
        <v>90</v>
      </c>
      <c r="CR76" s="1181" t="s">
        <v>91</v>
      </c>
    </row>
    <row r="77" spans="1:96">
      <c r="A77" s="799" t="s">
        <v>193</v>
      </c>
      <c r="B77" s="743">
        <f>消費ﾃﾞｰﾀ!B6</f>
        <v>301846</v>
      </c>
      <c r="C77" s="795">
        <f>ROUND($B$77*C60,0)</f>
        <v>283771</v>
      </c>
      <c r="D77" s="795">
        <f>ROUND($B$77*D60,0)</f>
        <v>309302</v>
      </c>
      <c r="E77" s="795">
        <f>ROUND($G$77*E60,0)</f>
        <v>291700</v>
      </c>
      <c r="F77" s="795">
        <f>ROUND($G$77*F60,0)</f>
        <v>292988</v>
      </c>
      <c r="G77" s="795">
        <v>317060</v>
      </c>
      <c r="H77" s="795">
        <v>317060</v>
      </c>
      <c r="I77" s="795">
        <v>317060</v>
      </c>
      <c r="J77" s="795">
        <v>317060</v>
      </c>
      <c r="K77" s="795">
        <v>317060</v>
      </c>
      <c r="L77" s="795">
        <f>消費ﾃﾞｰﾀ!D6</f>
        <v>340139</v>
      </c>
      <c r="M77" s="795">
        <f>ROUND($L$77*M60,0)</f>
        <v>308919</v>
      </c>
      <c r="N77" s="795">
        <f>ROUND($L$77*N60,0)</f>
        <v>297320</v>
      </c>
      <c r="O77" s="795">
        <f>ROUND($Q$77*O60,0)</f>
        <v>367001</v>
      </c>
      <c r="P77" s="795">
        <f>ROUND($Q$77*P60,0)</f>
        <v>364456</v>
      </c>
      <c r="Q77" s="795">
        <f>消費ﾃﾞｰﾀ!E6</f>
        <v>317060</v>
      </c>
      <c r="R77" s="66">
        <f>R76</f>
        <v>315866</v>
      </c>
      <c r="S77" s="797">
        <f>S76</f>
        <v>314671</v>
      </c>
      <c r="T77" s="797">
        <f>T76</f>
        <v>313477</v>
      </c>
      <c r="U77" s="797">
        <f>U76</f>
        <v>312282</v>
      </c>
      <c r="V77" s="66">
        <f>V76</f>
        <v>311088</v>
      </c>
      <c r="W77" s="73">
        <f t="shared" ref="W77:AF77" si="287">ROUND(V77*AS84,0)</f>
        <v>314362</v>
      </c>
      <c r="X77" s="73">
        <f t="shared" si="287"/>
        <v>297293</v>
      </c>
      <c r="Y77" s="73">
        <f t="shared" si="287"/>
        <v>304058</v>
      </c>
      <c r="Z77" s="797">
        <f t="shared" si="287"/>
        <v>301079</v>
      </c>
      <c r="AA77" s="73">
        <f t="shared" si="287"/>
        <v>304117</v>
      </c>
      <c r="AB77" s="73">
        <f t="shared" si="287"/>
        <v>296852</v>
      </c>
      <c r="AC77" s="73">
        <f t="shared" si="287"/>
        <v>291289</v>
      </c>
      <c r="AD77" s="73">
        <f t="shared" si="287"/>
        <v>293629</v>
      </c>
      <c r="AE77" s="73">
        <f t="shared" si="287"/>
        <v>292486</v>
      </c>
      <c r="AF77" s="73">
        <f t="shared" si="287"/>
        <v>303113</v>
      </c>
      <c r="AG77" s="73">
        <f>ROUND(AF77*BX128,0)</f>
        <v>280412</v>
      </c>
      <c r="AH77" s="1743">
        <f>AG77*BK84</f>
        <v>292799.6518407801</v>
      </c>
      <c r="AI77" s="1743">
        <f>AH77*BL84</f>
        <v>305227.71092710632</v>
      </c>
      <c r="AJ77" s="1743">
        <f>AI77*BM84</f>
        <v>298341.23532788851</v>
      </c>
      <c r="AK77" s="1743">
        <f>AJ77*BN84</f>
        <v>307875.15762334864</v>
      </c>
      <c r="AL77" s="1741">
        <f t="shared" ref="AL77:AN81" si="288">AK77</f>
        <v>307875.15762334864</v>
      </c>
      <c r="AM77" s="1741">
        <f t="shared" si="288"/>
        <v>307875.15762334864</v>
      </c>
      <c r="AN77" s="1741">
        <f t="shared" si="288"/>
        <v>307875.15762334864</v>
      </c>
      <c r="AO77" s="75" t="s">
        <v>1016</v>
      </c>
      <c r="AQ77" s="382"/>
      <c r="AR77" s="382" t="s">
        <v>828</v>
      </c>
      <c r="AS77" s="382" t="s">
        <v>12</v>
      </c>
      <c r="AT77" s="382" t="s">
        <v>102</v>
      </c>
      <c r="AU77" s="382" t="s">
        <v>110</v>
      </c>
      <c r="AV77" s="382" t="s">
        <v>863</v>
      </c>
      <c r="AW77" s="382" t="s">
        <v>770</v>
      </c>
      <c r="AX77" s="382" t="s">
        <v>125</v>
      </c>
      <c r="AY77" s="382" t="s">
        <v>1023</v>
      </c>
      <c r="AZ77" s="382" t="s">
        <v>1058</v>
      </c>
      <c r="BA77" s="382" t="s">
        <v>1091</v>
      </c>
      <c r="BB77" s="462" t="s">
        <v>1215</v>
      </c>
      <c r="BC77" s="462" t="s">
        <v>1133</v>
      </c>
      <c r="BD77" s="456"/>
      <c r="BE77" s="1360"/>
      <c r="BF77" s="456"/>
      <c r="BG77" s="456"/>
      <c r="BH77" s="456"/>
      <c r="BI77" s="456"/>
      <c r="BJ77" s="456"/>
      <c r="BK77" s="462" t="s">
        <v>1180</v>
      </c>
      <c r="BL77" s="1739" t="s">
        <v>1740</v>
      </c>
      <c r="BM77" s="1739" t="s">
        <v>1741</v>
      </c>
      <c r="BN77" s="1739" t="s">
        <v>1742</v>
      </c>
      <c r="BP77" s="132"/>
      <c r="BQ77" s="1182"/>
      <c r="BR77" s="1182"/>
      <c r="BS77" s="1182"/>
      <c r="BT77" s="1182" t="s">
        <v>92</v>
      </c>
      <c r="BV77" s="132"/>
      <c r="BW77" s="1182"/>
      <c r="BX77" s="1182"/>
      <c r="BY77" s="1182"/>
      <c r="BZ77" s="1182" t="s">
        <v>92</v>
      </c>
      <c r="CB77" s="132"/>
      <c r="CC77" s="1182"/>
      <c r="CD77" s="1182"/>
      <c r="CE77" s="1182"/>
      <c r="CF77" s="1182" t="s">
        <v>92</v>
      </c>
      <c r="CH77" s="132"/>
      <c r="CI77" s="1182"/>
      <c r="CJ77" s="1182"/>
      <c r="CK77" s="1182"/>
      <c r="CL77" s="1182" t="s">
        <v>92</v>
      </c>
      <c r="CN77" s="132"/>
      <c r="CO77" s="1182"/>
      <c r="CP77" s="1182"/>
      <c r="CQ77" s="1182"/>
      <c r="CR77" s="1182" t="s">
        <v>92</v>
      </c>
    </row>
    <row r="78" spans="1:96">
      <c r="A78" s="741" t="s">
        <v>194</v>
      </c>
      <c r="B78" s="796">
        <f>B77</f>
        <v>301846</v>
      </c>
      <c r="C78" s="744">
        <f>C77</f>
        <v>283771</v>
      </c>
      <c r="D78" s="744">
        <f t="shared" ref="D78:Q78" si="289">D77</f>
        <v>309302</v>
      </c>
      <c r="E78" s="744">
        <f t="shared" si="289"/>
        <v>291700</v>
      </c>
      <c r="F78" s="744">
        <f t="shared" si="289"/>
        <v>292988</v>
      </c>
      <c r="G78" s="796">
        <f t="shared" si="289"/>
        <v>317060</v>
      </c>
      <c r="H78" s="744">
        <f t="shared" si="289"/>
        <v>317060</v>
      </c>
      <c r="I78" s="744">
        <f t="shared" si="289"/>
        <v>317060</v>
      </c>
      <c r="J78" s="744">
        <f t="shared" si="289"/>
        <v>317060</v>
      </c>
      <c r="K78" s="744">
        <f t="shared" si="289"/>
        <v>317060</v>
      </c>
      <c r="L78" s="796">
        <f t="shared" si="289"/>
        <v>340139</v>
      </c>
      <c r="M78" s="744">
        <f t="shared" si="289"/>
        <v>308919</v>
      </c>
      <c r="N78" s="744">
        <f t="shared" si="289"/>
        <v>297320</v>
      </c>
      <c r="O78" s="744">
        <f t="shared" si="289"/>
        <v>367001</v>
      </c>
      <c r="P78" s="744">
        <f t="shared" si="289"/>
        <v>364456</v>
      </c>
      <c r="Q78" s="796">
        <f t="shared" si="289"/>
        <v>317060</v>
      </c>
      <c r="R78" s="744">
        <f>R76</f>
        <v>315866</v>
      </c>
      <c r="S78" s="797">
        <f>S76</f>
        <v>314671</v>
      </c>
      <c r="T78" s="797">
        <f>T76</f>
        <v>313477</v>
      </c>
      <c r="U78" s="797">
        <f>U76</f>
        <v>312282</v>
      </c>
      <c r="V78" s="744">
        <f>V76</f>
        <v>311088</v>
      </c>
      <c r="W78" s="73">
        <f t="shared" ref="W78:AF80" si="290">ROUND(V78*AS84,0)</f>
        <v>314362</v>
      </c>
      <c r="X78" s="73">
        <f t="shared" si="290"/>
        <v>297293</v>
      </c>
      <c r="Y78" s="73">
        <f t="shared" si="290"/>
        <v>304058</v>
      </c>
      <c r="Z78" s="797">
        <f t="shared" si="290"/>
        <v>301079</v>
      </c>
      <c r="AA78" s="73">
        <f t="shared" si="290"/>
        <v>304117</v>
      </c>
      <c r="AB78" s="73">
        <f t="shared" si="290"/>
        <v>296852</v>
      </c>
      <c r="AC78" s="73">
        <f t="shared" si="290"/>
        <v>291289</v>
      </c>
      <c r="AD78" s="73">
        <f t="shared" si="290"/>
        <v>293629</v>
      </c>
      <c r="AE78" s="73">
        <f t="shared" si="290"/>
        <v>292486</v>
      </c>
      <c r="AF78" s="73">
        <f t="shared" si="290"/>
        <v>303113</v>
      </c>
      <c r="AG78" s="73">
        <f>ROUND(AF78*BX128,0)</f>
        <v>280412</v>
      </c>
      <c r="AH78" s="1743">
        <f t="shared" ref="AH78:AK80" si="291">AG78*BK84</f>
        <v>292799.6518407801</v>
      </c>
      <c r="AI78" s="1743">
        <f t="shared" si="291"/>
        <v>305227.71092710632</v>
      </c>
      <c r="AJ78" s="1743">
        <f t="shared" si="291"/>
        <v>298341.23532788851</v>
      </c>
      <c r="AK78" s="1743">
        <f t="shared" si="291"/>
        <v>307875.15762334864</v>
      </c>
      <c r="AL78" s="1741">
        <f t="shared" si="288"/>
        <v>307875.15762334864</v>
      </c>
      <c r="AM78" s="1741">
        <f t="shared" si="288"/>
        <v>307875.15762334864</v>
      </c>
      <c r="AN78" s="1741">
        <f t="shared" si="288"/>
        <v>307875.15762334864</v>
      </c>
      <c r="AO78" s="75" t="s">
        <v>1016</v>
      </c>
      <c r="AQ78" s="130" t="s">
        <v>88</v>
      </c>
      <c r="AR78" s="130">
        <f>消費支出2!BQ90</f>
        <v>299639.75</v>
      </c>
      <c r="AS78" s="130">
        <f>消費支出2!BW90</f>
        <v>305581.75</v>
      </c>
      <c r="AT78" s="130">
        <f>消費支出2!CC90</f>
        <v>290147.5</v>
      </c>
      <c r="AU78" s="130">
        <f>消費支出2!CI90</f>
        <v>294041.25</v>
      </c>
      <c r="AV78" s="207">
        <f>消費支出2!CO90</f>
        <v>301803.75</v>
      </c>
      <c r="AW78" s="207">
        <f>消費支出2!BQ108</f>
        <v>297593.25</v>
      </c>
      <c r="AX78" s="207">
        <f>BW108</f>
        <v>298725.75</v>
      </c>
      <c r="AY78" s="130">
        <f>CC108</f>
        <v>295590.625</v>
      </c>
      <c r="AZ78" s="130">
        <f>CI108</f>
        <v>300832</v>
      </c>
      <c r="BA78" s="130">
        <f>CO108</f>
        <v>296955.625</v>
      </c>
      <c r="BB78" s="1068">
        <f>BQ127</f>
        <v>301599.625</v>
      </c>
      <c r="BC78" s="456">
        <f>BW127</f>
        <v>285920.375</v>
      </c>
      <c r="BD78" s="456"/>
      <c r="BE78" s="1075"/>
      <c r="BF78" s="456"/>
      <c r="BG78" s="456"/>
      <c r="BH78" s="456"/>
      <c r="BI78" s="456"/>
      <c r="BJ78" s="456"/>
      <c r="BK78" s="1068">
        <f>CC127</f>
        <v>289262.625</v>
      </c>
      <c r="BL78" s="75">
        <f>CI127</f>
        <v>293253.625</v>
      </c>
      <c r="BM78" s="75">
        <f>CO127</f>
        <v>307228.375</v>
      </c>
      <c r="BN78" s="75">
        <f>CU127</f>
        <v>318659.25</v>
      </c>
      <c r="BP78" s="75">
        <v>1</v>
      </c>
      <c r="BQ78" s="76">
        <v>302923</v>
      </c>
      <c r="BR78" s="76">
        <v>290283</v>
      </c>
      <c r="BS78" s="76">
        <v>298453</v>
      </c>
      <c r="BT78" s="76">
        <v>266045</v>
      </c>
      <c r="BV78" s="75">
        <v>1</v>
      </c>
      <c r="BW78" s="76">
        <v>307539</v>
      </c>
      <c r="BX78" s="76">
        <v>305490</v>
      </c>
      <c r="BY78" s="76">
        <v>273400</v>
      </c>
      <c r="BZ78" s="76">
        <v>269630</v>
      </c>
      <c r="CB78" s="75">
        <v>1</v>
      </c>
      <c r="CC78" s="76">
        <v>293688</v>
      </c>
      <c r="CD78" s="76">
        <v>285933</v>
      </c>
      <c r="CE78" s="76">
        <v>286524</v>
      </c>
      <c r="CF78" s="76">
        <v>292486</v>
      </c>
      <c r="CH78" s="75">
        <v>1</v>
      </c>
      <c r="CI78" s="76">
        <v>296847</v>
      </c>
      <c r="CJ78" s="76">
        <v>275643</v>
      </c>
      <c r="CK78" s="76">
        <v>281356</v>
      </c>
      <c r="CL78" s="76">
        <v>279150</v>
      </c>
      <c r="CN78" s="75">
        <v>1</v>
      </c>
      <c r="CO78" s="76">
        <v>303237</v>
      </c>
      <c r="CP78" s="76">
        <v>294599</v>
      </c>
      <c r="CQ78" s="76">
        <v>277153</v>
      </c>
      <c r="CR78" s="76">
        <v>271077</v>
      </c>
    </row>
    <row r="79" spans="1:96">
      <c r="A79" s="741" t="s">
        <v>195</v>
      </c>
      <c r="B79" s="796">
        <f>B77</f>
        <v>301846</v>
      </c>
      <c r="C79" s="744">
        <f>C77</f>
        <v>283771</v>
      </c>
      <c r="D79" s="744">
        <f t="shared" ref="D79:Q79" si="292">D77</f>
        <v>309302</v>
      </c>
      <c r="E79" s="744">
        <f t="shared" si="292"/>
        <v>291700</v>
      </c>
      <c r="F79" s="744">
        <f t="shared" si="292"/>
        <v>292988</v>
      </c>
      <c r="G79" s="796">
        <f t="shared" si="292"/>
        <v>317060</v>
      </c>
      <c r="H79" s="744">
        <f t="shared" si="292"/>
        <v>317060</v>
      </c>
      <c r="I79" s="744">
        <f t="shared" si="292"/>
        <v>317060</v>
      </c>
      <c r="J79" s="744">
        <f t="shared" si="292"/>
        <v>317060</v>
      </c>
      <c r="K79" s="744">
        <f t="shared" si="292"/>
        <v>317060</v>
      </c>
      <c r="L79" s="796">
        <f t="shared" si="292"/>
        <v>340139</v>
      </c>
      <c r="M79" s="744">
        <f t="shared" si="292"/>
        <v>308919</v>
      </c>
      <c r="N79" s="744">
        <f t="shared" si="292"/>
        <v>297320</v>
      </c>
      <c r="O79" s="744">
        <f t="shared" si="292"/>
        <v>367001</v>
      </c>
      <c r="P79" s="744">
        <f t="shared" si="292"/>
        <v>364456</v>
      </c>
      <c r="Q79" s="796">
        <f t="shared" si="292"/>
        <v>317060</v>
      </c>
      <c r="R79" s="744">
        <f>R76</f>
        <v>315866</v>
      </c>
      <c r="S79" s="797">
        <f>S76</f>
        <v>314671</v>
      </c>
      <c r="T79" s="797">
        <f>T76</f>
        <v>313477</v>
      </c>
      <c r="U79" s="797">
        <f>U76</f>
        <v>312282</v>
      </c>
      <c r="V79" s="744">
        <f>V76</f>
        <v>311088</v>
      </c>
      <c r="W79" s="73">
        <f t="shared" si="290"/>
        <v>298805</v>
      </c>
      <c r="X79" s="73">
        <f t="shared" si="290"/>
        <v>297684</v>
      </c>
      <c r="Y79" s="73">
        <f t="shared" si="290"/>
        <v>307437</v>
      </c>
      <c r="Z79" s="797">
        <f t="shared" si="290"/>
        <v>311354</v>
      </c>
      <c r="AA79" s="73">
        <f t="shared" si="290"/>
        <v>319634</v>
      </c>
      <c r="AB79" s="73">
        <f t="shared" si="290"/>
        <v>318899</v>
      </c>
      <c r="AC79" s="73">
        <f t="shared" si="290"/>
        <v>311558</v>
      </c>
      <c r="AD79" s="73">
        <f t="shared" si="290"/>
        <v>297982</v>
      </c>
      <c r="AE79" s="73">
        <f t="shared" si="290"/>
        <v>314438</v>
      </c>
      <c r="AF79" s="73">
        <f t="shared" si="290"/>
        <v>325258</v>
      </c>
      <c r="AG79" s="73">
        <f>ROUND(AF79*BY128,0)</f>
        <v>300980</v>
      </c>
      <c r="AH79" s="1743">
        <f t="shared" si="291"/>
        <v>298817.59228930634</v>
      </c>
      <c r="AI79" s="1743">
        <f t="shared" si="291"/>
        <v>315547.45092846133</v>
      </c>
      <c r="AJ79" s="1743">
        <f t="shared" si="291"/>
        <v>322242.5491276898</v>
      </c>
      <c r="AK79" s="1743">
        <f t="shared" si="291"/>
        <v>311307.13756689016</v>
      </c>
      <c r="AL79" s="1741">
        <f t="shared" si="288"/>
        <v>311307.13756689016</v>
      </c>
      <c r="AM79" s="1741">
        <f t="shared" si="288"/>
        <v>311307.13756689016</v>
      </c>
      <c r="AN79" s="1741">
        <f t="shared" si="288"/>
        <v>311307.13756689016</v>
      </c>
      <c r="AO79" s="75" t="s">
        <v>1017</v>
      </c>
      <c r="AQ79" s="75" t="s">
        <v>89</v>
      </c>
      <c r="AR79" s="75">
        <f>消費支出2!BR90</f>
        <v>291460.25</v>
      </c>
      <c r="AS79" s="75">
        <f>消費支出2!BX90</f>
        <v>294528</v>
      </c>
      <c r="AT79" s="75">
        <f>消費支出2!CD90</f>
        <v>278536.25</v>
      </c>
      <c r="AU79" s="75">
        <f>消費支出2!CJ90</f>
        <v>284874.5</v>
      </c>
      <c r="AV79" s="133">
        <f>消費支出2!CP90</f>
        <v>292456</v>
      </c>
      <c r="AW79" s="133">
        <f>消費支出2!BR108</f>
        <v>295406.875</v>
      </c>
      <c r="AX79" s="133">
        <f>BX108</f>
        <v>288350.25</v>
      </c>
      <c r="AY79" s="75">
        <f>CD108</f>
        <v>282947</v>
      </c>
      <c r="AZ79" s="75">
        <f>CJ108</f>
        <v>285220.25</v>
      </c>
      <c r="BA79" s="75">
        <f>CP108</f>
        <v>284109.5</v>
      </c>
      <c r="BB79" s="456">
        <f>BR127</f>
        <v>294432.5</v>
      </c>
      <c r="BC79" s="456">
        <f>BX127</f>
        <v>272381.125</v>
      </c>
      <c r="BD79" s="456"/>
      <c r="BE79" s="1075"/>
      <c r="BF79" s="456"/>
      <c r="BG79" s="456"/>
      <c r="BH79" s="456"/>
      <c r="BI79" s="456"/>
      <c r="BJ79" s="456"/>
      <c r="BK79" s="456">
        <f>CD127</f>
        <v>284414</v>
      </c>
      <c r="BL79" s="75">
        <f>CJ127</f>
        <v>296486.125</v>
      </c>
      <c r="BM79" s="75">
        <f>CP127</f>
        <v>289796.875</v>
      </c>
      <c r="BN79" s="75">
        <f>CV127</f>
        <v>299057.75</v>
      </c>
      <c r="BP79" s="75">
        <v>2</v>
      </c>
      <c r="BQ79" s="76">
        <v>274292</v>
      </c>
      <c r="BR79" s="76">
        <v>270391</v>
      </c>
      <c r="BS79" s="76">
        <v>258722</v>
      </c>
      <c r="BT79" s="76">
        <v>256121</v>
      </c>
      <c r="BV79" s="75">
        <v>2</v>
      </c>
      <c r="BW79" s="76">
        <v>281356</v>
      </c>
      <c r="BX79" s="76">
        <v>264541</v>
      </c>
      <c r="BY79" s="76">
        <v>248976</v>
      </c>
      <c r="BZ79" s="76">
        <v>242301</v>
      </c>
      <c r="CB79" s="75">
        <v>2</v>
      </c>
      <c r="CC79" s="76">
        <v>275859</v>
      </c>
      <c r="CD79" s="76">
        <v>256693</v>
      </c>
      <c r="CE79" s="76">
        <v>250130</v>
      </c>
      <c r="CF79" s="76">
        <v>261421</v>
      </c>
      <c r="CH79" s="75">
        <v>2</v>
      </c>
      <c r="CI79" s="76">
        <v>276138</v>
      </c>
      <c r="CJ79" s="76">
        <v>269506</v>
      </c>
      <c r="CK79" s="76">
        <v>271308</v>
      </c>
      <c r="CL79" s="76">
        <v>247018</v>
      </c>
      <c r="CN79" s="75">
        <v>2</v>
      </c>
      <c r="CO79" s="76">
        <v>276987</v>
      </c>
      <c r="CP79" s="76">
        <v>277355</v>
      </c>
      <c r="CQ79" s="76">
        <v>264799</v>
      </c>
      <c r="CR79" s="76">
        <v>239232</v>
      </c>
    </row>
    <row r="80" spans="1:96">
      <c r="A80" s="741" t="s">
        <v>196</v>
      </c>
      <c r="B80" s="796">
        <f>B77</f>
        <v>301846</v>
      </c>
      <c r="C80" s="744">
        <f>C77</f>
        <v>283771</v>
      </c>
      <c r="D80" s="744">
        <f t="shared" ref="D80:Q80" si="293">D77</f>
        <v>309302</v>
      </c>
      <c r="E80" s="744">
        <f t="shared" si="293"/>
        <v>291700</v>
      </c>
      <c r="F80" s="744">
        <f t="shared" si="293"/>
        <v>292988</v>
      </c>
      <c r="G80" s="796">
        <f t="shared" si="293"/>
        <v>317060</v>
      </c>
      <c r="H80" s="744">
        <f t="shared" si="293"/>
        <v>317060</v>
      </c>
      <c r="I80" s="744">
        <f t="shared" si="293"/>
        <v>317060</v>
      </c>
      <c r="J80" s="744">
        <f t="shared" si="293"/>
        <v>317060</v>
      </c>
      <c r="K80" s="744">
        <f t="shared" si="293"/>
        <v>317060</v>
      </c>
      <c r="L80" s="796">
        <f t="shared" si="293"/>
        <v>340139</v>
      </c>
      <c r="M80" s="744">
        <f t="shared" si="293"/>
        <v>308919</v>
      </c>
      <c r="N80" s="744">
        <f t="shared" si="293"/>
        <v>297320</v>
      </c>
      <c r="O80" s="744">
        <f t="shared" si="293"/>
        <v>367001</v>
      </c>
      <c r="P80" s="744">
        <f t="shared" si="293"/>
        <v>364456</v>
      </c>
      <c r="Q80" s="796">
        <f t="shared" si="293"/>
        <v>317060</v>
      </c>
      <c r="R80" s="744">
        <f>R76</f>
        <v>315866</v>
      </c>
      <c r="S80" s="797">
        <f>S76</f>
        <v>314671</v>
      </c>
      <c r="T80" s="797">
        <f>T76</f>
        <v>313477</v>
      </c>
      <c r="U80" s="797">
        <f>U76</f>
        <v>312282</v>
      </c>
      <c r="V80" s="744">
        <f>V76</f>
        <v>311088</v>
      </c>
      <c r="W80" s="73">
        <f t="shared" si="290"/>
        <v>309390</v>
      </c>
      <c r="X80" s="73">
        <f t="shared" si="290"/>
        <v>313428</v>
      </c>
      <c r="Y80" s="73">
        <f t="shared" si="290"/>
        <v>315781</v>
      </c>
      <c r="Z80" s="797">
        <f t="shared" si="290"/>
        <v>319804</v>
      </c>
      <c r="AA80" s="73">
        <f t="shared" si="290"/>
        <v>324237</v>
      </c>
      <c r="AB80" s="73">
        <f t="shared" si="290"/>
        <v>323292</v>
      </c>
      <c r="AC80" s="73">
        <f t="shared" si="290"/>
        <v>305436</v>
      </c>
      <c r="AD80" s="73">
        <f t="shared" si="290"/>
        <v>308775</v>
      </c>
      <c r="AE80" s="73">
        <f t="shared" si="290"/>
        <v>320319</v>
      </c>
      <c r="AF80" s="73">
        <f t="shared" si="290"/>
        <v>328963</v>
      </c>
      <c r="AG80" s="73">
        <f>ROUND(AF80*BZ128,0)</f>
        <v>311482</v>
      </c>
      <c r="AH80" s="1743">
        <f t="shared" si="291"/>
        <v>296962.03189806454</v>
      </c>
      <c r="AI80" s="1743">
        <f t="shared" si="291"/>
        <v>317859.55791161879</v>
      </c>
      <c r="AJ80" s="1743">
        <f t="shared" si="291"/>
        <v>320005.58395320136</v>
      </c>
      <c r="AK80" s="1743">
        <f t="shared" si="291"/>
        <v>321952.58875601069</v>
      </c>
      <c r="AL80" s="1741">
        <f t="shared" si="288"/>
        <v>321952.58875601069</v>
      </c>
      <c r="AM80" s="1741">
        <f t="shared" si="288"/>
        <v>321952.58875601069</v>
      </c>
      <c r="AN80" s="1741">
        <f t="shared" si="288"/>
        <v>321952.58875601069</v>
      </c>
      <c r="AO80" s="75" t="s">
        <v>1018</v>
      </c>
      <c r="AQ80" s="75" t="s">
        <v>90</v>
      </c>
      <c r="AR80" s="75">
        <f>消費支出2!BS90</f>
        <v>286475.625</v>
      </c>
      <c r="AS80" s="75">
        <f>消費支出2!BY90</f>
        <v>275164.5</v>
      </c>
      <c r="AT80" s="75">
        <f>消費支出2!CE90</f>
        <v>274131.75</v>
      </c>
      <c r="AU80" s="75">
        <f>消費支出2!CK90</f>
        <v>283113.375</v>
      </c>
      <c r="AV80" s="133">
        <f>消費支出2!CQ90</f>
        <v>276343</v>
      </c>
      <c r="AW80" s="133">
        <f>消費支出2!BS108</f>
        <v>283692.125</v>
      </c>
      <c r="AX80" s="133">
        <f>BY108</f>
        <v>283039.375</v>
      </c>
      <c r="AY80" s="75">
        <f>CE108</f>
        <v>276524</v>
      </c>
      <c r="AZ80" s="75">
        <f>CK108</f>
        <v>264475</v>
      </c>
      <c r="BA80" s="75">
        <f>CQ108</f>
        <v>279080.5</v>
      </c>
      <c r="BB80" s="456">
        <f>BS127</f>
        <v>288683.5</v>
      </c>
      <c r="BC80" s="456">
        <f>BY127</f>
        <v>267135.5</v>
      </c>
      <c r="BD80" s="456"/>
      <c r="BE80" s="1075"/>
      <c r="BF80" s="456"/>
      <c r="BG80" s="456"/>
      <c r="BH80" s="456"/>
      <c r="BI80" s="456"/>
      <c r="BJ80" s="456"/>
      <c r="BK80" s="456">
        <f>CE127</f>
        <v>265216.25</v>
      </c>
      <c r="BL80" s="75">
        <f>CK127</f>
        <v>280064.875</v>
      </c>
      <c r="BM80" s="75">
        <f>CQ127</f>
        <v>286007.125</v>
      </c>
      <c r="BN80" s="75">
        <f>CW127</f>
        <v>276301.375</v>
      </c>
      <c r="BP80" s="75">
        <v>3</v>
      </c>
      <c r="BQ80" s="76">
        <v>319524</v>
      </c>
      <c r="BR80" s="76">
        <v>315523</v>
      </c>
      <c r="BS80" s="76">
        <v>302941</v>
      </c>
      <c r="BT80" s="76">
        <v>299545</v>
      </c>
      <c r="BV80" s="75">
        <v>3</v>
      </c>
      <c r="BW80" s="76">
        <v>335300</v>
      </c>
      <c r="BX80" s="76">
        <v>323706</v>
      </c>
      <c r="BY80" s="76">
        <v>299465</v>
      </c>
      <c r="BZ80" s="76">
        <v>320040</v>
      </c>
      <c r="CB80" s="75">
        <v>3</v>
      </c>
      <c r="CC80" s="76">
        <v>293386</v>
      </c>
      <c r="CD80" s="76">
        <v>291746</v>
      </c>
      <c r="CE80" s="76">
        <v>292794</v>
      </c>
      <c r="CF80" s="76">
        <v>288487</v>
      </c>
      <c r="CH80" s="75">
        <v>3</v>
      </c>
      <c r="CI80" s="76">
        <v>305969</v>
      </c>
      <c r="CJ80" s="76">
        <v>310832</v>
      </c>
      <c r="CK80" s="76">
        <v>290673</v>
      </c>
      <c r="CL80" s="76">
        <v>306820</v>
      </c>
      <c r="CN80" s="75">
        <v>3</v>
      </c>
      <c r="CO80" s="76">
        <v>320130</v>
      </c>
      <c r="CP80" s="76">
        <v>318586</v>
      </c>
      <c r="CQ80" s="76">
        <v>311988</v>
      </c>
      <c r="CR80" s="76">
        <v>310968</v>
      </c>
    </row>
    <row r="81" spans="1:96">
      <c r="A81" s="741" t="s">
        <v>197</v>
      </c>
      <c r="B81" s="796">
        <f>B77</f>
        <v>301846</v>
      </c>
      <c r="C81" s="744">
        <f>C77</f>
        <v>283771</v>
      </c>
      <c r="D81" s="744">
        <f t="shared" ref="D81:Q81" si="294">D77</f>
        <v>309302</v>
      </c>
      <c r="E81" s="744">
        <f t="shared" si="294"/>
        <v>291700</v>
      </c>
      <c r="F81" s="744">
        <f t="shared" si="294"/>
        <v>292988</v>
      </c>
      <c r="G81" s="796">
        <f t="shared" si="294"/>
        <v>317060</v>
      </c>
      <c r="H81" s="744">
        <f t="shared" si="294"/>
        <v>317060</v>
      </c>
      <c r="I81" s="744">
        <f t="shared" si="294"/>
        <v>317060</v>
      </c>
      <c r="J81" s="744">
        <f t="shared" si="294"/>
        <v>317060</v>
      </c>
      <c r="K81" s="744">
        <f t="shared" si="294"/>
        <v>317060</v>
      </c>
      <c r="L81" s="796">
        <f t="shared" si="294"/>
        <v>340139</v>
      </c>
      <c r="M81" s="744">
        <f t="shared" si="294"/>
        <v>308919</v>
      </c>
      <c r="N81" s="744">
        <f t="shared" si="294"/>
        <v>297320</v>
      </c>
      <c r="O81" s="744">
        <f t="shared" si="294"/>
        <v>367001</v>
      </c>
      <c r="P81" s="744">
        <f t="shared" si="294"/>
        <v>364456</v>
      </c>
      <c r="Q81" s="796">
        <f t="shared" si="294"/>
        <v>317060</v>
      </c>
      <c r="R81" s="744">
        <f>R76</f>
        <v>315866</v>
      </c>
      <c r="S81" s="797">
        <f>S76</f>
        <v>314671</v>
      </c>
      <c r="T81" s="797">
        <f>T76</f>
        <v>313477</v>
      </c>
      <c r="U81" s="797">
        <f>U76</f>
        <v>312282</v>
      </c>
      <c r="V81" s="744">
        <f>V76</f>
        <v>311088</v>
      </c>
      <c r="W81" s="73">
        <f t="shared" ref="W81:AF81" si="295">ROUND(V81*AS86,0)</f>
        <v>309390</v>
      </c>
      <c r="X81" s="73">
        <f t="shared" si="295"/>
        <v>313428</v>
      </c>
      <c r="Y81" s="73">
        <f t="shared" si="295"/>
        <v>315781</v>
      </c>
      <c r="Z81" s="797">
        <f t="shared" si="295"/>
        <v>319804</v>
      </c>
      <c r="AA81" s="73">
        <f t="shared" si="295"/>
        <v>324237</v>
      </c>
      <c r="AB81" s="73">
        <f t="shared" si="295"/>
        <v>323292</v>
      </c>
      <c r="AC81" s="73">
        <f t="shared" si="295"/>
        <v>305436</v>
      </c>
      <c r="AD81" s="73">
        <f t="shared" si="295"/>
        <v>308775</v>
      </c>
      <c r="AE81" s="73">
        <f t="shared" si="295"/>
        <v>320319</v>
      </c>
      <c r="AF81" s="73">
        <f t="shared" si="295"/>
        <v>328963</v>
      </c>
      <c r="AG81" s="73">
        <f>ROUND(AF81*BZ128,0)</f>
        <v>311482</v>
      </c>
      <c r="AH81" s="1743">
        <f>AG81*BK86</f>
        <v>296962.03189806454</v>
      </c>
      <c r="AI81" s="1743">
        <f>AH81*BL86</f>
        <v>317859.55791161879</v>
      </c>
      <c r="AJ81" s="1743">
        <f>AI81*BM86</f>
        <v>320005.58395320136</v>
      </c>
      <c r="AK81" s="1743">
        <f>AJ81*BN86</f>
        <v>321952.58875601069</v>
      </c>
      <c r="AL81" s="1741">
        <f t="shared" si="288"/>
        <v>321952.58875601069</v>
      </c>
      <c r="AM81" s="1741">
        <f t="shared" si="288"/>
        <v>321952.58875601069</v>
      </c>
      <c r="AN81" s="1741">
        <f t="shared" si="288"/>
        <v>321952.58875601069</v>
      </c>
      <c r="AO81" s="75" t="s">
        <v>1018</v>
      </c>
      <c r="AQ81" s="132" t="s">
        <v>1008</v>
      </c>
      <c r="AR81" s="132">
        <f>消費支出2!BT90</f>
        <v>272966.75</v>
      </c>
      <c r="AS81" s="132">
        <f>消費支出2!BZ90</f>
        <v>271477.25</v>
      </c>
      <c r="AT81" s="132">
        <f>消費支出2!CF90</f>
        <v>275020.375</v>
      </c>
      <c r="AU81" s="132">
        <f>消費支出2!CL90</f>
        <v>277085.375</v>
      </c>
      <c r="AV81" s="209">
        <f>消費支出2!CR90</f>
        <v>270155.25</v>
      </c>
      <c r="AW81" s="209">
        <f>消費支出2!BT108</f>
        <v>273900.375</v>
      </c>
      <c r="AX81" s="209">
        <f>BZ108</f>
        <v>273102.5</v>
      </c>
      <c r="AY81" s="132">
        <f>CF108</f>
        <v>258018.875</v>
      </c>
      <c r="AZ81" s="132">
        <f>CL108</f>
        <v>260839.625</v>
      </c>
      <c r="BA81" s="132">
        <f>CR108</f>
        <v>270591.75</v>
      </c>
      <c r="BB81" s="461">
        <f>BT127</f>
        <v>277894.25</v>
      </c>
      <c r="BC81" s="461">
        <f>BZ127</f>
        <v>263127.25</v>
      </c>
      <c r="BD81" s="456"/>
      <c r="BE81" s="1075"/>
      <c r="BF81" s="456"/>
      <c r="BG81" s="456"/>
      <c r="BH81" s="456"/>
      <c r="BI81" s="456"/>
      <c r="BJ81" s="456"/>
      <c r="BK81" s="461">
        <f>CF127</f>
        <v>250861.375</v>
      </c>
      <c r="BL81" s="132">
        <f>CL127</f>
        <v>268514.75</v>
      </c>
      <c r="BM81" s="132">
        <f>CR127</f>
        <v>270327.625</v>
      </c>
      <c r="BN81" s="132">
        <f>CX127</f>
        <v>271972.375</v>
      </c>
      <c r="BP81" s="75">
        <v>4</v>
      </c>
      <c r="BQ81" s="76">
        <v>324411</v>
      </c>
      <c r="BR81" s="76">
        <v>298645</v>
      </c>
      <c r="BS81" s="76">
        <v>306023</v>
      </c>
      <c r="BT81" s="76">
        <v>294193</v>
      </c>
      <c r="BV81" s="75">
        <v>4</v>
      </c>
      <c r="BW81" s="76">
        <v>325596</v>
      </c>
      <c r="BX81" s="76">
        <v>308868</v>
      </c>
      <c r="BY81" s="76">
        <v>283634</v>
      </c>
      <c r="BZ81" s="76">
        <v>267902</v>
      </c>
      <c r="CB81" s="75">
        <v>4</v>
      </c>
      <c r="CC81" s="76">
        <v>311678</v>
      </c>
      <c r="CD81" s="76">
        <v>284798</v>
      </c>
      <c r="CE81" s="76">
        <v>287557</v>
      </c>
      <c r="CF81" s="76">
        <v>286632</v>
      </c>
      <c r="CH81" s="75">
        <v>4</v>
      </c>
      <c r="CI81" s="76">
        <v>313025</v>
      </c>
      <c r="CJ81" s="76">
        <v>296855</v>
      </c>
      <c r="CK81" s="76">
        <v>306128</v>
      </c>
      <c r="CL81" s="76">
        <v>288611</v>
      </c>
      <c r="CN81" s="75">
        <v>4</v>
      </c>
      <c r="CO81" s="76">
        <v>315350</v>
      </c>
      <c r="CP81" s="76">
        <v>316144</v>
      </c>
      <c r="CQ81" s="76">
        <v>292948</v>
      </c>
      <c r="CR81" s="76">
        <v>279817</v>
      </c>
    </row>
    <row r="82" spans="1:96">
      <c r="A82" s="766" t="s">
        <v>198</v>
      </c>
      <c r="B82" s="796"/>
      <c r="C82" s="744"/>
      <c r="D82" s="744"/>
      <c r="E82" s="744"/>
      <c r="F82" s="744"/>
      <c r="G82" s="796"/>
      <c r="H82" s="744"/>
      <c r="I82" s="744"/>
      <c r="J82" s="744"/>
      <c r="K82" s="744"/>
      <c r="L82" s="796"/>
      <c r="M82" s="744"/>
      <c r="N82" s="744"/>
      <c r="O82" s="744"/>
      <c r="P82" s="744"/>
      <c r="Q82" s="796"/>
      <c r="R82" s="744"/>
      <c r="S82" s="797"/>
      <c r="T82" s="797"/>
      <c r="U82" s="797"/>
      <c r="V82" s="744"/>
      <c r="W82" s="797"/>
      <c r="X82" s="73" t="s">
        <v>627</v>
      </c>
      <c r="Y82" s="73"/>
      <c r="Z82" s="797"/>
      <c r="AA82" s="795">
        <f>消費ﾃﾞｰﾀ!L9</f>
        <v>291316</v>
      </c>
      <c r="AB82" s="1177">
        <f>AA82/AA83</f>
        <v>0.89846624536989916</v>
      </c>
      <c r="AC82" s="73"/>
      <c r="AD82" s="73"/>
      <c r="AE82" s="73"/>
      <c r="AF82" s="73"/>
      <c r="AG82" s="73"/>
      <c r="AH82" s="1169"/>
      <c r="AI82" s="1169"/>
      <c r="AJ82" s="1169"/>
      <c r="AK82" s="1169"/>
      <c r="AL82" s="1741"/>
      <c r="AM82" s="1741"/>
      <c r="AN82" s="1741"/>
      <c r="AO82" s="75" t="s">
        <v>1015</v>
      </c>
      <c r="BE82" s="76"/>
      <c r="BP82" s="75">
        <v>5</v>
      </c>
      <c r="BQ82" s="76">
        <v>291890</v>
      </c>
      <c r="BR82" s="76">
        <v>291344</v>
      </c>
      <c r="BS82" s="76">
        <v>285522</v>
      </c>
      <c r="BT82" s="76">
        <v>264832</v>
      </c>
      <c r="BV82" s="75">
        <v>5</v>
      </c>
      <c r="BW82" s="76">
        <v>295923</v>
      </c>
      <c r="BX82" s="76">
        <v>282964</v>
      </c>
      <c r="BY82" s="76">
        <v>271430</v>
      </c>
      <c r="BZ82" s="76">
        <v>267146</v>
      </c>
      <c r="CB82" s="75">
        <v>5</v>
      </c>
      <c r="CC82" s="76">
        <v>287414</v>
      </c>
      <c r="CD82" s="76">
        <v>278000</v>
      </c>
      <c r="CE82" s="76">
        <v>265341</v>
      </c>
      <c r="CF82" s="76">
        <v>271927</v>
      </c>
      <c r="CH82" s="75">
        <v>5</v>
      </c>
      <c r="CI82" s="76">
        <v>289348</v>
      </c>
      <c r="CJ82" s="76">
        <v>294727</v>
      </c>
      <c r="CK82" s="76">
        <v>280376</v>
      </c>
      <c r="CL82" s="76">
        <v>283871</v>
      </c>
      <c r="CN82" s="75">
        <v>5</v>
      </c>
      <c r="CO82" s="76">
        <v>301578</v>
      </c>
      <c r="CP82" s="76">
        <v>285379</v>
      </c>
      <c r="CQ82" s="76">
        <v>266986</v>
      </c>
      <c r="CR82" s="76">
        <v>266788</v>
      </c>
    </row>
    <row r="83" spans="1:96">
      <c r="A83" s="768" t="s">
        <v>231</v>
      </c>
      <c r="B83" s="796">
        <f>B77</f>
        <v>301846</v>
      </c>
      <c r="C83" s="744">
        <f>C77</f>
        <v>283771</v>
      </c>
      <c r="D83" s="744">
        <f t="shared" ref="D83:Q83" si="296">D77</f>
        <v>309302</v>
      </c>
      <c r="E83" s="744">
        <f t="shared" si="296"/>
        <v>291700</v>
      </c>
      <c r="F83" s="744">
        <f t="shared" si="296"/>
        <v>292988</v>
      </c>
      <c r="G83" s="796">
        <f t="shared" si="296"/>
        <v>317060</v>
      </c>
      <c r="H83" s="744">
        <f t="shared" si="296"/>
        <v>317060</v>
      </c>
      <c r="I83" s="744">
        <f t="shared" si="296"/>
        <v>317060</v>
      </c>
      <c r="J83" s="744">
        <f t="shared" si="296"/>
        <v>317060</v>
      </c>
      <c r="K83" s="744">
        <f t="shared" si="296"/>
        <v>317060</v>
      </c>
      <c r="L83" s="796">
        <f t="shared" si="296"/>
        <v>340139</v>
      </c>
      <c r="M83" s="744">
        <f t="shared" si="296"/>
        <v>308919</v>
      </c>
      <c r="N83" s="744">
        <f t="shared" si="296"/>
        <v>297320</v>
      </c>
      <c r="O83" s="744">
        <f t="shared" si="296"/>
        <v>367001</v>
      </c>
      <c r="P83" s="744">
        <f t="shared" si="296"/>
        <v>364456</v>
      </c>
      <c r="Q83" s="796">
        <f t="shared" si="296"/>
        <v>317060</v>
      </c>
      <c r="R83" s="744">
        <f>R76</f>
        <v>315866</v>
      </c>
      <c r="S83" s="797">
        <f>S76</f>
        <v>314671</v>
      </c>
      <c r="T83" s="797">
        <f>T76</f>
        <v>313477</v>
      </c>
      <c r="U83" s="797">
        <f>U76</f>
        <v>312282</v>
      </c>
      <c r="V83" s="744">
        <f>V76</f>
        <v>311088</v>
      </c>
      <c r="W83" s="73">
        <f t="shared" ref="W83:AF83" si="297">ROUND(V83*AS86,0)</f>
        <v>309390</v>
      </c>
      <c r="X83" s="73">
        <f t="shared" si="297"/>
        <v>313428</v>
      </c>
      <c r="Y83" s="73">
        <f t="shared" si="297"/>
        <v>315781</v>
      </c>
      <c r="Z83" s="797">
        <f t="shared" si="297"/>
        <v>319804</v>
      </c>
      <c r="AA83" s="73">
        <f t="shared" si="297"/>
        <v>324237</v>
      </c>
      <c r="AB83" s="73">
        <f t="shared" si="297"/>
        <v>323292</v>
      </c>
      <c r="AC83" s="73">
        <f t="shared" si="297"/>
        <v>305436</v>
      </c>
      <c r="AD83" s="73">
        <f t="shared" si="297"/>
        <v>308775</v>
      </c>
      <c r="AE83" s="73">
        <f t="shared" si="297"/>
        <v>320319</v>
      </c>
      <c r="AF83" s="73">
        <f t="shared" si="297"/>
        <v>328963</v>
      </c>
      <c r="AG83" s="73">
        <f>ROUND(AF83*BZ128,0)</f>
        <v>311482</v>
      </c>
      <c r="AH83" s="1743">
        <f>AG83*BK86</f>
        <v>296962.03189806454</v>
      </c>
      <c r="AI83" s="1743">
        <f>AH83*BL86</f>
        <v>317859.55791161879</v>
      </c>
      <c r="AJ83" s="1743">
        <f>AI83*BM86</f>
        <v>320005.58395320136</v>
      </c>
      <c r="AK83" s="1743">
        <f>AJ83*BN86</f>
        <v>321952.58875601069</v>
      </c>
      <c r="AL83" s="1741">
        <f t="shared" ref="AL83:AN88" si="298">AK83</f>
        <v>321952.58875601069</v>
      </c>
      <c r="AM83" s="1741">
        <f t="shared" si="298"/>
        <v>321952.58875601069</v>
      </c>
      <c r="AN83" s="1741">
        <f t="shared" si="298"/>
        <v>321952.58875601069</v>
      </c>
      <c r="AO83" s="75" t="s">
        <v>1018</v>
      </c>
      <c r="AQ83" s="75" t="s">
        <v>88</v>
      </c>
      <c r="AR83" s="479" t="s">
        <v>1013</v>
      </c>
      <c r="AS83" s="479">
        <f t="shared" ref="AS83:AU86" si="299">AS78/AR78</f>
        <v>1.0198304797677877</v>
      </c>
      <c r="AT83" s="479">
        <f t="shared" si="299"/>
        <v>0.94949223898351265</v>
      </c>
      <c r="AU83" s="479">
        <f t="shared" si="299"/>
        <v>1.013419898499901</v>
      </c>
      <c r="AV83" s="1183">
        <f>AV91</f>
        <v>0.99020102977357727</v>
      </c>
      <c r="AW83" s="1184">
        <f t="shared" ref="AW83:BC83" si="300">AV83*AW89</f>
        <v>1.0175406401285181</v>
      </c>
      <c r="AX83" s="1184">
        <f t="shared" si="300"/>
        <v>1.0090075334791544</v>
      </c>
      <c r="AY83" s="1184">
        <f t="shared" si="300"/>
        <v>0.98575248424416029</v>
      </c>
      <c r="AZ83" s="1184">
        <f t="shared" si="300"/>
        <v>0.96736711169186362</v>
      </c>
      <c r="BA83" s="1184">
        <f t="shared" si="300"/>
        <v>0.96513562973830025</v>
      </c>
      <c r="BB83" s="1184">
        <f t="shared" si="300"/>
        <v>0.97072109174361687</v>
      </c>
      <c r="BC83" s="1184">
        <f t="shared" si="300"/>
        <v>0.97633887810299469</v>
      </c>
      <c r="BD83" s="1184">
        <f t="shared" ref="BD83" si="301">BC83*BD89</f>
        <v>0.98198917588490997</v>
      </c>
      <c r="BE83" s="1184">
        <f t="shared" ref="BE83" si="302">BD83*BE89</f>
        <v>0.98767217324044698</v>
      </c>
      <c r="BF83" s="1184">
        <f t="shared" ref="BF83" si="303">BE83*BF89</f>
        <v>0.99338805940956376</v>
      </c>
      <c r="BG83" s="1184">
        <f t="shared" ref="BG83" si="304">BF83*BG89</f>
        <v>0.49956851236369676</v>
      </c>
      <c r="BH83" s="1184">
        <f t="shared" ref="BH83" si="305">BG83*BH89</f>
        <v>0.74935276854554511</v>
      </c>
      <c r="BI83" s="1184">
        <f t="shared" ref="BI83" si="306">BH83*BI89</f>
        <v>106064.88956547355</v>
      </c>
      <c r="BJ83" s="1184">
        <f t="shared" ref="BJ83" si="307">BI83*BJ89</f>
        <v>30404985502.396912</v>
      </c>
      <c r="BK83" s="1740">
        <f>BC83*BK89</f>
        <v>0.98198917588490997</v>
      </c>
      <c r="BL83" s="1740">
        <f>BL78/BK78</f>
        <v>1.0137971505997361</v>
      </c>
      <c r="BM83" s="1740">
        <f t="shared" ref="BM83:BN83" si="308">BM78/BL78</f>
        <v>1.0476541423827241</v>
      </c>
      <c r="BN83" s="1740">
        <f t="shared" si="308"/>
        <v>1.0372064429270245</v>
      </c>
      <c r="BP83" s="75">
        <v>6</v>
      </c>
      <c r="BQ83" s="76">
        <v>283028</v>
      </c>
      <c r="BR83" s="76">
        <v>281457</v>
      </c>
      <c r="BS83" s="76">
        <v>273609</v>
      </c>
      <c r="BT83" s="76">
        <v>265839</v>
      </c>
      <c r="BV83" s="75">
        <v>6</v>
      </c>
      <c r="BW83" s="76">
        <v>286159</v>
      </c>
      <c r="BX83" s="76">
        <v>284515</v>
      </c>
      <c r="BY83" s="76">
        <v>264416</v>
      </c>
      <c r="BZ83" s="76">
        <v>264416</v>
      </c>
      <c r="CB83" s="75">
        <v>6</v>
      </c>
      <c r="CC83" s="76">
        <v>278982</v>
      </c>
      <c r="CD83" s="76">
        <v>267175</v>
      </c>
      <c r="CE83" s="76">
        <v>261454</v>
      </c>
      <c r="CF83" s="76">
        <v>249381</v>
      </c>
      <c r="CH83" s="75">
        <v>6</v>
      </c>
      <c r="CI83" s="76">
        <v>279392</v>
      </c>
      <c r="CJ83" s="76">
        <v>263868</v>
      </c>
      <c r="CK83" s="76">
        <v>273077</v>
      </c>
      <c r="CL83" s="76">
        <v>261667</v>
      </c>
      <c r="CN83" s="75">
        <v>6</v>
      </c>
      <c r="CO83" s="76">
        <v>293796</v>
      </c>
      <c r="CP83" s="76">
        <v>271876</v>
      </c>
      <c r="CQ83" s="76">
        <v>255821</v>
      </c>
      <c r="CR83" s="76">
        <v>243020</v>
      </c>
    </row>
    <row r="84" spans="1:96">
      <c r="A84" s="768" t="s">
        <v>232</v>
      </c>
      <c r="B84" s="796">
        <f>B77</f>
        <v>301846</v>
      </c>
      <c r="C84" s="744">
        <f>C77</f>
        <v>283771</v>
      </c>
      <c r="D84" s="744">
        <f t="shared" ref="D84:Q84" si="309">D77</f>
        <v>309302</v>
      </c>
      <c r="E84" s="744">
        <f t="shared" si="309"/>
        <v>291700</v>
      </c>
      <c r="F84" s="744">
        <f t="shared" si="309"/>
        <v>292988</v>
      </c>
      <c r="G84" s="796">
        <f t="shared" si="309"/>
        <v>317060</v>
      </c>
      <c r="H84" s="744">
        <f t="shared" si="309"/>
        <v>317060</v>
      </c>
      <c r="I84" s="744">
        <f t="shared" si="309"/>
        <v>317060</v>
      </c>
      <c r="J84" s="744">
        <f t="shared" si="309"/>
        <v>317060</v>
      </c>
      <c r="K84" s="744">
        <f t="shared" si="309"/>
        <v>317060</v>
      </c>
      <c r="L84" s="796">
        <f t="shared" si="309"/>
        <v>340139</v>
      </c>
      <c r="M84" s="744">
        <f t="shared" si="309"/>
        <v>308919</v>
      </c>
      <c r="N84" s="744">
        <f t="shared" si="309"/>
        <v>297320</v>
      </c>
      <c r="O84" s="744">
        <f t="shared" si="309"/>
        <v>367001</v>
      </c>
      <c r="P84" s="744">
        <f t="shared" si="309"/>
        <v>364456</v>
      </c>
      <c r="Q84" s="796">
        <f t="shared" si="309"/>
        <v>317060</v>
      </c>
      <c r="R84" s="744">
        <f>R76</f>
        <v>315866</v>
      </c>
      <c r="S84" s="797">
        <f>S76</f>
        <v>314671</v>
      </c>
      <c r="T84" s="797">
        <f>T76</f>
        <v>313477</v>
      </c>
      <c r="U84" s="797">
        <f>U76</f>
        <v>312282</v>
      </c>
      <c r="V84" s="744">
        <f>V76</f>
        <v>311088</v>
      </c>
      <c r="W84" s="73">
        <f t="shared" ref="W84:AF85" si="310">ROUND(V84*AS85,0)</f>
        <v>298805</v>
      </c>
      <c r="X84" s="73">
        <f t="shared" si="310"/>
        <v>297684</v>
      </c>
      <c r="Y84" s="73">
        <f t="shared" si="310"/>
        <v>307437</v>
      </c>
      <c r="Z84" s="797">
        <f t="shared" si="310"/>
        <v>311354</v>
      </c>
      <c r="AA84" s="73">
        <f t="shared" si="310"/>
        <v>319634</v>
      </c>
      <c r="AB84" s="73">
        <f t="shared" si="310"/>
        <v>318899</v>
      </c>
      <c r="AC84" s="73">
        <f t="shared" si="310"/>
        <v>311558</v>
      </c>
      <c r="AD84" s="73">
        <f t="shared" si="310"/>
        <v>297982</v>
      </c>
      <c r="AE84" s="73">
        <f t="shared" si="310"/>
        <v>314438</v>
      </c>
      <c r="AF84" s="73">
        <f t="shared" si="310"/>
        <v>325258</v>
      </c>
      <c r="AG84" s="73">
        <f>ROUND(AF84*BY128,0)</f>
        <v>300980</v>
      </c>
      <c r="AH84" s="1743">
        <f t="shared" ref="AH84:AK85" si="311">AG84*BK85</f>
        <v>298817.59228930634</v>
      </c>
      <c r="AI84" s="1743">
        <f t="shared" si="311"/>
        <v>315547.45092846133</v>
      </c>
      <c r="AJ84" s="1743">
        <f t="shared" si="311"/>
        <v>322242.5491276898</v>
      </c>
      <c r="AK84" s="1743">
        <f t="shared" si="311"/>
        <v>311307.13756689016</v>
      </c>
      <c r="AL84" s="1741">
        <f t="shared" si="298"/>
        <v>311307.13756689016</v>
      </c>
      <c r="AM84" s="1741">
        <f t="shared" si="298"/>
        <v>311307.13756689016</v>
      </c>
      <c r="AN84" s="1741">
        <f t="shared" si="298"/>
        <v>311307.13756689016</v>
      </c>
      <c r="AO84" s="75" t="s">
        <v>1017</v>
      </c>
      <c r="AQ84" s="75" t="s">
        <v>89</v>
      </c>
      <c r="AR84" s="479" t="s">
        <v>1009</v>
      </c>
      <c r="AS84" s="479">
        <f t="shared" si="299"/>
        <v>1.0105254490106284</v>
      </c>
      <c r="AT84" s="479">
        <f t="shared" si="299"/>
        <v>0.94570380405258581</v>
      </c>
      <c r="AU84" s="479">
        <f t="shared" si="299"/>
        <v>1.0227555659272356</v>
      </c>
      <c r="AV84" s="1183">
        <f>AV91</f>
        <v>0.99020102977357727</v>
      </c>
      <c r="AW84" s="479">
        <f t="shared" ref="AW84:BC86" si="312">AW79/AV79</f>
        <v>1.0100899793473206</v>
      </c>
      <c r="AX84" s="479">
        <f t="shared" si="312"/>
        <v>0.9761121842543441</v>
      </c>
      <c r="AY84" s="479">
        <f t="shared" si="312"/>
        <v>0.98126150402158485</v>
      </c>
      <c r="AZ84" s="479">
        <f t="shared" si="312"/>
        <v>1.0080341901486851</v>
      </c>
      <c r="BA84" s="479">
        <f t="shared" si="312"/>
        <v>0.99610564116678246</v>
      </c>
      <c r="BB84" s="479">
        <f t="shared" si="312"/>
        <v>1.0363345822649366</v>
      </c>
      <c r="BC84" s="479">
        <f t="shared" si="312"/>
        <v>0.92510549956271815</v>
      </c>
      <c r="BD84" s="479">
        <f t="shared" ref="BD84:BD86" si="313">BD79/BC79</f>
        <v>0</v>
      </c>
      <c r="BE84" s="479" t="e">
        <f t="shared" ref="BE84:BE86" si="314">BE79/BD79</f>
        <v>#DIV/0!</v>
      </c>
      <c r="BF84" s="479" t="e">
        <f t="shared" ref="BF84:BF86" si="315">BF79/BE79</f>
        <v>#DIV/0!</v>
      </c>
      <c r="BG84" s="479" t="e">
        <f t="shared" ref="BG84:BG86" si="316">BG79/BF79</f>
        <v>#DIV/0!</v>
      </c>
      <c r="BH84" s="479" t="e">
        <f t="shared" ref="BH84:BH86" si="317">BH79/BG79</f>
        <v>#DIV/0!</v>
      </c>
      <c r="BI84" s="479" t="e">
        <f t="shared" ref="BI84:BI86" si="318">BI79/BH79</f>
        <v>#DIV/0!</v>
      </c>
      <c r="BJ84" s="479" t="e">
        <f t="shared" ref="BJ84:BJ86" si="319">BJ79/BI79</f>
        <v>#DIV/0!</v>
      </c>
      <c r="BK84" s="1740">
        <f>BK79/BC79</f>
        <v>1.044176610989473</v>
      </c>
      <c r="BL84" s="1740">
        <f t="shared" ref="BL84:BN86" si="320">BL79/BK79</f>
        <v>1.0424456074595485</v>
      </c>
      <c r="BM84" s="1740">
        <f t="shared" si="320"/>
        <v>0.97743823593768508</v>
      </c>
      <c r="BN84" s="1740">
        <f t="shared" si="320"/>
        <v>1.0319564350029655</v>
      </c>
      <c r="BP84" s="75">
        <v>7</v>
      </c>
      <c r="BQ84" s="76">
        <v>298753</v>
      </c>
      <c r="BR84" s="76">
        <v>288131</v>
      </c>
      <c r="BS84" s="76">
        <v>277065</v>
      </c>
      <c r="BT84" s="76">
        <v>270449</v>
      </c>
      <c r="BV84" s="75">
        <v>7</v>
      </c>
      <c r="BW84" s="76">
        <v>307552</v>
      </c>
      <c r="BX84" s="76">
        <v>289352</v>
      </c>
      <c r="BY84" s="76">
        <v>276952</v>
      </c>
      <c r="BZ84" s="76">
        <v>256256</v>
      </c>
      <c r="CB84" s="75">
        <v>7</v>
      </c>
      <c r="CC84" s="76">
        <v>294256</v>
      </c>
      <c r="CD84" s="76">
        <v>281390</v>
      </c>
      <c r="CE84" s="76">
        <v>270930</v>
      </c>
      <c r="CF84" s="76">
        <v>269288</v>
      </c>
      <c r="CH84" s="75">
        <v>7</v>
      </c>
      <c r="CI84" s="76">
        <v>294221</v>
      </c>
      <c r="CJ84" s="76">
        <v>281183</v>
      </c>
      <c r="CK84" s="76">
        <v>286369</v>
      </c>
      <c r="CL84" s="76">
        <v>266064</v>
      </c>
      <c r="CN84" s="75">
        <v>7</v>
      </c>
      <c r="CO84" s="76">
        <v>310134</v>
      </c>
      <c r="CP84" s="76">
        <v>288220</v>
      </c>
      <c r="CQ84" s="76">
        <v>274947</v>
      </c>
      <c r="CR84" s="76">
        <v>257156</v>
      </c>
    </row>
    <row r="85" spans="1:96">
      <c r="A85" s="741" t="s">
        <v>200</v>
      </c>
      <c r="B85" s="796">
        <f>B77</f>
        <v>301846</v>
      </c>
      <c r="C85" s="744">
        <f>C77</f>
        <v>283771</v>
      </c>
      <c r="D85" s="744">
        <f t="shared" ref="D85:Q85" si="321">D77</f>
        <v>309302</v>
      </c>
      <c r="E85" s="744">
        <f t="shared" si="321"/>
        <v>291700</v>
      </c>
      <c r="F85" s="744">
        <f t="shared" si="321"/>
        <v>292988</v>
      </c>
      <c r="G85" s="796">
        <f t="shared" si="321"/>
        <v>317060</v>
      </c>
      <c r="H85" s="744">
        <f t="shared" si="321"/>
        <v>317060</v>
      </c>
      <c r="I85" s="744">
        <f t="shared" si="321"/>
        <v>317060</v>
      </c>
      <c r="J85" s="744">
        <f t="shared" si="321"/>
        <v>317060</v>
      </c>
      <c r="K85" s="744">
        <f t="shared" si="321"/>
        <v>317060</v>
      </c>
      <c r="L85" s="796">
        <f t="shared" si="321"/>
        <v>340139</v>
      </c>
      <c r="M85" s="744">
        <f t="shared" si="321"/>
        <v>308919</v>
      </c>
      <c r="N85" s="744">
        <f t="shared" si="321"/>
        <v>297320</v>
      </c>
      <c r="O85" s="744">
        <f t="shared" si="321"/>
        <v>367001</v>
      </c>
      <c r="P85" s="744">
        <f t="shared" si="321"/>
        <v>364456</v>
      </c>
      <c r="Q85" s="796">
        <f t="shared" si="321"/>
        <v>317060</v>
      </c>
      <c r="R85" s="744">
        <f>R76</f>
        <v>315866</v>
      </c>
      <c r="S85" s="797">
        <f>S76</f>
        <v>314671</v>
      </c>
      <c r="T85" s="797">
        <f>T76</f>
        <v>313477</v>
      </c>
      <c r="U85" s="797">
        <f>U76</f>
        <v>312282</v>
      </c>
      <c r="V85" s="744">
        <f>V76</f>
        <v>311088</v>
      </c>
      <c r="W85" s="73">
        <f t="shared" si="310"/>
        <v>309390</v>
      </c>
      <c r="X85" s="73">
        <f t="shared" si="310"/>
        <v>313428</v>
      </c>
      <c r="Y85" s="73">
        <f t="shared" si="310"/>
        <v>315781</v>
      </c>
      <c r="Z85" s="797">
        <f t="shared" si="310"/>
        <v>319804</v>
      </c>
      <c r="AA85" s="73">
        <f t="shared" si="310"/>
        <v>324237</v>
      </c>
      <c r="AB85" s="73">
        <f t="shared" si="310"/>
        <v>323292</v>
      </c>
      <c r="AC85" s="73">
        <f t="shared" si="310"/>
        <v>305436</v>
      </c>
      <c r="AD85" s="73">
        <f t="shared" si="310"/>
        <v>308775</v>
      </c>
      <c r="AE85" s="73">
        <f t="shared" si="310"/>
        <v>320319</v>
      </c>
      <c r="AF85" s="73">
        <f t="shared" si="310"/>
        <v>328963</v>
      </c>
      <c r="AG85" s="73">
        <f>ROUND(AF85*BZ128,0)</f>
        <v>311482</v>
      </c>
      <c r="AH85" s="1743">
        <f t="shared" si="311"/>
        <v>296962.03189806454</v>
      </c>
      <c r="AI85" s="1743">
        <f t="shared" si="311"/>
        <v>317859.55791161879</v>
      </c>
      <c r="AJ85" s="1743">
        <f t="shared" si="311"/>
        <v>320005.58395320136</v>
      </c>
      <c r="AK85" s="1743">
        <f t="shared" si="311"/>
        <v>321952.58875601069</v>
      </c>
      <c r="AL85" s="1741">
        <f t="shared" si="298"/>
        <v>321952.58875601069</v>
      </c>
      <c r="AM85" s="1741">
        <f t="shared" si="298"/>
        <v>321952.58875601069</v>
      </c>
      <c r="AN85" s="1741">
        <f t="shared" si="298"/>
        <v>321952.58875601069</v>
      </c>
      <c r="AO85" s="75" t="s">
        <v>1018</v>
      </c>
      <c r="AQ85" s="75" t="s">
        <v>90</v>
      </c>
      <c r="AR85" s="479" t="s">
        <v>1010</v>
      </c>
      <c r="AS85" s="479">
        <f t="shared" si="299"/>
        <v>0.96051627429035191</v>
      </c>
      <c r="AT85" s="479">
        <f t="shared" si="299"/>
        <v>0.99624679055619458</v>
      </c>
      <c r="AU85" s="479">
        <f t="shared" si="299"/>
        <v>1.0327638991105554</v>
      </c>
      <c r="AV85" s="1183">
        <f>AV89</f>
        <v>1.0127401955398143</v>
      </c>
      <c r="AW85" s="1184">
        <f>AW80/AV80</f>
        <v>1.0265942144364069</v>
      </c>
      <c r="AX85" s="1184">
        <f t="shared" si="312"/>
        <v>0.99769909016684899</v>
      </c>
      <c r="AY85" s="1184">
        <f t="shared" si="312"/>
        <v>0.97698067627516494</v>
      </c>
      <c r="AZ85" s="1184">
        <f t="shared" si="312"/>
        <v>0.95642692858486067</v>
      </c>
      <c r="BA85" s="1184">
        <f t="shared" si="312"/>
        <v>1.0552245013706401</v>
      </c>
      <c r="BB85" s="1184">
        <f t="shared" si="312"/>
        <v>1.0344094266707993</v>
      </c>
      <c r="BC85" s="1184">
        <f t="shared" si="312"/>
        <v>0.92535770142734175</v>
      </c>
      <c r="BD85" s="1184">
        <f t="shared" si="313"/>
        <v>0</v>
      </c>
      <c r="BE85" s="1184" t="e">
        <f t="shared" si="314"/>
        <v>#DIV/0!</v>
      </c>
      <c r="BF85" s="1184" t="e">
        <f t="shared" si="315"/>
        <v>#DIV/0!</v>
      </c>
      <c r="BG85" s="1184" t="e">
        <f t="shared" si="316"/>
        <v>#DIV/0!</v>
      </c>
      <c r="BH85" s="1184" t="e">
        <f t="shared" si="317"/>
        <v>#DIV/0!</v>
      </c>
      <c r="BI85" s="1184" t="e">
        <f t="shared" si="318"/>
        <v>#DIV/0!</v>
      </c>
      <c r="BJ85" s="1184" t="e">
        <f t="shared" si="319"/>
        <v>#DIV/0!</v>
      </c>
      <c r="BK85" s="1740">
        <f>BK80/BC80</f>
        <v>0.99281544384778508</v>
      </c>
      <c r="BL85" s="1740">
        <f t="shared" si="320"/>
        <v>1.0559868597795194</v>
      </c>
      <c r="BM85" s="1740">
        <f t="shared" si="320"/>
        <v>1.0212174054315093</v>
      </c>
      <c r="BN85" s="1740">
        <f t="shared" si="320"/>
        <v>0.96606465660601992</v>
      </c>
      <c r="BP85" s="75">
        <v>8</v>
      </c>
      <c r="BQ85" s="76">
        <v>302297</v>
      </c>
      <c r="BR85" s="76">
        <v>295908</v>
      </c>
      <c r="BS85" s="76">
        <v>289470</v>
      </c>
      <c r="BT85" s="76">
        <v>266710</v>
      </c>
      <c r="BV85" s="75">
        <v>8</v>
      </c>
      <c r="BW85" s="76">
        <v>305229</v>
      </c>
      <c r="BX85" s="76">
        <v>296788</v>
      </c>
      <c r="BY85" s="76">
        <v>283043</v>
      </c>
      <c r="BZ85" s="76">
        <v>284127</v>
      </c>
      <c r="CB85" s="75">
        <v>8</v>
      </c>
      <c r="CC85" s="76">
        <v>285917</v>
      </c>
      <c r="CD85" s="76">
        <v>282555</v>
      </c>
      <c r="CE85" s="76">
        <v>278324</v>
      </c>
      <c r="CF85" s="76">
        <v>280541</v>
      </c>
      <c r="CH85" s="75">
        <v>8</v>
      </c>
      <c r="CI85" s="76">
        <v>297390</v>
      </c>
      <c r="CJ85" s="76">
        <v>286382</v>
      </c>
      <c r="CK85" s="76">
        <v>275620</v>
      </c>
      <c r="CL85" s="76">
        <v>283482</v>
      </c>
      <c r="CN85" s="75">
        <v>8</v>
      </c>
      <c r="CO85" s="76">
        <v>293218</v>
      </c>
      <c r="CP85" s="76">
        <v>287489</v>
      </c>
      <c r="CQ85" s="76">
        <v>266102</v>
      </c>
      <c r="CR85" s="76">
        <v>293184</v>
      </c>
    </row>
    <row r="86" spans="1:96">
      <c r="A86" s="741" t="s">
        <v>201</v>
      </c>
      <c r="B86" s="796">
        <f>B77</f>
        <v>301846</v>
      </c>
      <c r="C86" s="744">
        <f>C77</f>
        <v>283771</v>
      </c>
      <c r="D86" s="744">
        <f t="shared" ref="D86:Q86" si="322">D77</f>
        <v>309302</v>
      </c>
      <c r="E86" s="744">
        <f t="shared" si="322"/>
        <v>291700</v>
      </c>
      <c r="F86" s="744">
        <f t="shared" si="322"/>
        <v>292988</v>
      </c>
      <c r="G86" s="796">
        <f t="shared" si="322"/>
        <v>317060</v>
      </c>
      <c r="H86" s="744">
        <f t="shared" si="322"/>
        <v>317060</v>
      </c>
      <c r="I86" s="744">
        <f t="shared" si="322"/>
        <v>317060</v>
      </c>
      <c r="J86" s="744">
        <f t="shared" si="322"/>
        <v>317060</v>
      </c>
      <c r="K86" s="744">
        <f t="shared" si="322"/>
        <v>317060</v>
      </c>
      <c r="L86" s="796">
        <f t="shared" si="322"/>
        <v>340139</v>
      </c>
      <c r="M86" s="744">
        <f t="shared" si="322"/>
        <v>308919</v>
      </c>
      <c r="N86" s="744">
        <f t="shared" si="322"/>
        <v>297320</v>
      </c>
      <c r="O86" s="744">
        <f t="shared" si="322"/>
        <v>367001</v>
      </c>
      <c r="P86" s="744">
        <f t="shared" si="322"/>
        <v>364456</v>
      </c>
      <c r="Q86" s="796">
        <f t="shared" si="322"/>
        <v>317060</v>
      </c>
      <c r="R86" s="744">
        <f>R76</f>
        <v>315866</v>
      </c>
      <c r="S86" s="797">
        <f>S76</f>
        <v>314671</v>
      </c>
      <c r="T86" s="797">
        <f>T76</f>
        <v>313477</v>
      </c>
      <c r="U86" s="797">
        <f>U76</f>
        <v>312282</v>
      </c>
      <c r="V86" s="744">
        <f>V76</f>
        <v>311088</v>
      </c>
      <c r="W86" s="73">
        <f t="shared" ref="W86:AF86" si="323">ROUND(V86*AS86,0)</f>
        <v>309390</v>
      </c>
      <c r="X86" s="73">
        <f t="shared" si="323"/>
        <v>313428</v>
      </c>
      <c r="Y86" s="73">
        <f t="shared" si="323"/>
        <v>315781</v>
      </c>
      <c r="Z86" s="797">
        <f t="shared" si="323"/>
        <v>319804</v>
      </c>
      <c r="AA86" s="73">
        <f t="shared" si="323"/>
        <v>324237</v>
      </c>
      <c r="AB86" s="73">
        <f t="shared" si="323"/>
        <v>323292</v>
      </c>
      <c r="AC86" s="73">
        <f t="shared" si="323"/>
        <v>305436</v>
      </c>
      <c r="AD86" s="73">
        <f t="shared" si="323"/>
        <v>308775</v>
      </c>
      <c r="AE86" s="73">
        <f t="shared" si="323"/>
        <v>320319</v>
      </c>
      <c r="AF86" s="73">
        <f t="shared" si="323"/>
        <v>328963</v>
      </c>
      <c r="AG86" s="73">
        <f>ROUND(AF86*BZ128,0)</f>
        <v>311482</v>
      </c>
      <c r="AH86" s="1743">
        <f>AG86*BK86</f>
        <v>296962.03189806454</v>
      </c>
      <c r="AI86" s="1743">
        <f>AH86*BL86</f>
        <v>317859.55791161879</v>
      </c>
      <c r="AJ86" s="1743">
        <f>AI86*BM86</f>
        <v>320005.58395320136</v>
      </c>
      <c r="AK86" s="1743">
        <f>AJ86*BN86</f>
        <v>321952.58875601069</v>
      </c>
      <c r="AL86" s="1741">
        <f t="shared" si="298"/>
        <v>321952.58875601069</v>
      </c>
      <c r="AM86" s="1741">
        <f t="shared" si="298"/>
        <v>321952.58875601069</v>
      </c>
      <c r="AN86" s="1741">
        <f t="shared" si="298"/>
        <v>321952.58875601069</v>
      </c>
      <c r="AO86" s="75" t="s">
        <v>1018</v>
      </c>
      <c r="AQ86" s="75" t="s">
        <v>1008</v>
      </c>
      <c r="AR86" s="479" t="s">
        <v>1011</v>
      </c>
      <c r="AS86" s="479">
        <f t="shared" si="299"/>
        <v>0.99454329144483711</v>
      </c>
      <c r="AT86" s="479">
        <f t="shared" si="299"/>
        <v>1.0130512777774197</v>
      </c>
      <c r="AU86" s="479">
        <f t="shared" si="299"/>
        <v>1.0075085345949368</v>
      </c>
      <c r="AV86" s="1183">
        <f>AV89</f>
        <v>1.0127401955398143</v>
      </c>
      <c r="AW86" s="1184">
        <f t="shared" si="312"/>
        <v>1.0138628621875754</v>
      </c>
      <c r="AX86" s="1184">
        <f t="shared" si="312"/>
        <v>0.99708698828908138</v>
      </c>
      <c r="AY86" s="1184">
        <f t="shared" si="312"/>
        <v>0.94476936315119786</v>
      </c>
      <c r="AZ86" s="1184">
        <f t="shared" si="312"/>
        <v>1.0109323397367731</v>
      </c>
      <c r="BA86" s="1184">
        <f t="shared" si="312"/>
        <v>1.0373874368206135</v>
      </c>
      <c r="BB86" s="1184">
        <f t="shared" si="312"/>
        <v>1.0269871494603955</v>
      </c>
      <c r="BC86" s="1184">
        <f t="shared" si="312"/>
        <v>0.9468610811486744</v>
      </c>
      <c r="BD86" s="1184">
        <f t="shared" si="313"/>
        <v>0</v>
      </c>
      <c r="BE86" s="1184" t="e">
        <f t="shared" si="314"/>
        <v>#DIV/0!</v>
      </c>
      <c r="BF86" s="1184" t="e">
        <f t="shared" si="315"/>
        <v>#DIV/0!</v>
      </c>
      <c r="BG86" s="1184" t="e">
        <f t="shared" si="316"/>
        <v>#DIV/0!</v>
      </c>
      <c r="BH86" s="1184" t="e">
        <f t="shared" si="317"/>
        <v>#DIV/0!</v>
      </c>
      <c r="BI86" s="1184" t="e">
        <f t="shared" si="318"/>
        <v>#DIV/0!</v>
      </c>
      <c r="BJ86" s="1184" t="e">
        <f t="shared" si="319"/>
        <v>#DIV/0!</v>
      </c>
      <c r="BK86" s="1740">
        <f>BK81/BC81</f>
        <v>0.95338424659551602</v>
      </c>
      <c r="BL86" s="1740">
        <f t="shared" si="320"/>
        <v>1.0703710365934174</v>
      </c>
      <c r="BM86" s="1740">
        <f t="shared" si="320"/>
        <v>1.0067514913054125</v>
      </c>
      <c r="BN86" s="1740">
        <f t="shared" si="320"/>
        <v>1.0060842838389159</v>
      </c>
      <c r="BP86" s="75">
        <v>9</v>
      </c>
      <c r="BQ86" s="75">
        <v>294408</v>
      </c>
      <c r="BR86" s="75">
        <v>279420</v>
      </c>
      <c r="BS86" s="75">
        <v>259644</v>
      </c>
      <c r="BT86" s="75">
        <v>272424</v>
      </c>
      <c r="BV86" s="75">
        <v>9</v>
      </c>
      <c r="BW86" s="75">
        <v>290265</v>
      </c>
      <c r="BX86" s="75">
        <v>278089</v>
      </c>
      <c r="BY86" s="75">
        <v>262231</v>
      </c>
      <c r="BZ86" s="75">
        <v>267032</v>
      </c>
      <c r="CB86" s="75">
        <v>9</v>
      </c>
      <c r="CC86" s="75">
        <v>284210</v>
      </c>
      <c r="CD86" s="75">
        <v>274913</v>
      </c>
      <c r="CE86" s="75">
        <v>256255</v>
      </c>
      <c r="CF86" s="75">
        <v>259718</v>
      </c>
      <c r="CH86" s="75">
        <v>9</v>
      </c>
      <c r="CI86" s="75">
        <v>279477</v>
      </c>
      <c r="CJ86" s="75">
        <v>264635</v>
      </c>
      <c r="CK86" s="75">
        <v>268174</v>
      </c>
      <c r="CL86" s="75">
        <v>248848</v>
      </c>
      <c r="CN86" s="75">
        <v>9</v>
      </c>
      <c r="CO86" s="75">
        <v>297290</v>
      </c>
      <c r="CP86" s="75">
        <v>285656</v>
      </c>
      <c r="CQ86" s="75">
        <v>265245</v>
      </c>
      <c r="CR86" s="75">
        <v>265991</v>
      </c>
    </row>
    <row r="87" spans="1:96">
      <c r="A87" s="741" t="s">
        <v>239</v>
      </c>
      <c r="B87" s="796">
        <f>B77</f>
        <v>301846</v>
      </c>
      <c r="C87" s="744">
        <f>C77</f>
        <v>283771</v>
      </c>
      <c r="D87" s="744">
        <f t="shared" ref="D87:Q87" si="324">D77</f>
        <v>309302</v>
      </c>
      <c r="E87" s="744">
        <f t="shared" si="324"/>
        <v>291700</v>
      </c>
      <c r="F87" s="744">
        <f t="shared" si="324"/>
        <v>292988</v>
      </c>
      <c r="G87" s="796">
        <f t="shared" si="324"/>
        <v>317060</v>
      </c>
      <c r="H87" s="744">
        <f t="shared" si="324"/>
        <v>317060</v>
      </c>
      <c r="I87" s="744">
        <f t="shared" si="324"/>
        <v>317060</v>
      </c>
      <c r="J87" s="744">
        <f t="shared" si="324"/>
        <v>317060</v>
      </c>
      <c r="K87" s="744">
        <f t="shared" si="324"/>
        <v>317060</v>
      </c>
      <c r="L87" s="796">
        <f t="shared" si="324"/>
        <v>340139</v>
      </c>
      <c r="M87" s="744">
        <f t="shared" si="324"/>
        <v>308919</v>
      </c>
      <c r="N87" s="744">
        <f t="shared" si="324"/>
        <v>297320</v>
      </c>
      <c r="O87" s="744">
        <f t="shared" si="324"/>
        <v>367001</v>
      </c>
      <c r="P87" s="744">
        <f t="shared" si="324"/>
        <v>364456</v>
      </c>
      <c r="Q87" s="796">
        <f t="shared" si="324"/>
        <v>317060</v>
      </c>
      <c r="R87" s="744">
        <f>R76</f>
        <v>315866</v>
      </c>
      <c r="S87" s="797">
        <f>S76</f>
        <v>314671</v>
      </c>
      <c r="T87" s="797">
        <f>T76</f>
        <v>313477</v>
      </c>
      <c r="U87" s="797">
        <f>U76</f>
        <v>312282</v>
      </c>
      <c r="V87" s="744">
        <f>V76</f>
        <v>311088</v>
      </c>
      <c r="W87" s="73">
        <f t="shared" ref="W87:AF87" si="325">ROUND(V87*AS86,0)</f>
        <v>309390</v>
      </c>
      <c r="X87" s="73">
        <f t="shared" si="325"/>
        <v>313428</v>
      </c>
      <c r="Y87" s="73">
        <f t="shared" si="325"/>
        <v>315781</v>
      </c>
      <c r="Z87" s="797">
        <f t="shared" si="325"/>
        <v>319804</v>
      </c>
      <c r="AA87" s="73">
        <f t="shared" si="325"/>
        <v>324237</v>
      </c>
      <c r="AB87" s="73">
        <f t="shared" si="325"/>
        <v>323292</v>
      </c>
      <c r="AC87" s="73">
        <f t="shared" si="325"/>
        <v>305436</v>
      </c>
      <c r="AD87" s="73">
        <f t="shared" si="325"/>
        <v>308775</v>
      </c>
      <c r="AE87" s="73">
        <f t="shared" si="325"/>
        <v>320319</v>
      </c>
      <c r="AF87" s="73">
        <f t="shared" si="325"/>
        <v>328963</v>
      </c>
      <c r="AG87" s="73">
        <f>ROUND(AF87*BZ128,0)</f>
        <v>311482</v>
      </c>
      <c r="AH87" s="1743">
        <f>AG87*BK86</f>
        <v>296962.03189806454</v>
      </c>
      <c r="AI87" s="1743">
        <f>AH87*BL86</f>
        <v>317859.55791161879</v>
      </c>
      <c r="AJ87" s="1743">
        <f>AI87*BM86</f>
        <v>320005.58395320136</v>
      </c>
      <c r="AK87" s="1743">
        <f>AJ87*BN86</f>
        <v>321952.58875601069</v>
      </c>
      <c r="AL87" s="1741">
        <f t="shared" si="298"/>
        <v>321952.58875601069</v>
      </c>
      <c r="AM87" s="1741">
        <f t="shared" si="298"/>
        <v>321952.58875601069</v>
      </c>
      <c r="AN87" s="1741">
        <f t="shared" si="298"/>
        <v>321952.58875601069</v>
      </c>
      <c r="AO87" s="75" t="s">
        <v>1018</v>
      </c>
      <c r="BP87" s="75">
        <v>10</v>
      </c>
      <c r="BQ87" s="75">
        <v>305652</v>
      </c>
      <c r="BR87" s="75">
        <v>287899</v>
      </c>
      <c r="BS87" s="75">
        <v>285938</v>
      </c>
      <c r="BT87" s="75">
        <v>263402</v>
      </c>
      <c r="BV87" s="75">
        <v>10</v>
      </c>
      <c r="BW87" s="75">
        <v>295368</v>
      </c>
      <c r="BX87" s="75">
        <v>294685</v>
      </c>
      <c r="BY87" s="75">
        <v>268892</v>
      </c>
      <c r="BZ87" s="75">
        <v>288827</v>
      </c>
      <c r="CB87" s="75">
        <v>10</v>
      </c>
      <c r="CC87" s="75">
        <v>299281</v>
      </c>
      <c r="CD87" s="75">
        <v>284194</v>
      </c>
      <c r="CE87" s="75">
        <v>278942</v>
      </c>
      <c r="CF87" s="75">
        <v>277495</v>
      </c>
      <c r="CH87" s="75">
        <v>10</v>
      </c>
      <c r="CI87" s="75">
        <v>294495</v>
      </c>
      <c r="CJ87" s="75">
        <v>288561</v>
      </c>
      <c r="CK87" s="75">
        <v>278813</v>
      </c>
      <c r="CL87" s="75">
        <v>268182</v>
      </c>
      <c r="CN87" s="75">
        <v>10</v>
      </c>
      <c r="CO87" s="75">
        <v>298450</v>
      </c>
      <c r="CP87" s="75">
        <v>302890</v>
      </c>
      <c r="CQ87" s="75">
        <v>277960</v>
      </c>
      <c r="CR87" s="75">
        <v>272525</v>
      </c>
    </row>
    <row r="88" spans="1:96">
      <c r="A88" s="741" t="s">
        <v>233</v>
      </c>
      <c r="B88" s="796">
        <f>B77</f>
        <v>301846</v>
      </c>
      <c r="C88" s="744">
        <f>C77</f>
        <v>283771</v>
      </c>
      <c r="D88" s="744">
        <f t="shared" ref="D88:Q88" si="326">D77</f>
        <v>309302</v>
      </c>
      <c r="E88" s="744">
        <f t="shared" si="326"/>
        <v>291700</v>
      </c>
      <c r="F88" s="744">
        <f t="shared" si="326"/>
        <v>292988</v>
      </c>
      <c r="G88" s="796">
        <f t="shared" si="326"/>
        <v>317060</v>
      </c>
      <c r="H88" s="744">
        <f t="shared" si="326"/>
        <v>317060</v>
      </c>
      <c r="I88" s="744">
        <f t="shared" si="326"/>
        <v>317060</v>
      </c>
      <c r="J88" s="744">
        <f t="shared" si="326"/>
        <v>317060</v>
      </c>
      <c r="K88" s="744">
        <f t="shared" si="326"/>
        <v>317060</v>
      </c>
      <c r="L88" s="796">
        <f t="shared" si="326"/>
        <v>340139</v>
      </c>
      <c r="M88" s="744">
        <f t="shared" si="326"/>
        <v>308919</v>
      </c>
      <c r="N88" s="744">
        <f t="shared" si="326"/>
        <v>297320</v>
      </c>
      <c r="O88" s="744">
        <f t="shared" si="326"/>
        <v>367001</v>
      </c>
      <c r="P88" s="744">
        <f t="shared" si="326"/>
        <v>364456</v>
      </c>
      <c r="Q88" s="796">
        <f t="shared" si="326"/>
        <v>317060</v>
      </c>
      <c r="R88" s="744">
        <f>R76</f>
        <v>315866</v>
      </c>
      <c r="S88" s="797">
        <f>S76</f>
        <v>314671</v>
      </c>
      <c r="T88" s="797">
        <f>T76</f>
        <v>313477</v>
      </c>
      <c r="U88" s="797">
        <f>U76</f>
        <v>312282</v>
      </c>
      <c r="V88" s="744">
        <f>V76</f>
        <v>311088</v>
      </c>
      <c r="W88" s="73">
        <f t="shared" ref="W88:AF88" si="327">ROUND(V88*AS86,0)</f>
        <v>309390</v>
      </c>
      <c r="X88" s="73">
        <f t="shared" si="327"/>
        <v>313428</v>
      </c>
      <c r="Y88" s="73">
        <f t="shared" si="327"/>
        <v>315781</v>
      </c>
      <c r="Z88" s="797">
        <f t="shared" si="327"/>
        <v>319804</v>
      </c>
      <c r="AA88" s="73">
        <f t="shared" si="327"/>
        <v>324237</v>
      </c>
      <c r="AB88" s="73">
        <f t="shared" si="327"/>
        <v>323292</v>
      </c>
      <c r="AC88" s="73">
        <f t="shared" si="327"/>
        <v>305436</v>
      </c>
      <c r="AD88" s="73">
        <f t="shared" si="327"/>
        <v>308775</v>
      </c>
      <c r="AE88" s="73">
        <f t="shared" si="327"/>
        <v>320319</v>
      </c>
      <c r="AF88" s="73">
        <f t="shared" si="327"/>
        <v>328963</v>
      </c>
      <c r="AG88" s="73">
        <f>ROUND(AF88*BZ128,0)</f>
        <v>311482</v>
      </c>
      <c r="AH88" s="1743">
        <f>AG88*BK86</f>
        <v>296962.03189806454</v>
      </c>
      <c r="AI88" s="1743">
        <f>AH88*BL86</f>
        <v>317859.55791161879</v>
      </c>
      <c r="AJ88" s="1743">
        <f>AI88*BM86</f>
        <v>320005.58395320136</v>
      </c>
      <c r="AK88" s="1743">
        <f>AJ88*BN86</f>
        <v>321952.58875601069</v>
      </c>
      <c r="AL88" s="1741">
        <f t="shared" si="298"/>
        <v>321952.58875601069</v>
      </c>
      <c r="AM88" s="1741">
        <f t="shared" si="298"/>
        <v>321952.58875601069</v>
      </c>
      <c r="AN88" s="1741">
        <f t="shared" si="298"/>
        <v>321952.58875601069</v>
      </c>
      <c r="AO88" s="75" t="s">
        <v>1018</v>
      </c>
      <c r="AQ88" s="130" t="s">
        <v>749</v>
      </c>
      <c r="AR88" s="130"/>
      <c r="AS88" s="480">
        <f t="shared" ref="AS88:BC88" si="328">W63</f>
        <v>0.95212419499585166</v>
      </c>
      <c r="AT88" s="480">
        <f t="shared" si="328"/>
        <v>1.0132953387471864</v>
      </c>
      <c r="AU88" s="480">
        <f t="shared" si="328"/>
        <v>0.97268148139481148</v>
      </c>
      <c r="AV88" s="480">
        <f t="shared" si="328"/>
        <v>1.0527989096848172</v>
      </c>
      <c r="AW88" s="480">
        <f t="shared" si="328"/>
        <v>1.0024214133261427</v>
      </c>
      <c r="AX88" s="480">
        <f t="shared" si="328"/>
        <v>0.98080656536513433</v>
      </c>
      <c r="AY88" s="480">
        <f t="shared" si="328"/>
        <v>0.97309853749409125</v>
      </c>
      <c r="AZ88" s="480">
        <f t="shared" si="328"/>
        <v>0.98959925359208811</v>
      </c>
      <c r="BA88" s="480">
        <f t="shared" si="328"/>
        <v>1.0057872301396966</v>
      </c>
      <c r="BB88" s="480">
        <f t="shared" si="328"/>
        <v>1.0057872301396966</v>
      </c>
      <c r="BC88" s="480">
        <f t="shared" si="328"/>
        <v>1.0057872301396966</v>
      </c>
      <c r="BD88" s="480">
        <f t="shared" ref="BD88" si="329">AH63</f>
        <v>1.0057872301396966</v>
      </c>
      <c r="BE88" s="480">
        <f t="shared" ref="BE88" si="330">AI63</f>
        <v>1.0057872301396966</v>
      </c>
      <c r="BF88" s="480">
        <f t="shared" ref="BF88" si="331">AJ63</f>
        <v>1.0057872301396966</v>
      </c>
      <c r="BG88" s="480">
        <f t="shared" ref="BG88" si="332">AO63</f>
        <v>0</v>
      </c>
      <c r="BH88" s="480">
        <f t="shared" ref="BH88" si="333">AP63</f>
        <v>3</v>
      </c>
      <c r="BI88" s="480">
        <f t="shared" ref="BI88" si="334">AQ63</f>
        <v>283081</v>
      </c>
      <c r="BJ88" s="480">
        <f t="shared" ref="BJ88" si="335">AR63</f>
        <v>290247</v>
      </c>
      <c r="BK88" s="480">
        <f>AH63</f>
        <v>1.0057872301396966</v>
      </c>
      <c r="BP88" s="75">
        <v>11</v>
      </c>
      <c r="BQ88" s="75">
        <v>302549</v>
      </c>
      <c r="BR88" s="75">
        <v>287449</v>
      </c>
      <c r="BS88" s="75">
        <v>272687</v>
      </c>
      <c r="BT88" s="75">
        <v>270482</v>
      </c>
      <c r="BV88" s="75">
        <v>11</v>
      </c>
      <c r="BW88" s="75">
        <v>287893</v>
      </c>
      <c r="BX88" s="75">
        <v>285681</v>
      </c>
      <c r="BY88" s="75">
        <v>280832</v>
      </c>
      <c r="BZ88" s="75">
        <v>280841</v>
      </c>
      <c r="CB88" s="75">
        <v>11</v>
      </c>
      <c r="CC88" s="75">
        <v>282920</v>
      </c>
      <c r="CD88" s="75">
        <v>273953</v>
      </c>
      <c r="CE88" s="75">
        <v>269873</v>
      </c>
      <c r="CF88" s="75">
        <v>263266</v>
      </c>
      <c r="CH88" s="75">
        <v>11</v>
      </c>
      <c r="CI88" s="316">
        <v>282139</v>
      </c>
      <c r="CJ88" s="316">
        <v>272353</v>
      </c>
      <c r="CK88" s="316">
        <v>274396</v>
      </c>
      <c r="CL88" s="316">
        <v>262668</v>
      </c>
      <c r="CN88" s="75">
        <v>11</v>
      </c>
      <c r="CO88" s="453">
        <v>295641</v>
      </c>
      <c r="CP88" s="453">
        <v>285112</v>
      </c>
      <c r="CQ88" s="453">
        <v>260679</v>
      </c>
      <c r="CR88" s="453">
        <v>269924</v>
      </c>
    </row>
    <row r="89" spans="1:96">
      <c r="A89" s="766" t="s">
        <v>202</v>
      </c>
      <c r="B89" s="800"/>
      <c r="C89" s="744"/>
      <c r="D89" s="744"/>
      <c r="E89" s="744"/>
      <c r="F89" s="744"/>
      <c r="G89" s="796"/>
      <c r="H89" s="744"/>
      <c r="I89" s="744"/>
      <c r="J89" s="744"/>
      <c r="K89" s="744"/>
      <c r="L89" s="796"/>
      <c r="M89" s="744"/>
      <c r="N89" s="744"/>
      <c r="O89" s="744"/>
      <c r="P89" s="744"/>
      <c r="Q89" s="795">
        <f>消費ﾃﾞｰﾀ!E7</f>
        <v>306278</v>
      </c>
      <c r="R89" s="796">
        <f>ROUND(Q89+(V89-Q89)/5,0)</f>
        <v>307240</v>
      </c>
      <c r="S89" s="797">
        <f>ROUND(Q89+(V89-Q89)/5*2,0)</f>
        <v>308202</v>
      </c>
      <c r="T89" s="797">
        <f>ROUND(Q89+(V89-Q89)/5*3,0)</f>
        <v>309164</v>
      </c>
      <c r="U89" s="73">
        <f>ROUND(Q89+(V89-Q89)/5*4,0)</f>
        <v>310126</v>
      </c>
      <c r="V89" s="1179">
        <f>消費ﾃﾞｰﾀ!F7</f>
        <v>311088</v>
      </c>
      <c r="W89" s="73"/>
      <c r="X89" s="73" t="s">
        <v>627</v>
      </c>
      <c r="Y89" s="73"/>
      <c r="Z89" s="797"/>
      <c r="AA89" s="795">
        <f>消費ﾃﾞｰﾀ!L10</f>
        <v>284980</v>
      </c>
      <c r="AB89" s="1177">
        <f>AA89/AA90</f>
        <v>0.92650209534213079</v>
      </c>
      <c r="AC89" s="73"/>
      <c r="AD89" s="73"/>
      <c r="AE89" s="73"/>
      <c r="AF89" s="73"/>
      <c r="AG89" s="73"/>
      <c r="AH89" s="1169"/>
      <c r="AI89" s="1169"/>
      <c r="AJ89" s="1169"/>
      <c r="AK89" s="1169"/>
      <c r="AL89" s="1741"/>
      <c r="AM89" s="1741"/>
      <c r="AN89" s="1741"/>
      <c r="AO89" s="75" t="s">
        <v>1012</v>
      </c>
      <c r="AV89" s="1185">
        <f t="shared" ref="AV89:BA89" si="336">(AU88+AV88)/2</f>
        <v>1.0127401955398143</v>
      </c>
      <c r="AW89" s="481">
        <f t="shared" si="336"/>
        <v>1.0276101615054798</v>
      </c>
      <c r="AX89" s="481">
        <f t="shared" si="336"/>
        <v>0.99161398934563849</v>
      </c>
      <c r="AY89" s="481">
        <f t="shared" si="336"/>
        <v>0.97695255142961279</v>
      </c>
      <c r="AZ89" s="481">
        <f t="shared" si="336"/>
        <v>0.98134889554308968</v>
      </c>
      <c r="BA89" s="481">
        <f t="shared" si="336"/>
        <v>0.99769324186589237</v>
      </c>
      <c r="BB89" s="481">
        <f>(BA88+BB88)/2</f>
        <v>1.0057872301396966</v>
      </c>
      <c r="BC89" s="481">
        <f>(BB88+BC88)/2</f>
        <v>1.0057872301396966</v>
      </c>
      <c r="BD89" s="481">
        <f t="shared" ref="BD89:BJ89" si="337">(BC88+BD88)/2</f>
        <v>1.0057872301396966</v>
      </c>
      <c r="BE89" s="481">
        <f t="shared" si="337"/>
        <v>1.0057872301396966</v>
      </c>
      <c r="BF89" s="481">
        <f t="shared" si="337"/>
        <v>1.0057872301396966</v>
      </c>
      <c r="BG89" s="481">
        <f t="shared" si="337"/>
        <v>0.50289361506984831</v>
      </c>
      <c r="BH89" s="481">
        <f t="shared" si="337"/>
        <v>1.5</v>
      </c>
      <c r="BI89" s="481">
        <f t="shared" si="337"/>
        <v>141542</v>
      </c>
      <c r="BJ89" s="481">
        <f t="shared" si="337"/>
        <v>286664</v>
      </c>
      <c r="BK89" s="481">
        <f>(BC88+BK88)/2</f>
        <v>1.0057872301396966</v>
      </c>
      <c r="BP89" s="132">
        <v>12</v>
      </c>
      <c r="BQ89" s="132">
        <v>350629</v>
      </c>
      <c r="BR89" s="132">
        <v>343011</v>
      </c>
      <c r="BS89" s="132">
        <v>326182</v>
      </c>
      <c r="BT89" s="132">
        <v>326056</v>
      </c>
      <c r="BV89" s="132">
        <v>12</v>
      </c>
      <c r="BW89" s="132">
        <v>338459</v>
      </c>
      <c r="BX89" s="132">
        <v>322239</v>
      </c>
      <c r="BY89" s="132">
        <v>313108</v>
      </c>
      <c r="BZ89" s="132">
        <v>339174</v>
      </c>
      <c r="CB89" s="132">
        <v>12</v>
      </c>
      <c r="CC89" s="132">
        <v>340373</v>
      </c>
      <c r="CD89" s="132">
        <v>319007</v>
      </c>
      <c r="CE89" s="132">
        <v>339887</v>
      </c>
      <c r="CF89" s="132">
        <v>308775</v>
      </c>
      <c r="CH89" s="132">
        <v>12</v>
      </c>
      <c r="CI89" s="380">
        <v>329378</v>
      </c>
      <c r="CJ89" s="380">
        <v>324322</v>
      </c>
      <c r="CK89" s="380">
        <v>326235</v>
      </c>
      <c r="CL89" s="380">
        <v>320664</v>
      </c>
      <c r="CN89" s="132">
        <v>12</v>
      </c>
      <c r="CO89" s="450">
        <v>340987</v>
      </c>
      <c r="CP89" s="450">
        <v>336556</v>
      </c>
      <c r="CQ89" s="450">
        <v>320659</v>
      </c>
      <c r="CR89" s="450">
        <v>340452</v>
      </c>
    </row>
    <row r="90" spans="1:96">
      <c r="A90" s="801" t="s">
        <v>240</v>
      </c>
      <c r="B90" s="743">
        <f>消費ﾃﾞｰﾀ!B7</f>
        <v>295447</v>
      </c>
      <c r="C90" s="795">
        <f>ROUND($B$90*C60,0)</f>
        <v>277756</v>
      </c>
      <c r="D90" s="795">
        <f>ROUND($B$90*D60,0)</f>
        <v>302745</v>
      </c>
      <c r="E90" s="795">
        <f>ROUND($G$90*E60,0)</f>
        <v>281780</v>
      </c>
      <c r="F90" s="795">
        <f>ROUND($G$90*F60,0)</f>
        <v>283025</v>
      </c>
      <c r="G90" s="795">
        <v>306278</v>
      </c>
      <c r="H90" s="795">
        <v>306278</v>
      </c>
      <c r="I90" s="795">
        <v>306278</v>
      </c>
      <c r="J90" s="795">
        <v>306278</v>
      </c>
      <c r="K90" s="795">
        <v>306278</v>
      </c>
      <c r="L90" s="795">
        <f>消費ﾃﾞｰﾀ!D7</f>
        <v>346969</v>
      </c>
      <c r="M90" s="795">
        <f>ROUND($L$90*M60,0)</f>
        <v>315122</v>
      </c>
      <c r="N90" s="795">
        <f>ROUND($L$90*N60,0)</f>
        <v>303290</v>
      </c>
      <c r="O90" s="795">
        <f>ROUND($Q$90*O60,0)</f>
        <v>354521</v>
      </c>
      <c r="P90" s="795">
        <f>ROUND($Q$90*P60,0)</f>
        <v>352062</v>
      </c>
      <c r="Q90" s="795">
        <f>消費ﾃﾞｰﾀ!E7</f>
        <v>306278</v>
      </c>
      <c r="R90" s="66">
        <f>R89</f>
        <v>307240</v>
      </c>
      <c r="S90" s="797">
        <f>S89</f>
        <v>308202</v>
      </c>
      <c r="T90" s="797">
        <f>T89</f>
        <v>309164</v>
      </c>
      <c r="U90" s="797">
        <f>U89</f>
        <v>310126</v>
      </c>
      <c r="V90" s="66">
        <f>V89</f>
        <v>311088</v>
      </c>
      <c r="W90" s="73">
        <f t="shared" ref="W90:AF90" si="338">ROUND(V90*AS83,0)</f>
        <v>317257</v>
      </c>
      <c r="X90" s="73">
        <f t="shared" si="338"/>
        <v>301233</v>
      </c>
      <c r="Y90" s="73">
        <f t="shared" si="338"/>
        <v>305276</v>
      </c>
      <c r="Z90" s="797">
        <f t="shared" si="338"/>
        <v>302285</v>
      </c>
      <c r="AA90" s="73">
        <f t="shared" si="338"/>
        <v>307587</v>
      </c>
      <c r="AB90" s="73">
        <f t="shared" si="338"/>
        <v>310358</v>
      </c>
      <c r="AC90" s="73">
        <f t="shared" si="338"/>
        <v>305936</v>
      </c>
      <c r="AD90" s="73">
        <f t="shared" si="338"/>
        <v>295952</v>
      </c>
      <c r="AE90" s="73">
        <f t="shared" si="338"/>
        <v>285634</v>
      </c>
      <c r="AF90" s="73">
        <f t="shared" si="338"/>
        <v>277271</v>
      </c>
      <c r="AG90" s="73">
        <f>ROUND(AF90*BW128,0)</f>
        <v>262857</v>
      </c>
      <c r="AH90" s="1743">
        <f>AG90*BK83</f>
        <v>258122.72880557977</v>
      </c>
      <c r="AI90" s="1743">
        <f>AH90*BL83</f>
        <v>261684.08696812519</v>
      </c>
      <c r="AJ90" s="1743">
        <f>AI90*BM83</f>
        <v>274154.41770779737</v>
      </c>
      <c r="AK90" s="1743">
        <f>AJ90*BN83</f>
        <v>284354.72840343416</v>
      </c>
      <c r="AL90" s="1741">
        <f t="shared" ref="AL90:AN93" si="339">AK90</f>
        <v>284354.72840343416</v>
      </c>
      <c r="AM90" s="1741">
        <f t="shared" si="339"/>
        <v>284354.72840343416</v>
      </c>
      <c r="AN90" s="1741">
        <f t="shared" si="339"/>
        <v>284354.72840343416</v>
      </c>
      <c r="AO90" s="75" t="s">
        <v>1014</v>
      </c>
      <c r="AQ90" s="75" t="s">
        <v>748</v>
      </c>
      <c r="AS90" s="481">
        <f t="shared" ref="AS90:BC90" si="340">W60</f>
        <v>0.97089343184007137</v>
      </c>
      <c r="AT90" s="481">
        <f t="shared" si="340"/>
        <v>0.98848323416697992</v>
      </c>
      <c r="AU90" s="481">
        <f t="shared" si="340"/>
        <v>0.99088338405259224</v>
      </c>
      <c r="AV90" s="481">
        <f t="shared" si="340"/>
        <v>0.98951867549456218</v>
      </c>
      <c r="AW90" s="481">
        <f t="shared" si="340"/>
        <v>0.97497143149581622</v>
      </c>
      <c r="AX90" s="481">
        <f t="shared" si="340"/>
        <v>1.0139087150953856</v>
      </c>
      <c r="AY90" s="481">
        <f t="shared" si="340"/>
        <v>1.003683912131593</v>
      </c>
      <c r="AZ90" s="481">
        <f t="shared" si="340"/>
        <v>0.88782883335671225</v>
      </c>
      <c r="BA90" s="481">
        <f t="shared" si="340"/>
        <v>1.1945310590360805</v>
      </c>
      <c r="BB90" s="481">
        <f t="shared" si="340"/>
        <v>1.1945310590360805</v>
      </c>
      <c r="BC90" s="481">
        <f t="shared" si="340"/>
        <v>1.1945310590360805</v>
      </c>
      <c r="BD90" s="481">
        <f t="shared" ref="BD90" si="341">AH60</f>
        <v>1.1945310590360805</v>
      </c>
      <c r="BE90" s="481">
        <f t="shared" ref="BE90" si="342">AI60</f>
        <v>1.1945310590360805</v>
      </c>
      <c r="BF90" s="481">
        <f t="shared" ref="BF90" si="343">AJ60</f>
        <v>1.1945310590360805</v>
      </c>
      <c r="BG90" s="481">
        <f t="shared" ref="BG90" si="344">AO60</f>
        <v>0</v>
      </c>
      <c r="BH90" s="481">
        <f t="shared" ref="BH90" si="345">AP60</f>
        <v>0</v>
      </c>
      <c r="BI90" s="481" t="str">
        <f t="shared" ref="BI90" si="346">AQ60</f>
        <v>平成21年</v>
      </c>
      <c r="BJ90" s="481" t="str">
        <f t="shared" ref="BJ90" si="347">AR60</f>
        <v>平成22年</v>
      </c>
      <c r="BK90" s="481">
        <f>AH60</f>
        <v>1.1945310590360805</v>
      </c>
      <c r="BP90" s="75" t="s">
        <v>85</v>
      </c>
      <c r="BQ90" s="75">
        <f>AVERAGE(BQ78:BQ85)</f>
        <v>299639.75</v>
      </c>
      <c r="BR90" s="75">
        <f>AVERAGE(BR78:BR85)</f>
        <v>291460.25</v>
      </c>
      <c r="BS90" s="75">
        <f>AVERAGE(BS78:BS85)</f>
        <v>286475.625</v>
      </c>
      <c r="BT90" s="75">
        <f>AVERAGE(BT78:BT85)</f>
        <v>272966.75</v>
      </c>
      <c r="BV90" s="75" t="s">
        <v>85</v>
      </c>
      <c r="BW90" s="75">
        <f>AVERAGE(BW78:BW85)</f>
        <v>305581.75</v>
      </c>
      <c r="BX90" s="75">
        <f>AVERAGE(BX78:BX85)</f>
        <v>294528</v>
      </c>
      <c r="BY90" s="75">
        <f>AVERAGE(BY78:BY85)</f>
        <v>275164.5</v>
      </c>
      <c r="BZ90" s="75">
        <f>AVERAGE(BZ78:BZ85)</f>
        <v>271477.25</v>
      </c>
      <c r="CB90" s="75" t="s">
        <v>85</v>
      </c>
      <c r="CC90" s="75">
        <f>AVERAGE(CC78:CC85)</f>
        <v>290147.5</v>
      </c>
      <c r="CD90" s="75">
        <f>AVERAGE(CD78:CD85)</f>
        <v>278536.25</v>
      </c>
      <c r="CE90" s="75">
        <f>AVERAGE(CE78:CE85)</f>
        <v>274131.75</v>
      </c>
      <c r="CF90" s="75">
        <f>AVERAGE(CF78:CF85)</f>
        <v>275020.375</v>
      </c>
      <c r="CH90" s="75" t="s">
        <v>85</v>
      </c>
      <c r="CI90" s="75">
        <f>AVERAGE(CI78:CI85)</f>
        <v>294041.25</v>
      </c>
      <c r="CJ90" s="75">
        <f>AVERAGE(CJ78:CJ85)</f>
        <v>284874.5</v>
      </c>
      <c r="CK90" s="75">
        <f>AVERAGE(CK78:CK85)</f>
        <v>283113.375</v>
      </c>
      <c r="CL90" s="75">
        <f>AVERAGE(CL78:CL85)</f>
        <v>277085.375</v>
      </c>
      <c r="CN90" s="75" t="s">
        <v>85</v>
      </c>
      <c r="CO90" s="75">
        <f>AVERAGE(CO78:CO85)</f>
        <v>301803.75</v>
      </c>
      <c r="CP90" s="75">
        <f>AVERAGE(CP78:CP85)</f>
        <v>292456</v>
      </c>
      <c r="CQ90" s="75">
        <f>AVERAGE(CQ78:CQ85)</f>
        <v>276343</v>
      </c>
      <c r="CR90" s="75">
        <f>AVERAGE(CR78:CR85)</f>
        <v>270155.25</v>
      </c>
    </row>
    <row r="91" spans="1:96">
      <c r="A91" s="741" t="s">
        <v>203</v>
      </c>
      <c r="B91" s="796">
        <f>B90</f>
        <v>295447</v>
      </c>
      <c r="C91" s="744">
        <f>C90</f>
        <v>277756</v>
      </c>
      <c r="D91" s="744">
        <f t="shared" ref="D91:Q91" si="348">D90</f>
        <v>302745</v>
      </c>
      <c r="E91" s="744">
        <f t="shared" si="348"/>
        <v>281780</v>
      </c>
      <c r="F91" s="744">
        <f t="shared" si="348"/>
        <v>283025</v>
      </c>
      <c r="G91" s="796">
        <f t="shared" si="348"/>
        <v>306278</v>
      </c>
      <c r="H91" s="744">
        <f t="shared" si="348"/>
        <v>306278</v>
      </c>
      <c r="I91" s="744">
        <f t="shared" si="348"/>
        <v>306278</v>
      </c>
      <c r="J91" s="744">
        <f t="shared" si="348"/>
        <v>306278</v>
      </c>
      <c r="K91" s="744">
        <f t="shared" si="348"/>
        <v>306278</v>
      </c>
      <c r="L91" s="796">
        <f t="shared" si="348"/>
        <v>346969</v>
      </c>
      <c r="M91" s="744">
        <f t="shared" si="348"/>
        <v>315122</v>
      </c>
      <c r="N91" s="744">
        <f t="shared" si="348"/>
        <v>303290</v>
      </c>
      <c r="O91" s="744">
        <f t="shared" si="348"/>
        <v>354521</v>
      </c>
      <c r="P91" s="744">
        <f t="shared" si="348"/>
        <v>352062</v>
      </c>
      <c r="Q91" s="796">
        <f t="shared" si="348"/>
        <v>306278</v>
      </c>
      <c r="R91" s="744">
        <f>R89</f>
        <v>307240</v>
      </c>
      <c r="S91" s="797">
        <f>S89</f>
        <v>308202</v>
      </c>
      <c r="T91" s="797">
        <f>T89</f>
        <v>309164</v>
      </c>
      <c r="U91" s="797">
        <f>U89</f>
        <v>310126</v>
      </c>
      <c r="V91" s="744">
        <f>V89</f>
        <v>311088</v>
      </c>
      <c r="W91" s="73">
        <f t="shared" ref="W91:AF91" si="349">ROUND(V91*AS86,0)</f>
        <v>309390</v>
      </c>
      <c r="X91" s="73">
        <f t="shared" si="349"/>
        <v>313428</v>
      </c>
      <c r="Y91" s="73">
        <f t="shared" si="349"/>
        <v>315781</v>
      </c>
      <c r="Z91" s="797">
        <f t="shared" si="349"/>
        <v>319804</v>
      </c>
      <c r="AA91" s="73">
        <f t="shared" si="349"/>
        <v>324237</v>
      </c>
      <c r="AB91" s="73">
        <f t="shared" si="349"/>
        <v>323292</v>
      </c>
      <c r="AC91" s="73">
        <f t="shared" si="349"/>
        <v>305436</v>
      </c>
      <c r="AD91" s="73">
        <f t="shared" si="349"/>
        <v>308775</v>
      </c>
      <c r="AE91" s="73">
        <f t="shared" si="349"/>
        <v>320319</v>
      </c>
      <c r="AF91" s="73">
        <f t="shared" si="349"/>
        <v>328963</v>
      </c>
      <c r="AG91" s="73">
        <f>ROUND(AF91*BZ128,0)</f>
        <v>311482</v>
      </c>
      <c r="AH91" s="1743">
        <f>AG91*BK86</f>
        <v>296962.03189806454</v>
      </c>
      <c r="AI91" s="1743">
        <f>AH91*BL86</f>
        <v>317859.55791161879</v>
      </c>
      <c r="AJ91" s="1743">
        <f>AI91*BM86</f>
        <v>320005.58395320136</v>
      </c>
      <c r="AK91" s="1743">
        <f>AJ91*BN86</f>
        <v>321952.58875601069</v>
      </c>
      <c r="AL91" s="1741">
        <f t="shared" si="339"/>
        <v>321952.58875601069</v>
      </c>
      <c r="AM91" s="1741">
        <f t="shared" si="339"/>
        <v>321952.58875601069</v>
      </c>
      <c r="AN91" s="1741">
        <f t="shared" si="339"/>
        <v>321952.58875601069</v>
      </c>
      <c r="AO91" s="75" t="s">
        <v>1018</v>
      </c>
      <c r="AQ91" s="132"/>
      <c r="AR91" s="132"/>
      <c r="AS91" s="132"/>
      <c r="AT91" s="132"/>
      <c r="AU91" s="132"/>
      <c r="AV91" s="1186">
        <f t="shared" ref="AV91:BA91" si="350">(AU90+AV90)/2</f>
        <v>0.99020102977357727</v>
      </c>
      <c r="AW91" s="482">
        <f t="shared" si="350"/>
        <v>0.9822450534951892</v>
      </c>
      <c r="AX91" s="482">
        <f t="shared" si="350"/>
        <v>0.99444007329560091</v>
      </c>
      <c r="AY91" s="482">
        <f t="shared" si="350"/>
        <v>1.0087963136134892</v>
      </c>
      <c r="AZ91" s="482">
        <f t="shared" si="350"/>
        <v>0.9457563727441527</v>
      </c>
      <c r="BA91" s="482">
        <f t="shared" si="350"/>
        <v>1.0411799461963964</v>
      </c>
      <c r="BB91" s="482">
        <f>(BA90+BB90)/2</f>
        <v>1.1945310590360805</v>
      </c>
      <c r="BC91" s="482">
        <f>(BB90+BC90)/2</f>
        <v>1.1945310590360805</v>
      </c>
      <c r="BD91" s="482">
        <f t="shared" ref="BD91:BJ91" si="351">(BC90+BD90)/2</f>
        <v>1.1945310590360805</v>
      </c>
      <c r="BE91" s="482">
        <f t="shared" si="351"/>
        <v>1.1945310590360805</v>
      </c>
      <c r="BF91" s="482">
        <f t="shared" si="351"/>
        <v>1.1945310590360805</v>
      </c>
      <c r="BG91" s="482">
        <f t="shared" si="351"/>
        <v>0.59726552951804024</v>
      </c>
      <c r="BH91" s="482">
        <f t="shared" si="351"/>
        <v>0</v>
      </c>
      <c r="BI91" s="482" t="e">
        <f t="shared" si="351"/>
        <v>#VALUE!</v>
      </c>
      <c r="BJ91" s="482" t="e">
        <f t="shared" si="351"/>
        <v>#VALUE!</v>
      </c>
      <c r="BK91" s="482">
        <f>(BC90+BK90)/2</f>
        <v>1.1945310590360805</v>
      </c>
      <c r="BV91" s="75" t="s">
        <v>66</v>
      </c>
      <c r="BW91" s="479">
        <f>BW90/BQ90</f>
        <v>1.0198304797677877</v>
      </c>
      <c r="BX91" s="479">
        <f>BX90/BR90</f>
        <v>1.0105254490106284</v>
      </c>
      <c r="BY91" s="479">
        <f>BY90/BS90</f>
        <v>0.96051627429035191</v>
      </c>
      <c r="BZ91" s="479">
        <f>BZ90/BT90</f>
        <v>0.99454329144483711</v>
      </c>
      <c r="CB91" s="75" t="s">
        <v>120</v>
      </c>
      <c r="CC91" s="479">
        <f>CC90/BW90</f>
        <v>0.94949223898351265</v>
      </c>
      <c r="CD91" s="479">
        <f>CD90/BX90</f>
        <v>0.94570380405258581</v>
      </c>
      <c r="CE91" s="479">
        <f>CE90/BY90</f>
        <v>0.99624679055619458</v>
      </c>
      <c r="CF91" s="479">
        <f>CF90/BZ90</f>
        <v>1.0130512777774197</v>
      </c>
      <c r="CH91" s="75" t="s">
        <v>87</v>
      </c>
      <c r="CI91" s="479">
        <f>CI90/CC90</f>
        <v>1.013419898499901</v>
      </c>
      <c r="CJ91" s="479">
        <f>CJ90/CD90</f>
        <v>1.0227555659272356</v>
      </c>
      <c r="CK91" s="479">
        <f>CK90/CE90</f>
        <v>1.0327638991105554</v>
      </c>
      <c r="CL91" s="479">
        <f>CL90/CF90</f>
        <v>1.0075085345949368</v>
      </c>
      <c r="CN91" s="75" t="s">
        <v>675</v>
      </c>
      <c r="CO91" s="479">
        <f>CO90/CI90</f>
        <v>1.0263993572330412</v>
      </c>
      <c r="CP91" s="479">
        <f>CP90/CJ90</f>
        <v>1.0266134736524328</v>
      </c>
      <c r="CQ91" s="479">
        <f>CQ90/CK90</f>
        <v>0.97608599381784766</v>
      </c>
      <c r="CR91" s="479">
        <f>CR90/CL90</f>
        <v>0.97498920684644574</v>
      </c>
    </row>
    <row r="92" spans="1:96">
      <c r="A92" s="741" t="s">
        <v>204</v>
      </c>
      <c r="B92" s="796">
        <f>B90</f>
        <v>295447</v>
      </c>
      <c r="C92" s="744">
        <f>C90</f>
        <v>277756</v>
      </c>
      <c r="D92" s="744">
        <f t="shared" ref="D92:Q92" si="352">D90</f>
        <v>302745</v>
      </c>
      <c r="E92" s="744">
        <f t="shared" si="352"/>
        <v>281780</v>
      </c>
      <c r="F92" s="744">
        <f t="shared" si="352"/>
        <v>283025</v>
      </c>
      <c r="G92" s="796">
        <f t="shared" si="352"/>
        <v>306278</v>
      </c>
      <c r="H92" s="744">
        <f t="shared" si="352"/>
        <v>306278</v>
      </c>
      <c r="I92" s="744">
        <f t="shared" si="352"/>
        <v>306278</v>
      </c>
      <c r="J92" s="744">
        <f t="shared" si="352"/>
        <v>306278</v>
      </c>
      <c r="K92" s="744">
        <f t="shared" si="352"/>
        <v>306278</v>
      </c>
      <c r="L92" s="796">
        <f t="shared" si="352"/>
        <v>346969</v>
      </c>
      <c r="M92" s="744">
        <f t="shared" si="352"/>
        <v>315122</v>
      </c>
      <c r="N92" s="744">
        <f t="shared" si="352"/>
        <v>303290</v>
      </c>
      <c r="O92" s="744">
        <f t="shared" si="352"/>
        <v>354521</v>
      </c>
      <c r="P92" s="744">
        <f t="shared" si="352"/>
        <v>352062</v>
      </c>
      <c r="Q92" s="796">
        <f t="shared" si="352"/>
        <v>306278</v>
      </c>
      <c r="R92" s="744">
        <f>R89</f>
        <v>307240</v>
      </c>
      <c r="S92" s="797">
        <f>S89</f>
        <v>308202</v>
      </c>
      <c r="T92" s="797">
        <f>T89</f>
        <v>309164</v>
      </c>
      <c r="U92" s="797">
        <f>U89</f>
        <v>310126</v>
      </c>
      <c r="V92" s="744">
        <f>V89</f>
        <v>311088</v>
      </c>
      <c r="W92" s="73">
        <f t="shared" ref="W92:AF92" si="353">ROUND(V92*AS86,0)</f>
        <v>309390</v>
      </c>
      <c r="X92" s="73">
        <f t="shared" si="353"/>
        <v>313428</v>
      </c>
      <c r="Y92" s="73">
        <f t="shared" si="353"/>
        <v>315781</v>
      </c>
      <c r="Z92" s="797">
        <f t="shared" si="353"/>
        <v>319804</v>
      </c>
      <c r="AA92" s="73">
        <f t="shared" si="353"/>
        <v>324237</v>
      </c>
      <c r="AB92" s="73">
        <f t="shared" si="353"/>
        <v>323292</v>
      </c>
      <c r="AC92" s="73">
        <f t="shared" si="353"/>
        <v>305436</v>
      </c>
      <c r="AD92" s="73">
        <f t="shared" si="353"/>
        <v>308775</v>
      </c>
      <c r="AE92" s="73">
        <f t="shared" si="353"/>
        <v>320319</v>
      </c>
      <c r="AF92" s="73">
        <f t="shared" si="353"/>
        <v>328963</v>
      </c>
      <c r="AG92" s="73">
        <f>ROUND(AF92*BZ128,0)</f>
        <v>311482</v>
      </c>
      <c r="AH92" s="1743">
        <f>AG92*BK86</f>
        <v>296962.03189806454</v>
      </c>
      <c r="AI92" s="1743">
        <f>AH92*BL86</f>
        <v>317859.55791161879</v>
      </c>
      <c r="AJ92" s="1743">
        <f>AI92*BM86</f>
        <v>320005.58395320136</v>
      </c>
      <c r="AK92" s="1743">
        <f>AJ92*BN86</f>
        <v>321952.58875601069</v>
      </c>
      <c r="AL92" s="1741">
        <f t="shared" si="339"/>
        <v>321952.58875601069</v>
      </c>
      <c r="AM92" s="1741">
        <f t="shared" si="339"/>
        <v>321952.58875601069</v>
      </c>
      <c r="AN92" s="1741">
        <f t="shared" si="339"/>
        <v>321952.58875601069</v>
      </c>
      <c r="AO92" s="75" t="s">
        <v>1018</v>
      </c>
      <c r="CO92" s="75">
        <f>AVERAGE(CO78:CO87)</f>
        <v>301017</v>
      </c>
      <c r="CP92" s="75">
        <f>AVERAGE(CP78:CP87)</f>
        <v>292819.40000000002</v>
      </c>
      <c r="CQ92" s="75">
        <f>AVERAGE(CQ78:CQ87)</f>
        <v>275394.90000000002</v>
      </c>
      <c r="CR92" s="75">
        <f>AVERAGE(CR78:CR87)</f>
        <v>269975.8</v>
      </c>
    </row>
    <row r="93" spans="1:96">
      <c r="A93" s="741" t="s">
        <v>234</v>
      </c>
      <c r="B93" s="796">
        <f>B90</f>
        <v>295447</v>
      </c>
      <c r="C93" s="744">
        <f>C90</f>
        <v>277756</v>
      </c>
      <c r="D93" s="744">
        <f t="shared" ref="D93:Q93" si="354">D90</f>
        <v>302745</v>
      </c>
      <c r="E93" s="744">
        <f t="shared" si="354"/>
        <v>281780</v>
      </c>
      <c r="F93" s="744">
        <f t="shared" si="354"/>
        <v>283025</v>
      </c>
      <c r="G93" s="796">
        <f t="shared" si="354"/>
        <v>306278</v>
      </c>
      <c r="H93" s="744">
        <f t="shared" si="354"/>
        <v>306278</v>
      </c>
      <c r="I93" s="744">
        <f t="shared" si="354"/>
        <v>306278</v>
      </c>
      <c r="J93" s="744">
        <f t="shared" si="354"/>
        <v>306278</v>
      </c>
      <c r="K93" s="744">
        <f t="shared" si="354"/>
        <v>306278</v>
      </c>
      <c r="L93" s="796">
        <f t="shared" si="354"/>
        <v>346969</v>
      </c>
      <c r="M93" s="744">
        <f t="shared" si="354"/>
        <v>315122</v>
      </c>
      <c r="N93" s="744">
        <f t="shared" si="354"/>
        <v>303290</v>
      </c>
      <c r="O93" s="744">
        <f t="shared" si="354"/>
        <v>354521</v>
      </c>
      <c r="P93" s="744">
        <f t="shared" si="354"/>
        <v>352062</v>
      </c>
      <c r="Q93" s="796">
        <f t="shared" si="354"/>
        <v>306278</v>
      </c>
      <c r="R93" s="744">
        <f>R89</f>
        <v>307240</v>
      </c>
      <c r="S93" s="797">
        <f>S89</f>
        <v>308202</v>
      </c>
      <c r="T93" s="797">
        <f>T89</f>
        <v>309164</v>
      </c>
      <c r="U93" s="797">
        <f>U89</f>
        <v>310126</v>
      </c>
      <c r="V93" s="744">
        <f>V89</f>
        <v>311088</v>
      </c>
      <c r="W93" s="73">
        <f t="shared" ref="W93:AF93" si="355">ROUND(V93*AS86,0)</f>
        <v>309390</v>
      </c>
      <c r="X93" s="73">
        <f t="shared" si="355"/>
        <v>313428</v>
      </c>
      <c r="Y93" s="73">
        <f t="shared" si="355"/>
        <v>315781</v>
      </c>
      <c r="Z93" s="797">
        <f t="shared" si="355"/>
        <v>319804</v>
      </c>
      <c r="AA93" s="73">
        <f t="shared" si="355"/>
        <v>324237</v>
      </c>
      <c r="AB93" s="73">
        <f t="shared" si="355"/>
        <v>323292</v>
      </c>
      <c r="AC93" s="73">
        <f t="shared" si="355"/>
        <v>305436</v>
      </c>
      <c r="AD93" s="73">
        <f t="shared" si="355"/>
        <v>308775</v>
      </c>
      <c r="AE93" s="73">
        <f t="shared" si="355"/>
        <v>320319</v>
      </c>
      <c r="AF93" s="73">
        <f t="shared" si="355"/>
        <v>328963</v>
      </c>
      <c r="AG93" s="73">
        <f>ROUND(AF93*BZ128,0)</f>
        <v>311482</v>
      </c>
      <c r="AH93" s="1743">
        <f>AG93*BK86</f>
        <v>296962.03189806454</v>
      </c>
      <c r="AI93" s="1743">
        <f>AH93*BL86</f>
        <v>317859.55791161879</v>
      </c>
      <c r="AJ93" s="1743">
        <f>AI93*BM86</f>
        <v>320005.58395320136</v>
      </c>
      <c r="AK93" s="1743">
        <f>AJ93*BN86</f>
        <v>321952.58875601069</v>
      </c>
      <c r="AL93" s="1741">
        <f t="shared" si="339"/>
        <v>321952.58875601069</v>
      </c>
      <c r="AM93" s="1741">
        <f t="shared" si="339"/>
        <v>321952.58875601069</v>
      </c>
      <c r="AN93" s="1741">
        <f t="shared" si="339"/>
        <v>321952.58875601069</v>
      </c>
      <c r="AO93" s="75" t="s">
        <v>1018</v>
      </c>
      <c r="BP93" s="128" t="s">
        <v>1004</v>
      </c>
      <c r="BQ93" s="130"/>
      <c r="BR93" s="130"/>
      <c r="BS93" s="130"/>
      <c r="BT93" s="130" t="s">
        <v>95</v>
      </c>
      <c r="BV93" s="128" t="s">
        <v>1046</v>
      </c>
      <c r="BW93" s="130"/>
      <c r="BX93" s="130"/>
      <c r="BY93" s="130"/>
      <c r="BZ93" s="130" t="s">
        <v>95</v>
      </c>
      <c r="CB93" s="128" t="s">
        <v>1069</v>
      </c>
      <c r="CC93" s="130"/>
      <c r="CD93" s="130"/>
      <c r="CE93" s="130"/>
      <c r="CF93" s="130" t="s">
        <v>95</v>
      </c>
      <c r="CH93" s="128" t="s">
        <v>1101</v>
      </c>
      <c r="CI93" s="130"/>
      <c r="CJ93" s="130"/>
      <c r="CK93" s="130"/>
      <c r="CL93" s="130" t="s">
        <v>95</v>
      </c>
      <c r="CN93" s="128" t="s">
        <v>1121</v>
      </c>
      <c r="CO93" s="130"/>
      <c r="CP93" s="130"/>
      <c r="CQ93" s="130"/>
      <c r="CR93" s="130" t="s">
        <v>95</v>
      </c>
    </row>
    <row r="94" spans="1:96">
      <c r="A94" s="766" t="s">
        <v>205</v>
      </c>
      <c r="B94" s="796"/>
      <c r="C94" s="744"/>
      <c r="D94" s="744"/>
      <c r="E94" s="744"/>
      <c r="F94" s="744"/>
      <c r="G94" s="796"/>
      <c r="H94" s="744"/>
      <c r="I94" s="744"/>
      <c r="J94" s="744"/>
      <c r="K94" s="744"/>
      <c r="L94" s="796"/>
      <c r="M94" s="744"/>
      <c r="N94" s="744"/>
      <c r="O94" s="744"/>
      <c r="P94" s="744"/>
      <c r="Q94" s="796"/>
      <c r="R94" s="744"/>
      <c r="S94" s="797"/>
      <c r="T94" s="797"/>
      <c r="U94" s="797"/>
      <c r="V94" s="744"/>
      <c r="W94" s="73" t="s">
        <v>627</v>
      </c>
      <c r="X94" s="73" t="s">
        <v>627</v>
      </c>
      <c r="Y94" s="73"/>
      <c r="Z94" s="797"/>
      <c r="AA94" s="795">
        <f>消費ﾃﾞｰﾀ!L11</f>
        <v>295787</v>
      </c>
      <c r="AB94" s="1177">
        <f>AA94/AA95</f>
        <v>0.9122555414712078</v>
      </c>
      <c r="AC94" s="73"/>
      <c r="AD94" s="73"/>
      <c r="AE94" s="73"/>
      <c r="AF94" s="73"/>
      <c r="AG94" s="73"/>
      <c r="AH94" s="1169"/>
      <c r="AI94" s="1169"/>
      <c r="AJ94" s="1169"/>
      <c r="AK94" s="1169"/>
      <c r="AL94" s="1741"/>
      <c r="AM94" s="1741"/>
      <c r="AN94" s="1741"/>
      <c r="AO94" s="75" t="s">
        <v>627</v>
      </c>
      <c r="BQ94" s="1181" t="s">
        <v>88</v>
      </c>
      <c r="BR94" s="1181" t="s">
        <v>89</v>
      </c>
      <c r="BS94" s="1181" t="s">
        <v>90</v>
      </c>
      <c r="BT94" s="1181" t="s">
        <v>91</v>
      </c>
      <c r="BW94" s="1181" t="s">
        <v>88</v>
      </c>
      <c r="BX94" s="1181" t="s">
        <v>89</v>
      </c>
      <c r="BY94" s="1181" t="s">
        <v>90</v>
      </c>
      <c r="BZ94" s="1181" t="s">
        <v>91</v>
      </c>
      <c r="CC94" s="1181" t="s">
        <v>88</v>
      </c>
      <c r="CD94" s="1181" t="s">
        <v>89</v>
      </c>
      <c r="CE94" s="1181" t="s">
        <v>90</v>
      </c>
      <c r="CF94" s="1181" t="s">
        <v>91</v>
      </c>
      <c r="CI94" s="1181" t="s">
        <v>88</v>
      </c>
      <c r="CJ94" s="1181" t="s">
        <v>89</v>
      </c>
      <c r="CK94" s="1181" t="s">
        <v>90</v>
      </c>
      <c r="CL94" s="1181" t="s">
        <v>91</v>
      </c>
      <c r="CO94" s="1181" t="s">
        <v>88</v>
      </c>
      <c r="CP94" s="1181" t="s">
        <v>89</v>
      </c>
      <c r="CQ94" s="1181" t="s">
        <v>90</v>
      </c>
      <c r="CR94" s="1181" t="s">
        <v>91</v>
      </c>
    </row>
    <row r="95" spans="1:96">
      <c r="A95" s="741" t="s">
        <v>206</v>
      </c>
      <c r="B95" s="796">
        <f>B90</f>
        <v>295447</v>
      </c>
      <c r="C95" s="744">
        <f>C90</f>
        <v>277756</v>
      </c>
      <c r="D95" s="744">
        <f t="shared" ref="D95:Q95" si="356">D90</f>
        <v>302745</v>
      </c>
      <c r="E95" s="744">
        <f t="shared" si="356"/>
        <v>281780</v>
      </c>
      <c r="F95" s="744">
        <f t="shared" si="356"/>
        <v>283025</v>
      </c>
      <c r="G95" s="796">
        <f t="shared" si="356"/>
        <v>306278</v>
      </c>
      <c r="H95" s="744">
        <f t="shared" si="356"/>
        <v>306278</v>
      </c>
      <c r="I95" s="744">
        <f t="shared" si="356"/>
        <v>306278</v>
      </c>
      <c r="J95" s="744">
        <f t="shared" si="356"/>
        <v>306278</v>
      </c>
      <c r="K95" s="744">
        <f t="shared" si="356"/>
        <v>306278</v>
      </c>
      <c r="L95" s="796">
        <f t="shared" si="356"/>
        <v>346969</v>
      </c>
      <c r="M95" s="744">
        <f t="shared" si="356"/>
        <v>315122</v>
      </c>
      <c r="N95" s="744">
        <f t="shared" si="356"/>
        <v>303290</v>
      </c>
      <c r="O95" s="744">
        <f t="shared" si="356"/>
        <v>354521</v>
      </c>
      <c r="P95" s="744">
        <f t="shared" si="356"/>
        <v>352062</v>
      </c>
      <c r="Q95" s="796">
        <f t="shared" si="356"/>
        <v>306278</v>
      </c>
      <c r="R95" s="744">
        <f>R89</f>
        <v>307240</v>
      </c>
      <c r="S95" s="797">
        <f>S89</f>
        <v>308202</v>
      </c>
      <c r="T95" s="797">
        <f>T89</f>
        <v>309164</v>
      </c>
      <c r="U95" s="797">
        <f>U89</f>
        <v>310126</v>
      </c>
      <c r="V95" s="744">
        <f>V89</f>
        <v>311088</v>
      </c>
      <c r="W95" s="73">
        <f t="shared" ref="W95:AF95" si="357">ROUND(V95*AS86,0)</f>
        <v>309390</v>
      </c>
      <c r="X95" s="73">
        <f t="shared" si="357"/>
        <v>313428</v>
      </c>
      <c r="Y95" s="73">
        <f t="shared" si="357"/>
        <v>315781</v>
      </c>
      <c r="Z95" s="797">
        <f t="shared" si="357"/>
        <v>319804</v>
      </c>
      <c r="AA95" s="73">
        <f t="shared" si="357"/>
        <v>324237</v>
      </c>
      <c r="AB95" s="73">
        <f t="shared" si="357"/>
        <v>323292</v>
      </c>
      <c r="AC95" s="73">
        <f t="shared" si="357"/>
        <v>305436</v>
      </c>
      <c r="AD95" s="73">
        <f t="shared" si="357"/>
        <v>308775</v>
      </c>
      <c r="AE95" s="73">
        <f t="shared" si="357"/>
        <v>320319</v>
      </c>
      <c r="AF95" s="73">
        <f t="shared" si="357"/>
        <v>328963</v>
      </c>
      <c r="AG95" s="73">
        <f>ROUND(AF95*BZ128,0)</f>
        <v>311482</v>
      </c>
      <c r="AH95" s="1743">
        <f>AG95*BK86</f>
        <v>296962.03189806454</v>
      </c>
      <c r="AI95" s="1743">
        <f>AH95*BL86</f>
        <v>317859.55791161879</v>
      </c>
      <c r="AJ95" s="1743">
        <f>AI95*BM86</f>
        <v>320005.58395320136</v>
      </c>
      <c r="AK95" s="1743">
        <f>AJ95*BN86</f>
        <v>321952.58875601069</v>
      </c>
      <c r="AL95" s="1741">
        <f t="shared" ref="AL95:AN101" si="358">AK95</f>
        <v>321952.58875601069</v>
      </c>
      <c r="AM95" s="1741">
        <f t="shared" si="358"/>
        <v>321952.58875601069</v>
      </c>
      <c r="AN95" s="1741">
        <f t="shared" si="358"/>
        <v>321952.58875601069</v>
      </c>
      <c r="AO95" s="75" t="s">
        <v>1018</v>
      </c>
      <c r="BP95" s="132"/>
      <c r="BQ95" s="1182"/>
      <c r="BR95" s="1182"/>
      <c r="BS95" s="1182"/>
      <c r="BT95" s="1182" t="s">
        <v>92</v>
      </c>
      <c r="BV95" s="132"/>
      <c r="BW95" s="1182"/>
      <c r="BX95" s="1182"/>
      <c r="BY95" s="1182"/>
      <c r="BZ95" s="1182" t="s">
        <v>92</v>
      </c>
      <c r="CB95" s="132"/>
      <c r="CC95" s="1182"/>
      <c r="CD95" s="1182"/>
      <c r="CE95" s="1182"/>
      <c r="CF95" s="1182" t="s">
        <v>92</v>
      </c>
      <c r="CH95" s="132"/>
      <c r="CI95" s="1182"/>
      <c r="CJ95" s="1182"/>
      <c r="CK95" s="1182"/>
      <c r="CL95" s="1182" t="s">
        <v>92</v>
      </c>
      <c r="CN95" s="132"/>
      <c r="CO95" s="1182"/>
      <c r="CP95" s="1182"/>
      <c r="CQ95" s="1182"/>
      <c r="CR95" s="1182" t="s">
        <v>92</v>
      </c>
    </row>
    <row r="96" spans="1:96">
      <c r="A96" s="741" t="s">
        <v>207</v>
      </c>
      <c r="B96" s="796">
        <f>B90</f>
        <v>295447</v>
      </c>
      <c r="C96" s="744">
        <f>C90</f>
        <v>277756</v>
      </c>
      <c r="D96" s="744">
        <f t="shared" ref="D96:Q96" si="359">D90</f>
        <v>302745</v>
      </c>
      <c r="E96" s="744">
        <f t="shared" si="359"/>
        <v>281780</v>
      </c>
      <c r="F96" s="744">
        <f t="shared" si="359"/>
        <v>283025</v>
      </c>
      <c r="G96" s="796">
        <f t="shared" si="359"/>
        <v>306278</v>
      </c>
      <c r="H96" s="744">
        <f t="shared" si="359"/>
        <v>306278</v>
      </c>
      <c r="I96" s="744">
        <f t="shared" si="359"/>
        <v>306278</v>
      </c>
      <c r="J96" s="744">
        <f t="shared" si="359"/>
        <v>306278</v>
      </c>
      <c r="K96" s="744">
        <f t="shared" si="359"/>
        <v>306278</v>
      </c>
      <c r="L96" s="796">
        <f t="shared" si="359"/>
        <v>346969</v>
      </c>
      <c r="M96" s="744">
        <f t="shared" si="359"/>
        <v>315122</v>
      </c>
      <c r="N96" s="744">
        <f t="shared" si="359"/>
        <v>303290</v>
      </c>
      <c r="O96" s="744">
        <f t="shared" si="359"/>
        <v>354521</v>
      </c>
      <c r="P96" s="744">
        <f t="shared" si="359"/>
        <v>352062</v>
      </c>
      <c r="Q96" s="796">
        <f t="shared" si="359"/>
        <v>306278</v>
      </c>
      <c r="R96" s="744">
        <f>R89</f>
        <v>307240</v>
      </c>
      <c r="S96" s="797">
        <f>S89</f>
        <v>308202</v>
      </c>
      <c r="T96" s="797">
        <f>T89</f>
        <v>309164</v>
      </c>
      <c r="U96" s="797">
        <f>U89</f>
        <v>310126</v>
      </c>
      <c r="V96" s="744">
        <f>V89</f>
        <v>311088</v>
      </c>
      <c r="W96" s="73">
        <f t="shared" ref="W96:AF96" si="360">ROUND(V96*AS86,0)</f>
        <v>309390</v>
      </c>
      <c r="X96" s="73">
        <f t="shared" si="360"/>
        <v>313428</v>
      </c>
      <c r="Y96" s="73">
        <f t="shared" si="360"/>
        <v>315781</v>
      </c>
      <c r="Z96" s="797">
        <f t="shared" si="360"/>
        <v>319804</v>
      </c>
      <c r="AA96" s="73">
        <f t="shared" si="360"/>
        <v>324237</v>
      </c>
      <c r="AB96" s="73">
        <f t="shared" si="360"/>
        <v>323292</v>
      </c>
      <c r="AC96" s="73">
        <f t="shared" si="360"/>
        <v>305436</v>
      </c>
      <c r="AD96" s="73">
        <f t="shared" si="360"/>
        <v>308775</v>
      </c>
      <c r="AE96" s="73">
        <f t="shared" si="360"/>
        <v>320319</v>
      </c>
      <c r="AF96" s="73">
        <f t="shared" si="360"/>
        <v>328963</v>
      </c>
      <c r="AG96" s="73">
        <f>ROUND(AF96*BZ128,0)</f>
        <v>311482</v>
      </c>
      <c r="AH96" s="1743">
        <f>AG96*BK86</f>
        <v>296962.03189806454</v>
      </c>
      <c r="AI96" s="1743">
        <f>AH96*BL86</f>
        <v>317859.55791161879</v>
      </c>
      <c r="AJ96" s="1743">
        <f>AI96*BM86</f>
        <v>320005.58395320136</v>
      </c>
      <c r="AK96" s="1743">
        <f>AJ96*BN86</f>
        <v>321952.58875601069</v>
      </c>
      <c r="AL96" s="1741">
        <f t="shared" si="358"/>
        <v>321952.58875601069</v>
      </c>
      <c r="AM96" s="1741">
        <f t="shared" si="358"/>
        <v>321952.58875601069</v>
      </c>
      <c r="AN96" s="1741">
        <f t="shared" si="358"/>
        <v>321952.58875601069</v>
      </c>
      <c r="AO96" s="75" t="s">
        <v>1018</v>
      </c>
      <c r="BP96" s="75">
        <v>1</v>
      </c>
      <c r="BQ96" s="76">
        <v>295948</v>
      </c>
      <c r="BR96" s="76">
        <v>308768</v>
      </c>
      <c r="BS96" s="76">
        <v>286984</v>
      </c>
      <c r="BT96" s="76">
        <v>291570</v>
      </c>
      <c r="BV96" s="75">
        <v>1</v>
      </c>
      <c r="BW96" s="76">
        <v>304975</v>
      </c>
      <c r="BX96" s="76">
        <v>287069</v>
      </c>
      <c r="BY96" s="76">
        <v>293833</v>
      </c>
      <c r="BZ96" s="76">
        <v>262104</v>
      </c>
      <c r="CB96" s="75">
        <v>1</v>
      </c>
      <c r="CC96" s="76">
        <v>289406</v>
      </c>
      <c r="CD96" s="76">
        <v>283851</v>
      </c>
      <c r="CE96" s="76">
        <v>280162</v>
      </c>
      <c r="CF96" s="76">
        <v>261560</v>
      </c>
      <c r="CH96" s="75">
        <v>1</v>
      </c>
      <c r="CI96" s="740">
        <v>303769</v>
      </c>
      <c r="CJ96" s="740">
        <v>284653</v>
      </c>
      <c r="CK96" s="740">
        <v>260770</v>
      </c>
      <c r="CL96" s="740">
        <v>253457</v>
      </c>
      <c r="CN96" s="75">
        <v>1</v>
      </c>
      <c r="CO96" s="740">
        <v>300451</v>
      </c>
      <c r="CP96" s="740">
        <v>294196</v>
      </c>
      <c r="CQ96" s="740">
        <v>275524</v>
      </c>
      <c r="CR96" s="740">
        <v>283213</v>
      </c>
    </row>
    <row r="97" spans="1:102">
      <c r="A97" s="741" t="s">
        <v>219</v>
      </c>
      <c r="B97" s="796">
        <f>B90</f>
        <v>295447</v>
      </c>
      <c r="C97" s="744">
        <f>C90</f>
        <v>277756</v>
      </c>
      <c r="D97" s="744">
        <f t="shared" ref="D97:Q97" si="361">D90</f>
        <v>302745</v>
      </c>
      <c r="E97" s="744">
        <f t="shared" si="361"/>
        <v>281780</v>
      </c>
      <c r="F97" s="744">
        <f t="shared" si="361"/>
        <v>283025</v>
      </c>
      <c r="G97" s="796">
        <f t="shared" si="361"/>
        <v>306278</v>
      </c>
      <c r="H97" s="744">
        <f t="shared" si="361"/>
        <v>306278</v>
      </c>
      <c r="I97" s="744">
        <f t="shared" si="361"/>
        <v>306278</v>
      </c>
      <c r="J97" s="744">
        <f t="shared" si="361"/>
        <v>306278</v>
      </c>
      <c r="K97" s="744">
        <f t="shared" si="361"/>
        <v>306278</v>
      </c>
      <c r="L97" s="796">
        <f t="shared" si="361"/>
        <v>346969</v>
      </c>
      <c r="M97" s="744">
        <f t="shared" si="361"/>
        <v>315122</v>
      </c>
      <c r="N97" s="744">
        <f t="shared" si="361"/>
        <v>303290</v>
      </c>
      <c r="O97" s="744">
        <f t="shared" si="361"/>
        <v>354521</v>
      </c>
      <c r="P97" s="744">
        <f t="shared" si="361"/>
        <v>352062</v>
      </c>
      <c r="Q97" s="796">
        <f t="shared" si="361"/>
        <v>306278</v>
      </c>
      <c r="R97" s="744">
        <f>R89</f>
        <v>307240</v>
      </c>
      <c r="S97" s="797">
        <f>S89</f>
        <v>308202</v>
      </c>
      <c r="T97" s="797">
        <f>T89</f>
        <v>309164</v>
      </c>
      <c r="U97" s="797">
        <f>U89</f>
        <v>310126</v>
      </c>
      <c r="V97" s="744">
        <f>V89</f>
        <v>311088</v>
      </c>
      <c r="W97" s="73">
        <f t="shared" ref="W97:AF97" si="362">ROUND(V97*AS86,0)</f>
        <v>309390</v>
      </c>
      <c r="X97" s="73">
        <f t="shared" si="362"/>
        <v>313428</v>
      </c>
      <c r="Y97" s="73">
        <f t="shared" si="362"/>
        <v>315781</v>
      </c>
      <c r="Z97" s="797">
        <f t="shared" si="362"/>
        <v>319804</v>
      </c>
      <c r="AA97" s="73">
        <f t="shared" si="362"/>
        <v>324237</v>
      </c>
      <c r="AB97" s="73">
        <f t="shared" si="362"/>
        <v>323292</v>
      </c>
      <c r="AC97" s="73">
        <f t="shared" si="362"/>
        <v>305436</v>
      </c>
      <c r="AD97" s="73">
        <f t="shared" si="362"/>
        <v>308775</v>
      </c>
      <c r="AE97" s="73">
        <f t="shared" si="362"/>
        <v>320319</v>
      </c>
      <c r="AF97" s="73">
        <f t="shared" si="362"/>
        <v>328963</v>
      </c>
      <c r="AG97" s="73">
        <f>ROUND(AF97*BZ128,0)</f>
        <v>311482</v>
      </c>
      <c r="AH97" s="1743">
        <f>AG97*BK86</f>
        <v>296962.03189806454</v>
      </c>
      <c r="AI97" s="1743">
        <f>AH97*BL86</f>
        <v>317859.55791161879</v>
      </c>
      <c r="AJ97" s="1743">
        <f>AI97*BM86</f>
        <v>320005.58395320136</v>
      </c>
      <c r="AK97" s="1743">
        <f>AJ97*BN86</f>
        <v>321952.58875601069</v>
      </c>
      <c r="AL97" s="1741">
        <f t="shared" si="358"/>
        <v>321952.58875601069</v>
      </c>
      <c r="AM97" s="1741">
        <f t="shared" si="358"/>
        <v>321952.58875601069</v>
      </c>
      <c r="AN97" s="1741">
        <f t="shared" si="358"/>
        <v>321952.58875601069</v>
      </c>
      <c r="AO97" s="75" t="s">
        <v>1018</v>
      </c>
      <c r="BP97" s="75">
        <v>2</v>
      </c>
      <c r="BQ97" s="76">
        <v>272418</v>
      </c>
      <c r="BR97" s="76">
        <v>271431</v>
      </c>
      <c r="BS97" s="76">
        <v>271120</v>
      </c>
      <c r="BT97" s="76">
        <v>239574</v>
      </c>
      <c r="BV97" s="75">
        <v>2</v>
      </c>
      <c r="BW97" s="76">
        <v>280136</v>
      </c>
      <c r="BX97" s="76">
        <v>267432</v>
      </c>
      <c r="BY97" s="76">
        <v>262298</v>
      </c>
      <c r="BZ97" s="76">
        <v>241410</v>
      </c>
      <c r="CB97" s="75">
        <v>2</v>
      </c>
      <c r="CC97" s="76">
        <v>278841</v>
      </c>
      <c r="CD97" s="76">
        <v>272463</v>
      </c>
      <c r="CE97" s="76">
        <v>277628</v>
      </c>
      <c r="CF97" s="76">
        <v>236016</v>
      </c>
      <c r="CH97" s="75">
        <v>2</v>
      </c>
      <c r="CI97" s="740">
        <v>280533</v>
      </c>
      <c r="CJ97" s="740">
        <v>272455</v>
      </c>
      <c r="CK97" s="740">
        <v>236543</v>
      </c>
      <c r="CL97" s="740">
        <v>239027</v>
      </c>
      <c r="CN97" s="75">
        <v>2</v>
      </c>
      <c r="CO97" s="740">
        <v>274957</v>
      </c>
      <c r="CP97" s="740">
        <v>270047</v>
      </c>
      <c r="CQ97" s="740">
        <v>254933</v>
      </c>
      <c r="CR97" s="740">
        <v>256455</v>
      </c>
    </row>
    <row r="98" spans="1:102">
      <c r="A98" s="741" t="s">
        <v>235</v>
      </c>
      <c r="B98" s="796">
        <f>B90</f>
        <v>295447</v>
      </c>
      <c r="C98" s="744">
        <f>C90</f>
        <v>277756</v>
      </c>
      <c r="D98" s="744">
        <f t="shared" ref="D98:Q98" si="363">D90</f>
        <v>302745</v>
      </c>
      <c r="E98" s="744">
        <f t="shared" si="363"/>
        <v>281780</v>
      </c>
      <c r="F98" s="744">
        <f t="shared" si="363"/>
        <v>283025</v>
      </c>
      <c r="G98" s="796">
        <f t="shared" si="363"/>
        <v>306278</v>
      </c>
      <c r="H98" s="744">
        <f t="shared" si="363"/>
        <v>306278</v>
      </c>
      <c r="I98" s="744">
        <f t="shared" si="363"/>
        <v>306278</v>
      </c>
      <c r="J98" s="744">
        <f t="shared" si="363"/>
        <v>306278</v>
      </c>
      <c r="K98" s="744">
        <f t="shared" si="363"/>
        <v>306278</v>
      </c>
      <c r="L98" s="796">
        <f t="shared" si="363"/>
        <v>346969</v>
      </c>
      <c r="M98" s="744">
        <f t="shared" si="363"/>
        <v>315122</v>
      </c>
      <c r="N98" s="744">
        <f t="shared" si="363"/>
        <v>303290</v>
      </c>
      <c r="O98" s="744">
        <f t="shared" si="363"/>
        <v>354521</v>
      </c>
      <c r="P98" s="744">
        <f t="shared" si="363"/>
        <v>352062</v>
      </c>
      <c r="Q98" s="796">
        <f t="shared" si="363"/>
        <v>306278</v>
      </c>
      <c r="R98" s="744">
        <f>R89</f>
        <v>307240</v>
      </c>
      <c r="S98" s="797">
        <f>S89</f>
        <v>308202</v>
      </c>
      <c r="T98" s="797">
        <f>T89</f>
        <v>309164</v>
      </c>
      <c r="U98" s="797">
        <f>U89</f>
        <v>310126</v>
      </c>
      <c r="V98" s="744">
        <f>V89</f>
        <v>311088</v>
      </c>
      <c r="W98" s="73">
        <f t="shared" ref="W98:AF99" si="364">ROUND(V98*AS85,0)</f>
        <v>298805</v>
      </c>
      <c r="X98" s="73">
        <f t="shared" si="364"/>
        <v>297684</v>
      </c>
      <c r="Y98" s="73">
        <f t="shared" si="364"/>
        <v>307437</v>
      </c>
      <c r="Z98" s="797">
        <f t="shared" si="364"/>
        <v>311354</v>
      </c>
      <c r="AA98" s="73">
        <f t="shared" si="364"/>
        <v>319634</v>
      </c>
      <c r="AB98" s="73">
        <f t="shared" si="364"/>
        <v>318899</v>
      </c>
      <c r="AC98" s="73">
        <f t="shared" si="364"/>
        <v>311558</v>
      </c>
      <c r="AD98" s="73">
        <f t="shared" si="364"/>
        <v>297982</v>
      </c>
      <c r="AE98" s="73">
        <f t="shared" si="364"/>
        <v>314438</v>
      </c>
      <c r="AF98" s="73">
        <f t="shared" si="364"/>
        <v>325258</v>
      </c>
      <c r="AG98" s="73">
        <f>ROUND(AF98*BY128,0)</f>
        <v>300980</v>
      </c>
      <c r="AH98" s="1743">
        <f t="shared" ref="AH98:AK99" si="365">AG98*BK85</f>
        <v>298817.59228930634</v>
      </c>
      <c r="AI98" s="1743">
        <f t="shared" si="365"/>
        <v>315547.45092846133</v>
      </c>
      <c r="AJ98" s="1743">
        <f t="shared" si="365"/>
        <v>322242.5491276898</v>
      </c>
      <c r="AK98" s="1743">
        <f t="shared" si="365"/>
        <v>311307.13756689016</v>
      </c>
      <c r="AL98" s="1741">
        <f t="shared" si="358"/>
        <v>311307.13756689016</v>
      </c>
      <c r="AM98" s="1741">
        <f t="shared" si="358"/>
        <v>311307.13756689016</v>
      </c>
      <c r="AN98" s="1741">
        <f t="shared" si="358"/>
        <v>311307.13756689016</v>
      </c>
      <c r="AO98" s="75" t="s">
        <v>1017</v>
      </c>
      <c r="BP98" s="75">
        <v>3</v>
      </c>
      <c r="BQ98" s="76">
        <v>346613</v>
      </c>
      <c r="BR98" s="76">
        <v>359086</v>
      </c>
      <c r="BS98" s="76">
        <v>336126</v>
      </c>
      <c r="BT98" s="76">
        <v>330785</v>
      </c>
      <c r="BV98" s="75">
        <v>3</v>
      </c>
      <c r="BW98" s="76">
        <v>326344</v>
      </c>
      <c r="BX98" s="76">
        <v>318956</v>
      </c>
      <c r="BY98" s="76">
        <v>306949</v>
      </c>
      <c r="BZ98" s="76">
        <v>316065</v>
      </c>
      <c r="CB98" s="75">
        <v>3</v>
      </c>
      <c r="CC98" s="76">
        <v>309400</v>
      </c>
      <c r="CD98" s="76">
        <v>303119</v>
      </c>
      <c r="CE98" s="76">
        <v>300838</v>
      </c>
      <c r="CF98" s="76">
        <v>281409</v>
      </c>
      <c r="CH98" s="75">
        <v>3</v>
      </c>
      <c r="CI98" s="740">
        <v>325759</v>
      </c>
      <c r="CJ98" s="740">
        <v>300789</v>
      </c>
      <c r="CK98" s="740">
        <v>276317</v>
      </c>
      <c r="CL98" s="740">
        <v>276475</v>
      </c>
      <c r="CN98" s="75">
        <v>3</v>
      </c>
      <c r="CO98" s="740">
        <v>317821</v>
      </c>
      <c r="CP98" s="740">
        <v>299887</v>
      </c>
      <c r="CQ98" s="740">
        <v>300796</v>
      </c>
      <c r="CR98" s="740">
        <v>274205</v>
      </c>
    </row>
    <row r="99" spans="1:102">
      <c r="A99" s="741" t="s">
        <v>208</v>
      </c>
      <c r="B99" s="796">
        <f>B90</f>
        <v>295447</v>
      </c>
      <c r="C99" s="744">
        <f>C90</f>
        <v>277756</v>
      </c>
      <c r="D99" s="744">
        <f t="shared" ref="D99:Q99" si="366">D90</f>
        <v>302745</v>
      </c>
      <c r="E99" s="744">
        <f t="shared" si="366"/>
        <v>281780</v>
      </c>
      <c r="F99" s="744">
        <f t="shared" si="366"/>
        <v>283025</v>
      </c>
      <c r="G99" s="796">
        <f t="shared" si="366"/>
        <v>306278</v>
      </c>
      <c r="H99" s="744">
        <f t="shared" si="366"/>
        <v>306278</v>
      </c>
      <c r="I99" s="744">
        <f t="shared" si="366"/>
        <v>306278</v>
      </c>
      <c r="J99" s="744">
        <f t="shared" si="366"/>
        <v>306278</v>
      </c>
      <c r="K99" s="744">
        <f t="shared" si="366"/>
        <v>306278</v>
      </c>
      <c r="L99" s="796">
        <f t="shared" si="366"/>
        <v>346969</v>
      </c>
      <c r="M99" s="744">
        <f t="shared" si="366"/>
        <v>315122</v>
      </c>
      <c r="N99" s="744">
        <f t="shared" si="366"/>
        <v>303290</v>
      </c>
      <c r="O99" s="744">
        <f t="shared" si="366"/>
        <v>354521</v>
      </c>
      <c r="P99" s="744">
        <f t="shared" si="366"/>
        <v>352062</v>
      </c>
      <c r="Q99" s="796">
        <f t="shared" si="366"/>
        <v>306278</v>
      </c>
      <c r="R99" s="744">
        <f>R89</f>
        <v>307240</v>
      </c>
      <c r="S99" s="797">
        <f>S89</f>
        <v>308202</v>
      </c>
      <c r="T99" s="797">
        <f>T89</f>
        <v>309164</v>
      </c>
      <c r="U99" s="797">
        <f>U89</f>
        <v>310126</v>
      </c>
      <c r="V99" s="744">
        <f>V89</f>
        <v>311088</v>
      </c>
      <c r="W99" s="73">
        <f t="shared" si="364"/>
        <v>309390</v>
      </c>
      <c r="X99" s="73">
        <f t="shared" si="364"/>
        <v>313428</v>
      </c>
      <c r="Y99" s="73">
        <f t="shared" si="364"/>
        <v>315781</v>
      </c>
      <c r="Z99" s="797">
        <f t="shared" si="364"/>
        <v>319804</v>
      </c>
      <c r="AA99" s="73">
        <f t="shared" si="364"/>
        <v>324237</v>
      </c>
      <c r="AB99" s="73">
        <f t="shared" si="364"/>
        <v>323292</v>
      </c>
      <c r="AC99" s="73">
        <f t="shared" si="364"/>
        <v>305436</v>
      </c>
      <c r="AD99" s="73">
        <f t="shared" si="364"/>
        <v>308775</v>
      </c>
      <c r="AE99" s="73">
        <f t="shared" si="364"/>
        <v>320319</v>
      </c>
      <c r="AF99" s="73">
        <f t="shared" si="364"/>
        <v>328963</v>
      </c>
      <c r="AG99" s="73">
        <f>ROUND(AF99*BZ128,0)</f>
        <v>311482</v>
      </c>
      <c r="AH99" s="1743">
        <f t="shared" si="365"/>
        <v>296962.03189806454</v>
      </c>
      <c r="AI99" s="1743">
        <f t="shared" si="365"/>
        <v>317859.55791161879</v>
      </c>
      <c r="AJ99" s="1743">
        <f t="shared" si="365"/>
        <v>320005.58395320136</v>
      </c>
      <c r="AK99" s="1743">
        <f t="shared" si="365"/>
        <v>321952.58875601069</v>
      </c>
      <c r="AL99" s="1741">
        <f t="shared" si="358"/>
        <v>321952.58875601069</v>
      </c>
      <c r="AM99" s="1741">
        <f t="shared" si="358"/>
        <v>321952.58875601069</v>
      </c>
      <c r="AN99" s="1741">
        <f t="shared" si="358"/>
        <v>321952.58875601069</v>
      </c>
      <c r="AO99" s="75" t="s">
        <v>1018</v>
      </c>
      <c r="BC99" s="479"/>
      <c r="BP99" s="75">
        <v>4</v>
      </c>
      <c r="BQ99" s="76">
        <v>312346</v>
      </c>
      <c r="BR99" s="76">
        <v>299447</v>
      </c>
      <c r="BS99" s="76">
        <v>300391</v>
      </c>
      <c r="BT99" s="76">
        <v>292219</v>
      </c>
      <c r="BV99" s="75">
        <v>4</v>
      </c>
      <c r="BW99" s="76">
        <v>325172</v>
      </c>
      <c r="BX99" s="76">
        <v>298482</v>
      </c>
      <c r="BY99" s="76">
        <v>284891</v>
      </c>
      <c r="BZ99" s="76">
        <v>285314</v>
      </c>
      <c r="CB99" s="75">
        <v>4</v>
      </c>
      <c r="CC99" s="76">
        <v>331223</v>
      </c>
      <c r="CD99" s="76">
        <v>291929</v>
      </c>
      <c r="CE99" s="76">
        <v>286231</v>
      </c>
      <c r="CF99" s="76">
        <v>273257</v>
      </c>
      <c r="CH99" s="75">
        <v>4</v>
      </c>
      <c r="CI99" s="740">
        <v>327109</v>
      </c>
      <c r="CJ99" s="740">
        <v>302405</v>
      </c>
      <c r="CK99" s="740">
        <v>267589</v>
      </c>
      <c r="CL99" s="740">
        <v>272030</v>
      </c>
      <c r="CN99" s="75">
        <v>4</v>
      </c>
      <c r="CO99" s="740">
        <v>320590</v>
      </c>
      <c r="CP99" s="740">
        <v>286646</v>
      </c>
      <c r="CQ99" s="740">
        <v>287735</v>
      </c>
      <c r="CR99" s="740">
        <v>272096</v>
      </c>
    </row>
    <row r="100" spans="1:102">
      <c r="A100" s="741" t="s">
        <v>209</v>
      </c>
      <c r="B100" s="796">
        <f>B90</f>
        <v>295447</v>
      </c>
      <c r="C100" s="744">
        <f>C90</f>
        <v>277756</v>
      </c>
      <c r="D100" s="744">
        <f t="shared" ref="D100:Q100" si="367">D90</f>
        <v>302745</v>
      </c>
      <c r="E100" s="744">
        <f t="shared" si="367"/>
        <v>281780</v>
      </c>
      <c r="F100" s="744">
        <f t="shared" si="367"/>
        <v>283025</v>
      </c>
      <c r="G100" s="796">
        <f t="shared" si="367"/>
        <v>306278</v>
      </c>
      <c r="H100" s="744">
        <f t="shared" si="367"/>
        <v>306278</v>
      </c>
      <c r="I100" s="744">
        <f t="shared" si="367"/>
        <v>306278</v>
      </c>
      <c r="J100" s="744">
        <f t="shared" si="367"/>
        <v>306278</v>
      </c>
      <c r="K100" s="744">
        <f t="shared" si="367"/>
        <v>306278</v>
      </c>
      <c r="L100" s="796">
        <f t="shared" si="367"/>
        <v>346969</v>
      </c>
      <c r="M100" s="744">
        <f t="shared" si="367"/>
        <v>315122</v>
      </c>
      <c r="N100" s="744">
        <f t="shared" si="367"/>
        <v>303290</v>
      </c>
      <c r="O100" s="744">
        <f t="shared" si="367"/>
        <v>354521</v>
      </c>
      <c r="P100" s="744">
        <f t="shared" si="367"/>
        <v>352062</v>
      </c>
      <c r="Q100" s="796">
        <f t="shared" si="367"/>
        <v>306278</v>
      </c>
      <c r="R100" s="744">
        <f>R89</f>
        <v>307240</v>
      </c>
      <c r="S100" s="797">
        <f>S89</f>
        <v>308202</v>
      </c>
      <c r="T100" s="797">
        <f>T89</f>
        <v>309164</v>
      </c>
      <c r="U100" s="797">
        <f>U89</f>
        <v>310126</v>
      </c>
      <c r="V100" s="744">
        <f>V89</f>
        <v>311088</v>
      </c>
      <c r="W100" s="73">
        <f t="shared" ref="W100:AF100" si="368">ROUND(V100*AS86,0)</f>
        <v>309390</v>
      </c>
      <c r="X100" s="73">
        <f t="shared" si="368"/>
        <v>313428</v>
      </c>
      <c r="Y100" s="73">
        <f t="shared" si="368"/>
        <v>315781</v>
      </c>
      <c r="Z100" s="797">
        <f t="shared" si="368"/>
        <v>319804</v>
      </c>
      <c r="AA100" s="73">
        <f t="shared" si="368"/>
        <v>324237</v>
      </c>
      <c r="AB100" s="73">
        <f t="shared" si="368"/>
        <v>323292</v>
      </c>
      <c r="AC100" s="73">
        <f t="shared" si="368"/>
        <v>305436</v>
      </c>
      <c r="AD100" s="73">
        <f t="shared" si="368"/>
        <v>308775</v>
      </c>
      <c r="AE100" s="73">
        <f t="shared" si="368"/>
        <v>320319</v>
      </c>
      <c r="AF100" s="73">
        <f t="shared" si="368"/>
        <v>328963</v>
      </c>
      <c r="AG100" s="73">
        <f>ROUND(AF100*BZ128,0)</f>
        <v>311482</v>
      </c>
      <c r="AH100" s="1743">
        <f>AG100*BK86</f>
        <v>296962.03189806454</v>
      </c>
      <c r="AI100" s="1743">
        <f>AH100*BL86</f>
        <v>317859.55791161879</v>
      </c>
      <c r="AJ100" s="1743">
        <f>AI100*BM86</f>
        <v>320005.58395320136</v>
      </c>
      <c r="AK100" s="1743">
        <f>AJ100*BN86</f>
        <v>321952.58875601069</v>
      </c>
      <c r="AL100" s="1741">
        <f t="shared" si="358"/>
        <v>321952.58875601069</v>
      </c>
      <c r="AM100" s="1741">
        <f t="shared" si="358"/>
        <v>321952.58875601069</v>
      </c>
      <c r="AN100" s="1741">
        <f t="shared" si="358"/>
        <v>321952.58875601069</v>
      </c>
      <c r="AO100" s="75" t="s">
        <v>1018</v>
      </c>
      <c r="BP100" s="75">
        <v>5</v>
      </c>
      <c r="BQ100" s="76">
        <v>286678</v>
      </c>
      <c r="BR100" s="76">
        <v>278391</v>
      </c>
      <c r="BS100" s="76">
        <v>253461</v>
      </c>
      <c r="BT100" s="76">
        <v>258374</v>
      </c>
      <c r="BV100" s="75">
        <v>5</v>
      </c>
      <c r="BW100" s="76">
        <v>299874</v>
      </c>
      <c r="BX100" s="76">
        <v>287137</v>
      </c>
      <c r="BY100" s="76">
        <v>281853</v>
      </c>
      <c r="BZ100" s="76">
        <v>268435</v>
      </c>
      <c r="CB100" s="75">
        <v>5</v>
      </c>
      <c r="CC100" s="76">
        <v>297751</v>
      </c>
      <c r="CD100" s="76">
        <v>291530</v>
      </c>
      <c r="CE100" s="76">
        <v>270196</v>
      </c>
      <c r="CF100" s="76">
        <v>252516</v>
      </c>
      <c r="CH100" s="75">
        <v>5</v>
      </c>
      <c r="CI100" s="740">
        <v>305349</v>
      </c>
      <c r="CJ100" s="740">
        <v>282422</v>
      </c>
      <c r="CK100" s="740">
        <v>268092</v>
      </c>
      <c r="CL100" s="740">
        <v>268135</v>
      </c>
      <c r="CN100" s="75">
        <v>5</v>
      </c>
      <c r="CO100" s="740">
        <v>288027</v>
      </c>
      <c r="CP100" s="740">
        <v>286031</v>
      </c>
      <c r="CQ100" s="740">
        <v>277662</v>
      </c>
      <c r="CR100" s="740">
        <v>264750</v>
      </c>
    </row>
    <row r="101" spans="1:102">
      <c r="A101" s="741" t="s">
        <v>236</v>
      </c>
      <c r="B101" s="796">
        <f>B90</f>
        <v>295447</v>
      </c>
      <c r="C101" s="744">
        <f>C90</f>
        <v>277756</v>
      </c>
      <c r="D101" s="744">
        <f t="shared" ref="D101:Q101" si="369">D90</f>
        <v>302745</v>
      </c>
      <c r="E101" s="744">
        <f t="shared" si="369"/>
        <v>281780</v>
      </c>
      <c r="F101" s="744">
        <f t="shared" si="369"/>
        <v>283025</v>
      </c>
      <c r="G101" s="796">
        <f t="shared" si="369"/>
        <v>306278</v>
      </c>
      <c r="H101" s="744">
        <f t="shared" si="369"/>
        <v>306278</v>
      </c>
      <c r="I101" s="744">
        <f t="shared" si="369"/>
        <v>306278</v>
      </c>
      <c r="J101" s="744">
        <f t="shared" si="369"/>
        <v>306278</v>
      </c>
      <c r="K101" s="744">
        <f t="shared" si="369"/>
        <v>306278</v>
      </c>
      <c r="L101" s="796">
        <f t="shared" si="369"/>
        <v>346969</v>
      </c>
      <c r="M101" s="744">
        <f t="shared" si="369"/>
        <v>315122</v>
      </c>
      <c r="N101" s="744">
        <f t="shared" si="369"/>
        <v>303290</v>
      </c>
      <c r="O101" s="744">
        <f t="shared" si="369"/>
        <v>354521</v>
      </c>
      <c r="P101" s="744">
        <f t="shared" si="369"/>
        <v>352062</v>
      </c>
      <c r="Q101" s="796">
        <f t="shared" si="369"/>
        <v>306278</v>
      </c>
      <c r="R101" s="744">
        <f>R89</f>
        <v>307240</v>
      </c>
      <c r="S101" s="797">
        <f>S89</f>
        <v>308202</v>
      </c>
      <c r="T101" s="797">
        <f>T89</f>
        <v>309164</v>
      </c>
      <c r="U101" s="797">
        <f>U89</f>
        <v>310126</v>
      </c>
      <c r="V101" s="744">
        <f>V89</f>
        <v>311088</v>
      </c>
      <c r="W101" s="73">
        <f t="shared" ref="W101:AF101" si="370">ROUND(V101*AS86,0)</f>
        <v>309390</v>
      </c>
      <c r="X101" s="73">
        <f t="shared" si="370"/>
        <v>313428</v>
      </c>
      <c r="Y101" s="73">
        <f t="shared" si="370"/>
        <v>315781</v>
      </c>
      <c r="Z101" s="797">
        <f t="shared" si="370"/>
        <v>319804</v>
      </c>
      <c r="AA101" s="73">
        <f t="shared" si="370"/>
        <v>324237</v>
      </c>
      <c r="AB101" s="73">
        <f t="shared" si="370"/>
        <v>323292</v>
      </c>
      <c r="AC101" s="73">
        <f t="shared" si="370"/>
        <v>305436</v>
      </c>
      <c r="AD101" s="73">
        <f t="shared" si="370"/>
        <v>308775</v>
      </c>
      <c r="AE101" s="73">
        <f t="shared" si="370"/>
        <v>320319</v>
      </c>
      <c r="AF101" s="73">
        <f t="shared" si="370"/>
        <v>328963</v>
      </c>
      <c r="AG101" s="73">
        <f>ROUND(AF101*BZ128,0)</f>
        <v>311482</v>
      </c>
      <c r="AH101" s="1743">
        <f>AG101*BK86</f>
        <v>296962.03189806454</v>
      </c>
      <c r="AI101" s="1743">
        <f>AH101*BL86</f>
        <v>317859.55791161879</v>
      </c>
      <c r="AJ101" s="1743">
        <f>AI101*BM86</f>
        <v>320005.58395320136</v>
      </c>
      <c r="AK101" s="1743">
        <f>AJ101*BN86</f>
        <v>321952.58875601069</v>
      </c>
      <c r="AL101" s="1741">
        <f t="shared" si="358"/>
        <v>321952.58875601069</v>
      </c>
      <c r="AM101" s="1741">
        <f t="shared" si="358"/>
        <v>321952.58875601069</v>
      </c>
      <c r="AN101" s="1741">
        <f t="shared" si="358"/>
        <v>321952.58875601069</v>
      </c>
      <c r="AO101" s="75" t="s">
        <v>1018</v>
      </c>
      <c r="BP101" s="75">
        <v>6</v>
      </c>
      <c r="BQ101" s="76">
        <v>278158</v>
      </c>
      <c r="BR101" s="76">
        <v>277926</v>
      </c>
      <c r="BS101" s="76">
        <v>274834</v>
      </c>
      <c r="BT101" s="76">
        <v>249426</v>
      </c>
      <c r="BV101" s="75">
        <v>6</v>
      </c>
      <c r="BW101" s="76">
        <v>276580</v>
      </c>
      <c r="BX101" s="76">
        <v>269051</v>
      </c>
      <c r="BY101" s="76">
        <v>268119</v>
      </c>
      <c r="BZ101" s="76">
        <v>254634</v>
      </c>
      <c r="CB101" s="75">
        <v>6</v>
      </c>
      <c r="CC101" s="76">
        <v>278252</v>
      </c>
      <c r="CD101" s="76">
        <v>258966</v>
      </c>
      <c r="CE101" s="76">
        <v>248664</v>
      </c>
      <c r="CF101" s="76">
        <v>256936</v>
      </c>
      <c r="CH101" s="75">
        <v>6</v>
      </c>
      <c r="CI101" s="740">
        <v>281688</v>
      </c>
      <c r="CJ101" s="740">
        <v>274447</v>
      </c>
      <c r="CK101" s="740">
        <v>257862</v>
      </c>
      <c r="CL101" s="740">
        <v>251776</v>
      </c>
      <c r="CN101" s="75">
        <v>6</v>
      </c>
      <c r="CO101" s="740">
        <v>277770</v>
      </c>
      <c r="CP101" s="740">
        <v>265890</v>
      </c>
      <c r="CQ101" s="740">
        <v>268633</v>
      </c>
      <c r="CR101" s="740">
        <v>250522</v>
      </c>
    </row>
    <row r="102" spans="1:102">
      <c r="A102" s="770" t="s">
        <v>210</v>
      </c>
      <c r="B102" s="802"/>
      <c r="C102" s="744"/>
      <c r="D102" s="744"/>
      <c r="E102" s="744"/>
      <c r="F102" s="744"/>
      <c r="G102" s="796"/>
      <c r="H102" s="744"/>
      <c r="I102" s="744"/>
      <c r="J102" s="744"/>
      <c r="K102" s="744"/>
      <c r="L102" s="796"/>
      <c r="M102" s="744"/>
      <c r="N102" s="744"/>
      <c r="O102" s="744"/>
      <c r="P102" s="744"/>
      <c r="Q102" s="795">
        <f>消費ﾃﾞｰﾀ!E8</f>
        <v>356363</v>
      </c>
      <c r="R102" s="796">
        <f>ROUND(Q102+(V102-Q102)/5,0)</f>
        <v>352147</v>
      </c>
      <c r="S102" s="797">
        <f>ROUND(Q102+(V102-Q102)/5*2,0)</f>
        <v>347931</v>
      </c>
      <c r="T102" s="797">
        <f>ROUND(Q102+(V102-Q102)/5*3,0)</f>
        <v>343714</v>
      </c>
      <c r="U102" s="73">
        <f>ROUND(Q102+(V102-Q102)/5*4,0)</f>
        <v>339498</v>
      </c>
      <c r="V102" s="1179">
        <f>消費ﾃﾞｰﾀ!F8</f>
        <v>335282</v>
      </c>
      <c r="W102" s="73" t="s">
        <v>627</v>
      </c>
      <c r="X102" s="73" t="s">
        <v>627</v>
      </c>
      <c r="Y102" s="73"/>
      <c r="Z102" s="797"/>
      <c r="AA102" s="795">
        <f>消費ﾃﾞｰﾀ!L12</f>
        <v>327526</v>
      </c>
      <c r="AB102" s="1177">
        <f>AA102/AA103</f>
        <v>0.95075067055258178</v>
      </c>
      <c r="AC102" s="73"/>
      <c r="AD102" s="73"/>
      <c r="AE102" s="73"/>
      <c r="AF102" s="73"/>
      <c r="AG102" s="73"/>
      <c r="AH102" s="1169"/>
      <c r="AI102" s="1169"/>
      <c r="AJ102" s="1169"/>
      <c r="AK102" s="1169"/>
      <c r="AL102" s="1741"/>
      <c r="AM102" s="1741"/>
      <c r="AN102" s="1741"/>
      <c r="AO102" s="75" t="s">
        <v>627</v>
      </c>
      <c r="BP102" s="75">
        <v>7</v>
      </c>
      <c r="BQ102" s="76">
        <v>292952</v>
      </c>
      <c r="BR102" s="76">
        <v>284388</v>
      </c>
      <c r="BS102" s="76">
        <v>270802</v>
      </c>
      <c r="BT102" s="76">
        <v>264545</v>
      </c>
      <c r="BV102" s="75">
        <v>7</v>
      </c>
      <c r="BW102" s="76">
        <v>282040</v>
      </c>
      <c r="BX102" s="76">
        <v>280415</v>
      </c>
      <c r="BY102" s="76">
        <v>278566</v>
      </c>
      <c r="BZ102" s="76">
        <v>280819</v>
      </c>
      <c r="CB102" s="75">
        <v>7</v>
      </c>
      <c r="CC102" s="76">
        <v>289960</v>
      </c>
      <c r="CD102" s="76">
        <v>285315</v>
      </c>
      <c r="CE102" s="76">
        <v>277809</v>
      </c>
      <c r="CF102" s="76">
        <v>241757</v>
      </c>
      <c r="CH102" s="75">
        <v>7</v>
      </c>
      <c r="CI102" s="740">
        <v>291346</v>
      </c>
      <c r="CJ102" s="740">
        <v>284943</v>
      </c>
      <c r="CK102" s="740">
        <v>275034</v>
      </c>
      <c r="CL102" s="740">
        <v>252668</v>
      </c>
      <c r="CN102" s="75">
        <v>7</v>
      </c>
      <c r="CO102" s="740">
        <v>299695</v>
      </c>
      <c r="CP102" s="740">
        <v>274922</v>
      </c>
      <c r="CQ102" s="740">
        <v>280082</v>
      </c>
      <c r="CR102" s="740">
        <v>275607</v>
      </c>
    </row>
    <row r="103" spans="1:102">
      <c r="A103" s="799" t="s">
        <v>221</v>
      </c>
      <c r="B103" s="743">
        <f>消費ﾃﾞｰﾀ!B8</f>
        <v>288432</v>
      </c>
      <c r="C103" s="795">
        <f>ROUND($B$103*C60,0)</f>
        <v>271161</v>
      </c>
      <c r="D103" s="795">
        <f>ROUND($B$103*D60,0)</f>
        <v>295557</v>
      </c>
      <c r="E103" s="795">
        <f>ROUND($G$103*E60,0)</f>
        <v>327859</v>
      </c>
      <c r="F103" s="795">
        <f>ROUND($G$103*F60,0)</f>
        <v>329307</v>
      </c>
      <c r="G103" s="795">
        <v>356363</v>
      </c>
      <c r="H103" s="795">
        <v>356363</v>
      </c>
      <c r="I103" s="795">
        <v>356363</v>
      </c>
      <c r="J103" s="795">
        <v>356363</v>
      </c>
      <c r="K103" s="795">
        <v>356363</v>
      </c>
      <c r="L103" s="795">
        <f>消費ﾃﾞｰﾀ!D8</f>
        <v>350663</v>
      </c>
      <c r="M103" s="795">
        <f>ROUND($L$103*M60,0)</f>
        <v>318477</v>
      </c>
      <c r="N103" s="795">
        <f>ROUND($L$103*N60,0)</f>
        <v>306519</v>
      </c>
      <c r="O103" s="795">
        <f>ROUND($Q$103*O60,0)</f>
        <v>412495</v>
      </c>
      <c r="P103" s="795">
        <f>ROUND($Q$103*P60,0)</f>
        <v>409635</v>
      </c>
      <c r="Q103" s="795">
        <f>消費ﾃﾞｰﾀ!E8</f>
        <v>356363</v>
      </c>
      <c r="R103" s="66">
        <f>R102</f>
        <v>352147</v>
      </c>
      <c r="S103" s="797">
        <f>S102</f>
        <v>347931</v>
      </c>
      <c r="T103" s="797">
        <f>T102</f>
        <v>343714</v>
      </c>
      <c r="U103" s="797">
        <f>U102</f>
        <v>339498</v>
      </c>
      <c r="V103" s="66">
        <f>V102</f>
        <v>335282</v>
      </c>
      <c r="W103" s="73">
        <f t="shared" ref="W103:AF104" si="371">ROUND(V103*AS85,0)</f>
        <v>322044</v>
      </c>
      <c r="X103" s="73">
        <f t="shared" si="371"/>
        <v>320835</v>
      </c>
      <c r="Y103" s="73">
        <f t="shared" si="371"/>
        <v>331347</v>
      </c>
      <c r="Z103" s="797">
        <f t="shared" si="371"/>
        <v>335568</v>
      </c>
      <c r="AA103" s="73">
        <f t="shared" si="371"/>
        <v>344492</v>
      </c>
      <c r="AB103" s="73">
        <f t="shared" si="371"/>
        <v>343699</v>
      </c>
      <c r="AC103" s="73">
        <f t="shared" si="371"/>
        <v>335787</v>
      </c>
      <c r="AD103" s="73">
        <f t="shared" si="371"/>
        <v>321156</v>
      </c>
      <c r="AE103" s="73">
        <f t="shared" si="371"/>
        <v>338892</v>
      </c>
      <c r="AF103" s="73">
        <f t="shared" si="371"/>
        <v>350553</v>
      </c>
      <c r="AG103" s="73">
        <f>ROUND(AF103*BY128,0)</f>
        <v>324387</v>
      </c>
      <c r="AH103" s="1743">
        <f t="shared" ref="AH103:AK104" si="372">AG103*BK85</f>
        <v>322056.42338345147</v>
      </c>
      <c r="AI103" s="1743">
        <f t="shared" si="372"/>
        <v>340087.3512005143</v>
      </c>
      <c r="AJ103" s="1743">
        <f t="shared" si="372"/>
        <v>347303.12241306371</v>
      </c>
      <c r="AK103" s="1743">
        <f t="shared" si="372"/>
        <v>335517.27169217489</v>
      </c>
      <c r="AL103" s="1741">
        <f t="shared" ref="AL103:AN107" si="373">AK103</f>
        <v>335517.27169217489</v>
      </c>
      <c r="AM103" s="1741">
        <f t="shared" si="373"/>
        <v>335517.27169217489</v>
      </c>
      <c r="AN103" s="1741">
        <f t="shared" si="373"/>
        <v>335517.27169217489</v>
      </c>
      <c r="AO103" s="75" t="s">
        <v>1017</v>
      </c>
      <c r="BP103" s="75">
        <v>8</v>
      </c>
      <c r="BQ103" s="76">
        <v>295633</v>
      </c>
      <c r="BR103" s="76">
        <v>283818</v>
      </c>
      <c r="BS103" s="76">
        <v>275819</v>
      </c>
      <c r="BT103" s="76">
        <v>264710</v>
      </c>
      <c r="BV103" s="75">
        <v>8</v>
      </c>
      <c r="BW103" s="76">
        <v>294685</v>
      </c>
      <c r="BX103" s="76">
        <v>298260</v>
      </c>
      <c r="BY103" s="76">
        <v>287806</v>
      </c>
      <c r="BZ103" s="76">
        <v>276039</v>
      </c>
      <c r="CB103" s="75">
        <v>8</v>
      </c>
      <c r="CC103" s="76">
        <v>289892</v>
      </c>
      <c r="CD103" s="76">
        <v>276403</v>
      </c>
      <c r="CE103" s="76">
        <v>270664</v>
      </c>
      <c r="CF103" s="76">
        <v>260700</v>
      </c>
      <c r="CH103" s="75">
        <v>8</v>
      </c>
      <c r="CI103" s="740">
        <v>291103</v>
      </c>
      <c r="CJ103" s="740">
        <v>279648</v>
      </c>
      <c r="CK103" s="740">
        <v>273593</v>
      </c>
      <c r="CL103" s="740">
        <v>273149</v>
      </c>
      <c r="CN103" s="75">
        <v>8</v>
      </c>
      <c r="CO103" s="740">
        <v>296334</v>
      </c>
      <c r="CP103" s="740">
        <v>295257</v>
      </c>
      <c r="CQ103" s="740">
        <v>287279</v>
      </c>
      <c r="CR103" s="740">
        <v>287886</v>
      </c>
    </row>
    <row r="104" spans="1:102">
      <c r="A104" s="741" t="s">
        <v>218</v>
      </c>
      <c r="B104" s="796">
        <f>B103</f>
        <v>288432</v>
      </c>
      <c r="C104" s="744">
        <f>C103</f>
        <v>271161</v>
      </c>
      <c r="D104" s="744">
        <f t="shared" ref="D104:Q104" si="374">D103</f>
        <v>295557</v>
      </c>
      <c r="E104" s="744">
        <f t="shared" si="374"/>
        <v>327859</v>
      </c>
      <c r="F104" s="744">
        <f t="shared" si="374"/>
        <v>329307</v>
      </c>
      <c r="G104" s="796">
        <f t="shared" si="374"/>
        <v>356363</v>
      </c>
      <c r="H104" s="744">
        <f t="shared" si="374"/>
        <v>356363</v>
      </c>
      <c r="I104" s="744">
        <f t="shared" si="374"/>
        <v>356363</v>
      </c>
      <c r="J104" s="744">
        <f t="shared" si="374"/>
        <v>356363</v>
      </c>
      <c r="K104" s="744">
        <f t="shared" si="374"/>
        <v>356363</v>
      </c>
      <c r="L104" s="796">
        <f t="shared" si="374"/>
        <v>350663</v>
      </c>
      <c r="M104" s="744">
        <f t="shared" si="374"/>
        <v>318477</v>
      </c>
      <c r="N104" s="744">
        <f t="shared" si="374"/>
        <v>306519</v>
      </c>
      <c r="O104" s="744">
        <f t="shared" si="374"/>
        <v>412495</v>
      </c>
      <c r="P104" s="744">
        <f t="shared" si="374"/>
        <v>409635</v>
      </c>
      <c r="Q104" s="796">
        <f t="shared" si="374"/>
        <v>356363</v>
      </c>
      <c r="R104" s="744">
        <f>R102</f>
        <v>352147</v>
      </c>
      <c r="S104" s="797">
        <f>S102</f>
        <v>347931</v>
      </c>
      <c r="T104" s="797">
        <f>T102</f>
        <v>343714</v>
      </c>
      <c r="U104" s="797">
        <f>U102</f>
        <v>339498</v>
      </c>
      <c r="V104" s="744">
        <f>V102</f>
        <v>335282</v>
      </c>
      <c r="W104" s="73">
        <f t="shared" si="371"/>
        <v>333452</v>
      </c>
      <c r="X104" s="73">
        <f t="shared" si="371"/>
        <v>337804</v>
      </c>
      <c r="Y104" s="73">
        <f t="shared" si="371"/>
        <v>340340</v>
      </c>
      <c r="Z104" s="797">
        <f t="shared" si="371"/>
        <v>344676</v>
      </c>
      <c r="AA104" s="73">
        <f t="shared" si="371"/>
        <v>349454</v>
      </c>
      <c r="AB104" s="73">
        <f t="shared" si="371"/>
        <v>348436</v>
      </c>
      <c r="AC104" s="73">
        <f t="shared" si="371"/>
        <v>329192</v>
      </c>
      <c r="AD104" s="73">
        <f t="shared" si="371"/>
        <v>332791</v>
      </c>
      <c r="AE104" s="73">
        <f t="shared" si="371"/>
        <v>345233</v>
      </c>
      <c r="AF104" s="73">
        <f t="shared" si="371"/>
        <v>354550</v>
      </c>
      <c r="AG104" s="73">
        <f>ROUND(AF104*BZ128,0)</f>
        <v>335710</v>
      </c>
      <c r="AH104" s="1743">
        <f t="shared" si="372"/>
        <v>320060.62542458071</v>
      </c>
      <c r="AI104" s="1743">
        <f t="shared" si="372"/>
        <v>342583.62340844591</v>
      </c>
      <c r="AJ104" s="1743">
        <f t="shared" si="372"/>
        <v>344896.57376326475</v>
      </c>
      <c r="AK104" s="1743">
        <f t="shared" si="372"/>
        <v>346995.02241311007</v>
      </c>
      <c r="AL104" s="1741">
        <f t="shared" si="373"/>
        <v>346995.02241311007</v>
      </c>
      <c r="AM104" s="1741">
        <f t="shared" si="373"/>
        <v>346995.02241311007</v>
      </c>
      <c r="AN104" s="1741">
        <f t="shared" si="373"/>
        <v>346995.02241311007</v>
      </c>
      <c r="AO104" s="75" t="s">
        <v>1018</v>
      </c>
      <c r="BP104" s="75">
        <v>9</v>
      </c>
      <c r="BQ104" s="75">
        <v>289073</v>
      </c>
      <c r="BR104" s="75">
        <v>277045</v>
      </c>
      <c r="BS104" s="75">
        <v>259465</v>
      </c>
      <c r="BT104" s="75">
        <v>271904</v>
      </c>
      <c r="BV104" s="75">
        <v>9</v>
      </c>
      <c r="BW104" s="75">
        <v>285736</v>
      </c>
      <c r="BX104" s="75">
        <v>276360</v>
      </c>
      <c r="BY104" s="75">
        <v>273585</v>
      </c>
      <c r="BZ104" s="75">
        <v>251314</v>
      </c>
      <c r="CB104" s="75">
        <v>9</v>
      </c>
      <c r="CC104" s="75">
        <v>287922</v>
      </c>
      <c r="CD104" s="75">
        <v>265480</v>
      </c>
      <c r="CE104" s="75">
        <v>257390</v>
      </c>
      <c r="CF104" s="75">
        <v>248690</v>
      </c>
      <c r="CH104" s="75">
        <v>9</v>
      </c>
      <c r="CI104" s="75">
        <v>282312</v>
      </c>
      <c r="CJ104" s="75">
        <v>273969</v>
      </c>
      <c r="CK104" s="75">
        <v>263990</v>
      </c>
      <c r="CL104" s="75">
        <v>241769</v>
      </c>
      <c r="CN104" s="75">
        <v>9</v>
      </c>
      <c r="CO104" s="75">
        <v>285214</v>
      </c>
      <c r="CP104" s="75">
        <v>280703</v>
      </c>
      <c r="CQ104" s="75">
        <v>261118</v>
      </c>
      <c r="CR104" s="75">
        <v>241658</v>
      </c>
    </row>
    <row r="105" spans="1:102">
      <c r="A105" s="741" t="s">
        <v>222</v>
      </c>
      <c r="B105" s="796">
        <f>B103</f>
        <v>288432</v>
      </c>
      <c r="C105" s="744">
        <f>C103</f>
        <v>271161</v>
      </c>
      <c r="D105" s="744">
        <f t="shared" ref="D105:Q105" si="375">D103</f>
        <v>295557</v>
      </c>
      <c r="E105" s="744">
        <f t="shared" si="375"/>
        <v>327859</v>
      </c>
      <c r="F105" s="744">
        <f t="shared" si="375"/>
        <v>329307</v>
      </c>
      <c r="G105" s="796">
        <f t="shared" si="375"/>
        <v>356363</v>
      </c>
      <c r="H105" s="744">
        <f t="shared" si="375"/>
        <v>356363</v>
      </c>
      <c r="I105" s="744">
        <f t="shared" si="375"/>
        <v>356363</v>
      </c>
      <c r="J105" s="744">
        <f t="shared" si="375"/>
        <v>356363</v>
      </c>
      <c r="K105" s="744">
        <f t="shared" si="375"/>
        <v>356363</v>
      </c>
      <c r="L105" s="796">
        <f t="shared" si="375"/>
        <v>350663</v>
      </c>
      <c r="M105" s="744">
        <f t="shared" si="375"/>
        <v>318477</v>
      </c>
      <c r="N105" s="744">
        <f t="shared" si="375"/>
        <v>306519</v>
      </c>
      <c r="O105" s="744">
        <f t="shared" si="375"/>
        <v>412495</v>
      </c>
      <c r="P105" s="744">
        <f t="shared" si="375"/>
        <v>409635</v>
      </c>
      <c r="Q105" s="796">
        <f t="shared" si="375"/>
        <v>356363</v>
      </c>
      <c r="R105" s="744">
        <f>R102</f>
        <v>352147</v>
      </c>
      <c r="S105" s="797">
        <f>S102</f>
        <v>347931</v>
      </c>
      <c r="T105" s="797">
        <f>T102</f>
        <v>343714</v>
      </c>
      <c r="U105" s="797">
        <f>U102</f>
        <v>339498</v>
      </c>
      <c r="V105" s="744">
        <f>V102</f>
        <v>335282</v>
      </c>
      <c r="W105" s="73">
        <f t="shared" ref="W105:AF105" si="376">ROUND(V105*AS86,0)</f>
        <v>333452</v>
      </c>
      <c r="X105" s="73">
        <f t="shared" si="376"/>
        <v>337804</v>
      </c>
      <c r="Y105" s="73">
        <f t="shared" si="376"/>
        <v>340340</v>
      </c>
      <c r="Z105" s="797">
        <f t="shared" si="376"/>
        <v>344676</v>
      </c>
      <c r="AA105" s="73">
        <f t="shared" si="376"/>
        <v>349454</v>
      </c>
      <c r="AB105" s="73">
        <f t="shared" si="376"/>
        <v>348436</v>
      </c>
      <c r="AC105" s="73">
        <f t="shared" si="376"/>
        <v>329192</v>
      </c>
      <c r="AD105" s="73">
        <f t="shared" si="376"/>
        <v>332791</v>
      </c>
      <c r="AE105" s="73">
        <f t="shared" si="376"/>
        <v>345233</v>
      </c>
      <c r="AF105" s="73">
        <f t="shared" si="376"/>
        <v>354550</v>
      </c>
      <c r="AG105" s="73">
        <f>ROUND(AF105*BZ128,0)</f>
        <v>335710</v>
      </c>
      <c r="AH105" s="1743">
        <f>AG105*BK86</f>
        <v>320060.62542458071</v>
      </c>
      <c r="AI105" s="1743">
        <f>AH105*BL86</f>
        <v>342583.62340844591</v>
      </c>
      <c r="AJ105" s="1743">
        <f>AI105*BM86</f>
        <v>344896.57376326475</v>
      </c>
      <c r="AK105" s="1743">
        <f>AJ105*BN86</f>
        <v>346995.02241311007</v>
      </c>
      <c r="AL105" s="1741">
        <f t="shared" si="373"/>
        <v>346995.02241311007</v>
      </c>
      <c r="AM105" s="1741">
        <f t="shared" si="373"/>
        <v>346995.02241311007</v>
      </c>
      <c r="AN105" s="1741">
        <f t="shared" si="373"/>
        <v>346995.02241311007</v>
      </c>
      <c r="AO105" s="75" t="s">
        <v>1018</v>
      </c>
      <c r="BP105" s="75">
        <v>10</v>
      </c>
      <c r="BQ105" s="75">
        <v>303129</v>
      </c>
      <c r="BR105" s="75">
        <v>287384</v>
      </c>
      <c r="BS105" s="75">
        <v>286374</v>
      </c>
      <c r="BT105" s="75">
        <v>268788</v>
      </c>
      <c r="BV105" s="75">
        <v>10</v>
      </c>
      <c r="BW105" s="75">
        <v>290925</v>
      </c>
      <c r="BX105" s="75">
        <v>288459</v>
      </c>
      <c r="BY105" s="75">
        <v>272188</v>
      </c>
      <c r="BZ105" s="75">
        <v>270945</v>
      </c>
      <c r="CB105" s="75">
        <v>10</v>
      </c>
      <c r="CC105" s="75">
        <v>304523</v>
      </c>
      <c r="CD105" s="75">
        <v>275396</v>
      </c>
      <c r="CE105" s="75">
        <v>286954</v>
      </c>
      <c r="CF105" s="75">
        <v>246687</v>
      </c>
      <c r="CH105" s="75">
        <v>10</v>
      </c>
      <c r="CI105" s="75">
        <v>294392</v>
      </c>
      <c r="CJ105" s="75">
        <v>282591</v>
      </c>
      <c r="CK105" s="75">
        <v>275793</v>
      </c>
      <c r="CL105" s="75">
        <v>274047</v>
      </c>
      <c r="CN105" s="75">
        <v>10</v>
      </c>
      <c r="CO105" s="75">
        <v>300650</v>
      </c>
      <c r="CP105" s="75">
        <v>299143</v>
      </c>
      <c r="CQ105" s="75">
        <v>283075</v>
      </c>
      <c r="CR105" s="75">
        <v>264529</v>
      </c>
    </row>
    <row r="106" spans="1:102">
      <c r="A106" s="741" t="s">
        <v>220</v>
      </c>
      <c r="B106" s="796">
        <f>B103</f>
        <v>288432</v>
      </c>
      <c r="C106" s="744">
        <f>C103</f>
        <v>271161</v>
      </c>
      <c r="D106" s="744">
        <f t="shared" ref="D106:Q106" si="377">D103</f>
        <v>295557</v>
      </c>
      <c r="E106" s="744">
        <f t="shared" si="377"/>
        <v>327859</v>
      </c>
      <c r="F106" s="744">
        <f t="shared" si="377"/>
        <v>329307</v>
      </c>
      <c r="G106" s="796">
        <f t="shared" si="377"/>
        <v>356363</v>
      </c>
      <c r="H106" s="744">
        <f t="shared" si="377"/>
        <v>356363</v>
      </c>
      <c r="I106" s="744">
        <f t="shared" si="377"/>
        <v>356363</v>
      </c>
      <c r="J106" s="744">
        <f t="shared" si="377"/>
        <v>356363</v>
      </c>
      <c r="K106" s="744">
        <f t="shared" si="377"/>
        <v>356363</v>
      </c>
      <c r="L106" s="796">
        <f t="shared" si="377"/>
        <v>350663</v>
      </c>
      <c r="M106" s="744">
        <f t="shared" si="377"/>
        <v>318477</v>
      </c>
      <c r="N106" s="744">
        <f t="shared" si="377"/>
        <v>306519</v>
      </c>
      <c r="O106" s="744">
        <f t="shared" si="377"/>
        <v>412495</v>
      </c>
      <c r="P106" s="744">
        <f t="shared" si="377"/>
        <v>409635</v>
      </c>
      <c r="Q106" s="796">
        <f t="shared" si="377"/>
        <v>356363</v>
      </c>
      <c r="R106" s="744">
        <f>R102</f>
        <v>352147</v>
      </c>
      <c r="S106" s="797">
        <f>S102</f>
        <v>347931</v>
      </c>
      <c r="T106" s="797">
        <f>T102</f>
        <v>343714</v>
      </c>
      <c r="U106" s="797">
        <f>U102</f>
        <v>339498</v>
      </c>
      <c r="V106" s="744">
        <f>V102</f>
        <v>335282</v>
      </c>
      <c r="W106" s="73">
        <f t="shared" ref="W106:AF106" si="378">ROUND(V106*AS86,0)</f>
        <v>333452</v>
      </c>
      <c r="X106" s="73">
        <f t="shared" si="378"/>
        <v>337804</v>
      </c>
      <c r="Y106" s="73">
        <f t="shared" si="378"/>
        <v>340340</v>
      </c>
      <c r="Z106" s="797">
        <f t="shared" si="378"/>
        <v>344676</v>
      </c>
      <c r="AA106" s="73">
        <f t="shared" si="378"/>
        <v>349454</v>
      </c>
      <c r="AB106" s="73">
        <f t="shared" si="378"/>
        <v>348436</v>
      </c>
      <c r="AC106" s="73">
        <f t="shared" si="378"/>
        <v>329192</v>
      </c>
      <c r="AD106" s="73">
        <f t="shared" si="378"/>
        <v>332791</v>
      </c>
      <c r="AE106" s="73">
        <f t="shared" si="378"/>
        <v>345233</v>
      </c>
      <c r="AF106" s="73">
        <f t="shared" si="378"/>
        <v>354550</v>
      </c>
      <c r="AG106" s="73">
        <f>ROUND(AF106*BZ128,0)</f>
        <v>335710</v>
      </c>
      <c r="AH106" s="1743">
        <f>AG106*BK86</f>
        <v>320060.62542458071</v>
      </c>
      <c r="AI106" s="1743">
        <f>AH106*BL86</f>
        <v>342583.62340844591</v>
      </c>
      <c r="AJ106" s="1743">
        <f>AI106*BM86</f>
        <v>344896.57376326475</v>
      </c>
      <c r="AK106" s="1743">
        <f>AJ106*BN86</f>
        <v>346995.02241311007</v>
      </c>
      <c r="AL106" s="1741">
        <f t="shared" si="373"/>
        <v>346995.02241311007</v>
      </c>
      <c r="AM106" s="1741">
        <f t="shared" si="373"/>
        <v>346995.02241311007</v>
      </c>
      <c r="AN106" s="1741">
        <f t="shared" si="373"/>
        <v>346995.02241311007</v>
      </c>
      <c r="AO106" s="75" t="s">
        <v>1018</v>
      </c>
      <c r="BP106" s="75">
        <v>11</v>
      </c>
      <c r="BQ106" s="453">
        <v>285317</v>
      </c>
      <c r="BR106" s="453">
        <v>280150</v>
      </c>
      <c r="BS106" s="453">
        <v>281870</v>
      </c>
      <c r="BT106" s="453">
        <v>269134</v>
      </c>
      <c r="BV106" s="75">
        <v>11</v>
      </c>
      <c r="BW106" s="453">
        <v>287552</v>
      </c>
      <c r="BX106" s="453">
        <v>282271</v>
      </c>
      <c r="BY106" s="453">
        <v>260052</v>
      </c>
      <c r="BZ106" s="453">
        <v>250234</v>
      </c>
      <c r="CB106" s="75">
        <v>11</v>
      </c>
      <c r="CC106" s="453">
        <v>294885</v>
      </c>
      <c r="CD106" s="453">
        <v>270483</v>
      </c>
      <c r="CE106" s="453">
        <v>259356</v>
      </c>
      <c r="CF106" s="453">
        <v>246230</v>
      </c>
      <c r="CH106" s="75">
        <v>11</v>
      </c>
      <c r="CI106" s="75">
        <v>295397</v>
      </c>
      <c r="CJ106" s="75">
        <v>275752</v>
      </c>
      <c r="CK106" s="75">
        <v>269481</v>
      </c>
      <c r="CL106" s="75">
        <v>260812</v>
      </c>
      <c r="CN106" s="75">
        <v>11</v>
      </c>
      <c r="CO106" s="75">
        <v>301408</v>
      </c>
      <c r="CP106" s="75">
        <v>280586</v>
      </c>
      <c r="CQ106" s="75">
        <v>272278</v>
      </c>
      <c r="CR106" s="75">
        <v>258202</v>
      </c>
      <c r="CS106" s="75" t="s">
        <v>1124</v>
      </c>
    </row>
    <row r="107" spans="1:102">
      <c r="A107" s="741" t="s">
        <v>237</v>
      </c>
      <c r="B107" s="796">
        <f>B103</f>
        <v>288432</v>
      </c>
      <c r="C107" s="744">
        <f>C103</f>
        <v>271161</v>
      </c>
      <c r="D107" s="744">
        <f t="shared" ref="D107:Q107" si="379">D103</f>
        <v>295557</v>
      </c>
      <c r="E107" s="744">
        <f t="shared" si="379"/>
        <v>327859</v>
      </c>
      <c r="F107" s="744">
        <f t="shared" si="379"/>
        <v>329307</v>
      </c>
      <c r="G107" s="796">
        <f t="shared" si="379"/>
        <v>356363</v>
      </c>
      <c r="H107" s="744">
        <f t="shared" si="379"/>
        <v>356363</v>
      </c>
      <c r="I107" s="744">
        <f t="shared" si="379"/>
        <v>356363</v>
      </c>
      <c r="J107" s="744">
        <f t="shared" si="379"/>
        <v>356363</v>
      </c>
      <c r="K107" s="744">
        <f t="shared" si="379"/>
        <v>356363</v>
      </c>
      <c r="L107" s="796">
        <f t="shared" si="379"/>
        <v>350663</v>
      </c>
      <c r="M107" s="744">
        <f t="shared" si="379"/>
        <v>318477</v>
      </c>
      <c r="N107" s="744">
        <f t="shared" si="379"/>
        <v>306519</v>
      </c>
      <c r="O107" s="744">
        <f t="shared" si="379"/>
        <v>412495</v>
      </c>
      <c r="P107" s="744">
        <f t="shared" si="379"/>
        <v>409635</v>
      </c>
      <c r="Q107" s="796">
        <f t="shared" si="379"/>
        <v>356363</v>
      </c>
      <c r="R107" s="744">
        <f>R102</f>
        <v>352147</v>
      </c>
      <c r="S107" s="797">
        <f>S102</f>
        <v>347931</v>
      </c>
      <c r="T107" s="797">
        <f>T102</f>
        <v>343714</v>
      </c>
      <c r="U107" s="797">
        <f>U102</f>
        <v>339498</v>
      </c>
      <c r="V107" s="744">
        <f>V102</f>
        <v>335282</v>
      </c>
      <c r="W107" s="73">
        <f t="shared" ref="W107:AF107" si="380">ROUND(V107*AS86,0)</f>
        <v>333452</v>
      </c>
      <c r="X107" s="73">
        <f t="shared" si="380"/>
        <v>337804</v>
      </c>
      <c r="Y107" s="73">
        <f t="shared" si="380"/>
        <v>340340</v>
      </c>
      <c r="Z107" s="797">
        <f t="shared" si="380"/>
        <v>344676</v>
      </c>
      <c r="AA107" s="73">
        <f t="shared" si="380"/>
        <v>349454</v>
      </c>
      <c r="AB107" s="73">
        <f t="shared" si="380"/>
        <v>348436</v>
      </c>
      <c r="AC107" s="73">
        <f t="shared" si="380"/>
        <v>329192</v>
      </c>
      <c r="AD107" s="73">
        <f t="shared" si="380"/>
        <v>332791</v>
      </c>
      <c r="AE107" s="73">
        <f t="shared" si="380"/>
        <v>345233</v>
      </c>
      <c r="AF107" s="73">
        <f t="shared" si="380"/>
        <v>354550</v>
      </c>
      <c r="AG107" s="73">
        <f>ROUND(AF107*BZ128,0)</f>
        <v>335710</v>
      </c>
      <c r="AH107" s="1743">
        <f>AG107*BK86</f>
        <v>320060.62542458071</v>
      </c>
      <c r="AI107" s="1743">
        <f>AH107*BL86</f>
        <v>342583.62340844591</v>
      </c>
      <c r="AJ107" s="1743">
        <f>AI107*BM86</f>
        <v>344896.57376326475</v>
      </c>
      <c r="AK107" s="1743">
        <f>AJ107*BN86</f>
        <v>346995.02241311007</v>
      </c>
      <c r="AL107" s="1741">
        <f t="shared" si="373"/>
        <v>346995.02241311007</v>
      </c>
      <c r="AM107" s="1741">
        <f t="shared" si="373"/>
        <v>346995.02241311007</v>
      </c>
      <c r="AN107" s="1741">
        <f t="shared" si="373"/>
        <v>346995.02241311007</v>
      </c>
      <c r="AO107" s="75" t="s">
        <v>1018</v>
      </c>
      <c r="BP107" s="132">
        <v>12</v>
      </c>
      <c r="BQ107" s="450">
        <v>345969</v>
      </c>
      <c r="BR107" s="450">
        <v>338378</v>
      </c>
      <c r="BS107" s="450">
        <v>335679</v>
      </c>
      <c r="BT107" s="450">
        <v>291125</v>
      </c>
      <c r="BV107" s="132">
        <v>12</v>
      </c>
      <c r="BW107" s="450">
        <v>325681</v>
      </c>
      <c r="BX107" s="450">
        <v>324764</v>
      </c>
      <c r="BY107" s="450">
        <v>310034</v>
      </c>
      <c r="BZ107" s="450">
        <v>304676</v>
      </c>
      <c r="CB107" s="132">
        <v>12</v>
      </c>
      <c r="CC107" s="450">
        <v>341308</v>
      </c>
      <c r="CD107" s="450">
        <v>312284</v>
      </c>
      <c r="CE107" s="450">
        <v>315476</v>
      </c>
      <c r="CF107" s="450">
        <v>294383</v>
      </c>
      <c r="CH107" s="132">
        <v>12</v>
      </c>
      <c r="CI107" s="132">
        <v>331649</v>
      </c>
      <c r="CJ107" s="132">
        <v>325885</v>
      </c>
      <c r="CK107" s="132">
        <v>315593</v>
      </c>
      <c r="CL107" s="132">
        <v>307816</v>
      </c>
      <c r="CN107" s="132">
        <v>12</v>
      </c>
      <c r="CO107" s="132">
        <v>340541</v>
      </c>
      <c r="CP107" s="132">
        <v>331887</v>
      </c>
      <c r="CQ107" s="132">
        <v>317740</v>
      </c>
      <c r="CR107" s="132">
        <v>321538</v>
      </c>
      <c r="CS107" s="75" t="s">
        <v>1124</v>
      </c>
    </row>
    <row r="108" spans="1:102">
      <c r="A108" s="772" t="s">
        <v>211</v>
      </c>
      <c r="B108" s="796"/>
      <c r="C108" s="744"/>
      <c r="D108" s="744"/>
      <c r="E108" s="744"/>
      <c r="F108" s="744"/>
      <c r="G108" s="796"/>
      <c r="H108" s="744"/>
      <c r="I108" s="744"/>
      <c r="J108" s="744"/>
      <c r="K108" s="744"/>
      <c r="L108" s="796"/>
      <c r="M108" s="744"/>
      <c r="N108" s="744"/>
      <c r="O108" s="744"/>
      <c r="P108" s="744"/>
      <c r="Q108" s="796"/>
      <c r="R108" s="744"/>
      <c r="S108" s="797"/>
      <c r="T108" s="797"/>
      <c r="U108" s="797"/>
      <c r="V108" s="744"/>
      <c r="W108" s="73" t="s">
        <v>627</v>
      </c>
      <c r="X108" s="73" t="s">
        <v>627</v>
      </c>
      <c r="Y108" s="73"/>
      <c r="Z108" s="797"/>
      <c r="AA108" s="795">
        <f>消費ﾃﾞｰﾀ!L12</f>
        <v>327526</v>
      </c>
      <c r="AB108" s="1177">
        <f>AA108/AA109</f>
        <v>0.93725068249326093</v>
      </c>
      <c r="AC108" s="73"/>
      <c r="AD108" s="73"/>
      <c r="AE108" s="73"/>
      <c r="AF108" s="73"/>
      <c r="AG108" s="73"/>
      <c r="AH108" s="1169"/>
      <c r="AI108" s="1169"/>
      <c r="AJ108" s="1169"/>
      <c r="AK108" s="1169"/>
      <c r="AL108" s="1741"/>
      <c r="AM108" s="1741"/>
      <c r="AN108" s="1741"/>
      <c r="AO108" s="75" t="s">
        <v>1015</v>
      </c>
      <c r="BP108" s="75" t="s">
        <v>85</v>
      </c>
      <c r="BQ108" s="75">
        <f>AVERAGE(BQ96:BQ103)</f>
        <v>297593.25</v>
      </c>
      <c r="BR108" s="75">
        <f>AVERAGE(BR96:BR103)</f>
        <v>295406.875</v>
      </c>
      <c r="BS108" s="75">
        <f>AVERAGE(BS96:BS103)</f>
        <v>283692.125</v>
      </c>
      <c r="BT108" s="75">
        <f>AVERAGE(BT96:BT103)</f>
        <v>273900.375</v>
      </c>
      <c r="BV108" s="75" t="s">
        <v>85</v>
      </c>
      <c r="BW108" s="75">
        <f>AVERAGE(BW96:BW103)</f>
        <v>298725.75</v>
      </c>
      <c r="BX108" s="75">
        <f>AVERAGE(BX96:BX103)</f>
        <v>288350.25</v>
      </c>
      <c r="BY108" s="75">
        <f>AVERAGE(BY96:BY103)</f>
        <v>283039.375</v>
      </c>
      <c r="BZ108" s="75">
        <f>AVERAGE(BZ96:BZ103)</f>
        <v>273102.5</v>
      </c>
      <c r="CB108" s="75" t="s">
        <v>85</v>
      </c>
      <c r="CC108" s="75">
        <f>AVERAGE(CC96:CC103)</f>
        <v>295590.625</v>
      </c>
      <c r="CD108" s="75">
        <f>AVERAGE(CD96:CD103)</f>
        <v>282947</v>
      </c>
      <c r="CE108" s="75">
        <f>AVERAGE(CE96:CE103)</f>
        <v>276524</v>
      </c>
      <c r="CF108" s="75">
        <f>AVERAGE(CF96:CF103)</f>
        <v>258018.875</v>
      </c>
      <c r="CH108" s="75" t="s">
        <v>85</v>
      </c>
      <c r="CI108" s="75">
        <f>AVERAGE(CI96:CI103)</f>
        <v>300832</v>
      </c>
      <c r="CJ108" s="75">
        <f>AVERAGE(CJ96:CJ103)</f>
        <v>285220.25</v>
      </c>
      <c r="CK108" s="75">
        <f>AVERAGE(CK96:CK103)</f>
        <v>264475</v>
      </c>
      <c r="CL108" s="75">
        <f>AVERAGE(CL96:CL103)</f>
        <v>260839.625</v>
      </c>
      <c r="CN108" s="75" t="s">
        <v>85</v>
      </c>
      <c r="CO108" s="75">
        <f>AVERAGE(CO96:CO103)</f>
        <v>296955.625</v>
      </c>
      <c r="CP108" s="75">
        <f>AVERAGE(CP96:CP103)</f>
        <v>284109.5</v>
      </c>
      <c r="CQ108" s="75">
        <f>AVERAGE(CQ96:CQ103)</f>
        <v>279080.5</v>
      </c>
      <c r="CR108" s="75">
        <f>AVERAGE(CR96:CR103)</f>
        <v>270591.75</v>
      </c>
    </row>
    <row r="109" spans="1:102">
      <c r="A109" s="741" t="s">
        <v>1144</v>
      </c>
      <c r="B109" s="796">
        <f>B103</f>
        <v>288432</v>
      </c>
      <c r="C109" s="744">
        <f>C103</f>
        <v>271161</v>
      </c>
      <c r="D109" s="744">
        <f t="shared" ref="D109:Q109" si="381">D103</f>
        <v>295557</v>
      </c>
      <c r="E109" s="744">
        <f t="shared" si="381"/>
        <v>327859</v>
      </c>
      <c r="F109" s="744">
        <f t="shared" si="381"/>
        <v>329307</v>
      </c>
      <c r="G109" s="796">
        <f t="shared" si="381"/>
        <v>356363</v>
      </c>
      <c r="H109" s="744">
        <f t="shared" si="381"/>
        <v>356363</v>
      </c>
      <c r="I109" s="744">
        <f t="shared" si="381"/>
        <v>356363</v>
      </c>
      <c r="J109" s="744">
        <f t="shared" si="381"/>
        <v>356363</v>
      </c>
      <c r="K109" s="744">
        <f t="shared" si="381"/>
        <v>356363</v>
      </c>
      <c r="L109" s="796">
        <f t="shared" si="381"/>
        <v>350663</v>
      </c>
      <c r="M109" s="744">
        <f t="shared" si="381"/>
        <v>318477</v>
      </c>
      <c r="N109" s="744">
        <f t="shared" si="381"/>
        <v>306519</v>
      </c>
      <c r="O109" s="744">
        <f t="shared" si="381"/>
        <v>412495</v>
      </c>
      <c r="P109" s="744">
        <f t="shared" si="381"/>
        <v>409635</v>
      </c>
      <c r="Q109" s="796">
        <f t="shared" si="381"/>
        <v>356363</v>
      </c>
      <c r="R109" s="744">
        <f>R102</f>
        <v>352147</v>
      </c>
      <c r="S109" s="797">
        <f>S102</f>
        <v>347931</v>
      </c>
      <c r="T109" s="797">
        <f>T102</f>
        <v>343714</v>
      </c>
      <c r="U109" s="797">
        <f>U102</f>
        <v>339498</v>
      </c>
      <c r="V109" s="744">
        <f>V102</f>
        <v>335282</v>
      </c>
      <c r="W109" s="73">
        <f t="shared" ref="W109:AF109" si="382">ROUND(V109*AS86,0)</f>
        <v>333452</v>
      </c>
      <c r="X109" s="73">
        <f t="shared" si="382"/>
        <v>337804</v>
      </c>
      <c r="Y109" s="73">
        <f t="shared" si="382"/>
        <v>340340</v>
      </c>
      <c r="Z109" s="797">
        <f t="shared" si="382"/>
        <v>344676</v>
      </c>
      <c r="AA109" s="73">
        <f t="shared" si="382"/>
        <v>349454</v>
      </c>
      <c r="AB109" s="73">
        <f t="shared" si="382"/>
        <v>348436</v>
      </c>
      <c r="AC109" s="73">
        <f t="shared" si="382"/>
        <v>329192</v>
      </c>
      <c r="AD109" s="73">
        <f t="shared" si="382"/>
        <v>332791</v>
      </c>
      <c r="AE109" s="73">
        <f t="shared" si="382"/>
        <v>345233</v>
      </c>
      <c r="AF109" s="73">
        <f t="shared" si="382"/>
        <v>354550</v>
      </c>
      <c r="AG109" s="73">
        <f>ROUND(AF109*BZ128,0)</f>
        <v>335710</v>
      </c>
      <c r="AH109" s="1743">
        <f>AG109*BK86</f>
        <v>320060.62542458071</v>
      </c>
      <c r="AI109" s="1743">
        <f>AH109*BL86</f>
        <v>342583.62340844591</v>
      </c>
      <c r="AJ109" s="1743">
        <f>AI109*BM86</f>
        <v>344896.57376326475</v>
      </c>
      <c r="AK109" s="1743">
        <f>AJ109*BN86</f>
        <v>346995.02241311007</v>
      </c>
      <c r="AL109" s="1741">
        <f t="shared" ref="AL109:AN110" si="383">AK109</f>
        <v>346995.02241311007</v>
      </c>
      <c r="AM109" s="1741">
        <f t="shared" si="383"/>
        <v>346995.02241311007</v>
      </c>
      <c r="AN109" s="1741">
        <f t="shared" si="383"/>
        <v>346995.02241311007</v>
      </c>
      <c r="AO109" s="75" t="s">
        <v>1018</v>
      </c>
      <c r="BP109" s="75" t="s">
        <v>1005</v>
      </c>
      <c r="BQ109" s="479">
        <f>BQ108/CO90</f>
        <v>0.98604888110237199</v>
      </c>
      <c r="BR109" s="479">
        <f>BR108/CP90</f>
        <v>1.0100899793473206</v>
      </c>
      <c r="BS109" s="479">
        <f>BS108/CQ90</f>
        <v>1.0265942144364069</v>
      </c>
      <c r="BT109" s="479">
        <f>BT108/CR90</f>
        <v>1.0138628621875754</v>
      </c>
      <c r="BV109" s="75" t="s">
        <v>1045</v>
      </c>
      <c r="BW109" s="479">
        <f>BW108/BQ108</f>
        <v>1.0038055298633286</v>
      </c>
      <c r="BX109" s="479">
        <f>BX108/BR108</f>
        <v>0.9761121842543441</v>
      </c>
      <c r="BY109" s="479">
        <f>BY108/BS108</f>
        <v>0.99769909016684899</v>
      </c>
      <c r="BZ109" s="479">
        <f>BZ108/BT108</f>
        <v>0.99708698828908138</v>
      </c>
      <c r="CB109" s="75" t="s">
        <v>1070</v>
      </c>
      <c r="CC109" s="479">
        <f>CC108/BW108</f>
        <v>0.98950500584566281</v>
      </c>
      <c r="CD109" s="479">
        <f>CD108/BX108</f>
        <v>0.98126150402158485</v>
      </c>
      <c r="CE109" s="479">
        <f>CE108/BY108</f>
        <v>0.97698067627516494</v>
      </c>
      <c r="CF109" s="479">
        <f>CF108/BZ108</f>
        <v>0.94476936315119786</v>
      </c>
      <c r="CH109" s="75" t="s">
        <v>1100</v>
      </c>
      <c r="CI109" s="479">
        <f>CI108/CC108</f>
        <v>1.01773187157069</v>
      </c>
      <c r="CJ109" s="479">
        <f>CJ108/CD108</f>
        <v>1.0080341901486851</v>
      </c>
      <c r="CK109" s="479">
        <f>CK108/CE108</f>
        <v>0.95642692858486067</v>
      </c>
      <c r="CL109" s="479">
        <f>CL108/CF108</f>
        <v>1.0109323397367731</v>
      </c>
      <c r="CN109" s="75" t="s">
        <v>1122</v>
      </c>
      <c r="CO109" s="479">
        <f>CO108/CI108</f>
        <v>0.98711448582597594</v>
      </c>
      <c r="CP109" s="479">
        <f>CP108/CJ108</f>
        <v>0.99610564116678246</v>
      </c>
      <c r="CQ109" s="479">
        <f>CQ108/CK108</f>
        <v>1.0552245013706401</v>
      </c>
      <c r="CR109" s="479">
        <f>CR108/CL108</f>
        <v>1.0373874368206135</v>
      </c>
    </row>
    <row r="110" spans="1:102">
      <c r="A110" s="741" t="s">
        <v>223</v>
      </c>
      <c r="B110" s="796">
        <f>B103</f>
        <v>288432</v>
      </c>
      <c r="C110" s="744">
        <f>C103</f>
        <v>271161</v>
      </c>
      <c r="D110" s="744">
        <f t="shared" ref="D110:Q110" si="384">D103</f>
        <v>295557</v>
      </c>
      <c r="E110" s="744">
        <f t="shared" si="384"/>
        <v>327859</v>
      </c>
      <c r="F110" s="744">
        <f t="shared" si="384"/>
        <v>329307</v>
      </c>
      <c r="G110" s="796">
        <f t="shared" si="384"/>
        <v>356363</v>
      </c>
      <c r="H110" s="744">
        <f t="shared" si="384"/>
        <v>356363</v>
      </c>
      <c r="I110" s="744">
        <f t="shared" si="384"/>
        <v>356363</v>
      </c>
      <c r="J110" s="744">
        <f t="shared" si="384"/>
        <v>356363</v>
      </c>
      <c r="K110" s="744">
        <f t="shared" si="384"/>
        <v>356363</v>
      </c>
      <c r="L110" s="796">
        <f t="shared" si="384"/>
        <v>350663</v>
      </c>
      <c r="M110" s="744">
        <f t="shared" si="384"/>
        <v>318477</v>
      </c>
      <c r="N110" s="744">
        <f t="shared" si="384"/>
        <v>306519</v>
      </c>
      <c r="O110" s="744">
        <f t="shared" si="384"/>
        <v>412495</v>
      </c>
      <c r="P110" s="744">
        <f t="shared" si="384"/>
        <v>409635</v>
      </c>
      <c r="Q110" s="796">
        <f t="shared" si="384"/>
        <v>356363</v>
      </c>
      <c r="R110" s="744">
        <f>R102</f>
        <v>352147</v>
      </c>
      <c r="S110" s="797">
        <f>S102</f>
        <v>347931</v>
      </c>
      <c r="T110" s="797">
        <f>T102</f>
        <v>343714</v>
      </c>
      <c r="U110" s="797">
        <f>U102</f>
        <v>339498</v>
      </c>
      <c r="V110" s="744">
        <f>V102</f>
        <v>335282</v>
      </c>
      <c r="W110" s="73">
        <f t="shared" ref="W110:AF110" si="385">ROUND(V110*AS86,0)</f>
        <v>333452</v>
      </c>
      <c r="X110" s="73">
        <f t="shared" si="385"/>
        <v>337804</v>
      </c>
      <c r="Y110" s="73">
        <f t="shared" si="385"/>
        <v>340340</v>
      </c>
      <c r="Z110" s="797">
        <f t="shared" si="385"/>
        <v>344676</v>
      </c>
      <c r="AA110" s="73">
        <f t="shared" si="385"/>
        <v>349454</v>
      </c>
      <c r="AB110" s="73">
        <f t="shared" si="385"/>
        <v>348436</v>
      </c>
      <c r="AC110" s="73">
        <f t="shared" si="385"/>
        <v>329192</v>
      </c>
      <c r="AD110" s="73">
        <f t="shared" si="385"/>
        <v>332791</v>
      </c>
      <c r="AE110" s="73">
        <f t="shared" si="385"/>
        <v>345233</v>
      </c>
      <c r="AF110" s="73">
        <f t="shared" si="385"/>
        <v>354550</v>
      </c>
      <c r="AG110" s="73">
        <f>ROUND(AF110*BY128,0)</f>
        <v>328086</v>
      </c>
      <c r="AH110" s="1743">
        <f>AG110*BK85</f>
        <v>325728.84771024442</v>
      </c>
      <c r="AI110" s="1743">
        <f>AH110*BL85</f>
        <v>343965.38303314231</v>
      </c>
      <c r="AJ110" s="1743">
        <f>AI110*BM85</f>
        <v>351263.4360193609</v>
      </c>
      <c r="AK110" s="1743">
        <f>AJ110*BN85</f>
        <v>339343.19069629454</v>
      </c>
      <c r="AL110" s="1741">
        <f t="shared" si="383"/>
        <v>339343.19069629454</v>
      </c>
      <c r="AM110" s="1741">
        <f t="shared" si="383"/>
        <v>339343.19069629454</v>
      </c>
      <c r="AN110" s="1741">
        <f t="shared" si="383"/>
        <v>339343.19069629454</v>
      </c>
      <c r="AO110" s="75" t="s">
        <v>1017</v>
      </c>
      <c r="BQ110" s="75">
        <f>AVERAGE(BQ96:BQ105)</f>
        <v>297294.8</v>
      </c>
      <c r="BR110" s="75">
        <f>AVERAGE(BR96:BR105)</f>
        <v>292768.40000000002</v>
      </c>
      <c r="BS110" s="75">
        <f>AVERAGE(BS96:BS105)</f>
        <v>281537.59999999998</v>
      </c>
      <c r="BT110" s="75">
        <f>AVERAGE(BT96:BT105)</f>
        <v>273189.5</v>
      </c>
      <c r="BW110" s="75">
        <f>AVERAGE(BW96:BW105)</f>
        <v>296646.7</v>
      </c>
      <c r="BX110" s="75">
        <f>AVERAGE(BX96:BX105)</f>
        <v>287162.09999999998</v>
      </c>
      <c r="BY110" s="75">
        <f>AVERAGE(BY96:BY105)</f>
        <v>281008.8</v>
      </c>
      <c r="BZ110" s="75">
        <f>AVERAGE(BZ96:BZ105)</f>
        <v>270707.90000000002</v>
      </c>
      <c r="CC110" s="75">
        <f>AVERAGE(CC96:CC105)</f>
        <v>295717</v>
      </c>
      <c r="CD110" s="75">
        <f>AVERAGE(CD96:CD105)</f>
        <v>280445.2</v>
      </c>
      <c r="CE110" s="75">
        <f>AVERAGE(CE96:CE105)</f>
        <v>275653.59999999998</v>
      </c>
      <c r="CF110" s="75">
        <f>AVERAGE(CF96:CF105)</f>
        <v>255952.8</v>
      </c>
      <c r="CI110" s="75">
        <f>AVERAGE(CI96:CI105)</f>
        <v>298336</v>
      </c>
      <c r="CJ110" s="75">
        <f>AVERAGE(CJ96:CJ105)</f>
        <v>283832.2</v>
      </c>
      <c r="CK110" s="75">
        <f>AVERAGE(CK96:CK105)</f>
        <v>265558.3</v>
      </c>
      <c r="CL110" s="75">
        <f>AVERAGE(CL96:CL105)</f>
        <v>260253.3</v>
      </c>
      <c r="CO110" s="75">
        <f>AVERAGE(CO96:CO105)</f>
        <v>296150.90000000002</v>
      </c>
      <c r="CP110" s="75">
        <f>AVERAGE(CP96:CP105)</f>
        <v>285272.2</v>
      </c>
      <c r="CQ110" s="75">
        <f>AVERAGE(CQ96:CQ105)</f>
        <v>277683.7</v>
      </c>
      <c r="CR110" s="75">
        <f>AVERAGE(CR96:CR105)</f>
        <v>267092.09999999998</v>
      </c>
    </row>
    <row r="111" spans="1:102">
      <c r="A111" s="774" t="s">
        <v>212</v>
      </c>
      <c r="B111" s="762"/>
      <c r="C111" s="744"/>
      <c r="D111" s="744"/>
      <c r="E111" s="744"/>
      <c r="F111" s="744"/>
      <c r="G111" s="796"/>
      <c r="H111" s="744"/>
      <c r="I111" s="744"/>
      <c r="J111" s="744"/>
      <c r="K111" s="744"/>
      <c r="L111" s="796"/>
      <c r="M111" s="744"/>
      <c r="N111" s="744"/>
      <c r="O111" s="744"/>
      <c r="P111" s="744"/>
      <c r="Q111" s="795">
        <f>消費ﾃﾞｰﾀ!E9</f>
        <v>292018</v>
      </c>
      <c r="R111" s="796">
        <f>ROUND(Q111+(V111-Q111)/5,0)</f>
        <v>291407</v>
      </c>
      <c r="S111" s="797">
        <f>ROUND(Q111+(V111-Q111)/5*2,0)</f>
        <v>290795</v>
      </c>
      <c r="T111" s="797">
        <f>ROUND(Q111+(V111-Q111)/5*3,0)</f>
        <v>290184</v>
      </c>
      <c r="U111" s="73">
        <f>ROUND(Q111+(V111-Q111)/5*4,0)</f>
        <v>289572</v>
      </c>
      <c r="V111" s="1179">
        <f>消費ﾃﾞｰﾀ!F9</f>
        <v>288961</v>
      </c>
      <c r="W111" s="73" t="s">
        <v>627</v>
      </c>
      <c r="X111" s="73" t="s">
        <v>627</v>
      </c>
      <c r="Y111" s="73"/>
      <c r="Z111" s="797"/>
      <c r="AA111" s="795">
        <f>消費ﾃﾞｰﾀ!L5</f>
        <v>262611</v>
      </c>
      <c r="AB111" s="1177">
        <f>AA111/AA112</f>
        <v>0.87195194836241929</v>
      </c>
      <c r="AC111" s="73"/>
      <c r="AD111" s="73"/>
      <c r="AE111" s="73"/>
      <c r="AF111" s="73"/>
      <c r="AG111" s="73"/>
      <c r="AH111" s="1169"/>
      <c r="AI111" s="1169"/>
      <c r="AJ111" s="1169"/>
      <c r="AK111" s="1169"/>
      <c r="AL111" s="1741"/>
      <c r="AM111" s="1741"/>
      <c r="AN111" s="1741"/>
      <c r="AO111" s="75" t="s">
        <v>627</v>
      </c>
    </row>
    <row r="112" spans="1:102" ht="15" customHeight="1">
      <c r="A112" s="801" t="s">
        <v>241</v>
      </c>
      <c r="B112" s="743">
        <f>消費ﾃﾞｰﾀ!B9</f>
        <v>311895</v>
      </c>
      <c r="C112" s="795">
        <f>ROUND($B$112*C60,0)</f>
        <v>293219</v>
      </c>
      <c r="D112" s="795">
        <f>ROUND($B$112*D60,0)</f>
        <v>319599</v>
      </c>
      <c r="E112" s="795">
        <f>ROUND($G$112*E60,0)</f>
        <v>268661</v>
      </c>
      <c r="F112" s="795">
        <f>ROUND($G$112*F60,0)</f>
        <v>269847</v>
      </c>
      <c r="G112" s="795">
        <v>292018</v>
      </c>
      <c r="H112" s="795">
        <v>292018</v>
      </c>
      <c r="I112" s="795">
        <v>292018</v>
      </c>
      <c r="J112" s="795">
        <v>292018</v>
      </c>
      <c r="K112" s="795">
        <v>292018</v>
      </c>
      <c r="L112" s="795">
        <f>消費ﾃﾞｰﾀ!D9</f>
        <v>339966</v>
      </c>
      <c r="M112" s="795">
        <f>ROUND($L$112*M60,0)</f>
        <v>308762</v>
      </c>
      <c r="N112" s="795">
        <f>ROUND($L$112*N60,0)</f>
        <v>297169</v>
      </c>
      <c r="O112" s="795">
        <f>ROUND($Q$112*O60,0)</f>
        <v>338015</v>
      </c>
      <c r="P112" s="795">
        <f>ROUND($Q$112*P60,0)</f>
        <v>335671</v>
      </c>
      <c r="Q112" s="795">
        <f>消費ﾃﾞｰﾀ!E9</f>
        <v>292018</v>
      </c>
      <c r="R112" s="66">
        <f>R111</f>
        <v>291407</v>
      </c>
      <c r="S112" s="797">
        <f>S111</f>
        <v>290795</v>
      </c>
      <c r="T112" s="797">
        <f>T111</f>
        <v>290184</v>
      </c>
      <c r="U112" s="797">
        <f>U111</f>
        <v>289572</v>
      </c>
      <c r="V112" s="66">
        <f>V111</f>
        <v>288961</v>
      </c>
      <c r="W112" s="73">
        <f t="shared" ref="W112:AF112" si="386">ROUND(V112*AS86,0)</f>
        <v>287384</v>
      </c>
      <c r="X112" s="73">
        <f t="shared" si="386"/>
        <v>291135</v>
      </c>
      <c r="Y112" s="73">
        <f t="shared" si="386"/>
        <v>293321</v>
      </c>
      <c r="Z112" s="797">
        <f t="shared" si="386"/>
        <v>297058</v>
      </c>
      <c r="AA112" s="73">
        <f t="shared" si="386"/>
        <v>301176</v>
      </c>
      <c r="AB112" s="73">
        <f t="shared" si="386"/>
        <v>300299</v>
      </c>
      <c r="AC112" s="73">
        <f t="shared" si="386"/>
        <v>283713</v>
      </c>
      <c r="AD112" s="73">
        <f t="shared" si="386"/>
        <v>286815</v>
      </c>
      <c r="AE112" s="73">
        <f t="shared" si="386"/>
        <v>297538</v>
      </c>
      <c r="AF112" s="73">
        <f t="shared" si="386"/>
        <v>305568</v>
      </c>
      <c r="AG112" s="73">
        <f>ROUND(AF112*BZ128,0)</f>
        <v>289330</v>
      </c>
      <c r="AH112" s="1743">
        <f>AG112*BK86</f>
        <v>275842.66406748065</v>
      </c>
      <c r="AI112" s="1743">
        <f>AH112*BL86</f>
        <v>295253.99827459909</v>
      </c>
      <c r="AJ112" s="1743">
        <f>AI112*BM86</f>
        <v>297247.40307683835</v>
      </c>
      <c r="AK112" s="1743">
        <f>AJ112*BN86</f>
        <v>299055.94064753846</v>
      </c>
      <c r="AL112" s="1741">
        <f t="shared" ref="AL112:AN114" si="387">AK112</f>
        <v>299055.94064753846</v>
      </c>
      <c r="AM112" s="1741">
        <f t="shared" si="387"/>
        <v>299055.94064753846</v>
      </c>
      <c r="AN112" s="1741">
        <f t="shared" si="387"/>
        <v>299055.94064753846</v>
      </c>
      <c r="AO112" s="75" t="s">
        <v>1018</v>
      </c>
      <c r="BP112" s="128" t="s">
        <v>1171</v>
      </c>
      <c r="BQ112" s="130"/>
      <c r="BR112" s="130"/>
      <c r="BS112" s="130"/>
      <c r="BT112" s="130" t="s">
        <v>95</v>
      </c>
      <c r="BV112" s="128" t="s">
        <v>1546</v>
      </c>
      <c r="BW112" s="130"/>
      <c r="BX112" s="130"/>
      <c r="BY112" s="130"/>
      <c r="BZ112" s="130" t="s">
        <v>95</v>
      </c>
      <c r="CB112" s="128" t="s">
        <v>1547</v>
      </c>
      <c r="CC112" s="130"/>
      <c r="CD112" s="130"/>
      <c r="CE112" s="130"/>
      <c r="CF112" s="130" t="s">
        <v>95</v>
      </c>
      <c r="CH112" s="128" t="s">
        <v>1570</v>
      </c>
      <c r="CI112" s="130"/>
      <c r="CJ112" s="130"/>
      <c r="CK112" s="130"/>
      <c r="CL112" s="130" t="s">
        <v>95</v>
      </c>
      <c r="CN112" s="128" t="s">
        <v>1738</v>
      </c>
      <c r="CO112" s="130"/>
      <c r="CP112" s="130"/>
      <c r="CQ112" s="130"/>
      <c r="CR112" s="130" t="s">
        <v>95</v>
      </c>
      <c r="CT112" s="128" t="s">
        <v>1739</v>
      </c>
      <c r="CU112" s="130"/>
      <c r="CV112" s="130"/>
      <c r="CW112" s="130"/>
      <c r="CX112" s="130" t="s">
        <v>95</v>
      </c>
    </row>
    <row r="113" spans="1:102">
      <c r="A113" s="741" t="s">
        <v>224</v>
      </c>
      <c r="B113" s="796">
        <f>B112</f>
        <v>311895</v>
      </c>
      <c r="C113" s="744">
        <f>C112</f>
        <v>293219</v>
      </c>
      <c r="D113" s="744">
        <f t="shared" ref="D113:Q113" si="388">D112</f>
        <v>319599</v>
      </c>
      <c r="E113" s="744">
        <f t="shared" si="388"/>
        <v>268661</v>
      </c>
      <c r="F113" s="744">
        <f t="shared" si="388"/>
        <v>269847</v>
      </c>
      <c r="G113" s="796">
        <f t="shared" si="388"/>
        <v>292018</v>
      </c>
      <c r="H113" s="744">
        <f t="shared" si="388"/>
        <v>292018</v>
      </c>
      <c r="I113" s="744">
        <f t="shared" si="388"/>
        <v>292018</v>
      </c>
      <c r="J113" s="744">
        <f t="shared" si="388"/>
        <v>292018</v>
      </c>
      <c r="K113" s="744">
        <f t="shared" si="388"/>
        <v>292018</v>
      </c>
      <c r="L113" s="796">
        <f t="shared" si="388"/>
        <v>339966</v>
      </c>
      <c r="M113" s="744">
        <f t="shared" si="388"/>
        <v>308762</v>
      </c>
      <c r="N113" s="744">
        <f t="shared" si="388"/>
        <v>297169</v>
      </c>
      <c r="O113" s="744">
        <f t="shared" si="388"/>
        <v>338015</v>
      </c>
      <c r="P113" s="744">
        <f t="shared" si="388"/>
        <v>335671</v>
      </c>
      <c r="Q113" s="796">
        <f t="shared" si="388"/>
        <v>292018</v>
      </c>
      <c r="R113" s="744">
        <f>R111</f>
        <v>291407</v>
      </c>
      <c r="S113" s="797">
        <f>S111</f>
        <v>290795</v>
      </c>
      <c r="T113" s="797">
        <f>T111</f>
        <v>290184</v>
      </c>
      <c r="U113" s="797">
        <f>U111</f>
        <v>289572</v>
      </c>
      <c r="V113" s="744">
        <f>V111</f>
        <v>288961</v>
      </c>
      <c r="W113" s="73">
        <f t="shared" ref="W113:AF113" si="389">ROUND(V113*AS86,0)</f>
        <v>287384</v>
      </c>
      <c r="X113" s="73">
        <f t="shared" si="389"/>
        <v>291135</v>
      </c>
      <c r="Y113" s="73">
        <f t="shared" si="389"/>
        <v>293321</v>
      </c>
      <c r="Z113" s="797">
        <f t="shared" si="389"/>
        <v>297058</v>
      </c>
      <c r="AA113" s="73">
        <f t="shared" si="389"/>
        <v>301176</v>
      </c>
      <c r="AB113" s="73">
        <f t="shared" si="389"/>
        <v>300299</v>
      </c>
      <c r="AC113" s="73">
        <f t="shared" si="389"/>
        <v>283713</v>
      </c>
      <c r="AD113" s="73">
        <f t="shared" si="389"/>
        <v>286815</v>
      </c>
      <c r="AE113" s="73">
        <f t="shared" si="389"/>
        <v>297538</v>
      </c>
      <c r="AF113" s="73">
        <f t="shared" si="389"/>
        <v>305568</v>
      </c>
      <c r="AG113" s="73">
        <f>ROUND(AF113*BZ128,0)</f>
        <v>289330</v>
      </c>
      <c r="AH113" s="1743">
        <f>AG113*BK86</f>
        <v>275842.66406748065</v>
      </c>
      <c r="AI113" s="1743">
        <f>AH113*BL86</f>
        <v>295253.99827459909</v>
      </c>
      <c r="AJ113" s="1743">
        <f>AI113*BM86</f>
        <v>297247.40307683835</v>
      </c>
      <c r="AK113" s="1743">
        <f>AJ113*BN86</f>
        <v>299055.94064753846</v>
      </c>
      <c r="AL113" s="1741">
        <f t="shared" si="387"/>
        <v>299055.94064753846</v>
      </c>
      <c r="AM113" s="1741">
        <f t="shared" si="387"/>
        <v>299055.94064753846</v>
      </c>
      <c r="AN113" s="1741">
        <f t="shared" si="387"/>
        <v>299055.94064753846</v>
      </c>
      <c r="AO113" s="75" t="s">
        <v>1018</v>
      </c>
      <c r="BQ113" s="1181" t="s">
        <v>88</v>
      </c>
      <c r="BR113" s="1181" t="s">
        <v>89</v>
      </c>
      <c r="BS113" s="1181" t="s">
        <v>90</v>
      </c>
      <c r="BT113" s="1181" t="s">
        <v>91</v>
      </c>
      <c r="BW113" s="1181" t="s">
        <v>88</v>
      </c>
      <c r="BX113" s="1181" t="s">
        <v>89</v>
      </c>
      <c r="BY113" s="1181" t="s">
        <v>90</v>
      </c>
      <c r="BZ113" s="1181" t="s">
        <v>91</v>
      </c>
      <c r="CC113" s="1181" t="s">
        <v>88</v>
      </c>
      <c r="CD113" s="1181" t="s">
        <v>89</v>
      </c>
      <c r="CE113" s="1181" t="s">
        <v>90</v>
      </c>
      <c r="CF113" s="1181" t="s">
        <v>91</v>
      </c>
      <c r="CI113" s="1181" t="s">
        <v>88</v>
      </c>
      <c r="CJ113" s="1181" t="s">
        <v>89</v>
      </c>
      <c r="CK113" s="1181" t="s">
        <v>90</v>
      </c>
      <c r="CL113" s="1181" t="s">
        <v>91</v>
      </c>
      <c r="CO113" s="1181" t="s">
        <v>88</v>
      </c>
      <c r="CP113" s="1181" t="s">
        <v>89</v>
      </c>
      <c r="CQ113" s="1181" t="s">
        <v>90</v>
      </c>
      <c r="CR113" s="1181" t="s">
        <v>91</v>
      </c>
      <c r="CU113" s="1181" t="s">
        <v>88</v>
      </c>
      <c r="CV113" s="1181" t="s">
        <v>89</v>
      </c>
      <c r="CW113" s="1181" t="s">
        <v>90</v>
      </c>
      <c r="CX113" s="1181" t="s">
        <v>91</v>
      </c>
    </row>
    <row r="114" spans="1:102">
      <c r="A114" s="776" t="s">
        <v>225</v>
      </c>
      <c r="B114" s="778">
        <f>B112</f>
        <v>311895</v>
      </c>
      <c r="C114" s="779">
        <f>C112</f>
        <v>293219</v>
      </c>
      <c r="D114" s="779">
        <f t="shared" ref="D114:Q114" si="390">D112</f>
        <v>319599</v>
      </c>
      <c r="E114" s="779">
        <f t="shared" si="390"/>
        <v>268661</v>
      </c>
      <c r="F114" s="779">
        <f t="shared" si="390"/>
        <v>269847</v>
      </c>
      <c r="G114" s="778">
        <f t="shared" si="390"/>
        <v>292018</v>
      </c>
      <c r="H114" s="779">
        <f t="shared" si="390"/>
        <v>292018</v>
      </c>
      <c r="I114" s="779">
        <f t="shared" si="390"/>
        <v>292018</v>
      </c>
      <c r="J114" s="779">
        <f t="shared" si="390"/>
        <v>292018</v>
      </c>
      <c r="K114" s="779">
        <f t="shared" si="390"/>
        <v>292018</v>
      </c>
      <c r="L114" s="778">
        <f t="shared" si="390"/>
        <v>339966</v>
      </c>
      <c r="M114" s="779">
        <f t="shared" si="390"/>
        <v>308762</v>
      </c>
      <c r="N114" s="779">
        <f t="shared" si="390"/>
        <v>297169</v>
      </c>
      <c r="O114" s="779">
        <f t="shared" si="390"/>
        <v>338015</v>
      </c>
      <c r="P114" s="779">
        <f t="shared" si="390"/>
        <v>335671</v>
      </c>
      <c r="Q114" s="778">
        <f t="shared" si="390"/>
        <v>292018</v>
      </c>
      <c r="R114" s="779">
        <f>R111</f>
        <v>291407</v>
      </c>
      <c r="S114" s="731">
        <f>S111</f>
        <v>290795</v>
      </c>
      <c r="T114" s="731">
        <f>T111</f>
        <v>290184</v>
      </c>
      <c r="U114" s="731">
        <f>U111</f>
        <v>289572</v>
      </c>
      <c r="V114" s="779">
        <f>V111</f>
        <v>288961</v>
      </c>
      <c r="W114" s="258">
        <f t="shared" ref="W114:AF114" si="391">ROUND(V114*AS86,0)</f>
        <v>287384</v>
      </c>
      <c r="X114" s="258">
        <f t="shared" si="391"/>
        <v>291135</v>
      </c>
      <c r="Y114" s="258">
        <f t="shared" si="391"/>
        <v>293321</v>
      </c>
      <c r="Z114" s="731">
        <f t="shared" si="391"/>
        <v>297058</v>
      </c>
      <c r="AA114" s="258">
        <f t="shared" si="391"/>
        <v>301176</v>
      </c>
      <c r="AB114" s="258">
        <f t="shared" si="391"/>
        <v>300299</v>
      </c>
      <c r="AC114" s="258">
        <f t="shared" si="391"/>
        <v>283713</v>
      </c>
      <c r="AD114" s="258">
        <f t="shared" si="391"/>
        <v>286815</v>
      </c>
      <c r="AE114" s="258">
        <f t="shared" si="391"/>
        <v>297538</v>
      </c>
      <c r="AF114" s="258">
        <f t="shared" si="391"/>
        <v>305568</v>
      </c>
      <c r="AG114" s="258">
        <f>ROUND(AF114*BZ128,0)</f>
        <v>289330</v>
      </c>
      <c r="AH114" s="1744">
        <f>AG114*BK86</f>
        <v>275842.66406748065</v>
      </c>
      <c r="AI114" s="1744">
        <f>AH114*BL86</f>
        <v>295253.99827459909</v>
      </c>
      <c r="AJ114" s="1744">
        <f>AI114*BM86</f>
        <v>297247.40307683835</v>
      </c>
      <c r="AK114" s="1744">
        <f>AJ114*BN86</f>
        <v>299055.94064753846</v>
      </c>
      <c r="AL114" s="1742">
        <f t="shared" si="387"/>
        <v>299055.94064753846</v>
      </c>
      <c r="AM114" s="1742">
        <f t="shared" si="387"/>
        <v>299055.94064753846</v>
      </c>
      <c r="AN114" s="1742">
        <f t="shared" si="387"/>
        <v>299055.94064753846</v>
      </c>
      <c r="AO114" s="75" t="s">
        <v>1018</v>
      </c>
      <c r="BP114" s="132"/>
      <c r="BQ114" s="1182"/>
      <c r="BR114" s="1182"/>
      <c r="BS114" s="1182"/>
      <c r="BT114" s="1182" t="s">
        <v>92</v>
      </c>
      <c r="BV114" s="132"/>
      <c r="BW114" s="1182"/>
      <c r="BX114" s="1182"/>
      <c r="BY114" s="1182"/>
      <c r="BZ114" s="1182" t="s">
        <v>92</v>
      </c>
      <c r="CB114" s="132"/>
      <c r="CC114" s="1182"/>
      <c r="CD114" s="1182"/>
      <c r="CE114" s="1182"/>
      <c r="CF114" s="1182" t="s">
        <v>92</v>
      </c>
      <c r="CH114" s="132"/>
      <c r="CI114" s="1182"/>
      <c r="CJ114" s="1182"/>
      <c r="CK114" s="1182"/>
      <c r="CL114" s="1182" t="s">
        <v>92</v>
      </c>
      <c r="CN114" s="132"/>
      <c r="CO114" s="1182"/>
      <c r="CP114" s="1182"/>
      <c r="CQ114" s="1182"/>
      <c r="CR114" s="1182" t="s">
        <v>92</v>
      </c>
      <c r="CT114" s="132"/>
      <c r="CU114" s="1182"/>
      <c r="CV114" s="1182"/>
      <c r="CW114" s="1182"/>
      <c r="CX114" s="1182" t="s">
        <v>92</v>
      </c>
    </row>
    <row r="115" spans="1:102">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t="s">
        <v>627</v>
      </c>
      <c r="AB115" s="73"/>
      <c r="AC115" s="73"/>
      <c r="AD115" s="73"/>
      <c r="AE115" s="73"/>
      <c r="AF115" s="73"/>
      <c r="AG115" s="73"/>
      <c r="AH115" s="73"/>
      <c r="AI115" s="73"/>
      <c r="BP115" s="75">
        <v>1</v>
      </c>
      <c r="BQ115" s="76">
        <v>305856</v>
      </c>
      <c r="BR115" s="76">
        <v>299655</v>
      </c>
      <c r="BS115" s="76">
        <v>289318</v>
      </c>
      <c r="BT115" s="76">
        <v>282966</v>
      </c>
      <c r="BV115" s="75">
        <v>1</v>
      </c>
      <c r="BW115" s="76">
        <v>290171</v>
      </c>
      <c r="BX115" s="76">
        <v>291092</v>
      </c>
      <c r="BY115" s="76">
        <v>283843</v>
      </c>
      <c r="BZ115" s="76">
        <v>278958</v>
      </c>
      <c r="CB115" s="75">
        <v>1</v>
      </c>
      <c r="CC115" s="76">
        <v>278815</v>
      </c>
      <c r="CD115" s="76">
        <v>275111</v>
      </c>
      <c r="CE115" s="76">
        <v>257002</v>
      </c>
      <c r="CF115" s="76">
        <v>249924</v>
      </c>
      <c r="CH115" s="75">
        <v>1</v>
      </c>
      <c r="CI115" s="76">
        <v>296423</v>
      </c>
      <c r="CJ115" s="76">
        <v>286569</v>
      </c>
      <c r="CK115" s="76">
        <v>282653</v>
      </c>
      <c r="CL115" s="76">
        <v>282579</v>
      </c>
      <c r="CN115" s="75">
        <v>1</v>
      </c>
      <c r="CO115" s="76">
        <v>314690</v>
      </c>
      <c r="CP115" s="76">
        <v>307243</v>
      </c>
      <c r="CQ115" s="76">
        <v>288748</v>
      </c>
      <c r="CR115" s="76">
        <v>285426</v>
      </c>
      <c r="CT115" s="75">
        <v>1</v>
      </c>
      <c r="CU115" s="76">
        <v>317508</v>
      </c>
      <c r="CV115" s="76">
        <v>291565</v>
      </c>
      <c r="CW115" s="76">
        <v>272146</v>
      </c>
      <c r="CX115" s="76">
        <v>259215</v>
      </c>
    </row>
    <row r="116" spans="1:102">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BP116" s="75">
        <v>2</v>
      </c>
      <c r="BQ116" s="76">
        <v>280092</v>
      </c>
      <c r="BR116" s="76">
        <v>275680</v>
      </c>
      <c r="BS116" s="76">
        <v>263863</v>
      </c>
      <c r="BT116" s="76">
        <v>257659</v>
      </c>
      <c r="BV116" s="75">
        <v>2</v>
      </c>
      <c r="BW116" s="76">
        <v>278032</v>
      </c>
      <c r="BX116" s="76">
        <v>275429</v>
      </c>
      <c r="BY116" s="76">
        <v>265919</v>
      </c>
      <c r="BZ116" s="76">
        <v>261863</v>
      </c>
      <c r="CB116" s="75">
        <v>2</v>
      </c>
      <c r="CC116" s="76">
        <v>271648</v>
      </c>
      <c r="CD116" s="76">
        <v>252468</v>
      </c>
      <c r="CE116" s="76">
        <v>245676</v>
      </c>
      <c r="CF116" s="76">
        <v>228047</v>
      </c>
      <c r="CH116" s="75">
        <v>2</v>
      </c>
      <c r="CI116" s="76">
        <v>260694</v>
      </c>
      <c r="CJ116" s="76">
        <v>257545</v>
      </c>
      <c r="CK116" s="76">
        <v>254202</v>
      </c>
      <c r="CL116" s="76">
        <v>259272</v>
      </c>
      <c r="CN116" s="75">
        <v>2</v>
      </c>
      <c r="CO116" s="76">
        <v>283215</v>
      </c>
      <c r="CP116" s="76">
        <v>277088</v>
      </c>
      <c r="CQ116" s="76">
        <v>270558</v>
      </c>
      <c r="CR116" s="76">
        <v>245131</v>
      </c>
      <c r="CT116" s="75">
        <v>2</v>
      </c>
      <c r="CU116" s="76">
        <v>305012</v>
      </c>
      <c r="CV116" s="76">
        <v>284967</v>
      </c>
      <c r="CW116" s="76">
        <v>261290</v>
      </c>
      <c r="CX116" s="76">
        <v>250908</v>
      </c>
    </row>
    <row r="117" spans="1:102">
      <c r="A117" s="72" t="s">
        <v>674</v>
      </c>
      <c r="B117" s="72"/>
      <c r="C117" s="73"/>
      <c r="D117" s="73"/>
      <c r="E117" s="73"/>
      <c r="F117" s="73"/>
      <c r="G117" s="73"/>
      <c r="H117" s="72"/>
      <c r="I117" s="72"/>
      <c r="J117" s="72"/>
      <c r="K117" s="72"/>
      <c r="L117" s="73"/>
      <c r="M117" s="744" t="s">
        <v>347</v>
      </c>
      <c r="N117" s="744" t="s">
        <v>347</v>
      </c>
      <c r="O117" s="744" t="s">
        <v>347</v>
      </c>
      <c r="P117" s="744" t="s">
        <v>347</v>
      </c>
      <c r="Q117" s="73" t="s">
        <v>347</v>
      </c>
      <c r="R117" s="73"/>
      <c r="S117" s="73" t="s">
        <v>347</v>
      </c>
      <c r="T117" s="73"/>
      <c r="U117" s="73"/>
      <c r="V117" s="73"/>
      <c r="W117" s="73"/>
      <c r="X117" s="73"/>
      <c r="Y117" s="73"/>
      <c r="Z117" s="73"/>
      <c r="AA117" s="73"/>
      <c r="AB117" s="73"/>
      <c r="AC117" s="73"/>
      <c r="AD117" s="73"/>
      <c r="AE117" s="73"/>
      <c r="AF117" s="73"/>
      <c r="AG117" s="73"/>
      <c r="AH117" s="73"/>
      <c r="AI117" s="73"/>
      <c r="AJ117" s="75" t="s">
        <v>11</v>
      </c>
      <c r="AK117" s="75" t="s">
        <v>948</v>
      </c>
      <c r="AL117" s="75" t="s">
        <v>14</v>
      </c>
      <c r="AM117" s="75" t="s">
        <v>14</v>
      </c>
      <c r="AN117" s="75" t="s">
        <v>14</v>
      </c>
      <c r="BP117" s="75">
        <v>3</v>
      </c>
      <c r="BQ117" s="76">
        <v>313757</v>
      </c>
      <c r="BR117" s="76">
        <v>320418</v>
      </c>
      <c r="BS117" s="76">
        <v>308817</v>
      </c>
      <c r="BT117" s="76">
        <v>278814</v>
      </c>
      <c r="BV117" s="75">
        <v>3</v>
      </c>
      <c r="BW117" s="76">
        <v>299375</v>
      </c>
      <c r="BX117" s="76">
        <v>286427</v>
      </c>
      <c r="BY117" s="76">
        <v>290863</v>
      </c>
      <c r="BZ117" s="76">
        <v>292959</v>
      </c>
      <c r="CB117" s="75">
        <v>3</v>
      </c>
      <c r="CC117" s="76">
        <v>319666</v>
      </c>
      <c r="CD117" s="76">
        <v>318340</v>
      </c>
      <c r="CE117" s="76">
        <v>294867</v>
      </c>
      <c r="CF117" s="76">
        <v>298274</v>
      </c>
      <c r="CH117" s="75">
        <v>3</v>
      </c>
      <c r="CI117" s="76">
        <v>314185</v>
      </c>
      <c r="CJ117" s="76">
        <v>310059</v>
      </c>
      <c r="CK117" s="76">
        <v>314329</v>
      </c>
      <c r="CL117" s="76">
        <v>277806</v>
      </c>
      <c r="CN117" s="75">
        <v>3</v>
      </c>
      <c r="CO117" s="76">
        <v>321028</v>
      </c>
      <c r="CP117" s="76">
        <v>319362</v>
      </c>
      <c r="CQ117" s="76">
        <v>310346</v>
      </c>
      <c r="CR117" s="76">
        <v>287917</v>
      </c>
      <c r="CT117" s="75">
        <v>3</v>
      </c>
      <c r="CU117" s="76">
        <v>350556</v>
      </c>
      <c r="CV117" s="76">
        <v>326145</v>
      </c>
      <c r="CW117" s="76">
        <v>287157</v>
      </c>
      <c r="CX117" s="76">
        <v>292272</v>
      </c>
    </row>
    <row r="118" spans="1:102">
      <c r="A118" s="745"/>
      <c r="B118" s="746"/>
      <c r="C118" s="747" t="s">
        <v>622</v>
      </c>
      <c r="D118" s="748" t="s">
        <v>623</v>
      </c>
      <c r="E118" s="748" t="s">
        <v>624</v>
      </c>
      <c r="F118" s="748" t="s">
        <v>625</v>
      </c>
      <c r="G118" s="748" t="s">
        <v>626</v>
      </c>
      <c r="H118" s="749" t="s">
        <v>610</v>
      </c>
      <c r="I118" s="750" t="s">
        <v>611</v>
      </c>
      <c r="J118" s="748" t="s">
        <v>612</v>
      </c>
      <c r="K118" s="748" t="s">
        <v>613</v>
      </c>
      <c r="L118" s="748" t="s">
        <v>614</v>
      </c>
      <c r="M118" s="747" t="s">
        <v>615</v>
      </c>
      <c r="N118" s="748" t="s">
        <v>616</v>
      </c>
      <c r="O118" s="748" t="s">
        <v>617</v>
      </c>
      <c r="P118" s="748" t="s">
        <v>618</v>
      </c>
      <c r="Q118" s="748" t="s">
        <v>619</v>
      </c>
      <c r="R118" s="747" t="s">
        <v>460</v>
      </c>
      <c r="S118" s="748" t="s">
        <v>459</v>
      </c>
      <c r="T118" s="748" t="s">
        <v>456</v>
      </c>
      <c r="U118" s="748" t="s">
        <v>750</v>
      </c>
      <c r="V118" s="748" t="s">
        <v>856</v>
      </c>
      <c r="W118" s="748" t="s">
        <v>911</v>
      </c>
      <c r="X118" s="748" t="s">
        <v>96</v>
      </c>
      <c r="Y118" s="748" t="s">
        <v>118</v>
      </c>
      <c r="Z118" s="748" t="s">
        <v>119</v>
      </c>
      <c r="AA118" s="748" t="s">
        <v>67</v>
      </c>
      <c r="AB118" s="1166" t="s">
        <v>157</v>
      </c>
      <c r="AC118" s="1166" t="s">
        <v>1000</v>
      </c>
      <c r="AD118" s="1166" t="s">
        <v>1036</v>
      </c>
      <c r="AE118" s="1166" t="s">
        <v>1062</v>
      </c>
      <c r="AF118" s="1166" t="s">
        <v>1086</v>
      </c>
      <c r="AG118" s="1166" t="s">
        <v>1129</v>
      </c>
      <c r="AH118" s="1166" t="s">
        <v>1160</v>
      </c>
      <c r="AI118" s="1166" t="s">
        <v>1200</v>
      </c>
      <c r="AJ118" s="130" t="s">
        <v>1234</v>
      </c>
      <c r="AK118" s="130" t="s">
        <v>1561</v>
      </c>
      <c r="AL118" s="130" t="s">
        <v>1603</v>
      </c>
      <c r="AM118" s="130" t="s">
        <v>1745</v>
      </c>
      <c r="AN118" s="130" t="s">
        <v>1783</v>
      </c>
      <c r="BP118" s="75">
        <v>4</v>
      </c>
      <c r="BQ118" s="76">
        <v>302026</v>
      </c>
      <c r="BR118" s="76">
        <v>301746</v>
      </c>
      <c r="BS118" s="76">
        <v>304817</v>
      </c>
      <c r="BT118" s="76">
        <v>292366</v>
      </c>
      <c r="BV118" s="75">
        <v>4</v>
      </c>
      <c r="BW118" s="76">
        <v>280232</v>
      </c>
      <c r="BX118" s="76">
        <v>262241</v>
      </c>
      <c r="BY118" s="76">
        <v>261191</v>
      </c>
      <c r="BZ118" s="76">
        <v>267629</v>
      </c>
      <c r="CB118" s="75">
        <v>4</v>
      </c>
      <c r="CC118" s="76">
        <v>323129</v>
      </c>
      <c r="CD118" s="76">
        <v>310698</v>
      </c>
      <c r="CE118" s="76">
        <v>292816</v>
      </c>
      <c r="CF118" s="76">
        <v>254718</v>
      </c>
      <c r="CH118" s="75">
        <v>4</v>
      </c>
      <c r="CI118" s="76">
        <v>314799</v>
      </c>
      <c r="CJ118" s="76">
        <v>313988</v>
      </c>
      <c r="CK118" s="76">
        <v>299804</v>
      </c>
      <c r="CL118" s="76">
        <v>274092</v>
      </c>
      <c r="CN118" s="75">
        <v>4</v>
      </c>
      <c r="CO118" s="76">
        <v>330096</v>
      </c>
      <c r="CP118" s="76">
        <v>299105</v>
      </c>
      <c r="CQ118" s="76">
        <v>290935</v>
      </c>
      <c r="CR118" s="76">
        <v>280195</v>
      </c>
      <c r="CT118" s="75">
        <v>4</v>
      </c>
      <c r="CU118" s="76">
        <v>343569</v>
      </c>
      <c r="CV118" s="76">
        <v>319107</v>
      </c>
      <c r="CW118" s="76">
        <v>290050</v>
      </c>
      <c r="CX118" s="76">
        <v>280617</v>
      </c>
    </row>
    <row r="119" spans="1:102">
      <c r="A119" s="751"/>
      <c r="B119" s="752"/>
      <c r="C119" s="753" t="s">
        <v>347</v>
      </c>
      <c r="D119" s="751"/>
      <c r="E119" s="751"/>
      <c r="F119" s="751"/>
      <c r="G119" s="751"/>
      <c r="H119" s="754"/>
      <c r="I119" s="258"/>
      <c r="J119" s="258"/>
      <c r="K119" s="258"/>
      <c r="L119" s="258"/>
      <c r="M119" s="754"/>
      <c r="N119" s="258"/>
      <c r="O119" s="258"/>
      <c r="P119" s="258"/>
      <c r="Q119" s="258"/>
      <c r="R119" s="754"/>
      <c r="S119" s="258"/>
      <c r="T119" s="258"/>
      <c r="U119" s="258"/>
      <c r="V119" s="258"/>
      <c r="W119" s="258"/>
      <c r="X119" s="258"/>
      <c r="Y119" s="258"/>
      <c r="Z119" s="258"/>
      <c r="AA119" s="258"/>
      <c r="AB119" s="258" t="s">
        <v>997</v>
      </c>
      <c r="AC119" s="258"/>
      <c r="AD119" s="258"/>
      <c r="AE119" s="258"/>
      <c r="AF119" s="258"/>
      <c r="AG119" s="258"/>
      <c r="AH119" s="258"/>
      <c r="AI119" s="258"/>
      <c r="AJ119" s="132"/>
      <c r="AK119" s="132"/>
      <c r="AL119" s="132"/>
      <c r="AM119" s="132"/>
      <c r="AN119" s="132"/>
      <c r="BP119" s="75">
        <v>5</v>
      </c>
      <c r="BQ119" s="76">
        <v>314726</v>
      </c>
      <c r="BR119" s="76">
        <v>296765</v>
      </c>
      <c r="BS119" s="76">
        <v>302110</v>
      </c>
      <c r="BT119" s="76">
        <v>281911</v>
      </c>
      <c r="BV119" s="75">
        <v>5</v>
      </c>
      <c r="BW119" s="76">
        <v>261752</v>
      </c>
      <c r="BX119" s="76">
        <v>245095</v>
      </c>
      <c r="BY119" s="76">
        <v>247232</v>
      </c>
      <c r="BZ119" s="76">
        <v>255844</v>
      </c>
      <c r="CB119" s="75">
        <v>5</v>
      </c>
      <c r="CC119" s="76">
        <v>288831</v>
      </c>
      <c r="CD119" s="76">
        <v>299082</v>
      </c>
      <c r="CE119" s="76">
        <v>268969</v>
      </c>
      <c r="CF119" s="76">
        <v>249648</v>
      </c>
      <c r="CH119" s="75">
        <v>5</v>
      </c>
      <c r="CI119" s="76">
        <v>297360</v>
      </c>
      <c r="CJ119" s="76">
        <v>305444</v>
      </c>
      <c r="CK119" s="76">
        <v>275713</v>
      </c>
      <c r="CL119" s="76">
        <v>253322</v>
      </c>
      <c r="CN119" s="75">
        <v>5</v>
      </c>
      <c r="CO119" s="76">
        <v>299226</v>
      </c>
      <c r="CP119" s="76">
        <v>282874</v>
      </c>
      <c r="CQ119" s="76">
        <v>279681</v>
      </c>
      <c r="CR119" s="76">
        <v>280567</v>
      </c>
      <c r="CT119" s="75">
        <v>5</v>
      </c>
      <c r="CU119" s="76">
        <v>317562</v>
      </c>
      <c r="CV119" s="76">
        <v>292170</v>
      </c>
      <c r="CW119" s="76">
        <v>274049</v>
      </c>
      <c r="CX119" s="76">
        <v>260928</v>
      </c>
    </row>
    <row r="120" spans="1:102">
      <c r="A120" s="760" t="s">
        <v>166</v>
      </c>
      <c r="B120" s="761"/>
      <c r="C120" s="762">
        <f>世帯数!I7</f>
        <v>1791672</v>
      </c>
      <c r="D120" s="742">
        <f>世帯数!J7</f>
        <v>1825580</v>
      </c>
      <c r="E120" s="742">
        <f>世帯数!K7</f>
        <v>1858584</v>
      </c>
      <c r="F120" s="742">
        <f>世帯数!L7</f>
        <v>1890296</v>
      </c>
      <c r="G120" s="742">
        <f>世帯数!M7</f>
        <v>1921633</v>
      </c>
      <c r="H120" s="762">
        <f>世帯数!N7</f>
        <v>1871922</v>
      </c>
      <c r="I120" s="742">
        <f>世帯数!O7</f>
        <v>1898632</v>
      </c>
      <c r="J120" s="742">
        <f>世帯数!P7</f>
        <v>1934722</v>
      </c>
      <c r="K120" s="742">
        <f>世帯数!Q7</f>
        <v>1972565</v>
      </c>
      <c r="L120" s="742">
        <f>世帯数!R7</f>
        <v>1983728</v>
      </c>
      <c r="M120" s="762">
        <f>世帯数!S7</f>
        <v>2041696</v>
      </c>
      <c r="N120" s="742">
        <f>世帯数!T7</f>
        <v>2073072</v>
      </c>
      <c r="O120" s="742">
        <f>世帯数!U7</f>
        <v>2100565</v>
      </c>
      <c r="P120" s="742">
        <f>世帯数!V7</f>
        <v>2126404</v>
      </c>
      <c r="Q120" s="742">
        <f>世帯数!W7</f>
        <v>2150303</v>
      </c>
      <c r="R120" s="762">
        <f>世帯数!X7</f>
        <v>2175239</v>
      </c>
      <c r="S120" s="742">
        <f>世帯数!Z7</f>
        <v>2177405</v>
      </c>
      <c r="T120" s="742">
        <f>世帯数!AA7</f>
        <v>2203303</v>
      </c>
      <c r="U120" s="742">
        <f>世帯数!AB7</f>
        <v>2231209</v>
      </c>
      <c r="V120" s="742">
        <f>世帯数!AC7</f>
        <v>2258048</v>
      </c>
      <c r="W120" s="730">
        <f>世帯数!AD7</f>
        <v>2255318</v>
      </c>
      <c r="X120" s="730">
        <f>世帯数!AE7</f>
        <v>2272618</v>
      </c>
      <c r="Y120" s="730">
        <f>世帯数!AF7</f>
        <v>2273985</v>
      </c>
      <c r="Z120" s="730">
        <f>世帯数!AG7</f>
        <v>2288479</v>
      </c>
      <c r="AA120" s="730">
        <f>世帯数!AH7</f>
        <v>2301120</v>
      </c>
      <c r="AB120" s="730">
        <f>世帯数!AI7</f>
        <v>2315200</v>
      </c>
      <c r="AC120" s="730">
        <f>世帯数!AJ7</f>
        <v>2333859</v>
      </c>
      <c r="AD120" s="730">
        <f>世帯数!AK7</f>
        <v>2350448</v>
      </c>
      <c r="AE120" s="730">
        <f>世帯数!AL7</f>
        <v>2366441</v>
      </c>
      <c r="AF120" s="730">
        <f>世帯数!AM7</f>
        <v>2385314</v>
      </c>
      <c r="AG120" s="730">
        <f>世帯数!AN7</f>
        <v>2402484</v>
      </c>
      <c r="AH120" s="730">
        <f>世帯数!AO7</f>
        <v>2413953</v>
      </c>
      <c r="AI120" s="730">
        <f>世帯数!AP7</f>
        <v>2430402</v>
      </c>
      <c r="AJ120" s="730">
        <f>世帯数!AQ7</f>
        <v>2443174</v>
      </c>
      <c r="AK120" s="730">
        <f>世帯数!AR7</f>
        <v>2459517</v>
      </c>
      <c r="AL120" s="730">
        <f>世帯数!AS7</f>
        <v>2475794</v>
      </c>
      <c r="AM120" s="730">
        <f>世帯数!AT7</f>
        <v>2524151</v>
      </c>
      <c r="AN120" s="730">
        <f>世帯数!AU7</f>
        <v>2572508</v>
      </c>
      <c r="BP120" s="75">
        <v>6</v>
      </c>
      <c r="BQ120" s="76">
        <v>287920</v>
      </c>
      <c r="BR120" s="76">
        <v>288280</v>
      </c>
      <c r="BS120" s="76">
        <v>262233</v>
      </c>
      <c r="BT120" s="76">
        <v>256536</v>
      </c>
      <c r="BV120" s="75">
        <v>6</v>
      </c>
      <c r="BW120" s="76">
        <v>286423</v>
      </c>
      <c r="BX120" s="76">
        <v>275415</v>
      </c>
      <c r="BY120" s="76">
        <v>265483</v>
      </c>
      <c r="BZ120" s="76">
        <v>260052</v>
      </c>
      <c r="CB120" s="75">
        <v>6</v>
      </c>
      <c r="CC120" s="76">
        <v>272327</v>
      </c>
      <c r="CD120" s="76">
        <v>266062</v>
      </c>
      <c r="CE120" s="76">
        <v>251478</v>
      </c>
      <c r="CF120" s="76">
        <v>240603</v>
      </c>
      <c r="CH120" s="75">
        <v>6</v>
      </c>
      <c r="CI120" s="76">
        <v>280705</v>
      </c>
      <c r="CJ120" s="76">
        <v>295745</v>
      </c>
      <c r="CK120" s="76">
        <v>263878</v>
      </c>
      <c r="CL120" s="76">
        <v>252518</v>
      </c>
      <c r="CN120" s="75">
        <v>6</v>
      </c>
      <c r="CO120" s="76">
        <v>287881</v>
      </c>
      <c r="CP120" s="76">
        <v>274464</v>
      </c>
      <c r="CQ120" s="76">
        <v>279583</v>
      </c>
      <c r="CR120" s="76">
        <v>249701</v>
      </c>
      <c r="CT120" s="75">
        <v>6</v>
      </c>
      <c r="CU120" s="76">
        <v>291592</v>
      </c>
      <c r="CV120" s="76">
        <v>289783</v>
      </c>
      <c r="CW120" s="76">
        <v>260699</v>
      </c>
      <c r="CX120" s="76">
        <v>273405</v>
      </c>
    </row>
    <row r="121" spans="1:102">
      <c r="A121" s="760" t="s">
        <v>172</v>
      </c>
      <c r="B121" s="761"/>
      <c r="C121" s="762">
        <f>世帯数!I8</f>
        <v>539151</v>
      </c>
      <c r="D121" s="742">
        <f>世帯数!J8</f>
        <v>549086</v>
      </c>
      <c r="E121" s="742">
        <f>世帯数!K8</f>
        <v>559421</v>
      </c>
      <c r="F121" s="742">
        <f>世帯数!L8</f>
        <v>569206</v>
      </c>
      <c r="G121" s="742">
        <f>世帯数!M8</f>
        <v>578634</v>
      </c>
      <c r="H121" s="762">
        <f>世帯数!N8</f>
        <v>536508</v>
      </c>
      <c r="I121" s="742">
        <f>世帯数!O8</f>
        <v>541046</v>
      </c>
      <c r="J121" s="742">
        <f>世帯数!P8</f>
        <v>551798</v>
      </c>
      <c r="K121" s="742">
        <f>世帯数!Q8</f>
        <v>563374</v>
      </c>
      <c r="L121" s="742">
        <f>世帯数!R8</f>
        <v>574709</v>
      </c>
      <c r="M121" s="762">
        <f>世帯数!S8</f>
        <v>606162</v>
      </c>
      <c r="N121" s="742">
        <f>世帯数!T8</f>
        <v>618243</v>
      </c>
      <c r="O121" s="742">
        <f>世帯数!U8</f>
        <v>628280</v>
      </c>
      <c r="P121" s="742">
        <f>世帯数!V8</f>
        <v>637006</v>
      </c>
      <c r="Q121" s="742">
        <f>世帯数!W8</f>
        <v>644374</v>
      </c>
      <c r="R121" s="762">
        <f>世帯数!X8</f>
        <v>652341</v>
      </c>
      <c r="S121" s="742">
        <f>世帯数!Z8</f>
        <v>651992</v>
      </c>
      <c r="T121" s="742">
        <f>世帯数!AA8</f>
        <v>659078</v>
      </c>
      <c r="U121" s="742">
        <f>世帯数!AB8</f>
        <v>667425</v>
      </c>
      <c r="V121" s="742">
        <f>世帯数!AC8</f>
        <v>676547</v>
      </c>
      <c r="W121" s="730">
        <f>世帯数!AD8</f>
        <v>684183</v>
      </c>
      <c r="X121" s="730">
        <f>世帯数!AE8</f>
        <v>690715</v>
      </c>
      <c r="Y121" s="730">
        <f>世帯数!AF8</f>
        <v>688588</v>
      </c>
      <c r="Z121" s="730">
        <f>世帯数!AG8</f>
        <v>694196</v>
      </c>
      <c r="AA121" s="730">
        <f>世帯数!AH8</f>
        <v>699713</v>
      </c>
      <c r="AB121" s="730">
        <f>世帯数!AI8</f>
        <v>705459</v>
      </c>
      <c r="AC121" s="730">
        <f>世帯数!AJ8</f>
        <v>712553</v>
      </c>
      <c r="AD121" s="730">
        <f>世帯数!AK8</f>
        <v>718183</v>
      </c>
      <c r="AE121" s="730">
        <f>世帯数!AL8</f>
        <v>723705</v>
      </c>
      <c r="AF121" s="730">
        <f>世帯数!AM8</f>
        <v>729466</v>
      </c>
      <c r="AG121" s="730">
        <f>世帯数!AN8</f>
        <v>734920</v>
      </c>
      <c r="AH121" s="730">
        <f>世帯数!AO8</f>
        <v>738314</v>
      </c>
      <c r="AI121" s="730">
        <f>世帯数!AP8</f>
        <v>743089</v>
      </c>
      <c r="AJ121" s="730">
        <f>世帯数!AQ8</f>
        <v>745656</v>
      </c>
      <c r="AK121" s="730">
        <f>世帯数!AR8</f>
        <v>750913</v>
      </c>
      <c r="AL121" s="730">
        <f>世帯数!AS8</f>
        <v>756115</v>
      </c>
      <c r="AM121" s="730">
        <f>世帯数!AT8</f>
        <v>769705</v>
      </c>
      <c r="AN121" s="730">
        <f>世帯数!AU8</f>
        <v>783295</v>
      </c>
      <c r="BP121" s="75">
        <v>7</v>
      </c>
      <c r="BQ121" s="76">
        <v>298622</v>
      </c>
      <c r="BR121" s="76">
        <v>280752</v>
      </c>
      <c r="BS121" s="76">
        <v>290873</v>
      </c>
      <c r="BT121" s="76">
        <v>278740</v>
      </c>
      <c r="BV121" s="75">
        <v>7</v>
      </c>
      <c r="BW121" s="76">
        <v>296798</v>
      </c>
      <c r="BX121" s="76">
        <v>261689</v>
      </c>
      <c r="BY121" s="76">
        <v>255313</v>
      </c>
      <c r="BZ121" s="76">
        <v>241164</v>
      </c>
      <c r="CB121" s="75">
        <v>7</v>
      </c>
      <c r="CC121" s="76">
        <v>287012</v>
      </c>
      <c r="CD121" s="76">
        <v>279647</v>
      </c>
      <c r="CE121" s="76">
        <v>252091</v>
      </c>
      <c r="CF121" s="76">
        <v>232658</v>
      </c>
      <c r="CH121" s="75">
        <v>7</v>
      </c>
      <c r="CI121" s="76">
        <v>291187</v>
      </c>
      <c r="CJ121" s="76">
        <v>295431</v>
      </c>
      <c r="CK121" s="76">
        <v>271903</v>
      </c>
      <c r="CL121" s="76">
        <v>275435</v>
      </c>
      <c r="CN121" s="75">
        <v>7</v>
      </c>
      <c r="CO121" s="76">
        <v>303556</v>
      </c>
      <c r="CP121" s="76">
        <v>274494</v>
      </c>
      <c r="CQ121" s="76">
        <v>282215</v>
      </c>
      <c r="CR121" s="76">
        <v>256126</v>
      </c>
      <c r="CT121" s="75">
        <v>7</v>
      </c>
      <c r="CU121" s="76">
        <v>314755</v>
      </c>
      <c r="CV121" s="76">
        <v>293341</v>
      </c>
      <c r="CW121" s="76">
        <v>276085</v>
      </c>
      <c r="CX121" s="76">
        <v>264454</v>
      </c>
    </row>
    <row r="122" spans="1:102">
      <c r="A122" s="763" t="s">
        <v>182</v>
      </c>
      <c r="B122" s="764"/>
      <c r="C122" s="762">
        <f>世帯数!I18</f>
        <v>376224</v>
      </c>
      <c r="D122" s="742">
        <f>世帯数!J18</f>
        <v>380596</v>
      </c>
      <c r="E122" s="742">
        <f>世帯数!K18</f>
        <v>384755</v>
      </c>
      <c r="F122" s="742">
        <f>世帯数!L18</f>
        <v>388229</v>
      </c>
      <c r="G122" s="742">
        <f>世帯数!M18</f>
        <v>390687</v>
      </c>
      <c r="H122" s="762">
        <f>世帯数!N18</f>
        <v>370859</v>
      </c>
      <c r="I122" s="742">
        <f>世帯数!O18</f>
        <v>373255</v>
      </c>
      <c r="J122" s="742">
        <f>世帯数!P18</f>
        <v>379645</v>
      </c>
      <c r="K122" s="742">
        <f>世帯数!Q18</f>
        <v>388134</v>
      </c>
      <c r="L122" s="742">
        <f>世帯数!R18</f>
        <v>383634</v>
      </c>
      <c r="M122" s="762">
        <f>世帯数!S18</f>
        <v>403187</v>
      </c>
      <c r="N122" s="742">
        <f>世帯数!T18</f>
        <v>410016</v>
      </c>
      <c r="O122" s="742">
        <f>世帯数!U18</f>
        <v>415971</v>
      </c>
      <c r="P122" s="742">
        <f>世帯数!V18</f>
        <v>421978</v>
      </c>
      <c r="Q122" s="742">
        <f>世帯数!W18</f>
        <v>426482</v>
      </c>
      <c r="R122" s="762">
        <f>世帯数!X18</f>
        <v>431537</v>
      </c>
      <c r="S122" s="742">
        <f>世帯数!Z18</f>
        <v>436536</v>
      </c>
      <c r="T122" s="742">
        <f>世帯数!AA18</f>
        <v>442308</v>
      </c>
      <c r="U122" s="742">
        <f>世帯数!AB18</f>
        <v>448208</v>
      </c>
      <c r="V122" s="742">
        <f>世帯数!AC18</f>
        <v>452794</v>
      </c>
      <c r="W122" s="730">
        <f>世帯数!AD18</f>
        <v>451744</v>
      </c>
      <c r="X122" s="730">
        <f>世帯数!AE18</f>
        <v>454345</v>
      </c>
      <c r="Y122" s="730">
        <f>世帯数!AF18</f>
        <v>455457</v>
      </c>
      <c r="Z122" s="730">
        <f>世帯数!AG18</f>
        <v>458466</v>
      </c>
      <c r="AA122" s="730">
        <f>世帯数!AH18</f>
        <v>460676</v>
      </c>
      <c r="AB122" s="730">
        <f>世帯数!AI18</f>
        <v>463279</v>
      </c>
      <c r="AC122" s="730">
        <f>世帯数!AJ18</f>
        <v>466435</v>
      </c>
      <c r="AD122" s="730">
        <f>世帯数!AK18</f>
        <v>469242</v>
      </c>
      <c r="AE122" s="730">
        <f>世帯数!AL18</f>
        <v>472482</v>
      </c>
      <c r="AF122" s="730">
        <f>世帯数!AM18</f>
        <v>475942</v>
      </c>
      <c r="AG122" s="730">
        <f>世帯数!AN18</f>
        <v>479577</v>
      </c>
      <c r="AH122" s="730">
        <f>世帯数!AO18</f>
        <v>482126</v>
      </c>
      <c r="AI122" s="730">
        <f>世帯数!AP18</f>
        <v>485609</v>
      </c>
      <c r="AJ122" s="730">
        <f>世帯数!AQ18</f>
        <v>489017</v>
      </c>
      <c r="AK122" s="730">
        <f>世帯数!AR18</f>
        <v>493037</v>
      </c>
      <c r="AL122" s="730">
        <f>世帯数!AS18</f>
        <v>497333</v>
      </c>
      <c r="AM122" s="730">
        <f>世帯数!AT18</f>
        <v>510302</v>
      </c>
      <c r="AN122" s="730">
        <f>世帯数!AU18</f>
        <v>523271</v>
      </c>
      <c r="BP122" s="75">
        <v>8</v>
      </c>
      <c r="BQ122" s="76">
        <v>309798</v>
      </c>
      <c r="BR122" s="76">
        <v>292164</v>
      </c>
      <c r="BS122" s="76">
        <v>287437</v>
      </c>
      <c r="BT122" s="76">
        <v>294162</v>
      </c>
      <c r="BV122" s="75">
        <v>8</v>
      </c>
      <c r="BW122" s="76">
        <v>294580</v>
      </c>
      <c r="BX122" s="76">
        <v>281661</v>
      </c>
      <c r="BY122" s="76">
        <v>267240</v>
      </c>
      <c r="BZ122" s="76">
        <v>246549</v>
      </c>
      <c r="CB122" s="75">
        <v>8</v>
      </c>
      <c r="CC122" s="76">
        <v>272673</v>
      </c>
      <c r="CD122" s="76">
        <v>273904</v>
      </c>
      <c r="CE122" s="76">
        <v>258831</v>
      </c>
      <c r="CF122" s="76">
        <v>253019</v>
      </c>
      <c r="CH122" s="75">
        <v>8</v>
      </c>
      <c r="CI122" s="76">
        <v>290676</v>
      </c>
      <c r="CJ122" s="76">
        <v>307108</v>
      </c>
      <c r="CK122" s="76">
        <v>278037</v>
      </c>
      <c r="CL122" s="76">
        <v>273094</v>
      </c>
      <c r="CN122" s="75">
        <v>8</v>
      </c>
      <c r="CO122" s="76">
        <v>318135</v>
      </c>
      <c r="CP122" s="76">
        <v>283745</v>
      </c>
      <c r="CQ122" s="76">
        <v>285991</v>
      </c>
      <c r="CR122" s="76">
        <v>277558</v>
      </c>
      <c r="CT122" s="453">
        <v>8</v>
      </c>
      <c r="CU122" s="1604">
        <v>308720</v>
      </c>
      <c r="CV122" s="1604">
        <v>295384</v>
      </c>
      <c r="CW122" s="1604">
        <v>288935</v>
      </c>
      <c r="CX122" s="1604">
        <v>293980</v>
      </c>
    </row>
    <row r="123" spans="1:102">
      <c r="A123" s="741" t="s">
        <v>183</v>
      </c>
      <c r="B123" s="765"/>
      <c r="C123" s="762">
        <f>世帯数!I19</f>
        <v>185819</v>
      </c>
      <c r="D123" s="742">
        <f>世帯数!J19</f>
        <v>188309</v>
      </c>
      <c r="E123" s="742">
        <f>世帯数!K19</f>
        <v>190439</v>
      </c>
      <c r="F123" s="742">
        <f>世帯数!L19</f>
        <v>192340</v>
      </c>
      <c r="G123" s="742">
        <f>世帯数!M19</f>
        <v>193216</v>
      </c>
      <c r="H123" s="762">
        <f>世帯数!N19</f>
        <v>191407</v>
      </c>
      <c r="I123" s="742">
        <f>世帯数!O19</f>
        <v>192194</v>
      </c>
      <c r="J123" s="742">
        <f>世帯数!P19</f>
        <v>193393</v>
      </c>
      <c r="K123" s="742">
        <f>世帯数!Q19</f>
        <v>194544</v>
      </c>
      <c r="L123" s="742">
        <f>世帯数!R19</f>
        <v>184330</v>
      </c>
      <c r="M123" s="762">
        <f>世帯数!S19</f>
        <v>190894</v>
      </c>
      <c r="N123" s="742">
        <f>世帯数!T19</f>
        <v>192080</v>
      </c>
      <c r="O123" s="742">
        <f>世帯数!U19</f>
        <v>193397</v>
      </c>
      <c r="P123" s="742">
        <f>世帯数!V19</f>
        <v>195336</v>
      </c>
      <c r="Q123" s="742">
        <f>世帯数!W19</f>
        <v>196842</v>
      </c>
      <c r="R123" s="762">
        <f>世帯数!X19</f>
        <v>198095</v>
      </c>
      <c r="S123" s="742">
        <f>世帯数!Z19</f>
        <v>200977</v>
      </c>
      <c r="T123" s="742">
        <f>世帯数!AA19</f>
        <v>202838</v>
      </c>
      <c r="U123" s="742">
        <f>世帯数!AB19</f>
        <v>205551</v>
      </c>
      <c r="V123" s="742">
        <f>世帯数!AC19</f>
        <v>207999</v>
      </c>
      <c r="W123" s="730">
        <f>世帯数!AD19</f>
        <v>209343</v>
      </c>
      <c r="X123" s="730">
        <f>世帯数!AE19</f>
        <v>209514</v>
      </c>
      <c r="Y123" s="730">
        <f>世帯数!AF19</f>
        <v>209537</v>
      </c>
      <c r="Z123" s="730">
        <f>世帯数!AG19</f>
        <v>210063</v>
      </c>
      <c r="AA123" s="730">
        <f>世帯数!AH19</f>
        <v>209956</v>
      </c>
      <c r="AB123" s="730">
        <f>世帯数!AI19</f>
        <v>210433</v>
      </c>
      <c r="AC123" s="730">
        <f>世帯数!AJ19</f>
        <v>212377</v>
      </c>
      <c r="AD123" s="730">
        <f>世帯数!AK19</f>
        <v>214103</v>
      </c>
      <c r="AE123" s="730">
        <f>世帯数!AL19</f>
        <v>216462</v>
      </c>
      <c r="AF123" s="730">
        <f>世帯数!AM19</f>
        <v>219012</v>
      </c>
      <c r="AG123" s="730">
        <f>世帯数!AN19</f>
        <v>221404</v>
      </c>
      <c r="AH123" s="730">
        <f>世帯数!AO19</f>
        <v>222519</v>
      </c>
      <c r="AI123" s="730">
        <f>世帯数!AP19</f>
        <v>223707</v>
      </c>
      <c r="AJ123" s="730">
        <f>世帯数!AQ19</f>
        <v>225616</v>
      </c>
      <c r="AK123" s="730">
        <f>世帯数!AR19</f>
        <v>228124</v>
      </c>
      <c r="AL123" s="730">
        <f>世帯数!AS19</f>
        <v>230846</v>
      </c>
      <c r="AM123" s="730">
        <f>世帯数!AT19</f>
        <v>239345</v>
      </c>
      <c r="AN123" s="730">
        <f>世帯数!AU19</f>
        <v>247844</v>
      </c>
      <c r="BP123" s="75">
        <v>9</v>
      </c>
      <c r="BQ123" s="456">
        <v>318357</v>
      </c>
      <c r="BR123" s="456">
        <v>297516</v>
      </c>
      <c r="BS123" s="456">
        <v>293038</v>
      </c>
      <c r="BT123" s="456">
        <v>286232</v>
      </c>
      <c r="BV123" s="75">
        <v>9</v>
      </c>
      <c r="BW123" s="456">
        <v>286365</v>
      </c>
      <c r="BX123" s="456">
        <v>270170</v>
      </c>
      <c r="BY123" s="456">
        <v>265248</v>
      </c>
      <c r="BZ123" s="456">
        <v>245916</v>
      </c>
      <c r="CB123" s="75">
        <v>9</v>
      </c>
      <c r="CC123" s="1075">
        <v>288451</v>
      </c>
      <c r="CD123" s="1075">
        <v>273683</v>
      </c>
      <c r="CE123" s="1075">
        <v>248341</v>
      </c>
      <c r="CF123" s="1075">
        <v>232561</v>
      </c>
      <c r="CH123" s="75">
        <v>9</v>
      </c>
      <c r="CI123" s="1075">
        <v>301699</v>
      </c>
      <c r="CJ123" s="1075">
        <v>285231</v>
      </c>
      <c r="CK123" s="1075">
        <v>274711</v>
      </c>
      <c r="CL123" s="1075">
        <v>244710</v>
      </c>
      <c r="CN123" s="75">
        <v>9</v>
      </c>
      <c r="CO123" s="1075">
        <v>303169</v>
      </c>
      <c r="CP123" s="1075">
        <v>284832</v>
      </c>
      <c r="CQ123" s="1075">
        <v>270079</v>
      </c>
      <c r="CR123" s="1075">
        <v>261673</v>
      </c>
      <c r="CT123" s="453">
        <v>9</v>
      </c>
      <c r="CU123" s="1604">
        <v>304549</v>
      </c>
      <c r="CV123" s="1604">
        <v>297482</v>
      </c>
      <c r="CW123" s="1604">
        <v>269671</v>
      </c>
      <c r="CX123" s="1604">
        <v>265542</v>
      </c>
    </row>
    <row r="124" spans="1:102">
      <c r="A124" s="741" t="s">
        <v>184</v>
      </c>
      <c r="B124" s="765"/>
      <c r="C124" s="762">
        <f>世帯数!I20</f>
        <v>157978</v>
      </c>
      <c r="D124" s="742">
        <f>世帯数!J20</f>
        <v>159361</v>
      </c>
      <c r="E124" s="742">
        <f>世帯数!K20</f>
        <v>160935</v>
      </c>
      <c r="F124" s="742">
        <f>世帯数!L20</f>
        <v>162246</v>
      </c>
      <c r="G124" s="742">
        <f>世帯数!M20</f>
        <v>163776</v>
      </c>
      <c r="H124" s="762">
        <f>世帯数!N20</f>
        <v>150382</v>
      </c>
      <c r="I124" s="742">
        <f>世帯数!O20</f>
        <v>151933</v>
      </c>
      <c r="J124" s="742">
        <f>世帯数!P20</f>
        <v>156625</v>
      </c>
      <c r="K124" s="742">
        <f>世帯数!Q20</f>
        <v>162782</v>
      </c>
      <c r="L124" s="742">
        <f>世帯数!R20</f>
        <v>167443</v>
      </c>
      <c r="M124" s="762">
        <f>世帯数!S20</f>
        <v>178084</v>
      </c>
      <c r="N124" s="742">
        <f>世帯数!T20</f>
        <v>182844</v>
      </c>
      <c r="O124" s="742">
        <f>世帯数!U20</f>
        <v>186257</v>
      </c>
      <c r="P124" s="742">
        <f>世帯数!V20</f>
        <v>189307</v>
      </c>
      <c r="Q124" s="742">
        <f>世帯数!W20</f>
        <v>191756</v>
      </c>
      <c r="R124" s="762">
        <f>世帯数!X20</f>
        <v>195013</v>
      </c>
      <c r="S124" s="742">
        <f>世帯数!Z20</f>
        <v>196860</v>
      </c>
      <c r="T124" s="742">
        <f>世帯数!AA20</f>
        <v>200204</v>
      </c>
      <c r="U124" s="742">
        <f>世帯数!AB20</f>
        <v>202847</v>
      </c>
      <c r="V124" s="742">
        <f>世帯数!AC20</f>
        <v>204761</v>
      </c>
      <c r="W124" s="730">
        <f>世帯数!AD20</f>
        <v>202648</v>
      </c>
      <c r="X124" s="730">
        <f>世帯数!AE20</f>
        <v>204427</v>
      </c>
      <c r="Y124" s="730">
        <f>世帯数!AF20</f>
        <v>205297</v>
      </c>
      <c r="Z124" s="730">
        <f>世帯数!AG20</f>
        <v>207242</v>
      </c>
      <c r="AA124" s="730">
        <f>世帯数!AH20</f>
        <v>209065</v>
      </c>
      <c r="AB124" s="730">
        <f>世帯数!AI20</f>
        <v>210965</v>
      </c>
      <c r="AC124" s="730">
        <f>世帯数!AJ20</f>
        <v>212192</v>
      </c>
      <c r="AD124" s="730">
        <f>世帯数!AK20</f>
        <v>213013</v>
      </c>
      <c r="AE124" s="730">
        <f>世帯数!AL20</f>
        <v>213784</v>
      </c>
      <c r="AF124" s="730">
        <f>世帯数!AM20</f>
        <v>214699</v>
      </c>
      <c r="AG124" s="730">
        <f>世帯数!AN20</f>
        <v>215651</v>
      </c>
      <c r="AH124" s="730">
        <f>世帯数!AO20</f>
        <v>217006</v>
      </c>
      <c r="AI124" s="730">
        <f>世帯数!AP20</f>
        <v>218967</v>
      </c>
      <c r="AJ124" s="730">
        <f>世帯数!AQ20</f>
        <v>220384</v>
      </c>
      <c r="AK124" s="730">
        <f>世帯数!AR20</f>
        <v>221991</v>
      </c>
      <c r="AL124" s="730">
        <f>世帯数!AS20</f>
        <v>223419</v>
      </c>
      <c r="AM124" s="730">
        <f>世帯数!AT20</f>
        <v>227580</v>
      </c>
      <c r="AN124" s="730">
        <f>世帯数!AU20</f>
        <v>231741</v>
      </c>
      <c r="BP124" s="75">
        <v>10</v>
      </c>
      <c r="BQ124" s="75">
        <v>280072</v>
      </c>
      <c r="BR124" s="75">
        <v>278268</v>
      </c>
      <c r="BS124" s="75">
        <v>281280</v>
      </c>
      <c r="BT124" s="75">
        <v>279236</v>
      </c>
      <c r="BV124" s="75">
        <v>10</v>
      </c>
      <c r="BW124" s="75">
        <v>298275</v>
      </c>
      <c r="BX124" s="75">
        <v>302225</v>
      </c>
      <c r="BY124" s="75">
        <v>263568</v>
      </c>
      <c r="BZ124" s="75">
        <v>249578</v>
      </c>
      <c r="CB124" s="75">
        <v>10</v>
      </c>
      <c r="CC124" s="76">
        <v>293774</v>
      </c>
      <c r="CD124" s="76">
        <v>287358</v>
      </c>
      <c r="CE124" s="76">
        <v>274643</v>
      </c>
      <c r="CF124" s="76">
        <v>260897</v>
      </c>
      <c r="CH124" s="75">
        <v>10</v>
      </c>
      <c r="CI124" s="76">
        <v>312836</v>
      </c>
      <c r="CJ124" s="76">
        <v>308532</v>
      </c>
      <c r="CK124" s="76">
        <v>279750</v>
      </c>
      <c r="CL124" s="76">
        <v>278586</v>
      </c>
      <c r="CN124" s="75">
        <v>10</v>
      </c>
      <c r="CO124" s="76">
        <v>330942</v>
      </c>
      <c r="CP124" s="76">
        <v>300057</v>
      </c>
      <c r="CQ124" s="76">
        <v>293746</v>
      </c>
      <c r="CR124" s="76">
        <v>265476</v>
      </c>
      <c r="CT124" s="453">
        <v>10</v>
      </c>
      <c r="CU124" s="1604">
        <v>312696</v>
      </c>
      <c r="CV124" s="1604">
        <v>312237</v>
      </c>
      <c r="CW124" s="1604">
        <v>305611</v>
      </c>
      <c r="CX124" s="1604">
        <v>280380</v>
      </c>
    </row>
    <row r="125" spans="1:102">
      <c r="A125" s="741" t="s">
        <v>185</v>
      </c>
      <c r="B125" s="765"/>
      <c r="C125" s="762">
        <f>世帯数!I21</f>
        <v>32427</v>
      </c>
      <c r="D125" s="742">
        <f>世帯数!J21</f>
        <v>32926</v>
      </c>
      <c r="E125" s="742">
        <f>世帯数!K21</f>
        <v>33381</v>
      </c>
      <c r="F125" s="742">
        <f>世帯数!L21</f>
        <v>33643</v>
      </c>
      <c r="G125" s="742">
        <f>世帯数!M21</f>
        <v>33695</v>
      </c>
      <c r="H125" s="762">
        <f>世帯数!N21</f>
        <v>29070</v>
      </c>
      <c r="I125" s="742">
        <f>世帯数!O21</f>
        <v>29128</v>
      </c>
      <c r="J125" s="742">
        <f>世帯数!P21</f>
        <v>29627</v>
      </c>
      <c r="K125" s="742">
        <f>世帯数!Q21</f>
        <v>30808</v>
      </c>
      <c r="L125" s="742">
        <f>世帯数!R21</f>
        <v>31861</v>
      </c>
      <c r="M125" s="762">
        <f>世帯数!S21</f>
        <v>34209</v>
      </c>
      <c r="N125" s="742">
        <f>世帯数!T21</f>
        <v>35092</v>
      </c>
      <c r="O125" s="742">
        <f>世帯数!U21</f>
        <v>36317</v>
      </c>
      <c r="P125" s="742">
        <f>世帯数!V21</f>
        <v>37335</v>
      </c>
      <c r="Q125" s="742">
        <f>世帯数!W21</f>
        <v>37884</v>
      </c>
      <c r="R125" s="762">
        <f>世帯数!X21</f>
        <v>38429</v>
      </c>
      <c r="S125" s="742">
        <f>世帯数!Z21</f>
        <v>38699</v>
      </c>
      <c r="T125" s="742">
        <f>世帯数!AA21</f>
        <v>39266</v>
      </c>
      <c r="U125" s="742">
        <f>世帯数!AB21</f>
        <v>39810</v>
      </c>
      <c r="V125" s="742">
        <f>世帯数!AC21</f>
        <v>40034</v>
      </c>
      <c r="W125" s="730">
        <f>世帯数!AD21</f>
        <v>39753</v>
      </c>
      <c r="X125" s="730">
        <f>世帯数!AE21</f>
        <v>40404</v>
      </c>
      <c r="Y125" s="730">
        <f>世帯数!AF21</f>
        <v>40623</v>
      </c>
      <c r="Z125" s="730">
        <f>世帯数!AG21</f>
        <v>41161</v>
      </c>
      <c r="AA125" s="730">
        <f>世帯数!AH21</f>
        <v>41655</v>
      </c>
      <c r="AB125" s="730">
        <f>世帯数!AI21</f>
        <v>41881</v>
      </c>
      <c r="AC125" s="730">
        <f>世帯数!AJ21</f>
        <v>41866</v>
      </c>
      <c r="AD125" s="730">
        <f>世帯数!AK21</f>
        <v>42126</v>
      </c>
      <c r="AE125" s="730">
        <f>世帯数!AL21</f>
        <v>42236</v>
      </c>
      <c r="AF125" s="730">
        <f>世帯数!AM21</f>
        <v>42231</v>
      </c>
      <c r="AG125" s="730">
        <f>世帯数!AN21</f>
        <v>42522</v>
      </c>
      <c r="AH125" s="730">
        <f>世帯数!AO21</f>
        <v>42601</v>
      </c>
      <c r="AI125" s="730">
        <f>世帯数!AP21</f>
        <v>42935</v>
      </c>
      <c r="AJ125" s="730">
        <f>世帯数!AQ21</f>
        <v>43017</v>
      </c>
      <c r="AK125" s="730">
        <f>世帯数!AR21</f>
        <v>42922</v>
      </c>
      <c r="AL125" s="730">
        <f>世帯数!AS21</f>
        <v>43068</v>
      </c>
      <c r="AM125" s="730">
        <f>世帯数!AT21</f>
        <v>43377</v>
      </c>
      <c r="AN125" s="730">
        <f>世帯数!AU21</f>
        <v>43686</v>
      </c>
      <c r="BP125" s="75">
        <v>11</v>
      </c>
      <c r="BQ125" s="456">
        <v>286691</v>
      </c>
      <c r="BR125" s="456">
        <v>271020</v>
      </c>
      <c r="BS125" s="456">
        <v>279133</v>
      </c>
      <c r="BT125" s="456">
        <v>279318</v>
      </c>
      <c r="BV125" s="75">
        <v>11</v>
      </c>
      <c r="BW125" s="456">
        <v>297319</v>
      </c>
      <c r="BX125" s="456">
        <v>290807</v>
      </c>
      <c r="BY125" s="456">
        <v>258066</v>
      </c>
      <c r="BZ125" s="456">
        <v>252836</v>
      </c>
      <c r="CB125" s="75">
        <v>11</v>
      </c>
      <c r="CC125" s="1075">
        <v>292256</v>
      </c>
      <c r="CD125" s="1075">
        <v>279271</v>
      </c>
      <c r="CE125" s="1075">
        <v>263222</v>
      </c>
      <c r="CF125" s="1075">
        <v>266647</v>
      </c>
      <c r="CH125" s="75">
        <v>11</v>
      </c>
      <c r="CI125" s="1075">
        <v>309028</v>
      </c>
      <c r="CJ125" s="1075">
        <v>287536</v>
      </c>
      <c r="CK125" s="1075">
        <v>271198</v>
      </c>
      <c r="CL125" s="1075">
        <v>264284</v>
      </c>
      <c r="CN125" s="75">
        <v>11</v>
      </c>
      <c r="CO125" s="1075">
        <v>306091</v>
      </c>
      <c r="CP125" s="1075">
        <v>289946</v>
      </c>
      <c r="CQ125" s="1075">
        <v>279636</v>
      </c>
      <c r="CR125" s="1075">
        <v>256785</v>
      </c>
      <c r="CT125" s="456">
        <v>11</v>
      </c>
      <c r="CU125" s="1075">
        <v>304903</v>
      </c>
      <c r="CV125" s="1075">
        <v>298444</v>
      </c>
      <c r="CW125" s="1075">
        <v>280956</v>
      </c>
      <c r="CX125" s="1075">
        <v>294202</v>
      </c>
    </row>
    <row r="126" spans="1:102">
      <c r="A126" s="763" t="s">
        <v>186</v>
      </c>
      <c r="B126" s="764"/>
      <c r="C126" s="762">
        <f>世帯数!I22</f>
        <v>198771</v>
      </c>
      <c r="D126" s="742">
        <f>世帯数!J22</f>
        <v>204164</v>
      </c>
      <c r="E126" s="742">
        <f>世帯数!K22</f>
        <v>209691</v>
      </c>
      <c r="F126" s="742">
        <f>世帯数!L22</f>
        <v>215167</v>
      </c>
      <c r="G126" s="742">
        <f>世帯数!M22</f>
        <v>221559</v>
      </c>
      <c r="H126" s="762">
        <f>世帯数!N22</f>
        <v>222566</v>
      </c>
      <c r="I126" s="742">
        <f>世帯数!O22</f>
        <v>229220</v>
      </c>
      <c r="J126" s="742">
        <f>世帯数!P22</f>
        <v>235298</v>
      </c>
      <c r="K126" s="742">
        <f>世帯数!Q22</f>
        <v>241661</v>
      </c>
      <c r="L126" s="742">
        <f>世帯数!R22</f>
        <v>241861</v>
      </c>
      <c r="M126" s="762">
        <f>世帯数!S22</f>
        <v>247817</v>
      </c>
      <c r="N126" s="742">
        <f>世帯数!T22</f>
        <v>252401</v>
      </c>
      <c r="O126" s="742">
        <f>世帯数!U22</f>
        <v>256629</v>
      </c>
      <c r="P126" s="742">
        <f>世帯数!V22</f>
        <v>260713</v>
      </c>
      <c r="Q126" s="742">
        <f>世帯数!W22</f>
        <v>264426</v>
      </c>
      <c r="R126" s="762">
        <f>世帯数!X22</f>
        <v>268399</v>
      </c>
      <c r="S126" s="742">
        <f>世帯数!Z22</f>
        <v>267211</v>
      </c>
      <c r="T126" s="742">
        <f>世帯数!AA22</f>
        <v>271409</v>
      </c>
      <c r="U126" s="742">
        <f>世帯数!AB22</f>
        <v>275850</v>
      </c>
      <c r="V126" s="742">
        <f>世帯数!AC22</f>
        <v>280180</v>
      </c>
      <c r="W126" s="730">
        <f>世帯数!AD22</f>
        <v>280199</v>
      </c>
      <c r="X126" s="730">
        <f>世帯数!AE22</f>
        <v>282892</v>
      </c>
      <c r="Y126" s="730">
        <f>世帯数!AF22</f>
        <v>283320</v>
      </c>
      <c r="Z126" s="730">
        <f>世帯数!AG22</f>
        <v>284655</v>
      </c>
      <c r="AA126" s="730">
        <f>世帯数!AH22</f>
        <v>285632</v>
      </c>
      <c r="AB126" s="730">
        <f>世帯数!AI22</f>
        <v>287568</v>
      </c>
      <c r="AC126" s="730">
        <f>世帯数!AJ22</f>
        <v>289329</v>
      </c>
      <c r="AD126" s="730">
        <f>世帯数!AK22</f>
        <v>290728</v>
      </c>
      <c r="AE126" s="730">
        <f>世帯数!AL22</f>
        <v>291971</v>
      </c>
      <c r="AF126" s="730">
        <f>世帯数!AM22</f>
        <v>293604</v>
      </c>
      <c r="AG126" s="730">
        <f>世帯数!AN22</f>
        <v>294673</v>
      </c>
      <c r="AH126" s="730">
        <f>世帯数!AO22</f>
        <v>296167</v>
      </c>
      <c r="AI126" s="730">
        <f>世帯数!AP22</f>
        <v>298018</v>
      </c>
      <c r="AJ126" s="730">
        <f>世帯数!AQ22</f>
        <v>299025</v>
      </c>
      <c r="AK126" s="730">
        <f>世帯数!AR22</f>
        <v>300399</v>
      </c>
      <c r="AL126" s="730">
        <f>世帯数!AS22</f>
        <v>302492</v>
      </c>
      <c r="AM126" s="730">
        <f>世帯数!AT22</f>
        <v>310130</v>
      </c>
      <c r="AN126" s="730">
        <f>世帯数!AU22</f>
        <v>317768</v>
      </c>
      <c r="BP126" s="132">
        <v>12</v>
      </c>
      <c r="BQ126" s="461">
        <v>325471</v>
      </c>
      <c r="BR126" s="461">
        <v>318222</v>
      </c>
      <c r="BS126" s="461">
        <v>322348</v>
      </c>
      <c r="BT126" s="461">
        <v>318746</v>
      </c>
      <c r="BV126" s="132">
        <v>12</v>
      </c>
      <c r="BW126" s="461">
        <v>337566</v>
      </c>
      <c r="BX126" s="461">
        <v>312299</v>
      </c>
      <c r="BY126" s="461">
        <v>303940</v>
      </c>
      <c r="BZ126" s="461">
        <v>296970</v>
      </c>
      <c r="CB126" s="132">
        <v>12</v>
      </c>
      <c r="CC126" s="1074">
        <v>331722</v>
      </c>
      <c r="CD126" s="1074">
        <v>323268</v>
      </c>
      <c r="CE126" s="1074">
        <v>299055</v>
      </c>
      <c r="CF126" s="1074">
        <v>307165</v>
      </c>
      <c r="CH126" s="132">
        <v>12</v>
      </c>
      <c r="CI126" s="1074">
        <v>348184</v>
      </c>
      <c r="CJ126" s="1074">
        <v>335695</v>
      </c>
      <c r="CK126" s="1074">
        <v>307559</v>
      </c>
      <c r="CL126" s="1074">
        <v>308586</v>
      </c>
      <c r="CN126" s="132">
        <v>12</v>
      </c>
      <c r="CO126" s="1074">
        <v>353084</v>
      </c>
      <c r="CP126" s="1074">
        <v>334967</v>
      </c>
      <c r="CQ126" s="1074">
        <v>310885</v>
      </c>
      <c r="CR126" s="1074">
        <v>302975</v>
      </c>
      <c r="CT126" s="461">
        <v>12</v>
      </c>
      <c r="CU126" s="1074">
        <v>360624</v>
      </c>
      <c r="CV126" s="1074">
        <v>354955</v>
      </c>
      <c r="CW126" s="1074">
        <v>348357</v>
      </c>
      <c r="CX126" s="1074">
        <v>339615</v>
      </c>
    </row>
    <row r="127" spans="1:102" ht="12.75" customHeight="1">
      <c r="A127" s="741" t="s">
        <v>187</v>
      </c>
      <c r="B127" s="765"/>
      <c r="C127" s="762">
        <f>世帯数!I23</f>
        <v>62702</v>
      </c>
      <c r="D127" s="742">
        <f>世帯数!J23</f>
        <v>63463</v>
      </c>
      <c r="E127" s="742">
        <f>世帯数!K23</f>
        <v>64539</v>
      </c>
      <c r="F127" s="742">
        <f>世帯数!L23</f>
        <v>65690</v>
      </c>
      <c r="G127" s="742">
        <f>世帯数!M23</f>
        <v>66799</v>
      </c>
      <c r="H127" s="762">
        <f>世帯数!N23</f>
        <v>66665</v>
      </c>
      <c r="I127" s="742">
        <f>世帯数!O23</f>
        <v>67875</v>
      </c>
      <c r="J127" s="742">
        <f>世帯数!P23</f>
        <v>69038</v>
      </c>
      <c r="K127" s="742">
        <f>世帯数!Q23</f>
        <v>70479</v>
      </c>
      <c r="L127" s="742">
        <f>世帯数!R23</f>
        <v>66887</v>
      </c>
      <c r="M127" s="762">
        <f>世帯数!S23</f>
        <v>70846</v>
      </c>
      <c r="N127" s="742">
        <f>世帯数!T23</f>
        <v>71323</v>
      </c>
      <c r="O127" s="742">
        <f>世帯数!U23</f>
        <v>72025</v>
      </c>
      <c r="P127" s="742">
        <f>世帯数!V23</f>
        <v>73022</v>
      </c>
      <c r="Q127" s="742">
        <f>世帯数!W23</f>
        <v>73887</v>
      </c>
      <c r="R127" s="762">
        <f>世帯数!X23</f>
        <v>74512</v>
      </c>
      <c r="S127" s="742">
        <f>世帯数!Z23</f>
        <v>73774</v>
      </c>
      <c r="T127" s="742">
        <f>世帯数!AA23</f>
        <v>75108</v>
      </c>
      <c r="U127" s="742">
        <f>世帯数!AB23</f>
        <v>76067</v>
      </c>
      <c r="V127" s="742">
        <f>世帯数!AC23</f>
        <v>77222</v>
      </c>
      <c r="W127" s="730">
        <f>世帯数!AD23</f>
        <v>77263</v>
      </c>
      <c r="X127" s="730">
        <f>世帯数!AE23</f>
        <v>77905</v>
      </c>
      <c r="Y127" s="730">
        <f>世帯数!AF23</f>
        <v>77489</v>
      </c>
      <c r="Z127" s="730">
        <f>世帯数!AG23</f>
        <v>77921</v>
      </c>
      <c r="AA127" s="730">
        <f>世帯数!AH23</f>
        <v>78147</v>
      </c>
      <c r="AB127" s="730">
        <f>世帯数!AI23</f>
        <v>78903</v>
      </c>
      <c r="AC127" s="730">
        <f>世帯数!AJ23</f>
        <v>79632</v>
      </c>
      <c r="AD127" s="730">
        <f>世帯数!AK23</f>
        <v>80150</v>
      </c>
      <c r="AE127" s="730">
        <f>世帯数!AL23</f>
        <v>80925</v>
      </c>
      <c r="AF127" s="730">
        <f>世帯数!AM23</f>
        <v>81772</v>
      </c>
      <c r="AG127" s="730">
        <f>世帯数!AN23</f>
        <v>82481</v>
      </c>
      <c r="AH127" s="730">
        <f>世帯数!AO23</f>
        <v>82966</v>
      </c>
      <c r="AI127" s="730">
        <f>世帯数!AP23</f>
        <v>83582</v>
      </c>
      <c r="AJ127" s="730">
        <f>世帯数!AQ23</f>
        <v>84031</v>
      </c>
      <c r="AK127" s="730">
        <f>世帯数!AR23</f>
        <v>84479</v>
      </c>
      <c r="AL127" s="730">
        <f>世帯数!AS23</f>
        <v>85412</v>
      </c>
      <c r="AM127" s="730">
        <f>世帯数!AT23</f>
        <v>89252</v>
      </c>
      <c r="AN127" s="730">
        <f>世帯数!AU23</f>
        <v>93092</v>
      </c>
      <c r="BP127" s="75" t="s">
        <v>85</v>
      </c>
      <c r="BQ127" s="75">
        <f>AVERAGE(BQ115:BQ122)</f>
        <v>301599.625</v>
      </c>
      <c r="BR127" s="75">
        <f>AVERAGE(BR115:BR122)</f>
        <v>294432.5</v>
      </c>
      <c r="BS127" s="75">
        <f>AVERAGE(BS115:BS122)</f>
        <v>288683.5</v>
      </c>
      <c r="BT127" s="75">
        <f>AVERAGE(BT115:BT122)</f>
        <v>277894.25</v>
      </c>
      <c r="BV127" s="75" t="s">
        <v>85</v>
      </c>
      <c r="BW127" s="75">
        <f>AVERAGE(BW115:BW122)</f>
        <v>285920.375</v>
      </c>
      <c r="BX127" s="75">
        <f>AVERAGE(BX115:BX122)</f>
        <v>272381.125</v>
      </c>
      <c r="BY127" s="75">
        <f>AVERAGE(BY115:BY122)</f>
        <v>267135.5</v>
      </c>
      <c r="BZ127" s="75">
        <f>AVERAGE(BZ115:BZ122)</f>
        <v>263127.25</v>
      </c>
      <c r="CB127" s="75" t="s">
        <v>85</v>
      </c>
      <c r="CC127" s="76">
        <f>AVERAGE(CC115:CC122)</f>
        <v>289262.625</v>
      </c>
      <c r="CD127" s="76">
        <f>AVERAGE(CD115:CD122)</f>
        <v>284414</v>
      </c>
      <c r="CE127" s="76">
        <f>AVERAGE(CE115:CE122)</f>
        <v>265216.25</v>
      </c>
      <c r="CF127" s="76">
        <f>AVERAGE(CF115:CF122)</f>
        <v>250861.375</v>
      </c>
      <c r="CH127" s="75" t="s">
        <v>85</v>
      </c>
      <c r="CI127" s="76">
        <f>AVERAGE(CI115:CI122)</f>
        <v>293253.625</v>
      </c>
      <c r="CJ127" s="76">
        <f>AVERAGE(CJ115:CJ122)</f>
        <v>296486.125</v>
      </c>
      <c r="CK127" s="76">
        <f>AVERAGE(CK115:CK122)</f>
        <v>280064.875</v>
      </c>
      <c r="CL127" s="76">
        <f>AVERAGE(CL115:CL122)</f>
        <v>268514.75</v>
      </c>
      <c r="CN127" s="75" t="s">
        <v>85</v>
      </c>
      <c r="CO127" s="76">
        <f>AVERAGE(CO115:CO122)</f>
        <v>307228.375</v>
      </c>
      <c r="CP127" s="76">
        <f>AVERAGE(CP115:CP122)</f>
        <v>289796.875</v>
      </c>
      <c r="CQ127" s="76">
        <f>AVERAGE(CQ115:CQ122)</f>
        <v>286007.125</v>
      </c>
      <c r="CR127" s="76">
        <f>AVERAGE(CR115:CR122)</f>
        <v>270327.625</v>
      </c>
      <c r="CT127" s="75" t="s">
        <v>85</v>
      </c>
      <c r="CU127" s="76">
        <f>AVERAGE(CU115:CU122)</f>
        <v>318659.25</v>
      </c>
      <c r="CV127" s="76">
        <f>AVERAGE(CV115:CV122)</f>
        <v>299057.75</v>
      </c>
      <c r="CW127" s="76">
        <f>AVERAGE(CW115:CW122)</f>
        <v>276301.375</v>
      </c>
      <c r="CX127" s="76">
        <f>AVERAGE(CX115:CX122)</f>
        <v>271972.375</v>
      </c>
    </row>
    <row r="128" spans="1:102" ht="12.75" customHeight="1">
      <c r="A128" s="741" t="s">
        <v>1304</v>
      </c>
      <c r="B128" s="765"/>
      <c r="C128" s="762">
        <f>世帯数!I24</f>
        <v>67922</v>
      </c>
      <c r="D128" s="742">
        <f>世帯数!J24</f>
        <v>69432</v>
      </c>
      <c r="E128" s="742">
        <f>世帯数!K24</f>
        <v>70477</v>
      </c>
      <c r="F128" s="742">
        <f>世帯数!L24</f>
        <v>71558</v>
      </c>
      <c r="G128" s="742">
        <f>世帯数!M24</f>
        <v>72797</v>
      </c>
      <c r="H128" s="762">
        <f>世帯数!N24</f>
        <v>71363</v>
      </c>
      <c r="I128" s="742">
        <f>世帯数!O24</f>
        <v>72478</v>
      </c>
      <c r="J128" s="742">
        <f>世帯数!P24</f>
        <v>74362</v>
      </c>
      <c r="K128" s="742">
        <f>世帯数!Q24</f>
        <v>76262</v>
      </c>
      <c r="L128" s="742">
        <f>世帯数!R24</f>
        <v>76133</v>
      </c>
      <c r="M128" s="762">
        <f>世帯数!S24</f>
        <v>79131</v>
      </c>
      <c r="N128" s="742">
        <f>世帯数!T24</f>
        <v>81451</v>
      </c>
      <c r="O128" s="742">
        <f>世帯数!U24</f>
        <v>82951</v>
      </c>
      <c r="P128" s="742">
        <f>世帯数!V24</f>
        <v>84457</v>
      </c>
      <c r="Q128" s="742">
        <f>世帯数!W24</f>
        <v>85782</v>
      </c>
      <c r="R128" s="762">
        <f>世帯数!X24</f>
        <v>87300</v>
      </c>
      <c r="S128" s="742">
        <f>世帯数!Z24</f>
        <v>86376</v>
      </c>
      <c r="T128" s="742">
        <f>世帯数!AA24</f>
        <v>87702</v>
      </c>
      <c r="U128" s="742">
        <f>世帯数!AB24</f>
        <v>89206</v>
      </c>
      <c r="V128" s="742">
        <f>世帯数!AC24</f>
        <v>90593</v>
      </c>
      <c r="W128" s="730">
        <f>世帯数!AD24</f>
        <v>91737</v>
      </c>
      <c r="X128" s="730">
        <f>世帯数!AE24</f>
        <v>92820</v>
      </c>
      <c r="Y128" s="730">
        <f>世帯数!AF24</f>
        <v>93419</v>
      </c>
      <c r="Z128" s="730">
        <f>世帯数!AG24</f>
        <v>93472</v>
      </c>
      <c r="AA128" s="730">
        <f>世帯数!AH24</f>
        <v>93603</v>
      </c>
      <c r="AB128" s="730">
        <f>世帯数!AI24</f>
        <v>94140</v>
      </c>
      <c r="AC128" s="730">
        <f>世帯数!AJ24</f>
        <v>94562</v>
      </c>
      <c r="AD128" s="730">
        <f>世帯数!AK24</f>
        <v>94857</v>
      </c>
      <c r="AE128" s="730">
        <f>世帯数!AL24</f>
        <v>94977</v>
      </c>
      <c r="AF128" s="730">
        <f>世帯数!AM24</f>
        <v>95252</v>
      </c>
      <c r="AG128" s="730">
        <f>世帯数!AN24</f>
        <v>95465</v>
      </c>
      <c r="AH128" s="730">
        <f>世帯数!AO24</f>
        <v>95886</v>
      </c>
      <c r="AI128" s="730">
        <f>世帯数!AP24</f>
        <v>96462</v>
      </c>
      <c r="AJ128" s="730">
        <f>世帯数!AQ24</f>
        <v>96734</v>
      </c>
      <c r="AK128" s="730">
        <f>世帯数!AR24</f>
        <v>97144</v>
      </c>
      <c r="AL128" s="730">
        <f>世帯数!AS24</f>
        <v>97523</v>
      </c>
      <c r="AM128" s="730">
        <f>世帯数!AT24</f>
        <v>98870</v>
      </c>
      <c r="AN128" s="730">
        <f>世帯数!AU24</f>
        <v>100217</v>
      </c>
      <c r="BP128" s="75" t="s">
        <v>1172</v>
      </c>
      <c r="BQ128" s="1187">
        <f>BQ127/CO108</f>
        <v>1.0156387002266754</v>
      </c>
      <c r="BR128" s="1187">
        <f>BR127/CP108</f>
        <v>1.0363345822649366</v>
      </c>
      <c r="BS128" s="1187">
        <f>BS127/CQ108</f>
        <v>1.0344094266707993</v>
      </c>
      <c r="BT128" s="1187">
        <f>BT127/CR108</f>
        <v>1.0269871494603955</v>
      </c>
      <c r="BV128" s="75" t="s">
        <v>1163</v>
      </c>
      <c r="BW128" s="1187">
        <f>BW127/BQ127</f>
        <v>0.94801303217800748</v>
      </c>
      <c r="BX128" s="1187">
        <f>BX127/BR127</f>
        <v>0.92510549956271815</v>
      </c>
      <c r="BY128" s="1187">
        <f>BY127/BS127</f>
        <v>0.92535770142734175</v>
      </c>
      <c r="BZ128" s="1187">
        <f>BZ127/BT127</f>
        <v>0.9468610811486744</v>
      </c>
      <c r="CB128" s="75" t="s">
        <v>1176</v>
      </c>
      <c r="CC128" s="479">
        <f>CC127/BW127</f>
        <v>1.0116894432584596</v>
      </c>
      <c r="CD128" s="479">
        <f>CD127/BX127</f>
        <v>1.044176610989473</v>
      </c>
      <c r="CE128" s="479">
        <f>CE127/BY127</f>
        <v>0.99281544384778508</v>
      </c>
      <c r="CF128" s="479">
        <f>CF127/BZ127</f>
        <v>0.95338424659551602</v>
      </c>
      <c r="CH128" s="75" t="s">
        <v>1199</v>
      </c>
      <c r="CI128" s="479">
        <f>CI127/CC127</f>
        <v>1.0137971505997361</v>
      </c>
      <c r="CJ128" s="479">
        <f>CJ127/CD127</f>
        <v>1.0424456074595485</v>
      </c>
      <c r="CK128" s="479">
        <f>CK127/CE127</f>
        <v>1.0559868597795194</v>
      </c>
      <c r="CL128" s="479">
        <f>CL127/CF127</f>
        <v>1.0703710365934174</v>
      </c>
      <c r="CN128" s="75" t="s">
        <v>1235</v>
      </c>
      <c r="CO128" s="479">
        <f>CO127/CI127</f>
        <v>1.0476541423827241</v>
      </c>
      <c r="CP128" s="479">
        <f>CP127/CJ127</f>
        <v>0.97743823593768508</v>
      </c>
      <c r="CQ128" s="479">
        <f>CQ127/CK127</f>
        <v>1.0212174054315093</v>
      </c>
      <c r="CR128" s="479">
        <f>CR127/CL127</f>
        <v>1.0067514913054125</v>
      </c>
      <c r="CT128" s="75" t="s">
        <v>1562</v>
      </c>
      <c r="CU128" s="479">
        <f>CU127/CO127</f>
        <v>1.0372064429270245</v>
      </c>
      <c r="CV128" s="479">
        <f>CV127/CP127</f>
        <v>1.0319564350029655</v>
      </c>
      <c r="CW128" s="479">
        <f>CW127/CQ127</f>
        <v>0.96606465660601992</v>
      </c>
      <c r="CX128" s="479">
        <f>CX127/CR127</f>
        <v>1.0060842838389159</v>
      </c>
    </row>
    <row r="129" spans="1:40">
      <c r="A129" s="741" t="s">
        <v>189</v>
      </c>
      <c r="B129" s="765"/>
      <c r="C129" s="762">
        <f>世帯数!I25</f>
        <v>44107</v>
      </c>
      <c r="D129" s="742">
        <f>世帯数!J25</f>
        <v>44756</v>
      </c>
      <c r="E129" s="742">
        <f>世帯数!K25</f>
        <v>45685</v>
      </c>
      <c r="F129" s="742">
        <f>世帯数!L25</f>
        <v>46695</v>
      </c>
      <c r="G129" s="742">
        <f>世帯数!M25</f>
        <v>47675</v>
      </c>
      <c r="H129" s="762">
        <f>世帯数!N25</f>
        <v>48522</v>
      </c>
      <c r="I129" s="742">
        <f>世帯数!O25</f>
        <v>50481</v>
      </c>
      <c r="J129" s="742">
        <f>世帯数!P25</f>
        <v>51726</v>
      </c>
      <c r="K129" s="742">
        <f>世帯数!Q25</f>
        <v>53086</v>
      </c>
      <c r="L129" s="742">
        <f>世帯数!R25</f>
        <v>55968</v>
      </c>
      <c r="M129" s="762">
        <f>世帯数!S25</f>
        <v>54766</v>
      </c>
      <c r="N129" s="742">
        <f>世帯数!T25</f>
        <v>55744</v>
      </c>
      <c r="O129" s="742">
        <f>世帯数!U25</f>
        <v>56919</v>
      </c>
      <c r="P129" s="742">
        <f>世帯数!V25</f>
        <v>57942</v>
      </c>
      <c r="Q129" s="742">
        <f>世帯数!W25</f>
        <v>58777</v>
      </c>
      <c r="R129" s="762">
        <f>世帯数!X25</f>
        <v>59905</v>
      </c>
      <c r="S129" s="742">
        <f>世帯数!Z25</f>
        <v>59566</v>
      </c>
      <c r="T129" s="742">
        <f>世帯数!AA25</f>
        <v>60254</v>
      </c>
      <c r="U129" s="742">
        <f>世帯数!AB25</f>
        <v>61103</v>
      </c>
      <c r="V129" s="742">
        <f>世帯数!AC25</f>
        <v>62066</v>
      </c>
      <c r="W129" s="730">
        <f>世帯数!AD25</f>
        <v>60584</v>
      </c>
      <c r="X129" s="730">
        <f>世帯数!AE25</f>
        <v>61066</v>
      </c>
      <c r="Y129" s="730">
        <f>世帯数!AF25</f>
        <v>61172</v>
      </c>
      <c r="Z129" s="730">
        <f>世帯数!AG25</f>
        <v>61844</v>
      </c>
      <c r="AA129" s="730">
        <f>世帯数!AH25</f>
        <v>62210</v>
      </c>
      <c r="AB129" s="730">
        <f>世帯数!AI25</f>
        <v>62675</v>
      </c>
      <c r="AC129" s="730">
        <f>世帯数!AJ25</f>
        <v>62858</v>
      </c>
      <c r="AD129" s="730">
        <f>世帯数!AK25</f>
        <v>62987</v>
      </c>
      <c r="AE129" s="730">
        <f>世帯数!AL25</f>
        <v>63038</v>
      </c>
      <c r="AF129" s="730">
        <f>世帯数!AM25</f>
        <v>63253</v>
      </c>
      <c r="AG129" s="730">
        <f>世帯数!AN25</f>
        <v>63331</v>
      </c>
      <c r="AH129" s="730">
        <f>世帯数!AO25</f>
        <v>63768</v>
      </c>
      <c r="AI129" s="730">
        <f>世帯数!AP25</f>
        <v>64273</v>
      </c>
      <c r="AJ129" s="730">
        <f>世帯数!AQ25</f>
        <v>64555</v>
      </c>
      <c r="AK129" s="730">
        <f>世帯数!AR25</f>
        <v>64737</v>
      </c>
      <c r="AL129" s="730">
        <f>世帯数!AS25</f>
        <v>65209</v>
      </c>
      <c r="AM129" s="730">
        <f>世帯数!AT25</f>
        <v>66781</v>
      </c>
      <c r="AN129" s="730">
        <f>世帯数!AU25</f>
        <v>68353</v>
      </c>
    </row>
    <row r="130" spans="1:40">
      <c r="A130" s="741" t="s">
        <v>190</v>
      </c>
      <c r="B130" s="765"/>
      <c r="C130" s="762">
        <f>世帯数!I26</f>
        <v>18217</v>
      </c>
      <c r="D130" s="742">
        <f>世帯数!J26</f>
        <v>20309</v>
      </c>
      <c r="E130" s="742">
        <f>世帯数!K26</f>
        <v>22427</v>
      </c>
      <c r="F130" s="742">
        <f>世帯数!L26</f>
        <v>24218</v>
      </c>
      <c r="G130" s="742">
        <f>世帯数!M26</f>
        <v>26824</v>
      </c>
      <c r="H130" s="762">
        <f>世帯数!N26</f>
        <v>28375</v>
      </c>
      <c r="I130" s="742">
        <f>世帯数!O26</f>
        <v>30472</v>
      </c>
      <c r="J130" s="742">
        <f>世帯数!P26</f>
        <v>32015</v>
      </c>
      <c r="K130" s="742">
        <f>世帯数!Q26</f>
        <v>33411</v>
      </c>
      <c r="L130" s="742">
        <f>世帯数!R26</f>
        <v>34219</v>
      </c>
      <c r="M130" s="762">
        <f>世帯数!S26</f>
        <v>34374</v>
      </c>
      <c r="N130" s="742">
        <f>世帯数!T26</f>
        <v>35070</v>
      </c>
      <c r="O130" s="742">
        <f>世帯数!U26</f>
        <v>35754</v>
      </c>
      <c r="P130" s="742">
        <f>世帯数!V26</f>
        <v>36229</v>
      </c>
      <c r="Q130" s="742">
        <f>世帯数!W26</f>
        <v>36618</v>
      </c>
      <c r="R130" s="762">
        <f>世帯数!X26</f>
        <v>36941</v>
      </c>
      <c r="S130" s="742">
        <f>世帯数!Z26</f>
        <v>37728</v>
      </c>
      <c r="T130" s="742">
        <f>世帯数!AA26</f>
        <v>38194</v>
      </c>
      <c r="U130" s="742">
        <f>世帯数!AB26</f>
        <v>39026</v>
      </c>
      <c r="V130" s="742">
        <f>世帯数!AC26</f>
        <v>39632</v>
      </c>
      <c r="W130" s="730">
        <f>世帯数!AD26</f>
        <v>40068</v>
      </c>
      <c r="X130" s="730">
        <f>世帯数!AE26</f>
        <v>40495</v>
      </c>
      <c r="Y130" s="730">
        <f>世帯数!AF26</f>
        <v>40638</v>
      </c>
      <c r="Z130" s="730">
        <f>世帯数!AG26</f>
        <v>40795</v>
      </c>
      <c r="AA130" s="730">
        <f>世帯数!AH26</f>
        <v>40936</v>
      </c>
      <c r="AB130" s="730">
        <f>世帯数!AI26</f>
        <v>41070</v>
      </c>
      <c r="AC130" s="730">
        <f>世帯数!AJ26</f>
        <v>41403</v>
      </c>
      <c r="AD130" s="730">
        <f>世帯数!AK26</f>
        <v>41795</v>
      </c>
      <c r="AE130" s="730">
        <f>世帯数!AL26</f>
        <v>42013</v>
      </c>
      <c r="AF130" s="730">
        <f>世帯数!AM26</f>
        <v>42314</v>
      </c>
      <c r="AG130" s="730">
        <f>世帯数!AN26</f>
        <v>42401</v>
      </c>
      <c r="AH130" s="730">
        <f>世帯数!AO26</f>
        <v>42526</v>
      </c>
      <c r="AI130" s="730">
        <f>世帯数!AP26</f>
        <v>42677</v>
      </c>
      <c r="AJ130" s="730">
        <f>世帯数!AQ26</f>
        <v>42691</v>
      </c>
      <c r="AK130" s="730">
        <f>世帯数!AR26</f>
        <v>43090</v>
      </c>
      <c r="AL130" s="730">
        <f>世帯数!AS26</f>
        <v>43405</v>
      </c>
      <c r="AM130" s="730">
        <f>世帯数!AT26</f>
        <v>44338</v>
      </c>
      <c r="AN130" s="730">
        <f>世帯数!AU26</f>
        <v>45271</v>
      </c>
    </row>
    <row r="131" spans="1:40">
      <c r="A131" s="741" t="s">
        <v>191</v>
      </c>
      <c r="B131" s="765"/>
      <c r="C131" s="762">
        <f>世帯数!I27</f>
        <v>5823</v>
      </c>
      <c r="D131" s="742">
        <f>世帯数!J27</f>
        <v>6204</v>
      </c>
      <c r="E131" s="742">
        <f>世帯数!K27</f>
        <v>6563</v>
      </c>
      <c r="F131" s="742">
        <f>世帯数!L27</f>
        <v>7006</v>
      </c>
      <c r="G131" s="742">
        <f>世帯数!M27</f>
        <v>7464</v>
      </c>
      <c r="H131" s="762">
        <f>世帯数!N27</f>
        <v>7641</v>
      </c>
      <c r="I131" s="742">
        <f>世帯数!O27</f>
        <v>7914</v>
      </c>
      <c r="J131" s="742">
        <f>世帯数!P27</f>
        <v>8157</v>
      </c>
      <c r="K131" s="742">
        <f>世帯数!Q27</f>
        <v>8423</v>
      </c>
      <c r="L131" s="742">
        <f>世帯数!R27</f>
        <v>8654</v>
      </c>
      <c r="M131" s="762">
        <f>世帯数!S27</f>
        <v>8700</v>
      </c>
      <c r="N131" s="742">
        <f>世帯数!T27</f>
        <v>8813</v>
      </c>
      <c r="O131" s="742">
        <f>世帯数!U27</f>
        <v>8980</v>
      </c>
      <c r="P131" s="742">
        <f>世帯数!V27</f>
        <v>9063</v>
      </c>
      <c r="Q131" s="742">
        <f>世帯数!W27</f>
        <v>9362</v>
      </c>
      <c r="R131" s="762">
        <f>世帯数!X27</f>
        <v>9741</v>
      </c>
      <c r="S131" s="742">
        <f>世帯数!Z27</f>
        <v>9767</v>
      </c>
      <c r="T131" s="742">
        <f>世帯数!AA27</f>
        <v>10151</v>
      </c>
      <c r="U131" s="742">
        <f>世帯数!AB27</f>
        <v>10448</v>
      </c>
      <c r="V131" s="742">
        <f>世帯数!AC27</f>
        <v>10667</v>
      </c>
      <c r="W131" s="730">
        <f>世帯数!AD27</f>
        <v>10547</v>
      </c>
      <c r="X131" s="730">
        <f>世帯数!AE27</f>
        <v>10606</v>
      </c>
      <c r="Y131" s="730">
        <f>世帯数!AF27</f>
        <v>10602</v>
      </c>
      <c r="Z131" s="730">
        <f>世帯数!AG27</f>
        <v>10623</v>
      </c>
      <c r="AA131" s="730">
        <f>世帯数!AH27</f>
        <v>10736</v>
      </c>
      <c r="AB131" s="730">
        <f>世帯数!AI27</f>
        <v>10780</v>
      </c>
      <c r="AC131" s="730">
        <f>世帯数!AJ27</f>
        <v>10874</v>
      </c>
      <c r="AD131" s="730">
        <f>世帯数!AK27</f>
        <v>10939</v>
      </c>
      <c r="AE131" s="730">
        <f>世帯数!AL27</f>
        <v>11018</v>
      </c>
      <c r="AF131" s="730">
        <f>世帯数!AM27</f>
        <v>11013</v>
      </c>
      <c r="AG131" s="730">
        <f>世帯数!AN27</f>
        <v>10995</v>
      </c>
      <c r="AH131" s="730">
        <f>世帯数!AO27</f>
        <v>11021</v>
      </c>
      <c r="AI131" s="730">
        <f>世帯数!AP27</f>
        <v>11024</v>
      </c>
      <c r="AJ131" s="730">
        <f>世帯数!AQ27</f>
        <v>11014</v>
      </c>
      <c r="AK131" s="730">
        <f>世帯数!AR27</f>
        <v>10949</v>
      </c>
      <c r="AL131" s="730">
        <f>世帯数!AS27</f>
        <v>10943</v>
      </c>
      <c r="AM131" s="730">
        <f>世帯数!AT27</f>
        <v>10889</v>
      </c>
      <c r="AN131" s="730">
        <f>世帯数!AU27</f>
        <v>10835</v>
      </c>
    </row>
    <row r="132" spans="1:40">
      <c r="A132" s="763" t="s">
        <v>192</v>
      </c>
      <c r="B132" s="764"/>
      <c r="C132" s="762">
        <f>世帯数!I28</f>
        <v>206640</v>
      </c>
      <c r="D132" s="742">
        <f>世帯数!J28</f>
        <v>212656</v>
      </c>
      <c r="E132" s="742">
        <f>世帯数!K28</f>
        <v>218386</v>
      </c>
      <c r="F132" s="742">
        <f>世帯数!L28</f>
        <v>223789</v>
      </c>
      <c r="G132" s="742">
        <f>世帯数!M28</f>
        <v>228787</v>
      </c>
      <c r="H132" s="762">
        <f>世帯数!N28</f>
        <v>235911</v>
      </c>
      <c r="I132" s="742">
        <f>世帯数!O28</f>
        <v>241067</v>
      </c>
      <c r="J132" s="742">
        <f>世帯数!P28</f>
        <v>246370</v>
      </c>
      <c r="K132" s="742">
        <f>世帯数!Q28</f>
        <v>251227</v>
      </c>
      <c r="L132" s="742">
        <f>世帯数!R28</f>
        <v>249900</v>
      </c>
      <c r="M132" s="762">
        <f>世帯数!S28</f>
        <v>250608</v>
      </c>
      <c r="N132" s="742">
        <f>世帯数!T28</f>
        <v>253547</v>
      </c>
      <c r="O132" s="742">
        <f>世帯数!U28</f>
        <v>256145</v>
      </c>
      <c r="P132" s="742">
        <f>世帯数!V28</f>
        <v>258671</v>
      </c>
      <c r="Q132" s="742">
        <f>世帯数!W28</f>
        <v>262146</v>
      </c>
      <c r="R132" s="762">
        <f>世帯数!X28</f>
        <v>264891</v>
      </c>
      <c r="S132" s="742">
        <f>世帯数!Z28</f>
        <v>265589</v>
      </c>
      <c r="T132" s="742">
        <f>世帯数!AA28</f>
        <v>269322</v>
      </c>
      <c r="U132" s="742">
        <f>世帯数!AB28</f>
        <v>273407</v>
      </c>
      <c r="V132" s="742">
        <f>世帯数!AC28</f>
        <v>277345</v>
      </c>
      <c r="W132" s="730">
        <f>世帯数!AD28</f>
        <v>275137</v>
      </c>
      <c r="X132" s="730">
        <f>世帯数!AE28</f>
        <v>277959</v>
      </c>
      <c r="Y132" s="730">
        <f>世帯数!AF28</f>
        <v>279669</v>
      </c>
      <c r="Z132" s="730">
        <f>世帯数!AG28</f>
        <v>281780</v>
      </c>
      <c r="AA132" s="730">
        <f>世帯数!AH28</f>
        <v>283932</v>
      </c>
      <c r="AB132" s="730">
        <f>世帯数!AI28</f>
        <v>286009</v>
      </c>
      <c r="AC132" s="730">
        <f>世帯数!AJ28</f>
        <v>289019</v>
      </c>
      <c r="AD132" s="730">
        <f>世帯数!AK28</f>
        <v>292323</v>
      </c>
      <c r="AE132" s="730">
        <f>世帯数!AL28</f>
        <v>295659</v>
      </c>
      <c r="AF132" s="730">
        <f>世帯数!AM28</f>
        <v>299169</v>
      </c>
      <c r="AG132" s="730">
        <f>世帯数!AN28</f>
        <v>302730</v>
      </c>
      <c r="AH132" s="730">
        <f>世帯数!AO28</f>
        <v>304950</v>
      </c>
      <c r="AI132" s="730">
        <f>世帯数!AP28</f>
        <v>307351</v>
      </c>
      <c r="AJ132" s="730">
        <f>世帯数!AQ28</f>
        <v>310022</v>
      </c>
      <c r="AK132" s="730">
        <f>世帯数!AR28</f>
        <v>312763</v>
      </c>
      <c r="AL132" s="730">
        <f>世帯数!AS28</f>
        <v>315033</v>
      </c>
      <c r="AM132" s="730">
        <f>世帯数!AT28</f>
        <v>322419</v>
      </c>
      <c r="AN132" s="730">
        <f>世帯数!AU28</f>
        <v>329805</v>
      </c>
    </row>
    <row r="133" spans="1:40">
      <c r="A133" s="741" t="s">
        <v>193</v>
      </c>
      <c r="B133" s="765"/>
      <c r="C133" s="762">
        <f>世帯数!I29</f>
        <v>89365</v>
      </c>
      <c r="D133" s="742">
        <f>世帯数!J29</f>
        <v>92356</v>
      </c>
      <c r="E133" s="742">
        <f>世帯数!K29</f>
        <v>94692</v>
      </c>
      <c r="F133" s="742">
        <f>世帯数!L29</f>
        <v>96696</v>
      </c>
      <c r="G133" s="742">
        <f>世帯数!M29</f>
        <v>98757</v>
      </c>
      <c r="H133" s="762">
        <f>世帯数!N29</f>
        <v>101019</v>
      </c>
      <c r="I133" s="742">
        <f>世帯数!O29</f>
        <v>102905</v>
      </c>
      <c r="J133" s="742">
        <f>世帯数!P29</f>
        <v>105366</v>
      </c>
      <c r="K133" s="742">
        <f>世帯数!Q29</f>
        <v>107692</v>
      </c>
      <c r="L133" s="742">
        <f>世帯数!R29</f>
        <v>105648</v>
      </c>
      <c r="M133" s="762">
        <f>世帯数!S29</f>
        <v>107610</v>
      </c>
      <c r="N133" s="742">
        <f>世帯数!T29</f>
        <v>108608</v>
      </c>
      <c r="O133" s="742">
        <f>世帯数!U29</f>
        <v>109231</v>
      </c>
      <c r="P133" s="742">
        <f>世帯数!V29</f>
        <v>110316</v>
      </c>
      <c r="Q133" s="742">
        <f>世帯数!W29</f>
        <v>111842</v>
      </c>
      <c r="R133" s="762">
        <f>世帯数!X29</f>
        <v>112940</v>
      </c>
      <c r="S133" s="742">
        <f>世帯数!Z29</f>
        <v>112912</v>
      </c>
      <c r="T133" s="742">
        <f>世帯数!AA29</f>
        <v>114636</v>
      </c>
      <c r="U133" s="742">
        <f>世帯数!AB29</f>
        <v>116292</v>
      </c>
      <c r="V133" s="742">
        <f>世帯数!AC29</f>
        <v>118249</v>
      </c>
      <c r="W133" s="730">
        <f>世帯数!AD29</f>
        <v>116948</v>
      </c>
      <c r="X133" s="730">
        <f>世帯数!AE29</f>
        <v>117767</v>
      </c>
      <c r="Y133" s="730">
        <f>世帯数!AF29</f>
        <v>118386</v>
      </c>
      <c r="Z133" s="730">
        <f>世帯数!AG29</f>
        <v>119467</v>
      </c>
      <c r="AA133" s="730">
        <f>世帯数!AH29</f>
        <v>120604</v>
      </c>
      <c r="AB133" s="730">
        <f>世帯数!AI29</f>
        <v>121890</v>
      </c>
      <c r="AC133" s="730">
        <f>世帯数!AJ29</f>
        <v>123795</v>
      </c>
      <c r="AD133" s="730">
        <f>世帯数!AK29</f>
        <v>126624</v>
      </c>
      <c r="AE133" s="730">
        <f>世帯数!AL29</f>
        <v>129153</v>
      </c>
      <c r="AF133" s="730">
        <f>世帯数!AM29</f>
        <v>131641</v>
      </c>
      <c r="AG133" s="730">
        <f>世帯数!AN29</f>
        <v>133647</v>
      </c>
      <c r="AH133" s="730">
        <f>世帯数!AO29</f>
        <v>134566</v>
      </c>
      <c r="AI133" s="730">
        <f>世帯数!AP29</f>
        <v>135788</v>
      </c>
      <c r="AJ133" s="730">
        <f>世帯数!AQ29</f>
        <v>137171</v>
      </c>
      <c r="AK133" s="730">
        <f>世帯数!AR29</f>
        <v>138602</v>
      </c>
      <c r="AL133" s="730">
        <f>世帯数!AS29</f>
        <v>139630</v>
      </c>
      <c r="AM133" s="730">
        <f>世帯数!AT29</f>
        <v>143146</v>
      </c>
      <c r="AN133" s="730">
        <f>世帯数!AU29</f>
        <v>146662</v>
      </c>
    </row>
    <row r="134" spans="1:40">
      <c r="A134" s="741" t="s">
        <v>194</v>
      </c>
      <c r="B134" s="765"/>
      <c r="C134" s="762">
        <f>世帯数!I30</f>
        <v>71715</v>
      </c>
      <c r="D134" s="742">
        <f>世帯数!J30</f>
        <v>73709</v>
      </c>
      <c r="E134" s="742">
        <f>世帯数!K30</f>
        <v>75991</v>
      </c>
      <c r="F134" s="742">
        <f>世帯数!L30</f>
        <v>78091</v>
      </c>
      <c r="G134" s="742">
        <f>世帯数!M30</f>
        <v>79956</v>
      </c>
      <c r="H134" s="762">
        <f>世帯数!N30</f>
        <v>83792</v>
      </c>
      <c r="I134" s="742">
        <f>世帯数!O30</f>
        <v>85941</v>
      </c>
      <c r="J134" s="742">
        <f>世帯数!P30</f>
        <v>87818</v>
      </c>
      <c r="K134" s="742">
        <f>世帯数!Q30</f>
        <v>89630</v>
      </c>
      <c r="L134" s="742">
        <f>世帯数!R30</f>
        <v>90208</v>
      </c>
      <c r="M134" s="762">
        <f>世帯数!S30</f>
        <v>89533</v>
      </c>
      <c r="N134" s="742">
        <f>世帯数!T30</f>
        <v>90785</v>
      </c>
      <c r="O134" s="742">
        <f>世帯数!U30</f>
        <v>92016</v>
      </c>
      <c r="P134" s="742">
        <f>世帯数!V30</f>
        <v>93082</v>
      </c>
      <c r="Q134" s="742">
        <f>世帯数!W30</f>
        <v>94374</v>
      </c>
      <c r="R134" s="762">
        <f>世帯数!X30</f>
        <v>95483</v>
      </c>
      <c r="S134" s="742">
        <f>世帯数!Z30</f>
        <v>95952</v>
      </c>
      <c r="T134" s="742">
        <f>世帯数!AA30</f>
        <v>97390</v>
      </c>
      <c r="U134" s="742">
        <f>世帯数!AB30</f>
        <v>98963</v>
      </c>
      <c r="V134" s="742">
        <f>世帯数!AC30</f>
        <v>100313</v>
      </c>
      <c r="W134" s="730">
        <f>世帯数!AD30</f>
        <v>99645</v>
      </c>
      <c r="X134" s="730">
        <f>世帯数!AE30</f>
        <v>101187</v>
      </c>
      <c r="Y134" s="730">
        <f>世帯数!AF30</f>
        <v>101791</v>
      </c>
      <c r="Z134" s="730">
        <f>世帯数!AG30</f>
        <v>102468</v>
      </c>
      <c r="AA134" s="730">
        <f>世帯数!AH30</f>
        <v>103038</v>
      </c>
      <c r="AB134" s="730">
        <f>世帯数!AI30</f>
        <v>103495</v>
      </c>
      <c r="AC134" s="730">
        <f>世帯数!AJ30</f>
        <v>104142</v>
      </c>
      <c r="AD134" s="730">
        <f>世帯数!AK30</f>
        <v>104608</v>
      </c>
      <c r="AE134" s="730">
        <f>世帯数!AL30</f>
        <v>105357</v>
      </c>
      <c r="AF134" s="730">
        <f>世帯数!AM30</f>
        <v>106100</v>
      </c>
      <c r="AG134" s="730">
        <f>世帯数!AN30</f>
        <v>107195</v>
      </c>
      <c r="AH134" s="730">
        <f>世帯数!AO30</f>
        <v>108113</v>
      </c>
      <c r="AI134" s="730">
        <f>世帯数!AP30</f>
        <v>108791</v>
      </c>
      <c r="AJ134" s="730">
        <f>世帯数!AQ30</f>
        <v>109569</v>
      </c>
      <c r="AK134" s="730">
        <f>世帯数!AR30</f>
        <v>110413</v>
      </c>
      <c r="AL134" s="730">
        <f>世帯数!AS30</f>
        <v>111148</v>
      </c>
      <c r="AM134" s="730">
        <f>世帯数!AT30</f>
        <v>113533</v>
      </c>
      <c r="AN134" s="730">
        <f>世帯数!AU30</f>
        <v>115918</v>
      </c>
    </row>
    <row r="135" spans="1:40">
      <c r="A135" s="741" t="s">
        <v>195</v>
      </c>
      <c r="B135" s="765"/>
      <c r="C135" s="762">
        <f>世帯数!I31</f>
        <v>28497</v>
      </c>
      <c r="D135" s="742">
        <f>世帯数!J31</f>
        <v>29008</v>
      </c>
      <c r="E135" s="742">
        <f>世帯数!K31</f>
        <v>29704</v>
      </c>
      <c r="F135" s="742">
        <f>世帯数!L31</f>
        <v>30388</v>
      </c>
      <c r="G135" s="742">
        <f>世帯数!M31</f>
        <v>31102</v>
      </c>
      <c r="H135" s="762">
        <f>世帯数!N31</f>
        <v>31726</v>
      </c>
      <c r="I135" s="742">
        <f>世帯数!O31</f>
        <v>32169</v>
      </c>
      <c r="J135" s="742">
        <f>世帯数!P31</f>
        <v>32692</v>
      </c>
      <c r="K135" s="742">
        <f>世帯数!Q31</f>
        <v>33125</v>
      </c>
      <c r="L135" s="742">
        <f>世帯数!R31</f>
        <v>32992</v>
      </c>
      <c r="M135" s="762">
        <f>世帯数!S31</f>
        <v>32633</v>
      </c>
      <c r="N135" s="742">
        <f>世帯数!T31</f>
        <v>32917</v>
      </c>
      <c r="O135" s="742">
        <f>世帯数!U31</f>
        <v>33317</v>
      </c>
      <c r="P135" s="742">
        <f>世帯数!V31</f>
        <v>33509</v>
      </c>
      <c r="Q135" s="742">
        <f>世帯数!W31</f>
        <v>33812</v>
      </c>
      <c r="R135" s="762">
        <f>世帯数!X31</f>
        <v>34073</v>
      </c>
      <c r="S135" s="742">
        <f>世帯数!Z31</f>
        <v>34378</v>
      </c>
      <c r="T135" s="742">
        <f>世帯数!AA31</f>
        <v>34663</v>
      </c>
      <c r="U135" s="742">
        <f>世帯数!AB31</f>
        <v>35258</v>
      </c>
      <c r="V135" s="742">
        <f>世帯数!AC31</f>
        <v>35674</v>
      </c>
      <c r="W135" s="730">
        <f>世帯数!AD31</f>
        <v>35737</v>
      </c>
      <c r="X135" s="730">
        <f>世帯数!AE31</f>
        <v>35796</v>
      </c>
      <c r="Y135" s="730">
        <f>世帯数!AF31</f>
        <v>35944</v>
      </c>
      <c r="Z135" s="730">
        <f>世帯数!AG31</f>
        <v>36010</v>
      </c>
      <c r="AA135" s="730">
        <f>世帯数!AH31</f>
        <v>36168</v>
      </c>
      <c r="AB135" s="730">
        <f>世帯数!AI31</f>
        <v>36340</v>
      </c>
      <c r="AC135" s="730">
        <f>世帯数!AJ31</f>
        <v>36561</v>
      </c>
      <c r="AD135" s="730">
        <f>世帯数!AK31</f>
        <v>36484</v>
      </c>
      <c r="AE135" s="730">
        <f>世帯数!AL31</f>
        <v>36417</v>
      </c>
      <c r="AF135" s="730">
        <f>世帯数!AM31</f>
        <v>36481</v>
      </c>
      <c r="AG135" s="730">
        <f>世帯数!AN31</f>
        <v>36712</v>
      </c>
      <c r="AH135" s="730">
        <f>世帯数!AO31</f>
        <v>36812</v>
      </c>
      <c r="AI135" s="730">
        <f>世帯数!AP31</f>
        <v>37044</v>
      </c>
      <c r="AJ135" s="730">
        <f>世帯数!AQ31</f>
        <v>37237</v>
      </c>
      <c r="AK135" s="730">
        <f>世帯数!AR31</f>
        <v>37430</v>
      </c>
      <c r="AL135" s="730">
        <f>世帯数!AS31</f>
        <v>37725</v>
      </c>
      <c r="AM135" s="730">
        <f>世帯数!AT31</f>
        <v>38523</v>
      </c>
      <c r="AN135" s="730">
        <f>世帯数!AU31</f>
        <v>39321</v>
      </c>
    </row>
    <row r="136" spans="1:40">
      <c r="A136" s="741" t="s">
        <v>196</v>
      </c>
      <c r="B136" s="765"/>
      <c r="C136" s="762">
        <f>世帯数!I32</f>
        <v>7863</v>
      </c>
      <c r="D136" s="742">
        <f>世帯数!J32</f>
        <v>8028</v>
      </c>
      <c r="E136" s="742">
        <f>世帯数!K32</f>
        <v>8259</v>
      </c>
      <c r="F136" s="742">
        <f>世帯数!L32</f>
        <v>8448</v>
      </c>
      <c r="G136" s="742">
        <f>世帯数!M32</f>
        <v>8599</v>
      </c>
      <c r="H136" s="762">
        <f>世帯数!N32</f>
        <v>8569</v>
      </c>
      <c r="I136" s="742">
        <f>世帯数!O32</f>
        <v>8815</v>
      </c>
      <c r="J136" s="742">
        <f>世帯数!P32</f>
        <v>9018</v>
      </c>
      <c r="K136" s="742">
        <f>世帯数!Q32</f>
        <v>9167</v>
      </c>
      <c r="L136" s="742">
        <f>世帯数!R32</f>
        <v>9353</v>
      </c>
      <c r="M136" s="762">
        <f>世帯数!S32</f>
        <v>9446</v>
      </c>
      <c r="N136" s="742">
        <f>世帯数!T32</f>
        <v>9660</v>
      </c>
      <c r="O136" s="742">
        <f>世帯数!U32</f>
        <v>9817</v>
      </c>
      <c r="P136" s="742">
        <f>世帯数!V32</f>
        <v>9909</v>
      </c>
      <c r="Q136" s="742">
        <f>世帯数!W32</f>
        <v>10096</v>
      </c>
      <c r="R136" s="762">
        <f>世帯数!X32</f>
        <v>10215</v>
      </c>
      <c r="S136" s="742">
        <f>世帯数!Z32</f>
        <v>10066</v>
      </c>
      <c r="T136" s="742">
        <f>世帯数!AA32</f>
        <v>10181</v>
      </c>
      <c r="U136" s="742">
        <f>世帯数!AB32</f>
        <v>10309</v>
      </c>
      <c r="V136" s="742">
        <f>世帯数!AC32</f>
        <v>10359</v>
      </c>
      <c r="W136" s="730">
        <f>世帯数!AD32</f>
        <v>10226</v>
      </c>
      <c r="X136" s="730">
        <f>世帯数!AE32</f>
        <v>10397</v>
      </c>
      <c r="Y136" s="730">
        <f>世帯数!AF32</f>
        <v>10559</v>
      </c>
      <c r="Z136" s="730">
        <f>世帯数!AG32</f>
        <v>10733</v>
      </c>
      <c r="AA136" s="730">
        <f>世帯数!AH32</f>
        <v>10885</v>
      </c>
      <c r="AB136" s="730">
        <f>世帯数!AI32</f>
        <v>11026</v>
      </c>
      <c r="AC136" s="730">
        <f>世帯数!AJ32</f>
        <v>11124</v>
      </c>
      <c r="AD136" s="730">
        <f>世帯数!AK32</f>
        <v>11143</v>
      </c>
      <c r="AE136" s="730">
        <f>世帯数!AL32</f>
        <v>11216</v>
      </c>
      <c r="AF136" s="730">
        <f>世帯数!AM32</f>
        <v>11301</v>
      </c>
      <c r="AG136" s="730">
        <f>世帯数!AN32</f>
        <v>11384</v>
      </c>
      <c r="AH136" s="730">
        <f>世帯数!AO32</f>
        <v>11492</v>
      </c>
      <c r="AI136" s="730">
        <f>世帯数!AP32</f>
        <v>11624</v>
      </c>
      <c r="AJ136" s="730">
        <f>世帯数!AQ32</f>
        <v>11790</v>
      </c>
      <c r="AK136" s="730">
        <f>世帯数!AR32</f>
        <v>11955</v>
      </c>
      <c r="AL136" s="730">
        <f>世帯数!AS32</f>
        <v>12031</v>
      </c>
      <c r="AM136" s="730">
        <f>世帯数!AT32</f>
        <v>12310</v>
      </c>
      <c r="AN136" s="730">
        <f>世帯数!AU32</f>
        <v>12589</v>
      </c>
    </row>
    <row r="137" spans="1:40">
      <c r="A137" s="741" t="s">
        <v>197</v>
      </c>
      <c r="B137" s="765"/>
      <c r="C137" s="762">
        <f>世帯数!I33</f>
        <v>9200</v>
      </c>
      <c r="D137" s="742">
        <f>世帯数!J33</f>
        <v>9555</v>
      </c>
      <c r="E137" s="742">
        <f>世帯数!K33</f>
        <v>9740</v>
      </c>
      <c r="F137" s="742">
        <f>世帯数!L33</f>
        <v>10166</v>
      </c>
      <c r="G137" s="742">
        <f>世帯数!M33</f>
        <v>10373</v>
      </c>
      <c r="H137" s="762">
        <f>世帯数!N33</f>
        <v>10805</v>
      </c>
      <c r="I137" s="742">
        <f>世帯数!O33</f>
        <v>11237</v>
      </c>
      <c r="J137" s="742">
        <f>世帯数!P33</f>
        <v>11476</v>
      </c>
      <c r="K137" s="742">
        <f>世帯数!Q33</f>
        <v>11613</v>
      </c>
      <c r="L137" s="742">
        <f>世帯数!R33</f>
        <v>11699</v>
      </c>
      <c r="M137" s="762">
        <f>世帯数!S33</f>
        <v>11386</v>
      </c>
      <c r="N137" s="742">
        <f>世帯数!T33</f>
        <v>11577</v>
      </c>
      <c r="O137" s="742">
        <f>世帯数!U33</f>
        <v>11764</v>
      </c>
      <c r="P137" s="742">
        <f>世帯数!V33</f>
        <v>11855</v>
      </c>
      <c r="Q137" s="742">
        <f>世帯数!W33</f>
        <v>12022</v>
      </c>
      <c r="R137" s="762">
        <f>世帯数!X33</f>
        <v>12180</v>
      </c>
      <c r="S137" s="742">
        <f>世帯数!Z33</f>
        <v>12281</v>
      </c>
      <c r="T137" s="742">
        <f>世帯数!AA33</f>
        <v>12452</v>
      </c>
      <c r="U137" s="742">
        <f>世帯数!AB33</f>
        <v>12585</v>
      </c>
      <c r="V137" s="742">
        <f>世帯数!AC33</f>
        <v>12750</v>
      </c>
      <c r="W137" s="730">
        <f>世帯数!AD33</f>
        <v>12581</v>
      </c>
      <c r="X137" s="730">
        <f>世帯数!AE33</f>
        <v>12812</v>
      </c>
      <c r="Y137" s="730">
        <f>世帯数!AF33</f>
        <v>12989</v>
      </c>
      <c r="Z137" s="730">
        <f>世帯数!AG33</f>
        <v>13102</v>
      </c>
      <c r="AA137" s="730">
        <f>世帯数!AH33</f>
        <v>13237</v>
      </c>
      <c r="AB137" s="730">
        <f>世帯数!AI33</f>
        <v>13258</v>
      </c>
      <c r="AC137" s="730">
        <f>世帯数!AJ33</f>
        <v>13397</v>
      </c>
      <c r="AD137" s="730">
        <f>世帯数!AK33</f>
        <v>13464</v>
      </c>
      <c r="AE137" s="730">
        <f>世帯数!AL33</f>
        <v>13516</v>
      </c>
      <c r="AF137" s="730">
        <f>世帯数!AM33</f>
        <v>13646</v>
      </c>
      <c r="AG137" s="730">
        <f>世帯数!AN33</f>
        <v>13792</v>
      </c>
      <c r="AH137" s="730">
        <f>世帯数!AO33</f>
        <v>13967</v>
      </c>
      <c r="AI137" s="730">
        <f>世帯数!AP33</f>
        <v>14104</v>
      </c>
      <c r="AJ137" s="730">
        <f>世帯数!AQ33</f>
        <v>14255</v>
      </c>
      <c r="AK137" s="730">
        <f>世帯数!AR33</f>
        <v>14363</v>
      </c>
      <c r="AL137" s="730">
        <f>世帯数!AS33</f>
        <v>14499</v>
      </c>
      <c r="AM137" s="730">
        <f>世帯数!AT33</f>
        <v>14907</v>
      </c>
      <c r="AN137" s="730">
        <f>世帯数!AU33</f>
        <v>15315</v>
      </c>
    </row>
    <row r="138" spans="1:40">
      <c r="A138" s="766" t="s">
        <v>198</v>
      </c>
      <c r="B138" s="767"/>
      <c r="C138" s="762">
        <f>世帯数!I34</f>
        <v>78226</v>
      </c>
      <c r="D138" s="742">
        <f>世帯数!J34</f>
        <v>80304</v>
      </c>
      <c r="E138" s="742">
        <f>世帯数!K34</f>
        <v>81771</v>
      </c>
      <c r="F138" s="742">
        <f>世帯数!L34</f>
        <v>83251</v>
      </c>
      <c r="G138" s="742">
        <f>世帯数!M34</f>
        <v>84638</v>
      </c>
      <c r="H138" s="762">
        <f>世帯数!N34</f>
        <v>84988</v>
      </c>
      <c r="I138" s="742">
        <f>世帯数!O34</f>
        <v>86687</v>
      </c>
      <c r="J138" s="742">
        <f>世帯数!P34</f>
        <v>88373</v>
      </c>
      <c r="K138" s="742">
        <f>世帯数!Q34</f>
        <v>89770</v>
      </c>
      <c r="L138" s="742">
        <f>世帯数!R34</f>
        <v>89883</v>
      </c>
      <c r="M138" s="762">
        <f>世帯数!S34</f>
        <v>91112</v>
      </c>
      <c r="N138" s="742">
        <f>世帯数!T34</f>
        <v>91157</v>
      </c>
      <c r="O138" s="742">
        <f>世帯数!U34</f>
        <v>91893</v>
      </c>
      <c r="P138" s="742">
        <f>世帯数!V34</f>
        <v>92727</v>
      </c>
      <c r="Q138" s="742">
        <f>世帯数!W34</f>
        <v>93710</v>
      </c>
      <c r="R138" s="762">
        <f>世帯数!X34</f>
        <v>94747</v>
      </c>
      <c r="S138" s="742">
        <f>世帯数!Z34</f>
        <v>94168</v>
      </c>
      <c r="T138" s="742">
        <f>世帯数!AA34</f>
        <v>95123</v>
      </c>
      <c r="U138" s="742">
        <f>世帯数!AB34</f>
        <v>96325</v>
      </c>
      <c r="V138" s="742">
        <f>世帯数!AC34</f>
        <v>97299</v>
      </c>
      <c r="W138" s="730">
        <f>世帯数!AD34</f>
        <v>95995</v>
      </c>
      <c r="X138" s="730">
        <f>世帯数!AE34</f>
        <v>96500</v>
      </c>
      <c r="Y138" s="730">
        <f>世帯数!AF34</f>
        <v>96816</v>
      </c>
      <c r="Z138" s="730">
        <f>世帯数!AG34</f>
        <v>97037</v>
      </c>
      <c r="AA138" s="730">
        <f>世帯数!AH34</f>
        <v>97275</v>
      </c>
      <c r="AB138" s="730">
        <f>世帯数!AI34</f>
        <v>97677</v>
      </c>
      <c r="AC138" s="730">
        <f>世帯数!AJ34</f>
        <v>98755</v>
      </c>
      <c r="AD138" s="730">
        <f>世帯数!AK34</f>
        <v>99760</v>
      </c>
      <c r="AE138" s="730">
        <f>世帯数!AL34</f>
        <v>100911</v>
      </c>
      <c r="AF138" s="730">
        <f>世帯数!AM34</f>
        <v>102150</v>
      </c>
      <c r="AG138" s="730">
        <f>世帯数!AN34</f>
        <v>103224</v>
      </c>
      <c r="AH138" s="730">
        <f>世帯数!AO34</f>
        <v>103187</v>
      </c>
      <c r="AI138" s="730">
        <f>世帯数!AP34</f>
        <v>103853</v>
      </c>
      <c r="AJ138" s="730">
        <f>世帯数!AQ34</f>
        <v>104456</v>
      </c>
      <c r="AK138" s="730">
        <f>世帯数!AR34</f>
        <v>105248</v>
      </c>
      <c r="AL138" s="730">
        <f>世帯数!AS34</f>
        <v>106078</v>
      </c>
      <c r="AM138" s="730">
        <f>世帯数!AT34</f>
        <v>108541</v>
      </c>
      <c r="AN138" s="730">
        <f>世帯数!AU34</f>
        <v>111004</v>
      </c>
    </row>
    <row r="139" spans="1:40">
      <c r="A139" s="768" t="s">
        <v>231</v>
      </c>
      <c r="B139" s="769"/>
      <c r="C139" s="762">
        <f>世帯数!I35</f>
        <v>13007</v>
      </c>
      <c r="D139" s="742">
        <f>世帯数!J35</f>
        <v>13132</v>
      </c>
      <c r="E139" s="742">
        <f>世帯数!K35</f>
        <v>13353</v>
      </c>
      <c r="F139" s="742">
        <f>世帯数!L35</f>
        <v>13581</v>
      </c>
      <c r="G139" s="742">
        <f>世帯数!M35</f>
        <v>13754</v>
      </c>
      <c r="H139" s="762">
        <f>世帯数!N35</f>
        <v>13880</v>
      </c>
      <c r="I139" s="742">
        <f>世帯数!O35</f>
        <v>14133</v>
      </c>
      <c r="J139" s="742">
        <f>世帯数!P35</f>
        <v>14353</v>
      </c>
      <c r="K139" s="742">
        <f>世帯数!Q35</f>
        <v>14545</v>
      </c>
      <c r="L139" s="742">
        <f>世帯数!R35</f>
        <v>14721</v>
      </c>
      <c r="M139" s="762">
        <f>世帯数!S35</f>
        <v>14657</v>
      </c>
      <c r="N139" s="742">
        <f>世帯数!T35</f>
        <v>14743</v>
      </c>
      <c r="O139" s="742">
        <f>世帯数!U35</f>
        <v>14809</v>
      </c>
      <c r="P139" s="742">
        <f>世帯数!V35</f>
        <v>14923</v>
      </c>
      <c r="Q139" s="742">
        <f>世帯数!W35</f>
        <v>15007</v>
      </c>
      <c r="R139" s="762">
        <f>世帯数!X35</f>
        <v>15152</v>
      </c>
      <c r="S139" s="742">
        <f>世帯数!Z35</f>
        <v>14776</v>
      </c>
      <c r="T139" s="742">
        <f>世帯数!AA35</f>
        <v>14844</v>
      </c>
      <c r="U139" s="742">
        <f>世帯数!AB35</f>
        <v>15054</v>
      </c>
      <c r="V139" s="742">
        <f>世帯数!AC35</f>
        <v>15216</v>
      </c>
      <c r="W139" s="730">
        <f>世帯数!AD35</f>
        <v>14989</v>
      </c>
      <c r="X139" s="730">
        <f>世帯数!AE35</f>
        <v>15059</v>
      </c>
      <c r="Y139" s="730">
        <f>世帯数!AF35</f>
        <v>15054</v>
      </c>
      <c r="Z139" s="730">
        <f>世帯数!AG35</f>
        <v>15079</v>
      </c>
      <c r="AA139" s="730">
        <f>世帯数!AH35</f>
        <v>15054</v>
      </c>
      <c r="AB139" s="730">
        <f>世帯数!AI35</f>
        <v>15049</v>
      </c>
      <c r="AC139" s="730">
        <f>世帯数!AJ35</f>
        <v>15033</v>
      </c>
      <c r="AD139" s="730">
        <f>世帯数!AK35</f>
        <v>15022</v>
      </c>
      <c r="AE139" s="730">
        <f>世帯数!AL35</f>
        <v>15085</v>
      </c>
      <c r="AF139" s="730">
        <f>世帯数!AM35</f>
        <v>15118</v>
      </c>
      <c r="AG139" s="730">
        <f>世帯数!AN35</f>
        <v>15167</v>
      </c>
      <c r="AH139" s="730">
        <f>世帯数!AO35</f>
        <v>15037</v>
      </c>
      <c r="AI139" s="730">
        <f>世帯数!AP35</f>
        <v>15070</v>
      </c>
      <c r="AJ139" s="730">
        <f>世帯数!AQ35</f>
        <v>15092</v>
      </c>
      <c r="AK139" s="730">
        <f>世帯数!AR35</f>
        <v>15137</v>
      </c>
      <c r="AL139" s="730">
        <f>世帯数!AS35</f>
        <v>15132</v>
      </c>
      <c r="AM139" s="730">
        <f>世帯数!AT35</f>
        <v>15006</v>
      </c>
      <c r="AN139" s="730">
        <f>世帯数!AU35</f>
        <v>14880</v>
      </c>
    </row>
    <row r="140" spans="1:40">
      <c r="A140" s="768" t="s">
        <v>232</v>
      </c>
      <c r="B140" s="769"/>
      <c r="C140" s="762">
        <f>世帯数!I36</f>
        <v>23297</v>
      </c>
      <c r="D140" s="742">
        <f>世帯数!J36</f>
        <v>23700</v>
      </c>
      <c r="E140" s="742">
        <f>世帯数!K36</f>
        <v>24142</v>
      </c>
      <c r="F140" s="742">
        <f>世帯数!L36</f>
        <v>24466</v>
      </c>
      <c r="G140" s="742">
        <f>世帯数!M36</f>
        <v>24841</v>
      </c>
      <c r="H140" s="762">
        <f>世帯数!N36</f>
        <v>25377</v>
      </c>
      <c r="I140" s="742">
        <f>世帯数!O36</f>
        <v>25985</v>
      </c>
      <c r="J140" s="742">
        <f>世帯数!P36</f>
        <v>26568</v>
      </c>
      <c r="K140" s="742">
        <f>世帯数!Q36</f>
        <v>26978</v>
      </c>
      <c r="L140" s="742">
        <f>世帯数!R36</f>
        <v>26089</v>
      </c>
      <c r="M140" s="762">
        <f>世帯数!S36</f>
        <v>26564</v>
      </c>
      <c r="N140" s="742">
        <f>世帯数!T36</f>
        <v>26947</v>
      </c>
      <c r="O140" s="742">
        <f>世帯数!U36</f>
        <v>27250</v>
      </c>
      <c r="P140" s="742">
        <f>世帯数!V36</f>
        <v>27507</v>
      </c>
      <c r="Q140" s="742">
        <f>世帯数!W36</f>
        <v>27849</v>
      </c>
      <c r="R140" s="762">
        <f>世帯数!X36</f>
        <v>28195</v>
      </c>
      <c r="S140" s="742">
        <f>世帯数!Z36</f>
        <v>28071</v>
      </c>
      <c r="T140" s="742">
        <f>世帯数!AA36</f>
        <v>28414</v>
      </c>
      <c r="U140" s="742">
        <f>世帯数!AB36</f>
        <v>28831</v>
      </c>
      <c r="V140" s="742">
        <f>世帯数!AC36</f>
        <v>29141</v>
      </c>
      <c r="W140" s="730">
        <f>世帯数!AD36</f>
        <v>28506</v>
      </c>
      <c r="X140" s="730">
        <f>世帯数!AE36</f>
        <v>28575</v>
      </c>
      <c r="Y140" s="730">
        <f>世帯数!AF36</f>
        <v>28521</v>
      </c>
      <c r="Z140" s="730">
        <f>世帯数!AG36</f>
        <v>28466</v>
      </c>
      <c r="AA140" s="730">
        <f>世帯数!AH36</f>
        <v>28489</v>
      </c>
      <c r="AB140" s="730">
        <f>世帯数!AI36</f>
        <v>28653</v>
      </c>
      <c r="AC140" s="730">
        <f>世帯数!AJ36</f>
        <v>28964</v>
      </c>
      <c r="AD140" s="730">
        <f>世帯数!AK36</f>
        <v>29297</v>
      </c>
      <c r="AE140" s="730">
        <f>世帯数!AL36</f>
        <v>29637</v>
      </c>
      <c r="AF140" s="730">
        <f>世帯数!AM36</f>
        <v>29972</v>
      </c>
      <c r="AG140" s="730">
        <f>世帯数!AN36</f>
        <v>30370</v>
      </c>
      <c r="AH140" s="730">
        <f>世帯数!AO36</f>
        <v>30449</v>
      </c>
      <c r="AI140" s="730">
        <f>世帯数!AP36</f>
        <v>30623</v>
      </c>
      <c r="AJ140" s="730">
        <f>世帯数!AQ36</f>
        <v>30815</v>
      </c>
      <c r="AK140" s="730">
        <f>世帯数!AR36</f>
        <v>31024</v>
      </c>
      <c r="AL140" s="730">
        <f>世帯数!AS36</f>
        <v>31290</v>
      </c>
      <c r="AM140" s="730">
        <f>世帯数!AT36</f>
        <v>31887</v>
      </c>
      <c r="AN140" s="730">
        <f>世帯数!AU36</f>
        <v>32484</v>
      </c>
    </row>
    <row r="141" spans="1:40">
      <c r="A141" s="741" t="s">
        <v>200</v>
      </c>
      <c r="B141" s="765"/>
      <c r="C141" s="762">
        <f>世帯数!I37</f>
        <v>12164</v>
      </c>
      <c r="D141" s="742">
        <f>世帯数!J37</f>
        <v>12457</v>
      </c>
      <c r="E141" s="742">
        <f>世帯数!K37</f>
        <v>12811</v>
      </c>
      <c r="F141" s="742">
        <f>世帯数!L37</f>
        <v>13170</v>
      </c>
      <c r="G141" s="742">
        <f>世帯数!M37</f>
        <v>13513</v>
      </c>
      <c r="H141" s="762">
        <f>世帯数!N37</f>
        <v>13881</v>
      </c>
      <c r="I141" s="742">
        <f>世帯数!O37</f>
        <v>14132</v>
      </c>
      <c r="J141" s="742">
        <f>世帯数!P37</f>
        <v>14432</v>
      </c>
      <c r="K141" s="742">
        <f>世帯数!Q37</f>
        <v>14831</v>
      </c>
      <c r="L141" s="742">
        <f>世帯数!R37</f>
        <v>15186</v>
      </c>
      <c r="M141" s="762">
        <f>世帯数!S37</f>
        <v>14881</v>
      </c>
      <c r="N141" s="742">
        <f>世帯数!T37</f>
        <v>15063</v>
      </c>
      <c r="O141" s="742">
        <f>世帯数!U37</f>
        <v>15264</v>
      </c>
      <c r="P141" s="742">
        <f>世帯数!V37</f>
        <v>15535</v>
      </c>
      <c r="Q141" s="742">
        <f>世帯数!W37</f>
        <v>15745</v>
      </c>
      <c r="R141" s="762">
        <f>世帯数!X37</f>
        <v>16003</v>
      </c>
      <c r="S141" s="742">
        <f>世帯数!Z37</f>
        <v>16093</v>
      </c>
      <c r="T141" s="742">
        <f>世帯数!AA37</f>
        <v>16314</v>
      </c>
      <c r="U141" s="742">
        <f>世帯数!AB37</f>
        <v>16582</v>
      </c>
      <c r="V141" s="742">
        <f>世帯数!AC37</f>
        <v>16923</v>
      </c>
      <c r="W141" s="730">
        <f>世帯数!AD37</f>
        <v>16470</v>
      </c>
      <c r="X141" s="730">
        <f>世帯数!AE37</f>
        <v>16639</v>
      </c>
      <c r="Y141" s="730">
        <f>世帯数!AF37</f>
        <v>16740</v>
      </c>
      <c r="Z141" s="730">
        <f>世帯数!AG37</f>
        <v>16844</v>
      </c>
      <c r="AA141" s="730">
        <f>世帯数!AH37</f>
        <v>16893</v>
      </c>
      <c r="AB141" s="730">
        <f>世帯数!AI37</f>
        <v>16860</v>
      </c>
      <c r="AC141" s="730">
        <f>世帯数!AJ37</f>
        <v>17005</v>
      </c>
      <c r="AD141" s="730">
        <f>世帯数!AK37</f>
        <v>17268</v>
      </c>
      <c r="AE141" s="730">
        <f>世帯数!AL37</f>
        <v>17440</v>
      </c>
      <c r="AF141" s="730">
        <f>世帯数!AM37</f>
        <v>17663</v>
      </c>
      <c r="AG141" s="730">
        <f>世帯数!AN37</f>
        <v>17810</v>
      </c>
      <c r="AH141" s="730">
        <f>世帯数!AO37</f>
        <v>17985</v>
      </c>
      <c r="AI141" s="730">
        <f>世帯数!AP37</f>
        <v>18122</v>
      </c>
      <c r="AJ141" s="730">
        <f>世帯数!AQ37</f>
        <v>18302</v>
      </c>
      <c r="AK141" s="730">
        <f>世帯数!AR37</f>
        <v>18408</v>
      </c>
      <c r="AL141" s="730">
        <f>世帯数!AS37</f>
        <v>18752</v>
      </c>
      <c r="AM141" s="730">
        <f>世帯数!AT37</f>
        <v>19784</v>
      </c>
      <c r="AN141" s="730">
        <f>世帯数!AU37</f>
        <v>20816</v>
      </c>
    </row>
    <row r="142" spans="1:40">
      <c r="A142" s="741" t="s">
        <v>201</v>
      </c>
      <c r="B142" s="765"/>
      <c r="C142" s="762">
        <f>世帯数!I38</f>
        <v>13280</v>
      </c>
      <c r="D142" s="742">
        <f>世帯数!J38</f>
        <v>14007</v>
      </c>
      <c r="E142" s="742">
        <f>世帯数!K38</f>
        <v>14182</v>
      </c>
      <c r="F142" s="742">
        <f>世帯数!L38</f>
        <v>14451</v>
      </c>
      <c r="G142" s="742">
        <f>世帯数!M38</f>
        <v>14740</v>
      </c>
      <c r="H142" s="762">
        <f>世帯数!N38</f>
        <v>13925</v>
      </c>
      <c r="I142" s="742">
        <f>世帯数!O38</f>
        <v>14095</v>
      </c>
      <c r="J142" s="742">
        <f>世帯数!P38</f>
        <v>14332</v>
      </c>
      <c r="K142" s="742">
        <f>世帯数!Q38</f>
        <v>14468</v>
      </c>
      <c r="L142" s="742">
        <f>世帯数!R38</f>
        <v>14692</v>
      </c>
      <c r="M142" s="762">
        <f>世帯数!S38</f>
        <v>14631</v>
      </c>
      <c r="N142" s="742">
        <f>世帯数!T38</f>
        <v>14880</v>
      </c>
      <c r="O142" s="742">
        <f>世帯数!U38</f>
        <v>14937</v>
      </c>
      <c r="P142" s="742">
        <f>世帯数!V38</f>
        <v>15048</v>
      </c>
      <c r="Q142" s="742">
        <f>世帯数!W38</f>
        <v>15227</v>
      </c>
      <c r="R142" s="762">
        <f>世帯数!X38</f>
        <v>15355</v>
      </c>
      <c r="S142" s="742">
        <f>世帯数!Z38</f>
        <v>15180</v>
      </c>
      <c r="T142" s="742">
        <f>世帯数!AA38</f>
        <v>15283</v>
      </c>
      <c r="U142" s="742">
        <f>世帯数!AB38</f>
        <v>15405</v>
      </c>
      <c r="V142" s="742">
        <f>世帯数!AC38</f>
        <v>15412</v>
      </c>
      <c r="W142" s="730">
        <f>世帯数!AD38</f>
        <v>15188</v>
      </c>
      <c r="X142" s="730">
        <f>世帯数!AE38</f>
        <v>15218</v>
      </c>
      <c r="Y142" s="730">
        <f>世帯数!AF38</f>
        <v>15248</v>
      </c>
      <c r="Z142" s="730">
        <f>世帯数!AG38</f>
        <v>15226</v>
      </c>
      <c r="AA142" s="730">
        <f>世帯数!AH38</f>
        <v>15315</v>
      </c>
      <c r="AB142" s="730">
        <f>世帯数!AI38</f>
        <v>15364</v>
      </c>
      <c r="AC142" s="730">
        <f>世帯数!AJ38</f>
        <v>15543</v>
      </c>
      <c r="AD142" s="730">
        <f>世帯数!AK38</f>
        <v>15683</v>
      </c>
      <c r="AE142" s="730">
        <f>世帯数!AL38</f>
        <v>15978</v>
      </c>
      <c r="AF142" s="730">
        <f>世帯数!AM38</f>
        <v>16157</v>
      </c>
      <c r="AG142" s="730">
        <f>世帯数!AN38</f>
        <v>16245</v>
      </c>
      <c r="AH142" s="730">
        <f>世帯数!AO38</f>
        <v>16159</v>
      </c>
      <c r="AI142" s="730">
        <f>世帯数!AP38</f>
        <v>16257</v>
      </c>
      <c r="AJ142" s="730">
        <f>世帯数!AQ38</f>
        <v>16375</v>
      </c>
      <c r="AK142" s="730">
        <f>世帯数!AR38</f>
        <v>16556</v>
      </c>
      <c r="AL142" s="730">
        <f>世帯数!AS38</f>
        <v>16606</v>
      </c>
      <c r="AM142" s="730">
        <f>世帯数!AT38</f>
        <v>16870</v>
      </c>
      <c r="AN142" s="730">
        <f>世帯数!AU38</f>
        <v>17134</v>
      </c>
    </row>
    <row r="143" spans="1:40">
      <c r="A143" s="741" t="s">
        <v>239</v>
      </c>
      <c r="B143" s="765"/>
      <c r="C143" s="762">
        <f>世帯数!I39</f>
        <v>10323</v>
      </c>
      <c r="D143" s="742">
        <f>世帯数!J39</f>
        <v>10605</v>
      </c>
      <c r="E143" s="742">
        <f>世帯数!K39</f>
        <v>10817</v>
      </c>
      <c r="F143" s="742">
        <f>世帯数!L39</f>
        <v>11076</v>
      </c>
      <c r="G143" s="742">
        <f>世帯数!M39</f>
        <v>11249</v>
      </c>
      <c r="H143" s="762">
        <f>世帯数!N39</f>
        <v>11577</v>
      </c>
      <c r="I143" s="742">
        <f>世帯数!O39</f>
        <v>11934</v>
      </c>
      <c r="J143" s="742">
        <f>世帯数!P39</f>
        <v>12210</v>
      </c>
      <c r="K143" s="742">
        <f>世帯数!Q39</f>
        <v>12403</v>
      </c>
      <c r="L143" s="742">
        <f>世帯数!R39</f>
        <v>12549</v>
      </c>
      <c r="M143" s="762">
        <f>世帯数!S39</f>
        <v>12773</v>
      </c>
      <c r="N143" s="742">
        <f>世帯数!T39</f>
        <v>12892</v>
      </c>
      <c r="O143" s="742">
        <f>世帯数!U39</f>
        <v>12951</v>
      </c>
      <c r="P143" s="742">
        <f>世帯数!V39</f>
        <v>12998</v>
      </c>
      <c r="Q143" s="742">
        <f>世帯数!W39</f>
        <v>13095</v>
      </c>
      <c r="R143" s="762">
        <f>世帯数!X39</f>
        <v>13279</v>
      </c>
      <c r="S143" s="742">
        <f>世帯数!Z39</f>
        <v>13322</v>
      </c>
      <c r="T143" s="742">
        <f>世帯数!AA39</f>
        <v>13487</v>
      </c>
      <c r="U143" s="742">
        <f>世帯数!AB39</f>
        <v>13620</v>
      </c>
      <c r="V143" s="742">
        <f>世帯数!AC39</f>
        <v>13775</v>
      </c>
      <c r="W143" s="730">
        <f>世帯数!AD39</f>
        <v>14133</v>
      </c>
      <c r="X143" s="730">
        <f>世帯数!AE39</f>
        <v>14311</v>
      </c>
      <c r="Y143" s="730">
        <f>世帯数!AF39</f>
        <v>14507</v>
      </c>
      <c r="Z143" s="730">
        <f>世帯数!AG39</f>
        <v>14672</v>
      </c>
      <c r="AA143" s="730">
        <f>世帯数!AH39</f>
        <v>14816</v>
      </c>
      <c r="AB143" s="730">
        <f>世帯数!AI39</f>
        <v>15086</v>
      </c>
      <c r="AC143" s="730">
        <f>世帯数!AJ39</f>
        <v>15563</v>
      </c>
      <c r="AD143" s="730">
        <f>世帯数!AK39</f>
        <v>15885</v>
      </c>
      <c r="AE143" s="730">
        <f>世帯数!AL39</f>
        <v>16205</v>
      </c>
      <c r="AF143" s="730">
        <f>世帯数!AM39</f>
        <v>16671</v>
      </c>
      <c r="AG143" s="730">
        <f>世帯数!AN39</f>
        <v>17070</v>
      </c>
      <c r="AH143" s="730">
        <f>世帯数!AO39</f>
        <v>17013</v>
      </c>
      <c r="AI143" s="730">
        <f>世帯数!AP39</f>
        <v>17192</v>
      </c>
      <c r="AJ143" s="730">
        <f>世帯数!AQ39</f>
        <v>17354</v>
      </c>
      <c r="AK143" s="730">
        <f>世帯数!AR39</f>
        <v>17565</v>
      </c>
      <c r="AL143" s="730">
        <f>世帯数!AS39</f>
        <v>17687</v>
      </c>
      <c r="AM143" s="730">
        <f>世帯数!AT39</f>
        <v>18206</v>
      </c>
      <c r="AN143" s="730">
        <f>世帯数!AU39</f>
        <v>18725</v>
      </c>
    </row>
    <row r="144" spans="1:40">
      <c r="A144" s="741" t="s">
        <v>233</v>
      </c>
      <c r="B144" s="765"/>
      <c r="C144" s="762">
        <f>世帯数!I40</f>
        <v>6155</v>
      </c>
      <c r="D144" s="742">
        <f>世帯数!J40</f>
        <v>6403</v>
      </c>
      <c r="E144" s="742">
        <f>世帯数!K40</f>
        <v>6466</v>
      </c>
      <c r="F144" s="742">
        <f>世帯数!L40</f>
        <v>6507</v>
      </c>
      <c r="G144" s="742">
        <f>世帯数!M40</f>
        <v>6541</v>
      </c>
      <c r="H144" s="762">
        <f>世帯数!N40</f>
        <v>6348</v>
      </c>
      <c r="I144" s="742">
        <f>世帯数!O40</f>
        <v>6408</v>
      </c>
      <c r="J144" s="742">
        <f>世帯数!P40</f>
        <v>6478</v>
      </c>
      <c r="K144" s="742">
        <f>世帯数!Q40</f>
        <v>6545</v>
      </c>
      <c r="L144" s="742">
        <f>世帯数!R40</f>
        <v>6646</v>
      </c>
      <c r="M144" s="762">
        <f>世帯数!S40</f>
        <v>6619</v>
      </c>
      <c r="N144" s="742">
        <f>世帯数!T40</f>
        <v>6632</v>
      </c>
      <c r="O144" s="742">
        <f>世帯数!U40</f>
        <v>6682</v>
      </c>
      <c r="P144" s="742">
        <f>世帯数!V40</f>
        <v>6716</v>
      </c>
      <c r="Q144" s="742">
        <f>世帯数!W40</f>
        <v>6787</v>
      </c>
      <c r="R144" s="762">
        <f>世帯数!X40</f>
        <v>6763</v>
      </c>
      <c r="S144" s="742">
        <f>世帯数!Z40</f>
        <v>6726</v>
      </c>
      <c r="T144" s="742">
        <f>世帯数!AA40</f>
        <v>6781</v>
      </c>
      <c r="U144" s="742">
        <f>世帯数!AB40</f>
        <v>6833</v>
      </c>
      <c r="V144" s="742">
        <f>世帯数!AC40</f>
        <v>6832</v>
      </c>
      <c r="W144" s="730">
        <f>世帯数!AD40</f>
        <v>6709</v>
      </c>
      <c r="X144" s="730">
        <f>世帯数!AE40</f>
        <v>6698</v>
      </c>
      <c r="Y144" s="730">
        <f>世帯数!AF40</f>
        <v>6746</v>
      </c>
      <c r="Z144" s="730">
        <f>世帯数!AG40</f>
        <v>6750</v>
      </c>
      <c r="AA144" s="730">
        <f>世帯数!AH40</f>
        <v>6708</v>
      </c>
      <c r="AB144" s="730">
        <f>世帯数!AI40</f>
        <v>6665</v>
      </c>
      <c r="AC144" s="730">
        <f>世帯数!AJ40</f>
        <v>6647</v>
      </c>
      <c r="AD144" s="730">
        <f>世帯数!AK40</f>
        <v>6605</v>
      </c>
      <c r="AE144" s="730">
        <f>世帯数!AL40</f>
        <v>6566</v>
      </c>
      <c r="AF144" s="730">
        <f>世帯数!AM40</f>
        <v>6569</v>
      </c>
      <c r="AG144" s="730">
        <f>世帯数!AN40</f>
        <v>6562</v>
      </c>
      <c r="AH144" s="730">
        <f>世帯数!AO40</f>
        <v>6544</v>
      </c>
      <c r="AI144" s="730">
        <f>世帯数!AP40</f>
        <v>6589</v>
      </c>
      <c r="AJ144" s="730">
        <f>世帯数!AQ40</f>
        <v>6518</v>
      </c>
      <c r="AK144" s="730">
        <f>世帯数!AR40</f>
        <v>6558</v>
      </c>
      <c r="AL144" s="730">
        <f>世帯数!AS40</f>
        <v>6611</v>
      </c>
      <c r="AM144" s="730">
        <f>世帯数!AT40</f>
        <v>6788</v>
      </c>
      <c r="AN144" s="730">
        <f>世帯数!AU40</f>
        <v>6965</v>
      </c>
    </row>
    <row r="145" spans="1:40">
      <c r="A145" s="766" t="s">
        <v>202</v>
      </c>
      <c r="B145" s="767"/>
      <c r="C145" s="762">
        <f>世帯数!I41</f>
        <v>171000</v>
      </c>
      <c r="D145" s="742">
        <f>世帯数!J41</f>
        <v>175061</v>
      </c>
      <c r="E145" s="742">
        <f>世帯数!K41</f>
        <v>178608</v>
      </c>
      <c r="F145" s="742">
        <f>世帯数!L41</f>
        <v>182058</v>
      </c>
      <c r="G145" s="742">
        <f>世帯数!M41</f>
        <v>185923</v>
      </c>
      <c r="H145" s="762">
        <f>世帯数!N41</f>
        <v>187919</v>
      </c>
      <c r="I145" s="742">
        <f>世帯数!O41</f>
        <v>191374</v>
      </c>
      <c r="J145" s="742">
        <f>世帯数!P41</f>
        <v>194443</v>
      </c>
      <c r="K145" s="742">
        <f>世帯数!Q41</f>
        <v>197204</v>
      </c>
      <c r="L145" s="742">
        <f>世帯数!R41</f>
        <v>199636</v>
      </c>
      <c r="M145" s="762">
        <f>世帯数!S41</f>
        <v>200469</v>
      </c>
      <c r="N145" s="742">
        <f>世帯数!T41</f>
        <v>203471</v>
      </c>
      <c r="O145" s="742">
        <f>世帯数!U41</f>
        <v>205890</v>
      </c>
      <c r="P145" s="742">
        <f>世帯数!V41</f>
        <v>208594</v>
      </c>
      <c r="Q145" s="742">
        <f>世帯数!W41</f>
        <v>210947</v>
      </c>
      <c r="R145" s="762">
        <f>世帯数!X41</f>
        <v>213481</v>
      </c>
      <c r="S145" s="742">
        <f>世帯数!Z41</f>
        <v>213798</v>
      </c>
      <c r="T145" s="742">
        <f>世帯数!AA41</f>
        <v>216708</v>
      </c>
      <c r="U145" s="742">
        <f>世帯数!AB41</f>
        <v>219369</v>
      </c>
      <c r="V145" s="742">
        <f>世帯数!AC41</f>
        <v>221880</v>
      </c>
      <c r="W145" s="730">
        <f>世帯数!AD41</f>
        <v>220389</v>
      </c>
      <c r="X145" s="730">
        <f>世帯数!AE41</f>
        <v>222347</v>
      </c>
      <c r="Y145" s="730">
        <f>世帯数!AF41</f>
        <v>222495</v>
      </c>
      <c r="Z145" s="730">
        <f>世帯数!AG41</f>
        <v>224939</v>
      </c>
      <c r="AA145" s="730">
        <f>世帯数!AH41</f>
        <v>226494</v>
      </c>
      <c r="AB145" s="730">
        <f>世帯数!AI41</f>
        <v>227839</v>
      </c>
      <c r="AC145" s="730">
        <f>世帯数!AJ41</f>
        <v>230214</v>
      </c>
      <c r="AD145" s="730">
        <f>世帯数!AK41</f>
        <v>232463</v>
      </c>
      <c r="AE145" s="730">
        <f>世帯数!AL41</f>
        <v>234546</v>
      </c>
      <c r="AF145" s="730">
        <f>世帯数!AM41</f>
        <v>237447</v>
      </c>
      <c r="AG145" s="730">
        <f>世帯数!AN41</f>
        <v>240004</v>
      </c>
      <c r="AH145" s="730">
        <f>世帯数!AO41</f>
        <v>241224</v>
      </c>
      <c r="AI145" s="730">
        <f>世帯数!AP41</f>
        <v>243478</v>
      </c>
      <c r="AJ145" s="730">
        <f>世帯数!AQ41</f>
        <v>245507</v>
      </c>
      <c r="AK145" s="730">
        <f>世帯数!AR41</f>
        <v>247360</v>
      </c>
      <c r="AL145" s="730">
        <f>世帯数!AS41</f>
        <v>249252</v>
      </c>
      <c r="AM145" s="730">
        <f>世帯数!AT41</f>
        <v>255612</v>
      </c>
      <c r="AN145" s="730">
        <f>世帯数!AU41</f>
        <v>261972</v>
      </c>
    </row>
    <row r="146" spans="1:40">
      <c r="A146" s="768" t="s">
        <v>240</v>
      </c>
      <c r="B146" s="769"/>
      <c r="C146" s="762">
        <f>世帯数!I42</f>
        <v>158060</v>
      </c>
      <c r="D146" s="742">
        <f>世帯数!J42</f>
        <v>161924</v>
      </c>
      <c r="E146" s="742">
        <f>世帯数!K42</f>
        <v>165251</v>
      </c>
      <c r="F146" s="742">
        <f>世帯数!L42</f>
        <v>168621</v>
      </c>
      <c r="G146" s="742">
        <f>世帯数!M42</f>
        <v>172370</v>
      </c>
      <c r="H146" s="762">
        <f>世帯数!N42</f>
        <v>174833</v>
      </c>
      <c r="I146" s="742">
        <f>世帯数!O42</f>
        <v>178164</v>
      </c>
      <c r="J146" s="742">
        <f>世帯数!P42</f>
        <v>181028</v>
      </c>
      <c r="K146" s="742">
        <f>世帯数!Q42</f>
        <v>183632</v>
      </c>
      <c r="L146" s="742">
        <f>世帯数!R42</f>
        <v>185913</v>
      </c>
      <c r="M146" s="762">
        <f>世帯数!S42</f>
        <v>186708</v>
      </c>
      <c r="N146" s="742">
        <f>世帯数!T42</f>
        <v>189394</v>
      </c>
      <c r="O146" s="742">
        <f>世帯数!U42</f>
        <v>191615</v>
      </c>
      <c r="P146" s="742">
        <f>世帯数!V42</f>
        <v>194156</v>
      </c>
      <c r="Q146" s="742">
        <f>世帯数!W42</f>
        <v>196371</v>
      </c>
      <c r="R146" s="762">
        <f>世帯数!X42</f>
        <v>198771</v>
      </c>
      <c r="S146" s="742">
        <f>世帯数!Z42</f>
        <v>199091</v>
      </c>
      <c r="T146" s="742">
        <f>世帯数!AA42</f>
        <v>201905</v>
      </c>
      <c r="U146" s="742">
        <f>世帯数!AB42</f>
        <v>204574</v>
      </c>
      <c r="V146" s="742">
        <f>世帯数!AC42</f>
        <v>207078</v>
      </c>
      <c r="W146" s="730">
        <f>世帯数!AD42</f>
        <v>205587</v>
      </c>
      <c r="X146" s="730">
        <f>世帯数!AE42</f>
        <v>207475</v>
      </c>
      <c r="Y146" s="730">
        <f>世帯数!AF42</f>
        <v>207672</v>
      </c>
      <c r="Z146" s="730">
        <f>世帯数!AG42</f>
        <v>210033</v>
      </c>
      <c r="AA146" s="730">
        <f>世帯数!AH42</f>
        <v>211555</v>
      </c>
      <c r="AB146" s="730">
        <f>世帯数!AI42</f>
        <v>212801</v>
      </c>
      <c r="AC146" s="730">
        <f>世帯数!AJ42</f>
        <v>214927</v>
      </c>
      <c r="AD146" s="730">
        <f>世帯数!AK42</f>
        <v>216954</v>
      </c>
      <c r="AE146" s="730">
        <f>世帯数!AL42</f>
        <v>218901</v>
      </c>
      <c r="AF146" s="730">
        <f>世帯数!AM42</f>
        <v>221596</v>
      </c>
      <c r="AG146" s="730">
        <f>世帯数!AN42</f>
        <v>224106</v>
      </c>
      <c r="AH146" s="730">
        <f>世帯数!AO42</f>
        <v>225352</v>
      </c>
      <c r="AI146" s="730">
        <f>世帯数!AP42</f>
        <v>227558</v>
      </c>
      <c r="AJ146" s="730">
        <f>世帯数!AQ42</f>
        <v>229379</v>
      </c>
      <c r="AK146" s="730">
        <f>世帯数!AR42</f>
        <v>231206</v>
      </c>
      <c r="AL146" s="730">
        <f>世帯数!AS42</f>
        <v>233116</v>
      </c>
      <c r="AM146" s="730">
        <f>世帯数!AT42</f>
        <v>239593</v>
      </c>
      <c r="AN146" s="730">
        <f>世帯数!AU42</f>
        <v>246070</v>
      </c>
    </row>
    <row r="147" spans="1:40">
      <c r="A147" s="741" t="s">
        <v>203</v>
      </c>
      <c r="B147" s="765"/>
      <c r="C147" s="762">
        <f>世帯数!I43</f>
        <v>3907</v>
      </c>
      <c r="D147" s="742">
        <f>世帯数!J43</f>
        <v>3998</v>
      </c>
      <c r="E147" s="742">
        <f>世帯数!K43</f>
        <v>4084</v>
      </c>
      <c r="F147" s="742">
        <f>世帯数!L43</f>
        <v>4091</v>
      </c>
      <c r="G147" s="742">
        <f>世帯数!M43</f>
        <v>4154</v>
      </c>
      <c r="H147" s="762">
        <f>世帯数!N43</f>
        <v>4082</v>
      </c>
      <c r="I147" s="742">
        <f>世帯数!O43</f>
        <v>4106</v>
      </c>
      <c r="J147" s="742">
        <f>世帯数!P43</f>
        <v>4157</v>
      </c>
      <c r="K147" s="742">
        <f>世帯数!Q43</f>
        <v>4198</v>
      </c>
      <c r="L147" s="742">
        <f>世帯数!R43</f>
        <v>4231</v>
      </c>
      <c r="M147" s="762">
        <f>世帯数!S43</f>
        <v>4217</v>
      </c>
      <c r="N147" s="742">
        <f>世帯数!T43</f>
        <v>4294</v>
      </c>
      <c r="O147" s="742">
        <f>世帯数!U43</f>
        <v>4290</v>
      </c>
      <c r="P147" s="742">
        <f>世帯数!V43</f>
        <v>4311</v>
      </c>
      <c r="Q147" s="742">
        <f>世帯数!W43</f>
        <v>4322</v>
      </c>
      <c r="R147" s="762">
        <f>世帯数!X43</f>
        <v>4351</v>
      </c>
      <c r="S147" s="742">
        <f>世帯数!Z43</f>
        <v>4384</v>
      </c>
      <c r="T147" s="742">
        <f>世帯数!AA43</f>
        <v>4397</v>
      </c>
      <c r="U147" s="742">
        <f>世帯数!AB43</f>
        <v>4386</v>
      </c>
      <c r="V147" s="742">
        <f>世帯数!AC43</f>
        <v>4377</v>
      </c>
      <c r="W147" s="730">
        <f>世帯数!AD43</f>
        <v>4350</v>
      </c>
      <c r="X147" s="730">
        <f>世帯数!AE43</f>
        <v>4333</v>
      </c>
      <c r="Y147" s="730">
        <f>世帯数!AF43</f>
        <v>4328</v>
      </c>
      <c r="Z147" s="730">
        <f>世帯数!AG43</f>
        <v>4351</v>
      </c>
      <c r="AA147" s="730">
        <f>世帯数!AH43</f>
        <v>4342</v>
      </c>
      <c r="AB147" s="730">
        <f>世帯数!AI43</f>
        <v>4334</v>
      </c>
      <c r="AC147" s="730">
        <f>世帯数!AJ43</f>
        <v>4327</v>
      </c>
      <c r="AD147" s="730">
        <f>世帯数!AK43</f>
        <v>4362</v>
      </c>
      <c r="AE147" s="730">
        <f>世帯数!AL43</f>
        <v>4331</v>
      </c>
      <c r="AF147" s="730">
        <f>世帯数!AM43</f>
        <v>4333</v>
      </c>
      <c r="AG147" s="730">
        <f>世帯数!AN43</f>
        <v>4324</v>
      </c>
      <c r="AH147" s="730">
        <f>世帯数!AO43</f>
        <v>4299</v>
      </c>
      <c r="AI147" s="730">
        <f>世帯数!AP43</f>
        <v>4277</v>
      </c>
      <c r="AJ147" s="730">
        <f>世帯数!AQ43</f>
        <v>4264</v>
      </c>
      <c r="AK147" s="730">
        <f>世帯数!AR43</f>
        <v>4254</v>
      </c>
      <c r="AL147" s="730">
        <f>世帯数!AS43</f>
        <v>4207</v>
      </c>
      <c r="AM147" s="730">
        <f>世帯数!AT43</f>
        <v>4033</v>
      </c>
      <c r="AN147" s="730">
        <f>世帯数!AU43</f>
        <v>3859</v>
      </c>
    </row>
    <row r="148" spans="1:40">
      <c r="A148" s="741" t="s">
        <v>204</v>
      </c>
      <c r="B148" s="765"/>
      <c r="C148" s="762">
        <f>世帯数!I44</f>
        <v>4997</v>
      </c>
      <c r="D148" s="742">
        <f>世帯数!J44</f>
        <v>5088</v>
      </c>
      <c r="E148" s="742">
        <f>世帯数!K44</f>
        <v>5203</v>
      </c>
      <c r="F148" s="742">
        <f>世帯数!L44</f>
        <v>5237</v>
      </c>
      <c r="G148" s="742">
        <f>世帯数!M44</f>
        <v>5244</v>
      </c>
      <c r="H148" s="762">
        <f>世帯数!N44</f>
        <v>5328</v>
      </c>
      <c r="I148" s="742">
        <f>世帯数!O44</f>
        <v>5401</v>
      </c>
      <c r="J148" s="742">
        <f>世帯数!P44</f>
        <v>5498</v>
      </c>
      <c r="K148" s="742">
        <f>世帯数!Q44</f>
        <v>5588</v>
      </c>
      <c r="L148" s="742">
        <f>世帯数!R44</f>
        <v>5653</v>
      </c>
      <c r="M148" s="762">
        <f>世帯数!S44</f>
        <v>5697</v>
      </c>
      <c r="N148" s="742">
        <f>世帯数!T44</f>
        <v>5879</v>
      </c>
      <c r="O148" s="742">
        <f>世帯数!U44</f>
        <v>6069</v>
      </c>
      <c r="P148" s="742">
        <f>世帯数!V44</f>
        <v>6165</v>
      </c>
      <c r="Q148" s="742">
        <f>世帯数!W44</f>
        <v>6291</v>
      </c>
      <c r="R148" s="762">
        <f>世帯数!X44</f>
        <v>6374</v>
      </c>
      <c r="S148" s="742">
        <f>世帯数!Z44</f>
        <v>6497</v>
      </c>
      <c r="T148" s="742">
        <f>世帯数!AA44</f>
        <v>6586</v>
      </c>
      <c r="U148" s="742">
        <f>世帯数!AB44</f>
        <v>6587</v>
      </c>
      <c r="V148" s="742">
        <f>世帯数!AC44</f>
        <v>6580</v>
      </c>
      <c r="W148" s="730">
        <f>世帯数!AD44</f>
        <v>6639</v>
      </c>
      <c r="X148" s="730">
        <f>世帯数!AE44</f>
        <v>6727</v>
      </c>
      <c r="Y148" s="730">
        <f>世帯数!AF44</f>
        <v>6718</v>
      </c>
      <c r="Z148" s="730">
        <f>世帯数!AG44</f>
        <v>6754</v>
      </c>
      <c r="AA148" s="730">
        <f>世帯数!AH44</f>
        <v>6805</v>
      </c>
      <c r="AB148" s="730">
        <f>世帯数!AI44</f>
        <v>6906</v>
      </c>
      <c r="AC148" s="730">
        <f>世帯数!AJ44</f>
        <v>7124</v>
      </c>
      <c r="AD148" s="730">
        <f>世帯数!AK44</f>
        <v>7330</v>
      </c>
      <c r="AE148" s="730">
        <f>世帯数!AL44</f>
        <v>7521</v>
      </c>
      <c r="AF148" s="730">
        <f>世帯数!AM44</f>
        <v>7719</v>
      </c>
      <c r="AG148" s="730">
        <f>世帯数!AN44</f>
        <v>7795</v>
      </c>
      <c r="AH148" s="730">
        <f>世帯数!AO44</f>
        <v>7772</v>
      </c>
      <c r="AI148" s="730">
        <f>世帯数!AP44</f>
        <v>7848</v>
      </c>
      <c r="AJ148" s="730">
        <f>世帯数!AQ44</f>
        <v>8071</v>
      </c>
      <c r="AK148" s="730">
        <f>世帯数!AR44</f>
        <v>8091</v>
      </c>
      <c r="AL148" s="730">
        <f>世帯数!AS44</f>
        <v>8146</v>
      </c>
      <c r="AM148" s="730">
        <f>世帯数!AT44</f>
        <v>8254</v>
      </c>
      <c r="AN148" s="730">
        <f>世帯数!AU44</f>
        <v>8362</v>
      </c>
    </row>
    <row r="149" spans="1:40">
      <c r="A149" s="741" t="s">
        <v>234</v>
      </c>
      <c r="B149" s="765"/>
      <c r="C149" s="762">
        <f>世帯数!I45</f>
        <v>4036</v>
      </c>
      <c r="D149" s="742">
        <f>世帯数!J45</f>
        <v>4051</v>
      </c>
      <c r="E149" s="742">
        <f>世帯数!K45</f>
        <v>4070</v>
      </c>
      <c r="F149" s="742">
        <f>世帯数!L45</f>
        <v>4109</v>
      </c>
      <c r="G149" s="742">
        <f>世帯数!M45</f>
        <v>4155</v>
      </c>
      <c r="H149" s="762">
        <f>世帯数!N45</f>
        <v>3676</v>
      </c>
      <c r="I149" s="742">
        <f>世帯数!O45</f>
        <v>3703</v>
      </c>
      <c r="J149" s="742">
        <f>世帯数!P45</f>
        <v>3760</v>
      </c>
      <c r="K149" s="742">
        <f>世帯数!Q45</f>
        <v>3786</v>
      </c>
      <c r="L149" s="742">
        <f>世帯数!R45</f>
        <v>3839</v>
      </c>
      <c r="M149" s="762">
        <f>世帯数!S45</f>
        <v>3847</v>
      </c>
      <c r="N149" s="742">
        <f>世帯数!T45</f>
        <v>3904</v>
      </c>
      <c r="O149" s="742">
        <f>世帯数!U45</f>
        <v>3916</v>
      </c>
      <c r="P149" s="742">
        <f>世帯数!V45</f>
        <v>3962</v>
      </c>
      <c r="Q149" s="742">
        <f>世帯数!W45</f>
        <v>3963</v>
      </c>
      <c r="R149" s="762">
        <f>世帯数!X45</f>
        <v>3985</v>
      </c>
      <c r="S149" s="742">
        <f>世帯数!Z45</f>
        <v>3826</v>
      </c>
      <c r="T149" s="742">
        <f>世帯数!AA45</f>
        <v>3820</v>
      </c>
      <c r="U149" s="742">
        <f>世帯数!AB45</f>
        <v>3822</v>
      </c>
      <c r="V149" s="742">
        <f>世帯数!AC45</f>
        <v>3845</v>
      </c>
      <c r="W149" s="730">
        <f>世帯数!AD45</f>
        <v>3813</v>
      </c>
      <c r="X149" s="730">
        <f>世帯数!AE45</f>
        <v>3812</v>
      </c>
      <c r="Y149" s="730">
        <f>世帯数!AF45</f>
        <v>3777</v>
      </c>
      <c r="Z149" s="730">
        <f>世帯数!AG45</f>
        <v>3801</v>
      </c>
      <c r="AA149" s="730">
        <f>世帯数!AH45</f>
        <v>3792</v>
      </c>
      <c r="AB149" s="730">
        <f>世帯数!AI45</f>
        <v>3798</v>
      </c>
      <c r="AC149" s="730">
        <f>世帯数!AJ45</f>
        <v>3836</v>
      </c>
      <c r="AD149" s="730">
        <f>世帯数!AK45</f>
        <v>3817</v>
      </c>
      <c r="AE149" s="730">
        <f>世帯数!AL45</f>
        <v>3793</v>
      </c>
      <c r="AF149" s="730">
        <f>世帯数!AM45</f>
        <v>3799</v>
      </c>
      <c r="AG149" s="730">
        <f>世帯数!AN45</f>
        <v>3779</v>
      </c>
      <c r="AH149" s="730">
        <f>世帯数!AO45</f>
        <v>3801</v>
      </c>
      <c r="AI149" s="730">
        <f>世帯数!AP45</f>
        <v>3795</v>
      </c>
      <c r="AJ149" s="730">
        <f>世帯数!AQ45</f>
        <v>3793</v>
      </c>
      <c r="AK149" s="730">
        <f>世帯数!AR45</f>
        <v>3809</v>
      </c>
      <c r="AL149" s="730">
        <f>世帯数!AS45</f>
        <v>3783</v>
      </c>
      <c r="AM149" s="730">
        <f>世帯数!AT45</f>
        <v>3732</v>
      </c>
      <c r="AN149" s="730">
        <f>世帯数!AU45</f>
        <v>3681</v>
      </c>
    </row>
    <row r="150" spans="1:40">
      <c r="A150" s="766" t="s">
        <v>205</v>
      </c>
      <c r="B150" s="767"/>
      <c r="C150" s="762">
        <f>世帯数!I46</f>
        <v>81545</v>
      </c>
      <c r="D150" s="742">
        <f>世帯数!J46</f>
        <v>82338</v>
      </c>
      <c r="E150" s="742">
        <f>世帯数!K46</f>
        <v>83287</v>
      </c>
      <c r="F150" s="742">
        <f>世帯数!L46</f>
        <v>84335</v>
      </c>
      <c r="G150" s="742">
        <f>世帯数!M46</f>
        <v>85207</v>
      </c>
      <c r="H150" s="762">
        <f>世帯数!N46</f>
        <v>85721</v>
      </c>
      <c r="I150" s="742">
        <f>世帯数!O46</f>
        <v>86756</v>
      </c>
      <c r="J150" s="742">
        <f>世帯数!P46</f>
        <v>87888</v>
      </c>
      <c r="K150" s="742">
        <f>世帯数!Q46</f>
        <v>88969</v>
      </c>
      <c r="L150" s="742">
        <f>世帯数!R46</f>
        <v>90114</v>
      </c>
      <c r="M150" s="762">
        <f>世帯数!S46</f>
        <v>89736</v>
      </c>
      <c r="N150" s="742">
        <f>世帯数!T46</f>
        <v>90402</v>
      </c>
      <c r="O150" s="742">
        <f>世帯数!U46</f>
        <v>91086</v>
      </c>
      <c r="P150" s="742">
        <f>世帯数!V46</f>
        <v>91719</v>
      </c>
      <c r="Q150" s="742">
        <f>世帯数!W46</f>
        <v>92424</v>
      </c>
      <c r="R150" s="762">
        <f>世帯数!X46</f>
        <v>93219</v>
      </c>
      <c r="S150" s="742">
        <f>世帯数!Z46</f>
        <v>93658</v>
      </c>
      <c r="T150" s="742">
        <f>世帯数!AA46</f>
        <v>94391</v>
      </c>
      <c r="U150" s="742">
        <f>世帯数!AB46</f>
        <v>95136</v>
      </c>
      <c r="V150" s="742">
        <f>世帯数!AC46</f>
        <v>95783</v>
      </c>
      <c r="W150" s="730">
        <f>世帯数!AD46</f>
        <v>94755</v>
      </c>
      <c r="X150" s="730">
        <f>世帯数!AE46</f>
        <v>94880</v>
      </c>
      <c r="Y150" s="730">
        <f>世帯数!AF46</f>
        <v>94771</v>
      </c>
      <c r="Z150" s="730">
        <f>世帯数!AG46</f>
        <v>94827</v>
      </c>
      <c r="AA150" s="730">
        <f>世帯数!AH46</f>
        <v>94851</v>
      </c>
      <c r="AB150" s="730">
        <f>世帯数!AI46</f>
        <v>94817</v>
      </c>
      <c r="AC150" s="730">
        <f>世帯数!AJ46</f>
        <v>94995</v>
      </c>
      <c r="AD150" s="730">
        <f>世帯数!AK46</f>
        <v>95225</v>
      </c>
      <c r="AE150" s="730">
        <f>世帯数!AL46</f>
        <v>95126</v>
      </c>
      <c r="AF150" s="730">
        <f>世帯数!AM46</f>
        <v>95441</v>
      </c>
      <c r="AG150" s="730">
        <f>世帯数!AN46</f>
        <v>95577</v>
      </c>
      <c r="AH150" s="730">
        <f>世帯数!AO46</f>
        <v>95624</v>
      </c>
      <c r="AI150" s="730">
        <f>世帯数!AP46</f>
        <v>95965</v>
      </c>
      <c r="AJ150" s="730">
        <f>世帯数!AQ46</f>
        <v>96084</v>
      </c>
      <c r="AK150" s="730">
        <f>世帯数!AR46</f>
        <v>96098</v>
      </c>
      <c r="AL150" s="730">
        <f>世帯数!AS46</f>
        <v>96127</v>
      </c>
      <c r="AM150" s="730">
        <f>世帯数!AT46</f>
        <v>96289</v>
      </c>
      <c r="AN150" s="730">
        <f>世帯数!AU46</f>
        <v>96451</v>
      </c>
    </row>
    <row r="151" spans="1:40">
      <c r="A151" s="741" t="s">
        <v>206</v>
      </c>
      <c r="B151" s="765"/>
      <c r="C151" s="762">
        <f>世帯数!I47</f>
        <v>11456</v>
      </c>
      <c r="D151" s="742">
        <f>世帯数!J47</f>
        <v>11538</v>
      </c>
      <c r="E151" s="742">
        <f>世帯数!K47</f>
        <v>11647</v>
      </c>
      <c r="F151" s="742">
        <f>世帯数!L47</f>
        <v>11704</v>
      </c>
      <c r="G151" s="742">
        <f>世帯数!M47</f>
        <v>11765</v>
      </c>
      <c r="H151" s="762">
        <f>世帯数!N47</f>
        <v>11967</v>
      </c>
      <c r="I151" s="742">
        <f>世帯数!O47</f>
        <v>12003</v>
      </c>
      <c r="J151" s="742">
        <f>世帯数!P47</f>
        <v>12080</v>
      </c>
      <c r="K151" s="742">
        <f>世帯数!Q47</f>
        <v>12067</v>
      </c>
      <c r="L151" s="742">
        <f>世帯数!R47</f>
        <v>12108</v>
      </c>
      <c r="M151" s="762">
        <f>世帯数!S47</f>
        <v>11964</v>
      </c>
      <c r="N151" s="742">
        <f>世帯数!T47</f>
        <v>12047</v>
      </c>
      <c r="O151" s="742">
        <f>世帯数!U47</f>
        <v>12002</v>
      </c>
      <c r="P151" s="742">
        <f>世帯数!V47</f>
        <v>11987</v>
      </c>
      <c r="Q151" s="742">
        <f>世帯数!W47</f>
        <v>12041</v>
      </c>
      <c r="R151" s="762">
        <f>世帯数!X47</f>
        <v>12149</v>
      </c>
      <c r="S151" s="742">
        <f>世帯数!Z47</f>
        <v>12063</v>
      </c>
      <c r="T151" s="742">
        <f>世帯数!AA47</f>
        <v>12086</v>
      </c>
      <c r="U151" s="742">
        <f>世帯数!AB47</f>
        <v>12182</v>
      </c>
      <c r="V151" s="742">
        <f>世帯数!AC47</f>
        <v>12217</v>
      </c>
      <c r="W151" s="730">
        <f>世帯数!AD47</f>
        <v>12141</v>
      </c>
      <c r="X151" s="730">
        <f>世帯数!AE47</f>
        <v>12059</v>
      </c>
      <c r="Y151" s="730">
        <f>世帯数!AF47</f>
        <v>12103</v>
      </c>
      <c r="Z151" s="730">
        <f>世帯数!AG47</f>
        <v>12116</v>
      </c>
      <c r="AA151" s="730">
        <f>世帯数!AH47</f>
        <v>12141</v>
      </c>
      <c r="AB151" s="730">
        <f>世帯数!AI47</f>
        <v>12153</v>
      </c>
      <c r="AC151" s="730">
        <f>世帯数!AJ47</f>
        <v>12133</v>
      </c>
      <c r="AD151" s="730">
        <f>世帯数!AK47</f>
        <v>12114</v>
      </c>
      <c r="AE151" s="730">
        <f>世帯数!AL47</f>
        <v>12036</v>
      </c>
      <c r="AF151" s="730">
        <f>世帯数!AM47</f>
        <v>11900</v>
      </c>
      <c r="AG151" s="730">
        <f>世帯数!AN47</f>
        <v>11806</v>
      </c>
      <c r="AH151" s="730">
        <f>世帯数!AO47</f>
        <v>11728</v>
      </c>
      <c r="AI151" s="730">
        <f>世帯数!AP47</f>
        <v>11652</v>
      </c>
      <c r="AJ151" s="730">
        <f>世帯数!AQ47</f>
        <v>11580</v>
      </c>
      <c r="AK151" s="730">
        <f>世帯数!AR47</f>
        <v>11528</v>
      </c>
      <c r="AL151" s="730">
        <f>世帯数!AS47</f>
        <v>11517</v>
      </c>
      <c r="AM151" s="730">
        <f>世帯数!AT47</f>
        <v>11391</v>
      </c>
      <c r="AN151" s="730">
        <f>世帯数!AU47</f>
        <v>11265</v>
      </c>
    </row>
    <row r="152" spans="1:40">
      <c r="A152" s="741" t="s">
        <v>207</v>
      </c>
      <c r="B152" s="765"/>
      <c r="C152" s="762">
        <f>世帯数!I48</f>
        <v>14951</v>
      </c>
      <c r="D152" s="742">
        <f>世帯数!J48</f>
        <v>15077</v>
      </c>
      <c r="E152" s="742">
        <f>世帯数!K48</f>
        <v>15303</v>
      </c>
      <c r="F152" s="742">
        <f>世帯数!L48</f>
        <v>15518</v>
      </c>
      <c r="G152" s="742">
        <f>世帯数!M48</f>
        <v>15635</v>
      </c>
      <c r="H152" s="762">
        <f>世帯数!N48</f>
        <v>15880</v>
      </c>
      <c r="I152" s="742">
        <f>世帯数!O48</f>
        <v>16174</v>
      </c>
      <c r="J152" s="742">
        <f>世帯数!P48</f>
        <v>16587</v>
      </c>
      <c r="K152" s="742">
        <f>世帯数!Q48</f>
        <v>16997</v>
      </c>
      <c r="L152" s="742">
        <f>世帯数!R48</f>
        <v>17340</v>
      </c>
      <c r="M152" s="762">
        <f>世帯数!S48</f>
        <v>17527</v>
      </c>
      <c r="N152" s="742">
        <f>世帯数!T48</f>
        <v>17712</v>
      </c>
      <c r="O152" s="742">
        <f>世帯数!U48</f>
        <v>17880</v>
      </c>
      <c r="P152" s="742">
        <f>世帯数!V48</f>
        <v>18019</v>
      </c>
      <c r="Q152" s="742">
        <f>世帯数!W48</f>
        <v>18157</v>
      </c>
      <c r="R152" s="762">
        <f>世帯数!X48</f>
        <v>18350</v>
      </c>
      <c r="S152" s="742">
        <f>世帯数!Z48</f>
        <v>18559</v>
      </c>
      <c r="T152" s="742">
        <f>世帯数!AA48</f>
        <v>18701</v>
      </c>
      <c r="U152" s="742">
        <f>世帯数!AB48</f>
        <v>18866</v>
      </c>
      <c r="V152" s="742">
        <f>世帯数!AC48</f>
        <v>18954</v>
      </c>
      <c r="W152" s="730">
        <f>世帯数!AD48</f>
        <v>18826</v>
      </c>
      <c r="X152" s="730">
        <f>世帯数!AE48</f>
        <v>18820</v>
      </c>
      <c r="Y152" s="730">
        <f>世帯数!AF48</f>
        <v>18706</v>
      </c>
      <c r="Z152" s="730">
        <f>世帯数!AG48</f>
        <v>18684</v>
      </c>
      <c r="AA152" s="730">
        <f>世帯数!AH48</f>
        <v>18724</v>
      </c>
      <c r="AB152" s="730">
        <f>世帯数!AI48</f>
        <v>18729</v>
      </c>
      <c r="AC152" s="730">
        <f>世帯数!AJ48</f>
        <v>18802</v>
      </c>
      <c r="AD152" s="730">
        <f>世帯数!AK48</f>
        <v>18786</v>
      </c>
      <c r="AE152" s="730">
        <f>世帯数!AL48</f>
        <v>18739</v>
      </c>
      <c r="AF152" s="730">
        <f>世帯数!AM48</f>
        <v>18884</v>
      </c>
      <c r="AG152" s="730">
        <f>世帯数!AN48</f>
        <v>18911</v>
      </c>
      <c r="AH152" s="730">
        <f>世帯数!AO48</f>
        <v>18886</v>
      </c>
      <c r="AI152" s="730">
        <f>世帯数!AP48</f>
        <v>18911</v>
      </c>
      <c r="AJ152" s="730">
        <f>世帯数!AQ48</f>
        <v>18975</v>
      </c>
      <c r="AK152" s="730">
        <f>世帯数!AR48</f>
        <v>19032</v>
      </c>
      <c r="AL152" s="730">
        <f>世帯数!AS48</f>
        <v>19017</v>
      </c>
      <c r="AM152" s="730">
        <f>世帯数!AT48</f>
        <v>18900</v>
      </c>
      <c r="AN152" s="730">
        <f>世帯数!AU48</f>
        <v>18783</v>
      </c>
    </row>
    <row r="153" spans="1:40">
      <c r="A153" s="741" t="s">
        <v>219</v>
      </c>
      <c r="B153" s="765"/>
      <c r="C153" s="762">
        <f>世帯数!I49</f>
        <v>12415</v>
      </c>
      <c r="D153" s="742">
        <f>世帯数!J49</f>
        <v>12489</v>
      </c>
      <c r="E153" s="742">
        <f>世帯数!K49</f>
        <v>12564</v>
      </c>
      <c r="F153" s="742">
        <f>世帯数!L49</f>
        <v>12659</v>
      </c>
      <c r="G153" s="742">
        <f>世帯数!M49</f>
        <v>12801</v>
      </c>
      <c r="H153" s="762">
        <f>世帯数!N49</f>
        <v>12784</v>
      </c>
      <c r="I153" s="742">
        <f>世帯数!O49</f>
        <v>12833</v>
      </c>
      <c r="J153" s="742">
        <f>世帯数!P49</f>
        <v>12857</v>
      </c>
      <c r="K153" s="742">
        <f>世帯数!Q49</f>
        <v>12905</v>
      </c>
      <c r="L153" s="742">
        <f>世帯数!R49</f>
        <v>13006</v>
      </c>
      <c r="M153" s="762">
        <f>世帯数!S49</f>
        <v>12989</v>
      </c>
      <c r="N153" s="742">
        <f>世帯数!T49</f>
        <v>13027</v>
      </c>
      <c r="O153" s="742">
        <f>世帯数!U49</f>
        <v>13026</v>
      </c>
      <c r="P153" s="742">
        <f>世帯数!V49</f>
        <v>13119</v>
      </c>
      <c r="Q153" s="742">
        <f>世帯数!W49</f>
        <v>13128</v>
      </c>
      <c r="R153" s="762">
        <f>世帯数!X49</f>
        <v>13154</v>
      </c>
      <c r="S153" s="742">
        <f>世帯数!Z49</f>
        <v>13273</v>
      </c>
      <c r="T153" s="742">
        <f>世帯数!AA49</f>
        <v>13281</v>
      </c>
      <c r="U153" s="742">
        <f>世帯数!AB49</f>
        <v>13371</v>
      </c>
      <c r="V153" s="742">
        <f>世帯数!AC49</f>
        <v>13470</v>
      </c>
      <c r="W153" s="730">
        <f>世帯数!AD49</f>
        <v>13174</v>
      </c>
      <c r="X153" s="730">
        <f>世帯数!AE49</f>
        <v>13127</v>
      </c>
      <c r="Y153" s="730">
        <f>世帯数!AF49</f>
        <v>13039</v>
      </c>
      <c r="Z153" s="730">
        <f>世帯数!AG49</f>
        <v>12929</v>
      </c>
      <c r="AA153" s="730">
        <f>世帯数!AH49</f>
        <v>12816</v>
      </c>
      <c r="AB153" s="730">
        <f>世帯数!AI49</f>
        <v>12723</v>
      </c>
      <c r="AC153" s="730">
        <f>世帯数!AJ49</f>
        <v>12707</v>
      </c>
      <c r="AD153" s="730">
        <f>世帯数!AK49</f>
        <v>12791</v>
      </c>
      <c r="AE153" s="730">
        <f>世帯数!AL49</f>
        <v>12784</v>
      </c>
      <c r="AF153" s="730">
        <f>世帯数!AM49</f>
        <v>12838</v>
      </c>
      <c r="AG153" s="730">
        <f>世帯数!AN49</f>
        <v>12882</v>
      </c>
      <c r="AH153" s="730">
        <f>世帯数!AO49</f>
        <v>12864</v>
      </c>
      <c r="AI153" s="730">
        <f>世帯数!AP49</f>
        <v>12875</v>
      </c>
      <c r="AJ153" s="730">
        <f>世帯数!AQ49</f>
        <v>12814</v>
      </c>
      <c r="AK153" s="730">
        <f>世帯数!AR49</f>
        <v>12811</v>
      </c>
      <c r="AL153" s="730">
        <f>世帯数!AS49</f>
        <v>12686</v>
      </c>
      <c r="AM153" s="730">
        <f>世帯数!AT49</f>
        <v>12311</v>
      </c>
      <c r="AN153" s="730">
        <f>世帯数!AU49</f>
        <v>11936</v>
      </c>
    </row>
    <row r="154" spans="1:40">
      <c r="A154" s="741" t="s">
        <v>235</v>
      </c>
      <c r="B154" s="765"/>
      <c r="C154" s="762">
        <f>世帯数!I50</f>
        <v>22107</v>
      </c>
      <c r="D154" s="742">
        <f>世帯数!J50</f>
        <v>22395</v>
      </c>
      <c r="E154" s="742">
        <f>世帯数!K50</f>
        <v>22709</v>
      </c>
      <c r="F154" s="742">
        <f>世帯数!L50</f>
        <v>23031</v>
      </c>
      <c r="G154" s="742">
        <f>世帯数!M50</f>
        <v>23322</v>
      </c>
      <c r="H154" s="762">
        <f>世帯数!N50</f>
        <v>23255</v>
      </c>
      <c r="I154" s="742">
        <f>世帯数!O50</f>
        <v>23639</v>
      </c>
      <c r="J154" s="742">
        <f>世帯数!P50</f>
        <v>23922</v>
      </c>
      <c r="K154" s="742">
        <f>世帯数!Q50</f>
        <v>24292</v>
      </c>
      <c r="L154" s="742">
        <f>世帯数!R50</f>
        <v>24669</v>
      </c>
      <c r="M154" s="762">
        <f>世帯数!S50</f>
        <v>24588</v>
      </c>
      <c r="N154" s="742">
        <f>世帯数!T50</f>
        <v>24775</v>
      </c>
      <c r="O154" s="742">
        <f>世帯数!U50</f>
        <v>25008</v>
      </c>
      <c r="P154" s="742">
        <f>世帯数!V50</f>
        <v>25225</v>
      </c>
      <c r="Q154" s="742">
        <f>世帯数!W50</f>
        <v>25556</v>
      </c>
      <c r="R154" s="762">
        <f>世帯数!X50</f>
        <v>25795</v>
      </c>
      <c r="S154" s="742">
        <f>世帯数!Z50</f>
        <v>26082</v>
      </c>
      <c r="T154" s="742">
        <f>世帯数!AA50</f>
        <v>26424</v>
      </c>
      <c r="U154" s="742">
        <f>世帯数!AB50</f>
        <v>26611</v>
      </c>
      <c r="V154" s="742">
        <f>世帯数!AC50</f>
        <v>26952</v>
      </c>
      <c r="W154" s="730">
        <f>世帯数!AD50</f>
        <v>26803</v>
      </c>
      <c r="X154" s="730">
        <f>世帯数!AE50</f>
        <v>26921</v>
      </c>
      <c r="Y154" s="730">
        <f>世帯数!AF50</f>
        <v>26947</v>
      </c>
      <c r="Z154" s="730">
        <f>世帯数!AG50</f>
        <v>27116</v>
      </c>
      <c r="AA154" s="730">
        <f>世帯数!AH50</f>
        <v>27244</v>
      </c>
      <c r="AB154" s="730">
        <f>世帯数!AI50</f>
        <v>27297</v>
      </c>
      <c r="AC154" s="730">
        <f>世帯数!AJ50</f>
        <v>27425</v>
      </c>
      <c r="AD154" s="730">
        <f>世帯数!AK50</f>
        <v>27539</v>
      </c>
      <c r="AE154" s="730">
        <f>世帯数!AL50</f>
        <v>27537</v>
      </c>
      <c r="AF154" s="730">
        <f>世帯数!AM50</f>
        <v>27664</v>
      </c>
      <c r="AG154" s="730">
        <f>世帯数!AN50</f>
        <v>27757</v>
      </c>
      <c r="AH154" s="730">
        <f>世帯数!AO50</f>
        <v>27857</v>
      </c>
      <c r="AI154" s="730">
        <f>世帯数!AP50</f>
        <v>28147</v>
      </c>
      <c r="AJ154" s="730">
        <f>世帯数!AQ50</f>
        <v>28180</v>
      </c>
      <c r="AK154" s="730">
        <f>世帯数!AR50</f>
        <v>28193</v>
      </c>
      <c r="AL154" s="730">
        <f>世帯数!AS50</f>
        <v>28363</v>
      </c>
      <c r="AM154" s="730">
        <f>世帯数!AT50</f>
        <v>29173</v>
      </c>
      <c r="AN154" s="730">
        <f>世帯数!AU50</f>
        <v>29983</v>
      </c>
    </row>
    <row r="155" spans="1:40">
      <c r="A155" s="741" t="s">
        <v>208</v>
      </c>
      <c r="B155" s="765"/>
      <c r="C155" s="762">
        <f>世帯数!I51</f>
        <v>8847</v>
      </c>
      <c r="D155" s="742">
        <f>世帯数!J51</f>
        <v>9007</v>
      </c>
      <c r="E155" s="742">
        <f>世帯数!K51</f>
        <v>9128</v>
      </c>
      <c r="F155" s="742">
        <f>世帯数!L51</f>
        <v>9350</v>
      </c>
      <c r="G155" s="742">
        <f>世帯数!M51</f>
        <v>9509</v>
      </c>
      <c r="H155" s="762">
        <f>世帯数!N51</f>
        <v>9698</v>
      </c>
      <c r="I155" s="742">
        <f>世帯数!O51</f>
        <v>9847</v>
      </c>
      <c r="J155" s="742">
        <f>世帯数!P51</f>
        <v>10078</v>
      </c>
      <c r="K155" s="742">
        <f>世帯数!Q51</f>
        <v>10274</v>
      </c>
      <c r="L155" s="742">
        <f>世帯数!R51</f>
        <v>10466</v>
      </c>
      <c r="M155" s="762">
        <f>世帯数!S51</f>
        <v>10240</v>
      </c>
      <c r="N155" s="742">
        <f>世帯数!T51</f>
        <v>10407</v>
      </c>
      <c r="O155" s="742">
        <f>世帯数!U51</f>
        <v>10652</v>
      </c>
      <c r="P155" s="742">
        <f>世帯数!V51</f>
        <v>10817</v>
      </c>
      <c r="Q155" s="742">
        <f>世帯数!W51</f>
        <v>10976</v>
      </c>
      <c r="R155" s="762">
        <f>世帯数!X51</f>
        <v>11140</v>
      </c>
      <c r="S155" s="742">
        <f>世帯数!Z51</f>
        <v>11104</v>
      </c>
      <c r="T155" s="742">
        <f>世帯数!AA51</f>
        <v>11313</v>
      </c>
      <c r="U155" s="742">
        <f>世帯数!AB51</f>
        <v>11486</v>
      </c>
      <c r="V155" s="742">
        <f>世帯数!AC51</f>
        <v>11637</v>
      </c>
      <c r="W155" s="730">
        <f>世帯数!AD51</f>
        <v>11640</v>
      </c>
      <c r="X155" s="730">
        <f>世帯数!AE51</f>
        <v>11804</v>
      </c>
      <c r="Y155" s="730">
        <f>世帯数!AF51</f>
        <v>11914</v>
      </c>
      <c r="Z155" s="730">
        <f>世帯数!AG51</f>
        <v>11988</v>
      </c>
      <c r="AA155" s="730">
        <f>世帯数!AH51</f>
        <v>12028</v>
      </c>
      <c r="AB155" s="730">
        <f>世帯数!AI51</f>
        <v>12092</v>
      </c>
      <c r="AC155" s="730">
        <f>世帯数!AJ51</f>
        <v>12230</v>
      </c>
      <c r="AD155" s="730">
        <f>世帯数!AK51</f>
        <v>12410</v>
      </c>
      <c r="AE155" s="730">
        <f>世帯数!AL51</f>
        <v>12524</v>
      </c>
      <c r="AF155" s="730">
        <f>世帯数!AM51</f>
        <v>12651</v>
      </c>
      <c r="AG155" s="730">
        <f>世帯数!AN51</f>
        <v>12757</v>
      </c>
      <c r="AH155" s="730">
        <f>世帯数!AO51</f>
        <v>12875</v>
      </c>
      <c r="AI155" s="730">
        <f>世帯数!AP51</f>
        <v>12988</v>
      </c>
      <c r="AJ155" s="730">
        <f>世帯数!AQ51</f>
        <v>13125</v>
      </c>
      <c r="AK155" s="730">
        <f>世帯数!AR51</f>
        <v>13259</v>
      </c>
      <c r="AL155" s="730">
        <f>世帯数!AS51</f>
        <v>13389</v>
      </c>
      <c r="AM155" s="730">
        <f>世帯数!AT51</f>
        <v>13848</v>
      </c>
      <c r="AN155" s="730">
        <f>世帯数!AU51</f>
        <v>14307</v>
      </c>
    </row>
    <row r="156" spans="1:40">
      <c r="A156" s="741" t="s">
        <v>209</v>
      </c>
      <c r="B156" s="765"/>
      <c r="C156" s="762">
        <f>世帯数!I52</f>
        <v>5215</v>
      </c>
      <c r="D156" s="742">
        <f>世帯数!J52</f>
        <v>5295</v>
      </c>
      <c r="E156" s="742">
        <f>世帯数!K52</f>
        <v>5372</v>
      </c>
      <c r="F156" s="742">
        <f>世帯数!L52</f>
        <v>5473</v>
      </c>
      <c r="G156" s="742">
        <f>世帯数!M52</f>
        <v>5570</v>
      </c>
      <c r="H156" s="762">
        <f>世帯数!N52</f>
        <v>5552</v>
      </c>
      <c r="I156" s="742">
        <f>世帯数!O52</f>
        <v>5654</v>
      </c>
      <c r="J156" s="742">
        <f>世帯数!P52</f>
        <v>5756</v>
      </c>
      <c r="K156" s="742">
        <f>世帯数!Q52</f>
        <v>5817</v>
      </c>
      <c r="L156" s="742">
        <f>世帯数!R52</f>
        <v>5853</v>
      </c>
      <c r="M156" s="762">
        <f>世帯数!S52</f>
        <v>5817</v>
      </c>
      <c r="N156" s="742">
        <f>世帯数!T52</f>
        <v>5824</v>
      </c>
      <c r="O156" s="742">
        <f>世帯数!U52</f>
        <v>5888</v>
      </c>
      <c r="P156" s="742">
        <f>世帯数!V52</f>
        <v>5906</v>
      </c>
      <c r="Q156" s="742">
        <f>世帯数!W52</f>
        <v>5933</v>
      </c>
      <c r="R156" s="762">
        <f>世帯数!X52</f>
        <v>6001</v>
      </c>
      <c r="S156" s="742">
        <f>世帯数!Z52</f>
        <v>5923</v>
      </c>
      <c r="T156" s="742">
        <f>世帯数!AA52</f>
        <v>5954</v>
      </c>
      <c r="U156" s="742">
        <f>世帯数!AB52</f>
        <v>6024</v>
      </c>
      <c r="V156" s="742">
        <f>世帯数!AC52</f>
        <v>6024</v>
      </c>
      <c r="W156" s="730">
        <f>世帯数!AD52</f>
        <v>5870</v>
      </c>
      <c r="X156" s="730">
        <f>世帯数!AE52</f>
        <v>5861</v>
      </c>
      <c r="Y156" s="730">
        <f>世帯数!AF52</f>
        <v>5812</v>
      </c>
      <c r="Z156" s="730">
        <f>世帯数!AG52</f>
        <v>5791</v>
      </c>
      <c r="AA156" s="730">
        <f>世帯数!AH52</f>
        <v>5746</v>
      </c>
      <c r="AB156" s="730">
        <f>世帯数!AI52</f>
        <v>5715</v>
      </c>
      <c r="AC156" s="730">
        <f>世帯数!AJ52</f>
        <v>5658</v>
      </c>
      <c r="AD156" s="730">
        <f>世帯数!AK52</f>
        <v>5596</v>
      </c>
      <c r="AE156" s="730">
        <f>世帯数!AL52</f>
        <v>5558</v>
      </c>
      <c r="AF156" s="730">
        <f>世帯数!AM52</f>
        <v>5568</v>
      </c>
      <c r="AG156" s="730">
        <f>世帯数!AN52</f>
        <v>5537</v>
      </c>
      <c r="AH156" s="730">
        <f>世帯数!AO52</f>
        <v>5516</v>
      </c>
      <c r="AI156" s="730">
        <f>世帯数!AP52</f>
        <v>5502</v>
      </c>
      <c r="AJ156" s="730">
        <f>世帯数!AQ52</f>
        <v>5531</v>
      </c>
      <c r="AK156" s="730">
        <f>世帯数!AR52</f>
        <v>5475</v>
      </c>
      <c r="AL156" s="730">
        <f>世帯数!AS52</f>
        <v>5420</v>
      </c>
      <c r="AM156" s="730">
        <f>世帯数!AT52</f>
        <v>5189</v>
      </c>
      <c r="AN156" s="730">
        <f>世帯数!AU52</f>
        <v>4958</v>
      </c>
    </row>
    <row r="157" spans="1:40">
      <c r="A157" s="741" t="s">
        <v>236</v>
      </c>
      <c r="B157" s="765"/>
      <c r="C157" s="762">
        <f>世帯数!I53</f>
        <v>6554</v>
      </c>
      <c r="D157" s="742">
        <f>世帯数!J53</f>
        <v>6537</v>
      </c>
      <c r="E157" s="742">
        <f>世帯数!K53</f>
        <v>6564</v>
      </c>
      <c r="F157" s="742">
        <f>世帯数!L53</f>
        <v>6600</v>
      </c>
      <c r="G157" s="742">
        <f>世帯数!M53</f>
        <v>6605</v>
      </c>
      <c r="H157" s="762">
        <f>世帯数!N53</f>
        <v>6585</v>
      </c>
      <c r="I157" s="742">
        <f>世帯数!O53</f>
        <v>6606</v>
      </c>
      <c r="J157" s="742">
        <f>世帯数!P53</f>
        <v>6608</v>
      </c>
      <c r="K157" s="742">
        <f>世帯数!Q53</f>
        <v>6617</v>
      </c>
      <c r="L157" s="742">
        <f>世帯数!R53</f>
        <v>6672</v>
      </c>
      <c r="M157" s="762">
        <f>世帯数!S53</f>
        <v>6611</v>
      </c>
      <c r="N157" s="742">
        <f>世帯数!T53</f>
        <v>6610</v>
      </c>
      <c r="O157" s="742">
        <f>世帯数!U53</f>
        <v>6630</v>
      </c>
      <c r="P157" s="742">
        <f>世帯数!V53</f>
        <v>6646</v>
      </c>
      <c r="Q157" s="742">
        <f>世帯数!W53</f>
        <v>6633</v>
      </c>
      <c r="R157" s="762">
        <f>世帯数!X53</f>
        <v>6630</v>
      </c>
      <c r="S157" s="742">
        <f>世帯数!Z53</f>
        <v>6654</v>
      </c>
      <c r="T157" s="742">
        <f>世帯数!AA53</f>
        <v>6632</v>
      </c>
      <c r="U157" s="742">
        <f>世帯数!AB53</f>
        <v>6596</v>
      </c>
      <c r="V157" s="742">
        <f>世帯数!AC53</f>
        <v>6529</v>
      </c>
      <c r="W157" s="730">
        <f>世帯数!AD53</f>
        <v>6301</v>
      </c>
      <c r="X157" s="730">
        <f>世帯数!AE53</f>
        <v>6288</v>
      </c>
      <c r="Y157" s="730">
        <f>世帯数!AF53</f>
        <v>6250</v>
      </c>
      <c r="Z157" s="730">
        <f>世帯数!AG53</f>
        <v>6203</v>
      </c>
      <c r="AA157" s="730">
        <f>世帯数!AH53</f>
        <v>6152</v>
      </c>
      <c r="AB157" s="730">
        <f>世帯数!AI53</f>
        <v>6108</v>
      </c>
      <c r="AC157" s="730">
        <f>世帯数!AJ53</f>
        <v>6040</v>
      </c>
      <c r="AD157" s="730">
        <f>世帯数!AK53</f>
        <v>5989</v>
      </c>
      <c r="AE157" s="730">
        <f>世帯数!AL53</f>
        <v>5948</v>
      </c>
      <c r="AF157" s="730">
        <f>世帯数!AM53</f>
        <v>5936</v>
      </c>
      <c r="AG157" s="730">
        <f>世帯数!AN53</f>
        <v>5927</v>
      </c>
      <c r="AH157" s="730">
        <f>世帯数!AO53</f>
        <v>5898</v>
      </c>
      <c r="AI157" s="730">
        <f>世帯数!AP53</f>
        <v>5890</v>
      </c>
      <c r="AJ157" s="730">
        <f>世帯数!AQ53</f>
        <v>5879</v>
      </c>
      <c r="AK157" s="730">
        <f>世帯数!AR53</f>
        <v>5800</v>
      </c>
      <c r="AL157" s="730">
        <f>世帯数!AS53</f>
        <v>5735</v>
      </c>
      <c r="AM157" s="730">
        <f>世帯数!AT53</f>
        <v>5477</v>
      </c>
      <c r="AN157" s="730">
        <f>世帯数!AU53</f>
        <v>5219</v>
      </c>
    </row>
    <row r="158" spans="1:40">
      <c r="A158" s="770" t="s">
        <v>210</v>
      </c>
      <c r="B158" s="771"/>
      <c r="C158" s="762">
        <f>世帯数!I54</f>
        <v>58494</v>
      </c>
      <c r="D158" s="742">
        <f>世帯数!J54</f>
        <v>58902</v>
      </c>
      <c r="E158" s="742">
        <f>世帯数!K54</f>
        <v>59243</v>
      </c>
      <c r="F158" s="742">
        <f>世帯数!L54</f>
        <v>59868</v>
      </c>
      <c r="G158" s="742">
        <f>世帯数!M54</f>
        <v>60497</v>
      </c>
      <c r="H158" s="762">
        <f>世帯数!N54</f>
        <v>61197</v>
      </c>
      <c r="I158" s="742">
        <f>世帯数!O54</f>
        <v>61911</v>
      </c>
      <c r="J158" s="742">
        <f>世帯数!P54</f>
        <v>62485</v>
      </c>
      <c r="K158" s="742">
        <f>世帯数!Q54</f>
        <v>62960</v>
      </c>
      <c r="L158" s="742">
        <f>世帯数!R54</f>
        <v>63280</v>
      </c>
      <c r="M158" s="762">
        <f>世帯数!S54</f>
        <v>62607</v>
      </c>
      <c r="N158" s="742">
        <f>世帯数!T54</f>
        <v>63001</v>
      </c>
      <c r="O158" s="742">
        <f>世帯数!U54</f>
        <v>63339</v>
      </c>
      <c r="P158" s="742">
        <f>世帯数!V54</f>
        <v>63298</v>
      </c>
      <c r="Q158" s="742">
        <f>世帯数!W54</f>
        <v>63604</v>
      </c>
      <c r="R158" s="762">
        <f>世帯数!X54</f>
        <v>63976</v>
      </c>
      <c r="S158" s="742">
        <f>世帯数!Z54</f>
        <v>63237</v>
      </c>
      <c r="T158" s="742">
        <f>世帯数!AA54</f>
        <v>63517</v>
      </c>
      <c r="U158" s="742">
        <f>世帯数!AB54</f>
        <v>63513</v>
      </c>
      <c r="V158" s="742">
        <f>世帯数!AC54</f>
        <v>63698</v>
      </c>
      <c r="W158" s="730">
        <f>世帯数!AD54</f>
        <v>62249</v>
      </c>
      <c r="X158" s="730">
        <f>世帯数!AE54</f>
        <v>62227</v>
      </c>
      <c r="Y158" s="730">
        <f>世帯数!AF54</f>
        <v>62024</v>
      </c>
      <c r="Z158" s="730">
        <f>世帯数!AG54</f>
        <v>61960</v>
      </c>
      <c r="AA158" s="730">
        <f>世帯数!AH54</f>
        <v>61868</v>
      </c>
      <c r="AB158" s="730">
        <f>世帯数!AI54</f>
        <v>61921</v>
      </c>
      <c r="AC158" s="730">
        <f>世帯数!AJ54</f>
        <v>61837</v>
      </c>
      <c r="AD158" s="730">
        <f>世帯数!AK54</f>
        <v>61713</v>
      </c>
      <c r="AE158" s="730">
        <f>世帯数!AL54</f>
        <v>61346</v>
      </c>
      <c r="AF158" s="730">
        <f>世帯数!AM54</f>
        <v>61122</v>
      </c>
      <c r="AG158" s="730">
        <f>世帯数!AN54</f>
        <v>60808</v>
      </c>
      <c r="AH158" s="730">
        <f>世帯数!AO54</f>
        <v>60890</v>
      </c>
      <c r="AI158" s="730">
        <f>世帯数!AP54</f>
        <v>60973</v>
      </c>
      <c r="AJ158" s="730">
        <f>世帯数!AQ54</f>
        <v>60858</v>
      </c>
      <c r="AK158" s="730">
        <f>世帯数!AR54</f>
        <v>60796</v>
      </c>
      <c r="AL158" s="730">
        <f>世帯数!AS54</f>
        <v>60406</v>
      </c>
      <c r="AM158" s="730">
        <f>世帯数!AT54</f>
        <v>58531</v>
      </c>
      <c r="AN158" s="730">
        <f>世帯数!AU54</f>
        <v>56656</v>
      </c>
    </row>
    <row r="159" spans="1:40">
      <c r="A159" s="741" t="s">
        <v>221</v>
      </c>
      <c r="B159" s="765"/>
      <c r="C159" s="762">
        <f>世帯数!I55</f>
        <v>26441</v>
      </c>
      <c r="D159" s="742">
        <f>世帯数!J55</f>
        <v>26767</v>
      </c>
      <c r="E159" s="742">
        <f>世帯数!K55</f>
        <v>26932</v>
      </c>
      <c r="F159" s="742">
        <f>世帯数!L55</f>
        <v>27283</v>
      </c>
      <c r="G159" s="742">
        <f>世帯数!M55</f>
        <v>27692</v>
      </c>
      <c r="H159" s="762">
        <f>世帯数!N55</f>
        <v>28131</v>
      </c>
      <c r="I159" s="742">
        <f>世帯数!O55</f>
        <v>28542</v>
      </c>
      <c r="J159" s="742">
        <f>世帯数!P55</f>
        <v>28847</v>
      </c>
      <c r="K159" s="742">
        <f>世帯数!Q55</f>
        <v>29146</v>
      </c>
      <c r="L159" s="742">
        <f>世帯数!R55</f>
        <v>29397</v>
      </c>
      <c r="M159" s="762">
        <f>世帯数!S55</f>
        <v>29181</v>
      </c>
      <c r="N159" s="742">
        <f>世帯数!T55</f>
        <v>29449</v>
      </c>
      <c r="O159" s="742">
        <f>世帯数!U55</f>
        <v>29624</v>
      </c>
      <c r="P159" s="742">
        <f>世帯数!V55</f>
        <v>29702</v>
      </c>
      <c r="Q159" s="742">
        <f>世帯数!W55</f>
        <v>29943</v>
      </c>
      <c r="R159" s="762">
        <f>世帯数!X55</f>
        <v>30098</v>
      </c>
      <c r="S159" s="742">
        <f>世帯数!Z55</f>
        <v>29841</v>
      </c>
      <c r="T159" s="742">
        <f>世帯数!AA55</f>
        <v>30019</v>
      </c>
      <c r="U159" s="742">
        <f>世帯数!AB55</f>
        <v>30095</v>
      </c>
      <c r="V159" s="742">
        <f>世帯数!AC55</f>
        <v>30360</v>
      </c>
      <c r="W159" s="730">
        <f>世帯数!AD55</f>
        <v>29741</v>
      </c>
      <c r="X159" s="730">
        <f>世帯数!AE55</f>
        <v>29874</v>
      </c>
      <c r="Y159" s="730">
        <f>世帯数!AF55</f>
        <v>29818</v>
      </c>
      <c r="Z159" s="730">
        <f>世帯数!AG55</f>
        <v>29882</v>
      </c>
      <c r="AA159" s="730">
        <f>世帯数!AH55</f>
        <v>30017</v>
      </c>
      <c r="AB159" s="730">
        <f>世帯数!AI55</f>
        <v>30189</v>
      </c>
      <c r="AC159" s="730">
        <f>世帯数!AJ55</f>
        <v>30199</v>
      </c>
      <c r="AD159" s="730">
        <f>世帯数!AK55</f>
        <v>30296</v>
      </c>
      <c r="AE159" s="730">
        <f>世帯数!AL55</f>
        <v>30209</v>
      </c>
      <c r="AF159" s="730">
        <f>世帯数!AM55</f>
        <v>30264</v>
      </c>
      <c r="AG159" s="730">
        <f>世帯数!AN55</f>
        <v>30180</v>
      </c>
      <c r="AH159" s="730">
        <f>世帯数!AO55</f>
        <v>30416</v>
      </c>
      <c r="AI159" s="730">
        <f>世帯数!AP55</f>
        <v>30556</v>
      </c>
      <c r="AJ159" s="730">
        <f>世帯数!AQ55</f>
        <v>30591</v>
      </c>
      <c r="AK159" s="730">
        <f>世帯数!AR55</f>
        <v>30675</v>
      </c>
      <c r="AL159" s="730">
        <f>世帯数!AS55</f>
        <v>30559</v>
      </c>
      <c r="AM159" s="730">
        <f>世帯数!AT55</f>
        <v>29890</v>
      </c>
      <c r="AN159" s="730">
        <f>世帯数!AU55</f>
        <v>29221</v>
      </c>
    </row>
    <row r="160" spans="1:40">
      <c r="A160" s="741" t="s">
        <v>218</v>
      </c>
      <c r="B160" s="765"/>
      <c r="C160" s="762">
        <f>世帯数!I56</f>
        <v>9005</v>
      </c>
      <c r="D160" s="742">
        <f>世帯数!J56</f>
        <v>9027</v>
      </c>
      <c r="E160" s="742">
        <f>世帯数!K56</f>
        <v>9040</v>
      </c>
      <c r="F160" s="742">
        <f>世帯数!L56</f>
        <v>9156</v>
      </c>
      <c r="G160" s="742">
        <f>世帯数!M56</f>
        <v>9248</v>
      </c>
      <c r="H160" s="762">
        <f>世帯数!N56</f>
        <v>9252</v>
      </c>
      <c r="I160" s="742">
        <f>世帯数!O56</f>
        <v>9375</v>
      </c>
      <c r="J160" s="742">
        <f>世帯数!P56</f>
        <v>9460</v>
      </c>
      <c r="K160" s="742">
        <f>世帯数!Q56</f>
        <v>9476</v>
      </c>
      <c r="L160" s="742">
        <f>世帯数!R56</f>
        <v>9504</v>
      </c>
      <c r="M160" s="762">
        <f>世帯数!S56</f>
        <v>9298</v>
      </c>
      <c r="N160" s="742">
        <f>世帯数!T56</f>
        <v>9311</v>
      </c>
      <c r="O160" s="742">
        <f>世帯数!U56</f>
        <v>9350</v>
      </c>
      <c r="P160" s="742">
        <f>世帯数!V56</f>
        <v>9320</v>
      </c>
      <c r="Q160" s="742">
        <f>世帯数!W56</f>
        <v>9339</v>
      </c>
      <c r="R160" s="762">
        <f>世帯数!X56</f>
        <v>9386</v>
      </c>
      <c r="S160" s="742">
        <f>世帯数!Z56</f>
        <v>9247</v>
      </c>
      <c r="T160" s="742">
        <f>世帯数!AA56</f>
        <v>9244</v>
      </c>
      <c r="U160" s="742">
        <f>世帯数!AB56</f>
        <v>9222</v>
      </c>
      <c r="V160" s="742">
        <f>世帯数!AC56</f>
        <v>9211</v>
      </c>
      <c r="W160" s="730">
        <f>世帯数!AD56</f>
        <v>9062</v>
      </c>
      <c r="X160" s="730">
        <f>世帯数!AE56</f>
        <v>8963</v>
      </c>
      <c r="Y160" s="730">
        <f>世帯数!AF56</f>
        <v>8886</v>
      </c>
      <c r="Z160" s="730">
        <f>世帯数!AG56</f>
        <v>8825</v>
      </c>
      <c r="AA160" s="730">
        <f>世帯数!AH56</f>
        <v>8768</v>
      </c>
      <c r="AB160" s="730">
        <f>世帯数!AI56</f>
        <v>8713</v>
      </c>
      <c r="AC160" s="730">
        <f>世帯数!AJ56</f>
        <v>8678</v>
      </c>
      <c r="AD160" s="730">
        <f>世帯数!AK56</f>
        <v>8612</v>
      </c>
      <c r="AE160" s="730">
        <f>世帯数!AL56</f>
        <v>8493</v>
      </c>
      <c r="AF160" s="730">
        <f>世帯数!AM56</f>
        <v>8432</v>
      </c>
      <c r="AG160" s="730">
        <f>世帯数!AN56</f>
        <v>8388</v>
      </c>
      <c r="AH160" s="730">
        <f>世帯数!AO56</f>
        <v>8345</v>
      </c>
      <c r="AI160" s="730">
        <f>世帯数!AP56</f>
        <v>8295</v>
      </c>
      <c r="AJ160" s="730">
        <f>世帯数!AQ56</f>
        <v>8216</v>
      </c>
      <c r="AK160" s="730">
        <f>世帯数!AR56</f>
        <v>8121</v>
      </c>
      <c r="AL160" s="730">
        <f>世帯数!AS56</f>
        <v>8049</v>
      </c>
      <c r="AM160" s="730">
        <f>世帯数!AT56</f>
        <v>7689</v>
      </c>
      <c r="AN160" s="730">
        <f>世帯数!AU56</f>
        <v>7329</v>
      </c>
    </row>
    <row r="161" spans="1:40">
      <c r="A161" s="741" t="s">
        <v>222</v>
      </c>
      <c r="B161" s="765"/>
      <c r="C161" s="762">
        <f>世帯数!I57</f>
        <v>10704</v>
      </c>
      <c r="D161" s="742">
        <f>世帯数!J57</f>
        <v>10769</v>
      </c>
      <c r="E161" s="742">
        <f>世帯数!K57</f>
        <v>10919</v>
      </c>
      <c r="F161" s="742">
        <f>世帯数!L57</f>
        <v>11024</v>
      </c>
      <c r="G161" s="742">
        <f>世帯数!M57</f>
        <v>11114</v>
      </c>
      <c r="H161" s="762">
        <f>世帯数!N57</f>
        <v>11411</v>
      </c>
      <c r="I161" s="742">
        <f>世帯数!O57</f>
        <v>11498</v>
      </c>
      <c r="J161" s="742">
        <f>世帯数!P57</f>
        <v>11657</v>
      </c>
      <c r="K161" s="742">
        <f>世帯数!Q57</f>
        <v>11783</v>
      </c>
      <c r="L161" s="742">
        <f>世帯数!R57</f>
        <v>11842</v>
      </c>
      <c r="M161" s="762">
        <f>世帯数!S57</f>
        <v>11685</v>
      </c>
      <c r="N161" s="742">
        <f>世帯数!T57</f>
        <v>11786</v>
      </c>
      <c r="O161" s="742">
        <f>世帯数!U57</f>
        <v>11885</v>
      </c>
      <c r="P161" s="742">
        <f>世帯数!V57</f>
        <v>11871</v>
      </c>
      <c r="Q161" s="742">
        <f>世帯数!W57</f>
        <v>11938</v>
      </c>
      <c r="R161" s="762">
        <f>世帯数!X57</f>
        <v>12066</v>
      </c>
      <c r="S161" s="742">
        <f>世帯数!Z57</f>
        <v>11961</v>
      </c>
      <c r="T161" s="742">
        <f>世帯数!AA57</f>
        <v>12038</v>
      </c>
      <c r="U161" s="742">
        <f>世帯数!AB57</f>
        <v>12014</v>
      </c>
      <c r="V161" s="742">
        <f>世帯数!AC57</f>
        <v>11987</v>
      </c>
      <c r="W161" s="730">
        <f>世帯数!AD57</f>
        <v>11655</v>
      </c>
      <c r="X161" s="730">
        <f>世帯数!AE57</f>
        <v>11653</v>
      </c>
      <c r="Y161" s="730">
        <f>世帯数!AF57</f>
        <v>11587</v>
      </c>
      <c r="Z161" s="730">
        <f>世帯数!AG57</f>
        <v>11572</v>
      </c>
      <c r="AA161" s="730">
        <f>世帯数!AH57</f>
        <v>11532</v>
      </c>
      <c r="AB161" s="730">
        <f>世帯数!AI57</f>
        <v>11500</v>
      </c>
      <c r="AC161" s="730">
        <f>世帯数!AJ57</f>
        <v>11566</v>
      </c>
      <c r="AD161" s="730">
        <f>世帯数!AK57</f>
        <v>11524</v>
      </c>
      <c r="AE161" s="730">
        <f>世帯数!AL57</f>
        <v>11512</v>
      </c>
      <c r="AF161" s="730">
        <f>世帯数!AM57</f>
        <v>11442</v>
      </c>
      <c r="AG161" s="730">
        <f>世帯数!AN57</f>
        <v>11399</v>
      </c>
      <c r="AH161" s="730">
        <f>世帯数!AO57</f>
        <v>11356</v>
      </c>
      <c r="AI161" s="730">
        <f>世帯数!AP57</f>
        <v>11401</v>
      </c>
      <c r="AJ161" s="730">
        <f>世帯数!AQ57</f>
        <v>11368</v>
      </c>
      <c r="AK161" s="730">
        <f>世帯数!AR57</f>
        <v>11344</v>
      </c>
      <c r="AL161" s="730">
        <f>世帯数!AS57</f>
        <v>11279</v>
      </c>
      <c r="AM161" s="730">
        <f>世帯数!AT57</f>
        <v>10937</v>
      </c>
      <c r="AN161" s="730">
        <f>世帯数!AU57</f>
        <v>10595</v>
      </c>
    </row>
    <row r="162" spans="1:40">
      <c r="A162" s="741" t="s">
        <v>220</v>
      </c>
      <c r="B162" s="765"/>
      <c r="C162" s="762">
        <f>世帯数!I58</f>
        <v>6833</v>
      </c>
      <c r="D162" s="742">
        <f>世帯数!J58</f>
        <v>6825</v>
      </c>
      <c r="E162" s="742">
        <f>世帯数!K58</f>
        <v>6821</v>
      </c>
      <c r="F162" s="742">
        <f>世帯数!L58</f>
        <v>6839</v>
      </c>
      <c r="G162" s="742">
        <f>世帯数!M58</f>
        <v>6847</v>
      </c>
      <c r="H162" s="762">
        <f>世帯数!N58</f>
        <v>6816</v>
      </c>
      <c r="I162" s="742">
        <f>世帯数!O58</f>
        <v>6874</v>
      </c>
      <c r="J162" s="742">
        <f>世帯数!P58</f>
        <v>6886</v>
      </c>
      <c r="K162" s="742">
        <f>世帯数!Q58</f>
        <v>6904</v>
      </c>
      <c r="L162" s="742">
        <f>世帯数!R58</f>
        <v>6892</v>
      </c>
      <c r="M162" s="762">
        <f>世帯数!S58</f>
        <v>6878</v>
      </c>
      <c r="N162" s="742">
        <f>世帯数!T58</f>
        <v>6884</v>
      </c>
      <c r="O162" s="742">
        <f>世帯数!U58</f>
        <v>6880</v>
      </c>
      <c r="P162" s="742">
        <f>世帯数!V58</f>
        <v>6841</v>
      </c>
      <c r="Q162" s="742">
        <f>世帯数!W58</f>
        <v>6800</v>
      </c>
      <c r="R162" s="762">
        <f>世帯数!X58</f>
        <v>6783</v>
      </c>
      <c r="S162" s="742">
        <f>世帯数!Z58</f>
        <v>6625</v>
      </c>
      <c r="T162" s="742">
        <f>世帯数!AA58</f>
        <v>6657</v>
      </c>
      <c r="U162" s="742">
        <f>世帯数!AB58</f>
        <v>6627</v>
      </c>
      <c r="V162" s="742">
        <f>世帯数!AC58</f>
        <v>6609</v>
      </c>
      <c r="W162" s="730">
        <f>世帯数!AD58</f>
        <v>6449</v>
      </c>
      <c r="X162" s="730">
        <f>世帯数!AE58</f>
        <v>6399</v>
      </c>
      <c r="Y162" s="730">
        <f>世帯数!AF58</f>
        <v>6365</v>
      </c>
      <c r="Z162" s="730">
        <f>世帯数!AG58</f>
        <v>6328</v>
      </c>
      <c r="AA162" s="730">
        <f>世帯数!AH58</f>
        <v>6243</v>
      </c>
      <c r="AB162" s="730">
        <f>世帯数!AI58</f>
        <v>6228</v>
      </c>
      <c r="AC162" s="730">
        <f>世帯数!AJ58</f>
        <v>6179</v>
      </c>
      <c r="AD162" s="730">
        <f>世帯数!AK58</f>
        <v>6127</v>
      </c>
      <c r="AE162" s="730">
        <f>世帯数!AL58</f>
        <v>6068</v>
      </c>
      <c r="AF162" s="730">
        <f>世帯数!AM58</f>
        <v>5968</v>
      </c>
      <c r="AG162" s="730">
        <f>世帯数!AN58</f>
        <v>5912</v>
      </c>
      <c r="AH162" s="730">
        <f>世帯数!AO58</f>
        <v>5872</v>
      </c>
      <c r="AI162" s="730">
        <f>世帯数!AP58</f>
        <v>5825</v>
      </c>
      <c r="AJ162" s="730">
        <f>世帯数!AQ58</f>
        <v>5805</v>
      </c>
      <c r="AK162" s="730">
        <f>世帯数!AR58</f>
        <v>5783</v>
      </c>
      <c r="AL162" s="730">
        <f>世帯数!AS58</f>
        <v>5680</v>
      </c>
      <c r="AM162" s="730">
        <f>世帯数!AT58</f>
        <v>5344</v>
      </c>
      <c r="AN162" s="730">
        <f>世帯数!AU58</f>
        <v>5008</v>
      </c>
    </row>
    <row r="163" spans="1:40">
      <c r="A163" s="741" t="s">
        <v>237</v>
      </c>
      <c r="B163" s="765"/>
      <c r="C163" s="762">
        <f>世帯数!I59</f>
        <v>5511</v>
      </c>
      <c r="D163" s="742">
        <f>世帯数!J59</f>
        <v>5514</v>
      </c>
      <c r="E163" s="742">
        <f>世帯数!K59</f>
        <v>5531</v>
      </c>
      <c r="F163" s="742">
        <f>世帯数!L59</f>
        <v>5566</v>
      </c>
      <c r="G163" s="742">
        <f>世帯数!M59</f>
        <v>5596</v>
      </c>
      <c r="H163" s="762">
        <f>世帯数!N59</f>
        <v>5587</v>
      </c>
      <c r="I163" s="742">
        <f>世帯数!O59</f>
        <v>5622</v>
      </c>
      <c r="J163" s="742">
        <f>世帯数!P59</f>
        <v>5635</v>
      </c>
      <c r="K163" s="742">
        <f>世帯数!Q59</f>
        <v>5651</v>
      </c>
      <c r="L163" s="742">
        <f>世帯数!R59</f>
        <v>5645</v>
      </c>
      <c r="M163" s="762">
        <f>世帯数!S59</f>
        <v>5565</v>
      </c>
      <c r="N163" s="742">
        <f>世帯数!T59</f>
        <v>5571</v>
      </c>
      <c r="O163" s="742">
        <f>世帯数!U59</f>
        <v>5600</v>
      </c>
      <c r="P163" s="742">
        <f>世帯数!V59</f>
        <v>5564</v>
      </c>
      <c r="Q163" s="742">
        <f>世帯数!W59</f>
        <v>5584</v>
      </c>
      <c r="R163" s="762">
        <f>世帯数!X59</f>
        <v>5643</v>
      </c>
      <c r="S163" s="742">
        <f>世帯数!Z59</f>
        <v>5563</v>
      </c>
      <c r="T163" s="742">
        <f>世帯数!AA59</f>
        <v>5559</v>
      </c>
      <c r="U163" s="742">
        <f>世帯数!AB59</f>
        <v>5555</v>
      </c>
      <c r="V163" s="742">
        <f>世帯数!AC59</f>
        <v>5531</v>
      </c>
      <c r="W163" s="730">
        <f>世帯数!AD59</f>
        <v>5342</v>
      </c>
      <c r="X163" s="730">
        <f>世帯数!AE59</f>
        <v>5338</v>
      </c>
      <c r="Y163" s="730">
        <f>世帯数!AF59</f>
        <v>5368</v>
      </c>
      <c r="Z163" s="730">
        <f>世帯数!AG59</f>
        <v>5353</v>
      </c>
      <c r="AA163" s="730">
        <f>世帯数!AH59</f>
        <v>5308</v>
      </c>
      <c r="AB163" s="730">
        <f>世帯数!AI59</f>
        <v>5291</v>
      </c>
      <c r="AC163" s="730">
        <f>世帯数!AJ59</f>
        <v>5215</v>
      </c>
      <c r="AD163" s="730">
        <f>世帯数!AK59</f>
        <v>5154</v>
      </c>
      <c r="AE163" s="730">
        <f>世帯数!AL59</f>
        <v>5064</v>
      </c>
      <c r="AF163" s="730">
        <f>世帯数!AM59</f>
        <v>5016</v>
      </c>
      <c r="AG163" s="730">
        <f>世帯数!AN59</f>
        <v>4929</v>
      </c>
      <c r="AH163" s="730">
        <f>世帯数!AO59</f>
        <v>4901</v>
      </c>
      <c r="AI163" s="730">
        <f>世帯数!AP59</f>
        <v>4896</v>
      </c>
      <c r="AJ163" s="730">
        <f>世帯数!AQ59</f>
        <v>4878</v>
      </c>
      <c r="AK163" s="730">
        <f>世帯数!AR59</f>
        <v>4873</v>
      </c>
      <c r="AL163" s="730">
        <f>世帯数!AS59</f>
        <v>4839</v>
      </c>
      <c r="AM163" s="730">
        <f>世帯数!AT59</f>
        <v>4671</v>
      </c>
      <c r="AN163" s="730">
        <f>世帯数!AU59</f>
        <v>4503</v>
      </c>
    </row>
    <row r="164" spans="1:40">
      <c r="A164" s="772" t="s">
        <v>211</v>
      </c>
      <c r="B164" s="773"/>
      <c r="C164" s="762">
        <f>世帯数!I60</f>
        <v>31564</v>
      </c>
      <c r="D164" s="742">
        <f>世帯数!J60</f>
        <v>32161</v>
      </c>
      <c r="E164" s="742">
        <f>世帯数!K60</f>
        <v>32790</v>
      </c>
      <c r="F164" s="742">
        <f>世帯数!L60</f>
        <v>33334</v>
      </c>
      <c r="G164" s="742">
        <f>世帯数!M60</f>
        <v>33857</v>
      </c>
      <c r="H164" s="762">
        <f>世帯数!N60</f>
        <v>34261</v>
      </c>
      <c r="I164" s="742">
        <f>世帯数!O60</f>
        <v>34805</v>
      </c>
      <c r="J164" s="742">
        <f>世帯数!P60</f>
        <v>35449</v>
      </c>
      <c r="K164" s="742">
        <f>世帯数!Q60</f>
        <v>35896</v>
      </c>
      <c r="L164" s="742">
        <f>世帯数!R60</f>
        <v>36357</v>
      </c>
      <c r="M164" s="762">
        <f>世帯数!S60</f>
        <v>36354</v>
      </c>
      <c r="N164" s="742">
        <f>世帯数!T60</f>
        <v>36808</v>
      </c>
      <c r="O164" s="742">
        <f>世帯数!U60</f>
        <v>37023</v>
      </c>
      <c r="P164" s="742">
        <f>世帯数!V60</f>
        <v>37276</v>
      </c>
      <c r="Q164" s="742">
        <f>世帯数!W60</f>
        <v>37640</v>
      </c>
      <c r="R164" s="762">
        <f>世帯数!X60</f>
        <v>38061</v>
      </c>
      <c r="S164" s="742">
        <f>世帯数!Z60</f>
        <v>37806</v>
      </c>
      <c r="T164" s="742">
        <f>世帯数!AA60</f>
        <v>38001</v>
      </c>
      <c r="U164" s="742">
        <f>世帯数!AB60</f>
        <v>38277</v>
      </c>
      <c r="V164" s="742">
        <f>世帯数!AC60</f>
        <v>38446</v>
      </c>
      <c r="W164" s="730">
        <f>世帯数!AD60</f>
        <v>37803</v>
      </c>
      <c r="X164" s="730">
        <f>世帯数!AE60</f>
        <v>38006</v>
      </c>
      <c r="Y164" s="730">
        <f>世帯数!AF60</f>
        <v>38115</v>
      </c>
      <c r="Z164" s="730">
        <f>世帯数!AG60</f>
        <v>38075</v>
      </c>
      <c r="AA164" s="730">
        <f>世帯数!AH60</f>
        <v>38052</v>
      </c>
      <c r="AB164" s="730">
        <f>世帯数!AI60</f>
        <v>38131</v>
      </c>
      <c r="AC164" s="730">
        <f>世帯数!AJ60</f>
        <v>38239</v>
      </c>
      <c r="AD164" s="730">
        <f>世帯数!AK60</f>
        <v>38324</v>
      </c>
      <c r="AE164" s="730">
        <f>世帯数!AL60</f>
        <v>38476</v>
      </c>
      <c r="AF164" s="730">
        <f>世帯数!AM60</f>
        <v>38676</v>
      </c>
      <c r="AG164" s="730">
        <f>世帯数!AN60</f>
        <v>38638</v>
      </c>
      <c r="AH164" s="730">
        <f>世帯数!AO60</f>
        <v>38702</v>
      </c>
      <c r="AI164" s="730">
        <f>世帯数!AP60</f>
        <v>39074</v>
      </c>
      <c r="AJ164" s="730">
        <f>世帯数!AQ60</f>
        <v>39347</v>
      </c>
      <c r="AK164" s="730">
        <f>世帯数!AR60</f>
        <v>39516</v>
      </c>
      <c r="AL164" s="730">
        <f>世帯数!AS60</f>
        <v>39562</v>
      </c>
      <c r="AM164" s="730">
        <f>世帯数!AT60</f>
        <v>39727</v>
      </c>
      <c r="AN164" s="730">
        <f>世帯数!AU60</f>
        <v>39892</v>
      </c>
    </row>
    <row r="165" spans="1:40">
      <c r="A165" s="741" t="s">
        <v>1144</v>
      </c>
      <c r="B165" s="765"/>
      <c r="C165" s="762">
        <f>世帯数!I61</f>
        <v>11825</v>
      </c>
      <c r="D165" s="742">
        <f>世帯数!J61</f>
        <v>12119</v>
      </c>
      <c r="E165" s="742">
        <f>世帯数!K61</f>
        <v>12431</v>
      </c>
      <c r="F165" s="742">
        <f>世帯数!L61</f>
        <v>12694</v>
      </c>
      <c r="G165" s="742">
        <f>世帯数!M61</f>
        <v>12964</v>
      </c>
      <c r="H165" s="762">
        <f>世帯数!N61</f>
        <v>13228</v>
      </c>
      <c r="I165" s="742">
        <f>世帯数!O61</f>
        <v>13521</v>
      </c>
      <c r="J165" s="742">
        <f>世帯数!P61</f>
        <v>13899</v>
      </c>
      <c r="K165" s="742">
        <f>世帯数!Q61</f>
        <v>14194</v>
      </c>
      <c r="L165" s="742">
        <f>世帯数!R61</f>
        <v>14534</v>
      </c>
      <c r="M165" s="762">
        <f>世帯数!S61</f>
        <v>14585</v>
      </c>
      <c r="N165" s="742">
        <f>世帯数!T61</f>
        <v>14896</v>
      </c>
      <c r="O165" s="742">
        <f>世帯数!U61</f>
        <v>15074</v>
      </c>
      <c r="P165" s="742">
        <f>世帯数!V61</f>
        <v>15228</v>
      </c>
      <c r="Q165" s="742">
        <f>世帯数!W61</f>
        <v>15367</v>
      </c>
      <c r="R165" s="762">
        <f>世帯数!X61</f>
        <v>15544</v>
      </c>
      <c r="S165" s="742">
        <f>世帯数!Z61</f>
        <v>15197</v>
      </c>
      <c r="T165" s="742">
        <f>世帯数!AA61</f>
        <v>15297</v>
      </c>
      <c r="U165" s="742">
        <f>世帯数!AB61</f>
        <v>15374</v>
      </c>
      <c r="V165" s="742">
        <f>世帯数!AC61</f>
        <v>15479</v>
      </c>
      <c r="W165" s="730">
        <f>世帯数!AD61</f>
        <v>15342</v>
      </c>
      <c r="X165" s="730">
        <f>世帯数!AE61</f>
        <v>15434</v>
      </c>
      <c r="Y165" s="730">
        <f>世帯数!AF61</f>
        <v>15537</v>
      </c>
      <c r="Z165" s="730">
        <f>世帯数!AG61</f>
        <v>15502</v>
      </c>
      <c r="AA165" s="730">
        <f>世帯数!AH61</f>
        <v>15490</v>
      </c>
      <c r="AB165" s="730">
        <f>世帯数!AI61</f>
        <v>15578</v>
      </c>
      <c r="AC165" s="730">
        <f>世帯数!AJ61</f>
        <v>15628</v>
      </c>
      <c r="AD165" s="730">
        <f>世帯数!AK61</f>
        <v>15577</v>
      </c>
      <c r="AE165" s="730">
        <f>世帯数!AL61</f>
        <v>15604</v>
      </c>
      <c r="AF165" s="730">
        <f>世帯数!AM61</f>
        <v>15652</v>
      </c>
      <c r="AG165" s="730">
        <f>世帯数!AN61</f>
        <v>15605</v>
      </c>
      <c r="AH165" s="730">
        <f>世帯数!AO61</f>
        <v>15635</v>
      </c>
      <c r="AI165" s="730">
        <f>世帯数!AP61</f>
        <v>15790</v>
      </c>
      <c r="AJ165" s="730">
        <f>世帯数!AQ61</f>
        <v>15911</v>
      </c>
      <c r="AK165" s="730">
        <f>世帯数!AR61</f>
        <v>15968</v>
      </c>
      <c r="AL165" s="730">
        <f>世帯数!AS61</f>
        <v>15947</v>
      </c>
      <c r="AM165" s="730">
        <f>世帯数!AT61</f>
        <v>15842</v>
      </c>
      <c r="AN165" s="730">
        <f>世帯数!AU61</f>
        <v>15737</v>
      </c>
    </row>
    <row r="166" spans="1:40">
      <c r="A166" s="741" t="s">
        <v>223</v>
      </c>
      <c r="B166" s="765"/>
      <c r="C166" s="762">
        <f>世帯数!I62</f>
        <v>19739</v>
      </c>
      <c r="D166" s="742">
        <f>世帯数!J62</f>
        <v>20042</v>
      </c>
      <c r="E166" s="742">
        <f>世帯数!K62</f>
        <v>20359</v>
      </c>
      <c r="F166" s="742">
        <f>世帯数!L62</f>
        <v>20640</v>
      </c>
      <c r="G166" s="742">
        <f>世帯数!M62</f>
        <v>20893</v>
      </c>
      <c r="H166" s="762">
        <f>世帯数!N62</f>
        <v>21033</v>
      </c>
      <c r="I166" s="742">
        <f>世帯数!O62</f>
        <v>21284</v>
      </c>
      <c r="J166" s="742">
        <f>世帯数!P62</f>
        <v>21550</v>
      </c>
      <c r="K166" s="742">
        <f>世帯数!Q62</f>
        <v>21702</v>
      </c>
      <c r="L166" s="742">
        <f>世帯数!R62</f>
        <v>21823</v>
      </c>
      <c r="M166" s="762">
        <f>世帯数!S62</f>
        <v>21769</v>
      </c>
      <c r="N166" s="742">
        <f>世帯数!T62</f>
        <v>21912</v>
      </c>
      <c r="O166" s="742">
        <f>世帯数!U62</f>
        <v>21949</v>
      </c>
      <c r="P166" s="742">
        <f>世帯数!V62</f>
        <v>22048</v>
      </c>
      <c r="Q166" s="742">
        <f>世帯数!W62</f>
        <v>22273</v>
      </c>
      <c r="R166" s="762">
        <f>世帯数!X62</f>
        <v>22517</v>
      </c>
      <c r="S166" s="742">
        <f>世帯数!Z62</f>
        <v>22609</v>
      </c>
      <c r="T166" s="742">
        <f>世帯数!AA62</f>
        <v>22704</v>
      </c>
      <c r="U166" s="742">
        <f>世帯数!AB62</f>
        <v>22903</v>
      </c>
      <c r="V166" s="742">
        <f>世帯数!AC62</f>
        <v>22967</v>
      </c>
      <c r="W166" s="730">
        <f>世帯数!AD62</f>
        <v>22461</v>
      </c>
      <c r="X166" s="730">
        <f>世帯数!AE62</f>
        <v>22572</v>
      </c>
      <c r="Y166" s="730">
        <f>世帯数!AF62</f>
        <v>22578</v>
      </c>
      <c r="Z166" s="730">
        <f>世帯数!AG62</f>
        <v>22573</v>
      </c>
      <c r="AA166" s="730">
        <f>世帯数!AH62</f>
        <v>22562</v>
      </c>
      <c r="AB166" s="730">
        <f>世帯数!AI62</f>
        <v>22553</v>
      </c>
      <c r="AC166" s="730">
        <f>世帯数!AJ62</f>
        <v>22611</v>
      </c>
      <c r="AD166" s="730">
        <f>世帯数!AK62</f>
        <v>22747</v>
      </c>
      <c r="AE166" s="730">
        <f>世帯数!AL62</f>
        <v>22872</v>
      </c>
      <c r="AF166" s="730">
        <f>世帯数!AM62</f>
        <v>23024</v>
      </c>
      <c r="AG166" s="730">
        <f>世帯数!AN62</f>
        <v>23033</v>
      </c>
      <c r="AH166" s="730">
        <f>世帯数!AO62</f>
        <v>23067</v>
      </c>
      <c r="AI166" s="730">
        <f>世帯数!AP62</f>
        <v>23284</v>
      </c>
      <c r="AJ166" s="730">
        <f>世帯数!AQ62</f>
        <v>23436</v>
      </c>
      <c r="AK166" s="730">
        <f>世帯数!AR62</f>
        <v>23548</v>
      </c>
      <c r="AL166" s="730">
        <f>世帯数!AS62</f>
        <v>23615</v>
      </c>
      <c r="AM166" s="730">
        <f>世帯数!AT62</f>
        <v>23885</v>
      </c>
      <c r="AN166" s="730">
        <f>世帯数!AU62</f>
        <v>24155</v>
      </c>
    </row>
    <row r="167" spans="1:40">
      <c r="A167" s="774" t="s">
        <v>212</v>
      </c>
      <c r="B167" s="775"/>
      <c r="C167" s="762">
        <f>世帯数!I63</f>
        <v>50057</v>
      </c>
      <c r="D167" s="742">
        <f>世帯数!J63</f>
        <v>50312</v>
      </c>
      <c r="E167" s="742">
        <f>世帯数!K63</f>
        <v>50632</v>
      </c>
      <c r="F167" s="742">
        <f>世帯数!L63</f>
        <v>51059</v>
      </c>
      <c r="G167" s="742">
        <f>世帯数!M63</f>
        <v>51844</v>
      </c>
      <c r="H167" s="762">
        <f>世帯数!N63</f>
        <v>51992</v>
      </c>
      <c r="I167" s="742">
        <f>世帯数!O63</f>
        <v>52511</v>
      </c>
      <c r="J167" s="742">
        <f>世帯数!P63</f>
        <v>52973</v>
      </c>
      <c r="K167" s="742">
        <f>世帯数!Q63</f>
        <v>53370</v>
      </c>
      <c r="L167" s="742">
        <f>世帯数!R63</f>
        <v>54354</v>
      </c>
      <c r="M167" s="762">
        <f>世帯数!S63</f>
        <v>53644</v>
      </c>
      <c r="N167" s="742">
        <f>世帯数!T63</f>
        <v>54026</v>
      </c>
      <c r="O167" s="742">
        <f>世帯数!U63</f>
        <v>54309</v>
      </c>
      <c r="P167" s="742">
        <f>世帯数!V63</f>
        <v>54422</v>
      </c>
      <c r="Q167" s="742">
        <f>世帯数!W63</f>
        <v>54550</v>
      </c>
      <c r="R167" s="762">
        <f>世帯数!X63</f>
        <v>54587</v>
      </c>
      <c r="S167" s="742">
        <f>世帯数!Z63</f>
        <v>53410</v>
      </c>
      <c r="T167" s="742">
        <f>世帯数!AA63</f>
        <v>53446</v>
      </c>
      <c r="U167" s="742">
        <f>世帯数!AB63</f>
        <v>53699</v>
      </c>
      <c r="V167" s="742">
        <f>世帯数!AC63</f>
        <v>54076</v>
      </c>
      <c r="W167" s="730">
        <f>世帯数!AD63</f>
        <v>52864</v>
      </c>
      <c r="X167" s="730">
        <f>世帯数!AE63</f>
        <v>52747</v>
      </c>
      <c r="Y167" s="730">
        <f>世帯数!AF63</f>
        <v>52730</v>
      </c>
      <c r="Z167" s="730">
        <f>世帯数!AG63</f>
        <v>52544</v>
      </c>
      <c r="AA167" s="730">
        <f>世帯数!AH63</f>
        <v>52627</v>
      </c>
      <c r="AB167" s="730">
        <f>世帯数!AI63</f>
        <v>52500</v>
      </c>
      <c r="AC167" s="730">
        <f>世帯数!AJ63</f>
        <v>52483</v>
      </c>
      <c r="AD167" s="730">
        <f>世帯数!AK63</f>
        <v>52487</v>
      </c>
      <c r="AE167" s="730">
        <f>世帯数!AL63</f>
        <v>52219</v>
      </c>
      <c r="AF167" s="730">
        <f>世帯数!AM63</f>
        <v>52297</v>
      </c>
      <c r="AG167" s="730">
        <f>世帯数!AN63</f>
        <v>52333</v>
      </c>
      <c r="AH167" s="730">
        <f>世帯数!AO63</f>
        <v>52769</v>
      </c>
      <c r="AI167" s="730">
        <f>世帯数!AP63</f>
        <v>52992</v>
      </c>
      <c r="AJ167" s="730">
        <f>世帯数!AQ63</f>
        <v>53202</v>
      </c>
      <c r="AK167" s="730">
        <f>世帯数!AR63</f>
        <v>53387</v>
      </c>
      <c r="AL167" s="730">
        <f>世帯数!AS63</f>
        <v>53396</v>
      </c>
      <c r="AM167" s="730">
        <f>世帯数!AT63</f>
        <v>52895</v>
      </c>
      <c r="AN167" s="730">
        <f>世帯数!AU63</f>
        <v>52394</v>
      </c>
    </row>
    <row r="168" spans="1:40">
      <c r="A168" s="768" t="s">
        <v>241</v>
      </c>
      <c r="B168" s="769"/>
      <c r="C168" s="762">
        <f>世帯数!I64</f>
        <v>17387</v>
      </c>
      <c r="D168" s="742">
        <f>世帯数!J64</f>
        <v>17437</v>
      </c>
      <c r="E168" s="742">
        <f>世帯数!K64</f>
        <v>17578</v>
      </c>
      <c r="F168" s="742">
        <f>世帯数!L64</f>
        <v>17574</v>
      </c>
      <c r="G168" s="742">
        <f>世帯数!M64</f>
        <v>17960</v>
      </c>
      <c r="H168" s="762">
        <f>世帯数!N64</f>
        <v>17981</v>
      </c>
      <c r="I168" s="742">
        <f>世帯数!O64</f>
        <v>18223</v>
      </c>
      <c r="J168" s="742">
        <f>世帯数!P64</f>
        <v>18409</v>
      </c>
      <c r="K168" s="742">
        <f>世帯数!Q64</f>
        <v>18529</v>
      </c>
      <c r="L168" s="742">
        <f>世帯数!R64</f>
        <v>19101</v>
      </c>
      <c r="M168" s="762">
        <f>世帯数!S64</f>
        <v>18842</v>
      </c>
      <c r="N168" s="742">
        <f>世帯数!T64</f>
        <v>18989</v>
      </c>
      <c r="O168" s="742">
        <f>世帯数!U64</f>
        <v>19107</v>
      </c>
      <c r="P168" s="742">
        <f>世帯数!V64</f>
        <v>19118</v>
      </c>
      <c r="Q168" s="742">
        <f>世帯数!W64</f>
        <v>19154</v>
      </c>
      <c r="R168" s="762">
        <f>世帯数!X64</f>
        <v>19086</v>
      </c>
      <c r="S168" s="742">
        <f>世帯数!Z64</f>
        <v>18789</v>
      </c>
      <c r="T168" s="742">
        <f>世帯数!AA64</f>
        <v>18753</v>
      </c>
      <c r="U168" s="742">
        <f>世帯数!AB64</f>
        <v>18719</v>
      </c>
      <c r="V168" s="742">
        <f>世帯数!AC64</f>
        <v>18835</v>
      </c>
      <c r="W168" s="730">
        <f>世帯数!AD64</f>
        <v>18447</v>
      </c>
      <c r="X168" s="730">
        <f>世帯数!AE64</f>
        <v>18316</v>
      </c>
      <c r="Y168" s="730">
        <f>世帯数!AF64</f>
        <v>18347</v>
      </c>
      <c r="Z168" s="730">
        <f>世帯数!AG64</f>
        <v>18180</v>
      </c>
      <c r="AA168" s="730">
        <f>世帯数!AH64</f>
        <v>18153</v>
      </c>
      <c r="AB168" s="730">
        <f>世帯数!AI64</f>
        <v>18081</v>
      </c>
      <c r="AC168" s="730">
        <f>世帯数!AJ64</f>
        <v>18010</v>
      </c>
      <c r="AD168" s="730">
        <f>世帯数!AK64</f>
        <v>17955</v>
      </c>
      <c r="AE168" s="730">
        <f>世帯数!AL64</f>
        <v>17786</v>
      </c>
      <c r="AF168" s="730">
        <f>世帯数!AM64</f>
        <v>17792</v>
      </c>
      <c r="AG168" s="730">
        <f>世帯数!AN64</f>
        <v>17792</v>
      </c>
      <c r="AH168" s="730">
        <f>世帯数!AO64</f>
        <v>17946</v>
      </c>
      <c r="AI168" s="730">
        <f>世帯数!AP64</f>
        <v>17996</v>
      </c>
      <c r="AJ168" s="730">
        <f>世帯数!AQ64</f>
        <v>18024</v>
      </c>
      <c r="AK168" s="730">
        <f>世帯数!AR64</f>
        <v>18156</v>
      </c>
      <c r="AL168" s="730">
        <f>世帯数!AS64</f>
        <v>18192</v>
      </c>
      <c r="AM168" s="730">
        <f>世帯数!AT64</f>
        <v>18135</v>
      </c>
      <c r="AN168" s="730">
        <f>世帯数!AU64</f>
        <v>18078</v>
      </c>
    </row>
    <row r="169" spans="1:40">
      <c r="A169" s="741" t="s">
        <v>224</v>
      </c>
      <c r="B169" s="765"/>
      <c r="C169" s="762">
        <f>世帯数!I65</f>
        <v>16017</v>
      </c>
      <c r="D169" s="742">
        <f>世帯数!J65</f>
        <v>16134</v>
      </c>
      <c r="E169" s="742">
        <f>世帯数!K65</f>
        <v>16227</v>
      </c>
      <c r="F169" s="742">
        <f>世帯数!L65</f>
        <v>16399</v>
      </c>
      <c r="G169" s="742">
        <f>世帯数!M65</f>
        <v>16674</v>
      </c>
      <c r="H169" s="762">
        <f>世帯数!N65</f>
        <v>16716</v>
      </c>
      <c r="I169" s="742">
        <f>世帯数!O65</f>
        <v>16861</v>
      </c>
      <c r="J169" s="742">
        <f>世帯数!P65</f>
        <v>16939</v>
      </c>
      <c r="K169" s="742">
        <f>世帯数!Q65</f>
        <v>17026</v>
      </c>
      <c r="L169" s="742">
        <f>世帯数!R65</f>
        <v>17192</v>
      </c>
      <c r="M169" s="762">
        <f>世帯数!S65</f>
        <v>17140</v>
      </c>
      <c r="N169" s="742">
        <f>世帯数!T65</f>
        <v>17311</v>
      </c>
      <c r="O169" s="742">
        <f>世帯数!U65</f>
        <v>17433</v>
      </c>
      <c r="P169" s="742">
        <f>世帯数!V65</f>
        <v>17479</v>
      </c>
      <c r="Q169" s="742">
        <f>世帯数!W65</f>
        <v>17513</v>
      </c>
      <c r="R169" s="762">
        <f>世帯数!X65</f>
        <v>17623</v>
      </c>
      <c r="S169" s="742">
        <f>世帯数!Z65</f>
        <v>17180</v>
      </c>
      <c r="T169" s="742">
        <f>世帯数!AA65</f>
        <v>17225</v>
      </c>
      <c r="U169" s="742">
        <f>世帯数!AB65</f>
        <v>17365</v>
      </c>
      <c r="V169" s="742">
        <f>世帯数!AC65</f>
        <v>17466</v>
      </c>
      <c r="W169" s="730">
        <f>世帯数!AD65</f>
        <v>16981</v>
      </c>
      <c r="X169" s="730">
        <f>世帯数!AE65</f>
        <v>17009</v>
      </c>
      <c r="Y169" s="730">
        <f>世帯数!AF65</f>
        <v>17001</v>
      </c>
      <c r="Z169" s="730">
        <f>世帯数!AG65</f>
        <v>16960</v>
      </c>
      <c r="AA169" s="730">
        <f>世帯数!AH65</f>
        <v>17023</v>
      </c>
      <c r="AB169" s="730">
        <f>世帯数!AI65</f>
        <v>16968</v>
      </c>
      <c r="AC169" s="730">
        <f>世帯数!AJ65</f>
        <v>16975</v>
      </c>
      <c r="AD169" s="730">
        <f>世帯数!AK65</f>
        <v>16954</v>
      </c>
      <c r="AE169" s="730">
        <f>世帯数!AL65</f>
        <v>16952</v>
      </c>
      <c r="AF169" s="730">
        <f>世帯数!AM65</f>
        <v>17037</v>
      </c>
      <c r="AG169" s="730">
        <f>世帯数!AN65</f>
        <v>17047</v>
      </c>
      <c r="AH169" s="730">
        <f>世帯数!AO65</f>
        <v>17226</v>
      </c>
      <c r="AI169" s="730">
        <f>世帯数!AP65</f>
        <v>17247</v>
      </c>
      <c r="AJ169" s="730">
        <f>世帯数!AQ65</f>
        <v>17328</v>
      </c>
      <c r="AK169" s="730">
        <f>世帯数!AR65</f>
        <v>17367</v>
      </c>
      <c r="AL169" s="730">
        <f>世帯数!AS65</f>
        <v>17377</v>
      </c>
      <c r="AM169" s="730">
        <f>世帯数!AT65</f>
        <v>17242</v>
      </c>
      <c r="AN169" s="730">
        <f>世帯数!AU65</f>
        <v>17107</v>
      </c>
    </row>
    <row r="170" spans="1:40">
      <c r="A170" s="776" t="s">
        <v>225</v>
      </c>
      <c r="B170" s="777"/>
      <c r="C170" s="778">
        <f>世帯数!I66</f>
        <v>16653</v>
      </c>
      <c r="D170" s="779">
        <f>世帯数!J66</f>
        <v>16741</v>
      </c>
      <c r="E170" s="779">
        <f>世帯数!K66</f>
        <v>16827</v>
      </c>
      <c r="F170" s="779">
        <f>世帯数!L66</f>
        <v>17086</v>
      </c>
      <c r="G170" s="779">
        <f>世帯数!M66</f>
        <v>17210</v>
      </c>
      <c r="H170" s="778">
        <f>世帯数!N66</f>
        <v>17295</v>
      </c>
      <c r="I170" s="779">
        <f>世帯数!O66</f>
        <v>17427</v>
      </c>
      <c r="J170" s="779">
        <f>世帯数!P66</f>
        <v>17625</v>
      </c>
      <c r="K170" s="779">
        <f>世帯数!Q66</f>
        <v>17815</v>
      </c>
      <c r="L170" s="779">
        <f>世帯数!R66</f>
        <v>18061</v>
      </c>
      <c r="M170" s="778">
        <f>世帯数!S66</f>
        <v>17662</v>
      </c>
      <c r="N170" s="779">
        <f>世帯数!T66</f>
        <v>17726</v>
      </c>
      <c r="O170" s="779">
        <f>世帯数!U66</f>
        <v>17769</v>
      </c>
      <c r="P170" s="779">
        <f>世帯数!V66</f>
        <v>17825</v>
      </c>
      <c r="Q170" s="779">
        <f>世帯数!W66</f>
        <v>17883</v>
      </c>
      <c r="R170" s="778">
        <f>世帯数!X66</f>
        <v>17878</v>
      </c>
      <c r="S170" s="779">
        <f>世帯数!Z66</f>
        <v>17441</v>
      </c>
      <c r="T170" s="779">
        <f>世帯数!AA66</f>
        <v>17468</v>
      </c>
      <c r="U170" s="779">
        <f>世帯数!AB66</f>
        <v>17615</v>
      </c>
      <c r="V170" s="779">
        <f>世帯数!AC66</f>
        <v>17775</v>
      </c>
      <c r="W170" s="731">
        <f>世帯数!AD66</f>
        <v>17436</v>
      </c>
      <c r="X170" s="731">
        <f>世帯数!AE66</f>
        <v>17422</v>
      </c>
      <c r="Y170" s="731">
        <f>世帯数!AF66</f>
        <v>17382</v>
      </c>
      <c r="Z170" s="731">
        <f>世帯数!AG66</f>
        <v>17404</v>
      </c>
      <c r="AA170" s="731">
        <f>世帯数!AH66</f>
        <v>17451</v>
      </c>
      <c r="AB170" s="731">
        <f>世帯数!AI66</f>
        <v>17451</v>
      </c>
      <c r="AC170" s="731">
        <f>世帯数!AJ66</f>
        <v>17498</v>
      </c>
      <c r="AD170" s="731">
        <f>世帯数!AK66</f>
        <v>17578</v>
      </c>
      <c r="AE170" s="731">
        <f>世帯数!AL66</f>
        <v>17481</v>
      </c>
      <c r="AF170" s="731">
        <f>世帯数!AM66</f>
        <v>17468</v>
      </c>
      <c r="AG170" s="731">
        <f>世帯数!AN66</f>
        <v>17494</v>
      </c>
      <c r="AH170" s="731">
        <f>世帯数!AO66</f>
        <v>17597</v>
      </c>
      <c r="AI170" s="731">
        <f>世帯数!AP66</f>
        <v>17749</v>
      </c>
      <c r="AJ170" s="731">
        <f>世帯数!AQ66</f>
        <v>17850</v>
      </c>
      <c r="AK170" s="731">
        <f>世帯数!AR66</f>
        <v>17864</v>
      </c>
      <c r="AL170" s="731">
        <f>世帯数!AS66</f>
        <v>17827</v>
      </c>
      <c r="AM170" s="731">
        <f>世帯数!AT66</f>
        <v>17518</v>
      </c>
      <c r="AN170" s="731">
        <f>世帯数!AU66</f>
        <v>17209</v>
      </c>
    </row>
    <row r="171" spans="1:40">
      <c r="C171" s="133" t="s">
        <v>347</v>
      </c>
    </row>
  </sheetData>
  <phoneticPr fontId="13"/>
  <pageMargins left="0.75" right="0.75" top="1" bottom="1" header="0.51200000000000001" footer="0.51200000000000001"/>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5A06C-8B19-49CD-9C29-06BEA0810037}">
  <sheetPr>
    <tabColor theme="9" tint="0.79998168889431442"/>
  </sheetPr>
  <dimension ref="A1:CN171"/>
  <sheetViews>
    <sheetView zoomScaleNormal="100" workbookViewId="0">
      <pane xSplit="18" ySplit="3" topLeftCell="AD96" activePane="bottomRight" state="frozen"/>
      <selection pane="topRight" activeCell="S1" sqref="S1"/>
      <selection pane="bottomLeft" activeCell="A4" sqref="A4"/>
      <selection pane="bottomRight" activeCell="AG102" sqref="AG102"/>
    </sheetView>
  </sheetViews>
  <sheetFormatPr defaultColWidth="8.7109375" defaultRowHeight="13"/>
  <cols>
    <col min="1" max="1" width="8.7109375" style="75"/>
    <col min="2" max="18" width="0" style="75" hidden="1" customWidth="1"/>
    <col min="19" max="26" width="8.7109375" style="75"/>
    <col min="27" max="38" width="8.7109375" style="75" customWidth="1"/>
    <col min="39" max="39" width="4.0703125" style="75" customWidth="1"/>
    <col min="40" max="42" width="7.5" style="75" customWidth="1"/>
    <col min="43" max="45" width="8.2109375" style="75" customWidth="1"/>
    <col min="46" max="46" width="7.2109375" style="75" customWidth="1"/>
    <col min="47" max="49" width="7.5703125" style="75" customWidth="1"/>
    <col min="50" max="52" width="7.42578125" style="75" customWidth="1"/>
    <col min="53" max="53" width="6.92578125" style="75" hidden="1" customWidth="1"/>
    <col min="54" max="54" width="8" style="75" hidden="1" customWidth="1"/>
    <col min="55" max="55" width="7.92578125" style="75" hidden="1" customWidth="1"/>
    <col min="56" max="56" width="7.0703125" style="75" hidden="1" customWidth="1"/>
    <col min="57" max="59" width="0" style="75" hidden="1" customWidth="1"/>
    <col min="60" max="61" width="8.7109375" style="75"/>
    <col min="62" max="62" width="1.7109375" style="75" customWidth="1"/>
    <col min="63" max="63" width="4.2109375" style="75" customWidth="1"/>
    <col min="64" max="67" width="7.5" style="75" customWidth="1"/>
    <col min="68" max="68" width="3.5703125" style="75" customWidth="1"/>
    <col min="69" max="69" width="4.2109375" style="75" customWidth="1"/>
    <col min="70" max="73" width="7.5" style="75" customWidth="1"/>
    <col min="74" max="74" width="3.0703125" style="75" customWidth="1"/>
    <col min="75" max="75" width="3.2109375" style="75" customWidth="1"/>
    <col min="76" max="79" width="8.7109375" style="75"/>
    <col min="80" max="80" width="4.7109375" style="75" customWidth="1"/>
    <col min="81" max="81" width="5" style="75" customWidth="1"/>
    <col min="82" max="85" width="8.7109375" style="75"/>
    <col min="86" max="86" width="3.5" style="75" customWidth="1"/>
    <col min="87" max="87" width="3.7109375" style="75" customWidth="1"/>
    <col min="88" max="91" width="8.7109375" style="75"/>
    <col min="92" max="92" width="3.2109375" style="75" customWidth="1"/>
    <col min="93" max="97" width="8.7109375" style="75"/>
    <col min="98" max="98" width="3.42578125" style="75" customWidth="1"/>
    <col min="99" max="16384" width="8.7109375" style="75"/>
  </cols>
  <sheetData>
    <row r="1" spans="1:38">
      <c r="A1" s="72" t="s">
        <v>677</v>
      </c>
      <c r="B1" s="72"/>
      <c r="C1" s="73"/>
      <c r="D1" s="73"/>
      <c r="E1" s="73"/>
      <c r="F1" s="73"/>
      <c r="G1" s="73"/>
      <c r="H1" s="72"/>
      <c r="I1" s="72"/>
      <c r="J1" s="72"/>
      <c r="K1" s="72"/>
      <c r="L1" s="73"/>
      <c r="M1" s="744" t="s">
        <v>11</v>
      </c>
      <c r="N1" s="744" t="s">
        <v>11</v>
      </c>
      <c r="O1" s="744" t="s">
        <v>11</v>
      </c>
      <c r="P1" s="744" t="s">
        <v>11</v>
      </c>
      <c r="Q1" s="73" t="s">
        <v>11</v>
      </c>
      <c r="R1" s="73"/>
      <c r="S1" s="73" t="s">
        <v>679</v>
      </c>
      <c r="T1" s="73"/>
      <c r="U1" s="73"/>
      <c r="V1" s="73"/>
      <c r="W1" s="73" t="s">
        <v>627</v>
      </c>
      <c r="X1" s="73" t="s">
        <v>11</v>
      </c>
      <c r="Y1" s="73" t="s">
        <v>11</v>
      </c>
      <c r="Z1" s="73" t="s">
        <v>11</v>
      </c>
      <c r="AA1" s="73" t="s">
        <v>11</v>
      </c>
      <c r="AB1" s="73" t="s">
        <v>627</v>
      </c>
      <c r="AC1" s="73" t="s">
        <v>11</v>
      </c>
      <c r="AD1" s="73" t="s">
        <v>627</v>
      </c>
      <c r="AE1" s="73" t="s">
        <v>627</v>
      </c>
      <c r="AF1" s="73"/>
      <c r="AG1" s="73"/>
      <c r="AH1" s="628"/>
      <c r="AI1" s="73"/>
    </row>
    <row r="2" spans="1:38">
      <c r="A2" s="745"/>
      <c r="B2" s="746"/>
      <c r="C2" s="747" t="s">
        <v>622</v>
      </c>
      <c r="D2" s="748" t="s">
        <v>623</v>
      </c>
      <c r="E2" s="748" t="s">
        <v>624</v>
      </c>
      <c r="F2" s="748" t="s">
        <v>625</v>
      </c>
      <c r="G2" s="748" t="s">
        <v>626</v>
      </c>
      <c r="H2" s="749" t="s">
        <v>610</v>
      </c>
      <c r="I2" s="750" t="s">
        <v>611</v>
      </c>
      <c r="J2" s="748" t="s">
        <v>612</v>
      </c>
      <c r="K2" s="748" t="s">
        <v>613</v>
      </c>
      <c r="L2" s="748" t="s">
        <v>614</v>
      </c>
      <c r="M2" s="747" t="s">
        <v>615</v>
      </c>
      <c r="N2" s="748" t="s">
        <v>616</v>
      </c>
      <c r="O2" s="748" t="s">
        <v>617</v>
      </c>
      <c r="P2" s="748" t="s">
        <v>618</v>
      </c>
      <c r="Q2" s="748" t="s">
        <v>619</v>
      </c>
      <c r="R2" s="747" t="s">
        <v>460</v>
      </c>
      <c r="S2" s="748" t="s">
        <v>459</v>
      </c>
      <c r="T2" s="748" t="s">
        <v>456</v>
      </c>
      <c r="U2" s="748" t="s">
        <v>750</v>
      </c>
      <c r="V2" s="1165" t="s">
        <v>856</v>
      </c>
      <c r="W2" s="748" t="s">
        <v>911</v>
      </c>
      <c r="X2" s="748" t="s">
        <v>96</v>
      </c>
      <c r="Y2" s="1166" t="s">
        <v>118</v>
      </c>
      <c r="Z2" s="1166" t="s">
        <v>119</v>
      </c>
      <c r="AA2" s="1167" t="s">
        <v>67</v>
      </c>
      <c r="AB2" s="1166" t="s">
        <v>157</v>
      </c>
      <c r="AC2" s="1166" t="s">
        <v>1000</v>
      </c>
      <c r="AD2" s="1166" t="s">
        <v>1036</v>
      </c>
      <c r="AE2" s="1166" t="s">
        <v>1062</v>
      </c>
      <c r="AF2" s="1165" t="s">
        <v>1161</v>
      </c>
      <c r="AG2" s="1165" t="s">
        <v>1129</v>
      </c>
      <c r="AH2" s="1165" t="s">
        <v>1160</v>
      </c>
      <c r="AI2" s="1165" t="s">
        <v>1200</v>
      </c>
      <c r="AJ2" s="1068" t="s">
        <v>1234</v>
      </c>
      <c r="AK2" s="1068" t="s">
        <v>1561</v>
      </c>
    </row>
    <row r="3" spans="1:38">
      <c r="A3" s="751"/>
      <c r="B3" s="752"/>
      <c r="C3" s="753" t="s">
        <v>11</v>
      </c>
      <c r="D3" s="751"/>
      <c r="E3" s="751"/>
      <c r="F3" s="751"/>
      <c r="G3" s="751"/>
      <c r="H3" s="754"/>
      <c r="I3" s="258"/>
      <c r="J3" s="258"/>
      <c r="K3" s="258"/>
      <c r="L3" s="258"/>
      <c r="M3" s="754"/>
      <c r="N3" s="258"/>
      <c r="O3" s="258"/>
      <c r="P3" s="258"/>
      <c r="Q3" s="258"/>
      <c r="R3" s="754"/>
      <c r="S3" s="258"/>
      <c r="T3" s="258"/>
      <c r="U3" s="258"/>
      <c r="V3" s="1168"/>
      <c r="W3" s="258"/>
      <c r="X3" s="258"/>
      <c r="Y3" s="258" t="s">
        <v>11</v>
      </c>
      <c r="Z3" s="258" t="s">
        <v>11</v>
      </c>
      <c r="AA3" s="1169" t="s">
        <v>11</v>
      </c>
      <c r="AB3" s="73" t="s">
        <v>627</v>
      </c>
      <c r="AC3" s="258"/>
      <c r="AD3" s="73" t="s">
        <v>11</v>
      </c>
      <c r="AE3" s="73" t="s">
        <v>11</v>
      </c>
      <c r="AF3" s="1168"/>
      <c r="AG3" s="1168"/>
      <c r="AH3" s="1168"/>
      <c r="AI3" s="1168"/>
      <c r="AJ3" s="461"/>
      <c r="AK3" s="461"/>
    </row>
    <row r="4" spans="1:38">
      <c r="A4" s="756" t="s">
        <v>166</v>
      </c>
      <c r="B4" s="757"/>
      <c r="C4" s="758">
        <f>C5+C6+C10+C16+C22+C29+C34+C42+C48+C51</f>
        <v>5284221.0851499988</v>
      </c>
      <c r="D4" s="759">
        <f t="shared" ref="D4:AF4" si="0">D5+D6+D10+D16+D22+D29+D34+D42+D48+D51</f>
        <v>5868363.7215400003</v>
      </c>
      <c r="E4" s="759">
        <f t="shared" si="0"/>
        <v>5370829.5059499992</v>
      </c>
      <c r="F4" s="759">
        <f t="shared" si="0"/>
        <v>5486590.0465000002</v>
      </c>
      <c r="G4" s="759">
        <f t="shared" si="0"/>
        <v>6035675.1633399995</v>
      </c>
      <c r="H4" s="758">
        <f t="shared" si="0"/>
        <v>6218830.5296600005</v>
      </c>
      <c r="I4" s="759">
        <f t="shared" si="0"/>
        <v>5968433.1382199991</v>
      </c>
      <c r="J4" s="759">
        <f t="shared" si="0"/>
        <v>6220474.9731300008</v>
      </c>
      <c r="K4" s="759">
        <f t="shared" si="0"/>
        <v>6293711.0288199997</v>
      </c>
      <c r="L4" s="759">
        <f t="shared" si="0"/>
        <v>6738355.5995400008</v>
      </c>
      <c r="M4" s="758">
        <f t="shared" si="0"/>
        <v>6294163.3213</v>
      </c>
      <c r="N4" s="759">
        <f t="shared" si="0"/>
        <v>6153687.6697499985</v>
      </c>
      <c r="O4" s="759">
        <f t="shared" si="0"/>
        <v>7715139.55559</v>
      </c>
      <c r="P4" s="759">
        <f t="shared" si="0"/>
        <v>7755648.4725700002</v>
      </c>
      <c r="Q4" s="759">
        <f t="shared" si="0"/>
        <v>6786693.87634</v>
      </c>
      <c r="R4" s="758">
        <f t="shared" si="0"/>
        <v>6859115.8132399991</v>
      </c>
      <c r="S4" s="759">
        <f t="shared" si="0"/>
        <v>6859489.1665700004</v>
      </c>
      <c r="T4" s="759">
        <f t="shared" si="0"/>
        <v>6934682.9108800013</v>
      </c>
      <c r="U4" s="742">
        <f t="shared" si="0"/>
        <v>7016027.9754400011</v>
      </c>
      <c r="V4" s="730">
        <f t="shared" si="0"/>
        <v>7093978.4320600005</v>
      </c>
      <c r="W4" s="730">
        <f t="shared" si="0"/>
        <v>7081487.2081300002</v>
      </c>
      <c r="X4" s="730">
        <f t="shared" si="0"/>
        <v>6919914.3412499996</v>
      </c>
      <c r="Y4" s="730">
        <f t="shared" si="0"/>
        <v>6972005.14451</v>
      </c>
      <c r="Z4" s="730">
        <f t="shared" si="0"/>
        <v>7171253.4655199992</v>
      </c>
      <c r="AA4" s="728">
        <f t="shared" si="0"/>
        <v>7176172.2848800002</v>
      </c>
      <c r="AB4" s="728">
        <f t="shared" si="0"/>
        <v>7145027.8753700005</v>
      </c>
      <c r="AC4" s="728">
        <f t="shared" si="0"/>
        <v>7126900.1193700004</v>
      </c>
      <c r="AD4" s="728">
        <f t="shared" si="0"/>
        <v>7219459.7434300017</v>
      </c>
      <c r="AE4" s="728">
        <f t="shared" si="0"/>
        <v>7319583.6472399998</v>
      </c>
      <c r="AF4" s="728">
        <f t="shared" si="0"/>
        <v>7487470.3112299973</v>
      </c>
      <c r="AG4" s="728">
        <f>AG5+AG6+AG10+AG16+AG22+AG29+AG34+AG42+AG48+AG51</f>
        <v>7209985.17026</v>
      </c>
      <c r="AH4" s="728">
        <f>AH5+AH6+AH10+AH16+AH22+AH29+AH34+AH42+AH48+AH51</f>
        <v>7244317.0993499989</v>
      </c>
      <c r="AI4" s="728">
        <f>AI5+AI6+AI10+AI16+AI22+AI29+AI34+AI42+AI48+AI51</f>
        <v>7293664.4853399983</v>
      </c>
      <c r="AJ4" s="728">
        <f>AJ5+AJ6+AJ10+AJ16+AJ22+AJ29+AJ34+AJ42+AJ48+AJ51</f>
        <v>7331876.8248300003</v>
      </c>
      <c r="AK4" s="728">
        <f>AK5+AK6+AK10+AK16+AK22+AK29+AK34+AK42+AK48+AK51</f>
        <v>0</v>
      </c>
      <c r="AL4" s="730"/>
    </row>
    <row r="5" spans="1:38">
      <c r="A5" s="760" t="s">
        <v>172</v>
      </c>
      <c r="B5" s="761"/>
      <c r="C5" s="762">
        <f t="shared" ref="C5:Y5" si="1">C65*C121/100000</f>
        <v>1637282.9737799999</v>
      </c>
      <c r="D5" s="742">
        <f t="shared" si="1"/>
        <v>1817474.66</v>
      </c>
      <c r="E5" s="742">
        <f t="shared" si="1"/>
        <v>1609387.0864800001</v>
      </c>
      <c r="F5" s="742">
        <f t="shared" si="1"/>
        <v>1644771.96554</v>
      </c>
      <c r="G5" s="742">
        <f t="shared" si="1"/>
        <v>1809388.5179999999</v>
      </c>
      <c r="H5" s="762">
        <f t="shared" si="1"/>
        <v>1838140.78896</v>
      </c>
      <c r="I5" s="742">
        <f t="shared" si="1"/>
        <v>1693560.54736</v>
      </c>
      <c r="J5" s="742">
        <f t="shared" si="1"/>
        <v>1792786.18402</v>
      </c>
      <c r="K5" s="742">
        <f t="shared" si="1"/>
        <v>1807416.4668000001</v>
      </c>
      <c r="L5" s="742">
        <f t="shared" si="1"/>
        <v>1936010.7141199999</v>
      </c>
      <c r="M5" s="762">
        <f t="shared" si="1"/>
        <v>1854540.5157600001</v>
      </c>
      <c r="N5" s="742">
        <f t="shared" si="1"/>
        <v>1820484.5202299999</v>
      </c>
      <c r="O5" s="742">
        <f t="shared" si="1"/>
        <v>2312164.642</v>
      </c>
      <c r="P5" s="742">
        <f t="shared" si="1"/>
        <v>2328021.2377800001</v>
      </c>
      <c r="Q5" s="742">
        <f t="shared" si="1"/>
        <v>2048696.9206399999</v>
      </c>
      <c r="R5" s="762">
        <f t="shared" si="1"/>
        <v>2073270.1662000001</v>
      </c>
      <c r="S5" s="742">
        <f t="shared" si="1"/>
        <v>2071398.1437599999</v>
      </c>
      <c r="T5" s="742">
        <f t="shared" si="1"/>
        <v>2093146.04786</v>
      </c>
      <c r="U5" s="742">
        <f t="shared" si="1"/>
        <v>2118874.1475</v>
      </c>
      <c r="V5" s="730">
        <f t="shared" si="1"/>
        <v>2147048.9663800001</v>
      </c>
      <c r="W5" s="730">
        <f t="shared" si="1"/>
        <v>2175017.7570000002</v>
      </c>
      <c r="X5" s="730">
        <f t="shared" si="1"/>
        <v>2118512.6979499999</v>
      </c>
      <c r="Y5" s="730">
        <f t="shared" si="1"/>
        <v>2117890.1115999999</v>
      </c>
      <c r="Z5" s="730">
        <f>Z65*Z121/100000</f>
        <v>2200906.7662399998</v>
      </c>
      <c r="AA5" s="730">
        <f>AA65*AA121/100000+AO17</f>
        <v>2192508.7027199999</v>
      </c>
      <c r="AB5" s="730">
        <f t="shared" ref="AB5:AG5" si="2">AB65*AB121/100000</f>
        <v>2195466.0084899999</v>
      </c>
      <c r="AC5" s="730">
        <f t="shared" si="2"/>
        <v>2226008.4464699998</v>
      </c>
      <c r="AD5" s="730">
        <f t="shared" si="2"/>
        <v>2254239.9822300002</v>
      </c>
      <c r="AE5" s="730">
        <f t="shared" si="2"/>
        <v>2267201.3128499999</v>
      </c>
      <c r="AF5" s="730">
        <f t="shared" si="2"/>
        <v>2297890.8465999998</v>
      </c>
      <c r="AG5" s="730">
        <f t="shared" si="2"/>
        <v>2240638.7944</v>
      </c>
      <c r="AH5" s="730">
        <f>AH65*AH121/100000</f>
        <v>2250986.48948</v>
      </c>
      <c r="AI5" s="730">
        <f>AI65*AI121/100000</f>
        <v>2265544.6049799998</v>
      </c>
      <c r="AJ5" s="730">
        <f>AJ65*AJ121/100000</f>
        <v>2273370.9259199998</v>
      </c>
      <c r="AK5" s="730">
        <f>AK65*AK121/100000</f>
        <v>0</v>
      </c>
      <c r="AL5" s="730"/>
    </row>
    <row r="6" spans="1:38">
      <c r="A6" s="763" t="s">
        <v>182</v>
      </c>
      <c r="B6" s="764"/>
      <c r="C6" s="762">
        <f>SUM(C7:C9)</f>
        <v>1142509.5187200001</v>
      </c>
      <c r="D6" s="742">
        <f t="shared" ref="D6:AG6" si="3">SUM(D7:D9)</f>
        <v>1259772.7600000002</v>
      </c>
      <c r="E6" s="742">
        <f t="shared" si="3"/>
        <v>1106893.9644000002</v>
      </c>
      <c r="F6" s="742">
        <f t="shared" si="3"/>
        <v>1121822.6361100001</v>
      </c>
      <c r="G6" s="742">
        <f t="shared" si="3"/>
        <v>1221678.2490000001</v>
      </c>
      <c r="H6" s="762">
        <f t="shared" si="3"/>
        <v>1270607.4370800001</v>
      </c>
      <c r="I6" s="742">
        <f t="shared" si="3"/>
        <v>1168347.8707999999</v>
      </c>
      <c r="J6" s="742">
        <f t="shared" si="3"/>
        <v>1233462.8085500002</v>
      </c>
      <c r="K6" s="742">
        <f t="shared" si="3"/>
        <v>1245211.4987999999</v>
      </c>
      <c r="L6" s="742">
        <f t="shared" si="3"/>
        <v>1292340.1831199999</v>
      </c>
      <c r="M6" s="762">
        <f t="shared" si="3"/>
        <v>1233542.5627599999</v>
      </c>
      <c r="N6" s="742">
        <f t="shared" si="3"/>
        <v>1207337.21376</v>
      </c>
      <c r="O6" s="742">
        <f t="shared" si="3"/>
        <v>1530835.6756499999</v>
      </c>
      <c r="P6" s="742">
        <f t="shared" si="3"/>
        <v>1542173.4581399998</v>
      </c>
      <c r="Q6" s="742">
        <f t="shared" si="3"/>
        <v>1333609.2139999999</v>
      </c>
      <c r="R6" s="762">
        <f t="shared" si="3"/>
        <v>1349709.6441599999</v>
      </c>
      <c r="S6" s="742">
        <f t="shared" si="3"/>
        <v>1365646.12632</v>
      </c>
      <c r="T6" s="742">
        <f t="shared" si="3"/>
        <v>1384003.8474000001</v>
      </c>
      <c r="U6" s="742">
        <f t="shared" si="3"/>
        <v>1402774.5059200001</v>
      </c>
      <c r="V6" s="730">
        <f t="shared" si="3"/>
        <v>1417435.3934800001</v>
      </c>
      <c r="W6" s="730">
        <f t="shared" si="3"/>
        <v>1412389.8086699999</v>
      </c>
      <c r="X6" s="730">
        <f t="shared" si="3"/>
        <v>1375227.26954</v>
      </c>
      <c r="Y6" s="730">
        <f t="shared" si="3"/>
        <v>1384857.8033399999</v>
      </c>
      <c r="Z6" s="730">
        <f t="shared" si="3"/>
        <v>1430132.3666900001</v>
      </c>
      <c r="AA6" s="730">
        <f t="shared" si="3"/>
        <v>1425410.8687200001</v>
      </c>
      <c r="AB6" s="730">
        <f t="shared" si="3"/>
        <v>1422585.6420699998</v>
      </c>
      <c r="AC6" s="730">
        <f t="shared" si="3"/>
        <v>1435388.4693700001</v>
      </c>
      <c r="AD6" s="730">
        <f t="shared" si="3"/>
        <v>1446789.3866999999</v>
      </c>
      <c r="AE6" s="730">
        <f t="shared" si="3"/>
        <v>1459096.75086</v>
      </c>
      <c r="AF6" s="730">
        <f t="shared" si="3"/>
        <v>1481756.5714699998</v>
      </c>
      <c r="AG6" s="730">
        <f t="shared" si="3"/>
        <v>1439435.45487</v>
      </c>
      <c r="AH6" s="730">
        <f>SUM(AH7:AH9)</f>
        <v>1447096.01636</v>
      </c>
      <c r="AI6" s="730">
        <f>SUM(AI7:AI9)</f>
        <v>1457548.4512099999</v>
      </c>
      <c r="AJ6" s="730">
        <f>SUM(AJ7:AJ9)</f>
        <v>1467792.1603699999</v>
      </c>
      <c r="AK6" s="730">
        <f>SUM(AK7:AK9)</f>
        <v>0</v>
      </c>
      <c r="AL6" s="730"/>
    </row>
    <row r="7" spans="1:38">
      <c r="A7" s="741" t="s">
        <v>183</v>
      </c>
      <c r="B7" s="765"/>
      <c r="C7" s="762">
        <f t="shared" ref="C7:Y9" si="4">C67*C123/100000</f>
        <v>564291.42281999998</v>
      </c>
      <c r="D7" s="742">
        <f t="shared" si="4"/>
        <v>623302.79</v>
      </c>
      <c r="E7" s="742">
        <f t="shared" si="4"/>
        <v>547870.15032000002</v>
      </c>
      <c r="F7" s="742">
        <f t="shared" si="4"/>
        <v>555783.74060000002</v>
      </c>
      <c r="G7" s="742">
        <f t="shared" si="4"/>
        <v>604186.43200000003</v>
      </c>
      <c r="H7" s="762">
        <f t="shared" si="4"/>
        <v>655783.35083999997</v>
      </c>
      <c r="I7" s="742">
        <f t="shared" si="4"/>
        <v>601597.97103999997</v>
      </c>
      <c r="J7" s="742">
        <f t="shared" si="4"/>
        <v>628331.92307000002</v>
      </c>
      <c r="K7" s="742">
        <f t="shared" si="4"/>
        <v>624136.06079999998</v>
      </c>
      <c r="L7" s="742">
        <f t="shared" si="4"/>
        <v>620948.7844</v>
      </c>
      <c r="M7" s="762">
        <f t="shared" si="4"/>
        <v>584036.37511999998</v>
      </c>
      <c r="N7" s="742">
        <f t="shared" si="4"/>
        <v>565600.6888</v>
      </c>
      <c r="O7" s="742">
        <f t="shared" si="4"/>
        <v>711729.96955000004</v>
      </c>
      <c r="P7" s="742">
        <f t="shared" si="4"/>
        <v>713880.80567999999</v>
      </c>
      <c r="Q7" s="742">
        <f t="shared" si="4"/>
        <v>615524.93400000001</v>
      </c>
      <c r="R7" s="762">
        <f t="shared" si="4"/>
        <v>619577.7696</v>
      </c>
      <c r="S7" s="742">
        <f t="shared" si="4"/>
        <v>628730.41749000002</v>
      </c>
      <c r="T7" s="742">
        <f t="shared" si="4"/>
        <v>634690.2439</v>
      </c>
      <c r="U7" s="742">
        <f t="shared" si="4"/>
        <v>643321.18674000003</v>
      </c>
      <c r="V7" s="730">
        <f t="shared" si="4"/>
        <v>651124.22958000004</v>
      </c>
      <c r="W7" s="730">
        <f t="shared" si="4"/>
        <v>656459.87283000001</v>
      </c>
      <c r="X7" s="730">
        <f t="shared" si="4"/>
        <v>633876.22644</v>
      </c>
      <c r="Y7" s="730">
        <f t="shared" si="4"/>
        <v>635716.39966999996</v>
      </c>
      <c r="Z7" s="730">
        <f>Z67*Z123/100000</f>
        <v>656944.72430999996</v>
      </c>
      <c r="AA7" s="730">
        <f t="shared" ref="AA7:AJ21" si="5">AA67*AA123/100000</f>
        <v>648946.70172000001</v>
      </c>
      <c r="AB7" s="730">
        <f t="shared" si="5"/>
        <v>645993.53639000002</v>
      </c>
      <c r="AC7" s="730">
        <f t="shared" si="5"/>
        <v>654450.34435000003</v>
      </c>
      <c r="AD7" s="730">
        <f t="shared" si="5"/>
        <v>662899.28550999996</v>
      </c>
      <c r="AE7" s="730">
        <f t="shared" si="5"/>
        <v>668913.03702000005</v>
      </c>
      <c r="AF7" s="730">
        <f t="shared" si="5"/>
        <v>680535.98759999999</v>
      </c>
      <c r="AG7" s="730">
        <f>AG67*AG123/100000</f>
        <v>665848.17556</v>
      </c>
      <c r="AH7" s="730">
        <f>AH67*AH123/100000</f>
        <v>669201.41541000002</v>
      </c>
      <c r="AI7" s="730">
        <f t="shared" ref="AI7:AJ9" si="6">AI67*AI123/100000</f>
        <v>672774.19472999999</v>
      </c>
      <c r="AJ7" s="730">
        <f t="shared" si="6"/>
        <v>678515.30223999999</v>
      </c>
      <c r="AK7" s="730">
        <f t="shared" ref="AK7" si="7">AK67*AK123/100000</f>
        <v>0</v>
      </c>
      <c r="AL7" s="730"/>
    </row>
    <row r="8" spans="1:38">
      <c r="A8" s="741" t="s">
        <v>184</v>
      </c>
      <c r="B8" s="765"/>
      <c r="C8" s="762">
        <f t="shared" si="4"/>
        <v>479744.43083999999</v>
      </c>
      <c r="D8" s="742">
        <f t="shared" si="4"/>
        <v>527484.91</v>
      </c>
      <c r="E8" s="742">
        <f t="shared" si="4"/>
        <v>462990.68280000001</v>
      </c>
      <c r="F8" s="742">
        <f t="shared" si="4"/>
        <v>468824.41914000001</v>
      </c>
      <c r="G8" s="742">
        <f t="shared" si="4"/>
        <v>512127.55200000003</v>
      </c>
      <c r="H8" s="762">
        <f t="shared" si="4"/>
        <v>515226.77784</v>
      </c>
      <c r="I8" s="742">
        <f t="shared" si="4"/>
        <v>475574.59928000002</v>
      </c>
      <c r="J8" s="742">
        <f t="shared" si="4"/>
        <v>508873.05875000003</v>
      </c>
      <c r="K8" s="742">
        <f t="shared" si="4"/>
        <v>522237.21240000002</v>
      </c>
      <c r="L8" s="742">
        <f t="shared" si="4"/>
        <v>564061.88523999997</v>
      </c>
      <c r="M8" s="762">
        <f t="shared" si="4"/>
        <v>544844.43631999998</v>
      </c>
      <c r="N8" s="742">
        <f t="shared" si="4"/>
        <v>538404.27084000001</v>
      </c>
      <c r="O8" s="742">
        <f t="shared" si="4"/>
        <v>685453.69854999997</v>
      </c>
      <c r="P8" s="742">
        <f t="shared" si="4"/>
        <v>691847.04140999995</v>
      </c>
      <c r="Q8" s="742">
        <f t="shared" si="4"/>
        <v>599621.01199999999</v>
      </c>
      <c r="R8" s="762">
        <f t="shared" si="4"/>
        <v>609938.25983999996</v>
      </c>
      <c r="S8" s="742">
        <f t="shared" si="4"/>
        <v>615850.91819999996</v>
      </c>
      <c r="T8" s="742">
        <f t="shared" si="4"/>
        <v>626448.32620000001</v>
      </c>
      <c r="U8" s="742">
        <f t="shared" si="4"/>
        <v>634858.36977999995</v>
      </c>
      <c r="V8" s="730">
        <f t="shared" si="4"/>
        <v>640987.92961999995</v>
      </c>
      <c r="W8" s="730">
        <f t="shared" si="4"/>
        <v>635465.62488000002</v>
      </c>
      <c r="X8" s="730">
        <f t="shared" si="4"/>
        <v>618485.71141999995</v>
      </c>
      <c r="Y8" s="730">
        <f t="shared" si="4"/>
        <v>622852.62127</v>
      </c>
      <c r="Z8" s="730">
        <f>Z68*Z124/100000</f>
        <v>648122.41353999998</v>
      </c>
      <c r="AA8" s="730">
        <f t="shared" si="5"/>
        <v>646192.73655000003</v>
      </c>
      <c r="AB8" s="730">
        <f t="shared" si="5"/>
        <v>647626.68594999996</v>
      </c>
      <c r="AC8" s="730">
        <f t="shared" si="5"/>
        <v>653880.25760000001</v>
      </c>
      <c r="AD8" s="730">
        <f t="shared" si="5"/>
        <v>659524.46021000005</v>
      </c>
      <c r="AE8" s="730">
        <f t="shared" si="5"/>
        <v>660637.45464000001</v>
      </c>
      <c r="AF8" s="730">
        <f t="shared" si="5"/>
        <v>667134.20270000002</v>
      </c>
      <c r="AG8" s="730">
        <f t="shared" si="5"/>
        <v>648546.66089000006</v>
      </c>
      <c r="AH8" s="730">
        <f t="shared" si="5"/>
        <v>652621.67434000003</v>
      </c>
      <c r="AI8" s="730">
        <f t="shared" si="6"/>
        <v>658519.16613000003</v>
      </c>
      <c r="AJ8" s="730">
        <f t="shared" si="6"/>
        <v>662780.63775999995</v>
      </c>
      <c r="AK8" s="730">
        <f t="shared" ref="AK8" si="8">AK68*AK124/100000</f>
        <v>0</v>
      </c>
      <c r="AL8" s="730"/>
    </row>
    <row r="9" spans="1:38">
      <c r="A9" s="741" t="s">
        <v>185</v>
      </c>
      <c r="B9" s="765"/>
      <c r="C9" s="762">
        <f t="shared" si="4"/>
        <v>98473.665059999999</v>
      </c>
      <c r="D9" s="742">
        <f t="shared" si="4"/>
        <v>108985.06</v>
      </c>
      <c r="E9" s="742">
        <f t="shared" si="4"/>
        <v>96033.131280000001</v>
      </c>
      <c r="F9" s="742">
        <f t="shared" si="4"/>
        <v>97214.476370000004</v>
      </c>
      <c r="G9" s="742">
        <f t="shared" si="4"/>
        <v>105364.265</v>
      </c>
      <c r="H9" s="762">
        <f t="shared" si="4"/>
        <v>99597.308399999994</v>
      </c>
      <c r="I9" s="742">
        <f t="shared" si="4"/>
        <v>91175.300480000005</v>
      </c>
      <c r="J9" s="742">
        <f t="shared" si="4"/>
        <v>96257.826730000001</v>
      </c>
      <c r="K9" s="742">
        <f t="shared" si="4"/>
        <v>98838.225600000005</v>
      </c>
      <c r="L9" s="742">
        <f t="shared" si="4"/>
        <v>107329.51347999999</v>
      </c>
      <c r="M9" s="762">
        <f t="shared" si="4"/>
        <v>104661.75132</v>
      </c>
      <c r="N9" s="742">
        <f t="shared" si="4"/>
        <v>103332.25412</v>
      </c>
      <c r="O9" s="742">
        <f t="shared" si="4"/>
        <v>133652.00755000001</v>
      </c>
      <c r="P9" s="742">
        <f t="shared" si="4"/>
        <v>136445.61105000001</v>
      </c>
      <c r="Q9" s="742">
        <f t="shared" si="4"/>
        <v>118463.268</v>
      </c>
      <c r="R9" s="762">
        <f t="shared" si="4"/>
        <v>120193.61472</v>
      </c>
      <c r="S9" s="742">
        <f t="shared" si="4"/>
        <v>121064.79063</v>
      </c>
      <c r="T9" s="742">
        <f t="shared" si="4"/>
        <v>122865.2773</v>
      </c>
      <c r="U9" s="742">
        <f t="shared" si="4"/>
        <v>124594.9494</v>
      </c>
      <c r="V9" s="730">
        <f t="shared" si="4"/>
        <v>125323.23428</v>
      </c>
      <c r="W9" s="730">
        <f t="shared" si="4"/>
        <v>120464.31096</v>
      </c>
      <c r="X9" s="730">
        <f t="shared" si="4"/>
        <v>122865.33168</v>
      </c>
      <c r="Y9" s="730">
        <f t="shared" si="4"/>
        <v>126288.7824</v>
      </c>
      <c r="Z9" s="730">
        <f>Z69*Z125/100000</f>
        <v>125065.22884</v>
      </c>
      <c r="AA9" s="730">
        <f t="shared" si="5"/>
        <v>130271.43045</v>
      </c>
      <c r="AB9" s="730">
        <f t="shared" si="5"/>
        <v>128965.41972999999</v>
      </c>
      <c r="AC9" s="730">
        <f t="shared" si="5"/>
        <v>127057.86742</v>
      </c>
      <c r="AD9" s="730">
        <f t="shared" si="5"/>
        <v>124365.64098</v>
      </c>
      <c r="AE9" s="730">
        <f t="shared" si="5"/>
        <v>129546.2592</v>
      </c>
      <c r="AF9" s="730">
        <f t="shared" si="5"/>
        <v>134086.38117000001</v>
      </c>
      <c r="AG9" s="730">
        <f t="shared" si="5"/>
        <v>125040.61842</v>
      </c>
      <c r="AH9" s="730">
        <f t="shared" si="5"/>
        <v>125272.92660999999</v>
      </c>
      <c r="AI9" s="730">
        <f t="shared" si="6"/>
        <v>126255.09035</v>
      </c>
      <c r="AJ9" s="730">
        <f t="shared" si="6"/>
        <v>126496.22037</v>
      </c>
      <c r="AK9" s="730">
        <f t="shared" ref="AK9" si="9">AK69*AK125/100000</f>
        <v>0</v>
      </c>
      <c r="AL9" s="730"/>
    </row>
    <row r="10" spans="1:38">
      <c r="A10" s="763" t="s">
        <v>186</v>
      </c>
      <c r="B10" s="764"/>
      <c r="C10" s="762">
        <f>SUM(C11:C15)</f>
        <v>603623.79738</v>
      </c>
      <c r="D10" s="742">
        <f t="shared" ref="D10:AG10" si="10">SUM(D11:D15)</f>
        <v>675782.84000000008</v>
      </c>
      <c r="E10" s="742">
        <f t="shared" si="10"/>
        <v>603255.84407999995</v>
      </c>
      <c r="F10" s="742">
        <f t="shared" si="10"/>
        <v>621744.41152999992</v>
      </c>
      <c r="G10" s="742">
        <f t="shared" si="10"/>
        <v>692814.99300000002</v>
      </c>
      <c r="H10" s="762">
        <f t="shared" si="10"/>
        <v>762537.82392</v>
      </c>
      <c r="I10" s="742">
        <f t="shared" si="10"/>
        <v>717495.27519999992</v>
      </c>
      <c r="J10" s="742">
        <f t="shared" si="10"/>
        <v>764480.84902000008</v>
      </c>
      <c r="K10" s="742">
        <f t="shared" si="10"/>
        <v>775296.82019999996</v>
      </c>
      <c r="L10" s="742">
        <f t="shared" si="10"/>
        <v>814752.31348000001</v>
      </c>
      <c r="M10" s="762">
        <f t="shared" si="10"/>
        <v>758191.15516000008</v>
      </c>
      <c r="N10" s="742">
        <f t="shared" si="10"/>
        <v>743222.50861000014</v>
      </c>
      <c r="O10" s="742">
        <f t="shared" si="10"/>
        <v>944433.21435000002</v>
      </c>
      <c r="P10" s="742">
        <f t="shared" si="10"/>
        <v>952809.55119000003</v>
      </c>
      <c r="Q10" s="742">
        <f t="shared" si="10"/>
        <v>826860.10200000007</v>
      </c>
      <c r="R10" s="762">
        <f t="shared" si="10"/>
        <v>839466.18432</v>
      </c>
      <c r="S10" s="742">
        <f t="shared" si="10"/>
        <v>835934.87606999988</v>
      </c>
      <c r="T10" s="742">
        <f t="shared" si="10"/>
        <v>849252.33145000006</v>
      </c>
      <c r="U10" s="742">
        <f t="shared" si="10"/>
        <v>863338.7790000001</v>
      </c>
      <c r="V10" s="730">
        <f t="shared" si="10"/>
        <v>877081.07559999998</v>
      </c>
      <c r="W10" s="730">
        <f t="shared" si="10"/>
        <v>874961.80856000003</v>
      </c>
      <c r="X10" s="730">
        <f t="shared" si="10"/>
        <v>851225.18852999993</v>
      </c>
      <c r="Y10" s="730">
        <f t="shared" si="10"/>
        <v>865335.25902</v>
      </c>
      <c r="Z10" s="730">
        <f t="shared" si="10"/>
        <v>891499.16321000003</v>
      </c>
      <c r="AA10" s="730">
        <f t="shared" si="10"/>
        <v>897258.10135999997</v>
      </c>
      <c r="AB10" s="730">
        <f t="shared" si="10"/>
        <v>886938.25678000005</v>
      </c>
      <c r="AC10" s="730">
        <f t="shared" si="10"/>
        <v>869641.86883000005</v>
      </c>
      <c r="AD10" s="730">
        <f t="shared" si="10"/>
        <v>882264.54761999997</v>
      </c>
      <c r="AE10" s="730">
        <f t="shared" si="10"/>
        <v>897035.52391999995</v>
      </c>
      <c r="AF10" s="730">
        <f t="shared" si="10"/>
        <v>919814.34505</v>
      </c>
      <c r="AG10" s="730">
        <f t="shared" si="10"/>
        <v>875249.68756999995</v>
      </c>
      <c r="AH10" s="730">
        <f>SUM(AH11:AH15)</f>
        <v>879690.38678000006</v>
      </c>
      <c r="AI10" s="730">
        <f>SUM(AI11:AI15)</f>
        <v>885192.3908099999</v>
      </c>
      <c r="AJ10" s="730">
        <f>SUM(AJ11:AJ15)</f>
        <v>888188.02598999999</v>
      </c>
      <c r="AK10" s="730">
        <f>SUM(AK11:AK15)</f>
        <v>0</v>
      </c>
      <c r="AL10" s="730"/>
    </row>
    <row r="11" spans="1:38">
      <c r="A11" s="741" t="s">
        <v>187</v>
      </c>
      <c r="B11" s="765"/>
      <c r="C11" s="762">
        <f t="shared" ref="C11:Y15" si="11">C71*C127/100000</f>
        <v>190412.17955999999</v>
      </c>
      <c r="D11" s="742">
        <f t="shared" si="11"/>
        <v>210062.53</v>
      </c>
      <c r="E11" s="742">
        <f t="shared" si="11"/>
        <v>185670.95832000001</v>
      </c>
      <c r="F11" s="742">
        <f t="shared" si="11"/>
        <v>189817.16709999999</v>
      </c>
      <c r="G11" s="742">
        <f t="shared" si="11"/>
        <v>208880.473</v>
      </c>
      <c r="H11" s="762">
        <f t="shared" si="11"/>
        <v>228402.2898</v>
      </c>
      <c r="I11" s="742">
        <f t="shared" si="11"/>
        <v>212459.61</v>
      </c>
      <c r="J11" s="742">
        <f t="shared" si="11"/>
        <v>224303.77162000001</v>
      </c>
      <c r="K11" s="742">
        <f t="shared" si="11"/>
        <v>226110.72779999999</v>
      </c>
      <c r="L11" s="742">
        <f t="shared" si="11"/>
        <v>225320.89916</v>
      </c>
      <c r="M11" s="762">
        <f t="shared" si="11"/>
        <v>216751.92008000001</v>
      </c>
      <c r="N11" s="742">
        <f t="shared" si="11"/>
        <v>210018.41902999999</v>
      </c>
      <c r="O11" s="742">
        <f t="shared" si="11"/>
        <v>265062.80375000002</v>
      </c>
      <c r="P11" s="742">
        <f t="shared" si="11"/>
        <v>266868.39185999997</v>
      </c>
      <c r="Q11" s="742">
        <f t="shared" si="11"/>
        <v>231044.649</v>
      </c>
      <c r="R11" s="762">
        <f t="shared" si="11"/>
        <v>233049.69216000001</v>
      </c>
      <c r="S11" s="742">
        <f t="shared" si="11"/>
        <v>230792.36838</v>
      </c>
      <c r="T11" s="742">
        <f t="shared" si="11"/>
        <v>235016.6874</v>
      </c>
      <c r="U11" s="742">
        <f t="shared" si="11"/>
        <v>238069.93257999999</v>
      </c>
      <c r="V11" s="730">
        <f t="shared" si="11"/>
        <v>241737.29324</v>
      </c>
      <c r="W11" s="730">
        <f t="shared" si="11"/>
        <v>242376.34888999999</v>
      </c>
      <c r="X11" s="730">
        <f t="shared" si="11"/>
        <v>233572.43385</v>
      </c>
      <c r="Y11" s="730">
        <f t="shared" si="11"/>
        <v>235659.54680000001</v>
      </c>
      <c r="Z11" s="730">
        <f>Z71*Z127/100000</f>
        <v>245335.82691999999</v>
      </c>
      <c r="AA11" s="730">
        <f>AA71*AA127/100000+AO19</f>
        <v>245794.19615999999</v>
      </c>
      <c r="AB11" s="730">
        <f t="shared" si="5"/>
        <v>243444.16008</v>
      </c>
      <c r="AC11" s="730">
        <f t="shared" si="5"/>
        <v>239235.23232000001</v>
      </c>
      <c r="AD11" s="730">
        <f t="shared" si="5"/>
        <v>244540.856</v>
      </c>
      <c r="AE11" s="730">
        <f t="shared" si="5"/>
        <v>248716.5135</v>
      </c>
      <c r="AF11" s="730">
        <f t="shared" si="5"/>
        <v>255329.79912000001</v>
      </c>
      <c r="AG11" s="730">
        <f t="shared" si="5"/>
        <v>245404.06967999999</v>
      </c>
      <c r="AH11" s="730">
        <f t="shared" si="5"/>
        <v>246847.08048</v>
      </c>
      <c r="AI11" s="730">
        <f t="shared" si="5"/>
        <v>248679.85295999999</v>
      </c>
      <c r="AJ11" s="730">
        <f t="shared" si="5"/>
        <v>250015.75367999999</v>
      </c>
      <c r="AK11" s="730">
        <f t="shared" ref="AK11" si="12">AK71*AK127/100000</f>
        <v>0</v>
      </c>
      <c r="AL11" s="730"/>
    </row>
    <row r="12" spans="1:38">
      <c r="A12" s="741" t="s">
        <v>188</v>
      </c>
      <c r="B12" s="765"/>
      <c r="C12" s="762">
        <f t="shared" si="11"/>
        <v>206264.17116</v>
      </c>
      <c r="D12" s="742">
        <f t="shared" si="11"/>
        <v>229819.92</v>
      </c>
      <c r="E12" s="742">
        <f t="shared" si="11"/>
        <v>202753.87176000001</v>
      </c>
      <c r="F12" s="742">
        <f t="shared" si="11"/>
        <v>206773.28122</v>
      </c>
      <c r="G12" s="742">
        <f t="shared" si="11"/>
        <v>227636.21900000001</v>
      </c>
      <c r="H12" s="762">
        <f t="shared" si="11"/>
        <v>244498.20155999999</v>
      </c>
      <c r="I12" s="742">
        <f t="shared" si="11"/>
        <v>226867.73647999999</v>
      </c>
      <c r="J12" s="742">
        <f t="shared" si="11"/>
        <v>241601.39438000001</v>
      </c>
      <c r="K12" s="742">
        <f t="shared" si="11"/>
        <v>244663.74840000001</v>
      </c>
      <c r="L12" s="742">
        <f t="shared" si="11"/>
        <v>256467.71444000001</v>
      </c>
      <c r="M12" s="762">
        <f t="shared" si="11"/>
        <v>242099.71187999999</v>
      </c>
      <c r="N12" s="742">
        <f t="shared" si="11"/>
        <v>239841.42911</v>
      </c>
      <c r="O12" s="742">
        <f t="shared" si="11"/>
        <v>305272.12264999998</v>
      </c>
      <c r="P12" s="742">
        <f t="shared" si="11"/>
        <v>308659.08591000002</v>
      </c>
      <c r="Q12" s="742">
        <f t="shared" si="11"/>
        <v>268240.31400000001</v>
      </c>
      <c r="R12" s="762">
        <f t="shared" si="11"/>
        <v>273046.46399999998</v>
      </c>
      <c r="S12" s="742">
        <f t="shared" si="11"/>
        <v>270216.08711999998</v>
      </c>
      <c r="T12" s="742">
        <f t="shared" si="11"/>
        <v>274423.94309999997</v>
      </c>
      <c r="U12" s="742">
        <f t="shared" si="11"/>
        <v>279191.58643999998</v>
      </c>
      <c r="V12" s="730">
        <f t="shared" si="11"/>
        <v>283594.13906000002</v>
      </c>
      <c r="W12" s="730">
        <f t="shared" si="11"/>
        <v>287781.72110999998</v>
      </c>
      <c r="X12" s="730">
        <f t="shared" si="11"/>
        <v>278290.13939999999</v>
      </c>
      <c r="Y12" s="730">
        <f t="shared" si="11"/>
        <v>284105.8628</v>
      </c>
      <c r="Z12" s="730">
        <f>Z72*Z128/100000</f>
        <v>294298.46143999998</v>
      </c>
      <c r="AA12" s="730">
        <f t="shared" si="5"/>
        <v>294407.64383999998</v>
      </c>
      <c r="AB12" s="730">
        <f t="shared" si="5"/>
        <v>290455.7904</v>
      </c>
      <c r="AC12" s="730">
        <f t="shared" si="5"/>
        <v>284088.83412000001</v>
      </c>
      <c r="AD12" s="730">
        <f t="shared" si="5"/>
        <v>289412.50128000003</v>
      </c>
      <c r="AE12" s="730">
        <f t="shared" si="5"/>
        <v>291904.21133999998</v>
      </c>
      <c r="AF12" s="730">
        <f t="shared" si="5"/>
        <v>297420.55992000003</v>
      </c>
      <c r="AG12" s="730">
        <f t="shared" si="5"/>
        <v>284035.10519999999</v>
      </c>
      <c r="AH12" s="730">
        <f t="shared" si="5"/>
        <v>285287.69808</v>
      </c>
      <c r="AI12" s="730">
        <f t="shared" si="5"/>
        <v>287001.45935999998</v>
      </c>
      <c r="AJ12" s="730">
        <f t="shared" si="5"/>
        <v>287810.73551999999</v>
      </c>
      <c r="AK12" s="730">
        <f t="shared" ref="AK12" si="13">AK72*AK128/100000</f>
        <v>0</v>
      </c>
      <c r="AL12" s="730"/>
    </row>
    <row r="13" spans="1:38">
      <c r="A13" s="741" t="s">
        <v>189</v>
      </c>
      <c r="B13" s="765"/>
      <c r="C13" s="762">
        <f t="shared" si="11"/>
        <v>133943.25545999999</v>
      </c>
      <c r="D13" s="742">
        <f t="shared" si="11"/>
        <v>148142.35999999999</v>
      </c>
      <c r="E13" s="742">
        <f t="shared" si="11"/>
        <v>131430.2628</v>
      </c>
      <c r="F13" s="742">
        <f t="shared" si="11"/>
        <v>134929.40505</v>
      </c>
      <c r="G13" s="742">
        <f t="shared" si="11"/>
        <v>149079.72500000001</v>
      </c>
      <c r="H13" s="762">
        <f t="shared" si="11"/>
        <v>166242.19464</v>
      </c>
      <c r="I13" s="742">
        <f t="shared" si="11"/>
        <v>158013.60696</v>
      </c>
      <c r="J13" s="742">
        <f t="shared" si="11"/>
        <v>168057.25674000001</v>
      </c>
      <c r="K13" s="742">
        <f t="shared" si="11"/>
        <v>170310.50520000001</v>
      </c>
      <c r="L13" s="742">
        <f t="shared" si="11"/>
        <v>188538.28224</v>
      </c>
      <c r="M13" s="762">
        <f t="shared" si="11"/>
        <v>167555.48168</v>
      </c>
      <c r="N13" s="742">
        <f t="shared" si="11"/>
        <v>164144.33984</v>
      </c>
      <c r="O13" s="742">
        <f t="shared" si="11"/>
        <v>209470.45785000001</v>
      </c>
      <c r="P13" s="742">
        <f t="shared" si="11"/>
        <v>211756.57146000001</v>
      </c>
      <c r="Q13" s="742">
        <f t="shared" si="11"/>
        <v>183795.679</v>
      </c>
      <c r="R13" s="762">
        <f t="shared" si="11"/>
        <v>187363.6704</v>
      </c>
      <c r="S13" s="742">
        <f t="shared" si="11"/>
        <v>186344.48741999999</v>
      </c>
      <c r="T13" s="742">
        <f t="shared" si="11"/>
        <v>188537.7787</v>
      </c>
      <c r="U13" s="742">
        <f t="shared" si="11"/>
        <v>191236.50322000001</v>
      </c>
      <c r="V13" s="730">
        <f t="shared" si="11"/>
        <v>194292.64772000001</v>
      </c>
      <c r="W13" s="730">
        <f t="shared" si="11"/>
        <v>190053.82552000001</v>
      </c>
      <c r="X13" s="730">
        <f t="shared" si="11"/>
        <v>183086.24922</v>
      </c>
      <c r="Y13" s="730">
        <f t="shared" si="11"/>
        <v>186036.28640000001</v>
      </c>
      <c r="Z13" s="730">
        <f>Z73*Z129/100000</f>
        <v>194717.07088000001</v>
      </c>
      <c r="AA13" s="730">
        <f t="shared" si="5"/>
        <v>195667.8688</v>
      </c>
      <c r="AB13" s="730">
        <f t="shared" si="5"/>
        <v>193374.93799999999</v>
      </c>
      <c r="AC13" s="730">
        <f t="shared" si="5"/>
        <v>188841.77507999999</v>
      </c>
      <c r="AD13" s="730">
        <f t="shared" si="5"/>
        <v>192175.85647999999</v>
      </c>
      <c r="AE13" s="730">
        <f t="shared" si="5"/>
        <v>193742.24995999999</v>
      </c>
      <c r="AF13" s="730">
        <f t="shared" si="5"/>
        <v>197504.96238000001</v>
      </c>
      <c r="AG13" s="730">
        <f t="shared" si="5"/>
        <v>188427.45767999999</v>
      </c>
      <c r="AH13" s="730">
        <f t="shared" si="5"/>
        <v>189727.65504000001</v>
      </c>
      <c r="AI13" s="730">
        <f t="shared" si="5"/>
        <v>191230.17144000001</v>
      </c>
      <c r="AJ13" s="730">
        <f t="shared" si="5"/>
        <v>192069.2004</v>
      </c>
      <c r="AK13" s="730">
        <f t="shared" ref="AK13" si="14">AK73*AK129/100000</f>
        <v>0</v>
      </c>
      <c r="AL13" s="730"/>
    </row>
    <row r="14" spans="1:38">
      <c r="A14" s="741" t="s">
        <v>190</v>
      </c>
      <c r="B14" s="765"/>
      <c r="C14" s="762">
        <f t="shared" si="11"/>
        <v>55321.021260000001</v>
      </c>
      <c r="D14" s="742">
        <f t="shared" si="11"/>
        <v>67222.789999999994</v>
      </c>
      <c r="E14" s="742">
        <f t="shared" si="11"/>
        <v>64519.787759999999</v>
      </c>
      <c r="F14" s="742">
        <f t="shared" si="11"/>
        <v>69980.090620000003</v>
      </c>
      <c r="G14" s="742">
        <f t="shared" si="11"/>
        <v>83878.648000000001</v>
      </c>
      <c r="H14" s="762">
        <f t="shared" si="11"/>
        <v>97216.154999999999</v>
      </c>
      <c r="I14" s="742">
        <f t="shared" si="11"/>
        <v>95382.235520000002</v>
      </c>
      <c r="J14" s="742">
        <f t="shared" si="11"/>
        <v>104016.41485</v>
      </c>
      <c r="K14" s="742">
        <f t="shared" si="11"/>
        <v>107189.17019999999</v>
      </c>
      <c r="L14" s="742">
        <f t="shared" si="11"/>
        <v>115272.86092000001</v>
      </c>
      <c r="M14" s="762">
        <f t="shared" si="11"/>
        <v>105166.56552</v>
      </c>
      <c r="N14" s="742">
        <f t="shared" si="11"/>
        <v>103267.4727</v>
      </c>
      <c r="O14" s="742">
        <f t="shared" si="11"/>
        <v>131580.08309999999</v>
      </c>
      <c r="P14" s="742">
        <f t="shared" si="11"/>
        <v>132403.59026999999</v>
      </c>
      <c r="Q14" s="742">
        <f t="shared" si="11"/>
        <v>114504.486</v>
      </c>
      <c r="R14" s="762">
        <f t="shared" si="11"/>
        <v>115539.62688</v>
      </c>
      <c r="S14" s="742">
        <f t="shared" si="11"/>
        <v>118027.14336</v>
      </c>
      <c r="T14" s="742">
        <f t="shared" si="11"/>
        <v>119510.9357</v>
      </c>
      <c r="U14" s="742">
        <f t="shared" si="11"/>
        <v>122141.23324</v>
      </c>
      <c r="V14" s="730">
        <f t="shared" si="11"/>
        <v>124064.80544</v>
      </c>
      <c r="W14" s="730">
        <f t="shared" si="11"/>
        <v>121418.86176</v>
      </c>
      <c r="X14" s="730">
        <f t="shared" si="11"/>
        <v>123142.0554</v>
      </c>
      <c r="Y14" s="730">
        <f t="shared" si="11"/>
        <v>126335.41439999999</v>
      </c>
      <c r="Z14" s="730">
        <f>Z74*Z130/100000</f>
        <v>123953.15979999999</v>
      </c>
      <c r="AA14" s="730">
        <f t="shared" si="5"/>
        <v>128022.83704</v>
      </c>
      <c r="AB14" s="730">
        <f t="shared" si="5"/>
        <v>126468.0831</v>
      </c>
      <c r="AC14" s="730">
        <f t="shared" si="5"/>
        <v>125652.72261</v>
      </c>
      <c r="AD14" s="730">
        <f t="shared" si="5"/>
        <v>123388.45285</v>
      </c>
      <c r="AE14" s="730">
        <f t="shared" si="5"/>
        <v>128862.2736</v>
      </c>
      <c r="AF14" s="730">
        <f t="shared" si="5"/>
        <v>134349.91198</v>
      </c>
      <c r="AG14" s="730">
        <f t="shared" si="5"/>
        <v>124684.80461000001</v>
      </c>
      <c r="AH14" s="730">
        <f t="shared" si="5"/>
        <v>125052.38086</v>
      </c>
      <c r="AI14" s="730">
        <f t="shared" si="5"/>
        <v>125496.41297</v>
      </c>
      <c r="AJ14" s="730">
        <f t="shared" si="5"/>
        <v>125537.58151</v>
      </c>
      <c r="AK14" s="730">
        <f t="shared" ref="AK14" si="15">AK74*AK130/100000</f>
        <v>0</v>
      </c>
      <c r="AL14" s="730"/>
    </row>
    <row r="15" spans="1:38">
      <c r="A15" s="741" t="s">
        <v>191</v>
      </c>
      <c r="B15" s="765"/>
      <c r="C15" s="762">
        <f t="shared" si="11"/>
        <v>17683.16994</v>
      </c>
      <c r="D15" s="742">
        <f t="shared" si="11"/>
        <v>20535.240000000002</v>
      </c>
      <c r="E15" s="742">
        <f t="shared" si="11"/>
        <v>18880.96344</v>
      </c>
      <c r="F15" s="742">
        <f t="shared" si="11"/>
        <v>20244.467540000001</v>
      </c>
      <c r="G15" s="742">
        <f t="shared" si="11"/>
        <v>23339.928</v>
      </c>
      <c r="H15" s="762">
        <f t="shared" si="11"/>
        <v>26178.982919999999</v>
      </c>
      <c r="I15" s="742">
        <f t="shared" si="11"/>
        <v>24772.086240000001</v>
      </c>
      <c r="J15" s="742">
        <f t="shared" si="11"/>
        <v>26502.011429999999</v>
      </c>
      <c r="K15" s="742">
        <f t="shared" si="11"/>
        <v>27022.668600000001</v>
      </c>
      <c r="L15" s="742">
        <f t="shared" si="11"/>
        <v>29152.55672</v>
      </c>
      <c r="M15" s="762">
        <f t="shared" si="11"/>
        <v>26617.475999999999</v>
      </c>
      <c r="N15" s="742">
        <f t="shared" si="11"/>
        <v>25950.84793</v>
      </c>
      <c r="O15" s="742">
        <f t="shared" si="11"/>
        <v>33047.747000000003</v>
      </c>
      <c r="P15" s="742">
        <f t="shared" si="11"/>
        <v>33121.911690000001</v>
      </c>
      <c r="Q15" s="742">
        <f t="shared" si="11"/>
        <v>29274.973999999998</v>
      </c>
      <c r="R15" s="762">
        <f t="shared" si="11"/>
        <v>30466.730879999999</v>
      </c>
      <c r="S15" s="742">
        <f t="shared" si="11"/>
        <v>30554.789789999999</v>
      </c>
      <c r="T15" s="742">
        <f t="shared" si="11"/>
        <v>31762.986550000001</v>
      </c>
      <c r="U15" s="742">
        <f t="shared" si="11"/>
        <v>32699.523519999999</v>
      </c>
      <c r="V15" s="730">
        <f t="shared" si="11"/>
        <v>33392.190139999999</v>
      </c>
      <c r="W15" s="730">
        <f t="shared" si="11"/>
        <v>33331.05128</v>
      </c>
      <c r="X15" s="730">
        <f t="shared" si="11"/>
        <v>33134.310660000003</v>
      </c>
      <c r="Y15" s="730">
        <f t="shared" si="11"/>
        <v>33198.14862</v>
      </c>
      <c r="Z15" s="730">
        <f>Z75*Z131/100000</f>
        <v>33194.64417</v>
      </c>
      <c r="AA15" s="730">
        <f t="shared" si="5"/>
        <v>33365.555520000002</v>
      </c>
      <c r="AB15" s="730">
        <f t="shared" si="5"/>
        <v>33195.285199999998</v>
      </c>
      <c r="AC15" s="730">
        <f t="shared" si="5"/>
        <v>31823.304700000001</v>
      </c>
      <c r="AD15" s="730">
        <f t="shared" si="5"/>
        <v>32746.881010000001</v>
      </c>
      <c r="AE15" s="730">
        <f t="shared" si="5"/>
        <v>33810.275520000003</v>
      </c>
      <c r="AF15" s="730">
        <f t="shared" si="5"/>
        <v>35209.111649999999</v>
      </c>
      <c r="AG15" s="730">
        <f t="shared" si="5"/>
        <v>32698.250400000001</v>
      </c>
      <c r="AH15" s="730">
        <f t="shared" si="5"/>
        <v>32775.572319999999</v>
      </c>
      <c r="AI15" s="730">
        <f t="shared" si="5"/>
        <v>32784.494079999997</v>
      </c>
      <c r="AJ15" s="730">
        <f t="shared" si="5"/>
        <v>32754.75488</v>
      </c>
      <c r="AK15" s="730">
        <f t="shared" ref="AK15" si="16">AK75*AK131/100000</f>
        <v>0</v>
      </c>
      <c r="AL15" s="730"/>
    </row>
    <row r="16" spans="1:38">
      <c r="A16" s="763" t="s">
        <v>192</v>
      </c>
      <c r="B16" s="764"/>
      <c r="C16" s="762">
        <f>SUM(C17:C21)</f>
        <v>586384.39440000011</v>
      </c>
      <c r="D16" s="742">
        <f t="shared" ref="D16:AG16" si="17">SUM(D17:D21)</f>
        <v>657749.26112000004</v>
      </c>
      <c r="E16" s="742">
        <f t="shared" si="17"/>
        <v>637031.96199999994</v>
      </c>
      <c r="F16" s="742">
        <f t="shared" si="17"/>
        <v>655674.91531999991</v>
      </c>
      <c r="G16" s="742">
        <f t="shared" si="17"/>
        <v>725392.06219999993</v>
      </c>
      <c r="H16" s="762">
        <f t="shared" si="17"/>
        <v>747979.41659999988</v>
      </c>
      <c r="I16" s="742">
        <f t="shared" si="17"/>
        <v>764327.03020000004</v>
      </c>
      <c r="J16" s="742">
        <f t="shared" si="17"/>
        <v>781140.72199999995</v>
      </c>
      <c r="K16" s="742">
        <f t="shared" si="17"/>
        <v>796540.32620000001</v>
      </c>
      <c r="L16" s="742">
        <f t="shared" si="17"/>
        <v>850007.36100000015</v>
      </c>
      <c r="M16" s="762">
        <f t="shared" si="17"/>
        <v>774175.72751999996</v>
      </c>
      <c r="N16" s="742">
        <f t="shared" si="17"/>
        <v>753845.94040000008</v>
      </c>
      <c r="O16" s="742">
        <f t="shared" si="17"/>
        <v>940054.71144999994</v>
      </c>
      <c r="P16" s="742">
        <f t="shared" si="17"/>
        <v>942741.9797599999</v>
      </c>
      <c r="Q16" s="742">
        <f t="shared" si="17"/>
        <v>831160.10759999987</v>
      </c>
      <c r="R16" s="762">
        <f t="shared" si="17"/>
        <v>836700.60606000002</v>
      </c>
      <c r="S16" s="742">
        <f t="shared" si="17"/>
        <v>835731.56219000008</v>
      </c>
      <c r="T16" s="742">
        <f t="shared" si="17"/>
        <v>844262.5259400002</v>
      </c>
      <c r="U16" s="742">
        <f t="shared" si="17"/>
        <v>853800.84774</v>
      </c>
      <c r="V16" s="730">
        <f t="shared" si="17"/>
        <v>862787.01359999995</v>
      </c>
      <c r="W16" s="730">
        <f t="shared" si="17"/>
        <v>854462.44666000002</v>
      </c>
      <c r="X16" s="730">
        <f t="shared" si="17"/>
        <v>832592.94257000007</v>
      </c>
      <c r="Y16" s="730">
        <f t="shared" si="17"/>
        <v>849744.68649999995</v>
      </c>
      <c r="Z16" s="730">
        <f t="shared" si="17"/>
        <v>877151.82539999986</v>
      </c>
      <c r="AA16" s="730">
        <f t="shared" si="17"/>
        <v>885930.92669999995</v>
      </c>
      <c r="AB16" s="730">
        <f t="shared" si="17"/>
        <v>876571.55382999999</v>
      </c>
      <c r="AC16" s="730">
        <f t="shared" si="17"/>
        <v>862090.06805999996</v>
      </c>
      <c r="AD16" s="730">
        <f t="shared" si="17"/>
        <v>881338.47073000006</v>
      </c>
      <c r="AE16" s="730">
        <f t="shared" si="17"/>
        <v>902673.35519999999</v>
      </c>
      <c r="AF16" s="730">
        <f t="shared" si="17"/>
        <v>932071.72193999996</v>
      </c>
      <c r="AG16" s="730">
        <f t="shared" si="17"/>
        <v>893788.87784000009</v>
      </c>
      <c r="AH16" s="730">
        <f>SUM(AH17:AH21)</f>
        <v>900348.96635999996</v>
      </c>
      <c r="AI16" s="730">
        <f>SUM(AI17:AI21)</f>
        <v>907439.69284000003</v>
      </c>
      <c r="AJ16" s="730">
        <f>SUM(AJ17:AJ21)</f>
        <v>915330.01199000003</v>
      </c>
      <c r="AK16" s="730">
        <f>SUM(AK17:AK21)</f>
        <v>0</v>
      </c>
      <c r="AL16" s="730"/>
    </row>
    <row r="17" spans="1:38">
      <c r="A17" s="741" t="s">
        <v>193</v>
      </c>
      <c r="B17" s="765"/>
      <c r="C17" s="762">
        <f t="shared" ref="C17:Y21" si="18">C77*C133/100000</f>
        <v>253591.95415000001</v>
      </c>
      <c r="D17" s="742">
        <f t="shared" si="18"/>
        <v>285658.95512</v>
      </c>
      <c r="E17" s="742">
        <f t="shared" si="18"/>
        <v>276216.56400000001</v>
      </c>
      <c r="F17" s="742">
        <f t="shared" si="18"/>
        <v>283307.67648000002</v>
      </c>
      <c r="G17" s="742">
        <f t="shared" si="18"/>
        <v>313118.94420000003</v>
      </c>
      <c r="H17" s="762">
        <f t="shared" si="18"/>
        <v>320290.84139999998</v>
      </c>
      <c r="I17" s="742">
        <f t="shared" si="18"/>
        <v>326270.59299999999</v>
      </c>
      <c r="J17" s="742">
        <f t="shared" si="18"/>
        <v>334073.43959999998</v>
      </c>
      <c r="K17" s="742">
        <f t="shared" si="18"/>
        <v>341448.25520000001</v>
      </c>
      <c r="L17" s="742">
        <f t="shared" si="18"/>
        <v>359350.05072</v>
      </c>
      <c r="M17" s="762">
        <f t="shared" si="18"/>
        <v>332427.73590000003</v>
      </c>
      <c r="N17" s="742">
        <f t="shared" si="18"/>
        <v>322913.30560000002</v>
      </c>
      <c r="O17" s="742">
        <f t="shared" si="18"/>
        <v>400878.86231</v>
      </c>
      <c r="P17" s="742">
        <f t="shared" si="18"/>
        <v>402053.28096</v>
      </c>
      <c r="Q17" s="742">
        <f t="shared" si="18"/>
        <v>354606.2452</v>
      </c>
      <c r="R17" s="762">
        <f t="shared" si="18"/>
        <v>356739.06040000002</v>
      </c>
      <c r="S17" s="742">
        <f t="shared" si="18"/>
        <v>355301.31952000002</v>
      </c>
      <c r="T17" s="742">
        <f t="shared" si="18"/>
        <v>359357.49372000003</v>
      </c>
      <c r="U17" s="742">
        <f t="shared" si="18"/>
        <v>363158.98343999998</v>
      </c>
      <c r="V17" s="730">
        <f t="shared" si="18"/>
        <v>367858.44912</v>
      </c>
      <c r="W17" s="730">
        <f t="shared" si="18"/>
        <v>364579.54259999999</v>
      </c>
      <c r="X17" s="730">
        <f t="shared" si="18"/>
        <v>350882.06582000002</v>
      </c>
      <c r="Y17" s="730">
        <f t="shared" si="18"/>
        <v>357788.53691999998</v>
      </c>
      <c r="Z17" s="730">
        <f>Z77*Z133/100000</f>
        <v>373796.71229</v>
      </c>
      <c r="AA17" s="730">
        <f t="shared" si="5"/>
        <v>376965.89260000002</v>
      </c>
      <c r="AB17" s="730">
        <f t="shared" si="5"/>
        <v>373728.14789999998</v>
      </c>
      <c r="AC17" s="730">
        <f t="shared" si="5"/>
        <v>369592.44839999999</v>
      </c>
      <c r="AD17" s="730">
        <f t="shared" si="5"/>
        <v>383925.23424000002</v>
      </c>
      <c r="AE17" s="730">
        <f t="shared" si="5"/>
        <v>394465.55024999997</v>
      </c>
      <c r="AF17" s="730">
        <f t="shared" si="5"/>
        <v>408479.39017999999</v>
      </c>
      <c r="AG17" s="730">
        <f t="shared" si="5"/>
        <v>395156.75783999998</v>
      </c>
      <c r="AH17" s="730">
        <f t="shared" si="5"/>
        <v>397873.98352000001</v>
      </c>
      <c r="AI17" s="730">
        <f t="shared" si="5"/>
        <v>401487.09535999998</v>
      </c>
      <c r="AJ17" s="730">
        <f t="shared" si="5"/>
        <v>405576.23911999998</v>
      </c>
      <c r="AK17" s="730">
        <f t="shared" ref="AK17" si="19">AK77*AK133/100000</f>
        <v>0</v>
      </c>
      <c r="AL17" s="730"/>
    </row>
    <row r="18" spans="1:38">
      <c r="A18" s="741" t="s">
        <v>194</v>
      </c>
      <c r="B18" s="765"/>
      <c r="C18" s="762">
        <f t="shared" si="18"/>
        <v>203506.37265</v>
      </c>
      <c r="D18" s="742">
        <f t="shared" si="18"/>
        <v>227983.41118</v>
      </c>
      <c r="E18" s="742">
        <f t="shared" si="18"/>
        <v>221665.747</v>
      </c>
      <c r="F18" s="742">
        <f t="shared" si="18"/>
        <v>228797.25907999999</v>
      </c>
      <c r="G18" s="742">
        <f t="shared" si="18"/>
        <v>253508.49359999999</v>
      </c>
      <c r="H18" s="762">
        <f t="shared" si="18"/>
        <v>265670.91519999999</v>
      </c>
      <c r="I18" s="742">
        <f t="shared" si="18"/>
        <v>272484.53460000001</v>
      </c>
      <c r="J18" s="742">
        <f t="shared" si="18"/>
        <v>278435.75079999998</v>
      </c>
      <c r="K18" s="742">
        <f t="shared" si="18"/>
        <v>284180.87800000003</v>
      </c>
      <c r="L18" s="742">
        <f t="shared" si="18"/>
        <v>306832.58912000002</v>
      </c>
      <c r="M18" s="762">
        <f t="shared" si="18"/>
        <v>276584.44826999999</v>
      </c>
      <c r="N18" s="742">
        <f t="shared" si="18"/>
        <v>269921.962</v>
      </c>
      <c r="O18" s="742">
        <f t="shared" si="18"/>
        <v>337699.64016000001</v>
      </c>
      <c r="P18" s="742">
        <f t="shared" si="18"/>
        <v>339242.93391999998</v>
      </c>
      <c r="Q18" s="742">
        <f t="shared" si="18"/>
        <v>299222.20439999999</v>
      </c>
      <c r="R18" s="762">
        <f t="shared" si="18"/>
        <v>301598.33278</v>
      </c>
      <c r="S18" s="742">
        <f t="shared" si="18"/>
        <v>301933.11791999999</v>
      </c>
      <c r="T18" s="742">
        <f t="shared" si="18"/>
        <v>305295.25030000001</v>
      </c>
      <c r="U18" s="742">
        <f t="shared" si="18"/>
        <v>309043.63566000003</v>
      </c>
      <c r="V18" s="730">
        <f t="shared" si="18"/>
        <v>312061.70543999999</v>
      </c>
      <c r="W18" s="730">
        <f t="shared" si="18"/>
        <v>310638.30524999998</v>
      </c>
      <c r="X18" s="730">
        <f t="shared" si="18"/>
        <v>301482.61901999998</v>
      </c>
      <c r="Y18" s="730">
        <f t="shared" si="18"/>
        <v>307634.79602000001</v>
      </c>
      <c r="Z18" s="730">
        <f>Z78*Z134/100000</f>
        <v>320609.05115999997</v>
      </c>
      <c r="AA18" s="730">
        <f>AA78*AA134/100000+AO20</f>
        <v>322060.72470000002</v>
      </c>
      <c r="AB18" s="730">
        <f t="shared" si="5"/>
        <v>317327.05445</v>
      </c>
      <c r="AC18" s="730">
        <f t="shared" si="5"/>
        <v>310918.02383999998</v>
      </c>
      <c r="AD18" s="730">
        <f t="shared" si="5"/>
        <v>317172.50208000001</v>
      </c>
      <c r="AE18" s="730">
        <f t="shared" si="5"/>
        <v>321786.61725000001</v>
      </c>
      <c r="AF18" s="730">
        <f t="shared" si="5"/>
        <v>329226.17800000001</v>
      </c>
      <c r="AG18" s="730">
        <f t="shared" si="5"/>
        <v>316945.6004</v>
      </c>
      <c r="AH18" s="730">
        <f t="shared" si="5"/>
        <v>319659.86936000001</v>
      </c>
      <c r="AI18" s="730">
        <f t="shared" si="5"/>
        <v>321664.52552000002</v>
      </c>
      <c r="AJ18" s="730">
        <f t="shared" si="5"/>
        <v>323964.85368</v>
      </c>
      <c r="AK18" s="730">
        <f t="shared" ref="AK18" si="20">AK78*AK134/100000</f>
        <v>0</v>
      </c>
      <c r="AL18" s="730"/>
    </row>
    <row r="19" spans="1:38">
      <c r="A19" s="741" t="s">
        <v>195</v>
      </c>
      <c r="B19" s="765"/>
      <c r="C19" s="762">
        <f t="shared" si="18"/>
        <v>80866.221869999994</v>
      </c>
      <c r="D19" s="742">
        <f t="shared" si="18"/>
        <v>89722.324160000004</v>
      </c>
      <c r="E19" s="742">
        <f t="shared" si="18"/>
        <v>86646.567999999999</v>
      </c>
      <c r="F19" s="742">
        <f t="shared" si="18"/>
        <v>89033.193440000003</v>
      </c>
      <c r="G19" s="742">
        <f t="shared" si="18"/>
        <v>98612.001199999999</v>
      </c>
      <c r="H19" s="762">
        <f t="shared" si="18"/>
        <v>100590.4556</v>
      </c>
      <c r="I19" s="742">
        <f t="shared" si="18"/>
        <v>101995.03140000001</v>
      </c>
      <c r="J19" s="742">
        <f t="shared" si="18"/>
        <v>103653.2552</v>
      </c>
      <c r="K19" s="742">
        <f t="shared" si="18"/>
        <v>105026.125</v>
      </c>
      <c r="L19" s="742">
        <f t="shared" si="18"/>
        <v>112218.65888</v>
      </c>
      <c r="M19" s="762">
        <f t="shared" si="18"/>
        <v>100809.53727</v>
      </c>
      <c r="N19" s="742">
        <f t="shared" si="18"/>
        <v>97868.824399999998</v>
      </c>
      <c r="O19" s="742">
        <f t="shared" si="18"/>
        <v>122273.72317</v>
      </c>
      <c r="P19" s="742">
        <f t="shared" si="18"/>
        <v>122125.56104</v>
      </c>
      <c r="Q19" s="742">
        <f t="shared" si="18"/>
        <v>107204.3272</v>
      </c>
      <c r="R19" s="762">
        <f t="shared" si="18"/>
        <v>107625.02218</v>
      </c>
      <c r="S19" s="742">
        <f t="shared" si="18"/>
        <v>108177.59638</v>
      </c>
      <c r="T19" s="742">
        <f t="shared" si="18"/>
        <v>108660.53251</v>
      </c>
      <c r="U19" s="742">
        <f t="shared" si="18"/>
        <v>110104.38756</v>
      </c>
      <c r="V19" s="730">
        <f t="shared" si="18"/>
        <v>110977.53311999999</v>
      </c>
      <c r="W19" s="730">
        <f t="shared" si="18"/>
        <v>107618.75917</v>
      </c>
      <c r="X19" s="730">
        <f t="shared" si="18"/>
        <v>108173.36424</v>
      </c>
      <c r="Y19" s="730">
        <f t="shared" si="18"/>
        <v>111045.3936</v>
      </c>
      <c r="Z19" s="730">
        <f>Z79*Z135/100000</f>
        <v>108731.4748</v>
      </c>
      <c r="AA19" s="730">
        <f t="shared" si="5"/>
        <v>112405.44216000001</v>
      </c>
      <c r="AB19" s="730">
        <f t="shared" si="5"/>
        <v>111204.3974</v>
      </c>
      <c r="AC19" s="730">
        <f t="shared" si="5"/>
        <v>110265.41673</v>
      </c>
      <c r="AD19" s="730">
        <f t="shared" si="5"/>
        <v>107037.12404</v>
      </c>
      <c r="AE19" s="730">
        <f t="shared" si="5"/>
        <v>111001.20101999999</v>
      </c>
      <c r="AF19" s="730">
        <f t="shared" si="5"/>
        <v>115107.04006</v>
      </c>
      <c r="AG19" s="730">
        <f t="shared" si="5"/>
        <v>107282.37624</v>
      </c>
      <c r="AH19" s="730">
        <f t="shared" si="5"/>
        <v>107574.60324</v>
      </c>
      <c r="AI19" s="730">
        <f t="shared" si="5"/>
        <v>108252.56988</v>
      </c>
      <c r="AJ19" s="730">
        <f t="shared" si="5"/>
        <v>108816.56799</v>
      </c>
      <c r="AK19" s="730">
        <f t="shared" ref="AK19" si="21">AK79*AK135/100000</f>
        <v>0</v>
      </c>
      <c r="AL19" s="730"/>
    </row>
    <row r="20" spans="1:38">
      <c r="A20" s="741" t="s">
        <v>196</v>
      </c>
      <c r="B20" s="765"/>
      <c r="C20" s="762">
        <f t="shared" si="18"/>
        <v>22312.91373</v>
      </c>
      <c r="D20" s="742">
        <f t="shared" si="18"/>
        <v>24830.76456</v>
      </c>
      <c r="E20" s="742">
        <f t="shared" si="18"/>
        <v>24091.503000000001</v>
      </c>
      <c r="F20" s="742">
        <f t="shared" si="18"/>
        <v>24751.626240000001</v>
      </c>
      <c r="G20" s="742">
        <f t="shared" si="18"/>
        <v>27263.989399999999</v>
      </c>
      <c r="H20" s="762">
        <f t="shared" si="18"/>
        <v>27168.8714</v>
      </c>
      <c r="I20" s="742">
        <f t="shared" si="18"/>
        <v>27948.839</v>
      </c>
      <c r="J20" s="742">
        <f t="shared" si="18"/>
        <v>28592.470799999999</v>
      </c>
      <c r="K20" s="742">
        <f t="shared" si="18"/>
        <v>29064.890200000002</v>
      </c>
      <c r="L20" s="742">
        <f t="shared" si="18"/>
        <v>31813.200669999998</v>
      </c>
      <c r="M20" s="762">
        <f t="shared" si="18"/>
        <v>29180.488740000001</v>
      </c>
      <c r="N20" s="742">
        <f t="shared" si="18"/>
        <v>28721.112000000001</v>
      </c>
      <c r="O20" s="742">
        <f t="shared" si="18"/>
        <v>36028.488169999997</v>
      </c>
      <c r="P20" s="742">
        <f t="shared" si="18"/>
        <v>36113.945039999999</v>
      </c>
      <c r="Q20" s="742">
        <f t="shared" si="18"/>
        <v>32010.3776</v>
      </c>
      <c r="R20" s="762">
        <f t="shared" si="18"/>
        <v>32265.711899999998</v>
      </c>
      <c r="S20" s="742">
        <f t="shared" si="18"/>
        <v>31674.782859999999</v>
      </c>
      <c r="T20" s="742">
        <f t="shared" si="18"/>
        <v>31915.093369999999</v>
      </c>
      <c r="U20" s="742">
        <f t="shared" si="18"/>
        <v>32193.151379999999</v>
      </c>
      <c r="V20" s="730">
        <f t="shared" si="18"/>
        <v>32225.605920000002</v>
      </c>
      <c r="W20" s="730">
        <f t="shared" si="18"/>
        <v>32114.95752</v>
      </c>
      <c r="X20" s="730">
        <f t="shared" si="18"/>
        <v>32278.63017</v>
      </c>
      <c r="Y20" s="730">
        <f t="shared" si="18"/>
        <v>32857.179429999997</v>
      </c>
      <c r="Z20" s="730">
        <f>Z80*Z136/100000</f>
        <v>33329.077570000001</v>
      </c>
      <c r="AA20" s="730">
        <f t="shared" si="5"/>
        <v>33617.451699999998</v>
      </c>
      <c r="AB20" s="730">
        <f t="shared" si="5"/>
        <v>33740.883119999999</v>
      </c>
      <c r="AC20" s="730">
        <f t="shared" si="5"/>
        <v>32351.81796</v>
      </c>
      <c r="AD20" s="730">
        <f t="shared" si="5"/>
        <v>33149.422129999999</v>
      </c>
      <c r="AE20" s="730">
        <f t="shared" si="5"/>
        <v>34203.079839999999</v>
      </c>
      <c r="AF20" s="730">
        <f t="shared" si="5"/>
        <v>35904.407099999997</v>
      </c>
      <c r="AG20" s="730">
        <f t="shared" si="5"/>
        <v>33643.818240000001</v>
      </c>
      <c r="AH20" s="730">
        <f t="shared" si="5"/>
        <v>33962.99712</v>
      </c>
      <c r="AI20" s="730">
        <f t="shared" si="5"/>
        <v>34353.104639999998</v>
      </c>
      <c r="AJ20" s="730">
        <f t="shared" si="5"/>
        <v>34843.6944</v>
      </c>
      <c r="AK20" s="730">
        <f t="shared" ref="AK20" si="22">AK80*AK136/100000</f>
        <v>0</v>
      </c>
      <c r="AL20" s="730"/>
    </row>
    <row r="21" spans="1:38">
      <c r="A21" s="741" t="s">
        <v>197</v>
      </c>
      <c r="B21" s="765"/>
      <c r="C21" s="762">
        <f t="shared" si="18"/>
        <v>26106.932000000001</v>
      </c>
      <c r="D21" s="742">
        <f t="shared" si="18"/>
        <v>29553.806100000002</v>
      </c>
      <c r="E21" s="742">
        <f t="shared" si="18"/>
        <v>28411.58</v>
      </c>
      <c r="F21" s="742">
        <f t="shared" si="18"/>
        <v>29785.160080000001</v>
      </c>
      <c r="G21" s="742">
        <f t="shared" si="18"/>
        <v>32888.633800000003</v>
      </c>
      <c r="H21" s="762">
        <f t="shared" si="18"/>
        <v>34258.332999999999</v>
      </c>
      <c r="I21" s="742">
        <f t="shared" si="18"/>
        <v>35628.032200000001</v>
      </c>
      <c r="J21" s="742">
        <f t="shared" si="18"/>
        <v>36385.8056</v>
      </c>
      <c r="K21" s="742">
        <f t="shared" si="18"/>
        <v>36820.177799999998</v>
      </c>
      <c r="L21" s="742">
        <f t="shared" si="18"/>
        <v>39792.86161</v>
      </c>
      <c r="M21" s="762">
        <f t="shared" si="18"/>
        <v>35173.517339999999</v>
      </c>
      <c r="N21" s="742">
        <f t="shared" si="18"/>
        <v>34420.736400000002</v>
      </c>
      <c r="O21" s="742">
        <f t="shared" si="18"/>
        <v>43173.997640000001</v>
      </c>
      <c r="P21" s="742">
        <f t="shared" si="18"/>
        <v>43206.258800000003</v>
      </c>
      <c r="Q21" s="742">
        <f t="shared" si="18"/>
        <v>38116.953200000004</v>
      </c>
      <c r="R21" s="762">
        <f t="shared" si="18"/>
        <v>38472.478799999997</v>
      </c>
      <c r="S21" s="742">
        <f t="shared" si="18"/>
        <v>38644.745510000001</v>
      </c>
      <c r="T21" s="742">
        <f t="shared" si="18"/>
        <v>39034.156040000002</v>
      </c>
      <c r="U21" s="742">
        <f t="shared" si="18"/>
        <v>39300.689700000003</v>
      </c>
      <c r="V21" s="730">
        <f t="shared" si="18"/>
        <v>39663.72</v>
      </c>
      <c r="W21" s="730">
        <f t="shared" si="18"/>
        <v>39510.882120000002</v>
      </c>
      <c r="X21" s="730">
        <f t="shared" si="18"/>
        <v>39776.263319999998</v>
      </c>
      <c r="Y21" s="730">
        <f t="shared" si="18"/>
        <v>40418.780530000004</v>
      </c>
      <c r="Z21" s="730">
        <f>Z81*Z137/100000</f>
        <v>40685.509579999998</v>
      </c>
      <c r="AA21" s="730">
        <f t="shared" si="5"/>
        <v>40881.415540000002</v>
      </c>
      <c r="AB21" s="730">
        <f t="shared" si="5"/>
        <v>40571.070959999997</v>
      </c>
      <c r="AC21" s="730">
        <f t="shared" si="5"/>
        <v>38962.361129999998</v>
      </c>
      <c r="AD21" s="730">
        <f t="shared" si="5"/>
        <v>40054.188240000003</v>
      </c>
      <c r="AE21" s="730">
        <f t="shared" si="5"/>
        <v>41216.906840000003</v>
      </c>
      <c r="AF21" s="730">
        <f t="shared" si="5"/>
        <v>43354.706599999998</v>
      </c>
      <c r="AG21" s="730">
        <f t="shared" si="5"/>
        <v>40760.325120000001</v>
      </c>
      <c r="AH21" s="730">
        <f t="shared" si="5"/>
        <v>41277.513120000003</v>
      </c>
      <c r="AI21" s="730">
        <f t="shared" si="5"/>
        <v>41682.397440000001</v>
      </c>
      <c r="AJ21" s="730">
        <f t="shared" si="5"/>
        <v>42128.656799999997</v>
      </c>
      <c r="AK21" s="730">
        <f t="shared" ref="AK21" si="23">AK81*AK137/100000</f>
        <v>0</v>
      </c>
      <c r="AL21" s="730"/>
    </row>
    <row r="22" spans="1:38">
      <c r="A22" s="766" t="s">
        <v>198</v>
      </c>
      <c r="B22" s="767"/>
      <c r="C22" s="762">
        <f>SUM(C23:C28)</f>
        <v>221982.70246</v>
      </c>
      <c r="D22" s="742">
        <f t="shared" ref="D22:AG22" si="24">SUM(D23:D28)</f>
        <v>248381.87807999999</v>
      </c>
      <c r="E22" s="742">
        <f t="shared" si="24"/>
        <v>238526.00699999998</v>
      </c>
      <c r="F22" s="742">
        <f t="shared" si="24"/>
        <v>243915.43987999999</v>
      </c>
      <c r="G22" s="742">
        <f t="shared" si="24"/>
        <v>268353.24280000001</v>
      </c>
      <c r="H22" s="762">
        <f t="shared" si="24"/>
        <v>269462.95279999997</v>
      </c>
      <c r="I22" s="742">
        <f t="shared" si="24"/>
        <v>274849.80219999998</v>
      </c>
      <c r="J22" s="742">
        <f t="shared" si="24"/>
        <v>280195.4338</v>
      </c>
      <c r="K22" s="742">
        <f t="shared" si="24"/>
        <v>284624.76199999999</v>
      </c>
      <c r="L22" s="742">
        <f t="shared" si="24"/>
        <v>305727.13737000001</v>
      </c>
      <c r="M22" s="762">
        <f t="shared" si="24"/>
        <v>278413.24874999997</v>
      </c>
      <c r="N22" s="742">
        <f t="shared" si="24"/>
        <v>271027.99239999999</v>
      </c>
      <c r="O22" s="742">
        <f t="shared" si="24"/>
        <v>337248.22892999998</v>
      </c>
      <c r="P22" s="742">
        <f t="shared" si="24"/>
        <v>337949.11511999997</v>
      </c>
      <c r="Q22" s="742">
        <f t="shared" si="24"/>
        <v>297116.92599999998</v>
      </c>
      <c r="R22" s="762">
        <f t="shared" si="24"/>
        <v>299273.55901999999</v>
      </c>
      <c r="S22" s="742">
        <f t="shared" si="24"/>
        <v>296319.38728000002</v>
      </c>
      <c r="T22" s="742">
        <f t="shared" si="24"/>
        <v>298188.72671000002</v>
      </c>
      <c r="U22" s="742">
        <f t="shared" si="24"/>
        <v>300805.63649999996</v>
      </c>
      <c r="V22" s="730">
        <f t="shared" si="24"/>
        <v>302685.51311999996</v>
      </c>
      <c r="W22" s="730">
        <f t="shared" si="24"/>
        <v>297793.80774000002</v>
      </c>
      <c r="X22" s="730">
        <f t="shared" si="24"/>
        <v>297232.56975000002</v>
      </c>
      <c r="Y22" s="730">
        <f t="shared" si="24"/>
        <v>300631.10954999999</v>
      </c>
      <c r="Z22" s="730">
        <f t="shared" si="24"/>
        <v>298885.35827000003</v>
      </c>
      <c r="AA22" s="730">
        <f t="shared" si="24"/>
        <v>300980.16654999997</v>
      </c>
      <c r="AB22" s="730">
        <f t="shared" si="24"/>
        <v>298903.05471</v>
      </c>
      <c r="AC22" s="730">
        <f t="shared" si="24"/>
        <v>290325.86391000001</v>
      </c>
      <c r="AD22" s="730">
        <f t="shared" si="24"/>
        <v>295572.91490000003</v>
      </c>
      <c r="AE22" s="730">
        <f t="shared" si="24"/>
        <v>307684.70447999996</v>
      </c>
      <c r="AF22" s="730">
        <f t="shared" si="24"/>
        <v>323886.17652000004</v>
      </c>
      <c r="AG22" s="730">
        <f t="shared" si="24"/>
        <v>304059.13734000002</v>
      </c>
      <c r="AH22" s="730">
        <f>SUM(AH23:AH28)</f>
        <v>303947.17491</v>
      </c>
      <c r="AI22" s="730">
        <f>SUM(AI23:AI28)</f>
        <v>305909.68700999999</v>
      </c>
      <c r="AJ22" s="730">
        <f>SUM(AJ23:AJ28)</f>
        <v>307685.41581000003</v>
      </c>
      <c r="AK22" s="730">
        <f>SUM(AK23:AK28)</f>
        <v>0</v>
      </c>
      <c r="AL22" s="730"/>
    </row>
    <row r="23" spans="1:38">
      <c r="A23" s="768" t="s">
        <v>231</v>
      </c>
      <c r="B23" s="769"/>
      <c r="C23" s="762">
        <f t="shared" ref="C23:Z28" si="25">C83*C139/100000</f>
        <v>36910.093970000002</v>
      </c>
      <c r="D23" s="742">
        <f t="shared" si="25"/>
        <v>40617.538639999999</v>
      </c>
      <c r="E23" s="742">
        <f t="shared" si="25"/>
        <v>38950.701000000001</v>
      </c>
      <c r="F23" s="742">
        <f t="shared" si="25"/>
        <v>39790.700279999997</v>
      </c>
      <c r="G23" s="742">
        <f t="shared" si="25"/>
        <v>43608.432399999998</v>
      </c>
      <c r="H23" s="762">
        <f t="shared" si="25"/>
        <v>44007.928</v>
      </c>
      <c r="I23" s="742">
        <f t="shared" si="25"/>
        <v>44810.089800000002</v>
      </c>
      <c r="J23" s="742">
        <f t="shared" si="25"/>
        <v>45507.621800000001</v>
      </c>
      <c r="K23" s="742">
        <f t="shared" si="25"/>
        <v>46116.377</v>
      </c>
      <c r="L23" s="742">
        <f t="shared" si="25"/>
        <v>50071.86219</v>
      </c>
      <c r="M23" s="762">
        <f t="shared" si="25"/>
        <v>45278.257830000002</v>
      </c>
      <c r="N23" s="742">
        <f t="shared" si="25"/>
        <v>43833.887600000002</v>
      </c>
      <c r="O23" s="742">
        <f t="shared" si="25"/>
        <v>54349.178090000001</v>
      </c>
      <c r="P23" s="742">
        <f t="shared" si="25"/>
        <v>54387.768880000003</v>
      </c>
      <c r="Q23" s="742">
        <f t="shared" si="25"/>
        <v>47581.194199999998</v>
      </c>
      <c r="R23" s="762">
        <f t="shared" si="25"/>
        <v>47860.016320000002</v>
      </c>
      <c r="S23" s="742">
        <f t="shared" si="25"/>
        <v>46495.786959999998</v>
      </c>
      <c r="T23" s="742">
        <f t="shared" si="25"/>
        <v>46532.525880000001</v>
      </c>
      <c r="U23" s="742">
        <f t="shared" si="25"/>
        <v>47010.932280000001</v>
      </c>
      <c r="V23" s="730">
        <f t="shared" si="25"/>
        <v>47335.150079999999</v>
      </c>
      <c r="W23" s="730">
        <f t="shared" si="25"/>
        <v>47073.254280000001</v>
      </c>
      <c r="X23" s="730">
        <f t="shared" si="25"/>
        <v>46752.321989999997</v>
      </c>
      <c r="Y23" s="730">
        <f t="shared" si="25"/>
        <v>46844.585579999999</v>
      </c>
      <c r="Z23" s="730">
        <f t="shared" si="25"/>
        <v>46824.667909999996</v>
      </c>
      <c r="AA23" s="730">
        <f>AA83*AA139/100000+AO21</f>
        <v>46493.074679999998</v>
      </c>
      <c r="AB23" s="730">
        <f t="shared" ref="AA23:AJ38" si="26">AB83*AB139/100000</f>
        <v>46051.745880000002</v>
      </c>
      <c r="AC23" s="730">
        <f t="shared" si="26"/>
        <v>43720.32357</v>
      </c>
      <c r="AD23" s="730">
        <f t="shared" si="26"/>
        <v>44689.098019999998</v>
      </c>
      <c r="AE23" s="730">
        <f t="shared" si="26"/>
        <v>46001.556649999999</v>
      </c>
      <c r="AF23" s="730">
        <f t="shared" si="26"/>
        <v>48031.397799999999</v>
      </c>
      <c r="AG23" s="730">
        <f t="shared" si="26"/>
        <v>44823.945119999997</v>
      </c>
      <c r="AH23" s="730">
        <f t="shared" si="26"/>
        <v>44439.748319999999</v>
      </c>
      <c r="AI23" s="730">
        <f t="shared" si="26"/>
        <v>44537.275199999996</v>
      </c>
      <c r="AJ23" s="730">
        <f t="shared" si="26"/>
        <v>44602.293120000002</v>
      </c>
      <c r="AK23" s="730">
        <f t="shared" ref="AK23" si="27">AK83*AK139/100000</f>
        <v>0</v>
      </c>
      <c r="AL23" s="730"/>
    </row>
    <row r="24" spans="1:38">
      <c r="A24" s="768" t="s">
        <v>232</v>
      </c>
      <c r="B24" s="769"/>
      <c r="C24" s="762">
        <f t="shared" si="25"/>
        <v>66110.129870000004</v>
      </c>
      <c r="D24" s="742">
        <f t="shared" si="25"/>
        <v>73304.573999999993</v>
      </c>
      <c r="E24" s="742">
        <f t="shared" si="25"/>
        <v>70422.214000000007</v>
      </c>
      <c r="F24" s="742">
        <f t="shared" si="25"/>
        <v>71682.444080000001</v>
      </c>
      <c r="G24" s="742">
        <f t="shared" si="25"/>
        <v>78760.874599999996</v>
      </c>
      <c r="H24" s="762">
        <f t="shared" si="25"/>
        <v>80460.316200000001</v>
      </c>
      <c r="I24" s="742">
        <f t="shared" si="25"/>
        <v>82388.040999999997</v>
      </c>
      <c r="J24" s="742">
        <f t="shared" si="25"/>
        <v>84236.500799999994</v>
      </c>
      <c r="K24" s="742">
        <f t="shared" si="25"/>
        <v>85536.446800000005</v>
      </c>
      <c r="L24" s="742">
        <f t="shared" si="25"/>
        <v>88738.863710000005</v>
      </c>
      <c r="M24" s="762">
        <f t="shared" si="25"/>
        <v>82061.243159999998</v>
      </c>
      <c r="N24" s="742">
        <f t="shared" si="25"/>
        <v>80118.820399999997</v>
      </c>
      <c r="O24" s="742">
        <f t="shared" si="25"/>
        <v>100007.77250000001</v>
      </c>
      <c r="P24" s="742">
        <f t="shared" si="25"/>
        <v>100250.91192</v>
      </c>
      <c r="Q24" s="742">
        <f t="shared" si="25"/>
        <v>88298.039399999994</v>
      </c>
      <c r="R24" s="762">
        <f t="shared" si="25"/>
        <v>89058.418699999995</v>
      </c>
      <c r="S24" s="742">
        <f t="shared" si="25"/>
        <v>88331.296409999995</v>
      </c>
      <c r="T24" s="742">
        <f t="shared" si="25"/>
        <v>89071.354779999994</v>
      </c>
      <c r="U24" s="742">
        <f t="shared" si="25"/>
        <v>90034.023419999998</v>
      </c>
      <c r="V24" s="730">
        <f t="shared" si="25"/>
        <v>90654.154079999993</v>
      </c>
      <c r="W24" s="730">
        <f t="shared" si="25"/>
        <v>85843.253460000007</v>
      </c>
      <c r="X24" s="730">
        <f t="shared" si="25"/>
        <v>86351.935500000007</v>
      </c>
      <c r="Y24" s="730">
        <f t="shared" si="25"/>
        <v>88112.777400000006</v>
      </c>
      <c r="Z24" s="730">
        <f t="shared" si="25"/>
        <v>85952.517680000004</v>
      </c>
      <c r="AA24" s="730">
        <f t="shared" si="26"/>
        <v>88540.108429999993</v>
      </c>
      <c r="AB24" s="730">
        <f t="shared" si="26"/>
        <v>87681.331829999996</v>
      </c>
      <c r="AC24" s="730">
        <f t="shared" si="26"/>
        <v>87353.396519999995</v>
      </c>
      <c r="AD24" s="730">
        <f t="shared" si="26"/>
        <v>85951.831569999995</v>
      </c>
      <c r="AE24" s="730">
        <f t="shared" si="26"/>
        <v>90335.354219999994</v>
      </c>
      <c r="AF24" s="730">
        <f t="shared" si="26"/>
        <v>94569.452720000001</v>
      </c>
      <c r="AG24" s="730">
        <f t="shared" si="26"/>
        <v>88749.339900000006</v>
      </c>
      <c r="AH24" s="730">
        <f t="shared" si="26"/>
        <v>88980.199229999998</v>
      </c>
      <c r="AI24" s="730">
        <f t="shared" si="26"/>
        <v>89488.674209999997</v>
      </c>
      <c r="AJ24" s="730">
        <f t="shared" si="26"/>
        <v>90049.750050000002</v>
      </c>
      <c r="AK24" s="730">
        <f t="shared" ref="AK24" si="28">AK84*AK140/100000</f>
        <v>0</v>
      </c>
      <c r="AL24" s="730"/>
    </row>
    <row r="25" spans="1:38">
      <c r="A25" s="741" t="s">
        <v>200</v>
      </c>
      <c r="B25" s="765"/>
      <c r="C25" s="762">
        <f t="shared" si="25"/>
        <v>34517.904439999998</v>
      </c>
      <c r="D25" s="742">
        <f t="shared" si="25"/>
        <v>38529.750139999996</v>
      </c>
      <c r="E25" s="742">
        <f t="shared" si="25"/>
        <v>37369.686999999998</v>
      </c>
      <c r="F25" s="742">
        <f t="shared" si="25"/>
        <v>38586.5196</v>
      </c>
      <c r="G25" s="742">
        <f t="shared" si="25"/>
        <v>42844.317799999997</v>
      </c>
      <c r="H25" s="762">
        <f t="shared" si="25"/>
        <v>44011.098599999998</v>
      </c>
      <c r="I25" s="742">
        <f t="shared" si="25"/>
        <v>44806.919199999997</v>
      </c>
      <c r="J25" s="742">
        <f t="shared" si="25"/>
        <v>45758.099199999997</v>
      </c>
      <c r="K25" s="742">
        <f t="shared" si="25"/>
        <v>47023.168599999997</v>
      </c>
      <c r="L25" s="742">
        <f t="shared" si="25"/>
        <v>51653.508540000003</v>
      </c>
      <c r="M25" s="762">
        <f t="shared" si="25"/>
        <v>45970.236389999998</v>
      </c>
      <c r="N25" s="742">
        <f t="shared" si="25"/>
        <v>44785.311600000001</v>
      </c>
      <c r="O25" s="742">
        <f t="shared" si="25"/>
        <v>56019.032639999998</v>
      </c>
      <c r="P25" s="742">
        <f t="shared" si="25"/>
        <v>56618.239600000001</v>
      </c>
      <c r="Q25" s="742">
        <f t="shared" si="25"/>
        <v>49921.097000000002</v>
      </c>
      <c r="R25" s="762">
        <f t="shared" si="25"/>
        <v>50548.035980000001</v>
      </c>
      <c r="S25" s="742">
        <f t="shared" si="25"/>
        <v>50640.004029999996</v>
      </c>
      <c r="T25" s="742">
        <f t="shared" si="25"/>
        <v>51140.637779999997</v>
      </c>
      <c r="U25" s="742">
        <f t="shared" si="25"/>
        <v>51782.601240000004</v>
      </c>
      <c r="V25" s="730">
        <f t="shared" si="25"/>
        <v>52645.42224</v>
      </c>
      <c r="W25" s="730">
        <f t="shared" si="25"/>
        <v>51724.364399999999</v>
      </c>
      <c r="X25" s="730">
        <f t="shared" si="25"/>
        <v>51657.605790000001</v>
      </c>
      <c r="Y25" s="730">
        <f t="shared" si="25"/>
        <v>52091.029799999997</v>
      </c>
      <c r="Z25" s="730">
        <f t="shared" si="25"/>
        <v>52305.504760000003</v>
      </c>
      <c r="AA25" s="730">
        <f t="shared" si="26"/>
        <v>52172.679060000002</v>
      </c>
      <c r="AB25" s="730">
        <f t="shared" si="26"/>
        <v>51593.623200000002</v>
      </c>
      <c r="AC25" s="730">
        <f t="shared" si="26"/>
        <v>49455.471449999997</v>
      </c>
      <c r="AD25" s="730">
        <f t="shared" si="26"/>
        <v>51370.745880000002</v>
      </c>
      <c r="AE25" s="730">
        <f t="shared" si="26"/>
        <v>53183.105600000003</v>
      </c>
      <c r="AF25" s="730">
        <f t="shared" si="26"/>
        <v>56117.117299999998</v>
      </c>
      <c r="AG25" s="730">
        <f t="shared" si="26"/>
        <v>52634.961600000002</v>
      </c>
      <c r="AH25" s="730">
        <f t="shared" si="26"/>
        <v>53152.149599999997</v>
      </c>
      <c r="AI25" s="730">
        <f t="shared" si="26"/>
        <v>53557.033920000002</v>
      </c>
      <c r="AJ25" s="730">
        <f t="shared" si="26"/>
        <v>54088.998720000003</v>
      </c>
      <c r="AK25" s="730">
        <f t="shared" ref="AK25" si="29">AK85*AK141/100000</f>
        <v>0</v>
      </c>
      <c r="AL25" s="730"/>
    </row>
    <row r="26" spans="1:38">
      <c r="A26" s="741" t="s">
        <v>201</v>
      </c>
      <c r="B26" s="765"/>
      <c r="C26" s="762">
        <f t="shared" si="25"/>
        <v>37684.788800000002</v>
      </c>
      <c r="D26" s="742">
        <f t="shared" si="25"/>
        <v>43323.931140000001</v>
      </c>
      <c r="E26" s="742">
        <f t="shared" si="25"/>
        <v>41368.894</v>
      </c>
      <c r="F26" s="742">
        <f t="shared" si="25"/>
        <v>42339.695879999999</v>
      </c>
      <c r="G26" s="742">
        <f t="shared" si="25"/>
        <v>46734.644</v>
      </c>
      <c r="H26" s="762">
        <f t="shared" si="25"/>
        <v>44150.605000000003</v>
      </c>
      <c r="I26" s="742">
        <f t="shared" si="25"/>
        <v>44689.607000000004</v>
      </c>
      <c r="J26" s="742">
        <f t="shared" si="25"/>
        <v>45441.039199999999</v>
      </c>
      <c r="K26" s="742">
        <f t="shared" si="25"/>
        <v>45872.2408</v>
      </c>
      <c r="L26" s="742">
        <f t="shared" si="25"/>
        <v>49973.221879999997</v>
      </c>
      <c r="M26" s="762">
        <f t="shared" si="25"/>
        <v>45197.938889999998</v>
      </c>
      <c r="N26" s="742">
        <f t="shared" si="25"/>
        <v>44241.216</v>
      </c>
      <c r="O26" s="742">
        <f t="shared" si="25"/>
        <v>54818.93937</v>
      </c>
      <c r="P26" s="742">
        <f t="shared" si="25"/>
        <v>54843.338880000003</v>
      </c>
      <c r="Q26" s="742">
        <f t="shared" si="25"/>
        <v>48278.726199999997</v>
      </c>
      <c r="R26" s="762">
        <f t="shared" si="25"/>
        <v>48501.224300000002</v>
      </c>
      <c r="S26" s="742">
        <f t="shared" si="25"/>
        <v>47767.057800000002</v>
      </c>
      <c r="T26" s="742">
        <f t="shared" si="25"/>
        <v>47908.689910000001</v>
      </c>
      <c r="U26" s="742">
        <f t="shared" si="25"/>
        <v>48107.042099999999</v>
      </c>
      <c r="V26" s="730">
        <f t="shared" si="25"/>
        <v>47944.882559999998</v>
      </c>
      <c r="W26" s="730">
        <f t="shared" si="25"/>
        <v>47698.21776</v>
      </c>
      <c r="X26" s="730">
        <f t="shared" si="25"/>
        <v>47245.954980000002</v>
      </c>
      <c r="Y26" s="730">
        <f t="shared" si="25"/>
        <v>47448.268960000001</v>
      </c>
      <c r="Z26" s="730">
        <f t="shared" si="25"/>
        <v>47281.145539999998</v>
      </c>
      <c r="AA26" s="730">
        <f t="shared" si="26"/>
        <v>47299.152300000002</v>
      </c>
      <c r="AB26" s="730">
        <f t="shared" si="26"/>
        <v>47015.683680000002</v>
      </c>
      <c r="AC26" s="730">
        <f t="shared" si="26"/>
        <v>45203.551469999999</v>
      </c>
      <c r="AD26" s="730">
        <f t="shared" si="26"/>
        <v>46655.513529999997</v>
      </c>
      <c r="AE26" s="730">
        <f t="shared" si="26"/>
        <v>48724.751219999998</v>
      </c>
      <c r="AF26" s="730">
        <f t="shared" si="26"/>
        <v>51332.404699999999</v>
      </c>
      <c r="AG26" s="730">
        <f>AG86*AG142/100000</f>
        <v>48009.823199999999</v>
      </c>
      <c r="AH26" s="730">
        <f t="shared" si="26"/>
        <v>47755.662239999998</v>
      </c>
      <c r="AI26" s="730">
        <f t="shared" si="26"/>
        <v>48045.287519999998</v>
      </c>
      <c r="AJ26" s="730">
        <f t="shared" si="26"/>
        <v>48394.02</v>
      </c>
      <c r="AK26" s="730">
        <f t="shared" ref="AK26" si="30">AK86*AK142/100000</f>
        <v>0</v>
      </c>
      <c r="AL26" s="730"/>
    </row>
    <row r="27" spans="1:38">
      <c r="A27" s="741" t="s">
        <v>239</v>
      </c>
      <c r="B27" s="765"/>
      <c r="C27" s="762">
        <f t="shared" si="25"/>
        <v>29293.680329999999</v>
      </c>
      <c r="D27" s="742">
        <f t="shared" si="25"/>
        <v>32801.477099999996</v>
      </c>
      <c r="E27" s="742">
        <f t="shared" si="25"/>
        <v>31553.188999999998</v>
      </c>
      <c r="F27" s="742">
        <f t="shared" si="25"/>
        <v>32451.350880000002</v>
      </c>
      <c r="G27" s="742">
        <f t="shared" si="25"/>
        <v>35666.079400000002</v>
      </c>
      <c r="H27" s="762">
        <f t="shared" si="25"/>
        <v>36706.036200000002</v>
      </c>
      <c r="I27" s="742">
        <f t="shared" si="25"/>
        <v>37837.940399999999</v>
      </c>
      <c r="J27" s="742">
        <f t="shared" si="25"/>
        <v>38713.025999999998</v>
      </c>
      <c r="K27" s="742">
        <f t="shared" si="25"/>
        <v>39324.951800000003</v>
      </c>
      <c r="L27" s="742">
        <f t="shared" si="25"/>
        <v>42684.043109999999</v>
      </c>
      <c r="M27" s="762">
        <f t="shared" si="25"/>
        <v>39458.223870000002</v>
      </c>
      <c r="N27" s="742">
        <f t="shared" si="25"/>
        <v>38330.494400000003</v>
      </c>
      <c r="O27" s="742">
        <f t="shared" si="25"/>
        <v>47530.299509999997</v>
      </c>
      <c r="P27" s="742">
        <f t="shared" si="25"/>
        <v>47371.990879999998</v>
      </c>
      <c r="Q27" s="742">
        <f t="shared" si="25"/>
        <v>41519.006999999998</v>
      </c>
      <c r="R27" s="762">
        <f t="shared" si="25"/>
        <v>41943.846140000001</v>
      </c>
      <c r="S27" s="742">
        <f t="shared" si="25"/>
        <v>41920.47062</v>
      </c>
      <c r="T27" s="742">
        <f t="shared" si="25"/>
        <v>42278.64299</v>
      </c>
      <c r="U27" s="742">
        <f t="shared" si="25"/>
        <v>42532.808400000002</v>
      </c>
      <c r="V27" s="730">
        <f t="shared" si="25"/>
        <v>42852.372000000003</v>
      </c>
      <c r="W27" s="730">
        <f t="shared" si="25"/>
        <v>44384.969160000001</v>
      </c>
      <c r="X27" s="730">
        <f t="shared" si="25"/>
        <v>44430.073709999997</v>
      </c>
      <c r="Y27" s="730">
        <f t="shared" si="25"/>
        <v>45142.447390000001</v>
      </c>
      <c r="Z27" s="730">
        <f t="shared" si="25"/>
        <v>45560.814879999998</v>
      </c>
      <c r="AA27" s="730">
        <f t="shared" si="26"/>
        <v>45758.030720000002</v>
      </c>
      <c r="AB27" s="730">
        <f t="shared" si="26"/>
        <v>46164.97032</v>
      </c>
      <c r="AC27" s="730">
        <f t="shared" si="26"/>
        <v>45261.717270000001</v>
      </c>
      <c r="AD27" s="730">
        <f t="shared" si="26"/>
        <v>47256.445350000002</v>
      </c>
      <c r="AE27" s="730">
        <f t="shared" si="26"/>
        <v>49416.98545</v>
      </c>
      <c r="AF27" s="730">
        <f t="shared" si="26"/>
        <v>52965.434099999999</v>
      </c>
      <c r="AG27" s="730">
        <f t="shared" si="26"/>
        <v>50447.995199999998</v>
      </c>
      <c r="AH27" s="730">
        <f t="shared" si="26"/>
        <v>50279.539680000002</v>
      </c>
      <c r="AI27" s="730">
        <f t="shared" si="26"/>
        <v>50808.549120000003</v>
      </c>
      <c r="AJ27" s="730">
        <f t="shared" si="26"/>
        <v>51287.317439999999</v>
      </c>
      <c r="AK27" s="730">
        <f t="shared" ref="AK27" si="31">AK87*AK143/100000</f>
        <v>0</v>
      </c>
      <c r="AL27" s="730"/>
    </row>
    <row r="28" spans="1:38">
      <c r="A28" s="741" t="s">
        <v>233</v>
      </c>
      <c r="B28" s="765"/>
      <c r="C28" s="762">
        <f t="shared" si="25"/>
        <v>17466.105049999998</v>
      </c>
      <c r="D28" s="742">
        <f t="shared" si="25"/>
        <v>19804.607059999998</v>
      </c>
      <c r="E28" s="742">
        <f t="shared" si="25"/>
        <v>18861.322</v>
      </c>
      <c r="F28" s="742">
        <f t="shared" si="25"/>
        <v>19064.729159999999</v>
      </c>
      <c r="G28" s="742">
        <f t="shared" si="25"/>
        <v>20738.8946</v>
      </c>
      <c r="H28" s="762">
        <f t="shared" si="25"/>
        <v>20126.968799999999</v>
      </c>
      <c r="I28" s="742">
        <f t="shared" si="25"/>
        <v>20317.2048</v>
      </c>
      <c r="J28" s="742">
        <f t="shared" si="25"/>
        <v>20539.146799999999</v>
      </c>
      <c r="K28" s="742">
        <f t="shared" si="25"/>
        <v>20751.577000000001</v>
      </c>
      <c r="L28" s="742">
        <f t="shared" si="25"/>
        <v>22605.637940000001</v>
      </c>
      <c r="M28" s="762">
        <f t="shared" si="25"/>
        <v>20447.348610000001</v>
      </c>
      <c r="N28" s="742">
        <f t="shared" si="25"/>
        <v>19718.2624</v>
      </c>
      <c r="O28" s="742">
        <f t="shared" si="25"/>
        <v>24523.006819999999</v>
      </c>
      <c r="P28" s="742">
        <f t="shared" si="25"/>
        <v>24476.864959999999</v>
      </c>
      <c r="Q28" s="742">
        <f t="shared" si="25"/>
        <v>21518.8622</v>
      </c>
      <c r="R28" s="762">
        <f t="shared" si="25"/>
        <v>21362.01758</v>
      </c>
      <c r="S28" s="742">
        <f t="shared" si="25"/>
        <v>21164.77146</v>
      </c>
      <c r="T28" s="742">
        <f t="shared" si="25"/>
        <v>21256.875370000002</v>
      </c>
      <c r="U28" s="742">
        <f t="shared" si="25"/>
        <v>21338.229060000001</v>
      </c>
      <c r="V28" s="730">
        <f t="shared" si="25"/>
        <v>21253.532159999999</v>
      </c>
      <c r="W28" s="730">
        <f t="shared" si="25"/>
        <v>21069.748680000001</v>
      </c>
      <c r="X28" s="730">
        <f t="shared" si="25"/>
        <v>20794.677780000002</v>
      </c>
      <c r="Y28" s="730">
        <f t="shared" si="25"/>
        <v>20992.00042</v>
      </c>
      <c r="Z28" s="730">
        <f t="shared" si="25"/>
        <v>20960.7075</v>
      </c>
      <c r="AA28" s="730">
        <f t="shared" si="26"/>
        <v>20717.121360000001</v>
      </c>
      <c r="AB28" s="730">
        <f t="shared" si="26"/>
        <v>20395.699799999999</v>
      </c>
      <c r="AC28" s="730">
        <f t="shared" si="26"/>
        <v>19331.403630000001</v>
      </c>
      <c r="AD28" s="730">
        <f t="shared" si="26"/>
        <v>19649.280549999999</v>
      </c>
      <c r="AE28" s="730">
        <f t="shared" si="26"/>
        <v>20022.95134</v>
      </c>
      <c r="AF28" s="730">
        <f t="shared" si="26"/>
        <v>20870.369900000002</v>
      </c>
      <c r="AG28" s="730">
        <f t="shared" si="26"/>
        <v>19393.072319999999</v>
      </c>
      <c r="AH28" s="730">
        <f t="shared" si="26"/>
        <v>19339.875840000001</v>
      </c>
      <c r="AI28" s="730">
        <f t="shared" si="26"/>
        <v>19472.867040000001</v>
      </c>
      <c r="AJ28" s="730">
        <f t="shared" si="26"/>
        <v>19263.036479999999</v>
      </c>
      <c r="AK28" s="730">
        <f t="shared" ref="AK28" si="32">AK88*AK144/100000</f>
        <v>0</v>
      </c>
      <c r="AL28" s="730"/>
    </row>
    <row r="29" spans="1:38">
      <c r="A29" s="766" t="s">
        <v>202</v>
      </c>
      <c r="B29" s="767"/>
      <c r="C29" s="762">
        <f>SUM(C30:C33)</f>
        <v>474962.76</v>
      </c>
      <c r="D29" s="742">
        <f t="shared" ref="D29:AG29" si="33">SUM(D30:D33)</f>
        <v>529988.42445000005</v>
      </c>
      <c r="E29" s="742">
        <f t="shared" si="33"/>
        <v>503281.62239999999</v>
      </c>
      <c r="F29" s="742">
        <f t="shared" si="33"/>
        <v>515269.6545</v>
      </c>
      <c r="G29" s="742">
        <f t="shared" si="33"/>
        <v>569441.24593999994</v>
      </c>
      <c r="H29" s="762">
        <f t="shared" si="33"/>
        <v>575554.55481999996</v>
      </c>
      <c r="I29" s="742">
        <f t="shared" si="33"/>
        <v>586136.45972000004</v>
      </c>
      <c r="J29" s="742">
        <f t="shared" si="33"/>
        <v>595536.13153999997</v>
      </c>
      <c r="K29" s="742">
        <f t="shared" si="33"/>
        <v>603992.46711999993</v>
      </c>
      <c r="L29" s="742">
        <f t="shared" si="33"/>
        <v>692675.03284</v>
      </c>
      <c r="M29" s="762">
        <f t="shared" si="33"/>
        <v>631721.92217999999</v>
      </c>
      <c r="N29" s="742">
        <f t="shared" si="33"/>
        <v>617107.19589999993</v>
      </c>
      <c r="O29" s="742">
        <f t="shared" si="33"/>
        <v>729923.28689999995</v>
      </c>
      <c r="P29" s="742">
        <f t="shared" si="33"/>
        <v>734380.20828000002</v>
      </c>
      <c r="Q29" s="742">
        <f t="shared" si="33"/>
        <v>646084.25266</v>
      </c>
      <c r="R29" s="762">
        <f t="shared" si="33"/>
        <v>655899.02439999999</v>
      </c>
      <c r="S29" s="742">
        <f t="shared" si="33"/>
        <v>658929.71195999999</v>
      </c>
      <c r="T29" s="742">
        <f t="shared" si="33"/>
        <v>669983.12112000014</v>
      </c>
      <c r="U29" s="742">
        <f t="shared" si="33"/>
        <v>680320.30494000006</v>
      </c>
      <c r="V29" s="730">
        <f t="shared" si="33"/>
        <v>690242.05439999991</v>
      </c>
      <c r="W29" s="730">
        <f t="shared" si="33"/>
        <v>687142.35405000008</v>
      </c>
      <c r="X29" s="730">
        <f t="shared" si="33"/>
        <v>669959.87066999997</v>
      </c>
      <c r="Y29" s="730">
        <f t="shared" si="33"/>
        <v>672250.61655000004</v>
      </c>
      <c r="Z29" s="730">
        <f t="shared" si="33"/>
        <v>699036.41146000009</v>
      </c>
      <c r="AA29" s="730">
        <f t="shared" si="33"/>
        <v>695943.89773000008</v>
      </c>
      <c r="AB29" s="730">
        <f t="shared" si="33"/>
        <v>695201.58322000003</v>
      </c>
      <c r="AC29" s="730">
        <f t="shared" si="33"/>
        <v>702629.98132999998</v>
      </c>
      <c r="AD29" s="730">
        <f t="shared" si="33"/>
        <v>713666.28547</v>
      </c>
      <c r="AE29" s="730">
        <f t="shared" si="33"/>
        <v>719932.35194999992</v>
      </c>
      <c r="AF29" s="730">
        <f t="shared" si="33"/>
        <v>734622.06857999996</v>
      </c>
      <c r="AG29" s="730">
        <f t="shared" si="33"/>
        <v>716747.50488000002</v>
      </c>
      <c r="AH29" s="730">
        <f>SUM(AH30:AH33)</f>
        <v>720394.46112000011</v>
      </c>
      <c r="AI29" s="730">
        <f>SUM(AI30:AI33)</f>
        <v>727129.17</v>
      </c>
      <c r="AJ29" s="730">
        <f>SUM(AJ30:AJ33)</f>
        <v>733186.12548000005</v>
      </c>
      <c r="AK29" s="730">
        <f>SUM(AK30:AK33)</f>
        <v>0</v>
      </c>
      <c r="AL29" s="730"/>
    </row>
    <row r="30" spans="1:38">
      <c r="A30" s="768" t="s">
        <v>240</v>
      </c>
      <c r="B30" s="769"/>
      <c r="C30" s="762">
        <f t="shared" ref="C30:Y33" si="34">C90*C146/100000</f>
        <v>439021.1336</v>
      </c>
      <c r="D30" s="742">
        <f t="shared" si="34"/>
        <v>490216.8138</v>
      </c>
      <c r="E30" s="742">
        <f t="shared" si="34"/>
        <v>465644.26779999997</v>
      </c>
      <c r="F30" s="742">
        <f t="shared" si="34"/>
        <v>477239.58525</v>
      </c>
      <c r="G30" s="742">
        <f t="shared" si="34"/>
        <v>527931.38859999995</v>
      </c>
      <c r="H30" s="762">
        <f t="shared" si="34"/>
        <v>535475.01573999994</v>
      </c>
      <c r="I30" s="742">
        <f t="shared" si="34"/>
        <v>545677.13592000003</v>
      </c>
      <c r="J30" s="742">
        <f t="shared" si="34"/>
        <v>554448.93784000003</v>
      </c>
      <c r="K30" s="742">
        <f t="shared" si="34"/>
        <v>562424.41695999994</v>
      </c>
      <c r="L30" s="742">
        <f t="shared" si="34"/>
        <v>645060.47696999996</v>
      </c>
      <c r="M30" s="762">
        <f t="shared" si="34"/>
        <v>588357.98375999997</v>
      </c>
      <c r="N30" s="742">
        <f t="shared" si="34"/>
        <v>574413.06259999995</v>
      </c>
      <c r="O30" s="742">
        <f t="shared" si="34"/>
        <v>679315.41414999997</v>
      </c>
      <c r="P30" s="742">
        <f t="shared" si="34"/>
        <v>683549.49672000005</v>
      </c>
      <c r="Q30" s="742">
        <f t="shared" si="34"/>
        <v>601441.17137999996</v>
      </c>
      <c r="R30" s="762">
        <f t="shared" si="34"/>
        <v>610704.02040000004</v>
      </c>
      <c r="S30" s="742">
        <f t="shared" si="34"/>
        <v>613602.44382000004</v>
      </c>
      <c r="T30" s="742">
        <f t="shared" si="34"/>
        <v>624217.57420000003</v>
      </c>
      <c r="U30" s="742">
        <f t="shared" si="34"/>
        <v>634437.16324000002</v>
      </c>
      <c r="V30" s="730">
        <f t="shared" si="34"/>
        <v>644194.80863999994</v>
      </c>
      <c r="W30" s="730">
        <f t="shared" si="34"/>
        <v>640656.37701000005</v>
      </c>
      <c r="X30" s="730">
        <f t="shared" si="34"/>
        <v>623788.11074999999</v>
      </c>
      <c r="Y30" s="730">
        <f t="shared" si="34"/>
        <v>626124.84984000004</v>
      </c>
      <c r="Z30" s="730">
        <f>Z90*Z146/100000</f>
        <v>652748.95872</v>
      </c>
      <c r="AA30" s="730">
        <f>AA90*AA146/100000+AO22</f>
        <v>649805.99135000003</v>
      </c>
      <c r="AB30" s="730">
        <f t="shared" si="26"/>
        <v>649183.49866000004</v>
      </c>
      <c r="AC30" s="730">
        <f t="shared" si="26"/>
        <v>658170.95209999999</v>
      </c>
      <c r="AD30" s="730">
        <f t="shared" si="26"/>
        <v>667528.40628</v>
      </c>
      <c r="AE30" s="730">
        <f t="shared" si="26"/>
        <v>672223.08089999994</v>
      </c>
      <c r="AF30" s="730">
        <f t="shared" si="26"/>
        <v>684261.85647999996</v>
      </c>
      <c r="AG30" s="730">
        <f t="shared" si="26"/>
        <v>669763.19160000002</v>
      </c>
      <c r="AH30" s="730">
        <f t="shared" si="26"/>
        <v>673486.98719999997</v>
      </c>
      <c r="AI30" s="730">
        <f t="shared" si="26"/>
        <v>680079.83880000003</v>
      </c>
      <c r="AJ30" s="730">
        <f t="shared" si="26"/>
        <v>685522.07940000005</v>
      </c>
      <c r="AK30" s="730">
        <f t="shared" ref="AK30" si="35">AK90*AK146/100000</f>
        <v>0</v>
      </c>
      <c r="AL30" s="730"/>
    </row>
    <row r="31" spans="1:38">
      <c r="A31" s="741" t="s">
        <v>203</v>
      </c>
      <c r="B31" s="765"/>
      <c r="C31" s="762">
        <f t="shared" si="34"/>
        <v>10851.92692</v>
      </c>
      <c r="D31" s="742">
        <f t="shared" si="34"/>
        <v>12103.7451</v>
      </c>
      <c r="E31" s="742">
        <f t="shared" si="34"/>
        <v>11507.895200000001</v>
      </c>
      <c r="F31" s="742">
        <f t="shared" si="34"/>
        <v>11578.552750000001</v>
      </c>
      <c r="G31" s="742">
        <f t="shared" si="34"/>
        <v>12722.788119999999</v>
      </c>
      <c r="H31" s="762">
        <f t="shared" si="34"/>
        <v>12502.267959999999</v>
      </c>
      <c r="I31" s="742">
        <f t="shared" si="34"/>
        <v>12575.77468</v>
      </c>
      <c r="J31" s="742">
        <f t="shared" si="34"/>
        <v>12731.97646</v>
      </c>
      <c r="K31" s="742">
        <f t="shared" si="34"/>
        <v>12857.550440000001</v>
      </c>
      <c r="L31" s="742">
        <f t="shared" si="34"/>
        <v>14680.258390000001</v>
      </c>
      <c r="M31" s="762">
        <f t="shared" si="34"/>
        <v>13288.694740000001</v>
      </c>
      <c r="N31" s="742">
        <f t="shared" si="34"/>
        <v>13023.2726</v>
      </c>
      <c r="O31" s="742">
        <f t="shared" si="34"/>
        <v>15208.9509</v>
      </c>
      <c r="P31" s="742">
        <f t="shared" si="34"/>
        <v>15177.392819999999</v>
      </c>
      <c r="Q31" s="742">
        <f t="shared" si="34"/>
        <v>13237.335160000001</v>
      </c>
      <c r="R31" s="762">
        <f t="shared" si="34"/>
        <v>13368.0124</v>
      </c>
      <c r="S31" s="742">
        <f t="shared" si="34"/>
        <v>13511.57568</v>
      </c>
      <c r="T31" s="742">
        <f t="shared" si="34"/>
        <v>13593.941080000001</v>
      </c>
      <c r="U31" s="742">
        <f t="shared" si="34"/>
        <v>13602.12636</v>
      </c>
      <c r="V31" s="730">
        <f t="shared" si="34"/>
        <v>13616.321760000001</v>
      </c>
      <c r="W31" s="730">
        <f t="shared" si="34"/>
        <v>13661.262000000001</v>
      </c>
      <c r="X31" s="730">
        <f t="shared" si="34"/>
        <v>13452.27513</v>
      </c>
      <c r="Y31" s="730">
        <f t="shared" si="34"/>
        <v>13467.74056</v>
      </c>
      <c r="Z31" s="730">
        <f>Z91*Z147/100000</f>
        <v>13511.11679</v>
      </c>
      <c r="AA31" s="730">
        <f t="shared" si="26"/>
        <v>13409.91964</v>
      </c>
      <c r="AB31" s="730">
        <f t="shared" si="26"/>
        <v>13262.560079999999</v>
      </c>
      <c r="AC31" s="730">
        <f t="shared" si="26"/>
        <v>12584.170829999999</v>
      </c>
      <c r="AD31" s="730">
        <f t="shared" si="26"/>
        <v>12976.557419999999</v>
      </c>
      <c r="AE31" s="730">
        <f t="shared" si="26"/>
        <v>13207.341189999999</v>
      </c>
      <c r="AF31" s="730">
        <f t="shared" si="26"/>
        <v>13766.374299999999</v>
      </c>
      <c r="AG31" s="730">
        <f t="shared" si="26"/>
        <v>12778.976640000001</v>
      </c>
      <c r="AH31" s="730">
        <f t="shared" si="26"/>
        <v>12705.092640000001</v>
      </c>
      <c r="AI31" s="730">
        <f t="shared" si="26"/>
        <v>12640.074720000001</v>
      </c>
      <c r="AJ31" s="730">
        <f t="shared" si="26"/>
        <v>12601.65504</v>
      </c>
      <c r="AK31" s="730">
        <f t="shared" ref="AK31" si="36">AK91*AK147/100000</f>
        <v>0</v>
      </c>
      <c r="AL31" s="730"/>
    </row>
    <row r="32" spans="1:38">
      <c r="A32" s="741" t="s">
        <v>204</v>
      </c>
      <c r="B32" s="765"/>
      <c r="C32" s="762">
        <f t="shared" si="34"/>
        <v>13879.46732</v>
      </c>
      <c r="D32" s="742">
        <f t="shared" si="34"/>
        <v>15403.6656</v>
      </c>
      <c r="E32" s="742">
        <f t="shared" si="34"/>
        <v>14661.0134</v>
      </c>
      <c r="F32" s="742">
        <f t="shared" si="34"/>
        <v>14822.019249999999</v>
      </c>
      <c r="G32" s="742">
        <f t="shared" si="34"/>
        <v>16061.21832</v>
      </c>
      <c r="H32" s="762">
        <f t="shared" si="34"/>
        <v>16318.491840000001</v>
      </c>
      <c r="I32" s="742">
        <f t="shared" si="34"/>
        <v>16542.074779999999</v>
      </c>
      <c r="J32" s="742">
        <f t="shared" si="34"/>
        <v>16839.16444</v>
      </c>
      <c r="K32" s="742">
        <f t="shared" si="34"/>
        <v>17114.814640000001</v>
      </c>
      <c r="L32" s="742">
        <f t="shared" si="34"/>
        <v>19614.157569999999</v>
      </c>
      <c r="M32" s="762">
        <f t="shared" si="34"/>
        <v>17952.500339999999</v>
      </c>
      <c r="N32" s="742">
        <f t="shared" si="34"/>
        <v>17830.419099999999</v>
      </c>
      <c r="O32" s="742">
        <f t="shared" si="34"/>
        <v>21515.879489999999</v>
      </c>
      <c r="P32" s="742">
        <f t="shared" si="34"/>
        <v>21704.622299999999</v>
      </c>
      <c r="Q32" s="742">
        <f t="shared" si="34"/>
        <v>19267.948980000001</v>
      </c>
      <c r="R32" s="762">
        <f t="shared" si="34"/>
        <v>19583.477599999998</v>
      </c>
      <c r="S32" s="742">
        <f t="shared" si="34"/>
        <v>20023.88394</v>
      </c>
      <c r="T32" s="742">
        <f t="shared" si="34"/>
        <v>20361.54104</v>
      </c>
      <c r="U32" s="742">
        <f t="shared" si="34"/>
        <v>20427.999619999999</v>
      </c>
      <c r="V32" s="730">
        <f t="shared" si="34"/>
        <v>20469.590400000001</v>
      </c>
      <c r="W32" s="730">
        <f t="shared" si="34"/>
        <v>20849.91228</v>
      </c>
      <c r="X32" s="730">
        <f t="shared" si="34"/>
        <v>20884.711469999998</v>
      </c>
      <c r="Y32" s="730">
        <f t="shared" si="34"/>
        <v>20904.870859999999</v>
      </c>
      <c r="Z32" s="730">
        <f>Z92*Z148/100000</f>
        <v>20973.128659999998</v>
      </c>
      <c r="AA32" s="730">
        <f t="shared" si="26"/>
        <v>21016.698100000001</v>
      </c>
      <c r="AB32" s="730">
        <f t="shared" si="26"/>
        <v>21133.188719999998</v>
      </c>
      <c r="AC32" s="730">
        <f t="shared" si="26"/>
        <v>20718.65796</v>
      </c>
      <c r="AD32" s="730">
        <f t="shared" si="26"/>
        <v>21806.0903</v>
      </c>
      <c r="AE32" s="730">
        <f t="shared" si="26"/>
        <v>22935.21429</v>
      </c>
      <c r="AF32" s="730">
        <f t="shared" si="26"/>
        <v>24524.034899999999</v>
      </c>
      <c r="AG32" s="730">
        <f t="shared" si="26"/>
        <v>23037.031200000001</v>
      </c>
      <c r="AH32" s="730">
        <f t="shared" si="26"/>
        <v>22969.057919999999</v>
      </c>
      <c r="AI32" s="730">
        <f t="shared" si="26"/>
        <v>23193.665280000001</v>
      </c>
      <c r="AJ32" s="730">
        <f t="shared" si="26"/>
        <v>23852.71056</v>
      </c>
      <c r="AK32" s="730">
        <f t="shared" ref="AK32" si="37">AK92*AK148/100000</f>
        <v>0</v>
      </c>
      <c r="AL32" s="730"/>
    </row>
    <row r="33" spans="1:38">
      <c r="A33" s="741" t="s">
        <v>234</v>
      </c>
      <c r="B33" s="765"/>
      <c r="C33" s="762">
        <f t="shared" si="34"/>
        <v>11210.23216</v>
      </c>
      <c r="D33" s="742">
        <f t="shared" si="34"/>
        <v>12264.19995</v>
      </c>
      <c r="E33" s="742">
        <f t="shared" si="34"/>
        <v>11468.446</v>
      </c>
      <c r="F33" s="742">
        <f t="shared" si="34"/>
        <v>11629.49725</v>
      </c>
      <c r="G33" s="742">
        <f t="shared" si="34"/>
        <v>12725.850899999999</v>
      </c>
      <c r="H33" s="762">
        <f t="shared" si="34"/>
        <v>11258.779280000001</v>
      </c>
      <c r="I33" s="742">
        <f t="shared" si="34"/>
        <v>11341.474340000001</v>
      </c>
      <c r="J33" s="742">
        <f t="shared" si="34"/>
        <v>11516.052799999999</v>
      </c>
      <c r="K33" s="742">
        <f t="shared" si="34"/>
        <v>11595.685079999999</v>
      </c>
      <c r="L33" s="742">
        <f t="shared" si="34"/>
        <v>13320.13991</v>
      </c>
      <c r="M33" s="762">
        <f t="shared" si="34"/>
        <v>12122.743340000001</v>
      </c>
      <c r="N33" s="742">
        <f t="shared" si="34"/>
        <v>11840.4416</v>
      </c>
      <c r="O33" s="742">
        <f t="shared" si="34"/>
        <v>13883.042359999999</v>
      </c>
      <c r="P33" s="742">
        <f t="shared" si="34"/>
        <v>13948.69644</v>
      </c>
      <c r="Q33" s="742">
        <f t="shared" si="34"/>
        <v>12137.797140000001</v>
      </c>
      <c r="R33" s="762">
        <f t="shared" si="34"/>
        <v>12243.513999999999</v>
      </c>
      <c r="S33" s="742">
        <f t="shared" si="34"/>
        <v>11791.80852</v>
      </c>
      <c r="T33" s="742">
        <f t="shared" si="34"/>
        <v>11810.0648</v>
      </c>
      <c r="U33" s="742">
        <f t="shared" si="34"/>
        <v>11853.015719999999</v>
      </c>
      <c r="V33" s="730">
        <f t="shared" si="34"/>
        <v>11961.3336</v>
      </c>
      <c r="W33" s="730">
        <f t="shared" si="34"/>
        <v>11974.80276</v>
      </c>
      <c r="X33" s="730">
        <f t="shared" si="34"/>
        <v>11834.77332</v>
      </c>
      <c r="Y33" s="730">
        <f t="shared" si="34"/>
        <v>11753.155290000001</v>
      </c>
      <c r="Z33" s="730">
        <f>Z93*Z149/100000</f>
        <v>11803.20729</v>
      </c>
      <c r="AA33" s="730">
        <f t="shared" si="26"/>
        <v>11711.288640000001</v>
      </c>
      <c r="AB33" s="730">
        <f t="shared" si="26"/>
        <v>11622.33576</v>
      </c>
      <c r="AC33" s="730">
        <f t="shared" si="26"/>
        <v>11156.200440000001</v>
      </c>
      <c r="AD33" s="730">
        <f t="shared" si="26"/>
        <v>11355.231470000001</v>
      </c>
      <c r="AE33" s="730">
        <f t="shared" si="26"/>
        <v>11566.71557</v>
      </c>
      <c r="AF33" s="730">
        <f t="shared" si="26"/>
        <v>12069.802900000001</v>
      </c>
      <c r="AG33" s="730">
        <f t="shared" si="26"/>
        <v>11168.30544</v>
      </c>
      <c r="AH33" s="730">
        <f t="shared" si="26"/>
        <v>11233.32336</v>
      </c>
      <c r="AI33" s="730">
        <f t="shared" si="26"/>
        <v>11215.591200000001</v>
      </c>
      <c r="AJ33" s="730">
        <f t="shared" si="26"/>
        <v>11209.680480000001</v>
      </c>
      <c r="AK33" s="730">
        <f t="shared" ref="AK33" si="38">AK93*AK149/100000</f>
        <v>0</v>
      </c>
      <c r="AL33" s="730"/>
    </row>
    <row r="34" spans="1:38">
      <c r="A34" s="766" t="s">
        <v>205</v>
      </c>
      <c r="B34" s="767"/>
      <c r="C34" s="762">
        <f>SUM(C35:C41)</f>
        <v>226496.13019999999</v>
      </c>
      <c r="D34" s="742">
        <f t="shared" ref="D34:AG34" si="39">SUM(D35:D41)</f>
        <v>249274.17810000002</v>
      </c>
      <c r="E34" s="742">
        <f t="shared" si="39"/>
        <v>234686.10859999998</v>
      </c>
      <c r="F34" s="742">
        <f t="shared" si="39"/>
        <v>238689.13374999998</v>
      </c>
      <c r="G34" s="742">
        <f t="shared" si="39"/>
        <v>260970.29546000002</v>
      </c>
      <c r="H34" s="762">
        <f t="shared" si="39"/>
        <v>262544.56438</v>
      </c>
      <c r="I34" s="742">
        <f t="shared" si="39"/>
        <v>265714.54168000002</v>
      </c>
      <c r="J34" s="742">
        <f t="shared" si="39"/>
        <v>269181.60863999999</v>
      </c>
      <c r="K34" s="742">
        <f t="shared" si="39"/>
        <v>272492.47382000001</v>
      </c>
      <c r="L34" s="742">
        <f t="shared" si="39"/>
        <v>312667.64465999999</v>
      </c>
      <c r="M34" s="762">
        <f t="shared" si="39"/>
        <v>282777.87792</v>
      </c>
      <c r="N34" s="742">
        <f t="shared" si="39"/>
        <v>274180.22580000001</v>
      </c>
      <c r="O34" s="742">
        <f t="shared" si="39"/>
        <v>322918.99805999995</v>
      </c>
      <c r="P34" s="742">
        <f t="shared" si="39"/>
        <v>322907.74578000006</v>
      </c>
      <c r="Q34" s="742">
        <f t="shared" si="39"/>
        <v>283074.37871999998</v>
      </c>
      <c r="R34" s="762">
        <f t="shared" si="39"/>
        <v>286406.05560000002</v>
      </c>
      <c r="S34" s="742">
        <f t="shared" si="39"/>
        <v>288655.82916000002</v>
      </c>
      <c r="T34" s="742">
        <f t="shared" si="39"/>
        <v>291822.99124</v>
      </c>
      <c r="U34" s="742">
        <f t="shared" si="39"/>
        <v>295041.47136000003</v>
      </c>
      <c r="V34" s="730">
        <f t="shared" si="39"/>
        <v>297969.41904000001</v>
      </c>
      <c r="W34" s="730">
        <f t="shared" si="39"/>
        <v>294119.43726999999</v>
      </c>
      <c r="X34" s="730">
        <f t="shared" si="39"/>
        <v>292339.83772999997</v>
      </c>
      <c r="Y34" s="730">
        <f t="shared" si="39"/>
        <v>294302.75027999998</v>
      </c>
      <c r="Z34" s="730">
        <f t="shared" si="39"/>
        <v>292138.51087</v>
      </c>
      <c r="AA34" s="730">
        <f t="shared" si="39"/>
        <v>293469.62122000003</v>
      </c>
      <c r="AB34" s="730">
        <f t="shared" si="39"/>
        <v>290151.12506999995</v>
      </c>
      <c r="AC34" s="730">
        <f t="shared" si="39"/>
        <v>279225.03555000003</v>
      </c>
      <c r="AD34" s="730">
        <f t="shared" si="39"/>
        <v>282153.95185000001</v>
      </c>
      <c r="AE34" s="730">
        <f t="shared" si="39"/>
        <v>290046.40782999998</v>
      </c>
      <c r="AF34" s="730">
        <f t="shared" si="39"/>
        <v>302621.41933999996</v>
      </c>
      <c r="AG34" s="730">
        <f t="shared" si="39"/>
        <v>281545.96359</v>
      </c>
      <c r="AH34" s="730">
        <f>SUM(AH35:AH41)</f>
        <v>281681.55651000002</v>
      </c>
      <c r="AI34" s="730">
        <f>SUM(AI35:AI41)</f>
        <v>282679.73817000003</v>
      </c>
      <c r="AJ34" s="730">
        <f>SUM(AJ35:AJ41)</f>
        <v>283030.33404000005</v>
      </c>
      <c r="AK34" s="730">
        <f>SUM(AK35:AK41)</f>
        <v>0</v>
      </c>
      <c r="AL34" s="730"/>
    </row>
    <row r="35" spans="1:38">
      <c r="A35" s="741" t="s">
        <v>206</v>
      </c>
      <c r="B35" s="765"/>
      <c r="C35" s="762">
        <f t="shared" ref="C35:Z41" si="40">C95*C151/100000</f>
        <v>31819.727360000001</v>
      </c>
      <c r="D35" s="742">
        <f t="shared" si="40"/>
        <v>34930.718099999998</v>
      </c>
      <c r="E35" s="742">
        <f t="shared" si="40"/>
        <v>32818.916599999997</v>
      </c>
      <c r="F35" s="742">
        <f t="shared" si="40"/>
        <v>33125.245999999999</v>
      </c>
      <c r="G35" s="742">
        <f t="shared" si="40"/>
        <v>36033.606699999997</v>
      </c>
      <c r="H35" s="762">
        <f t="shared" si="40"/>
        <v>36652.288260000001</v>
      </c>
      <c r="I35" s="742">
        <f t="shared" si="40"/>
        <v>36762.548340000001</v>
      </c>
      <c r="J35" s="742">
        <f t="shared" si="40"/>
        <v>36998.382400000002</v>
      </c>
      <c r="K35" s="742">
        <f t="shared" si="40"/>
        <v>36958.56626</v>
      </c>
      <c r="L35" s="742">
        <f t="shared" si="40"/>
        <v>42011.006520000003</v>
      </c>
      <c r="M35" s="762">
        <f t="shared" si="40"/>
        <v>37701.196080000002</v>
      </c>
      <c r="N35" s="742">
        <f t="shared" si="40"/>
        <v>36537.346299999997</v>
      </c>
      <c r="O35" s="742">
        <f t="shared" si="40"/>
        <v>42549.610419999997</v>
      </c>
      <c r="P35" s="742">
        <f t="shared" si="40"/>
        <v>42201.67194</v>
      </c>
      <c r="Q35" s="742">
        <f t="shared" si="40"/>
        <v>36878.933980000002</v>
      </c>
      <c r="R35" s="762">
        <f t="shared" si="40"/>
        <v>37326.587599999999</v>
      </c>
      <c r="S35" s="742">
        <f t="shared" si="40"/>
        <v>37178.40726</v>
      </c>
      <c r="T35" s="742">
        <f t="shared" si="40"/>
        <v>37365.561040000001</v>
      </c>
      <c r="U35" s="742">
        <f t="shared" si="40"/>
        <v>37779.549319999998</v>
      </c>
      <c r="V35" s="730">
        <f t="shared" si="40"/>
        <v>38005.62096</v>
      </c>
      <c r="W35" s="730">
        <f t="shared" si="40"/>
        <v>38129.053319999999</v>
      </c>
      <c r="X35" s="730">
        <f t="shared" si="40"/>
        <v>37438.491990000002</v>
      </c>
      <c r="Y35" s="730">
        <f t="shared" si="40"/>
        <v>37661.752310000003</v>
      </c>
      <c r="Z35" s="730">
        <f t="shared" si="40"/>
        <v>37623.693639999998</v>
      </c>
      <c r="AA35" s="730">
        <f t="shared" si="26"/>
        <v>37496.50722</v>
      </c>
      <c r="AB35" s="730">
        <f t="shared" si="26"/>
        <v>37189.638359999997</v>
      </c>
      <c r="AC35" s="730">
        <f t="shared" si="26"/>
        <v>35286.282570000003</v>
      </c>
      <c r="AD35" s="730">
        <f t="shared" si="26"/>
        <v>36038.059739999997</v>
      </c>
      <c r="AE35" s="730">
        <f t="shared" si="26"/>
        <v>36703.661639999998</v>
      </c>
      <c r="AF35" s="730">
        <f t="shared" si="26"/>
        <v>37807.49</v>
      </c>
      <c r="AG35" s="730">
        <f t="shared" si="26"/>
        <v>34890.980159999999</v>
      </c>
      <c r="AH35" s="730">
        <f t="shared" si="26"/>
        <v>34660.462079999998</v>
      </c>
      <c r="AI35" s="730">
        <f t="shared" si="26"/>
        <v>34435.854720000003</v>
      </c>
      <c r="AJ35" s="730">
        <f t="shared" si="26"/>
        <v>34223.068800000001</v>
      </c>
      <c r="AK35" s="730">
        <f t="shared" ref="AK35" si="41">AK95*AK151/100000</f>
        <v>0</v>
      </c>
      <c r="AL35" s="730"/>
    </row>
    <row r="36" spans="1:38">
      <c r="A36" s="741" t="s">
        <v>207</v>
      </c>
      <c r="B36" s="765"/>
      <c r="C36" s="762">
        <f t="shared" si="40"/>
        <v>41527.299559999999</v>
      </c>
      <c r="D36" s="742">
        <f t="shared" si="40"/>
        <v>45644.863649999999</v>
      </c>
      <c r="E36" s="742">
        <f t="shared" si="40"/>
        <v>43120.793400000002</v>
      </c>
      <c r="F36" s="742">
        <f t="shared" si="40"/>
        <v>43919.819499999998</v>
      </c>
      <c r="G36" s="742">
        <f t="shared" si="40"/>
        <v>47886.565300000002</v>
      </c>
      <c r="H36" s="762">
        <f t="shared" si="40"/>
        <v>48636.946400000001</v>
      </c>
      <c r="I36" s="742">
        <f t="shared" si="40"/>
        <v>49537.403720000002</v>
      </c>
      <c r="J36" s="742">
        <f t="shared" si="40"/>
        <v>50802.331859999998</v>
      </c>
      <c r="K36" s="742">
        <f t="shared" si="40"/>
        <v>52058.071660000001</v>
      </c>
      <c r="L36" s="742">
        <f t="shared" si="40"/>
        <v>60164.424599999998</v>
      </c>
      <c r="M36" s="762">
        <f t="shared" si="40"/>
        <v>55231.432939999999</v>
      </c>
      <c r="N36" s="742">
        <f t="shared" si="40"/>
        <v>53718.724800000004</v>
      </c>
      <c r="O36" s="742">
        <f t="shared" si="40"/>
        <v>63388.354800000001</v>
      </c>
      <c r="P36" s="742">
        <f t="shared" si="40"/>
        <v>63438.051780000002</v>
      </c>
      <c r="Q36" s="742">
        <f t="shared" si="40"/>
        <v>55610.896460000004</v>
      </c>
      <c r="R36" s="762">
        <f t="shared" si="40"/>
        <v>56378.54</v>
      </c>
      <c r="S36" s="742">
        <f t="shared" si="40"/>
        <v>57199.209179999998</v>
      </c>
      <c r="T36" s="742">
        <f t="shared" si="40"/>
        <v>57816.759639999997</v>
      </c>
      <c r="U36" s="742">
        <f t="shared" si="40"/>
        <v>58508.371160000002</v>
      </c>
      <c r="V36" s="730">
        <f t="shared" si="40"/>
        <v>58963.61952</v>
      </c>
      <c r="W36" s="730">
        <f t="shared" si="40"/>
        <v>59123.429519999998</v>
      </c>
      <c r="X36" s="730">
        <f t="shared" si="40"/>
        <v>58428.760199999997</v>
      </c>
      <c r="Y36" s="730">
        <f t="shared" si="40"/>
        <v>58208.769619999999</v>
      </c>
      <c r="Z36" s="730">
        <f t="shared" si="40"/>
        <v>58019.238360000003</v>
      </c>
      <c r="AA36" s="730">
        <f t="shared" si="26"/>
        <v>57827.576079999999</v>
      </c>
      <c r="AB36" s="730">
        <f t="shared" si="26"/>
        <v>57312.987480000003</v>
      </c>
      <c r="AC36" s="730">
        <f t="shared" si="26"/>
        <v>54681.668579999998</v>
      </c>
      <c r="AD36" s="730">
        <f t="shared" si="26"/>
        <v>55886.65926</v>
      </c>
      <c r="AE36" s="730">
        <f t="shared" si="26"/>
        <v>57144.393109999997</v>
      </c>
      <c r="AF36" s="730">
        <f t="shared" si="26"/>
        <v>59996.356399999997</v>
      </c>
      <c r="AG36" s="730">
        <f t="shared" si="26"/>
        <v>55888.812960000003</v>
      </c>
      <c r="AH36" s="730">
        <f t="shared" si="26"/>
        <v>55814.928959999997</v>
      </c>
      <c r="AI36" s="730">
        <f t="shared" si="26"/>
        <v>55888.812960000003</v>
      </c>
      <c r="AJ36" s="730">
        <f t="shared" si="26"/>
        <v>56077.955999999998</v>
      </c>
      <c r="AK36" s="730">
        <f t="shared" ref="AK36" si="42">AK96*AK152/100000</f>
        <v>0</v>
      </c>
      <c r="AL36" s="730"/>
    </row>
    <row r="37" spans="1:38">
      <c r="A37" s="741" t="s">
        <v>219</v>
      </c>
      <c r="B37" s="765"/>
      <c r="C37" s="762">
        <f t="shared" si="40"/>
        <v>34483.407399999996</v>
      </c>
      <c r="D37" s="742">
        <f t="shared" si="40"/>
        <v>37809.823049999999</v>
      </c>
      <c r="E37" s="742">
        <f t="shared" si="40"/>
        <v>35402.839200000002</v>
      </c>
      <c r="F37" s="742">
        <f t="shared" si="40"/>
        <v>35828.134749999997</v>
      </c>
      <c r="G37" s="742">
        <f t="shared" si="40"/>
        <v>39206.646780000003</v>
      </c>
      <c r="H37" s="762">
        <f t="shared" si="40"/>
        <v>39154.579519999999</v>
      </c>
      <c r="I37" s="742">
        <f t="shared" si="40"/>
        <v>39304.655740000002</v>
      </c>
      <c r="J37" s="742">
        <f t="shared" si="40"/>
        <v>39378.16246</v>
      </c>
      <c r="K37" s="742">
        <f t="shared" si="40"/>
        <v>39525.175900000002</v>
      </c>
      <c r="L37" s="742">
        <f t="shared" si="40"/>
        <v>45126.788139999997</v>
      </c>
      <c r="M37" s="762">
        <f t="shared" si="40"/>
        <v>40931.196580000003</v>
      </c>
      <c r="N37" s="742">
        <f t="shared" si="40"/>
        <v>39509.588300000003</v>
      </c>
      <c r="O37" s="742">
        <f t="shared" si="40"/>
        <v>46179.905460000002</v>
      </c>
      <c r="P37" s="742">
        <f t="shared" si="40"/>
        <v>46187.013780000001</v>
      </c>
      <c r="Q37" s="742">
        <f t="shared" si="40"/>
        <v>40208.175840000004</v>
      </c>
      <c r="R37" s="762">
        <f t="shared" si="40"/>
        <v>40414.349600000001</v>
      </c>
      <c r="S37" s="742">
        <f t="shared" si="40"/>
        <v>40907.651460000001</v>
      </c>
      <c r="T37" s="742">
        <f t="shared" si="40"/>
        <v>41060.07084</v>
      </c>
      <c r="U37" s="742">
        <f t="shared" si="40"/>
        <v>41466.947460000003</v>
      </c>
      <c r="V37" s="730">
        <f t="shared" si="40"/>
        <v>41903.553599999999</v>
      </c>
      <c r="W37" s="730">
        <f t="shared" si="40"/>
        <v>41373.210480000002</v>
      </c>
      <c r="X37" s="730">
        <f t="shared" si="40"/>
        <v>40754.215470000003</v>
      </c>
      <c r="Y37" s="730">
        <f t="shared" si="40"/>
        <v>40574.369030000002</v>
      </c>
      <c r="Z37" s="730">
        <f t="shared" si="40"/>
        <v>40148.294410000002</v>
      </c>
      <c r="AA37" s="730">
        <f>AA97*AA153/100000+AO23</f>
        <v>39581.190719999999</v>
      </c>
      <c r="AB37" s="730">
        <f t="shared" si="26"/>
        <v>38933.906759999998</v>
      </c>
      <c r="AC37" s="730">
        <f t="shared" si="26"/>
        <v>36955.641029999999</v>
      </c>
      <c r="AD37" s="730">
        <f t="shared" si="26"/>
        <v>38052.073810000002</v>
      </c>
      <c r="AE37" s="730">
        <f t="shared" si="26"/>
        <v>38984.680160000004</v>
      </c>
      <c r="AF37" s="730">
        <f t="shared" si="26"/>
        <v>40787.609799999998</v>
      </c>
      <c r="AG37" s="730">
        <f t="shared" si="26"/>
        <v>38070.947520000002</v>
      </c>
      <c r="AH37" s="730">
        <f t="shared" si="26"/>
        <v>38017.751040000003</v>
      </c>
      <c r="AI37" s="730">
        <f t="shared" si="26"/>
        <v>38050.26</v>
      </c>
      <c r="AJ37" s="730">
        <f t="shared" si="26"/>
        <v>37869.983039999999</v>
      </c>
      <c r="AK37" s="730">
        <f t="shared" ref="AK37" si="43">AK97*AK153/100000</f>
        <v>0</v>
      </c>
      <c r="AL37" s="730"/>
    </row>
    <row r="38" spans="1:38">
      <c r="A38" s="741" t="s">
        <v>235</v>
      </c>
      <c r="B38" s="765"/>
      <c r="C38" s="762">
        <f t="shared" si="40"/>
        <v>61403.518920000002</v>
      </c>
      <c r="D38" s="742">
        <f t="shared" si="40"/>
        <v>67799.742750000005</v>
      </c>
      <c r="E38" s="742">
        <f t="shared" si="40"/>
        <v>63989.4202</v>
      </c>
      <c r="F38" s="742">
        <f t="shared" si="40"/>
        <v>65183.48775</v>
      </c>
      <c r="G38" s="742">
        <f t="shared" si="40"/>
        <v>71430.155159999995</v>
      </c>
      <c r="H38" s="762">
        <f t="shared" si="40"/>
        <v>71224.948900000003</v>
      </c>
      <c r="I38" s="742">
        <f t="shared" si="40"/>
        <v>72401.056419999994</v>
      </c>
      <c r="J38" s="742">
        <f t="shared" si="40"/>
        <v>73267.82316</v>
      </c>
      <c r="K38" s="742">
        <f t="shared" si="40"/>
        <v>74401.051760000002</v>
      </c>
      <c r="L38" s="742">
        <f t="shared" si="40"/>
        <v>85593.782609999995</v>
      </c>
      <c r="M38" s="762">
        <f t="shared" si="40"/>
        <v>77482.197360000006</v>
      </c>
      <c r="N38" s="742">
        <f t="shared" si="40"/>
        <v>75140.097500000003</v>
      </c>
      <c r="O38" s="742">
        <f t="shared" si="40"/>
        <v>88658.611680000002</v>
      </c>
      <c r="P38" s="742">
        <f t="shared" si="40"/>
        <v>88807.639500000005</v>
      </c>
      <c r="Q38" s="742">
        <f t="shared" si="40"/>
        <v>78272.405679999996</v>
      </c>
      <c r="R38" s="762">
        <f t="shared" si="40"/>
        <v>79252.558000000005</v>
      </c>
      <c r="S38" s="742">
        <f t="shared" si="40"/>
        <v>80385.245639999994</v>
      </c>
      <c r="T38" s="742">
        <f t="shared" si="40"/>
        <v>81693.495360000001</v>
      </c>
      <c r="U38" s="742">
        <f t="shared" si="40"/>
        <v>82527.629860000001</v>
      </c>
      <c r="V38" s="730">
        <f t="shared" si="40"/>
        <v>83844.437760000001</v>
      </c>
      <c r="W38" s="730">
        <f t="shared" si="40"/>
        <v>80714.822230000005</v>
      </c>
      <c r="X38" s="730">
        <f t="shared" si="40"/>
        <v>81353.646739999996</v>
      </c>
      <c r="Y38" s="730">
        <f t="shared" si="40"/>
        <v>83250.061799999996</v>
      </c>
      <c r="Z38" s="730">
        <f t="shared" si="40"/>
        <v>81876.219679999995</v>
      </c>
      <c r="AA38" s="730">
        <f t="shared" si="26"/>
        <v>84670.810280000005</v>
      </c>
      <c r="AB38" s="730">
        <f t="shared" si="26"/>
        <v>83531.822669999994</v>
      </c>
      <c r="AC38" s="730">
        <f t="shared" si="26"/>
        <v>82711.880250000002</v>
      </c>
      <c r="AD38" s="730">
        <f t="shared" si="26"/>
        <v>80794.193589999995</v>
      </c>
      <c r="AE38" s="730">
        <f t="shared" si="26"/>
        <v>83934.428220000002</v>
      </c>
      <c r="AF38" s="730">
        <f t="shared" si="26"/>
        <v>87287.112640000007</v>
      </c>
      <c r="AG38" s="730">
        <f t="shared" si="26"/>
        <v>81113.448390000005</v>
      </c>
      <c r="AH38" s="730">
        <f t="shared" si="26"/>
        <v>81405.675390000004</v>
      </c>
      <c r="AI38" s="730">
        <f t="shared" si="26"/>
        <v>82253.133690000002</v>
      </c>
      <c r="AJ38" s="730">
        <f t="shared" si="26"/>
        <v>82349.568599999999</v>
      </c>
      <c r="AK38" s="730">
        <f t="shared" ref="AK38" si="44">AK98*AK154/100000</f>
        <v>0</v>
      </c>
      <c r="AL38" s="730"/>
    </row>
    <row r="39" spans="1:38">
      <c r="A39" s="741" t="s">
        <v>208</v>
      </c>
      <c r="B39" s="765"/>
      <c r="C39" s="762">
        <f t="shared" si="40"/>
        <v>24573.07332</v>
      </c>
      <c r="D39" s="742">
        <f t="shared" si="40"/>
        <v>27268.242149999998</v>
      </c>
      <c r="E39" s="742">
        <f t="shared" si="40"/>
        <v>25720.878400000001</v>
      </c>
      <c r="F39" s="742">
        <f t="shared" si="40"/>
        <v>26462.837500000001</v>
      </c>
      <c r="G39" s="742">
        <f t="shared" si="40"/>
        <v>29123.975020000002</v>
      </c>
      <c r="H39" s="762">
        <f t="shared" si="40"/>
        <v>29702.84044</v>
      </c>
      <c r="I39" s="742">
        <f t="shared" si="40"/>
        <v>30159.194660000001</v>
      </c>
      <c r="J39" s="742">
        <f t="shared" si="40"/>
        <v>30866.696840000001</v>
      </c>
      <c r="K39" s="742">
        <f t="shared" si="40"/>
        <v>31467.00172</v>
      </c>
      <c r="L39" s="742">
        <f t="shared" si="40"/>
        <v>36313.775540000002</v>
      </c>
      <c r="M39" s="762">
        <f t="shared" si="40"/>
        <v>32268.4928</v>
      </c>
      <c r="N39" s="742">
        <f t="shared" si="40"/>
        <v>31563.390299999999</v>
      </c>
      <c r="O39" s="742">
        <f t="shared" si="40"/>
        <v>37763.57692</v>
      </c>
      <c r="P39" s="742">
        <f t="shared" si="40"/>
        <v>38082.546540000003</v>
      </c>
      <c r="Q39" s="742">
        <f t="shared" si="40"/>
        <v>33617.073279999997</v>
      </c>
      <c r="R39" s="762">
        <f t="shared" si="40"/>
        <v>34226.536</v>
      </c>
      <c r="S39" s="742">
        <f t="shared" si="40"/>
        <v>34222.750079999998</v>
      </c>
      <c r="T39" s="742">
        <f t="shared" si="40"/>
        <v>34975.723319999997</v>
      </c>
      <c r="U39" s="742">
        <f t="shared" si="40"/>
        <v>35621.072359999998</v>
      </c>
      <c r="V39" s="730">
        <f t="shared" si="40"/>
        <v>36201.310559999998</v>
      </c>
      <c r="W39" s="730">
        <f t="shared" si="40"/>
        <v>36555.652800000003</v>
      </c>
      <c r="X39" s="730">
        <f t="shared" si="40"/>
        <v>36646.816440000002</v>
      </c>
      <c r="Y39" s="730">
        <f t="shared" si="40"/>
        <v>37073.627780000003</v>
      </c>
      <c r="Z39" s="730">
        <f t="shared" si="40"/>
        <v>37226.216520000002</v>
      </c>
      <c r="AA39" s="730">
        <f t="shared" ref="AA39:AJ54" si="45">AA99*AA155/100000</f>
        <v>37147.515760000002</v>
      </c>
      <c r="AB39" s="730">
        <f t="shared" si="45"/>
        <v>37002.971039999997</v>
      </c>
      <c r="AC39" s="730">
        <f t="shared" si="45"/>
        <v>35568.386700000003</v>
      </c>
      <c r="AD39" s="730">
        <f t="shared" si="45"/>
        <v>36918.633099999999</v>
      </c>
      <c r="AE39" s="730">
        <f t="shared" si="45"/>
        <v>38191.812760000001</v>
      </c>
      <c r="AF39" s="730">
        <f t="shared" si="45"/>
        <v>40193.492100000003</v>
      </c>
      <c r="AG39" s="730">
        <f t="shared" si="45"/>
        <v>37701.527520000003</v>
      </c>
      <c r="AH39" s="730">
        <f t="shared" si="45"/>
        <v>38050.26</v>
      </c>
      <c r="AI39" s="730">
        <f t="shared" si="45"/>
        <v>38384.215680000001</v>
      </c>
      <c r="AJ39" s="730">
        <f t="shared" si="45"/>
        <v>38789.1</v>
      </c>
      <c r="AK39" s="730">
        <f t="shared" ref="AK39" si="46">AK99*AK155/100000</f>
        <v>0</v>
      </c>
      <c r="AL39" s="730"/>
    </row>
    <row r="40" spans="1:38">
      <c r="A40" s="741" t="s">
        <v>209</v>
      </c>
      <c r="B40" s="765"/>
      <c r="C40" s="762">
        <f t="shared" si="40"/>
        <v>14484.975399999999</v>
      </c>
      <c r="D40" s="742">
        <f t="shared" si="40"/>
        <v>16030.347750000001</v>
      </c>
      <c r="E40" s="742">
        <f t="shared" si="40"/>
        <v>15137.221600000001</v>
      </c>
      <c r="F40" s="742">
        <f t="shared" si="40"/>
        <v>15489.95825</v>
      </c>
      <c r="G40" s="742">
        <f t="shared" si="40"/>
        <v>17059.684600000001</v>
      </c>
      <c r="H40" s="762">
        <f t="shared" si="40"/>
        <v>17004.55456</v>
      </c>
      <c r="I40" s="742">
        <f t="shared" si="40"/>
        <v>17316.958119999999</v>
      </c>
      <c r="J40" s="742">
        <f t="shared" si="40"/>
        <v>17629.361680000002</v>
      </c>
      <c r="K40" s="742">
        <f t="shared" si="40"/>
        <v>17816.19126</v>
      </c>
      <c r="L40" s="742">
        <f t="shared" si="40"/>
        <v>20308.095570000001</v>
      </c>
      <c r="M40" s="762">
        <f t="shared" si="40"/>
        <v>18330.64674</v>
      </c>
      <c r="N40" s="742">
        <f t="shared" si="40"/>
        <v>17663.6096</v>
      </c>
      <c r="O40" s="742">
        <f t="shared" si="40"/>
        <v>20874.196479999999</v>
      </c>
      <c r="P40" s="742">
        <f t="shared" si="40"/>
        <v>20792.781719999999</v>
      </c>
      <c r="Q40" s="742">
        <f t="shared" si="40"/>
        <v>18171.473740000001</v>
      </c>
      <c r="R40" s="762">
        <f t="shared" si="40"/>
        <v>18437.472399999999</v>
      </c>
      <c r="S40" s="742">
        <f t="shared" si="40"/>
        <v>18254.804459999999</v>
      </c>
      <c r="T40" s="742">
        <f t="shared" si="40"/>
        <v>18407.62456</v>
      </c>
      <c r="U40" s="742">
        <f t="shared" si="40"/>
        <v>18681.990239999999</v>
      </c>
      <c r="V40" s="730">
        <f t="shared" si="40"/>
        <v>18739.94112</v>
      </c>
      <c r="W40" s="730">
        <f t="shared" si="40"/>
        <v>18434.8524</v>
      </c>
      <c r="X40" s="730">
        <f t="shared" si="40"/>
        <v>18196.119210000001</v>
      </c>
      <c r="Y40" s="730">
        <f t="shared" si="40"/>
        <v>18085.607240000001</v>
      </c>
      <c r="Z40" s="730">
        <f t="shared" si="40"/>
        <v>17982.734390000001</v>
      </c>
      <c r="AA40" s="730">
        <f t="shared" si="45"/>
        <v>17746.061320000001</v>
      </c>
      <c r="AB40" s="730">
        <f t="shared" si="45"/>
        <v>17488.585800000001</v>
      </c>
      <c r="AC40" s="730">
        <f t="shared" si="45"/>
        <v>16455.10482</v>
      </c>
      <c r="AD40" s="730">
        <f t="shared" si="45"/>
        <v>16647.59636</v>
      </c>
      <c r="AE40" s="730">
        <f t="shared" si="45"/>
        <v>16949.065419999999</v>
      </c>
      <c r="AF40" s="730">
        <f t="shared" si="45"/>
        <v>17690.092799999999</v>
      </c>
      <c r="AG40" s="730">
        <f t="shared" si="45"/>
        <v>16363.828320000001</v>
      </c>
      <c r="AH40" s="730">
        <f t="shared" si="45"/>
        <v>16301.76576</v>
      </c>
      <c r="AI40" s="730">
        <f t="shared" si="45"/>
        <v>16260.390719999999</v>
      </c>
      <c r="AJ40" s="730">
        <f t="shared" si="45"/>
        <v>16346.096159999999</v>
      </c>
      <c r="AK40" s="730">
        <f t="shared" ref="AK40" si="47">AK100*AK156/100000</f>
        <v>0</v>
      </c>
      <c r="AL40" s="730"/>
    </row>
    <row r="41" spans="1:38">
      <c r="A41" s="741" t="s">
        <v>236</v>
      </c>
      <c r="B41" s="765"/>
      <c r="C41" s="762">
        <f t="shared" si="40"/>
        <v>18204.128239999998</v>
      </c>
      <c r="D41" s="742">
        <f t="shared" si="40"/>
        <v>19790.44065</v>
      </c>
      <c r="E41" s="742">
        <f t="shared" si="40"/>
        <v>18496.039199999999</v>
      </c>
      <c r="F41" s="742">
        <f t="shared" si="40"/>
        <v>18679.650000000001</v>
      </c>
      <c r="G41" s="742">
        <f t="shared" si="40"/>
        <v>20229.661899999999</v>
      </c>
      <c r="H41" s="762">
        <f t="shared" si="40"/>
        <v>20168.406299999999</v>
      </c>
      <c r="I41" s="742">
        <f t="shared" si="40"/>
        <v>20232.724679999999</v>
      </c>
      <c r="J41" s="742">
        <f t="shared" si="40"/>
        <v>20238.85024</v>
      </c>
      <c r="K41" s="742">
        <f t="shared" si="40"/>
        <v>20266.415260000002</v>
      </c>
      <c r="L41" s="742">
        <f t="shared" si="40"/>
        <v>23149.771680000002</v>
      </c>
      <c r="M41" s="762">
        <f t="shared" si="40"/>
        <v>20832.71542</v>
      </c>
      <c r="N41" s="742">
        <f t="shared" si="40"/>
        <v>20047.469000000001</v>
      </c>
      <c r="O41" s="742">
        <f t="shared" si="40"/>
        <v>23504.742300000002</v>
      </c>
      <c r="P41" s="742">
        <f t="shared" si="40"/>
        <v>23398.040519999999</v>
      </c>
      <c r="Q41" s="742">
        <f t="shared" si="40"/>
        <v>20315.419740000001</v>
      </c>
      <c r="R41" s="762">
        <f t="shared" si="40"/>
        <v>20370.011999999999</v>
      </c>
      <c r="S41" s="742">
        <f t="shared" si="40"/>
        <v>20507.76108</v>
      </c>
      <c r="T41" s="742">
        <f t="shared" si="40"/>
        <v>20503.75648</v>
      </c>
      <c r="U41" s="742">
        <f t="shared" si="40"/>
        <v>20455.910960000001</v>
      </c>
      <c r="V41" s="730">
        <f t="shared" si="40"/>
        <v>20310.935519999999</v>
      </c>
      <c r="W41" s="730">
        <f t="shared" si="40"/>
        <v>19788.416519999999</v>
      </c>
      <c r="X41" s="730">
        <f t="shared" si="40"/>
        <v>19521.787680000001</v>
      </c>
      <c r="Y41" s="730">
        <f t="shared" si="40"/>
        <v>19448.5625</v>
      </c>
      <c r="Z41" s="730">
        <f t="shared" si="40"/>
        <v>19262.113870000001</v>
      </c>
      <c r="AA41" s="730">
        <f t="shared" si="45"/>
        <v>18999.95984</v>
      </c>
      <c r="AB41" s="730">
        <f t="shared" si="45"/>
        <v>18691.212960000001</v>
      </c>
      <c r="AC41" s="730">
        <f t="shared" si="45"/>
        <v>17566.071599999999</v>
      </c>
      <c r="AD41" s="730">
        <f t="shared" si="45"/>
        <v>17816.735990000001</v>
      </c>
      <c r="AE41" s="730">
        <f t="shared" si="45"/>
        <v>18138.36652</v>
      </c>
      <c r="AF41" s="730">
        <f t="shared" si="45"/>
        <v>18859.265599999999</v>
      </c>
      <c r="AG41" s="730">
        <f t="shared" si="45"/>
        <v>17516.418720000001</v>
      </c>
      <c r="AH41" s="730">
        <f t="shared" si="45"/>
        <v>17430.71328</v>
      </c>
      <c r="AI41" s="730">
        <f t="shared" si="45"/>
        <v>17407.070400000001</v>
      </c>
      <c r="AJ41" s="730">
        <f t="shared" si="45"/>
        <v>17374.561440000001</v>
      </c>
      <c r="AK41" s="730">
        <f t="shared" ref="AK41" si="48">AK101*AK157/100000</f>
        <v>0</v>
      </c>
      <c r="AL41" s="730"/>
    </row>
    <row r="42" spans="1:38">
      <c r="A42" s="770" t="s">
        <v>210</v>
      </c>
      <c r="B42" s="771"/>
      <c r="C42" s="762">
        <f>SUM(C43:C47)</f>
        <v>158612.91534000001</v>
      </c>
      <c r="D42" s="742">
        <f t="shared" ref="D42:AG42" si="49">SUM(D43:D47)</f>
        <v>174088.98414000002</v>
      </c>
      <c r="E42" s="742">
        <f t="shared" si="49"/>
        <v>194233.50736999998</v>
      </c>
      <c r="F42" s="742">
        <f t="shared" si="49"/>
        <v>197149.51475999999</v>
      </c>
      <c r="G42" s="742">
        <f t="shared" si="49"/>
        <v>215588.92410999999</v>
      </c>
      <c r="H42" s="762">
        <f t="shared" si="49"/>
        <v>218083.46510999996</v>
      </c>
      <c r="I42" s="742">
        <f t="shared" si="49"/>
        <v>220627.89692999999</v>
      </c>
      <c r="J42" s="742">
        <f t="shared" si="49"/>
        <v>222673.42054999998</v>
      </c>
      <c r="K42" s="742">
        <f t="shared" si="49"/>
        <v>224366.14480000004</v>
      </c>
      <c r="L42" s="742">
        <f t="shared" si="49"/>
        <v>221899.54639999999</v>
      </c>
      <c r="M42" s="762">
        <f t="shared" si="49"/>
        <v>199388.89538999999</v>
      </c>
      <c r="N42" s="742">
        <f t="shared" si="49"/>
        <v>193110.03518999997</v>
      </c>
      <c r="O42" s="742">
        <f t="shared" si="49"/>
        <v>261270.20804999999</v>
      </c>
      <c r="P42" s="742">
        <f t="shared" si="49"/>
        <v>259290.7623</v>
      </c>
      <c r="Q42" s="742">
        <f t="shared" si="49"/>
        <v>226661.12252</v>
      </c>
      <c r="R42" s="762">
        <f t="shared" si="49"/>
        <v>225289.56472000002</v>
      </c>
      <c r="S42" s="742">
        <f t="shared" si="49"/>
        <v>220021.12647000002</v>
      </c>
      <c r="T42" s="742">
        <f t="shared" si="49"/>
        <v>218316.82137999995</v>
      </c>
      <c r="U42" s="742">
        <f t="shared" si="49"/>
        <v>215625.36473999999</v>
      </c>
      <c r="V42" s="730">
        <f t="shared" si="49"/>
        <v>213567.92835999999</v>
      </c>
      <c r="W42" s="730">
        <f t="shared" si="49"/>
        <v>206559.46509000001</v>
      </c>
      <c r="X42" s="730">
        <f t="shared" si="49"/>
        <v>205553.50221999999</v>
      </c>
      <c r="Y42" s="730">
        <f t="shared" si="49"/>
        <v>207295.31850000002</v>
      </c>
      <c r="Z42" s="730">
        <f t="shared" si="49"/>
        <v>204603.00143999999</v>
      </c>
      <c r="AA42" s="730">
        <f t="shared" si="49"/>
        <v>206563.28128999998</v>
      </c>
      <c r="AB42" s="730">
        <f t="shared" si="49"/>
        <v>204221.6501</v>
      </c>
      <c r="AC42" s="730">
        <f t="shared" si="49"/>
        <v>197329.291</v>
      </c>
      <c r="AD42" s="730">
        <f t="shared" si="49"/>
        <v>196526.42771000002</v>
      </c>
      <c r="AE42" s="730">
        <f t="shared" si="49"/>
        <v>201576.00695000001</v>
      </c>
      <c r="AF42" s="730">
        <f t="shared" si="49"/>
        <v>208580.31539999996</v>
      </c>
      <c r="AG42" s="730">
        <f t="shared" si="49"/>
        <v>192609.12099999998</v>
      </c>
      <c r="AH42" s="730">
        <f>SUM(AH43:AH47)</f>
        <v>192861.88927999997</v>
      </c>
      <c r="AI42" s="730">
        <f>SUM(AI43:AI47)</f>
        <v>193121.26708000002</v>
      </c>
      <c r="AJ42" s="730">
        <f>SUM(AJ43:AJ47)</f>
        <v>192753.72063</v>
      </c>
      <c r="AK42" s="730">
        <f>SUM(AK43:AK47)</f>
        <v>0</v>
      </c>
      <c r="AL42" s="730"/>
    </row>
    <row r="43" spans="1:38">
      <c r="A43" s="741" t="s">
        <v>221</v>
      </c>
      <c r="B43" s="765"/>
      <c r="C43" s="762">
        <f t="shared" ref="C43:Y47" si="50">C103*C159/100000</f>
        <v>71697.680009999996</v>
      </c>
      <c r="D43" s="742">
        <f t="shared" si="50"/>
        <v>79111.742190000004</v>
      </c>
      <c r="E43" s="742">
        <f t="shared" si="50"/>
        <v>88298.985879999993</v>
      </c>
      <c r="F43" s="742">
        <f t="shared" si="50"/>
        <v>89844.828810000006</v>
      </c>
      <c r="G43" s="742">
        <f t="shared" si="50"/>
        <v>98684.041960000002</v>
      </c>
      <c r="H43" s="762">
        <f t="shared" si="50"/>
        <v>100248.47553</v>
      </c>
      <c r="I43" s="742">
        <f t="shared" si="50"/>
        <v>101713.12746</v>
      </c>
      <c r="J43" s="742">
        <f t="shared" si="50"/>
        <v>102800.03461</v>
      </c>
      <c r="K43" s="742">
        <f t="shared" si="50"/>
        <v>103865.55998000001</v>
      </c>
      <c r="L43" s="742">
        <f t="shared" si="50"/>
        <v>103084.40211</v>
      </c>
      <c r="M43" s="762">
        <f t="shared" si="50"/>
        <v>92934.773369999995</v>
      </c>
      <c r="N43" s="742">
        <f t="shared" si="50"/>
        <v>90266.780310000002</v>
      </c>
      <c r="O43" s="742">
        <f t="shared" si="50"/>
        <v>122197.51880000001</v>
      </c>
      <c r="P43" s="742">
        <f t="shared" si="50"/>
        <v>121669.7877</v>
      </c>
      <c r="Q43" s="742">
        <f t="shared" si="50"/>
        <v>106705.77309</v>
      </c>
      <c r="R43" s="762">
        <f t="shared" si="50"/>
        <v>105989.20406</v>
      </c>
      <c r="S43" s="742">
        <f t="shared" si="50"/>
        <v>103826.08971</v>
      </c>
      <c r="T43" s="742">
        <f t="shared" si="50"/>
        <v>103179.50566</v>
      </c>
      <c r="U43" s="742">
        <f t="shared" si="50"/>
        <v>102171.9231</v>
      </c>
      <c r="V43" s="730">
        <f t="shared" si="50"/>
        <v>101791.6152</v>
      </c>
      <c r="W43" s="730">
        <f t="shared" si="50"/>
        <v>96527.687009999994</v>
      </c>
      <c r="X43" s="730">
        <f t="shared" si="50"/>
        <v>97298.423039999994</v>
      </c>
      <c r="Y43" s="730">
        <f t="shared" si="50"/>
        <v>99283.801879999999</v>
      </c>
      <c r="Z43" s="730">
        <f>Z103*Z159/100000</f>
        <v>97244.992599999998</v>
      </c>
      <c r="AA43" s="730">
        <f t="shared" si="45"/>
        <v>100544.04269</v>
      </c>
      <c r="AB43" s="730">
        <f t="shared" si="45"/>
        <v>99566.340899999996</v>
      </c>
      <c r="AC43" s="730">
        <f t="shared" si="45"/>
        <v>98161.245519999997</v>
      </c>
      <c r="AD43" s="730">
        <f t="shared" si="45"/>
        <v>95795.043120000002</v>
      </c>
      <c r="AE43" s="730">
        <f t="shared" si="45"/>
        <v>99239.585900000005</v>
      </c>
      <c r="AF43" s="730">
        <f t="shared" si="45"/>
        <v>102916.96896</v>
      </c>
      <c r="AG43" s="730">
        <f t="shared" si="45"/>
        <v>95052.815400000007</v>
      </c>
      <c r="AH43" s="730">
        <f t="shared" si="45"/>
        <v>95796.104479999995</v>
      </c>
      <c r="AI43" s="730">
        <f t="shared" si="45"/>
        <v>96237.038679999998</v>
      </c>
      <c r="AJ43" s="730">
        <f t="shared" si="45"/>
        <v>96347.272230000002</v>
      </c>
      <c r="AK43" s="730">
        <f t="shared" ref="AK43" si="51">AK103*AK159/100000</f>
        <v>0</v>
      </c>
      <c r="AL43" s="730"/>
    </row>
    <row r="44" spans="1:38">
      <c r="A44" s="741" t="s">
        <v>218</v>
      </c>
      <c r="B44" s="765"/>
      <c r="C44" s="762">
        <f t="shared" si="50"/>
        <v>24418.048050000001</v>
      </c>
      <c r="D44" s="742">
        <f t="shared" si="50"/>
        <v>26679.930390000001</v>
      </c>
      <c r="E44" s="742">
        <f t="shared" si="50"/>
        <v>29638.453600000001</v>
      </c>
      <c r="F44" s="742">
        <f t="shared" si="50"/>
        <v>30151.34892</v>
      </c>
      <c r="G44" s="742">
        <f t="shared" si="50"/>
        <v>32956.450239999998</v>
      </c>
      <c r="H44" s="762">
        <f t="shared" si="50"/>
        <v>32970.704760000001</v>
      </c>
      <c r="I44" s="742">
        <f t="shared" si="50"/>
        <v>33409.03125</v>
      </c>
      <c r="J44" s="742">
        <f t="shared" si="50"/>
        <v>33711.9398</v>
      </c>
      <c r="K44" s="742">
        <f t="shared" si="50"/>
        <v>33768.957880000002</v>
      </c>
      <c r="L44" s="742">
        <f t="shared" si="50"/>
        <v>33327.01152</v>
      </c>
      <c r="M44" s="762">
        <f t="shared" si="50"/>
        <v>29611.991460000001</v>
      </c>
      <c r="N44" s="742">
        <f t="shared" si="50"/>
        <v>28539.984090000002</v>
      </c>
      <c r="O44" s="742">
        <f t="shared" si="50"/>
        <v>38568.282500000001</v>
      </c>
      <c r="P44" s="742">
        <f t="shared" si="50"/>
        <v>38177.982000000004</v>
      </c>
      <c r="Q44" s="742">
        <f t="shared" si="50"/>
        <v>33280.740570000002</v>
      </c>
      <c r="R44" s="762">
        <f t="shared" si="50"/>
        <v>33052.517419999996</v>
      </c>
      <c r="S44" s="742">
        <f t="shared" si="50"/>
        <v>32173.17957</v>
      </c>
      <c r="T44" s="742">
        <f t="shared" si="50"/>
        <v>31772.922159999998</v>
      </c>
      <c r="U44" s="742">
        <f t="shared" si="50"/>
        <v>31308.505560000001</v>
      </c>
      <c r="V44" s="730">
        <f t="shared" si="50"/>
        <v>30882.82502</v>
      </c>
      <c r="W44" s="730">
        <f t="shared" si="50"/>
        <v>30672.69512</v>
      </c>
      <c r="X44" s="730">
        <f t="shared" si="50"/>
        <v>29990.735779999999</v>
      </c>
      <c r="Y44" s="730">
        <f t="shared" si="50"/>
        <v>29801.60022</v>
      </c>
      <c r="Z44" s="730">
        <f>Z104*Z160/100000</f>
        <v>29535.333500000001</v>
      </c>
      <c r="AA44" s="730">
        <f t="shared" si="45"/>
        <v>29185.164799999999</v>
      </c>
      <c r="AB44" s="730">
        <f t="shared" si="45"/>
        <v>28736.345300000001</v>
      </c>
      <c r="AC44" s="730">
        <f t="shared" si="45"/>
        <v>27200.84388</v>
      </c>
      <c r="AD44" s="730">
        <f t="shared" si="45"/>
        <v>27612.397239999998</v>
      </c>
      <c r="AE44" s="730">
        <f t="shared" si="45"/>
        <v>27913.51845</v>
      </c>
      <c r="AF44" s="730">
        <f t="shared" si="45"/>
        <v>28872.68576</v>
      </c>
      <c r="AG44" s="730">
        <f t="shared" si="45"/>
        <v>26717.457600000002</v>
      </c>
      <c r="AH44" s="730">
        <f t="shared" si="45"/>
        <v>26580.493999999999</v>
      </c>
      <c r="AI44" s="730">
        <f t="shared" si="45"/>
        <v>26421.234</v>
      </c>
      <c r="AJ44" s="730">
        <f t="shared" si="45"/>
        <v>26169.603200000001</v>
      </c>
      <c r="AK44" s="730">
        <f t="shared" ref="AK44" si="52">AK104*AK160/100000</f>
        <v>0</v>
      </c>
      <c r="AL44" s="730"/>
    </row>
    <row r="45" spans="1:38">
      <c r="A45" s="741" t="s">
        <v>222</v>
      </c>
      <c r="B45" s="765"/>
      <c r="C45" s="762">
        <f t="shared" si="50"/>
        <v>29025.07344</v>
      </c>
      <c r="D45" s="742">
        <f t="shared" si="50"/>
        <v>31828.533329999998</v>
      </c>
      <c r="E45" s="742">
        <f t="shared" si="50"/>
        <v>35798.924209999997</v>
      </c>
      <c r="F45" s="742">
        <f t="shared" si="50"/>
        <v>36302.803679999997</v>
      </c>
      <c r="G45" s="742">
        <f t="shared" si="50"/>
        <v>39606.183819999998</v>
      </c>
      <c r="H45" s="762">
        <f t="shared" si="50"/>
        <v>40664.58193</v>
      </c>
      <c r="I45" s="742">
        <f t="shared" si="50"/>
        <v>40974.617740000002</v>
      </c>
      <c r="J45" s="742">
        <f t="shared" si="50"/>
        <v>41541.234909999999</v>
      </c>
      <c r="K45" s="742">
        <f t="shared" si="50"/>
        <v>41990.252289999997</v>
      </c>
      <c r="L45" s="742">
        <f t="shared" si="50"/>
        <v>41525.512459999998</v>
      </c>
      <c r="M45" s="762">
        <f t="shared" si="50"/>
        <v>37214.037450000003</v>
      </c>
      <c r="N45" s="742">
        <f t="shared" si="50"/>
        <v>36126.329339999997</v>
      </c>
      <c r="O45" s="742">
        <f t="shared" si="50"/>
        <v>49025.030749999998</v>
      </c>
      <c r="P45" s="742">
        <f t="shared" si="50"/>
        <v>48627.770850000001</v>
      </c>
      <c r="Q45" s="742">
        <f t="shared" si="50"/>
        <v>42542.614939999999</v>
      </c>
      <c r="R45" s="762">
        <f t="shared" si="50"/>
        <v>42490.05702</v>
      </c>
      <c r="S45" s="742">
        <f t="shared" si="50"/>
        <v>41616.02691</v>
      </c>
      <c r="T45" s="742">
        <f t="shared" si="50"/>
        <v>41376.291319999997</v>
      </c>
      <c r="U45" s="742">
        <f t="shared" si="50"/>
        <v>40787.289720000001</v>
      </c>
      <c r="V45" s="730">
        <f t="shared" si="50"/>
        <v>40190.253340000003</v>
      </c>
      <c r="W45" s="730">
        <f t="shared" si="50"/>
        <v>39449.377800000002</v>
      </c>
      <c r="X45" s="730">
        <f t="shared" si="50"/>
        <v>38991.637179999998</v>
      </c>
      <c r="Y45" s="730">
        <f t="shared" si="50"/>
        <v>38860.132989999998</v>
      </c>
      <c r="Z45" s="730">
        <f>Z105*Z161/100000</f>
        <v>38728.938159999998</v>
      </c>
      <c r="AA45" s="730">
        <f t="shared" si="45"/>
        <v>38385.415200000003</v>
      </c>
      <c r="AB45" s="730">
        <f t="shared" si="45"/>
        <v>37928.15</v>
      </c>
      <c r="AC45" s="730">
        <f t="shared" si="45"/>
        <v>36253.164360000002</v>
      </c>
      <c r="AD45" s="730">
        <f t="shared" si="45"/>
        <v>36949.055480000003</v>
      </c>
      <c r="AE45" s="730">
        <f t="shared" si="45"/>
        <v>37835.914799999999</v>
      </c>
      <c r="AF45" s="730">
        <f t="shared" si="45"/>
        <v>39179.467559999997</v>
      </c>
      <c r="AG45" s="730">
        <f t="shared" si="45"/>
        <v>36308.094799999999</v>
      </c>
      <c r="AH45" s="730">
        <f t="shared" si="45"/>
        <v>36171.131200000003</v>
      </c>
      <c r="AI45" s="730">
        <f t="shared" si="45"/>
        <v>36314.465199999999</v>
      </c>
      <c r="AJ45" s="730">
        <f t="shared" si="45"/>
        <v>36209.353600000002</v>
      </c>
      <c r="AK45" s="730">
        <f t="shared" ref="AK45" si="53">AK105*AK161/100000</f>
        <v>0</v>
      </c>
      <c r="AL45" s="730"/>
    </row>
    <row r="46" spans="1:38">
      <c r="A46" s="741" t="s">
        <v>220</v>
      </c>
      <c r="B46" s="765"/>
      <c r="C46" s="762">
        <f t="shared" si="50"/>
        <v>18528.431130000001</v>
      </c>
      <c r="D46" s="742">
        <f t="shared" si="50"/>
        <v>20171.76525</v>
      </c>
      <c r="E46" s="742">
        <f t="shared" si="50"/>
        <v>22363.26239</v>
      </c>
      <c r="F46" s="742">
        <f t="shared" si="50"/>
        <v>22521.30573</v>
      </c>
      <c r="G46" s="742">
        <f t="shared" si="50"/>
        <v>24400.174609999998</v>
      </c>
      <c r="H46" s="762">
        <f t="shared" si="50"/>
        <v>24289.702079999999</v>
      </c>
      <c r="I46" s="742">
        <f t="shared" si="50"/>
        <v>24496.392619999999</v>
      </c>
      <c r="J46" s="742">
        <f t="shared" si="50"/>
        <v>24539.156180000002</v>
      </c>
      <c r="K46" s="742">
        <f t="shared" si="50"/>
        <v>24603.301520000001</v>
      </c>
      <c r="L46" s="742">
        <f t="shared" si="50"/>
        <v>24167.693960000001</v>
      </c>
      <c r="M46" s="762">
        <f t="shared" si="50"/>
        <v>21904.84806</v>
      </c>
      <c r="N46" s="742">
        <f t="shared" si="50"/>
        <v>21100.767960000001</v>
      </c>
      <c r="O46" s="742">
        <f t="shared" si="50"/>
        <v>28379.655999999999</v>
      </c>
      <c r="P46" s="742">
        <f t="shared" si="50"/>
        <v>28023.130349999999</v>
      </c>
      <c r="Q46" s="742">
        <f t="shared" si="50"/>
        <v>24232.684000000001</v>
      </c>
      <c r="R46" s="762">
        <f t="shared" si="50"/>
        <v>23886.131010000001</v>
      </c>
      <c r="S46" s="742">
        <f t="shared" si="50"/>
        <v>23050.428749999999</v>
      </c>
      <c r="T46" s="742">
        <f t="shared" si="50"/>
        <v>22881.040980000002</v>
      </c>
      <c r="U46" s="742">
        <f t="shared" si="50"/>
        <v>22498.532459999999</v>
      </c>
      <c r="V46" s="730">
        <f t="shared" si="50"/>
        <v>22158.787380000002</v>
      </c>
      <c r="W46" s="730">
        <f t="shared" si="50"/>
        <v>21828.31724</v>
      </c>
      <c r="X46" s="730">
        <f t="shared" si="50"/>
        <v>21411.43794</v>
      </c>
      <c r="Y46" s="730">
        <f t="shared" si="50"/>
        <v>21346.746050000002</v>
      </c>
      <c r="Z46" s="730">
        <f>Z106*Z162/100000</f>
        <v>21178.423839999999</v>
      </c>
      <c r="AA46" s="730">
        <f t="shared" si="45"/>
        <v>20780.449799999999</v>
      </c>
      <c r="AB46" s="730">
        <f t="shared" si="45"/>
        <v>20540.566800000001</v>
      </c>
      <c r="AC46" s="730">
        <f t="shared" si="45"/>
        <v>19367.82834</v>
      </c>
      <c r="AD46" s="730">
        <f t="shared" si="45"/>
        <v>19644.816289999999</v>
      </c>
      <c r="AE46" s="730">
        <f t="shared" si="45"/>
        <v>19943.392199999998</v>
      </c>
      <c r="AF46" s="730">
        <f t="shared" si="45"/>
        <v>20435.506239999999</v>
      </c>
      <c r="AG46" s="730">
        <f t="shared" si="45"/>
        <v>18830.902399999999</v>
      </c>
      <c r="AH46" s="730">
        <f t="shared" si="45"/>
        <v>18703.4944</v>
      </c>
      <c r="AI46" s="730">
        <f t="shared" si="45"/>
        <v>18553.79</v>
      </c>
      <c r="AJ46" s="730">
        <f t="shared" si="45"/>
        <v>18490.085999999999</v>
      </c>
      <c r="AK46" s="730">
        <f t="shared" ref="AK46" si="54">AK106*AK162/100000</f>
        <v>0</v>
      </c>
      <c r="AL46" s="730"/>
    </row>
    <row r="47" spans="1:38">
      <c r="A47" s="741" t="s">
        <v>237</v>
      </c>
      <c r="B47" s="765"/>
      <c r="C47" s="762">
        <f t="shared" si="50"/>
        <v>14943.682709999999</v>
      </c>
      <c r="D47" s="742">
        <f t="shared" si="50"/>
        <v>16297.01298</v>
      </c>
      <c r="E47" s="742">
        <f t="shared" si="50"/>
        <v>18133.881290000001</v>
      </c>
      <c r="F47" s="742">
        <f t="shared" si="50"/>
        <v>18329.227620000001</v>
      </c>
      <c r="G47" s="742">
        <f t="shared" si="50"/>
        <v>19942.073479999999</v>
      </c>
      <c r="H47" s="762">
        <f t="shared" si="50"/>
        <v>19910.000810000001</v>
      </c>
      <c r="I47" s="742">
        <f t="shared" si="50"/>
        <v>20034.727859999999</v>
      </c>
      <c r="J47" s="742">
        <f t="shared" si="50"/>
        <v>20081.055049999999</v>
      </c>
      <c r="K47" s="742">
        <f t="shared" si="50"/>
        <v>20138.073130000001</v>
      </c>
      <c r="L47" s="742">
        <f t="shared" si="50"/>
        <v>19794.926350000002</v>
      </c>
      <c r="M47" s="762">
        <f t="shared" si="50"/>
        <v>17723.245050000001</v>
      </c>
      <c r="N47" s="742">
        <f t="shared" si="50"/>
        <v>17076.173490000001</v>
      </c>
      <c r="O47" s="742">
        <f t="shared" si="50"/>
        <v>23099.72</v>
      </c>
      <c r="P47" s="742">
        <f t="shared" si="50"/>
        <v>22792.091400000001</v>
      </c>
      <c r="Q47" s="742">
        <f t="shared" si="50"/>
        <v>19899.30992</v>
      </c>
      <c r="R47" s="762">
        <f t="shared" si="50"/>
        <v>19871.655210000001</v>
      </c>
      <c r="S47" s="742">
        <f t="shared" si="50"/>
        <v>19355.401529999999</v>
      </c>
      <c r="T47" s="742">
        <f t="shared" si="50"/>
        <v>19107.061259999999</v>
      </c>
      <c r="U47" s="742">
        <f t="shared" si="50"/>
        <v>18859.1139</v>
      </c>
      <c r="V47" s="730">
        <f t="shared" si="50"/>
        <v>18544.44742</v>
      </c>
      <c r="W47" s="730">
        <f t="shared" si="50"/>
        <v>18081.387920000001</v>
      </c>
      <c r="X47" s="730">
        <f t="shared" si="50"/>
        <v>17861.26828</v>
      </c>
      <c r="Y47" s="730">
        <f t="shared" si="50"/>
        <v>18003.037359999998</v>
      </c>
      <c r="Z47" s="730">
        <f>Z107*Z163/100000</f>
        <v>17915.313340000001</v>
      </c>
      <c r="AA47" s="730">
        <f t="shared" si="45"/>
        <v>17668.2088</v>
      </c>
      <c r="AB47" s="730">
        <f t="shared" si="45"/>
        <v>17450.247100000001</v>
      </c>
      <c r="AC47" s="730">
        <f t="shared" si="45"/>
        <v>16346.2089</v>
      </c>
      <c r="AD47" s="730">
        <f t="shared" si="45"/>
        <v>16525.115580000002</v>
      </c>
      <c r="AE47" s="730">
        <f t="shared" si="45"/>
        <v>16643.595600000001</v>
      </c>
      <c r="AF47" s="730">
        <f t="shared" si="45"/>
        <v>17175.686880000001</v>
      </c>
      <c r="AG47" s="730">
        <f t="shared" si="45"/>
        <v>15699.8508</v>
      </c>
      <c r="AH47" s="730">
        <f t="shared" si="45"/>
        <v>15610.665199999999</v>
      </c>
      <c r="AI47" s="730">
        <f t="shared" si="45"/>
        <v>15594.7392</v>
      </c>
      <c r="AJ47" s="730">
        <f t="shared" si="45"/>
        <v>15537.4056</v>
      </c>
      <c r="AK47" s="730">
        <f t="shared" ref="AK47" si="55">AK107*AK163/100000</f>
        <v>0</v>
      </c>
      <c r="AL47" s="730"/>
    </row>
    <row r="48" spans="1:38">
      <c r="A48" s="772" t="s">
        <v>211</v>
      </c>
      <c r="B48" s="773"/>
      <c r="C48" s="762">
        <f>SUM(C49:C50)</f>
        <v>85589.258040000001</v>
      </c>
      <c r="D48" s="742">
        <f t="shared" ref="D48:AG48" si="56">SUM(D49:D50)</f>
        <v>95054.086769999994</v>
      </c>
      <c r="E48" s="742">
        <f t="shared" si="56"/>
        <v>107504.96610000001</v>
      </c>
      <c r="F48" s="742">
        <f t="shared" si="56"/>
        <v>109771.19538</v>
      </c>
      <c r="G48" s="742">
        <f t="shared" si="56"/>
        <v>120653.82090999999</v>
      </c>
      <c r="H48" s="762">
        <f t="shared" si="56"/>
        <v>122093.52743</v>
      </c>
      <c r="I48" s="742">
        <f t="shared" si="56"/>
        <v>124032.14215</v>
      </c>
      <c r="J48" s="742">
        <f t="shared" si="56"/>
        <v>126327.11986999999</v>
      </c>
      <c r="K48" s="742">
        <f t="shared" si="56"/>
        <v>127920.06247999999</v>
      </c>
      <c r="L48" s="742">
        <f t="shared" si="56"/>
        <v>127490.54690999999</v>
      </c>
      <c r="M48" s="762">
        <f t="shared" si="56"/>
        <v>115779.12858</v>
      </c>
      <c r="N48" s="742">
        <f t="shared" si="56"/>
        <v>112823.51352000001</v>
      </c>
      <c r="O48" s="742">
        <f t="shared" si="56"/>
        <v>152718.02385</v>
      </c>
      <c r="P48" s="742">
        <f t="shared" si="56"/>
        <v>152695.54259999999</v>
      </c>
      <c r="Q48" s="742">
        <f t="shared" si="56"/>
        <v>134135.03320000001</v>
      </c>
      <c r="R48" s="762">
        <f t="shared" si="56"/>
        <v>134030.66967</v>
      </c>
      <c r="S48" s="742">
        <f t="shared" si="56"/>
        <v>131538.79386000001</v>
      </c>
      <c r="T48" s="742">
        <f t="shared" si="56"/>
        <v>130614.75714</v>
      </c>
      <c r="U48" s="742">
        <f t="shared" si="56"/>
        <v>129949.64945999999</v>
      </c>
      <c r="V48" s="730">
        <f t="shared" si="56"/>
        <v>128902.51772</v>
      </c>
      <c r="W48" s="730">
        <f t="shared" si="56"/>
        <v>124828.63413000001</v>
      </c>
      <c r="X48" s="730">
        <f t="shared" si="56"/>
        <v>125159.19116000002</v>
      </c>
      <c r="Y48" s="730">
        <f t="shared" si="56"/>
        <v>127284.58796999999</v>
      </c>
      <c r="Z48" s="730">
        <f t="shared" si="56"/>
        <v>125341.09745999999</v>
      </c>
      <c r="AA48" s="730">
        <f t="shared" si="56"/>
        <v>127133.01234000002</v>
      </c>
      <c r="AB48" s="730">
        <f t="shared" si="56"/>
        <v>125759.8511</v>
      </c>
      <c r="AC48" s="730">
        <f t="shared" si="56"/>
        <v>122481.94416</v>
      </c>
      <c r="AD48" s="730">
        <f t="shared" si="56"/>
        <v>121869.39938</v>
      </c>
      <c r="AE48" s="730">
        <f t="shared" si="56"/>
        <v>126421.69379999999</v>
      </c>
      <c r="AF48" s="730">
        <f t="shared" si="56"/>
        <v>131891.60071999999</v>
      </c>
      <c r="AG48" s="730">
        <f t="shared" si="56"/>
        <v>122248.17049</v>
      </c>
      <c r="AH48" s="730">
        <f>SUM(AH49:AH50)</f>
        <v>122450.81051</v>
      </c>
      <c r="AI48" s="730">
        <f>SUM(AI49:AI50)</f>
        <v>123627.96452000001</v>
      </c>
      <c r="AJ48" s="730">
        <f>SUM(AJ49:AJ50)</f>
        <v>124492.10227999999</v>
      </c>
      <c r="AK48" s="730">
        <f>SUM(AK49:AK50)</f>
        <v>0</v>
      </c>
      <c r="AL48" s="730"/>
    </row>
    <row r="49" spans="1:61">
      <c r="A49" s="741" t="s">
        <v>1144</v>
      </c>
      <c r="B49" s="765"/>
      <c r="C49" s="762">
        <f t="shared" ref="C49:Y50" si="57">C109*C165/100000</f>
        <v>32064.788250000001</v>
      </c>
      <c r="D49" s="742">
        <f t="shared" si="57"/>
        <v>35818.552830000001</v>
      </c>
      <c r="E49" s="742">
        <f t="shared" si="57"/>
        <v>40756.152289999998</v>
      </c>
      <c r="F49" s="742">
        <f t="shared" si="57"/>
        <v>41802.230580000003</v>
      </c>
      <c r="G49" s="742">
        <f t="shared" si="57"/>
        <v>46198.899319999997</v>
      </c>
      <c r="H49" s="762">
        <f t="shared" si="57"/>
        <v>47139.697639999999</v>
      </c>
      <c r="I49" s="742">
        <f t="shared" si="57"/>
        <v>48183.841229999998</v>
      </c>
      <c r="J49" s="742">
        <f t="shared" si="57"/>
        <v>49530.893369999998</v>
      </c>
      <c r="K49" s="742">
        <f t="shared" si="57"/>
        <v>50582.164219999999</v>
      </c>
      <c r="L49" s="742">
        <f t="shared" si="57"/>
        <v>50965.360419999997</v>
      </c>
      <c r="M49" s="762">
        <f t="shared" si="57"/>
        <v>46449.870450000002</v>
      </c>
      <c r="N49" s="742">
        <f t="shared" si="57"/>
        <v>45659.070240000001</v>
      </c>
      <c r="O49" s="742">
        <f t="shared" si="57"/>
        <v>62179.496299999999</v>
      </c>
      <c r="P49" s="742">
        <f t="shared" si="57"/>
        <v>62379.217799999999</v>
      </c>
      <c r="Q49" s="742">
        <f t="shared" si="57"/>
        <v>54762.302210000002</v>
      </c>
      <c r="R49" s="762">
        <f t="shared" si="57"/>
        <v>54737.729679999997</v>
      </c>
      <c r="S49" s="742">
        <f t="shared" si="57"/>
        <v>52875.074070000002</v>
      </c>
      <c r="T49" s="742">
        <f t="shared" si="57"/>
        <v>52577.93058</v>
      </c>
      <c r="U49" s="742">
        <f t="shared" si="57"/>
        <v>52194.42252</v>
      </c>
      <c r="V49" s="730">
        <f t="shared" si="57"/>
        <v>51898.300779999998</v>
      </c>
      <c r="W49" s="730">
        <f t="shared" si="57"/>
        <v>51928.98792</v>
      </c>
      <c r="X49" s="730">
        <f t="shared" si="57"/>
        <v>51643.090040000003</v>
      </c>
      <c r="Y49" s="730">
        <f t="shared" si="57"/>
        <v>52107.524490000003</v>
      </c>
      <c r="Z49" s="730">
        <f>Z109*Z165/100000</f>
        <v>51881.783560000003</v>
      </c>
      <c r="AA49" s="730">
        <f t="shared" si="45"/>
        <v>51560.014000000003</v>
      </c>
      <c r="AB49" s="730">
        <f t="shared" si="45"/>
        <v>51377.801800000001</v>
      </c>
      <c r="AC49" s="730">
        <f t="shared" si="45"/>
        <v>48985.340880000003</v>
      </c>
      <c r="AD49" s="730">
        <f t="shared" si="45"/>
        <v>49944.067790000001</v>
      </c>
      <c r="AE49" s="730">
        <f t="shared" si="45"/>
        <v>51284.886599999998</v>
      </c>
      <c r="AF49" s="730">
        <f t="shared" si="45"/>
        <v>53595.265359999998</v>
      </c>
      <c r="AG49" s="730">
        <f t="shared" si="45"/>
        <v>49705.046000000002</v>
      </c>
      <c r="AH49" s="730">
        <f t="shared" si="45"/>
        <v>49800.601999999999</v>
      </c>
      <c r="AI49" s="730">
        <f t="shared" ref="AI49:AK50" si="58">AI109*AI165/100000</f>
        <v>50294.307999999997</v>
      </c>
      <c r="AJ49" s="730">
        <f t="shared" si="58"/>
        <v>50679.717199999999</v>
      </c>
      <c r="AK49" s="730">
        <f t="shared" si="58"/>
        <v>0</v>
      </c>
      <c r="AL49" s="730"/>
    </row>
    <row r="50" spans="1:61">
      <c r="A50" s="741" t="s">
        <v>223</v>
      </c>
      <c r="B50" s="765"/>
      <c r="C50" s="762">
        <f t="shared" si="57"/>
        <v>53524.469790000003</v>
      </c>
      <c r="D50" s="742">
        <f t="shared" si="57"/>
        <v>59235.533940000001</v>
      </c>
      <c r="E50" s="742">
        <f t="shared" si="57"/>
        <v>66748.813810000007</v>
      </c>
      <c r="F50" s="742">
        <f t="shared" si="57"/>
        <v>67968.964800000002</v>
      </c>
      <c r="G50" s="742">
        <f t="shared" si="57"/>
        <v>74454.921589999998</v>
      </c>
      <c r="H50" s="762">
        <f t="shared" si="57"/>
        <v>74953.829790000003</v>
      </c>
      <c r="I50" s="742">
        <f t="shared" si="57"/>
        <v>75848.300919999994</v>
      </c>
      <c r="J50" s="742">
        <f t="shared" si="57"/>
        <v>76796.226500000004</v>
      </c>
      <c r="K50" s="742">
        <f t="shared" si="57"/>
        <v>77337.898260000002</v>
      </c>
      <c r="L50" s="742">
        <f t="shared" si="57"/>
        <v>76525.186489999993</v>
      </c>
      <c r="M50" s="762">
        <f t="shared" si="57"/>
        <v>69329.258130000002</v>
      </c>
      <c r="N50" s="742">
        <f t="shared" si="57"/>
        <v>67164.443280000007</v>
      </c>
      <c r="O50" s="742">
        <f t="shared" si="57"/>
        <v>90538.527549999999</v>
      </c>
      <c r="P50" s="742">
        <f t="shared" si="57"/>
        <v>90316.324800000002</v>
      </c>
      <c r="Q50" s="742">
        <f t="shared" si="57"/>
        <v>79372.730989999996</v>
      </c>
      <c r="R50" s="762">
        <f t="shared" si="57"/>
        <v>79292.939989999999</v>
      </c>
      <c r="S50" s="742">
        <f t="shared" si="57"/>
        <v>78663.719790000003</v>
      </c>
      <c r="T50" s="742">
        <f t="shared" si="57"/>
        <v>78036.826560000001</v>
      </c>
      <c r="U50" s="742">
        <f t="shared" si="57"/>
        <v>77755.226939999993</v>
      </c>
      <c r="V50" s="730">
        <f t="shared" si="57"/>
        <v>77004.216939999998</v>
      </c>
      <c r="W50" s="730">
        <f t="shared" si="57"/>
        <v>72899.646210000006</v>
      </c>
      <c r="X50" s="730">
        <f t="shared" si="57"/>
        <v>73516.101120000007</v>
      </c>
      <c r="Y50" s="730">
        <f t="shared" si="57"/>
        <v>75177.063479999997</v>
      </c>
      <c r="Z50" s="730">
        <f>Z110*Z166/100000</f>
        <v>73459.313899999994</v>
      </c>
      <c r="AA50" s="730">
        <f t="shared" si="45"/>
        <v>75572.998340000006</v>
      </c>
      <c r="AB50" s="730">
        <f t="shared" si="45"/>
        <v>74382.049299999999</v>
      </c>
      <c r="AC50" s="730">
        <f t="shared" si="45"/>
        <v>73496.603279999996</v>
      </c>
      <c r="AD50" s="730">
        <f t="shared" si="45"/>
        <v>71925.331590000002</v>
      </c>
      <c r="AE50" s="730">
        <f t="shared" si="45"/>
        <v>75136.807199999996</v>
      </c>
      <c r="AF50" s="730">
        <f t="shared" si="45"/>
        <v>78296.335359999997</v>
      </c>
      <c r="AG50" s="730">
        <f t="shared" si="45"/>
        <v>72543.124490000002</v>
      </c>
      <c r="AH50" s="730">
        <f t="shared" si="45"/>
        <v>72650.208509999997</v>
      </c>
      <c r="AI50" s="730">
        <f t="shared" si="58"/>
        <v>73333.656520000004</v>
      </c>
      <c r="AJ50" s="730">
        <f t="shared" si="58"/>
        <v>73812.385079999993</v>
      </c>
      <c r="AK50" s="730">
        <f t="shared" si="58"/>
        <v>0</v>
      </c>
      <c r="AL50" s="730"/>
    </row>
    <row r="51" spans="1:61">
      <c r="A51" s="774" t="s">
        <v>212</v>
      </c>
      <c r="B51" s="775"/>
      <c r="C51" s="762">
        <f>SUM(C52:C54)</f>
        <v>146776.63483</v>
      </c>
      <c r="D51" s="742">
        <f t="shared" ref="D51:AG51" si="59">SUM(D52:D54)</f>
        <v>160796.64887999999</v>
      </c>
      <c r="E51" s="742">
        <f t="shared" si="59"/>
        <v>136028.43752000001</v>
      </c>
      <c r="F51" s="742">
        <f t="shared" si="59"/>
        <v>137781.17973</v>
      </c>
      <c r="G51" s="742">
        <f t="shared" si="59"/>
        <v>151393.81192000001</v>
      </c>
      <c r="H51" s="762">
        <f t="shared" si="59"/>
        <v>151825.99855999998</v>
      </c>
      <c r="I51" s="742">
        <f t="shared" si="59"/>
        <v>153341.57198000001</v>
      </c>
      <c r="J51" s="742">
        <f t="shared" si="59"/>
        <v>154690.69514000003</v>
      </c>
      <c r="K51" s="742">
        <f t="shared" si="59"/>
        <v>155850.00659999999</v>
      </c>
      <c r="L51" s="742">
        <f t="shared" si="59"/>
        <v>184785.11963999999</v>
      </c>
      <c r="M51" s="762">
        <f t="shared" si="59"/>
        <v>165632.28727999999</v>
      </c>
      <c r="N51" s="742">
        <f t="shared" si="59"/>
        <v>160548.52394000001</v>
      </c>
      <c r="O51" s="742">
        <f t="shared" si="59"/>
        <v>183572.56634999998</v>
      </c>
      <c r="P51" s="742">
        <f t="shared" si="59"/>
        <v>182678.87161999999</v>
      </c>
      <c r="Q51" s="742">
        <f t="shared" si="59"/>
        <v>159295.81899999999</v>
      </c>
      <c r="R51" s="762">
        <f t="shared" si="59"/>
        <v>159070.33908999999</v>
      </c>
      <c r="S51" s="742">
        <f t="shared" si="59"/>
        <v>155313.60949999999</v>
      </c>
      <c r="T51" s="742">
        <f t="shared" si="59"/>
        <v>155091.74064</v>
      </c>
      <c r="U51" s="742">
        <f t="shared" si="59"/>
        <v>155497.26827999999</v>
      </c>
      <c r="V51" s="730">
        <f t="shared" si="59"/>
        <v>156258.55035999999</v>
      </c>
      <c r="W51" s="730">
        <f t="shared" si="59"/>
        <v>154211.68896</v>
      </c>
      <c r="X51" s="730">
        <f t="shared" si="59"/>
        <v>152111.27113000001</v>
      </c>
      <c r="Y51" s="730">
        <f t="shared" si="59"/>
        <v>152412.90119999999</v>
      </c>
      <c r="Z51" s="730">
        <f t="shared" si="59"/>
        <v>151558.96448</v>
      </c>
      <c r="AA51" s="730">
        <f t="shared" si="59"/>
        <v>150973.70624999999</v>
      </c>
      <c r="AB51" s="730">
        <f t="shared" si="59"/>
        <v>149229.15</v>
      </c>
      <c r="AC51" s="730">
        <f t="shared" si="59"/>
        <v>141779.15069000001</v>
      </c>
      <c r="AD51" s="730">
        <f t="shared" si="59"/>
        <v>145038.37683999998</v>
      </c>
      <c r="AE51" s="730">
        <f t="shared" si="59"/>
        <v>147915.53940000001</v>
      </c>
      <c r="AF51" s="730">
        <f t="shared" si="59"/>
        <v>154335.24560999998</v>
      </c>
      <c r="AG51" s="730">
        <f t="shared" si="59"/>
        <v>143662.45828000002</v>
      </c>
      <c r="AH51" s="730">
        <f>SUM(AH52:AH54)</f>
        <v>144859.34804000001</v>
      </c>
      <c r="AI51" s="730">
        <f>SUM(AI52:AI54)</f>
        <v>145471.51871999999</v>
      </c>
      <c r="AJ51" s="730">
        <f>SUM(AJ52:AJ54)</f>
        <v>146048.00232</v>
      </c>
      <c r="AK51" s="730">
        <f>SUM(AK52:AK54)</f>
        <v>0</v>
      </c>
      <c r="AL51" s="730"/>
    </row>
    <row r="52" spans="1:61">
      <c r="A52" s="768" t="s">
        <v>241</v>
      </c>
      <c r="B52" s="769"/>
      <c r="C52" s="762">
        <f t="shared" ref="C52:Y54" si="60">C112*C168/100000</f>
        <v>50981.987529999999</v>
      </c>
      <c r="D52" s="742">
        <f t="shared" si="60"/>
        <v>55728.477630000001</v>
      </c>
      <c r="E52" s="742">
        <f t="shared" si="60"/>
        <v>47225.230580000003</v>
      </c>
      <c r="F52" s="742">
        <f t="shared" si="60"/>
        <v>47422.911780000002</v>
      </c>
      <c r="G52" s="742">
        <f t="shared" si="60"/>
        <v>52446.432800000002</v>
      </c>
      <c r="H52" s="762">
        <f t="shared" si="60"/>
        <v>52507.756580000001</v>
      </c>
      <c r="I52" s="742">
        <f t="shared" si="60"/>
        <v>53214.440139999999</v>
      </c>
      <c r="J52" s="742">
        <f t="shared" si="60"/>
        <v>53757.59362</v>
      </c>
      <c r="K52" s="742">
        <f t="shared" si="60"/>
        <v>54108.015220000001</v>
      </c>
      <c r="L52" s="742">
        <f t="shared" si="60"/>
        <v>64936.905659999997</v>
      </c>
      <c r="M52" s="762">
        <f t="shared" si="60"/>
        <v>58176.936040000001</v>
      </c>
      <c r="N52" s="742">
        <f t="shared" si="60"/>
        <v>56429.421410000003</v>
      </c>
      <c r="O52" s="742">
        <f t="shared" si="60"/>
        <v>64584.52605</v>
      </c>
      <c r="P52" s="742">
        <f t="shared" si="60"/>
        <v>64173.58178</v>
      </c>
      <c r="Q52" s="742">
        <f t="shared" si="60"/>
        <v>55933.127719999997</v>
      </c>
      <c r="R52" s="762">
        <f t="shared" si="60"/>
        <v>55617.940020000002</v>
      </c>
      <c r="S52" s="742">
        <f t="shared" si="60"/>
        <v>54637.472549999999</v>
      </c>
      <c r="T52" s="742">
        <f t="shared" si="60"/>
        <v>54418.205520000003</v>
      </c>
      <c r="U52" s="742">
        <f t="shared" si="60"/>
        <v>54204.982680000001</v>
      </c>
      <c r="V52" s="730">
        <f t="shared" si="60"/>
        <v>54425.804349999999</v>
      </c>
      <c r="W52" s="730">
        <f t="shared" si="60"/>
        <v>53812.48158</v>
      </c>
      <c r="X52" s="730">
        <f t="shared" si="60"/>
        <v>52819.497640000001</v>
      </c>
      <c r="Y52" s="730">
        <f t="shared" si="60"/>
        <v>53030.902679999999</v>
      </c>
      <c r="Z52" s="730">
        <f>Z112*Z168/100000</f>
        <v>52438.755599999997</v>
      </c>
      <c r="AA52" s="730">
        <f t="shared" si="45"/>
        <v>52076.418749999997</v>
      </c>
      <c r="AB52" s="730">
        <f t="shared" si="45"/>
        <v>51394.519260000001</v>
      </c>
      <c r="AC52" s="730">
        <f t="shared" si="45"/>
        <v>48652.754300000001</v>
      </c>
      <c r="AD52" s="730">
        <f t="shared" si="45"/>
        <v>49615.410600000003</v>
      </c>
      <c r="AE52" s="730">
        <f t="shared" si="45"/>
        <v>50380.623599999999</v>
      </c>
      <c r="AF52" s="730">
        <f t="shared" si="45"/>
        <v>52506.504959999998</v>
      </c>
      <c r="AG52" s="730">
        <f t="shared" si="45"/>
        <v>48841.886720000002</v>
      </c>
      <c r="AH52" s="730">
        <f t="shared" si="45"/>
        <v>49264.641360000001</v>
      </c>
      <c r="AI52" s="730">
        <f t="shared" si="45"/>
        <v>49401.899360000003</v>
      </c>
      <c r="AJ52" s="730">
        <f t="shared" si="45"/>
        <v>49478.76384</v>
      </c>
      <c r="AK52" s="730">
        <f t="shared" ref="AK52" si="61">AK112*AK168/100000</f>
        <v>0</v>
      </c>
      <c r="AL52" s="730"/>
    </row>
    <row r="53" spans="1:61">
      <c r="A53" s="741" t="s">
        <v>224</v>
      </c>
      <c r="B53" s="765"/>
      <c r="C53" s="762">
        <f t="shared" si="60"/>
        <v>46964.88723</v>
      </c>
      <c r="D53" s="742">
        <f t="shared" si="60"/>
        <v>51564.102659999997</v>
      </c>
      <c r="E53" s="742">
        <f t="shared" si="60"/>
        <v>43595.620470000002</v>
      </c>
      <c r="F53" s="742">
        <f t="shared" si="60"/>
        <v>44252.20953</v>
      </c>
      <c r="G53" s="742">
        <f t="shared" si="60"/>
        <v>48691.081319999998</v>
      </c>
      <c r="H53" s="762">
        <f t="shared" si="60"/>
        <v>48813.728880000002</v>
      </c>
      <c r="I53" s="742">
        <f t="shared" si="60"/>
        <v>49237.154979999999</v>
      </c>
      <c r="J53" s="742">
        <f t="shared" si="60"/>
        <v>49464.929020000003</v>
      </c>
      <c r="K53" s="742">
        <f t="shared" si="60"/>
        <v>49718.984680000001</v>
      </c>
      <c r="L53" s="742">
        <f t="shared" si="60"/>
        <v>58446.954720000002</v>
      </c>
      <c r="M53" s="762">
        <f t="shared" si="60"/>
        <v>52921.806799999998</v>
      </c>
      <c r="N53" s="742">
        <f t="shared" si="60"/>
        <v>51442.925589999999</v>
      </c>
      <c r="O53" s="742">
        <f t="shared" si="60"/>
        <v>58926.154949999996</v>
      </c>
      <c r="P53" s="742">
        <f t="shared" si="60"/>
        <v>58671.934090000002</v>
      </c>
      <c r="Q53" s="742">
        <f t="shared" si="60"/>
        <v>51141.11234</v>
      </c>
      <c r="R53" s="762">
        <f t="shared" si="60"/>
        <v>51354.655610000002</v>
      </c>
      <c r="S53" s="742">
        <f t="shared" si="60"/>
        <v>49958.580999999998</v>
      </c>
      <c r="T53" s="742">
        <f t="shared" si="60"/>
        <v>49984.194000000003</v>
      </c>
      <c r="U53" s="742">
        <f t="shared" si="60"/>
        <v>50284.177799999998</v>
      </c>
      <c r="V53" s="730">
        <f t="shared" si="60"/>
        <v>50469.928260000001</v>
      </c>
      <c r="W53" s="730">
        <f t="shared" si="60"/>
        <v>49535.954339999997</v>
      </c>
      <c r="X53" s="730">
        <f t="shared" si="60"/>
        <v>49050.384109999999</v>
      </c>
      <c r="Y53" s="730">
        <f t="shared" si="60"/>
        <v>49140.370439999999</v>
      </c>
      <c r="Z53" s="730">
        <f>Z113*Z169/100000</f>
        <v>48919.763200000001</v>
      </c>
      <c r="AA53" s="730">
        <f t="shared" si="45"/>
        <v>48834.731249999997</v>
      </c>
      <c r="AB53" s="730">
        <f t="shared" si="45"/>
        <v>48230.861279999997</v>
      </c>
      <c r="AC53" s="730">
        <f t="shared" si="45"/>
        <v>45856.774250000002</v>
      </c>
      <c r="AD53" s="730">
        <f t="shared" si="45"/>
        <v>46849.327279999998</v>
      </c>
      <c r="AE53" s="730">
        <f t="shared" si="45"/>
        <v>48018.235200000003</v>
      </c>
      <c r="AF53" s="730">
        <f t="shared" si="45"/>
        <v>50278.401810000003</v>
      </c>
      <c r="AG53" s="730">
        <f t="shared" si="45"/>
        <v>46796.74252</v>
      </c>
      <c r="AH53" s="730">
        <f t="shared" si="45"/>
        <v>47288.12616</v>
      </c>
      <c r="AI53" s="730">
        <f t="shared" si="45"/>
        <v>47345.774519999999</v>
      </c>
      <c r="AJ53" s="730">
        <f t="shared" si="45"/>
        <v>47568.13248</v>
      </c>
      <c r="AK53" s="730">
        <f t="shared" ref="AK53" si="62">AK113*AK169/100000</f>
        <v>0</v>
      </c>
      <c r="AL53" s="730"/>
    </row>
    <row r="54" spans="1:61">
      <c r="A54" s="776" t="s">
        <v>225</v>
      </c>
      <c r="B54" s="777"/>
      <c r="C54" s="778">
        <f t="shared" si="60"/>
        <v>48829.760069999997</v>
      </c>
      <c r="D54" s="779">
        <f t="shared" si="60"/>
        <v>53504.068590000003</v>
      </c>
      <c r="E54" s="779">
        <f t="shared" si="60"/>
        <v>45207.586470000002</v>
      </c>
      <c r="F54" s="779">
        <f t="shared" si="60"/>
        <v>46106.058420000001</v>
      </c>
      <c r="G54" s="779">
        <f t="shared" si="60"/>
        <v>50256.2978</v>
      </c>
      <c r="H54" s="778">
        <f t="shared" si="60"/>
        <v>50504.513099999996</v>
      </c>
      <c r="I54" s="779">
        <f t="shared" si="60"/>
        <v>50889.976860000002</v>
      </c>
      <c r="J54" s="779">
        <f t="shared" si="60"/>
        <v>51468.172500000001</v>
      </c>
      <c r="K54" s="779">
        <f t="shared" si="60"/>
        <v>52023.006699999998</v>
      </c>
      <c r="L54" s="779">
        <f t="shared" si="60"/>
        <v>61401.259259999999</v>
      </c>
      <c r="M54" s="778">
        <f t="shared" si="60"/>
        <v>54533.544439999998</v>
      </c>
      <c r="N54" s="779">
        <f t="shared" si="60"/>
        <v>52676.176939999998</v>
      </c>
      <c r="O54" s="779">
        <f t="shared" si="60"/>
        <v>60061.885349999997</v>
      </c>
      <c r="P54" s="779">
        <f t="shared" si="60"/>
        <v>59833.355750000002</v>
      </c>
      <c r="Q54" s="779">
        <f t="shared" si="60"/>
        <v>52221.578939999999</v>
      </c>
      <c r="R54" s="778">
        <f t="shared" si="60"/>
        <v>52097.743459999998</v>
      </c>
      <c r="S54" s="779">
        <f t="shared" si="60"/>
        <v>50717.555950000002</v>
      </c>
      <c r="T54" s="779">
        <f t="shared" si="60"/>
        <v>50689.341119999997</v>
      </c>
      <c r="U54" s="779">
        <f t="shared" si="60"/>
        <v>51008.107799999998</v>
      </c>
      <c r="V54" s="731">
        <f t="shared" si="60"/>
        <v>51362.817750000002</v>
      </c>
      <c r="W54" s="731">
        <f t="shared" si="60"/>
        <v>50863.253040000003</v>
      </c>
      <c r="X54" s="731">
        <f t="shared" si="60"/>
        <v>50241.389380000001</v>
      </c>
      <c r="Y54" s="731">
        <f t="shared" si="60"/>
        <v>50241.628080000002</v>
      </c>
      <c r="Z54" s="731">
        <f>Z114*Z170/100000</f>
        <v>50200.445679999997</v>
      </c>
      <c r="AA54" s="731">
        <f t="shared" si="45"/>
        <v>50062.556250000001</v>
      </c>
      <c r="AB54" s="731">
        <f t="shared" si="45"/>
        <v>49603.769460000003</v>
      </c>
      <c r="AC54" s="731">
        <f t="shared" si="45"/>
        <v>47269.622139999999</v>
      </c>
      <c r="AD54" s="731">
        <f t="shared" si="45"/>
        <v>48573.638959999997</v>
      </c>
      <c r="AE54" s="731">
        <f t="shared" si="45"/>
        <v>49516.6806</v>
      </c>
      <c r="AF54" s="731">
        <f t="shared" si="45"/>
        <v>51550.338839999997</v>
      </c>
      <c r="AG54" s="731">
        <f t="shared" si="45"/>
        <v>48023.829039999997</v>
      </c>
      <c r="AH54" s="731">
        <f t="shared" si="45"/>
        <v>48306.580520000003</v>
      </c>
      <c r="AI54" s="731">
        <f t="shared" si="45"/>
        <v>48723.844839999998</v>
      </c>
      <c r="AJ54" s="731">
        <f t="shared" si="45"/>
        <v>49001.106</v>
      </c>
      <c r="AK54" s="731">
        <f t="shared" ref="AK54" si="63">AK114*AK170/100000</f>
        <v>0</v>
      </c>
      <c r="AL54" s="730"/>
    </row>
    <row r="55" spans="1:6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row>
    <row r="56" spans="1:6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row>
    <row r="57" spans="1:61">
      <c r="A57" s="72" t="s">
        <v>271</v>
      </c>
      <c r="B57" s="72"/>
      <c r="C57" s="73" t="s">
        <v>683</v>
      </c>
      <c r="D57" s="73"/>
      <c r="E57" s="73"/>
      <c r="F57" s="73"/>
      <c r="G57" s="73"/>
      <c r="H57" s="72"/>
      <c r="I57" s="72"/>
      <c r="J57" s="72"/>
      <c r="K57" s="72"/>
      <c r="L57" s="73"/>
      <c r="M57" s="744" t="s">
        <v>11</v>
      </c>
      <c r="N57" s="744" t="s">
        <v>11</v>
      </c>
      <c r="O57" s="744" t="s">
        <v>11</v>
      </c>
      <c r="P57" s="744" t="s">
        <v>11</v>
      </c>
      <c r="Q57" s="73" t="s">
        <v>11</v>
      </c>
      <c r="R57" s="73"/>
      <c r="S57" s="73" t="s">
        <v>620</v>
      </c>
      <c r="T57" s="73"/>
      <c r="U57" s="73"/>
      <c r="V57" s="73"/>
      <c r="W57" s="73"/>
      <c r="X57" s="258"/>
      <c r="Y57" s="73" t="s">
        <v>11</v>
      </c>
      <c r="Z57" s="73" t="s">
        <v>11</v>
      </c>
      <c r="AA57" s="73"/>
      <c r="AB57" s="73"/>
      <c r="AC57" s="73"/>
      <c r="AD57" s="73"/>
      <c r="AE57" s="73"/>
      <c r="AF57" s="73"/>
      <c r="AG57" s="73"/>
      <c r="AH57" s="73"/>
      <c r="AI57" s="73"/>
    </row>
    <row r="58" spans="1:61">
      <c r="A58" s="780"/>
      <c r="B58" s="422" t="s">
        <v>682</v>
      </c>
      <c r="C58" s="84" t="s">
        <v>622</v>
      </c>
      <c r="D58" s="84" t="s">
        <v>623</v>
      </c>
      <c r="E58" s="84" t="s">
        <v>624</v>
      </c>
      <c r="F58" s="84" t="s">
        <v>625</v>
      </c>
      <c r="G58" s="422" t="s">
        <v>626</v>
      </c>
      <c r="H58" s="781" t="s">
        <v>610</v>
      </c>
      <c r="I58" s="781" t="s">
        <v>611</v>
      </c>
      <c r="J58" s="84" t="s">
        <v>612</v>
      </c>
      <c r="K58" s="84" t="s">
        <v>613</v>
      </c>
      <c r="L58" s="422" t="s">
        <v>614</v>
      </c>
      <c r="M58" s="84" t="s">
        <v>615</v>
      </c>
      <c r="N58" s="84" t="s">
        <v>616</v>
      </c>
      <c r="O58" s="84" t="s">
        <v>617</v>
      </c>
      <c r="P58" s="84" t="s">
        <v>618</v>
      </c>
      <c r="Q58" s="422" t="s">
        <v>619</v>
      </c>
      <c r="R58" s="84" t="s">
        <v>460</v>
      </c>
      <c r="S58" s="84" t="s">
        <v>459</v>
      </c>
      <c r="T58" s="84" t="s">
        <v>456</v>
      </c>
      <c r="U58" s="84" t="s">
        <v>750</v>
      </c>
      <c r="V58" s="84" t="s">
        <v>856</v>
      </c>
      <c r="W58" s="84" t="s">
        <v>911</v>
      </c>
      <c r="X58" s="84" t="s">
        <v>96</v>
      </c>
      <c r="Y58" s="84" t="s">
        <v>118</v>
      </c>
      <c r="Z58" s="84" t="s">
        <v>119</v>
      </c>
      <c r="AA58" s="1080" t="s">
        <v>67</v>
      </c>
      <c r="AB58" s="84" t="s">
        <v>157</v>
      </c>
      <c r="AC58" s="84" t="s">
        <v>1000</v>
      </c>
      <c r="AD58" s="1166" t="s">
        <v>1036</v>
      </c>
      <c r="AE58" s="1170" t="s">
        <v>1062</v>
      </c>
      <c r="AF58" s="1080" t="s">
        <v>1086</v>
      </c>
      <c r="AG58" s="1080" t="s">
        <v>1129</v>
      </c>
      <c r="AH58" s="1165" t="s">
        <v>1160</v>
      </c>
      <c r="AI58" s="1165" t="s">
        <v>1200</v>
      </c>
      <c r="AJ58" s="1165" t="s">
        <v>1234</v>
      </c>
      <c r="AK58" s="1068" t="s">
        <v>1561</v>
      </c>
      <c r="AM58" s="65" t="s">
        <v>874</v>
      </c>
      <c r="AQ58" s="75" t="s">
        <v>11</v>
      </c>
    </row>
    <row r="59" spans="1:61">
      <c r="A59" s="745" t="s">
        <v>751</v>
      </c>
      <c r="B59" s="747">
        <f>消費ﾃﾞｰﾀ!V12</f>
        <v>308399</v>
      </c>
      <c r="C59" s="747">
        <f>消費ﾃﾞｰﾀ!W12</f>
        <v>289932</v>
      </c>
      <c r="D59" s="747">
        <f>消費ﾃﾞｰﾀ!X12</f>
        <v>316017</v>
      </c>
      <c r="E59" s="747">
        <f>消費ﾃﾞｰﾀ!Y12</f>
        <v>328550</v>
      </c>
      <c r="F59" s="747">
        <f>消費ﾃﾞｰﾀ!Z12</f>
        <v>330001</v>
      </c>
      <c r="G59" s="747">
        <f>消費ﾃﾞｰﾀ!AA12</f>
        <v>357114</v>
      </c>
      <c r="H59" s="747">
        <f>消費ﾃﾞｰﾀ!AB12</f>
        <v>391274</v>
      </c>
      <c r="I59" s="747">
        <f>消費ﾃﾞｰﾀ!AC12</f>
        <v>357475</v>
      </c>
      <c r="J59" s="747">
        <f>消費ﾃﾞｰﾀ!AD12</f>
        <v>371046</v>
      </c>
      <c r="K59" s="747">
        <f>消費ﾃﾞｰﾀ!AE12</f>
        <v>366387</v>
      </c>
      <c r="L59" s="747">
        <f>消費ﾃﾞｰﾀ!AF12</f>
        <v>374607</v>
      </c>
      <c r="M59" s="747">
        <f>消費ﾃﾞｰﾀ!AG12</f>
        <v>340223</v>
      </c>
      <c r="N59" s="747">
        <f>消費ﾃﾞｰﾀ!AH12</f>
        <v>327449</v>
      </c>
      <c r="O59" s="747">
        <f>消費ﾃﾞｰﾀ!AI12</f>
        <v>327625</v>
      </c>
      <c r="P59" s="747">
        <f>消費ﾃﾞｰﾀ!AJ12</f>
        <v>325353</v>
      </c>
      <c r="Q59" s="747">
        <f>消費ﾃﾞｰﾀ!AK12</f>
        <v>283042</v>
      </c>
      <c r="R59" s="747">
        <f>消費ﾃﾞｰﾀ!AL12</f>
        <v>249152</v>
      </c>
      <c r="S59" s="748">
        <f>消費ﾃﾞｰﾀ!AM12</f>
        <v>242715</v>
      </c>
      <c r="T59" s="748">
        <f>消費ﾃﾞｰﾀ!AN12</f>
        <v>244833</v>
      </c>
      <c r="U59" s="748">
        <f>消費ﾃﾞｰﾀ!AO12</f>
        <v>251801</v>
      </c>
      <c r="V59" s="747">
        <f>消費ﾃﾞｰﾀ!AP12</f>
        <v>238444</v>
      </c>
      <c r="W59" s="748">
        <f>消費ﾃﾞｰﾀ!AQ12</f>
        <v>223420</v>
      </c>
      <c r="X59" s="748">
        <f>消費ﾃﾞｰﾀ!AR12</f>
        <v>229983</v>
      </c>
      <c r="Y59" s="748">
        <f>消費ﾃﾞｰﾀ!AS12</f>
        <v>230687</v>
      </c>
      <c r="Z59" s="748">
        <f>消費ﾃﾞｰﾀ!AT12</f>
        <v>236777</v>
      </c>
      <c r="AA59" s="747">
        <f>消費ﾃﾞｰﾀ!AU12</f>
        <v>229443</v>
      </c>
      <c r="AB59" s="748">
        <f t="shared" ref="AB59:AI59" si="64">AA59</f>
        <v>229443</v>
      </c>
      <c r="AC59" s="748">
        <f t="shared" si="64"/>
        <v>229443</v>
      </c>
      <c r="AD59" s="748">
        <f t="shared" si="64"/>
        <v>229443</v>
      </c>
      <c r="AE59" s="748">
        <f t="shared" si="64"/>
        <v>229443</v>
      </c>
      <c r="AF59" s="747">
        <f t="shared" si="64"/>
        <v>229443</v>
      </c>
      <c r="AG59" s="747">
        <f t="shared" si="64"/>
        <v>229443</v>
      </c>
      <c r="AH59" s="747">
        <f t="shared" si="64"/>
        <v>229443</v>
      </c>
      <c r="AI59" s="747">
        <f t="shared" si="64"/>
        <v>229443</v>
      </c>
      <c r="AJ59" s="747">
        <f>AI59</f>
        <v>229443</v>
      </c>
      <c r="AK59" s="747">
        <f>AJ59</f>
        <v>229443</v>
      </c>
      <c r="AM59" s="1171" t="s">
        <v>84</v>
      </c>
      <c r="AN59" s="1171"/>
      <c r="AO59" s="1171"/>
      <c r="AP59" s="130" t="s">
        <v>95</v>
      </c>
      <c r="AQ59" s="130"/>
      <c r="AR59" s="130"/>
      <c r="AS59" s="130"/>
      <c r="AT59" s="130"/>
      <c r="AU59" s="130"/>
      <c r="AV59" s="130"/>
      <c r="AW59" s="130"/>
      <c r="AX59" s="130"/>
      <c r="AY59" s="1171" t="s">
        <v>86</v>
      </c>
      <c r="AZ59" s="1171"/>
      <c r="BA59" s="1171"/>
      <c r="BB59" s="130" t="s">
        <v>95</v>
      </c>
      <c r="BC59" s="130"/>
      <c r="BD59" s="130"/>
      <c r="BE59" s="130"/>
      <c r="BF59" s="130"/>
      <c r="BG59" s="130"/>
      <c r="BH59" s="130"/>
      <c r="BI59" s="130"/>
    </row>
    <row r="60" spans="1:61">
      <c r="A60" s="782" t="s">
        <v>748</v>
      </c>
      <c r="B60" s="754"/>
      <c r="C60" s="783">
        <f>C59/B59</f>
        <v>0.94011977989552498</v>
      </c>
      <c r="D60" s="783">
        <f>D59/B59</f>
        <v>1.0247017662184379</v>
      </c>
      <c r="E60" s="783">
        <f>E59/G59</f>
        <v>0.92001433715844239</v>
      </c>
      <c r="F60" s="783">
        <f>F59/G59</f>
        <v>0.9240774654592091</v>
      </c>
      <c r="G60" s="754"/>
      <c r="H60" s="783">
        <f>H59/G59</f>
        <v>1.0956557289829019</v>
      </c>
      <c r="I60" s="783">
        <f>I59/G59</f>
        <v>1.0010108816792396</v>
      </c>
      <c r="J60" s="783">
        <f>J59/L59</f>
        <v>0.99049403775156364</v>
      </c>
      <c r="K60" s="783">
        <f>K59/L59</f>
        <v>0.97805700373991944</v>
      </c>
      <c r="L60" s="754"/>
      <c r="M60" s="783">
        <f>M59/L59</f>
        <v>0.90821314070479198</v>
      </c>
      <c r="N60" s="783">
        <f>N59/L59</f>
        <v>0.87411340418091488</v>
      </c>
      <c r="O60" s="783">
        <f>O59/Q59</f>
        <v>1.1575137258781383</v>
      </c>
      <c r="P60" s="783">
        <f>P59/Q59</f>
        <v>1.1494866486245858</v>
      </c>
      <c r="Q60" s="754"/>
      <c r="R60" s="783">
        <f>R59/Q59</f>
        <v>0.8802651196642195</v>
      </c>
      <c r="S60" s="784">
        <f>S59/Q59</f>
        <v>0.85752291179400941</v>
      </c>
      <c r="T60" s="784">
        <f>T59/Q59</f>
        <v>0.86500590018442491</v>
      </c>
      <c r="U60" s="784">
        <f>U59/R59</f>
        <v>1.0106320639609556</v>
      </c>
      <c r="V60" s="783" t="s">
        <v>11</v>
      </c>
      <c r="W60" s="784">
        <f t="shared" ref="W60:AC60" si="65">AO74</f>
        <v>0.97089343184007137</v>
      </c>
      <c r="X60" s="784">
        <f t="shared" si="65"/>
        <v>0.98848323416697992</v>
      </c>
      <c r="Y60" s="784">
        <f t="shared" si="65"/>
        <v>0.99088338405259224</v>
      </c>
      <c r="Z60" s="784">
        <f t="shared" si="65"/>
        <v>0.98951867549456218</v>
      </c>
      <c r="AA60" s="783">
        <f t="shared" si="65"/>
        <v>0.97497143149581622</v>
      </c>
      <c r="AB60" s="784">
        <f t="shared" si="65"/>
        <v>1.0139087150953856</v>
      </c>
      <c r="AC60" s="784">
        <f t="shared" si="65"/>
        <v>1.003683912131593</v>
      </c>
      <c r="AD60" s="784">
        <f>AV74</f>
        <v>0.88782883335671225</v>
      </c>
      <c r="AE60" s="784">
        <f>AW74</f>
        <v>1.1945310590360805</v>
      </c>
      <c r="AF60" s="1172">
        <f>AE60</f>
        <v>1.1945310590360805</v>
      </c>
      <c r="AG60" s="1172">
        <f>AF60</f>
        <v>1.1945310590360805</v>
      </c>
      <c r="AH60" s="1172">
        <f>AG60</f>
        <v>1.1945310590360805</v>
      </c>
      <c r="AI60" s="1172">
        <f>AH60</f>
        <v>1.1945310590360805</v>
      </c>
      <c r="AJ60" s="1172">
        <f>AI60</f>
        <v>1.1945310590360805</v>
      </c>
      <c r="AK60" s="1172">
        <f>AJ60</f>
        <v>1.1945310590360805</v>
      </c>
      <c r="AL60" s="1173"/>
      <c r="AM60" s="132"/>
      <c r="AN60" s="132" t="s">
        <v>828</v>
      </c>
      <c r="AO60" s="132" t="s">
        <v>12</v>
      </c>
      <c r="AP60" s="132" t="s">
        <v>102</v>
      </c>
      <c r="AQ60" s="132" t="s">
        <v>110</v>
      </c>
      <c r="AR60" s="132" t="s">
        <v>863</v>
      </c>
      <c r="AS60" s="132" t="s">
        <v>770</v>
      </c>
      <c r="AT60" s="132" t="s">
        <v>125</v>
      </c>
      <c r="AU60" s="132" t="s">
        <v>1023</v>
      </c>
      <c r="AV60" s="132" t="s">
        <v>1058</v>
      </c>
      <c r="AW60" s="132" t="s">
        <v>1091</v>
      </c>
      <c r="AX60" s="132" t="s">
        <v>1109</v>
      </c>
      <c r="AY60" s="132"/>
      <c r="AZ60" s="132" t="s">
        <v>828</v>
      </c>
      <c r="BA60" s="132" t="s">
        <v>12</v>
      </c>
      <c r="BB60" s="132" t="s">
        <v>102</v>
      </c>
      <c r="BC60" s="132" t="s">
        <v>110</v>
      </c>
      <c r="BD60" s="132" t="s">
        <v>863</v>
      </c>
      <c r="BE60" s="132" t="s">
        <v>770</v>
      </c>
      <c r="BF60" s="132" t="s">
        <v>125</v>
      </c>
      <c r="BG60" s="132" t="s">
        <v>1023</v>
      </c>
      <c r="BH60" s="132" t="s">
        <v>1058</v>
      </c>
      <c r="BI60" s="132" t="s">
        <v>1091</v>
      </c>
    </row>
    <row r="61" spans="1:61">
      <c r="A61" s="72" t="s">
        <v>428</v>
      </c>
      <c r="B61" s="785"/>
      <c r="C61" s="786"/>
      <c r="D61" s="786"/>
      <c r="E61" s="786"/>
      <c r="F61" s="786"/>
      <c r="G61" s="785"/>
      <c r="H61" s="786"/>
      <c r="I61" s="786"/>
      <c r="J61" s="786"/>
      <c r="K61" s="786"/>
      <c r="L61" s="785"/>
      <c r="M61" s="786"/>
      <c r="N61" s="786"/>
      <c r="O61" s="786"/>
      <c r="P61" s="786"/>
      <c r="Q61" s="785"/>
      <c r="R61" s="786"/>
      <c r="S61" s="787"/>
      <c r="T61" s="787"/>
      <c r="U61" s="787"/>
      <c r="V61" s="786"/>
      <c r="W61" s="787"/>
      <c r="X61" s="787"/>
      <c r="Y61" s="787"/>
      <c r="Z61" s="787"/>
      <c r="AA61" s="1174"/>
      <c r="AB61" s="1174"/>
      <c r="AC61" s="1174"/>
      <c r="AD61" s="1174"/>
      <c r="AE61" s="1174"/>
      <c r="AF61" s="785"/>
      <c r="AG61" s="785"/>
      <c r="AH61" s="785"/>
      <c r="AI61" s="785"/>
      <c r="AM61" s="75">
        <v>1</v>
      </c>
      <c r="AN61" s="75">
        <v>307504</v>
      </c>
      <c r="AO61" s="75">
        <v>271195</v>
      </c>
      <c r="AP61" s="316">
        <v>275070</v>
      </c>
      <c r="AQ61" s="456">
        <v>337713</v>
      </c>
      <c r="AR61" s="75">
        <v>264037</v>
      </c>
      <c r="AS61" s="75">
        <v>276485</v>
      </c>
      <c r="AT61" s="75">
        <v>233995</v>
      </c>
      <c r="AU61" s="75">
        <v>256873</v>
      </c>
      <c r="AV61" s="75">
        <v>262059</v>
      </c>
      <c r="AW61" s="75">
        <v>261808</v>
      </c>
      <c r="AY61" s="130">
        <v>1</v>
      </c>
      <c r="AZ61" s="130">
        <v>290910</v>
      </c>
      <c r="BA61" s="130">
        <v>290063</v>
      </c>
      <c r="BB61" s="1175">
        <v>297886</v>
      </c>
      <c r="BC61" s="130">
        <v>279587</v>
      </c>
      <c r="BD61" s="130">
        <v>289831</v>
      </c>
      <c r="BE61" s="130">
        <v>296072</v>
      </c>
      <c r="BF61" s="75">
        <v>283087</v>
      </c>
      <c r="BG61" s="75">
        <v>282302</v>
      </c>
      <c r="BH61" s="75">
        <v>271537</v>
      </c>
      <c r="BI61" s="75">
        <v>275295</v>
      </c>
    </row>
    <row r="62" spans="1:61">
      <c r="A62" s="745" t="s">
        <v>749</v>
      </c>
      <c r="B62" s="788"/>
      <c r="C62" s="789"/>
      <c r="D62" s="789"/>
      <c r="E62" s="789"/>
      <c r="F62" s="789"/>
      <c r="G62" s="788"/>
      <c r="H62" s="789"/>
      <c r="I62" s="789"/>
      <c r="J62" s="789"/>
      <c r="K62" s="789"/>
      <c r="L62" s="788"/>
      <c r="M62" s="789"/>
      <c r="N62" s="789"/>
      <c r="O62" s="68">
        <f>消費ﾃﾞｰﾀ!AI17</f>
        <v>318312</v>
      </c>
      <c r="P62" s="68">
        <f>消費ﾃﾞｰﾀ!AJ17</f>
        <v>318268</v>
      </c>
      <c r="Q62" s="68">
        <f>消費ﾃﾞｰﾀ!AK17</f>
        <v>316329</v>
      </c>
      <c r="R62" s="68">
        <f>消費ﾃﾞｰﾀ!AL17</f>
        <v>322433</v>
      </c>
      <c r="S62" s="728">
        <f>消費ﾃﾞｰﾀ!AM17</f>
        <v>324869</v>
      </c>
      <c r="T62" s="728">
        <f>消費ﾃﾞｰﾀ!AN17</f>
        <v>312774</v>
      </c>
      <c r="U62" s="728">
        <f>消費ﾃﾞｰﾀ!AO17</f>
        <v>304713</v>
      </c>
      <c r="V62" s="68">
        <f>消費ﾃﾞｰﾀ!AP17</f>
        <v>306287</v>
      </c>
      <c r="W62" s="728">
        <f>消費ﾃﾞｰﾀ!AQ17</f>
        <v>295070</v>
      </c>
      <c r="X62" s="728">
        <f>消費ﾃﾞｰﾀ!AR17</f>
        <v>284024</v>
      </c>
      <c r="Y62" s="728">
        <f>消費ﾃﾞｰﾀ!AS17</f>
        <v>288761</v>
      </c>
      <c r="Z62" s="728">
        <f>消費ﾃﾞｰﾀ!AT17</f>
        <v>304007</v>
      </c>
      <c r="AA62" s="758">
        <f>消費ﾃﾞｰﾀ!AU17</f>
        <v>304743</v>
      </c>
      <c r="AB62" s="728">
        <f t="shared" ref="AB62:AK62" si="66">AA62</f>
        <v>304743</v>
      </c>
      <c r="AC62" s="728">
        <f t="shared" si="66"/>
        <v>304743</v>
      </c>
      <c r="AD62" s="728">
        <f t="shared" si="66"/>
        <v>304743</v>
      </c>
      <c r="AE62" s="728">
        <f t="shared" si="66"/>
        <v>304743</v>
      </c>
      <c r="AF62" s="758">
        <f t="shared" si="66"/>
        <v>304743</v>
      </c>
      <c r="AG62" s="758">
        <f t="shared" si="66"/>
        <v>304743</v>
      </c>
      <c r="AH62" s="758">
        <f t="shared" si="66"/>
        <v>304743</v>
      </c>
      <c r="AI62" s="758">
        <f t="shared" si="66"/>
        <v>304743</v>
      </c>
      <c r="AJ62" s="758">
        <f t="shared" si="66"/>
        <v>304743</v>
      </c>
      <c r="AK62" s="758">
        <f t="shared" si="66"/>
        <v>304743</v>
      </c>
      <c r="AL62" s="737"/>
      <c r="AM62" s="75">
        <v>2</v>
      </c>
      <c r="AN62" s="75">
        <v>322808</v>
      </c>
      <c r="AO62" s="75">
        <v>228755</v>
      </c>
      <c r="AP62" s="316">
        <v>262545</v>
      </c>
      <c r="AQ62" s="75">
        <v>288326</v>
      </c>
      <c r="AR62" s="75">
        <v>326536</v>
      </c>
      <c r="AS62" s="75">
        <v>251581</v>
      </c>
      <c r="AT62" s="75">
        <v>251082</v>
      </c>
      <c r="AU62" s="75">
        <v>226524</v>
      </c>
      <c r="AV62" s="75">
        <v>214409</v>
      </c>
      <c r="AW62" s="75">
        <v>313459</v>
      </c>
      <c r="AY62" s="75">
        <v>2</v>
      </c>
      <c r="AZ62" s="75">
        <v>271291</v>
      </c>
      <c r="BA62" s="75">
        <v>251076</v>
      </c>
      <c r="BB62" s="316">
        <v>259064</v>
      </c>
      <c r="BC62" s="75">
        <v>283557</v>
      </c>
      <c r="BD62" s="75">
        <v>259727</v>
      </c>
      <c r="BE62" s="75">
        <v>272111</v>
      </c>
      <c r="BF62" s="75">
        <v>267719</v>
      </c>
      <c r="BG62" s="75">
        <v>265786</v>
      </c>
      <c r="BH62" s="75">
        <v>256814</v>
      </c>
      <c r="BI62" s="75">
        <v>261951</v>
      </c>
    </row>
    <row r="63" spans="1:61">
      <c r="A63" s="751"/>
      <c r="B63" s="790" t="s">
        <v>627</v>
      </c>
      <c r="C63" s="791" t="s">
        <v>11</v>
      </c>
      <c r="D63" s="792"/>
      <c r="E63" s="792"/>
      <c r="F63" s="792"/>
      <c r="G63" s="792"/>
      <c r="H63" s="793"/>
      <c r="I63" s="793"/>
      <c r="J63" s="793"/>
      <c r="K63" s="793"/>
      <c r="L63" s="793"/>
      <c r="M63" s="793"/>
      <c r="N63" s="793"/>
      <c r="O63" s="793"/>
      <c r="P63" s="793"/>
      <c r="Q63" s="793"/>
      <c r="R63" s="793"/>
      <c r="S63" s="258"/>
      <c r="T63" s="258"/>
      <c r="U63" s="258"/>
      <c r="V63" s="793"/>
      <c r="W63" s="784">
        <f t="shared" ref="W63:AC63" si="67">BA74</f>
        <v>0.95212419499585166</v>
      </c>
      <c r="X63" s="784">
        <f t="shared" si="67"/>
        <v>1.0132953387471864</v>
      </c>
      <c r="Y63" s="784">
        <f t="shared" si="67"/>
        <v>0.97268148139481148</v>
      </c>
      <c r="Z63" s="784">
        <f t="shared" si="67"/>
        <v>1.0527989096848172</v>
      </c>
      <c r="AA63" s="783">
        <f t="shared" si="67"/>
        <v>1.0024214133261427</v>
      </c>
      <c r="AB63" s="784">
        <f t="shared" si="67"/>
        <v>0.98080656536513433</v>
      </c>
      <c r="AC63" s="784">
        <f t="shared" si="67"/>
        <v>0.97309853749409125</v>
      </c>
      <c r="AD63" s="784">
        <f>BH74</f>
        <v>0.98959925359208811</v>
      </c>
      <c r="AE63" s="784">
        <f>BI74</f>
        <v>1.0057872301396966</v>
      </c>
      <c r="AF63" s="1172">
        <f t="shared" ref="AF63:AK63" si="68">AE63</f>
        <v>1.0057872301396966</v>
      </c>
      <c r="AG63" s="1172">
        <f t="shared" si="68"/>
        <v>1.0057872301396966</v>
      </c>
      <c r="AH63" s="1172">
        <f t="shared" si="68"/>
        <v>1.0057872301396966</v>
      </c>
      <c r="AI63" s="1172">
        <f t="shared" si="68"/>
        <v>1.0057872301396966</v>
      </c>
      <c r="AJ63" s="1172">
        <f t="shared" si="68"/>
        <v>1.0057872301396966</v>
      </c>
      <c r="AK63" s="1172">
        <f t="shared" si="68"/>
        <v>1.0057872301396966</v>
      </c>
      <c r="AL63" s="1173"/>
      <c r="AM63" s="75">
        <v>3</v>
      </c>
      <c r="AN63" s="75">
        <v>283081</v>
      </c>
      <c r="AO63" s="75">
        <v>290247</v>
      </c>
      <c r="AP63" s="316">
        <v>280834</v>
      </c>
      <c r="AQ63" s="75">
        <v>271964</v>
      </c>
      <c r="AR63" s="75">
        <v>298361</v>
      </c>
      <c r="AS63" s="75">
        <v>309809</v>
      </c>
      <c r="AT63" s="75">
        <v>318550</v>
      </c>
      <c r="AU63" s="75">
        <v>282009</v>
      </c>
      <c r="AV63" s="75">
        <v>263817</v>
      </c>
      <c r="AW63" s="75">
        <v>261505</v>
      </c>
      <c r="AY63" s="75">
        <v>3</v>
      </c>
      <c r="AZ63" s="75">
        <v>317620</v>
      </c>
      <c r="BA63" s="75">
        <v>296345</v>
      </c>
      <c r="BB63" s="316">
        <v>286221</v>
      </c>
      <c r="BC63" s="75">
        <v>288385</v>
      </c>
      <c r="BD63" s="75">
        <v>314270</v>
      </c>
      <c r="BE63" s="75">
        <v>323128</v>
      </c>
      <c r="BF63" s="75">
        <v>321632</v>
      </c>
      <c r="BG63" s="75">
        <v>298844</v>
      </c>
      <c r="BH63" s="75">
        <v>295883</v>
      </c>
      <c r="BI63" s="75">
        <v>288503</v>
      </c>
    </row>
    <row r="64" spans="1:61">
      <c r="A64" s="794" t="s">
        <v>166</v>
      </c>
      <c r="B64" s="762">
        <f>消費ﾃﾞｰﾀ!B3</f>
        <v>314281</v>
      </c>
      <c r="C64" s="795"/>
      <c r="D64" s="795"/>
      <c r="E64" s="795"/>
      <c r="F64" s="795"/>
      <c r="G64" s="796">
        <f>消費ﾃﾞｰﾀ!C3</f>
        <v>361329</v>
      </c>
      <c r="H64" s="795"/>
      <c r="I64" s="795"/>
      <c r="J64" s="795"/>
      <c r="K64" s="795"/>
      <c r="L64" s="796">
        <f>消費ﾃﾞｰﾀ!D3</f>
        <v>342061</v>
      </c>
      <c r="M64" s="795"/>
      <c r="N64" s="795"/>
      <c r="O64" s="795"/>
      <c r="P64" s="795"/>
      <c r="Q64" s="796">
        <f>消費ﾃﾞｰﾀ!E3</f>
        <v>314498</v>
      </c>
      <c r="R64" s="795"/>
      <c r="S64" s="797"/>
      <c r="T64" s="797"/>
      <c r="U64" s="797"/>
      <c r="V64" s="797"/>
      <c r="W64" s="797"/>
      <c r="X64" s="73"/>
      <c r="Y64" s="1176"/>
      <c r="Z64" s="797"/>
      <c r="AA64" s="795">
        <f>消費ﾃﾞｰﾀ!L4</f>
        <v>297515</v>
      </c>
      <c r="AB64" s="1177">
        <f>AA64/AA65</f>
        <v>0.94948363459967322</v>
      </c>
      <c r="AC64" s="1178"/>
      <c r="AD64" s="1178"/>
      <c r="AE64" s="1178"/>
      <c r="AF64" s="785"/>
      <c r="AG64" s="785"/>
      <c r="AH64" s="785"/>
      <c r="AI64" s="785"/>
      <c r="AJ64" s="785"/>
      <c r="AK64" s="785"/>
      <c r="AM64" s="75">
        <v>4</v>
      </c>
      <c r="AN64" s="75">
        <v>271933</v>
      </c>
      <c r="AO64" s="75">
        <v>271660</v>
      </c>
      <c r="AP64" s="316">
        <v>295081</v>
      </c>
      <c r="AQ64" s="75">
        <v>242667</v>
      </c>
      <c r="AR64" s="75">
        <v>238053</v>
      </c>
      <c r="AS64" s="75">
        <v>281478</v>
      </c>
      <c r="AT64" s="75">
        <v>287052</v>
      </c>
      <c r="AU64" s="75">
        <v>287251</v>
      </c>
      <c r="AV64" s="75">
        <v>251966</v>
      </c>
      <c r="AW64" s="75">
        <v>311718</v>
      </c>
      <c r="AY64" s="75">
        <v>4</v>
      </c>
      <c r="AZ64" s="75">
        <v>308035</v>
      </c>
      <c r="BA64" s="75">
        <v>282562</v>
      </c>
      <c r="BB64" s="316">
        <v>289114</v>
      </c>
      <c r="BC64" s="75">
        <v>281962</v>
      </c>
      <c r="BD64" s="75">
        <v>295963</v>
      </c>
      <c r="BE64" s="75">
        <v>297935</v>
      </c>
      <c r="BF64" s="75">
        <v>290192</v>
      </c>
      <c r="BG64" s="75">
        <v>287854</v>
      </c>
      <c r="BH64" s="75">
        <v>284290</v>
      </c>
      <c r="BI64" s="75">
        <v>274841</v>
      </c>
    </row>
    <row r="65" spans="1:91">
      <c r="A65" s="794" t="s">
        <v>172</v>
      </c>
      <c r="B65" s="743">
        <f>消費ﾃﾞｰﾀ!B5</f>
        <v>323021</v>
      </c>
      <c r="C65" s="795">
        <f>ROUND($B$65*C60,0)</f>
        <v>303678</v>
      </c>
      <c r="D65" s="795">
        <f>ROUND($B$65*D60,0)</f>
        <v>331000</v>
      </c>
      <c r="E65" s="795">
        <f>ROUND($G$65*E60,0)</f>
        <v>287688</v>
      </c>
      <c r="F65" s="795">
        <f>ROUND($G$65*F60,0)</f>
        <v>288959</v>
      </c>
      <c r="G65" s="795">
        <v>312700</v>
      </c>
      <c r="H65" s="795">
        <f>ROUND(H59*$G$65/$G$59,0)</f>
        <v>342612</v>
      </c>
      <c r="I65" s="795">
        <f>ROUND(I59*$G$65/$G$59,0)</f>
        <v>313016</v>
      </c>
      <c r="J65" s="795">
        <f>ROUND(J59*$G$65/$G$59,0)</f>
        <v>324899</v>
      </c>
      <c r="K65" s="795">
        <f>ROUND(K59*$G$65/$G$59,0)</f>
        <v>320820</v>
      </c>
      <c r="L65" s="795">
        <f>消費ﾃﾞｰﾀ!D5</f>
        <v>336868</v>
      </c>
      <c r="M65" s="795">
        <f>ROUND($L$65*M60,0)</f>
        <v>305948</v>
      </c>
      <c r="N65" s="795">
        <f>ROUND($L$65*N60,0)</f>
        <v>294461</v>
      </c>
      <c r="O65" s="795">
        <f>ROUND($Q$65*O60,0)</f>
        <v>368015</v>
      </c>
      <c r="P65" s="795">
        <f>ROUND($Q$65*P60,0)</f>
        <v>365463</v>
      </c>
      <c r="Q65" s="795">
        <f>消費ﾃﾞｰﾀ!E4</f>
        <v>317936</v>
      </c>
      <c r="R65" s="796">
        <f>ROUND(Q65+(V65-Q65)/5,0)</f>
        <v>317820</v>
      </c>
      <c r="S65" s="797">
        <f>ROUND(Q65+(V65-Q65)/5*2,0)</f>
        <v>317703</v>
      </c>
      <c r="T65" s="797">
        <f>ROUND(Q65+(V65-Q65)/5*3,0)</f>
        <v>317587</v>
      </c>
      <c r="U65" s="73">
        <f>ROUND(Q65+(V65-Q65)/5*4,0)</f>
        <v>317470</v>
      </c>
      <c r="V65" s="795">
        <f>消費ﾃﾞｰﾀ!F4</f>
        <v>317354</v>
      </c>
      <c r="W65" s="73">
        <f t="shared" ref="W65:AF65" si="69">ROUND(V65*AP83,0)</f>
        <v>317900</v>
      </c>
      <c r="X65" s="73">
        <f t="shared" si="69"/>
        <v>306713</v>
      </c>
      <c r="Y65" s="73">
        <f t="shared" si="69"/>
        <v>307570</v>
      </c>
      <c r="Z65" s="797">
        <f t="shared" si="69"/>
        <v>317044</v>
      </c>
      <c r="AA65" s="73">
        <f t="shared" si="69"/>
        <v>313344</v>
      </c>
      <c r="AB65" s="73">
        <f t="shared" si="69"/>
        <v>311211</v>
      </c>
      <c r="AC65" s="73">
        <f t="shared" si="69"/>
        <v>312399</v>
      </c>
      <c r="AD65" s="73">
        <f t="shared" si="69"/>
        <v>313881</v>
      </c>
      <c r="AE65" s="73">
        <f t="shared" si="69"/>
        <v>313277</v>
      </c>
      <c r="AF65" s="73">
        <f t="shared" si="69"/>
        <v>315010</v>
      </c>
      <c r="AG65" s="73">
        <f>ROUND(AF65*BR128,0)</f>
        <v>304882</v>
      </c>
      <c r="AH65" s="1169">
        <f>AG65</f>
        <v>304882</v>
      </c>
      <c r="AI65" s="1169">
        <f>AH65</f>
        <v>304882</v>
      </c>
      <c r="AJ65" s="1169">
        <f>AI65</f>
        <v>304882</v>
      </c>
      <c r="AK65" s="1169">
        <f>AJ65</f>
        <v>304882</v>
      </c>
      <c r="AL65" s="75" t="s">
        <v>1014</v>
      </c>
      <c r="AM65" s="75">
        <v>5</v>
      </c>
      <c r="AN65" s="75">
        <v>286126</v>
      </c>
      <c r="AO65" s="75">
        <v>288212</v>
      </c>
      <c r="AP65" s="316">
        <v>266898</v>
      </c>
      <c r="AQ65" s="75">
        <v>242509</v>
      </c>
      <c r="AR65" s="75">
        <v>226378</v>
      </c>
      <c r="AS65" s="75">
        <v>263851</v>
      </c>
      <c r="AT65" s="75">
        <v>319529</v>
      </c>
      <c r="AU65" s="75">
        <v>261892</v>
      </c>
      <c r="AV65" s="75">
        <v>261675</v>
      </c>
      <c r="AW65" s="75">
        <v>250062</v>
      </c>
      <c r="AY65" s="75">
        <v>5</v>
      </c>
      <c r="AZ65" s="75">
        <v>285747</v>
      </c>
      <c r="BA65" s="75">
        <v>273580</v>
      </c>
      <c r="BB65" s="316">
        <v>284218</v>
      </c>
      <c r="BC65" s="75">
        <v>267615</v>
      </c>
      <c r="BD65" s="75">
        <v>279397</v>
      </c>
      <c r="BE65" s="75">
        <v>269189</v>
      </c>
      <c r="BF65" s="75">
        <v>285790</v>
      </c>
      <c r="BG65" s="75">
        <v>271411</v>
      </c>
      <c r="BH65" s="75">
        <v>282018</v>
      </c>
      <c r="BI65" s="75">
        <v>273422</v>
      </c>
    </row>
    <row r="66" spans="1:91">
      <c r="A66" s="763" t="s">
        <v>182</v>
      </c>
      <c r="B66" s="798"/>
      <c r="C66" s="744"/>
      <c r="D66" s="744"/>
      <c r="E66" s="744"/>
      <c r="F66" s="744"/>
      <c r="G66" s="796"/>
      <c r="H66" s="744"/>
      <c r="I66" s="744"/>
      <c r="J66" s="744"/>
      <c r="K66" s="744"/>
      <c r="L66" s="796"/>
      <c r="M66" s="744"/>
      <c r="N66" s="744"/>
      <c r="O66" s="744"/>
      <c r="P66" s="744"/>
      <c r="Q66" s="795">
        <f>消費ﾃﾞｰﾀ!E5</f>
        <v>312700</v>
      </c>
      <c r="R66" s="796">
        <f>ROUND(Q66+(V66-Q66)/5,0)</f>
        <v>312768</v>
      </c>
      <c r="S66" s="797">
        <f>ROUND(Q66+(V66-Q66)/5*2,0)</f>
        <v>312837</v>
      </c>
      <c r="T66" s="797">
        <f>ROUND(Q66+(V66-Q66)/5*3,0)</f>
        <v>312905</v>
      </c>
      <c r="U66" s="73">
        <f>ROUND(Q66+(V66-Q66)/5*4,0)</f>
        <v>312974</v>
      </c>
      <c r="V66" s="1179">
        <f>消費ﾃﾞｰﾀ!F5</f>
        <v>313042</v>
      </c>
      <c r="W66" s="73"/>
      <c r="X66" s="73" t="s">
        <v>627</v>
      </c>
      <c r="Y66" s="73"/>
      <c r="Z66" s="797"/>
      <c r="AA66" s="795">
        <f>消費ﾃﾞｰﾀ!L6</f>
        <v>291455</v>
      </c>
      <c r="AB66" s="1177">
        <f>AA66/AA67</f>
        <v>0.94295457266077187</v>
      </c>
      <c r="AC66" s="73"/>
      <c r="AD66" s="73"/>
      <c r="AE66" s="73"/>
      <c r="AF66" s="73"/>
      <c r="AG66" s="73"/>
      <c r="AH66" s="1169"/>
      <c r="AI66" s="1169"/>
      <c r="AJ66" s="1169"/>
      <c r="AK66" s="1169"/>
      <c r="AL66" s="75" t="s">
        <v>627</v>
      </c>
      <c r="AM66" s="75">
        <v>6</v>
      </c>
      <c r="AN66" s="75">
        <v>281333</v>
      </c>
      <c r="AO66" s="75">
        <v>262156</v>
      </c>
      <c r="AP66" s="316">
        <v>276792</v>
      </c>
      <c r="AQ66" s="75">
        <v>302182</v>
      </c>
      <c r="AR66" s="75">
        <v>244596</v>
      </c>
      <c r="AS66" s="75">
        <v>220544</v>
      </c>
      <c r="AT66" s="75">
        <v>241309</v>
      </c>
      <c r="AU66" s="75">
        <v>222743</v>
      </c>
      <c r="AV66" s="75">
        <v>209924</v>
      </c>
      <c r="AW66" s="75">
        <v>235688</v>
      </c>
      <c r="AY66" s="75">
        <v>6</v>
      </c>
      <c r="AZ66" s="75">
        <v>286687</v>
      </c>
      <c r="BA66" s="75">
        <v>272946</v>
      </c>
      <c r="BB66" s="316">
        <v>276336</v>
      </c>
      <c r="BC66" s="75">
        <v>254968</v>
      </c>
      <c r="BD66" s="75">
        <v>268813</v>
      </c>
      <c r="BE66" s="75">
        <v>279633</v>
      </c>
      <c r="BF66" s="75">
        <v>256285</v>
      </c>
      <c r="BG66" s="75">
        <v>242924</v>
      </c>
      <c r="BH66" s="75">
        <v>256197</v>
      </c>
      <c r="BI66" s="75">
        <v>263513</v>
      </c>
    </row>
    <row r="67" spans="1:91">
      <c r="A67" s="741" t="s">
        <v>183</v>
      </c>
      <c r="B67" s="796">
        <f>B65</f>
        <v>323021</v>
      </c>
      <c r="C67" s="744">
        <f>C65</f>
        <v>303678</v>
      </c>
      <c r="D67" s="744">
        <f t="shared" ref="D67:P67" si="70">D65</f>
        <v>331000</v>
      </c>
      <c r="E67" s="744">
        <f t="shared" si="70"/>
        <v>287688</v>
      </c>
      <c r="F67" s="744">
        <f t="shared" si="70"/>
        <v>288959</v>
      </c>
      <c r="G67" s="796">
        <f t="shared" si="70"/>
        <v>312700</v>
      </c>
      <c r="H67" s="744">
        <f t="shared" si="70"/>
        <v>342612</v>
      </c>
      <c r="I67" s="744">
        <f t="shared" si="70"/>
        <v>313016</v>
      </c>
      <c r="J67" s="744">
        <f t="shared" si="70"/>
        <v>324899</v>
      </c>
      <c r="K67" s="744">
        <f t="shared" si="70"/>
        <v>320820</v>
      </c>
      <c r="L67" s="796">
        <f t="shared" si="70"/>
        <v>336868</v>
      </c>
      <c r="M67" s="744">
        <f t="shared" si="70"/>
        <v>305948</v>
      </c>
      <c r="N67" s="744">
        <f t="shared" si="70"/>
        <v>294461</v>
      </c>
      <c r="O67" s="744">
        <f t="shared" si="70"/>
        <v>368015</v>
      </c>
      <c r="P67" s="744">
        <f t="shared" si="70"/>
        <v>365463</v>
      </c>
      <c r="Q67" s="796">
        <f t="shared" ref="Q67:V67" si="71">Q66</f>
        <v>312700</v>
      </c>
      <c r="R67" s="744">
        <f t="shared" si="71"/>
        <v>312768</v>
      </c>
      <c r="S67" s="797">
        <f t="shared" si="71"/>
        <v>312837</v>
      </c>
      <c r="T67" s="797">
        <f t="shared" si="71"/>
        <v>312905</v>
      </c>
      <c r="U67" s="797">
        <f t="shared" si="71"/>
        <v>312974</v>
      </c>
      <c r="V67" s="744">
        <f t="shared" si="71"/>
        <v>313042</v>
      </c>
      <c r="W67" s="73">
        <f t="shared" ref="W67:AF67" si="72">ROUND(V67*AP83,0)</f>
        <v>313581</v>
      </c>
      <c r="X67" s="73">
        <f t="shared" si="72"/>
        <v>302546</v>
      </c>
      <c r="Y67" s="73">
        <f t="shared" si="72"/>
        <v>303391</v>
      </c>
      <c r="Z67" s="797">
        <f t="shared" si="72"/>
        <v>312737</v>
      </c>
      <c r="AA67" s="73">
        <f t="shared" si="72"/>
        <v>309087</v>
      </c>
      <c r="AB67" s="73">
        <f t="shared" si="72"/>
        <v>306983</v>
      </c>
      <c r="AC67" s="73">
        <f t="shared" si="72"/>
        <v>308155</v>
      </c>
      <c r="AD67" s="73">
        <f t="shared" si="72"/>
        <v>309617</v>
      </c>
      <c r="AE67" s="73">
        <f t="shared" si="72"/>
        <v>309021</v>
      </c>
      <c r="AF67" s="73">
        <f t="shared" si="72"/>
        <v>310730</v>
      </c>
      <c r="AG67" s="73">
        <f>ROUND(AF67*BR128,0)</f>
        <v>300739</v>
      </c>
      <c r="AH67" s="1169">
        <f t="shared" ref="AH67:AK69" si="73">AG67</f>
        <v>300739</v>
      </c>
      <c r="AI67" s="1169">
        <f t="shared" si="73"/>
        <v>300739</v>
      </c>
      <c r="AJ67" s="1169">
        <f t="shared" si="73"/>
        <v>300739</v>
      </c>
      <c r="AK67" s="1169">
        <f t="shared" si="73"/>
        <v>300739</v>
      </c>
      <c r="AL67" s="75" t="s">
        <v>1014</v>
      </c>
      <c r="AM67" s="75">
        <v>7</v>
      </c>
      <c r="AN67" s="75">
        <v>260482</v>
      </c>
      <c r="AO67" s="75">
        <v>260793</v>
      </c>
      <c r="AP67" s="316">
        <v>260044</v>
      </c>
      <c r="AQ67" s="75">
        <v>256472</v>
      </c>
      <c r="AR67" s="75">
        <v>226034</v>
      </c>
      <c r="AS67" s="75">
        <v>240903</v>
      </c>
      <c r="AT67" s="75">
        <v>266084</v>
      </c>
      <c r="AU67" s="75">
        <v>241712</v>
      </c>
      <c r="AV67" s="75">
        <v>206168</v>
      </c>
      <c r="AW67" s="75">
        <v>293775</v>
      </c>
      <c r="AY67" s="75">
        <v>7</v>
      </c>
      <c r="AZ67" s="75">
        <v>290592</v>
      </c>
      <c r="BA67" s="75">
        <v>266167</v>
      </c>
      <c r="BB67" s="316">
        <v>280970</v>
      </c>
      <c r="BC67" s="75">
        <v>286150</v>
      </c>
      <c r="BD67" s="75">
        <v>286152</v>
      </c>
      <c r="BE67" s="75">
        <v>283992</v>
      </c>
      <c r="BF67" s="75">
        <v>274454</v>
      </c>
      <c r="BG67" s="75">
        <v>284342</v>
      </c>
      <c r="BH67" s="75">
        <v>270011</v>
      </c>
      <c r="BI67" s="75">
        <v>272497</v>
      </c>
    </row>
    <row r="68" spans="1:91">
      <c r="A68" s="741" t="s">
        <v>184</v>
      </c>
      <c r="B68" s="796">
        <f>B65</f>
        <v>323021</v>
      </c>
      <c r="C68" s="744">
        <f>C65</f>
        <v>303678</v>
      </c>
      <c r="D68" s="744">
        <f t="shared" ref="D68:P68" si="74">D65</f>
        <v>331000</v>
      </c>
      <c r="E68" s="744">
        <f t="shared" si="74"/>
        <v>287688</v>
      </c>
      <c r="F68" s="744">
        <f t="shared" si="74"/>
        <v>288959</v>
      </c>
      <c r="G68" s="796">
        <f t="shared" si="74"/>
        <v>312700</v>
      </c>
      <c r="H68" s="744">
        <f t="shared" si="74"/>
        <v>342612</v>
      </c>
      <c r="I68" s="744">
        <f t="shared" si="74"/>
        <v>313016</v>
      </c>
      <c r="J68" s="744">
        <f t="shared" si="74"/>
        <v>324899</v>
      </c>
      <c r="K68" s="744">
        <f t="shared" si="74"/>
        <v>320820</v>
      </c>
      <c r="L68" s="796">
        <f t="shared" si="74"/>
        <v>336868</v>
      </c>
      <c r="M68" s="744">
        <f t="shared" si="74"/>
        <v>305948</v>
      </c>
      <c r="N68" s="744">
        <f t="shared" si="74"/>
        <v>294461</v>
      </c>
      <c r="O68" s="744">
        <f t="shared" si="74"/>
        <v>368015</v>
      </c>
      <c r="P68" s="744">
        <f t="shared" si="74"/>
        <v>365463</v>
      </c>
      <c r="Q68" s="796">
        <f t="shared" ref="Q68:V68" si="75">Q66</f>
        <v>312700</v>
      </c>
      <c r="R68" s="744">
        <f t="shared" si="75"/>
        <v>312768</v>
      </c>
      <c r="S68" s="797">
        <f t="shared" si="75"/>
        <v>312837</v>
      </c>
      <c r="T68" s="797">
        <f t="shared" si="75"/>
        <v>312905</v>
      </c>
      <c r="U68" s="797">
        <f t="shared" si="75"/>
        <v>312974</v>
      </c>
      <c r="V68" s="744">
        <f t="shared" si="75"/>
        <v>313042</v>
      </c>
      <c r="W68" s="73">
        <f t="shared" ref="W68:AF68" si="76">ROUND(V68*AP83,0)</f>
        <v>313581</v>
      </c>
      <c r="X68" s="73">
        <f t="shared" si="76"/>
        <v>302546</v>
      </c>
      <c r="Y68" s="73">
        <f t="shared" si="76"/>
        <v>303391</v>
      </c>
      <c r="Z68" s="797">
        <f t="shared" si="76"/>
        <v>312737</v>
      </c>
      <c r="AA68" s="73">
        <f t="shared" si="76"/>
        <v>309087</v>
      </c>
      <c r="AB68" s="73">
        <f t="shared" si="76"/>
        <v>306983</v>
      </c>
      <c r="AC68" s="73">
        <f t="shared" si="76"/>
        <v>308155</v>
      </c>
      <c r="AD68" s="73">
        <f t="shared" si="76"/>
        <v>309617</v>
      </c>
      <c r="AE68" s="73">
        <f t="shared" si="76"/>
        <v>309021</v>
      </c>
      <c r="AF68" s="73">
        <f t="shared" si="76"/>
        <v>310730</v>
      </c>
      <c r="AG68" s="73">
        <f>ROUND(AF68*BR128,0)</f>
        <v>300739</v>
      </c>
      <c r="AH68" s="1169">
        <f t="shared" si="73"/>
        <v>300739</v>
      </c>
      <c r="AI68" s="1169">
        <f t="shared" si="73"/>
        <v>300739</v>
      </c>
      <c r="AJ68" s="1169">
        <f t="shared" si="73"/>
        <v>300739</v>
      </c>
      <c r="AK68" s="1169">
        <f t="shared" si="73"/>
        <v>300739</v>
      </c>
      <c r="AL68" s="75" t="s">
        <v>1014</v>
      </c>
      <c r="AM68" s="75">
        <v>8</v>
      </c>
      <c r="AN68" s="75">
        <v>265646</v>
      </c>
      <c r="AO68" s="75">
        <v>258602</v>
      </c>
      <c r="AP68" s="316">
        <v>267157</v>
      </c>
      <c r="AQ68" s="75">
        <v>256140</v>
      </c>
      <c r="AR68" s="75">
        <v>263316</v>
      </c>
      <c r="AS68" s="75">
        <v>239634</v>
      </c>
      <c r="AT68" s="75">
        <v>245697</v>
      </c>
      <c r="AU68" s="75">
        <v>259415</v>
      </c>
      <c r="AV68" s="75">
        <v>208005</v>
      </c>
      <c r="AW68" s="75">
        <v>268308</v>
      </c>
      <c r="AY68" s="75">
        <v>8</v>
      </c>
      <c r="AZ68" s="75">
        <v>291004</v>
      </c>
      <c r="BA68" s="75">
        <v>271394</v>
      </c>
      <c r="BB68" s="316">
        <v>283975</v>
      </c>
      <c r="BC68" s="75">
        <v>275097</v>
      </c>
      <c r="BD68" s="75">
        <v>292647</v>
      </c>
      <c r="BE68" s="75">
        <v>286694</v>
      </c>
      <c r="BF68" s="75">
        <v>280265</v>
      </c>
      <c r="BG68" s="75">
        <v>276144</v>
      </c>
      <c r="BH68" s="75">
        <v>271202</v>
      </c>
      <c r="BI68" s="75">
        <v>276613</v>
      </c>
    </row>
    <row r="69" spans="1:91">
      <c r="A69" s="741" t="s">
        <v>185</v>
      </c>
      <c r="B69" s="796">
        <f>B65</f>
        <v>323021</v>
      </c>
      <c r="C69" s="744">
        <f>C65</f>
        <v>303678</v>
      </c>
      <c r="D69" s="744">
        <f t="shared" ref="D69:P69" si="77">D65</f>
        <v>331000</v>
      </c>
      <c r="E69" s="744">
        <f t="shared" si="77"/>
        <v>287688</v>
      </c>
      <c r="F69" s="744">
        <f t="shared" si="77"/>
        <v>288959</v>
      </c>
      <c r="G69" s="796">
        <f t="shared" si="77"/>
        <v>312700</v>
      </c>
      <c r="H69" s="744">
        <f t="shared" si="77"/>
        <v>342612</v>
      </c>
      <c r="I69" s="744">
        <f t="shared" si="77"/>
        <v>313016</v>
      </c>
      <c r="J69" s="744">
        <f t="shared" si="77"/>
        <v>324899</v>
      </c>
      <c r="K69" s="744">
        <f t="shared" si="77"/>
        <v>320820</v>
      </c>
      <c r="L69" s="796">
        <f t="shared" si="77"/>
        <v>336868</v>
      </c>
      <c r="M69" s="744">
        <f t="shared" si="77"/>
        <v>305948</v>
      </c>
      <c r="N69" s="744">
        <f t="shared" si="77"/>
        <v>294461</v>
      </c>
      <c r="O69" s="744">
        <f t="shared" si="77"/>
        <v>368015</v>
      </c>
      <c r="P69" s="744">
        <f t="shared" si="77"/>
        <v>365463</v>
      </c>
      <c r="Q69" s="796">
        <f t="shared" ref="Q69:V69" si="78">Q66</f>
        <v>312700</v>
      </c>
      <c r="R69" s="744">
        <f t="shared" si="78"/>
        <v>312768</v>
      </c>
      <c r="S69" s="797">
        <f t="shared" si="78"/>
        <v>312837</v>
      </c>
      <c r="T69" s="797">
        <f t="shared" si="78"/>
        <v>312905</v>
      </c>
      <c r="U69" s="797">
        <f t="shared" si="78"/>
        <v>312974</v>
      </c>
      <c r="V69" s="744">
        <f t="shared" si="78"/>
        <v>313042</v>
      </c>
      <c r="W69" s="73">
        <f t="shared" ref="W69:AF69" si="79">ROUND(V69*AP85,0)</f>
        <v>303032</v>
      </c>
      <c r="X69" s="73">
        <f t="shared" si="79"/>
        <v>304092</v>
      </c>
      <c r="Y69" s="73">
        <f t="shared" si="79"/>
        <v>310880</v>
      </c>
      <c r="Z69" s="797">
        <f t="shared" si="79"/>
        <v>303844</v>
      </c>
      <c r="AA69" s="73">
        <f t="shared" si="79"/>
        <v>312739</v>
      </c>
      <c r="AB69" s="73">
        <f t="shared" si="79"/>
        <v>307933</v>
      </c>
      <c r="AC69" s="73">
        <f t="shared" si="79"/>
        <v>303487</v>
      </c>
      <c r="AD69" s="73">
        <f t="shared" si="79"/>
        <v>295223</v>
      </c>
      <c r="AE69" s="73">
        <f t="shared" si="79"/>
        <v>306720</v>
      </c>
      <c r="AF69" s="73">
        <f t="shared" si="79"/>
        <v>317507</v>
      </c>
      <c r="AG69" s="73">
        <f>ROUND(AF69*BT128,0)</f>
        <v>294061</v>
      </c>
      <c r="AH69" s="1169">
        <f t="shared" si="73"/>
        <v>294061</v>
      </c>
      <c r="AI69" s="1169">
        <f t="shared" si="73"/>
        <v>294061</v>
      </c>
      <c r="AJ69" s="1169">
        <f t="shared" si="73"/>
        <v>294061</v>
      </c>
      <c r="AK69" s="1169">
        <f t="shared" si="73"/>
        <v>294061</v>
      </c>
      <c r="AL69" s="75" t="s">
        <v>1017</v>
      </c>
      <c r="AM69" s="75">
        <v>9</v>
      </c>
      <c r="AN69" s="75">
        <v>257244</v>
      </c>
      <c r="AO69" s="75">
        <v>294256</v>
      </c>
      <c r="AP69" s="75">
        <v>236265</v>
      </c>
      <c r="AQ69" s="75">
        <v>242768</v>
      </c>
      <c r="AR69" s="75">
        <v>259285</v>
      </c>
      <c r="AS69" s="75">
        <v>243437</v>
      </c>
      <c r="AT69" s="75">
        <v>234091</v>
      </c>
      <c r="AU69" s="75">
        <v>251473</v>
      </c>
      <c r="AV69" s="75">
        <v>207393</v>
      </c>
      <c r="AW69" s="75">
        <v>280087</v>
      </c>
      <c r="AY69" s="75">
        <v>9</v>
      </c>
      <c r="AZ69" s="1180">
        <v>278908</v>
      </c>
      <c r="BA69" s="75">
        <v>280084</v>
      </c>
      <c r="BB69" s="75">
        <v>260657</v>
      </c>
      <c r="BC69" s="75">
        <v>248639</v>
      </c>
      <c r="BD69" s="75">
        <v>269797</v>
      </c>
      <c r="BE69" s="75">
        <v>283204</v>
      </c>
      <c r="BF69" s="75">
        <v>274744</v>
      </c>
      <c r="BG69" s="75">
        <v>274400</v>
      </c>
      <c r="BH69" s="75">
        <v>263089</v>
      </c>
      <c r="BI69" s="75">
        <v>261081</v>
      </c>
    </row>
    <row r="70" spans="1:91">
      <c r="A70" s="763" t="s">
        <v>186</v>
      </c>
      <c r="B70" s="796"/>
      <c r="C70" s="744"/>
      <c r="D70" s="744"/>
      <c r="E70" s="744"/>
      <c r="F70" s="744"/>
      <c r="G70" s="796"/>
      <c r="H70" s="744"/>
      <c r="I70" s="744"/>
      <c r="J70" s="744"/>
      <c r="K70" s="744"/>
      <c r="L70" s="796"/>
      <c r="M70" s="744"/>
      <c r="N70" s="744"/>
      <c r="O70" s="744"/>
      <c r="P70" s="744"/>
      <c r="Q70" s="796"/>
      <c r="R70" s="744"/>
      <c r="S70" s="797"/>
      <c r="T70" s="797"/>
      <c r="U70" s="797"/>
      <c r="V70" s="744"/>
      <c r="W70" s="797"/>
      <c r="X70" s="73" t="s">
        <v>627</v>
      </c>
      <c r="Y70" s="73"/>
      <c r="Z70" s="797"/>
      <c r="AA70" s="795">
        <f>消費ﾃﾞｰﾀ!L7</f>
        <v>291383</v>
      </c>
      <c r="AB70" s="1177">
        <f>AA70/AA71</f>
        <v>0.92641354664767528</v>
      </c>
      <c r="AC70" s="73"/>
      <c r="AD70" s="73"/>
      <c r="AE70" s="73"/>
      <c r="AF70" s="73"/>
      <c r="AG70" s="73"/>
      <c r="AH70" s="1169"/>
      <c r="AI70" s="1169"/>
      <c r="AJ70" s="1169"/>
      <c r="AK70" s="1169"/>
      <c r="AL70" s="75" t="s">
        <v>627</v>
      </c>
      <c r="AM70" s="75">
        <v>10</v>
      </c>
      <c r="AN70" s="75">
        <v>280588</v>
      </c>
      <c r="AO70" s="75">
        <v>305421</v>
      </c>
      <c r="AP70" s="75">
        <v>279028</v>
      </c>
      <c r="AQ70" s="75">
        <v>260504</v>
      </c>
      <c r="AR70" s="75">
        <v>277819</v>
      </c>
      <c r="AS70" s="75">
        <v>257598</v>
      </c>
      <c r="AT70" s="75">
        <v>233283</v>
      </c>
      <c r="AU70" s="75">
        <v>285639</v>
      </c>
      <c r="AV70" s="75">
        <v>247889</v>
      </c>
      <c r="AW70" s="75">
        <v>316708</v>
      </c>
      <c r="AY70" s="75">
        <v>10</v>
      </c>
      <c r="AZ70" s="75">
        <v>286821</v>
      </c>
      <c r="BA70" s="75">
        <v>284321</v>
      </c>
      <c r="BB70" s="75">
        <v>281375</v>
      </c>
      <c r="BC70" s="75">
        <v>270828</v>
      </c>
      <c r="BD70" s="75">
        <v>308105</v>
      </c>
      <c r="BE70" s="75">
        <v>286325</v>
      </c>
      <c r="BF70" s="75">
        <v>295514</v>
      </c>
      <c r="BG70" s="75">
        <v>273773</v>
      </c>
      <c r="BH70" s="75">
        <v>273416</v>
      </c>
      <c r="BI70" s="75">
        <v>287982</v>
      </c>
    </row>
    <row r="71" spans="1:91">
      <c r="A71" s="741" t="s">
        <v>187</v>
      </c>
      <c r="B71" s="796">
        <f>B65</f>
        <v>323021</v>
      </c>
      <c r="C71" s="744">
        <f>C65</f>
        <v>303678</v>
      </c>
      <c r="D71" s="744">
        <f t="shared" ref="D71:P71" si="80">D65</f>
        <v>331000</v>
      </c>
      <c r="E71" s="744">
        <f t="shared" si="80"/>
        <v>287688</v>
      </c>
      <c r="F71" s="744">
        <f t="shared" si="80"/>
        <v>288959</v>
      </c>
      <c r="G71" s="796">
        <f t="shared" si="80"/>
        <v>312700</v>
      </c>
      <c r="H71" s="744">
        <f t="shared" si="80"/>
        <v>342612</v>
      </c>
      <c r="I71" s="744">
        <f t="shared" si="80"/>
        <v>313016</v>
      </c>
      <c r="J71" s="744">
        <f t="shared" si="80"/>
        <v>324899</v>
      </c>
      <c r="K71" s="744">
        <f t="shared" si="80"/>
        <v>320820</v>
      </c>
      <c r="L71" s="796">
        <f t="shared" si="80"/>
        <v>336868</v>
      </c>
      <c r="M71" s="744">
        <f t="shared" si="80"/>
        <v>305948</v>
      </c>
      <c r="N71" s="744">
        <f t="shared" si="80"/>
        <v>294461</v>
      </c>
      <c r="O71" s="744">
        <f t="shared" si="80"/>
        <v>368015</v>
      </c>
      <c r="P71" s="744">
        <f t="shared" si="80"/>
        <v>365463</v>
      </c>
      <c r="Q71" s="796">
        <f t="shared" ref="Q71:V71" si="81">Q66</f>
        <v>312700</v>
      </c>
      <c r="R71" s="744">
        <f t="shared" si="81"/>
        <v>312768</v>
      </c>
      <c r="S71" s="797">
        <f t="shared" si="81"/>
        <v>312837</v>
      </c>
      <c r="T71" s="797">
        <f t="shared" si="81"/>
        <v>312905</v>
      </c>
      <c r="U71" s="797">
        <f t="shared" si="81"/>
        <v>312974</v>
      </c>
      <c r="V71" s="744">
        <f t="shared" si="81"/>
        <v>313042</v>
      </c>
      <c r="W71" s="73">
        <f t="shared" ref="W71:AF71" si="82">ROUND(V71*AP84,0)</f>
        <v>313703</v>
      </c>
      <c r="X71" s="73">
        <f t="shared" si="82"/>
        <v>299817</v>
      </c>
      <c r="Y71" s="73">
        <f t="shared" si="82"/>
        <v>304120</v>
      </c>
      <c r="Z71" s="797">
        <f t="shared" si="82"/>
        <v>314852</v>
      </c>
      <c r="AA71" s="73">
        <f t="shared" si="82"/>
        <v>314528</v>
      </c>
      <c r="AB71" s="73">
        <f t="shared" si="82"/>
        <v>308536</v>
      </c>
      <c r="AC71" s="73">
        <f t="shared" si="82"/>
        <v>300426</v>
      </c>
      <c r="AD71" s="73">
        <f t="shared" si="82"/>
        <v>305104</v>
      </c>
      <c r="AE71" s="73">
        <f t="shared" si="82"/>
        <v>307342</v>
      </c>
      <c r="AF71" s="73">
        <f t="shared" si="82"/>
        <v>312246</v>
      </c>
      <c r="AG71" s="73">
        <f>ROUND(AF71*BS128,0)</f>
        <v>297528</v>
      </c>
      <c r="AH71" s="1169">
        <f t="shared" ref="AH71:AK75" si="83">AG71</f>
        <v>297528</v>
      </c>
      <c r="AI71" s="1169">
        <f t="shared" si="83"/>
        <v>297528</v>
      </c>
      <c r="AJ71" s="1169">
        <f t="shared" si="83"/>
        <v>297528</v>
      </c>
      <c r="AK71" s="1169">
        <f t="shared" si="83"/>
        <v>297528</v>
      </c>
      <c r="AL71" s="75" t="s">
        <v>1016</v>
      </c>
      <c r="AM71" s="75">
        <v>11</v>
      </c>
      <c r="AN71" s="75">
        <v>279762</v>
      </c>
      <c r="AO71" s="75">
        <v>276546</v>
      </c>
      <c r="AP71" s="75">
        <v>253301</v>
      </c>
      <c r="AQ71" s="453">
        <v>245190</v>
      </c>
      <c r="AR71" s="456">
        <v>258844</v>
      </c>
      <c r="AS71" s="456">
        <v>255964</v>
      </c>
      <c r="AT71" s="75">
        <v>245464</v>
      </c>
      <c r="AU71" s="453">
        <v>272857</v>
      </c>
      <c r="AV71" s="453">
        <v>213293</v>
      </c>
      <c r="AW71" s="453">
        <v>265905</v>
      </c>
      <c r="AY71" s="75">
        <v>11</v>
      </c>
      <c r="AZ71" s="75">
        <v>288394</v>
      </c>
      <c r="BA71" s="75">
        <v>276540</v>
      </c>
      <c r="BB71" s="75">
        <v>274503</v>
      </c>
      <c r="BC71" s="453">
        <v>261609</v>
      </c>
      <c r="BD71" s="456">
        <v>303655</v>
      </c>
      <c r="BE71" s="456">
        <v>288702</v>
      </c>
      <c r="BF71" s="75">
        <v>272873</v>
      </c>
      <c r="BG71" s="453">
        <v>266857</v>
      </c>
      <c r="BH71" s="453">
        <v>281373</v>
      </c>
      <c r="BI71" s="453">
        <v>278246</v>
      </c>
    </row>
    <row r="72" spans="1:91">
      <c r="A72" s="741" t="s">
        <v>188</v>
      </c>
      <c r="B72" s="796">
        <f>B65</f>
        <v>323021</v>
      </c>
      <c r="C72" s="744">
        <f>C65</f>
        <v>303678</v>
      </c>
      <c r="D72" s="744">
        <f t="shared" ref="D72:P72" si="84">D65</f>
        <v>331000</v>
      </c>
      <c r="E72" s="744">
        <f t="shared" si="84"/>
        <v>287688</v>
      </c>
      <c r="F72" s="744">
        <f t="shared" si="84"/>
        <v>288959</v>
      </c>
      <c r="G72" s="796">
        <f t="shared" si="84"/>
        <v>312700</v>
      </c>
      <c r="H72" s="744">
        <f t="shared" si="84"/>
        <v>342612</v>
      </c>
      <c r="I72" s="744">
        <f t="shared" si="84"/>
        <v>313016</v>
      </c>
      <c r="J72" s="744">
        <f t="shared" si="84"/>
        <v>324899</v>
      </c>
      <c r="K72" s="744">
        <f t="shared" si="84"/>
        <v>320820</v>
      </c>
      <c r="L72" s="796">
        <f t="shared" si="84"/>
        <v>336868</v>
      </c>
      <c r="M72" s="744">
        <f t="shared" si="84"/>
        <v>305948</v>
      </c>
      <c r="N72" s="744">
        <f t="shared" si="84"/>
        <v>294461</v>
      </c>
      <c r="O72" s="744">
        <f t="shared" si="84"/>
        <v>368015</v>
      </c>
      <c r="P72" s="744">
        <f t="shared" si="84"/>
        <v>365463</v>
      </c>
      <c r="Q72" s="796">
        <f t="shared" ref="Q72:V72" si="85">Q66</f>
        <v>312700</v>
      </c>
      <c r="R72" s="744">
        <f t="shared" si="85"/>
        <v>312768</v>
      </c>
      <c r="S72" s="797">
        <f t="shared" si="85"/>
        <v>312837</v>
      </c>
      <c r="T72" s="797">
        <f t="shared" si="85"/>
        <v>312905</v>
      </c>
      <c r="U72" s="797">
        <f t="shared" si="85"/>
        <v>312974</v>
      </c>
      <c r="V72" s="744">
        <f t="shared" si="85"/>
        <v>313042</v>
      </c>
      <c r="W72" s="73">
        <f t="shared" ref="W72:AF72" si="86">ROUND(V72*AP84,0)</f>
        <v>313703</v>
      </c>
      <c r="X72" s="73">
        <f t="shared" si="86"/>
        <v>299817</v>
      </c>
      <c r="Y72" s="73">
        <f t="shared" si="86"/>
        <v>304120</v>
      </c>
      <c r="Z72" s="797">
        <f t="shared" si="86"/>
        <v>314852</v>
      </c>
      <c r="AA72" s="73">
        <f t="shared" si="86"/>
        <v>314528</v>
      </c>
      <c r="AB72" s="73">
        <f t="shared" si="86"/>
        <v>308536</v>
      </c>
      <c r="AC72" s="73">
        <f t="shared" si="86"/>
        <v>300426</v>
      </c>
      <c r="AD72" s="73">
        <f t="shared" si="86"/>
        <v>305104</v>
      </c>
      <c r="AE72" s="73">
        <f t="shared" si="86"/>
        <v>307342</v>
      </c>
      <c r="AF72" s="73">
        <f t="shared" si="86"/>
        <v>312246</v>
      </c>
      <c r="AG72" s="73">
        <f>ROUND(AF72*BS128,0)</f>
        <v>297528</v>
      </c>
      <c r="AH72" s="1169">
        <f t="shared" si="83"/>
        <v>297528</v>
      </c>
      <c r="AI72" s="1169">
        <f t="shared" si="83"/>
        <v>297528</v>
      </c>
      <c r="AJ72" s="1169">
        <f t="shared" si="83"/>
        <v>297528</v>
      </c>
      <c r="AK72" s="1169">
        <f t="shared" si="83"/>
        <v>297528</v>
      </c>
      <c r="AL72" s="75" t="s">
        <v>1016</v>
      </c>
      <c r="AM72" s="132">
        <v>12</v>
      </c>
      <c r="AN72" s="132">
        <v>309013</v>
      </c>
      <c r="AO72" s="132">
        <v>298554</v>
      </c>
      <c r="AP72" s="132">
        <v>315303</v>
      </c>
      <c r="AQ72" s="450">
        <v>292087</v>
      </c>
      <c r="AR72" s="456">
        <v>321319</v>
      </c>
      <c r="AS72" s="456">
        <v>283088</v>
      </c>
      <c r="AT72" s="75">
        <v>291692</v>
      </c>
      <c r="AU72" s="453">
        <v>331110</v>
      </c>
      <c r="AV72" s="453">
        <v>276252</v>
      </c>
      <c r="AW72" s="453">
        <v>312959</v>
      </c>
      <c r="AY72" s="75">
        <v>12</v>
      </c>
      <c r="AZ72" s="75">
        <v>347451</v>
      </c>
      <c r="BA72" s="75">
        <v>328736</v>
      </c>
      <c r="BB72" s="75">
        <v>344351</v>
      </c>
      <c r="BC72" s="453">
        <v>326880</v>
      </c>
      <c r="BD72" s="456">
        <v>332491</v>
      </c>
      <c r="BE72" s="456">
        <v>342340</v>
      </c>
      <c r="BF72" s="75">
        <v>339414</v>
      </c>
      <c r="BG72" s="453">
        <v>324738</v>
      </c>
      <c r="BH72" s="453">
        <v>308709</v>
      </c>
      <c r="BI72" s="453">
        <v>319777</v>
      </c>
    </row>
    <row r="73" spans="1:91">
      <c r="A73" s="741" t="s">
        <v>189</v>
      </c>
      <c r="B73" s="796">
        <f>B65</f>
        <v>323021</v>
      </c>
      <c r="C73" s="744">
        <f>C65</f>
        <v>303678</v>
      </c>
      <c r="D73" s="744">
        <f t="shared" ref="D73:P73" si="87">D65</f>
        <v>331000</v>
      </c>
      <c r="E73" s="744">
        <f t="shared" si="87"/>
        <v>287688</v>
      </c>
      <c r="F73" s="744">
        <f t="shared" si="87"/>
        <v>288959</v>
      </c>
      <c r="G73" s="796">
        <f t="shared" si="87"/>
        <v>312700</v>
      </c>
      <c r="H73" s="744">
        <f t="shared" si="87"/>
        <v>342612</v>
      </c>
      <c r="I73" s="744">
        <f t="shared" si="87"/>
        <v>313016</v>
      </c>
      <c r="J73" s="744">
        <f t="shared" si="87"/>
        <v>324899</v>
      </c>
      <c r="K73" s="744">
        <f t="shared" si="87"/>
        <v>320820</v>
      </c>
      <c r="L73" s="796">
        <f t="shared" si="87"/>
        <v>336868</v>
      </c>
      <c r="M73" s="744">
        <f t="shared" si="87"/>
        <v>305948</v>
      </c>
      <c r="N73" s="744">
        <f t="shared" si="87"/>
        <v>294461</v>
      </c>
      <c r="O73" s="744">
        <f t="shared" si="87"/>
        <v>368015</v>
      </c>
      <c r="P73" s="744">
        <f t="shared" si="87"/>
        <v>365463</v>
      </c>
      <c r="Q73" s="796">
        <f t="shared" ref="Q73:V73" si="88">Q66</f>
        <v>312700</v>
      </c>
      <c r="R73" s="744">
        <f t="shared" si="88"/>
        <v>312768</v>
      </c>
      <c r="S73" s="797">
        <f t="shared" si="88"/>
        <v>312837</v>
      </c>
      <c r="T73" s="797">
        <f t="shared" si="88"/>
        <v>312905</v>
      </c>
      <c r="U73" s="797">
        <f t="shared" si="88"/>
        <v>312974</v>
      </c>
      <c r="V73" s="744">
        <f t="shared" si="88"/>
        <v>313042</v>
      </c>
      <c r="W73" s="73">
        <f t="shared" ref="W73:AF75" si="89">ROUND(V73*AP84,0)</f>
        <v>313703</v>
      </c>
      <c r="X73" s="73">
        <f t="shared" si="89"/>
        <v>299817</v>
      </c>
      <c r="Y73" s="73">
        <f t="shared" si="89"/>
        <v>304120</v>
      </c>
      <c r="Z73" s="797">
        <f t="shared" si="89"/>
        <v>314852</v>
      </c>
      <c r="AA73" s="73">
        <f t="shared" si="89"/>
        <v>314528</v>
      </c>
      <c r="AB73" s="73">
        <f t="shared" si="89"/>
        <v>308536</v>
      </c>
      <c r="AC73" s="73">
        <f t="shared" si="89"/>
        <v>300426</v>
      </c>
      <c r="AD73" s="73">
        <f t="shared" si="89"/>
        <v>305104</v>
      </c>
      <c r="AE73" s="73">
        <f t="shared" si="89"/>
        <v>307342</v>
      </c>
      <c r="AF73" s="73">
        <f t="shared" si="89"/>
        <v>312246</v>
      </c>
      <c r="AG73" s="73">
        <f>ROUND(AF73*BS128,0)</f>
        <v>297528</v>
      </c>
      <c r="AH73" s="1169">
        <f t="shared" si="83"/>
        <v>297528</v>
      </c>
      <c r="AI73" s="1169">
        <f t="shared" si="83"/>
        <v>297528</v>
      </c>
      <c r="AJ73" s="1169">
        <f t="shared" si="83"/>
        <v>297528</v>
      </c>
      <c r="AK73" s="1169">
        <f t="shared" si="83"/>
        <v>297528</v>
      </c>
      <c r="AL73" s="75" t="s">
        <v>1016</v>
      </c>
      <c r="AM73" s="75" t="s">
        <v>85</v>
      </c>
      <c r="AN73" s="75">
        <f>AVERAGE(AN61:AN72)</f>
        <v>283793.33333333331</v>
      </c>
      <c r="AO73" s="75">
        <f>AVERAGE(AO61:AO72)</f>
        <v>275533.08333333331</v>
      </c>
      <c r="AP73" s="75">
        <f>AVERAGE(AP61:AP72)</f>
        <v>272359.83333333331</v>
      </c>
      <c r="AQ73" s="75">
        <f>AVERAGE(AQ61:AQ72)</f>
        <v>269876.83333333331</v>
      </c>
      <c r="AR73" s="130">
        <f>AVERAGE(AR61:AR72)</f>
        <v>267048.16666666669</v>
      </c>
      <c r="AS73" s="130">
        <f t="shared" ref="AS73" si="90">AVERAGE(AS61:AS72)</f>
        <v>260364.33333333334</v>
      </c>
      <c r="AT73" s="130">
        <f>AVERAGE(AT61:AT72)</f>
        <v>263985.66666666669</v>
      </c>
      <c r="AU73" s="130">
        <f>AVERAGE(AU61:AU72)</f>
        <v>264958.16666666669</v>
      </c>
      <c r="AV73" s="130">
        <f>AVERAGE(AV61:AV72)</f>
        <v>235237.5</v>
      </c>
      <c r="AW73" s="130">
        <f>AVERAGE(AW61:AW72)</f>
        <v>280998.5</v>
      </c>
      <c r="AX73" s="130"/>
      <c r="AY73" s="130" t="s">
        <v>85</v>
      </c>
      <c r="AZ73" s="130">
        <f>AVERAGE(AZ61:AZ72)</f>
        <v>295288.33333333331</v>
      </c>
      <c r="BA73" s="130">
        <f t="shared" ref="BA73:BE73" si="91">AVERAGE(BA61:BA72)</f>
        <v>281151.16666666669</v>
      </c>
      <c r="BB73" s="130">
        <f t="shared" si="91"/>
        <v>284889.16666666669</v>
      </c>
      <c r="BC73" s="130">
        <f t="shared" si="91"/>
        <v>277106.41666666669</v>
      </c>
      <c r="BD73" s="130">
        <f t="shared" si="91"/>
        <v>291737.33333333331</v>
      </c>
      <c r="BE73" s="130">
        <f t="shared" si="91"/>
        <v>292443.75</v>
      </c>
      <c r="BF73" s="130">
        <f>AVERAGE(BF61:BF72)</f>
        <v>286830.75</v>
      </c>
      <c r="BG73" s="130">
        <f>AVERAGE(BG61:BG72)</f>
        <v>279114.58333333331</v>
      </c>
      <c r="BH73" s="130">
        <f>AVERAGE(BH61:BH72)</f>
        <v>276211.58333333331</v>
      </c>
      <c r="BI73" s="130">
        <f>AVERAGE(BI61:BI72)</f>
        <v>277810.08333333331</v>
      </c>
    </row>
    <row r="74" spans="1:91">
      <c r="A74" s="741" t="s">
        <v>190</v>
      </c>
      <c r="B74" s="796">
        <f>B65</f>
        <v>323021</v>
      </c>
      <c r="C74" s="744">
        <f>C65</f>
        <v>303678</v>
      </c>
      <c r="D74" s="744">
        <f t="shared" ref="D74:P74" si="92">D65</f>
        <v>331000</v>
      </c>
      <c r="E74" s="744">
        <f t="shared" si="92"/>
        <v>287688</v>
      </c>
      <c r="F74" s="744">
        <f t="shared" si="92"/>
        <v>288959</v>
      </c>
      <c r="G74" s="796">
        <f t="shared" si="92"/>
        <v>312700</v>
      </c>
      <c r="H74" s="744">
        <f t="shared" si="92"/>
        <v>342612</v>
      </c>
      <c r="I74" s="744">
        <f t="shared" si="92"/>
        <v>313016</v>
      </c>
      <c r="J74" s="744">
        <f t="shared" si="92"/>
        <v>324899</v>
      </c>
      <c r="K74" s="744">
        <f t="shared" si="92"/>
        <v>320820</v>
      </c>
      <c r="L74" s="796">
        <f t="shared" si="92"/>
        <v>336868</v>
      </c>
      <c r="M74" s="744">
        <f t="shared" si="92"/>
        <v>305948</v>
      </c>
      <c r="N74" s="744">
        <f t="shared" si="92"/>
        <v>294461</v>
      </c>
      <c r="O74" s="744">
        <f t="shared" si="92"/>
        <v>368015</v>
      </c>
      <c r="P74" s="744">
        <f t="shared" si="92"/>
        <v>365463</v>
      </c>
      <c r="Q74" s="796">
        <f t="shared" ref="Q74:V74" si="93">Q66</f>
        <v>312700</v>
      </c>
      <c r="R74" s="744">
        <f t="shared" si="93"/>
        <v>312768</v>
      </c>
      <c r="S74" s="797">
        <f t="shared" si="93"/>
        <v>312837</v>
      </c>
      <c r="T74" s="797">
        <f t="shared" si="93"/>
        <v>312905</v>
      </c>
      <c r="U74" s="797">
        <f t="shared" si="93"/>
        <v>312974</v>
      </c>
      <c r="V74" s="744">
        <f t="shared" si="93"/>
        <v>313042</v>
      </c>
      <c r="W74" s="73">
        <f t="shared" si="89"/>
        <v>303032</v>
      </c>
      <c r="X74" s="73">
        <f t="shared" si="89"/>
        <v>304092</v>
      </c>
      <c r="Y74" s="73">
        <f t="shared" si="89"/>
        <v>310880</v>
      </c>
      <c r="Z74" s="797">
        <f t="shared" si="89"/>
        <v>303844</v>
      </c>
      <c r="AA74" s="73">
        <f t="shared" si="89"/>
        <v>312739</v>
      </c>
      <c r="AB74" s="73">
        <f t="shared" si="89"/>
        <v>307933</v>
      </c>
      <c r="AC74" s="73">
        <f t="shared" si="89"/>
        <v>303487</v>
      </c>
      <c r="AD74" s="73">
        <f t="shared" si="89"/>
        <v>295223</v>
      </c>
      <c r="AE74" s="73">
        <f t="shared" si="89"/>
        <v>306720</v>
      </c>
      <c r="AF74" s="73">
        <f t="shared" si="89"/>
        <v>317507</v>
      </c>
      <c r="AG74" s="73">
        <f>ROUND(AF74*BT128,0)</f>
        <v>294061</v>
      </c>
      <c r="AH74" s="1169">
        <f t="shared" si="83"/>
        <v>294061</v>
      </c>
      <c r="AI74" s="1169">
        <f t="shared" si="83"/>
        <v>294061</v>
      </c>
      <c r="AJ74" s="1169">
        <f t="shared" si="83"/>
        <v>294061</v>
      </c>
      <c r="AK74" s="1169">
        <f t="shared" si="83"/>
        <v>294061</v>
      </c>
      <c r="AL74" s="75" t="s">
        <v>1017</v>
      </c>
      <c r="AN74" s="132"/>
      <c r="AO74" s="482">
        <f t="shared" ref="AO74:AU74" si="94">AO73/AN73</f>
        <v>0.97089343184007137</v>
      </c>
      <c r="AP74" s="482">
        <f t="shared" si="94"/>
        <v>0.98848323416697992</v>
      </c>
      <c r="AQ74" s="482">
        <f t="shared" si="94"/>
        <v>0.99088338405259224</v>
      </c>
      <c r="AR74" s="482">
        <f>AR73/AQ73</f>
        <v>0.98951867549456218</v>
      </c>
      <c r="AS74" s="482">
        <f t="shared" si="94"/>
        <v>0.97497143149581622</v>
      </c>
      <c r="AT74" s="482">
        <f t="shared" si="94"/>
        <v>1.0139087150953856</v>
      </c>
      <c r="AU74" s="482">
        <f t="shared" si="94"/>
        <v>1.003683912131593</v>
      </c>
      <c r="AV74" s="482">
        <f>AV73/AU73</f>
        <v>0.88782883335671225</v>
      </c>
      <c r="AW74" s="482">
        <f>AW73/AV73</f>
        <v>1.1945310590360805</v>
      </c>
      <c r="AX74" s="132"/>
      <c r="AY74" s="132"/>
      <c r="AZ74" s="132"/>
      <c r="BA74" s="482">
        <f t="shared" ref="BA74:BG74" si="95">BA73/AZ73</f>
        <v>0.95212419499585166</v>
      </c>
      <c r="BB74" s="482">
        <f t="shared" si="95"/>
        <v>1.0132953387471864</v>
      </c>
      <c r="BC74" s="482">
        <f t="shared" si="95"/>
        <v>0.97268148139481148</v>
      </c>
      <c r="BD74" s="482">
        <f t="shared" si="95"/>
        <v>1.0527989096848172</v>
      </c>
      <c r="BE74" s="482">
        <f t="shared" si="95"/>
        <v>1.0024214133261427</v>
      </c>
      <c r="BF74" s="482">
        <f t="shared" si="95"/>
        <v>0.98080656536513433</v>
      </c>
      <c r="BG74" s="482">
        <f t="shared" si="95"/>
        <v>0.97309853749409125</v>
      </c>
      <c r="BH74" s="482">
        <f>BH73/BG73</f>
        <v>0.98959925359208811</v>
      </c>
      <c r="BI74" s="482">
        <f>BI73/BH73</f>
        <v>1.0057872301396966</v>
      </c>
      <c r="BW74" s="132"/>
      <c r="BX74" s="132"/>
      <c r="BY74" s="132"/>
    </row>
    <row r="75" spans="1:91">
      <c r="A75" s="741" t="s">
        <v>191</v>
      </c>
      <c r="B75" s="796">
        <f>B65</f>
        <v>323021</v>
      </c>
      <c r="C75" s="744">
        <f>C65</f>
        <v>303678</v>
      </c>
      <c r="D75" s="744">
        <f t="shared" ref="D75:P75" si="96">D65</f>
        <v>331000</v>
      </c>
      <c r="E75" s="744">
        <f t="shared" si="96"/>
        <v>287688</v>
      </c>
      <c r="F75" s="744">
        <f t="shared" si="96"/>
        <v>288959</v>
      </c>
      <c r="G75" s="796">
        <f t="shared" si="96"/>
        <v>312700</v>
      </c>
      <c r="H75" s="744">
        <f t="shared" si="96"/>
        <v>342612</v>
      </c>
      <c r="I75" s="744">
        <f t="shared" si="96"/>
        <v>313016</v>
      </c>
      <c r="J75" s="744">
        <f t="shared" si="96"/>
        <v>324899</v>
      </c>
      <c r="K75" s="744">
        <f t="shared" si="96"/>
        <v>320820</v>
      </c>
      <c r="L75" s="796">
        <f t="shared" si="96"/>
        <v>336868</v>
      </c>
      <c r="M75" s="744">
        <f t="shared" si="96"/>
        <v>305948</v>
      </c>
      <c r="N75" s="744">
        <f t="shared" si="96"/>
        <v>294461</v>
      </c>
      <c r="O75" s="744">
        <f t="shared" si="96"/>
        <v>368015</v>
      </c>
      <c r="P75" s="744">
        <f t="shared" si="96"/>
        <v>365463</v>
      </c>
      <c r="Q75" s="796">
        <f t="shared" ref="Q75:V75" si="97">Q66</f>
        <v>312700</v>
      </c>
      <c r="R75" s="744">
        <f t="shared" si="97"/>
        <v>312768</v>
      </c>
      <c r="S75" s="797">
        <f t="shared" si="97"/>
        <v>312837</v>
      </c>
      <c r="T75" s="797">
        <f t="shared" si="97"/>
        <v>312905</v>
      </c>
      <c r="U75" s="797">
        <f t="shared" si="97"/>
        <v>312974</v>
      </c>
      <c r="V75" s="744">
        <f t="shared" si="97"/>
        <v>313042</v>
      </c>
      <c r="W75" s="73">
        <f t="shared" si="89"/>
        <v>316024</v>
      </c>
      <c r="X75" s="73">
        <f t="shared" si="89"/>
        <v>312411</v>
      </c>
      <c r="Y75" s="73">
        <f t="shared" si="89"/>
        <v>313131</v>
      </c>
      <c r="Z75" s="797">
        <f t="shared" si="89"/>
        <v>312479</v>
      </c>
      <c r="AA75" s="73">
        <f t="shared" si="89"/>
        <v>310782</v>
      </c>
      <c r="AB75" s="73">
        <f t="shared" si="89"/>
        <v>307934</v>
      </c>
      <c r="AC75" s="73">
        <f t="shared" si="89"/>
        <v>292655</v>
      </c>
      <c r="AD75" s="73">
        <f t="shared" si="89"/>
        <v>299359</v>
      </c>
      <c r="AE75" s="73">
        <f t="shared" si="89"/>
        <v>306864</v>
      </c>
      <c r="AF75" s="73">
        <f t="shared" si="89"/>
        <v>319705</v>
      </c>
      <c r="AG75" s="73">
        <f>ROUND(AF75*BU128,0)</f>
        <v>297392</v>
      </c>
      <c r="AH75" s="1169">
        <f t="shared" si="83"/>
        <v>297392</v>
      </c>
      <c r="AI75" s="1169">
        <f t="shared" si="83"/>
        <v>297392</v>
      </c>
      <c r="AJ75" s="1169">
        <f t="shared" si="83"/>
        <v>297392</v>
      </c>
      <c r="AK75" s="1169">
        <f t="shared" si="83"/>
        <v>297392</v>
      </c>
      <c r="AL75" s="75" t="s">
        <v>1018</v>
      </c>
      <c r="AR75" s="75">
        <f t="shared" ref="AR75:AW75" si="98">AVERAGE(AR61:AR70)</f>
        <v>262441.5</v>
      </c>
      <c r="AS75" s="75">
        <f t="shared" si="98"/>
        <v>258532</v>
      </c>
      <c r="AT75" s="75">
        <f t="shared" si="98"/>
        <v>263067.2</v>
      </c>
      <c r="AU75" s="75">
        <f t="shared" si="98"/>
        <v>257553.1</v>
      </c>
      <c r="AV75" s="75">
        <f t="shared" si="98"/>
        <v>233330.5</v>
      </c>
      <c r="AW75" s="75">
        <f t="shared" si="98"/>
        <v>279311.8</v>
      </c>
      <c r="BC75" s="75">
        <f>AVERAGE(BD61:BD70)</f>
        <v>286470.2</v>
      </c>
      <c r="BD75" s="75">
        <f>AVERAGE(BE61:BE70)</f>
        <v>287828.3</v>
      </c>
      <c r="BK75" s="128" t="s">
        <v>93</v>
      </c>
      <c r="BL75" s="130"/>
      <c r="BM75" s="130"/>
      <c r="BN75" s="130"/>
      <c r="BO75" s="130" t="s">
        <v>95</v>
      </c>
      <c r="BQ75" s="128" t="s">
        <v>94</v>
      </c>
      <c r="BR75" s="130"/>
      <c r="BS75" s="130"/>
      <c r="BT75" s="130"/>
      <c r="BU75" s="130" t="s">
        <v>95</v>
      </c>
      <c r="BW75" s="65" t="s">
        <v>360</v>
      </c>
      <c r="BZ75" s="130"/>
      <c r="CA75" s="130" t="s">
        <v>95</v>
      </c>
      <c r="CC75" s="128" t="s">
        <v>250</v>
      </c>
      <c r="CD75" s="130"/>
      <c r="CE75" s="130"/>
      <c r="CF75" s="130"/>
      <c r="CG75" s="130" t="s">
        <v>95</v>
      </c>
      <c r="CI75" s="128" t="s">
        <v>251</v>
      </c>
      <c r="CJ75" s="130"/>
      <c r="CK75" s="130"/>
      <c r="CL75" s="130"/>
      <c r="CM75" s="130" t="s">
        <v>95</v>
      </c>
    </row>
    <row r="76" spans="1:91">
      <c r="A76" s="763" t="s">
        <v>192</v>
      </c>
      <c r="B76" s="798"/>
      <c r="C76" s="744"/>
      <c r="D76" s="744"/>
      <c r="E76" s="744"/>
      <c r="F76" s="744"/>
      <c r="G76" s="796"/>
      <c r="H76" s="744"/>
      <c r="I76" s="744"/>
      <c r="J76" s="744"/>
      <c r="K76" s="744"/>
      <c r="L76" s="796"/>
      <c r="M76" s="744"/>
      <c r="N76" s="744"/>
      <c r="O76" s="744"/>
      <c r="P76" s="744"/>
      <c r="Q76" s="795">
        <f>消費ﾃﾞｰﾀ!E6</f>
        <v>317060</v>
      </c>
      <c r="R76" s="796">
        <f>ROUND(Q76+(V76-Q76)/5,0)</f>
        <v>315866</v>
      </c>
      <c r="S76" s="797">
        <f>ROUND(Q76+(V76-Q76)/5*2,0)</f>
        <v>314671</v>
      </c>
      <c r="T76" s="797">
        <f>ROUND(Q76+(V76-Q76)/5*3,0)</f>
        <v>313477</v>
      </c>
      <c r="U76" s="73">
        <f>ROUND(Q76+(V76-Q76)/5*4,0)</f>
        <v>312282</v>
      </c>
      <c r="V76" s="1179">
        <f>消費ﾃﾞｰﾀ!F7</f>
        <v>311088</v>
      </c>
      <c r="W76" s="73"/>
      <c r="X76" s="73" t="s">
        <v>627</v>
      </c>
      <c r="Y76" s="73"/>
      <c r="Z76" s="797"/>
      <c r="AA76" s="795">
        <f>消費ﾃﾞｰﾀ!L8</f>
        <v>279740</v>
      </c>
      <c r="AB76" s="1177">
        <f>AA76/AA77</f>
        <v>0.89498184377649448</v>
      </c>
      <c r="AC76" s="73"/>
      <c r="AD76" s="73"/>
      <c r="AE76" s="73"/>
      <c r="AF76" s="73"/>
      <c r="AG76" s="73"/>
      <c r="AH76" s="1169"/>
      <c r="AI76" s="1169"/>
      <c r="AJ76" s="1169"/>
      <c r="AK76" s="1169"/>
      <c r="AL76" s="75" t="s">
        <v>627</v>
      </c>
      <c r="AR76" s="1181"/>
      <c r="AS76" s="1181"/>
      <c r="AT76" s="1181"/>
      <c r="BB76" s="1181"/>
      <c r="BL76" s="1181" t="s">
        <v>88</v>
      </c>
      <c r="BM76" s="1181" t="s">
        <v>89</v>
      </c>
      <c r="BN76" s="1181" t="s">
        <v>90</v>
      </c>
      <c r="BO76" s="1181" t="s">
        <v>91</v>
      </c>
      <c r="BR76" s="1181" t="s">
        <v>88</v>
      </c>
      <c r="BS76" s="1181" t="s">
        <v>89</v>
      </c>
      <c r="BT76" s="1181" t="s">
        <v>90</v>
      </c>
      <c r="BU76" s="1181" t="s">
        <v>91</v>
      </c>
      <c r="BX76" s="1181" t="s">
        <v>88</v>
      </c>
      <c r="BY76" s="1181" t="s">
        <v>89</v>
      </c>
      <c r="BZ76" s="1181" t="s">
        <v>90</v>
      </c>
      <c r="CA76" s="1181" t="s">
        <v>91</v>
      </c>
      <c r="CD76" s="1181" t="s">
        <v>88</v>
      </c>
      <c r="CE76" s="1181" t="s">
        <v>89</v>
      </c>
      <c r="CF76" s="1181" t="s">
        <v>90</v>
      </c>
      <c r="CG76" s="1181" t="s">
        <v>91</v>
      </c>
      <c r="CJ76" s="1181" t="s">
        <v>88</v>
      </c>
      <c r="CK76" s="1181" t="s">
        <v>89</v>
      </c>
      <c r="CL76" s="1181" t="s">
        <v>90</v>
      </c>
      <c r="CM76" s="1181" t="s">
        <v>91</v>
      </c>
    </row>
    <row r="77" spans="1:91">
      <c r="A77" s="799" t="s">
        <v>193</v>
      </c>
      <c r="B77" s="743">
        <f>消費ﾃﾞｰﾀ!B6</f>
        <v>301846</v>
      </c>
      <c r="C77" s="795">
        <f>ROUND($B$77*C60,0)</f>
        <v>283771</v>
      </c>
      <c r="D77" s="795">
        <f>ROUND($B$77*D60,0)</f>
        <v>309302</v>
      </c>
      <c r="E77" s="795">
        <f>ROUND($G$77*E60,0)</f>
        <v>291700</v>
      </c>
      <c r="F77" s="795">
        <f>ROUND($G$77*F60,0)</f>
        <v>292988</v>
      </c>
      <c r="G77" s="795">
        <v>317060</v>
      </c>
      <c r="H77" s="795">
        <v>317060</v>
      </c>
      <c r="I77" s="795">
        <v>317060</v>
      </c>
      <c r="J77" s="795">
        <v>317060</v>
      </c>
      <c r="K77" s="795">
        <v>317060</v>
      </c>
      <c r="L77" s="795">
        <f>消費ﾃﾞｰﾀ!D6</f>
        <v>340139</v>
      </c>
      <c r="M77" s="795">
        <f>ROUND($L$77*M60,0)</f>
        <v>308919</v>
      </c>
      <c r="N77" s="795">
        <f>ROUND($L$77*N60,0)</f>
        <v>297320</v>
      </c>
      <c r="O77" s="795">
        <f>ROUND($Q$77*O60,0)</f>
        <v>367001</v>
      </c>
      <c r="P77" s="795">
        <f>ROUND($Q$77*P60,0)</f>
        <v>364456</v>
      </c>
      <c r="Q77" s="795">
        <f>消費ﾃﾞｰﾀ!E6</f>
        <v>317060</v>
      </c>
      <c r="R77" s="66">
        <f>R76</f>
        <v>315866</v>
      </c>
      <c r="S77" s="797">
        <f>S76</f>
        <v>314671</v>
      </c>
      <c r="T77" s="797">
        <f>T76</f>
        <v>313477</v>
      </c>
      <c r="U77" s="797">
        <f>U76</f>
        <v>312282</v>
      </c>
      <c r="V77" s="66">
        <f>V76</f>
        <v>311088</v>
      </c>
      <c r="W77" s="73">
        <f t="shared" ref="W77:AF77" si="99">ROUND(V77*AP84,0)</f>
        <v>311745</v>
      </c>
      <c r="X77" s="73">
        <f t="shared" si="99"/>
        <v>297946</v>
      </c>
      <c r="Y77" s="73">
        <f t="shared" si="99"/>
        <v>302222</v>
      </c>
      <c r="Z77" s="797">
        <f t="shared" si="99"/>
        <v>312887</v>
      </c>
      <c r="AA77" s="73">
        <f t="shared" si="99"/>
        <v>312565</v>
      </c>
      <c r="AB77" s="73">
        <f t="shared" si="99"/>
        <v>306611</v>
      </c>
      <c r="AC77" s="73">
        <f t="shared" si="99"/>
        <v>298552</v>
      </c>
      <c r="AD77" s="73">
        <f t="shared" si="99"/>
        <v>303201</v>
      </c>
      <c r="AE77" s="73">
        <f t="shared" si="99"/>
        <v>305425</v>
      </c>
      <c r="AF77" s="73">
        <f t="shared" si="99"/>
        <v>310298</v>
      </c>
      <c r="AG77" s="73">
        <f>ROUND(AF77*BS128,0)</f>
        <v>295672</v>
      </c>
      <c r="AH77" s="1169">
        <f t="shared" ref="AH77:AK81" si="100">AG77</f>
        <v>295672</v>
      </c>
      <c r="AI77" s="1169">
        <f t="shared" si="100"/>
        <v>295672</v>
      </c>
      <c r="AJ77" s="1169">
        <f t="shared" si="100"/>
        <v>295672</v>
      </c>
      <c r="AK77" s="1169">
        <f t="shared" si="100"/>
        <v>295672</v>
      </c>
      <c r="AL77" s="75" t="s">
        <v>1016</v>
      </c>
      <c r="AN77" s="382"/>
      <c r="AO77" s="382" t="s">
        <v>828</v>
      </c>
      <c r="AP77" s="382" t="s">
        <v>12</v>
      </c>
      <c r="AQ77" s="382" t="s">
        <v>102</v>
      </c>
      <c r="AR77" s="382" t="s">
        <v>110</v>
      </c>
      <c r="AS77" s="382" t="s">
        <v>863</v>
      </c>
      <c r="AT77" s="382" t="s">
        <v>770</v>
      </c>
      <c r="AU77" s="382" t="s">
        <v>125</v>
      </c>
      <c r="AV77" s="382" t="s">
        <v>1023</v>
      </c>
      <c r="AW77" s="382" t="s">
        <v>1058</v>
      </c>
      <c r="AX77" s="382" t="s">
        <v>1091</v>
      </c>
      <c r="AY77" s="462" t="s">
        <v>1215</v>
      </c>
      <c r="AZ77" s="462" t="s">
        <v>1133</v>
      </c>
      <c r="BA77" s="456"/>
      <c r="BB77" s="1360"/>
      <c r="BC77" s="456"/>
      <c r="BD77" s="456"/>
      <c r="BE77" s="456"/>
      <c r="BF77" s="456"/>
      <c r="BG77" s="456"/>
      <c r="BH77" s="462" t="s">
        <v>1180</v>
      </c>
      <c r="BK77" s="132"/>
      <c r="BL77" s="1182"/>
      <c r="BM77" s="1182"/>
      <c r="BN77" s="1182"/>
      <c r="BO77" s="1182" t="s">
        <v>92</v>
      </c>
      <c r="BQ77" s="132"/>
      <c r="BR77" s="1182"/>
      <c r="BS77" s="1182"/>
      <c r="BT77" s="1182"/>
      <c r="BU77" s="1182" t="s">
        <v>92</v>
      </c>
      <c r="BW77" s="132"/>
      <c r="BX77" s="1182"/>
      <c r="BY77" s="1182"/>
      <c r="BZ77" s="1182"/>
      <c r="CA77" s="1182" t="s">
        <v>92</v>
      </c>
      <c r="CC77" s="132"/>
      <c r="CD77" s="1182"/>
      <c r="CE77" s="1182"/>
      <c r="CF77" s="1182"/>
      <c r="CG77" s="1182" t="s">
        <v>92</v>
      </c>
      <c r="CI77" s="132"/>
      <c r="CJ77" s="1182"/>
      <c r="CK77" s="1182"/>
      <c r="CL77" s="1182"/>
      <c r="CM77" s="1182" t="s">
        <v>92</v>
      </c>
    </row>
    <row r="78" spans="1:91">
      <c r="A78" s="741" t="s">
        <v>194</v>
      </c>
      <c r="B78" s="796">
        <f>B77</f>
        <v>301846</v>
      </c>
      <c r="C78" s="744">
        <f>C77</f>
        <v>283771</v>
      </c>
      <c r="D78" s="744">
        <f t="shared" ref="D78:Q78" si="101">D77</f>
        <v>309302</v>
      </c>
      <c r="E78" s="744">
        <f t="shared" si="101"/>
        <v>291700</v>
      </c>
      <c r="F78" s="744">
        <f t="shared" si="101"/>
        <v>292988</v>
      </c>
      <c r="G78" s="796">
        <f t="shared" si="101"/>
        <v>317060</v>
      </c>
      <c r="H78" s="744">
        <f t="shared" si="101"/>
        <v>317060</v>
      </c>
      <c r="I78" s="744">
        <f t="shared" si="101"/>
        <v>317060</v>
      </c>
      <c r="J78" s="744">
        <f t="shared" si="101"/>
        <v>317060</v>
      </c>
      <c r="K78" s="744">
        <f t="shared" si="101"/>
        <v>317060</v>
      </c>
      <c r="L78" s="796">
        <f t="shared" si="101"/>
        <v>340139</v>
      </c>
      <c r="M78" s="744">
        <f t="shared" si="101"/>
        <v>308919</v>
      </c>
      <c r="N78" s="744">
        <f t="shared" si="101"/>
        <v>297320</v>
      </c>
      <c r="O78" s="744">
        <f t="shared" si="101"/>
        <v>367001</v>
      </c>
      <c r="P78" s="744">
        <f t="shared" si="101"/>
        <v>364456</v>
      </c>
      <c r="Q78" s="796">
        <f t="shared" si="101"/>
        <v>317060</v>
      </c>
      <c r="R78" s="744">
        <f>R76</f>
        <v>315866</v>
      </c>
      <c r="S78" s="797">
        <f>S76</f>
        <v>314671</v>
      </c>
      <c r="T78" s="797">
        <f>T76</f>
        <v>313477</v>
      </c>
      <c r="U78" s="797">
        <f>U76</f>
        <v>312282</v>
      </c>
      <c r="V78" s="744">
        <f>V76</f>
        <v>311088</v>
      </c>
      <c r="W78" s="73">
        <f t="shared" ref="W78:AF80" si="102">ROUND(V78*AP84,0)</f>
        <v>311745</v>
      </c>
      <c r="X78" s="73">
        <f t="shared" si="102"/>
        <v>297946</v>
      </c>
      <c r="Y78" s="73">
        <f t="shared" si="102"/>
        <v>302222</v>
      </c>
      <c r="Z78" s="797">
        <f t="shared" si="102"/>
        <v>312887</v>
      </c>
      <c r="AA78" s="73">
        <f t="shared" si="102"/>
        <v>312565</v>
      </c>
      <c r="AB78" s="73">
        <f t="shared" si="102"/>
        <v>306611</v>
      </c>
      <c r="AC78" s="73">
        <f t="shared" si="102"/>
        <v>298552</v>
      </c>
      <c r="AD78" s="73">
        <f t="shared" si="102"/>
        <v>303201</v>
      </c>
      <c r="AE78" s="73">
        <f t="shared" si="102"/>
        <v>305425</v>
      </c>
      <c r="AF78" s="73">
        <f t="shared" si="102"/>
        <v>310298</v>
      </c>
      <c r="AG78" s="73">
        <f>ROUND(AF78*BS128,0)</f>
        <v>295672</v>
      </c>
      <c r="AH78" s="1169">
        <f t="shared" si="100"/>
        <v>295672</v>
      </c>
      <c r="AI78" s="1169">
        <f t="shared" si="100"/>
        <v>295672</v>
      </c>
      <c r="AJ78" s="1169">
        <f t="shared" si="100"/>
        <v>295672</v>
      </c>
      <c r="AK78" s="1169">
        <f t="shared" si="100"/>
        <v>295672</v>
      </c>
      <c r="AL78" s="75" t="s">
        <v>1016</v>
      </c>
      <c r="AN78" s="130" t="s">
        <v>88</v>
      </c>
      <c r="AO78" s="130">
        <f>消費支出2_2!BL90</f>
        <v>304196.33333333331</v>
      </c>
      <c r="AP78" s="130">
        <f>消費支出2_2!BR90</f>
        <v>304719.91666666669</v>
      </c>
      <c r="AQ78" s="130">
        <f>消費支出2_2!BX90</f>
        <v>293997</v>
      </c>
      <c r="AR78" s="130">
        <f>消費支出2_2!CD90</f>
        <v>294818.25</v>
      </c>
      <c r="AS78" s="207">
        <f>消費支出2_2!CJ90</f>
        <v>303899.83333333331</v>
      </c>
      <c r="AT78" s="207">
        <f>消費支出2_2!BL108</f>
        <v>300352.83333333331</v>
      </c>
      <c r="AU78" s="207">
        <f>BR108</f>
        <v>298308.33333333331</v>
      </c>
      <c r="AV78" s="130">
        <f>BX108</f>
        <v>299446.91666666669</v>
      </c>
      <c r="AW78" s="130">
        <f>CD108</f>
        <v>300867.16666666669</v>
      </c>
      <c r="AX78" s="130">
        <f>CJ108</f>
        <v>300288.16666666669</v>
      </c>
      <c r="AY78" s="1068">
        <f>BL127</f>
        <v>301949</v>
      </c>
      <c r="AZ78" s="456">
        <f>BR127</f>
        <v>292240.66666666669</v>
      </c>
      <c r="BA78" s="456"/>
      <c r="BB78" s="1075"/>
      <c r="BC78" s="456"/>
      <c r="BD78" s="456"/>
      <c r="BE78" s="456"/>
      <c r="BF78" s="456"/>
      <c r="BG78" s="456"/>
      <c r="BH78" s="1068">
        <f>BX127</f>
        <v>293358.66666666669</v>
      </c>
      <c r="BK78" s="75">
        <v>1</v>
      </c>
      <c r="BL78" s="76">
        <v>302923</v>
      </c>
      <c r="BM78" s="76">
        <v>290283</v>
      </c>
      <c r="BN78" s="76">
        <v>298453</v>
      </c>
      <c r="BO78" s="76">
        <v>266045</v>
      </c>
      <c r="BQ78" s="75">
        <v>1</v>
      </c>
      <c r="BR78" s="76">
        <v>307539</v>
      </c>
      <c r="BS78" s="76">
        <v>305490</v>
      </c>
      <c r="BT78" s="76">
        <v>273400</v>
      </c>
      <c r="BU78" s="76">
        <v>269630</v>
      </c>
      <c r="BW78" s="75">
        <v>1</v>
      </c>
      <c r="BX78" s="76">
        <v>293688</v>
      </c>
      <c r="BY78" s="76">
        <v>285933</v>
      </c>
      <c r="BZ78" s="76">
        <v>286524</v>
      </c>
      <c r="CA78" s="76">
        <v>292486</v>
      </c>
      <c r="CC78" s="75">
        <v>1</v>
      </c>
      <c r="CD78" s="76">
        <v>296847</v>
      </c>
      <c r="CE78" s="76">
        <v>275643</v>
      </c>
      <c r="CF78" s="76">
        <v>281356</v>
      </c>
      <c r="CG78" s="76">
        <v>279150</v>
      </c>
      <c r="CI78" s="75">
        <v>1</v>
      </c>
      <c r="CJ78" s="76">
        <v>303237</v>
      </c>
      <c r="CK78" s="76">
        <v>294599</v>
      </c>
      <c r="CL78" s="76">
        <v>277153</v>
      </c>
      <c r="CM78" s="76">
        <v>271077</v>
      </c>
    </row>
    <row r="79" spans="1:91">
      <c r="A79" s="741" t="s">
        <v>195</v>
      </c>
      <c r="B79" s="796">
        <f>B77</f>
        <v>301846</v>
      </c>
      <c r="C79" s="744">
        <f>C77</f>
        <v>283771</v>
      </c>
      <c r="D79" s="744">
        <f t="shared" ref="D79:Q79" si="103">D77</f>
        <v>309302</v>
      </c>
      <c r="E79" s="744">
        <f t="shared" si="103"/>
        <v>291700</v>
      </c>
      <c r="F79" s="744">
        <f t="shared" si="103"/>
        <v>292988</v>
      </c>
      <c r="G79" s="796">
        <f t="shared" si="103"/>
        <v>317060</v>
      </c>
      <c r="H79" s="744">
        <f t="shared" si="103"/>
        <v>317060</v>
      </c>
      <c r="I79" s="744">
        <f t="shared" si="103"/>
        <v>317060</v>
      </c>
      <c r="J79" s="744">
        <f t="shared" si="103"/>
        <v>317060</v>
      </c>
      <c r="K79" s="744">
        <f t="shared" si="103"/>
        <v>317060</v>
      </c>
      <c r="L79" s="796">
        <f t="shared" si="103"/>
        <v>340139</v>
      </c>
      <c r="M79" s="744">
        <f t="shared" si="103"/>
        <v>308919</v>
      </c>
      <c r="N79" s="744">
        <f t="shared" si="103"/>
        <v>297320</v>
      </c>
      <c r="O79" s="744">
        <f t="shared" si="103"/>
        <v>367001</v>
      </c>
      <c r="P79" s="744">
        <f t="shared" si="103"/>
        <v>364456</v>
      </c>
      <c r="Q79" s="796">
        <f t="shared" si="103"/>
        <v>317060</v>
      </c>
      <c r="R79" s="744">
        <f>R76</f>
        <v>315866</v>
      </c>
      <c r="S79" s="797">
        <f>S76</f>
        <v>314671</v>
      </c>
      <c r="T79" s="797">
        <f>T76</f>
        <v>313477</v>
      </c>
      <c r="U79" s="797">
        <f>U76</f>
        <v>312282</v>
      </c>
      <c r="V79" s="744">
        <f>V76</f>
        <v>311088</v>
      </c>
      <c r="W79" s="73">
        <f t="shared" si="102"/>
        <v>301141</v>
      </c>
      <c r="X79" s="73">
        <f t="shared" si="102"/>
        <v>302194</v>
      </c>
      <c r="Y79" s="73">
        <f t="shared" si="102"/>
        <v>308940</v>
      </c>
      <c r="Z79" s="797">
        <f t="shared" si="102"/>
        <v>301948</v>
      </c>
      <c r="AA79" s="73">
        <f t="shared" si="102"/>
        <v>310787</v>
      </c>
      <c r="AB79" s="73">
        <f t="shared" si="102"/>
        <v>306011</v>
      </c>
      <c r="AC79" s="73">
        <f t="shared" si="102"/>
        <v>301593</v>
      </c>
      <c r="AD79" s="73">
        <f t="shared" si="102"/>
        <v>293381</v>
      </c>
      <c r="AE79" s="73">
        <f t="shared" si="102"/>
        <v>304806</v>
      </c>
      <c r="AF79" s="73">
        <f t="shared" si="102"/>
        <v>315526</v>
      </c>
      <c r="AG79" s="73">
        <f>ROUND(AF79*BT128,0)</f>
        <v>292227</v>
      </c>
      <c r="AH79" s="1169">
        <f t="shared" si="100"/>
        <v>292227</v>
      </c>
      <c r="AI79" s="1169">
        <f t="shared" si="100"/>
        <v>292227</v>
      </c>
      <c r="AJ79" s="1169">
        <f t="shared" si="100"/>
        <v>292227</v>
      </c>
      <c r="AK79" s="1169">
        <f t="shared" si="100"/>
        <v>292227</v>
      </c>
      <c r="AL79" s="75" t="s">
        <v>1017</v>
      </c>
      <c r="AN79" s="75" t="s">
        <v>89</v>
      </c>
      <c r="AO79" s="75">
        <f>消費支出2_2!BM90</f>
        <v>294121.75</v>
      </c>
      <c r="AP79" s="75">
        <f>消費支出2_2!BS90</f>
        <v>294743.16666666669</v>
      </c>
      <c r="AQ79" s="75">
        <f>消費支出2_2!BY90</f>
        <v>281696.41666666669</v>
      </c>
      <c r="AR79" s="75">
        <f>消費支出2_2!CE90</f>
        <v>285738.91666666669</v>
      </c>
      <c r="AS79" s="133">
        <f>消費支出2_2!CK90</f>
        <v>295821.83333333331</v>
      </c>
      <c r="AT79" s="133">
        <f>消費支出2_2!BM108</f>
        <v>295517.66666666669</v>
      </c>
      <c r="AU79" s="133">
        <f>BS108</f>
        <v>289888</v>
      </c>
      <c r="AV79" s="75">
        <f>BY108</f>
        <v>282268.25</v>
      </c>
      <c r="AW79" s="75">
        <f>CE108</f>
        <v>286663.25</v>
      </c>
      <c r="AX79" s="75">
        <f>CK108</f>
        <v>288766.25</v>
      </c>
      <c r="AY79" s="456">
        <f>BM127</f>
        <v>293373.83333333331</v>
      </c>
      <c r="AZ79" s="456">
        <f>BS127</f>
        <v>279545.83333333331</v>
      </c>
      <c r="BA79" s="456"/>
      <c r="BB79" s="1075"/>
      <c r="BC79" s="456"/>
      <c r="BD79" s="456"/>
      <c r="BE79" s="456"/>
      <c r="BF79" s="456"/>
      <c r="BG79" s="456"/>
      <c r="BH79" s="456">
        <f>BY127</f>
        <v>286574.33333333331</v>
      </c>
      <c r="BK79" s="75">
        <v>2</v>
      </c>
      <c r="BL79" s="76">
        <v>274292</v>
      </c>
      <c r="BM79" s="76">
        <v>270391</v>
      </c>
      <c r="BN79" s="76">
        <v>258722</v>
      </c>
      <c r="BO79" s="76">
        <v>256121</v>
      </c>
      <c r="BQ79" s="75">
        <v>2</v>
      </c>
      <c r="BR79" s="76">
        <v>281356</v>
      </c>
      <c r="BS79" s="76">
        <v>264541</v>
      </c>
      <c r="BT79" s="76">
        <v>248976</v>
      </c>
      <c r="BU79" s="76">
        <v>242301</v>
      </c>
      <c r="BW79" s="75">
        <v>2</v>
      </c>
      <c r="BX79" s="76">
        <v>275859</v>
      </c>
      <c r="BY79" s="76">
        <v>256693</v>
      </c>
      <c r="BZ79" s="76">
        <v>250130</v>
      </c>
      <c r="CA79" s="76">
        <v>261421</v>
      </c>
      <c r="CC79" s="75">
        <v>2</v>
      </c>
      <c r="CD79" s="76">
        <v>276138</v>
      </c>
      <c r="CE79" s="76">
        <v>269506</v>
      </c>
      <c r="CF79" s="76">
        <v>271308</v>
      </c>
      <c r="CG79" s="76">
        <v>247018</v>
      </c>
      <c r="CI79" s="75">
        <v>2</v>
      </c>
      <c r="CJ79" s="76">
        <v>276987</v>
      </c>
      <c r="CK79" s="76">
        <v>277355</v>
      </c>
      <c r="CL79" s="76">
        <v>264799</v>
      </c>
      <c r="CM79" s="76">
        <v>239232</v>
      </c>
    </row>
    <row r="80" spans="1:91">
      <c r="A80" s="741" t="s">
        <v>196</v>
      </c>
      <c r="B80" s="796">
        <f>B77</f>
        <v>301846</v>
      </c>
      <c r="C80" s="744">
        <f>C77</f>
        <v>283771</v>
      </c>
      <c r="D80" s="744">
        <f t="shared" ref="D80:Q80" si="104">D77</f>
        <v>309302</v>
      </c>
      <c r="E80" s="744">
        <f t="shared" si="104"/>
        <v>291700</v>
      </c>
      <c r="F80" s="744">
        <f t="shared" si="104"/>
        <v>292988</v>
      </c>
      <c r="G80" s="796">
        <f t="shared" si="104"/>
        <v>317060</v>
      </c>
      <c r="H80" s="744">
        <f t="shared" si="104"/>
        <v>317060</v>
      </c>
      <c r="I80" s="744">
        <f t="shared" si="104"/>
        <v>317060</v>
      </c>
      <c r="J80" s="744">
        <f t="shared" si="104"/>
        <v>317060</v>
      </c>
      <c r="K80" s="744">
        <f t="shared" si="104"/>
        <v>317060</v>
      </c>
      <c r="L80" s="796">
        <f t="shared" si="104"/>
        <v>340139</v>
      </c>
      <c r="M80" s="744">
        <f t="shared" si="104"/>
        <v>308919</v>
      </c>
      <c r="N80" s="744">
        <f t="shared" si="104"/>
        <v>297320</v>
      </c>
      <c r="O80" s="744">
        <f t="shared" si="104"/>
        <v>367001</v>
      </c>
      <c r="P80" s="744">
        <f t="shared" si="104"/>
        <v>364456</v>
      </c>
      <c r="Q80" s="796">
        <f t="shared" si="104"/>
        <v>317060</v>
      </c>
      <c r="R80" s="744">
        <f>R76</f>
        <v>315866</v>
      </c>
      <c r="S80" s="797">
        <f>S76</f>
        <v>314671</v>
      </c>
      <c r="T80" s="797">
        <f>T76</f>
        <v>313477</v>
      </c>
      <c r="U80" s="797">
        <f>U76</f>
        <v>312282</v>
      </c>
      <c r="V80" s="744">
        <f>V76</f>
        <v>311088</v>
      </c>
      <c r="W80" s="73">
        <f t="shared" si="102"/>
        <v>314052</v>
      </c>
      <c r="X80" s="73">
        <f t="shared" si="102"/>
        <v>310461</v>
      </c>
      <c r="Y80" s="73">
        <f t="shared" si="102"/>
        <v>311177</v>
      </c>
      <c r="Z80" s="797">
        <f t="shared" si="102"/>
        <v>310529</v>
      </c>
      <c r="AA80" s="73">
        <f t="shared" si="102"/>
        <v>308842</v>
      </c>
      <c r="AB80" s="73">
        <f t="shared" si="102"/>
        <v>306012</v>
      </c>
      <c r="AC80" s="73">
        <f t="shared" si="102"/>
        <v>290829</v>
      </c>
      <c r="AD80" s="73">
        <f t="shared" si="102"/>
        <v>297491</v>
      </c>
      <c r="AE80" s="73">
        <f t="shared" si="102"/>
        <v>304949</v>
      </c>
      <c r="AF80" s="73">
        <f t="shared" si="102"/>
        <v>317710</v>
      </c>
      <c r="AG80" s="73">
        <f>ROUND(AF80*BU128,0)</f>
        <v>295536</v>
      </c>
      <c r="AH80" s="1169">
        <f t="shared" si="100"/>
        <v>295536</v>
      </c>
      <c r="AI80" s="1169">
        <f t="shared" si="100"/>
        <v>295536</v>
      </c>
      <c r="AJ80" s="1169">
        <f t="shared" si="100"/>
        <v>295536</v>
      </c>
      <c r="AK80" s="1169">
        <f t="shared" si="100"/>
        <v>295536</v>
      </c>
      <c r="AL80" s="75" t="s">
        <v>1018</v>
      </c>
      <c r="AN80" s="75" t="s">
        <v>90</v>
      </c>
      <c r="AO80" s="75">
        <f>消費支出2_2!BN90</f>
        <v>286354.66666666669</v>
      </c>
      <c r="AP80" s="75">
        <f>消費支出2_2!BT90</f>
        <v>277198.25</v>
      </c>
      <c r="AQ80" s="75">
        <f>消費支出2_2!BZ90</f>
        <v>278167.58333333331</v>
      </c>
      <c r="AR80" s="75">
        <f>消費支出2_2!CF90</f>
        <v>284377.08333333331</v>
      </c>
      <c r="AS80" s="133">
        <f>消費支出2_2!CL90</f>
        <v>277940.58333333331</v>
      </c>
      <c r="AT80" s="133">
        <f>消費支出2_2!BN108</f>
        <v>286077.08333333331</v>
      </c>
      <c r="AU80" s="133">
        <f>BT108</f>
        <v>281681.16666666669</v>
      </c>
      <c r="AV80" s="75">
        <f>BZ108</f>
        <v>277614</v>
      </c>
      <c r="AW80" s="75">
        <f>CF108</f>
        <v>270054.75</v>
      </c>
      <c r="AX80" s="75">
        <f>CL108</f>
        <v>280571.25</v>
      </c>
      <c r="AY80" s="456">
        <f>BN127</f>
        <v>290438.91666666669</v>
      </c>
      <c r="AZ80" s="456">
        <f>BT127</f>
        <v>268992.16666666669</v>
      </c>
      <c r="BA80" s="456"/>
      <c r="BB80" s="1075"/>
      <c r="BC80" s="456"/>
      <c r="BD80" s="456"/>
      <c r="BE80" s="456"/>
      <c r="BF80" s="456"/>
      <c r="BG80" s="456"/>
      <c r="BH80" s="456">
        <f>BZ127</f>
        <v>267249.25</v>
      </c>
      <c r="BK80" s="75">
        <v>3</v>
      </c>
      <c r="BL80" s="76">
        <v>319524</v>
      </c>
      <c r="BM80" s="76">
        <v>315523</v>
      </c>
      <c r="BN80" s="76">
        <v>302941</v>
      </c>
      <c r="BO80" s="76">
        <v>299545</v>
      </c>
      <c r="BQ80" s="75">
        <v>3</v>
      </c>
      <c r="BR80" s="76">
        <v>335300</v>
      </c>
      <c r="BS80" s="76">
        <v>323706</v>
      </c>
      <c r="BT80" s="76">
        <v>299465</v>
      </c>
      <c r="BU80" s="76">
        <v>320040</v>
      </c>
      <c r="BW80" s="75">
        <v>3</v>
      </c>
      <c r="BX80" s="76">
        <v>293386</v>
      </c>
      <c r="BY80" s="76">
        <v>291746</v>
      </c>
      <c r="BZ80" s="76">
        <v>292794</v>
      </c>
      <c r="CA80" s="76">
        <v>288487</v>
      </c>
      <c r="CC80" s="75">
        <v>3</v>
      </c>
      <c r="CD80" s="76">
        <v>305969</v>
      </c>
      <c r="CE80" s="76">
        <v>310832</v>
      </c>
      <c r="CF80" s="76">
        <v>290673</v>
      </c>
      <c r="CG80" s="76">
        <v>306820</v>
      </c>
      <c r="CI80" s="75">
        <v>3</v>
      </c>
      <c r="CJ80" s="76">
        <v>320130</v>
      </c>
      <c r="CK80" s="76">
        <v>318586</v>
      </c>
      <c r="CL80" s="76">
        <v>311988</v>
      </c>
      <c r="CM80" s="76">
        <v>310968</v>
      </c>
    </row>
    <row r="81" spans="1:91">
      <c r="A81" s="741" t="s">
        <v>197</v>
      </c>
      <c r="B81" s="796">
        <f>B77</f>
        <v>301846</v>
      </c>
      <c r="C81" s="744">
        <f>C77</f>
        <v>283771</v>
      </c>
      <c r="D81" s="744">
        <f t="shared" ref="D81:Q81" si="105">D77</f>
        <v>309302</v>
      </c>
      <c r="E81" s="744">
        <f t="shared" si="105"/>
        <v>291700</v>
      </c>
      <c r="F81" s="744">
        <f t="shared" si="105"/>
        <v>292988</v>
      </c>
      <c r="G81" s="796">
        <f t="shared" si="105"/>
        <v>317060</v>
      </c>
      <c r="H81" s="744">
        <f t="shared" si="105"/>
        <v>317060</v>
      </c>
      <c r="I81" s="744">
        <f t="shared" si="105"/>
        <v>317060</v>
      </c>
      <c r="J81" s="744">
        <f t="shared" si="105"/>
        <v>317060</v>
      </c>
      <c r="K81" s="744">
        <f t="shared" si="105"/>
        <v>317060</v>
      </c>
      <c r="L81" s="796">
        <f t="shared" si="105"/>
        <v>340139</v>
      </c>
      <c r="M81" s="744">
        <f t="shared" si="105"/>
        <v>308919</v>
      </c>
      <c r="N81" s="744">
        <f t="shared" si="105"/>
        <v>297320</v>
      </c>
      <c r="O81" s="744">
        <f t="shared" si="105"/>
        <v>367001</v>
      </c>
      <c r="P81" s="744">
        <f t="shared" si="105"/>
        <v>364456</v>
      </c>
      <c r="Q81" s="796">
        <f t="shared" si="105"/>
        <v>317060</v>
      </c>
      <c r="R81" s="744">
        <f>R76</f>
        <v>315866</v>
      </c>
      <c r="S81" s="797">
        <f>S76</f>
        <v>314671</v>
      </c>
      <c r="T81" s="797">
        <f>T76</f>
        <v>313477</v>
      </c>
      <c r="U81" s="797">
        <f>U76</f>
        <v>312282</v>
      </c>
      <c r="V81" s="744">
        <f>V76</f>
        <v>311088</v>
      </c>
      <c r="W81" s="73">
        <f t="shared" ref="W81:AF81" si="106">ROUND(V81*AP86,0)</f>
        <v>314052</v>
      </c>
      <c r="X81" s="73">
        <f t="shared" si="106"/>
        <v>310461</v>
      </c>
      <c r="Y81" s="73">
        <f t="shared" si="106"/>
        <v>311177</v>
      </c>
      <c r="Z81" s="797">
        <f t="shared" si="106"/>
        <v>310529</v>
      </c>
      <c r="AA81" s="73">
        <f t="shared" si="106"/>
        <v>308842</v>
      </c>
      <c r="AB81" s="73">
        <f t="shared" si="106"/>
        <v>306012</v>
      </c>
      <c r="AC81" s="73">
        <f t="shared" si="106"/>
        <v>290829</v>
      </c>
      <c r="AD81" s="73">
        <f t="shared" si="106"/>
        <v>297491</v>
      </c>
      <c r="AE81" s="73">
        <f t="shared" si="106"/>
        <v>304949</v>
      </c>
      <c r="AF81" s="73">
        <f t="shared" si="106"/>
        <v>317710</v>
      </c>
      <c r="AG81" s="73">
        <f>ROUND(AF81*BU128,0)</f>
        <v>295536</v>
      </c>
      <c r="AH81" s="1169">
        <f t="shared" si="100"/>
        <v>295536</v>
      </c>
      <c r="AI81" s="1169">
        <f t="shared" si="100"/>
        <v>295536</v>
      </c>
      <c r="AJ81" s="1169">
        <f t="shared" si="100"/>
        <v>295536</v>
      </c>
      <c r="AK81" s="1169">
        <f t="shared" si="100"/>
        <v>295536</v>
      </c>
      <c r="AL81" s="75" t="s">
        <v>1018</v>
      </c>
      <c r="AN81" s="132" t="s">
        <v>1008</v>
      </c>
      <c r="AO81" s="132">
        <f>消費支出2_2!BO90</f>
        <v>276341.5</v>
      </c>
      <c r="AP81" s="132">
        <f>消費支出2_2!BU90</f>
        <v>278974.33333333331</v>
      </c>
      <c r="AQ81" s="132">
        <f>消費支出2_2!CA90</f>
        <v>275784.75</v>
      </c>
      <c r="AR81" s="132">
        <f>消費支出2_2!CG90</f>
        <v>276420.41666666669</v>
      </c>
      <c r="AS81" s="209">
        <f>消費支出2_2!CM90</f>
        <v>275844.5</v>
      </c>
      <c r="AT81" s="209">
        <f>消費支出2_2!BO108</f>
        <v>274346.16666666669</v>
      </c>
      <c r="AU81" s="209">
        <f>BU108</f>
        <v>271832.41666666669</v>
      </c>
      <c r="AV81" s="132">
        <f>CA108</f>
        <v>258345.08333333334</v>
      </c>
      <c r="AW81" s="132">
        <f>CG108</f>
        <v>264263.41666666669</v>
      </c>
      <c r="AX81" s="132">
        <f>CM108</f>
        <v>270888.41666666669</v>
      </c>
      <c r="AY81" s="461">
        <f>BO127</f>
        <v>282223.83333333331</v>
      </c>
      <c r="AZ81" s="461">
        <f>BU127</f>
        <v>262526.5</v>
      </c>
      <c r="BA81" s="456"/>
      <c r="BB81" s="1075"/>
      <c r="BC81" s="456"/>
      <c r="BD81" s="456"/>
      <c r="BE81" s="456"/>
      <c r="BF81" s="456"/>
      <c r="BG81" s="456"/>
      <c r="BH81" s="461">
        <f>CA127</f>
        <v>256180.08333333334</v>
      </c>
      <c r="BK81" s="75">
        <v>4</v>
      </c>
      <c r="BL81" s="76">
        <v>324411</v>
      </c>
      <c r="BM81" s="76">
        <v>298645</v>
      </c>
      <c r="BN81" s="76">
        <v>306023</v>
      </c>
      <c r="BO81" s="76">
        <v>294193</v>
      </c>
      <c r="BQ81" s="75">
        <v>4</v>
      </c>
      <c r="BR81" s="76">
        <v>325596</v>
      </c>
      <c r="BS81" s="76">
        <v>308868</v>
      </c>
      <c r="BT81" s="76">
        <v>283634</v>
      </c>
      <c r="BU81" s="76">
        <v>267902</v>
      </c>
      <c r="BW81" s="75">
        <v>4</v>
      </c>
      <c r="BX81" s="76">
        <v>311678</v>
      </c>
      <c r="BY81" s="76">
        <v>284798</v>
      </c>
      <c r="BZ81" s="76">
        <v>287557</v>
      </c>
      <c r="CA81" s="76">
        <v>286632</v>
      </c>
      <c r="CC81" s="75">
        <v>4</v>
      </c>
      <c r="CD81" s="76">
        <v>313025</v>
      </c>
      <c r="CE81" s="76">
        <v>296855</v>
      </c>
      <c r="CF81" s="76">
        <v>306128</v>
      </c>
      <c r="CG81" s="76">
        <v>288611</v>
      </c>
      <c r="CI81" s="75">
        <v>4</v>
      </c>
      <c r="CJ81" s="76">
        <v>315350</v>
      </c>
      <c r="CK81" s="76">
        <v>316144</v>
      </c>
      <c r="CL81" s="76">
        <v>292948</v>
      </c>
      <c r="CM81" s="76">
        <v>279817</v>
      </c>
    </row>
    <row r="82" spans="1:91">
      <c r="A82" s="766" t="s">
        <v>198</v>
      </c>
      <c r="B82" s="796"/>
      <c r="C82" s="744"/>
      <c r="D82" s="744"/>
      <c r="E82" s="744"/>
      <c r="F82" s="744"/>
      <c r="G82" s="796"/>
      <c r="H82" s="744"/>
      <c r="I82" s="744"/>
      <c r="J82" s="744"/>
      <c r="K82" s="744"/>
      <c r="L82" s="796"/>
      <c r="M82" s="744"/>
      <c r="N82" s="744"/>
      <c r="O82" s="744"/>
      <c r="P82" s="744"/>
      <c r="Q82" s="796"/>
      <c r="R82" s="744"/>
      <c r="S82" s="797"/>
      <c r="T82" s="797"/>
      <c r="U82" s="797"/>
      <c r="V82" s="744"/>
      <c r="W82" s="797"/>
      <c r="X82" s="73" t="s">
        <v>627</v>
      </c>
      <c r="Y82" s="73"/>
      <c r="Z82" s="797"/>
      <c r="AA82" s="795">
        <f>消費ﾃﾞｰﾀ!L9</f>
        <v>291316</v>
      </c>
      <c r="AB82" s="1177">
        <f>AA82/AA83</f>
        <v>0.9432525368958885</v>
      </c>
      <c r="AC82" s="73"/>
      <c r="AD82" s="73"/>
      <c r="AE82" s="73"/>
      <c r="AF82" s="73"/>
      <c r="AG82" s="73"/>
      <c r="AH82" s="1169"/>
      <c r="AI82" s="1169"/>
      <c r="AJ82" s="1169"/>
      <c r="AK82" s="1169"/>
      <c r="AL82" s="75" t="s">
        <v>627</v>
      </c>
      <c r="BB82" s="76"/>
      <c r="BK82" s="75">
        <v>5</v>
      </c>
      <c r="BL82" s="76">
        <v>291890</v>
      </c>
      <c r="BM82" s="76">
        <v>291344</v>
      </c>
      <c r="BN82" s="76">
        <v>285522</v>
      </c>
      <c r="BO82" s="76">
        <v>264832</v>
      </c>
      <c r="BQ82" s="75">
        <v>5</v>
      </c>
      <c r="BR82" s="76">
        <v>295923</v>
      </c>
      <c r="BS82" s="76">
        <v>282964</v>
      </c>
      <c r="BT82" s="76">
        <v>271430</v>
      </c>
      <c r="BU82" s="76">
        <v>267146</v>
      </c>
      <c r="BW82" s="75">
        <v>5</v>
      </c>
      <c r="BX82" s="76">
        <v>287414</v>
      </c>
      <c r="BY82" s="76">
        <v>278000</v>
      </c>
      <c r="BZ82" s="76">
        <v>265341</v>
      </c>
      <c r="CA82" s="76">
        <v>271927</v>
      </c>
      <c r="CC82" s="75">
        <v>5</v>
      </c>
      <c r="CD82" s="76">
        <v>289348</v>
      </c>
      <c r="CE82" s="76">
        <v>294727</v>
      </c>
      <c r="CF82" s="76">
        <v>280376</v>
      </c>
      <c r="CG82" s="76">
        <v>283871</v>
      </c>
      <c r="CI82" s="75">
        <v>5</v>
      </c>
      <c r="CJ82" s="76">
        <v>301578</v>
      </c>
      <c r="CK82" s="76">
        <v>285379</v>
      </c>
      <c r="CL82" s="76">
        <v>266986</v>
      </c>
      <c r="CM82" s="76">
        <v>266788</v>
      </c>
    </row>
    <row r="83" spans="1:91">
      <c r="A83" s="768" t="s">
        <v>231</v>
      </c>
      <c r="B83" s="796">
        <f>B77</f>
        <v>301846</v>
      </c>
      <c r="C83" s="744">
        <f>C77</f>
        <v>283771</v>
      </c>
      <c r="D83" s="744">
        <f t="shared" ref="D83:Q83" si="107">D77</f>
        <v>309302</v>
      </c>
      <c r="E83" s="744">
        <f t="shared" si="107"/>
        <v>291700</v>
      </c>
      <c r="F83" s="744">
        <f t="shared" si="107"/>
        <v>292988</v>
      </c>
      <c r="G83" s="796">
        <f t="shared" si="107"/>
        <v>317060</v>
      </c>
      <c r="H83" s="744">
        <f t="shared" si="107"/>
        <v>317060</v>
      </c>
      <c r="I83" s="744">
        <f t="shared" si="107"/>
        <v>317060</v>
      </c>
      <c r="J83" s="744">
        <f t="shared" si="107"/>
        <v>317060</v>
      </c>
      <c r="K83" s="744">
        <f t="shared" si="107"/>
        <v>317060</v>
      </c>
      <c r="L83" s="796">
        <f t="shared" si="107"/>
        <v>340139</v>
      </c>
      <c r="M83" s="744">
        <f t="shared" si="107"/>
        <v>308919</v>
      </c>
      <c r="N83" s="744">
        <f t="shared" si="107"/>
        <v>297320</v>
      </c>
      <c r="O83" s="744">
        <f t="shared" si="107"/>
        <v>367001</v>
      </c>
      <c r="P83" s="744">
        <f t="shared" si="107"/>
        <v>364456</v>
      </c>
      <c r="Q83" s="796">
        <f t="shared" si="107"/>
        <v>317060</v>
      </c>
      <c r="R83" s="744">
        <f>R76</f>
        <v>315866</v>
      </c>
      <c r="S83" s="797">
        <f>S76</f>
        <v>314671</v>
      </c>
      <c r="T83" s="797">
        <f>T76</f>
        <v>313477</v>
      </c>
      <c r="U83" s="797">
        <f>U76</f>
        <v>312282</v>
      </c>
      <c r="V83" s="744">
        <f>V76</f>
        <v>311088</v>
      </c>
      <c r="W83" s="73">
        <f t="shared" ref="W83:AF83" si="108">ROUND(V83*AP86,0)</f>
        <v>314052</v>
      </c>
      <c r="X83" s="73">
        <f t="shared" si="108"/>
        <v>310461</v>
      </c>
      <c r="Y83" s="73">
        <f t="shared" si="108"/>
        <v>311177</v>
      </c>
      <c r="Z83" s="797">
        <f t="shared" si="108"/>
        <v>310529</v>
      </c>
      <c r="AA83" s="73">
        <f t="shared" si="108"/>
        <v>308842</v>
      </c>
      <c r="AB83" s="73">
        <f t="shared" si="108"/>
        <v>306012</v>
      </c>
      <c r="AC83" s="73">
        <f t="shared" si="108"/>
        <v>290829</v>
      </c>
      <c r="AD83" s="73">
        <f t="shared" si="108"/>
        <v>297491</v>
      </c>
      <c r="AE83" s="73">
        <f t="shared" si="108"/>
        <v>304949</v>
      </c>
      <c r="AF83" s="73">
        <f t="shared" si="108"/>
        <v>317710</v>
      </c>
      <c r="AG83" s="73">
        <f>ROUND(AF83*BU128,0)</f>
        <v>295536</v>
      </c>
      <c r="AH83" s="1169">
        <f t="shared" ref="AH83:AK88" si="109">AG83</f>
        <v>295536</v>
      </c>
      <c r="AI83" s="1169">
        <f t="shared" si="109"/>
        <v>295536</v>
      </c>
      <c r="AJ83" s="1169">
        <f t="shared" si="109"/>
        <v>295536</v>
      </c>
      <c r="AK83" s="1169">
        <f t="shared" si="109"/>
        <v>295536</v>
      </c>
      <c r="AL83" s="75" t="s">
        <v>1018</v>
      </c>
      <c r="AN83" s="75" t="s">
        <v>88</v>
      </c>
      <c r="AO83" s="479" t="s">
        <v>1013</v>
      </c>
      <c r="AP83" s="479">
        <f t="shared" ref="AP83:AR86" si="110">AP78/AO78</f>
        <v>1.0017212019868749</v>
      </c>
      <c r="AQ83" s="479">
        <f t="shared" si="110"/>
        <v>0.96481058152035237</v>
      </c>
      <c r="AR83" s="479">
        <f t="shared" si="110"/>
        <v>1.002793395850978</v>
      </c>
      <c r="AS83" s="1390">
        <f t="shared" ref="AS83:AS86" si="111">AS78/AR78</f>
        <v>1.0308040066492943</v>
      </c>
      <c r="AT83" s="1390">
        <f t="shared" ref="AT83" si="112">AT78/AS78</f>
        <v>0.98832839109816339</v>
      </c>
      <c r="AU83" s="1390">
        <f t="shared" ref="AU83" si="113">AU78/AT78</f>
        <v>0.99319300578153358</v>
      </c>
      <c r="AV83" s="1390">
        <f t="shared" ref="AV83" si="114">AV78/AU78</f>
        <v>1.0038168002905272</v>
      </c>
      <c r="AW83" s="1390">
        <f t="shared" ref="AW83" si="115">AW78/AV78</f>
        <v>1.0047429107496237</v>
      </c>
      <c r="AX83" s="1390">
        <f t="shared" ref="AX83" si="116">AX78/AW78</f>
        <v>0.99807556269294917</v>
      </c>
      <c r="AY83" s="1390">
        <f t="shared" ref="AY83" si="117">AY78/AX78</f>
        <v>1.0055307984719122</v>
      </c>
      <c r="AZ83" s="1390">
        <f t="shared" ref="AZ83" si="118">AZ78/AY78</f>
        <v>0.96784777120198007</v>
      </c>
      <c r="BA83" s="1390">
        <f t="shared" ref="BA83:BG83" si="119">AZ83*BA89</f>
        <v>0.97344892899411839</v>
      </c>
      <c r="BB83" s="1390">
        <f t="shared" si="119"/>
        <v>0.97908250197544855</v>
      </c>
      <c r="BC83" s="1390">
        <f t="shared" si="119"/>
        <v>0.98474867774013042</v>
      </c>
      <c r="BD83" s="1390">
        <f t="shared" si="119"/>
        <v>0.49522382248398727</v>
      </c>
      <c r="BE83" s="1390">
        <f t="shared" si="119"/>
        <v>0.74283573372598088</v>
      </c>
      <c r="BF83" s="1390">
        <f t="shared" si="119"/>
        <v>105142.45542304279</v>
      </c>
      <c r="BG83" s="1390">
        <f t="shared" si="119"/>
        <v>30140556841.39114</v>
      </c>
      <c r="BH83" s="1390">
        <f>BH78/AZ78</f>
        <v>1.003825614048695</v>
      </c>
      <c r="BK83" s="75">
        <v>6</v>
      </c>
      <c r="BL83" s="76">
        <v>283028</v>
      </c>
      <c r="BM83" s="76">
        <v>281457</v>
      </c>
      <c r="BN83" s="76">
        <v>273609</v>
      </c>
      <c r="BO83" s="76">
        <v>265839</v>
      </c>
      <c r="BQ83" s="75">
        <v>6</v>
      </c>
      <c r="BR83" s="76">
        <v>286159</v>
      </c>
      <c r="BS83" s="76">
        <v>284515</v>
      </c>
      <c r="BT83" s="76">
        <v>264416</v>
      </c>
      <c r="BU83" s="76">
        <v>264416</v>
      </c>
      <c r="BW83" s="75">
        <v>6</v>
      </c>
      <c r="BX83" s="76">
        <v>278982</v>
      </c>
      <c r="BY83" s="76">
        <v>267175</v>
      </c>
      <c r="BZ83" s="76">
        <v>261454</v>
      </c>
      <c r="CA83" s="76">
        <v>249381</v>
      </c>
      <c r="CC83" s="75">
        <v>6</v>
      </c>
      <c r="CD83" s="76">
        <v>279392</v>
      </c>
      <c r="CE83" s="76">
        <v>263868</v>
      </c>
      <c r="CF83" s="76">
        <v>273077</v>
      </c>
      <c r="CG83" s="76">
        <v>261667</v>
      </c>
      <c r="CI83" s="75">
        <v>6</v>
      </c>
      <c r="CJ83" s="76">
        <v>293796</v>
      </c>
      <c r="CK83" s="76">
        <v>271876</v>
      </c>
      <c r="CL83" s="76">
        <v>255821</v>
      </c>
      <c r="CM83" s="76">
        <v>243020</v>
      </c>
    </row>
    <row r="84" spans="1:91">
      <c r="A84" s="768" t="s">
        <v>232</v>
      </c>
      <c r="B84" s="796">
        <f>B77</f>
        <v>301846</v>
      </c>
      <c r="C84" s="744">
        <f>C77</f>
        <v>283771</v>
      </c>
      <c r="D84" s="744">
        <f t="shared" ref="D84:Q84" si="120">D77</f>
        <v>309302</v>
      </c>
      <c r="E84" s="744">
        <f t="shared" si="120"/>
        <v>291700</v>
      </c>
      <c r="F84" s="744">
        <f t="shared" si="120"/>
        <v>292988</v>
      </c>
      <c r="G84" s="796">
        <f t="shared" si="120"/>
        <v>317060</v>
      </c>
      <c r="H84" s="744">
        <f t="shared" si="120"/>
        <v>317060</v>
      </c>
      <c r="I84" s="744">
        <f t="shared" si="120"/>
        <v>317060</v>
      </c>
      <c r="J84" s="744">
        <f t="shared" si="120"/>
        <v>317060</v>
      </c>
      <c r="K84" s="744">
        <f t="shared" si="120"/>
        <v>317060</v>
      </c>
      <c r="L84" s="796">
        <f t="shared" si="120"/>
        <v>340139</v>
      </c>
      <c r="M84" s="744">
        <f t="shared" si="120"/>
        <v>308919</v>
      </c>
      <c r="N84" s="744">
        <f t="shared" si="120"/>
        <v>297320</v>
      </c>
      <c r="O84" s="744">
        <f t="shared" si="120"/>
        <v>367001</v>
      </c>
      <c r="P84" s="744">
        <f t="shared" si="120"/>
        <v>364456</v>
      </c>
      <c r="Q84" s="796">
        <f t="shared" si="120"/>
        <v>317060</v>
      </c>
      <c r="R84" s="744">
        <f>R76</f>
        <v>315866</v>
      </c>
      <c r="S84" s="797">
        <f>S76</f>
        <v>314671</v>
      </c>
      <c r="T84" s="797">
        <f>T76</f>
        <v>313477</v>
      </c>
      <c r="U84" s="797">
        <f>U76</f>
        <v>312282</v>
      </c>
      <c r="V84" s="744">
        <f>V76</f>
        <v>311088</v>
      </c>
      <c r="W84" s="73">
        <f t="shared" ref="W84:AF85" si="121">ROUND(V84*AP85,0)</f>
        <v>301141</v>
      </c>
      <c r="X84" s="73">
        <f t="shared" si="121"/>
        <v>302194</v>
      </c>
      <c r="Y84" s="73">
        <f t="shared" si="121"/>
        <v>308940</v>
      </c>
      <c r="Z84" s="797">
        <f t="shared" si="121"/>
        <v>301948</v>
      </c>
      <c r="AA84" s="73">
        <f t="shared" si="121"/>
        <v>310787</v>
      </c>
      <c r="AB84" s="73">
        <f t="shared" si="121"/>
        <v>306011</v>
      </c>
      <c r="AC84" s="73">
        <f t="shared" si="121"/>
        <v>301593</v>
      </c>
      <c r="AD84" s="73">
        <f t="shared" si="121"/>
        <v>293381</v>
      </c>
      <c r="AE84" s="73">
        <f t="shared" si="121"/>
        <v>304806</v>
      </c>
      <c r="AF84" s="73">
        <f t="shared" si="121"/>
        <v>315526</v>
      </c>
      <c r="AG84" s="73">
        <f>ROUND(AF84*BT128,0)</f>
        <v>292227</v>
      </c>
      <c r="AH84" s="1169">
        <f t="shared" si="109"/>
        <v>292227</v>
      </c>
      <c r="AI84" s="1169">
        <f t="shared" si="109"/>
        <v>292227</v>
      </c>
      <c r="AJ84" s="1169">
        <f t="shared" si="109"/>
        <v>292227</v>
      </c>
      <c r="AK84" s="1169">
        <f t="shared" si="109"/>
        <v>292227</v>
      </c>
      <c r="AL84" s="75" t="s">
        <v>1017</v>
      </c>
      <c r="AN84" s="75" t="s">
        <v>89</v>
      </c>
      <c r="AO84" s="479" t="s">
        <v>1009</v>
      </c>
      <c r="AP84" s="479">
        <f t="shared" si="110"/>
        <v>1.0021127871932853</v>
      </c>
      <c r="AQ84" s="479">
        <f t="shared" si="110"/>
        <v>0.95573519092045678</v>
      </c>
      <c r="AR84" s="479">
        <f t="shared" si="110"/>
        <v>1.014350555281587</v>
      </c>
      <c r="AS84" s="1390">
        <f t="shared" si="111"/>
        <v>1.0352871662855396</v>
      </c>
      <c r="AT84" s="479">
        <f t="shared" ref="AT84:BG86" si="122">AT79/AS79</f>
        <v>0.99897179101610156</v>
      </c>
      <c r="AU84" s="479">
        <f t="shared" si="122"/>
        <v>0.98094981349112798</v>
      </c>
      <c r="AV84" s="479">
        <f t="shared" si="122"/>
        <v>0.97371484849321122</v>
      </c>
      <c r="AW84" s="479">
        <f t="shared" si="122"/>
        <v>1.0155702952776304</v>
      </c>
      <c r="AX84" s="479">
        <f t="shared" si="122"/>
        <v>1.0073361339481082</v>
      </c>
      <c r="AY84" s="479">
        <f t="shared" si="122"/>
        <v>1.0159561005946274</v>
      </c>
      <c r="AZ84" s="479">
        <f t="shared" si="122"/>
        <v>0.95286559867018361</v>
      </c>
      <c r="BA84" s="479">
        <f t="shared" si="122"/>
        <v>0</v>
      </c>
      <c r="BB84" s="479" t="e">
        <f t="shared" si="122"/>
        <v>#DIV/0!</v>
      </c>
      <c r="BC84" s="479" t="e">
        <f t="shared" si="122"/>
        <v>#DIV/0!</v>
      </c>
      <c r="BD84" s="479" t="e">
        <f t="shared" si="122"/>
        <v>#DIV/0!</v>
      </c>
      <c r="BE84" s="479" t="e">
        <f t="shared" si="122"/>
        <v>#DIV/0!</v>
      </c>
      <c r="BF84" s="479" t="e">
        <f t="shared" si="122"/>
        <v>#DIV/0!</v>
      </c>
      <c r="BG84" s="479" t="e">
        <f t="shared" si="122"/>
        <v>#DIV/0!</v>
      </c>
      <c r="BH84" s="479">
        <f>BH79/AZ79</f>
        <v>1.0251425675574966</v>
      </c>
      <c r="BK84" s="75">
        <v>7</v>
      </c>
      <c r="BL84" s="76">
        <v>298753</v>
      </c>
      <c r="BM84" s="76">
        <v>288131</v>
      </c>
      <c r="BN84" s="76">
        <v>277065</v>
      </c>
      <c r="BO84" s="76">
        <v>270449</v>
      </c>
      <c r="BQ84" s="75">
        <v>7</v>
      </c>
      <c r="BR84" s="76">
        <v>307552</v>
      </c>
      <c r="BS84" s="76">
        <v>289352</v>
      </c>
      <c r="BT84" s="76">
        <v>276952</v>
      </c>
      <c r="BU84" s="76">
        <v>256256</v>
      </c>
      <c r="BW84" s="75">
        <v>7</v>
      </c>
      <c r="BX84" s="76">
        <v>294256</v>
      </c>
      <c r="BY84" s="76">
        <v>281390</v>
      </c>
      <c r="BZ84" s="76">
        <v>270930</v>
      </c>
      <c r="CA84" s="76">
        <v>269288</v>
      </c>
      <c r="CC84" s="75">
        <v>7</v>
      </c>
      <c r="CD84" s="76">
        <v>294221</v>
      </c>
      <c r="CE84" s="76">
        <v>281183</v>
      </c>
      <c r="CF84" s="76">
        <v>286369</v>
      </c>
      <c r="CG84" s="76">
        <v>266064</v>
      </c>
      <c r="CI84" s="75">
        <v>7</v>
      </c>
      <c r="CJ84" s="76">
        <v>310134</v>
      </c>
      <c r="CK84" s="76">
        <v>288220</v>
      </c>
      <c r="CL84" s="76">
        <v>274947</v>
      </c>
      <c r="CM84" s="76">
        <v>257156</v>
      </c>
    </row>
    <row r="85" spans="1:91">
      <c r="A85" s="741" t="s">
        <v>200</v>
      </c>
      <c r="B85" s="796">
        <f>B77</f>
        <v>301846</v>
      </c>
      <c r="C85" s="744">
        <f>C77</f>
        <v>283771</v>
      </c>
      <c r="D85" s="744">
        <f t="shared" ref="D85:Q85" si="123">D77</f>
        <v>309302</v>
      </c>
      <c r="E85" s="744">
        <f t="shared" si="123"/>
        <v>291700</v>
      </c>
      <c r="F85" s="744">
        <f t="shared" si="123"/>
        <v>292988</v>
      </c>
      <c r="G85" s="796">
        <f t="shared" si="123"/>
        <v>317060</v>
      </c>
      <c r="H85" s="744">
        <f t="shared" si="123"/>
        <v>317060</v>
      </c>
      <c r="I85" s="744">
        <f t="shared" si="123"/>
        <v>317060</v>
      </c>
      <c r="J85" s="744">
        <f t="shared" si="123"/>
        <v>317060</v>
      </c>
      <c r="K85" s="744">
        <f t="shared" si="123"/>
        <v>317060</v>
      </c>
      <c r="L85" s="796">
        <f t="shared" si="123"/>
        <v>340139</v>
      </c>
      <c r="M85" s="744">
        <f t="shared" si="123"/>
        <v>308919</v>
      </c>
      <c r="N85" s="744">
        <f t="shared" si="123"/>
        <v>297320</v>
      </c>
      <c r="O85" s="744">
        <f t="shared" si="123"/>
        <v>367001</v>
      </c>
      <c r="P85" s="744">
        <f t="shared" si="123"/>
        <v>364456</v>
      </c>
      <c r="Q85" s="796">
        <f t="shared" si="123"/>
        <v>317060</v>
      </c>
      <c r="R85" s="744">
        <f>R76</f>
        <v>315866</v>
      </c>
      <c r="S85" s="797">
        <f>S76</f>
        <v>314671</v>
      </c>
      <c r="T85" s="797">
        <f>T76</f>
        <v>313477</v>
      </c>
      <c r="U85" s="797">
        <f>U76</f>
        <v>312282</v>
      </c>
      <c r="V85" s="744">
        <f>V76</f>
        <v>311088</v>
      </c>
      <c r="W85" s="73">
        <f t="shared" si="121"/>
        <v>314052</v>
      </c>
      <c r="X85" s="73">
        <f t="shared" si="121"/>
        <v>310461</v>
      </c>
      <c r="Y85" s="73">
        <f t="shared" si="121"/>
        <v>311177</v>
      </c>
      <c r="Z85" s="797">
        <f t="shared" si="121"/>
        <v>310529</v>
      </c>
      <c r="AA85" s="73">
        <f t="shared" si="121"/>
        <v>308842</v>
      </c>
      <c r="AB85" s="73">
        <f t="shared" si="121"/>
        <v>306012</v>
      </c>
      <c r="AC85" s="73">
        <f t="shared" si="121"/>
        <v>290829</v>
      </c>
      <c r="AD85" s="73">
        <f t="shared" si="121"/>
        <v>297491</v>
      </c>
      <c r="AE85" s="73">
        <f t="shared" si="121"/>
        <v>304949</v>
      </c>
      <c r="AF85" s="73">
        <f t="shared" si="121"/>
        <v>317710</v>
      </c>
      <c r="AG85" s="73">
        <f>ROUND(AF85*BU128,0)</f>
        <v>295536</v>
      </c>
      <c r="AH85" s="1169">
        <f t="shared" si="109"/>
        <v>295536</v>
      </c>
      <c r="AI85" s="1169">
        <f t="shared" si="109"/>
        <v>295536</v>
      </c>
      <c r="AJ85" s="1169">
        <f t="shared" si="109"/>
        <v>295536</v>
      </c>
      <c r="AK85" s="1169">
        <f t="shared" si="109"/>
        <v>295536</v>
      </c>
      <c r="AL85" s="75" t="s">
        <v>1018</v>
      </c>
      <c r="AN85" s="75" t="s">
        <v>90</v>
      </c>
      <c r="AO85" s="479" t="s">
        <v>1010</v>
      </c>
      <c r="AP85" s="479">
        <f t="shared" si="110"/>
        <v>0.96802421007049522</v>
      </c>
      <c r="AQ85" s="479">
        <f t="shared" si="110"/>
        <v>1.0034968955732344</v>
      </c>
      <c r="AR85" s="479">
        <f t="shared" si="110"/>
        <v>1.0223228743104802</v>
      </c>
      <c r="AS85" s="1390">
        <f t="shared" si="111"/>
        <v>0.97736631966066179</v>
      </c>
      <c r="AT85" s="1184">
        <f>AT80/AS80</f>
        <v>1.0292742423665491</v>
      </c>
      <c r="AU85" s="1184">
        <f t="shared" si="122"/>
        <v>0.98463380353488661</v>
      </c>
      <c r="AV85" s="1184">
        <f t="shared" si="122"/>
        <v>0.98556109833399097</v>
      </c>
      <c r="AW85" s="1184">
        <f t="shared" si="122"/>
        <v>0.9727706455726296</v>
      </c>
      <c r="AX85" s="1184">
        <f t="shared" si="122"/>
        <v>1.0389421034068091</v>
      </c>
      <c r="AY85" s="1184">
        <f t="shared" si="122"/>
        <v>1.0351699137622501</v>
      </c>
      <c r="AZ85" s="1184">
        <f t="shared" si="122"/>
        <v>0.92615745077780265</v>
      </c>
      <c r="BA85" s="1184">
        <f t="shared" si="122"/>
        <v>0</v>
      </c>
      <c r="BB85" s="1184" t="e">
        <f t="shared" si="122"/>
        <v>#DIV/0!</v>
      </c>
      <c r="BC85" s="1184" t="e">
        <f t="shared" si="122"/>
        <v>#DIV/0!</v>
      </c>
      <c r="BD85" s="1184" t="e">
        <f t="shared" si="122"/>
        <v>#DIV/0!</v>
      </c>
      <c r="BE85" s="1184" t="e">
        <f t="shared" si="122"/>
        <v>#DIV/0!</v>
      </c>
      <c r="BF85" s="1184" t="e">
        <f t="shared" si="122"/>
        <v>#DIV/0!</v>
      </c>
      <c r="BG85" s="1184" t="e">
        <f t="shared" si="122"/>
        <v>#DIV/0!</v>
      </c>
      <c r="BH85" s="1184">
        <f>BH80/AZ80</f>
        <v>0.9935205672036298</v>
      </c>
      <c r="BK85" s="75">
        <v>8</v>
      </c>
      <c r="BL85" s="76">
        <v>302297</v>
      </c>
      <c r="BM85" s="76">
        <v>295908</v>
      </c>
      <c r="BN85" s="76">
        <v>289470</v>
      </c>
      <c r="BO85" s="76">
        <v>266710</v>
      </c>
      <c r="BQ85" s="75">
        <v>8</v>
      </c>
      <c r="BR85" s="76">
        <v>305229</v>
      </c>
      <c r="BS85" s="76">
        <v>296788</v>
      </c>
      <c r="BT85" s="76">
        <v>283043</v>
      </c>
      <c r="BU85" s="76">
        <v>284127</v>
      </c>
      <c r="BW85" s="75">
        <v>8</v>
      </c>
      <c r="BX85" s="76">
        <v>285917</v>
      </c>
      <c r="BY85" s="76">
        <v>282555</v>
      </c>
      <c r="BZ85" s="76">
        <v>278324</v>
      </c>
      <c r="CA85" s="76">
        <v>280541</v>
      </c>
      <c r="CC85" s="75">
        <v>8</v>
      </c>
      <c r="CD85" s="76">
        <v>297390</v>
      </c>
      <c r="CE85" s="76">
        <v>286382</v>
      </c>
      <c r="CF85" s="76">
        <v>275620</v>
      </c>
      <c r="CG85" s="76">
        <v>283482</v>
      </c>
      <c r="CI85" s="75">
        <v>8</v>
      </c>
      <c r="CJ85" s="76">
        <v>293218</v>
      </c>
      <c r="CK85" s="76">
        <v>287489</v>
      </c>
      <c r="CL85" s="76">
        <v>266102</v>
      </c>
      <c r="CM85" s="76">
        <v>293184</v>
      </c>
    </row>
    <row r="86" spans="1:91">
      <c r="A86" s="741" t="s">
        <v>201</v>
      </c>
      <c r="B86" s="796">
        <f>B77</f>
        <v>301846</v>
      </c>
      <c r="C86" s="744">
        <f>C77</f>
        <v>283771</v>
      </c>
      <c r="D86" s="744">
        <f t="shared" ref="D86:Q86" si="124">D77</f>
        <v>309302</v>
      </c>
      <c r="E86" s="744">
        <f t="shared" si="124"/>
        <v>291700</v>
      </c>
      <c r="F86" s="744">
        <f t="shared" si="124"/>
        <v>292988</v>
      </c>
      <c r="G86" s="796">
        <f t="shared" si="124"/>
        <v>317060</v>
      </c>
      <c r="H86" s="744">
        <f t="shared" si="124"/>
        <v>317060</v>
      </c>
      <c r="I86" s="744">
        <f t="shared" si="124"/>
        <v>317060</v>
      </c>
      <c r="J86" s="744">
        <f t="shared" si="124"/>
        <v>317060</v>
      </c>
      <c r="K86" s="744">
        <f t="shared" si="124"/>
        <v>317060</v>
      </c>
      <c r="L86" s="796">
        <f t="shared" si="124"/>
        <v>340139</v>
      </c>
      <c r="M86" s="744">
        <f t="shared" si="124"/>
        <v>308919</v>
      </c>
      <c r="N86" s="744">
        <f t="shared" si="124"/>
        <v>297320</v>
      </c>
      <c r="O86" s="744">
        <f t="shared" si="124"/>
        <v>367001</v>
      </c>
      <c r="P86" s="744">
        <f t="shared" si="124"/>
        <v>364456</v>
      </c>
      <c r="Q86" s="796">
        <f t="shared" si="124"/>
        <v>317060</v>
      </c>
      <c r="R86" s="744">
        <f>R76</f>
        <v>315866</v>
      </c>
      <c r="S86" s="797">
        <f>S76</f>
        <v>314671</v>
      </c>
      <c r="T86" s="797">
        <f>T76</f>
        <v>313477</v>
      </c>
      <c r="U86" s="797">
        <f>U76</f>
        <v>312282</v>
      </c>
      <c r="V86" s="744">
        <f>V76</f>
        <v>311088</v>
      </c>
      <c r="W86" s="73">
        <f t="shared" ref="W86:AF86" si="125">ROUND(V86*AP86,0)</f>
        <v>314052</v>
      </c>
      <c r="X86" s="73">
        <f t="shared" si="125"/>
        <v>310461</v>
      </c>
      <c r="Y86" s="73">
        <f t="shared" si="125"/>
        <v>311177</v>
      </c>
      <c r="Z86" s="797">
        <f t="shared" si="125"/>
        <v>310529</v>
      </c>
      <c r="AA86" s="73">
        <f t="shared" si="125"/>
        <v>308842</v>
      </c>
      <c r="AB86" s="73">
        <f t="shared" si="125"/>
        <v>306012</v>
      </c>
      <c r="AC86" s="73">
        <f t="shared" si="125"/>
        <v>290829</v>
      </c>
      <c r="AD86" s="73">
        <f t="shared" si="125"/>
        <v>297491</v>
      </c>
      <c r="AE86" s="73">
        <f t="shared" si="125"/>
        <v>304949</v>
      </c>
      <c r="AF86" s="73">
        <f t="shared" si="125"/>
        <v>317710</v>
      </c>
      <c r="AG86" s="73">
        <f>ROUND(AF86*BU128,0)</f>
        <v>295536</v>
      </c>
      <c r="AH86" s="1169">
        <f t="shared" si="109"/>
        <v>295536</v>
      </c>
      <c r="AI86" s="1169">
        <f t="shared" si="109"/>
        <v>295536</v>
      </c>
      <c r="AJ86" s="1169">
        <f t="shared" si="109"/>
        <v>295536</v>
      </c>
      <c r="AK86" s="1169">
        <f t="shared" si="109"/>
        <v>295536</v>
      </c>
      <c r="AL86" s="75" t="s">
        <v>1018</v>
      </c>
      <c r="AN86" s="75" t="s">
        <v>1008</v>
      </c>
      <c r="AO86" s="479" t="s">
        <v>1011</v>
      </c>
      <c r="AP86" s="479">
        <f t="shared" si="110"/>
        <v>1.0095274626986295</v>
      </c>
      <c r="AQ86" s="479">
        <f t="shared" si="110"/>
        <v>0.98856674986826754</v>
      </c>
      <c r="AR86" s="479">
        <f t="shared" si="110"/>
        <v>1.0023049376974857</v>
      </c>
      <c r="AS86" s="1390">
        <f t="shared" si="111"/>
        <v>0.99791651907043766</v>
      </c>
      <c r="AT86" s="1184">
        <f t="shared" si="122"/>
        <v>0.9945681957286322</v>
      </c>
      <c r="AU86" s="1184">
        <f t="shared" si="122"/>
        <v>0.99083730590974783</v>
      </c>
      <c r="AV86" s="1184">
        <f t="shared" si="122"/>
        <v>0.95038364629678396</v>
      </c>
      <c r="AW86" s="1184">
        <f t="shared" si="122"/>
        <v>1.0229086354459362</v>
      </c>
      <c r="AX86" s="1184">
        <f t="shared" si="122"/>
        <v>1.0250696826808856</v>
      </c>
      <c r="AY86" s="1184">
        <f t="shared" si="122"/>
        <v>1.0418453354563886</v>
      </c>
      <c r="AZ86" s="1184">
        <f t="shared" si="122"/>
        <v>0.93020669763893082</v>
      </c>
      <c r="BA86" s="1184">
        <f t="shared" si="122"/>
        <v>0</v>
      </c>
      <c r="BB86" s="1184" t="e">
        <f t="shared" si="122"/>
        <v>#DIV/0!</v>
      </c>
      <c r="BC86" s="1184" t="e">
        <f t="shared" si="122"/>
        <v>#DIV/0!</v>
      </c>
      <c r="BD86" s="1184" t="e">
        <f t="shared" si="122"/>
        <v>#DIV/0!</v>
      </c>
      <c r="BE86" s="1184" t="e">
        <f t="shared" si="122"/>
        <v>#DIV/0!</v>
      </c>
      <c r="BF86" s="1184" t="e">
        <f t="shared" si="122"/>
        <v>#DIV/0!</v>
      </c>
      <c r="BG86" s="1184" t="e">
        <f t="shared" si="122"/>
        <v>#DIV/0!</v>
      </c>
      <c r="BH86" s="1184">
        <f>BH81/AZ81</f>
        <v>0.97582561506489185</v>
      </c>
      <c r="BK86" s="75">
        <v>9</v>
      </c>
      <c r="BL86" s="75">
        <v>294408</v>
      </c>
      <c r="BM86" s="75">
        <v>279420</v>
      </c>
      <c r="BN86" s="75">
        <v>259644</v>
      </c>
      <c r="BO86" s="75">
        <v>272424</v>
      </c>
      <c r="BQ86" s="75">
        <v>9</v>
      </c>
      <c r="BR86" s="75">
        <v>290265</v>
      </c>
      <c r="BS86" s="75">
        <v>278089</v>
      </c>
      <c r="BT86" s="75">
        <v>262231</v>
      </c>
      <c r="BU86" s="75">
        <v>267032</v>
      </c>
      <c r="BW86" s="75">
        <v>9</v>
      </c>
      <c r="BX86" s="75">
        <v>284210</v>
      </c>
      <c r="BY86" s="75">
        <v>274913</v>
      </c>
      <c r="BZ86" s="75">
        <v>256255</v>
      </c>
      <c r="CA86" s="75">
        <v>259718</v>
      </c>
      <c r="CC86" s="75">
        <v>9</v>
      </c>
      <c r="CD86" s="75">
        <v>279477</v>
      </c>
      <c r="CE86" s="75">
        <v>264635</v>
      </c>
      <c r="CF86" s="75">
        <v>268174</v>
      </c>
      <c r="CG86" s="75">
        <v>248848</v>
      </c>
      <c r="CI86" s="75">
        <v>9</v>
      </c>
      <c r="CJ86" s="75">
        <v>297290</v>
      </c>
      <c r="CK86" s="75">
        <v>285656</v>
      </c>
      <c r="CL86" s="75">
        <v>265245</v>
      </c>
      <c r="CM86" s="75">
        <v>265991</v>
      </c>
    </row>
    <row r="87" spans="1:91">
      <c r="A87" s="741" t="s">
        <v>239</v>
      </c>
      <c r="B87" s="796">
        <f>B77</f>
        <v>301846</v>
      </c>
      <c r="C87" s="744">
        <f>C77</f>
        <v>283771</v>
      </c>
      <c r="D87" s="744">
        <f t="shared" ref="D87:Q87" si="126">D77</f>
        <v>309302</v>
      </c>
      <c r="E87" s="744">
        <f t="shared" si="126"/>
        <v>291700</v>
      </c>
      <c r="F87" s="744">
        <f t="shared" si="126"/>
        <v>292988</v>
      </c>
      <c r="G87" s="796">
        <f t="shared" si="126"/>
        <v>317060</v>
      </c>
      <c r="H87" s="744">
        <f t="shared" si="126"/>
        <v>317060</v>
      </c>
      <c r="I87" s="744">
        <f t="shared" si="126"/>
        <v>317060</v>
      </c>
      <c r="J87" s="744">
        <f t="shared" si="126"/>
        <v>317060</v>
      </c>
      <c r="K87" s="744">
        <f t="shared" si="126"/>
        <v>317060</v>
      </c>
      <c r="L87" s="796">
        <f t="shared" si="126"/>
        <v>340139</v>
      </c>
      <c r="M87" s="744">
        <f t="shared" si="126"/>
        <v>308919</v>
      </c>
      <c r="N87" s="744">
        <f t="shared" si="126"/>
        <v>297320</v>
      </c>
      <c r="O87" s="744">
        <f t="shared" si="126"/>
        <v>367001</v>
      </c>
      <c r="P87" s="744">
        <f t="shared" si="126"/>
        <v>364456</v>
      </c>
      <c r="Q87" s="796">
        <f t="shared" si="126"/>
        <v>317060</v>
      </c>
      <c r="R87" s="744">
        <f>R76</f>
        <v>315866</v>
      </c>
      <c r="S87" s="797">
        <f>S76</f>
        <v>314671</v>
      </c>
      <c r="T87" s="797">
        <f>T76</f>
        <v>313477</v>
      </c>
      <c r="U87" s="797">
        <f>U76</f>
        <v>312282</v>
      </c>
      <c r="V87" s="744">
        <f>V76</f>
        <v>311088</v>
      </c>
      <c r="W87" s="73">
        <f t="shared" ref="W87:AF87" si="127">ROUND(V87*AP86,0)</f>
        <v>314052</v>
      </c>
      <c r="X87" s="73">
        <f t="shared" si="127"/>
        <v>310461</v>
      </c>
      <c r="Y87" s="73">
        <f t="shared" si="127"/>
        <v>311177</v>
      </c>
      <c r="Z87" s="797">
        <f t="shared" si="127"/>
        <v>310529</v>
      </c>
      <c r="AA87" s="73">
        <f t="shared" si="127"/>
        <v>308842</v>
      </c>
      <c r="AB87" s="73">
        <f t="shared" si="127"/>
        <v>306012</v>
      </c>
      <c r="AC87" s="73">
        <f t="shared" si="127"/>
        <v>290829</v>
      </c>
      <c r="AD87" s="73">
        <f t="shared" si="127"/>
        <v>297491</v>
      </c>
      <c r="AE87" s="73">
        <f t="shared" si="127"/>
        <v>304949</v>
      </c>
      <c r="AF87" s="73">
        <f t="shared" si="127"/>
        <v>317710</v>
      </c>
      <c r="AG87" s="73">
        <f>ROUND(AF87*BU128,0)</f>
        <v>295536</v>
      </c>
      <c r="AH87" s="1169">
        <f t="shared" si="109"/>
        <v>295536</v>
      </c>
      <c r="AI87" s="1169">
        <f t="shared" si="109"/>
        <v>295536</v>
      </c>
      <c r="AJ87" s="1169">
        <f t="shared" si="109"/>
        <v>295536</v>
      </c>
      <c r="AK87" s="1169">
        <f t="shared" si="109"/>
        <v>295536</v>
      </c>
      <c r="AL87" s="75" t="s">
        <v>1018</v>
      </c>
      <c r="BK87" s="75">
        <v>10</v>
      </c>
      <c r="BL87" s="75">
        <v>305652</v>
      </c>
      <c r="BM87" s="75">
        <v>287899</v>
      </c>
      <c r="BN87" s="75">
        <v>285938</v>
      </c>
      <c r="BO87" s="75">
        <v>263402</v>
      </c>
      <c r="BQ87" s="75">
        <v>10</v>
      </c>
      <c r="BR87" s="75">
        <v>295368</v>
      </c>
      <c r="BS87" s="75">
        <v>294685</v>
      </c>
      <c r="BT87" s="75">
        <v>268892</v>
      </c>
      <c r="BU87" s="75">
        <v>288827</v>
      </c>
      <c r="BW87" s="75">
        <v>10</v>
      </c>
      <c r="BX87" s="75">
        <v>299281</v>
      </c>
      <c r="BY87" s="75">
        <v>284194</v>
      </c>
      <c r="BZ87" s="75">
        <v>278942</v>
      </c>
      <c r="CA87" s="75">
        <v>277495</v>
      </c>
      <c r="CC87" s="75">
        <v>10</v>
      </c>
      <c r="CD87" s="75">
        <v>294495</v>
      </c>
      <c r="CE87" s="75">
        <v>288561</v>
      </c>
      <c r="CF87" s="75">
        <v>278813</v>
      </c>
      <c r="CG87" s="75">
        <v>268182</v>
      </c>
      <c r="CI87" s="75">
        <v>10</v>
      </c>
      <c r="CJ87" s="75">
        <v>298450</v>
      </c>
      <c r="CK87" s="75">
        <v>302890</v>
      </c>
      <c r="CL87" s="75">
        <v>277960</v>
      </c>
      <c r="CM87" s="75">
        <v>272525</v>
      </c>
    </row>
    <row r="88" spans="1:91">
      <c r="A88" s="741" t="s">
        <v>233</v>
      </c>
      <c r="B88" s="796">
        <f>B77</f>
        <v>301846</v>
      </c>
      <c r="C88" s="744">
        <f>C77</f>
        <v>283771</v>
      </c>
      <c r="D88" s="744">
        <f t="shared" ref="D88:Q88" si="128">D77</f>
        <v>309302</v>
      </c>
      <c r="E88" s="744">
        <f t="shared" si="128"/>
        <v>291700</v>
      </c>
      <c r="F88" s="744">
        <f t="shared" si="128"/>
        <v>292988</v>
      </c>
      <c r="G88" s="796">
        <f t="shared" si="128"/>
        <v>317060</v>
      </c>
      <c r="H88" s="744">
        <f t="shared" si="128"/>
        <v>317060</v>
      </c>
      <c r="I88" s="744">
        <f t="shared" si="128"/>
        <v>317060</v>
      </c>
      <c r="J88" s="744">
        <f t="shared" si="128"/>
        <v>317060</v>
      </c>
      <c r="K88" s="744">
        <f t="shared" si="128"/>
        <v>317060</v>
      </c>
      <c r="L88" s="796">
        <f t="shared" si="128"/>
        <v>340139</v>
      </c>
      <c r="M88" s="744">
        <f t="shared" si="128"/>
        <v>308919</v>
      </c>
      <c r="N88" s="744">
        <f t="shared" si="128"/>
        <v>297320</v>
      </c>
      <c r="O88" s="744">
        <f t="shared" si="128"/>
        <v>367001</v>
      </c>
      <c r="P88" s="744">
        <f t="shared" si="128"/>
        <v>364456</v>
      </c>
      <c r="Q88" s="796">
        <f t="shared" si="128"/>
        <v>317060</v>
      </c>
      <c r="R88" s="744">
        <f>R76</f>
        <v>315866</v>
      </c>
      <c r="S88" s="797">
        <f>S76</f>
        <v>314671</v>
      </c>
      <c r="T88" s="797">
        <f>T76</f>
        <v>313477</v>
      </c>
      <c r="U88" s="797">
        <f>U76</f>
        <v>312282</v>
      </c>
      <c r="V88" s="744">
        <f>V76</f>
        <v>311088</v>
      </c>
      <c r="W88" s="73">
        <f t="shared" ref="W88:AF88" si="129">ROUND(V88*AP86,0)</f>
        <v>314052</v>
      </c>
      <c r="X88" s="73">
        <f t="shared" si="129"/>
        <v>310461</v>
      </c>
      <c r="Y88" s="73">
        <f t="shared" si="129"/>
        <v>311177</v>
      </c>
      <c r="Z88" s="797">
        <f t="shared" si="129"/>
        <v>310529</v>
      </c>
      <c r="AA88" s="73">
        <f t="shared" si="129"/>
        <v>308842</v>
      </c>
      <c r="AB88" s="73">
        <f t="shared" si="129"/>
        <v>306012</v>
      </c>
      <c r="AC88" s="73">
        <f t="shared" si="129"/>
        <v>290829</v>
      </c>
      <c r="AD88" s="73">
        <f t="shared" si="129"/>
        <v>297491</v>
      </c>
      <c r="AE88" s="73">
        <f t="shared" si="129"/>
        <v>304949</v>
      </c>
      <c r="AF88" s="73">
        <f t="shared" si="129"/>
        <v>317710</v>
      </c>
      <c r="AG88" s="73">
        <f>ROUND(AF88*BU128,0)</f>
        <v>295536</v>
      </c>
      <c r="AH88" s="1169">
        <f t="shared" si="109"/>
        <v>295536</v>
      </c>
      <c r="AI88" s="1169">
        <f t="shared" si="109"/>
        <v>295536</v>
      </c>
      <c r="AJ88" s="1169">
        <f t="shared" si="109"/>
        <v>295536</v>
      </c>
      <c r="AK88" s="1169">
        <f t="shared" si="109"/>
        <v>295536</v>
      </c>
      <c r="AL88" s="75" t="s">
        <v>1018</v>
      </c>
      <c r="AN88" s="130" t="s">
        <v>749</v>
      </c>
      <c r="AO88" s="130"/>
      <c r="AP88" s="480">
        <f t="shared" ref="AP88:BC88" si="130">W63</f>
        <v>0.95212419499585166</v>
      </c>
      <c r="AQ88" s="480">
        <f t="shared" si="130"/>
        <v>1.0132953387471864</v>
      </c>
      <c r="AR88" s="480">
        <f t="shared" si="130"/>
        <v>0.97268148139481148</v>
      </c>
      <c r="AS88" s="480">
        <f t="shared" si="130"/>
        <v>1.0527989096848172</v>
      </c>
      <c r="AT88" s="480">
        <f t="shared" si="130"/>
        <v>1.0024214133261427</v>
      </c>
      <c r="AU88" s="480">
        <f t="shared" si="130"/>
        <v>0.98080656536513433</v>
      </c>
      <c r="AV88" s="480">
        <f t="shared" si="130"/>
        <v>0.97309853749409125</v>
      </c>
      <c r="AW88" s="480">
        <f t="shared" si="130"/>
        <v>0.98959925359208811</v>
      </c>
      <c r="AX88" s="480">
        <f t="shared" si="130"/>
        <v>1.0057872301396966</v>
      </c>
      <c r="AY88" s="480">
        <f t="shared" si="130"/>
        <v>1.0057872301396966</v>
      </c>
      <c r="AZ88" s="480">
        <f t="shared" si="130"/>
        <v>1.0057872301396966</v>
      </c>
      <c r="BA88" s="480">
        <f t="shared" si="130"/>
        <v>1.0057872301396966</v>
      </c>
      <c r="BB88" s="480">
        <f t="shared" si="130"/>
        <v>1.0057872301396966</v>
      </c>
      <c r="BC88" s="480">
        <f t="shared" si="130"/>
        <v>1.0057872301396966</v>
      </c>
      <c r="BD88" s="480">
        <f t="shared" ref="BD88:BG88" si="131">AL63</f>
        <v>0</v>
      </c>
      <c r="BE88" s="480">
        <f t="shared" si="131"/>
        <v>3</v>
      </c>
      <c r="BF88" s="480">
        <f t="shared" si="131"/>
        <v>283081</v>
      </c>
      <c r="BG88" s="480">
        <f t="shared" si="131"/>
        <v>290247</v>
      </c>
      <c r="BH88" s="480">
        <f>AH63</f>
        <v>1.0057872301396966</v>
      </c>
      <c r="BK88" s="75">
        <v>11</v>
      </c>
      <c r="BL88" s="75">
        <v>302549</v>
      </c>
      <c r="BM88" s="75">
        <v>287449</v>
      </c>
      <c r="BN88" s="75">
        <v>272687</v>
      </c>
      <c r="BO88" s="75">
        <v>270482</v>
      </c>
      <c r="BQ88" s="75">
        <v>11</v>
      </c>
      <c r="BR88" s="75">
        <v>287893</v>
      </c>
      <c r="BS88" s="75">
        <v>285681</v>
      </c>
      <c r="BT88" s="75">
        <v>280832</v>
      </c>
      <c r="BU88" s="75">
        <v>280841</v>
      </c>
      <c r="BW88" s="75">
        <v>11</v>
      </c>
      <c r="BX88" s="75">
        <v>282920</v>
      </c>
      <c r="BY88" s="75">
        <v>273953</v>
      </c>
      <c r="BZ88" s="75">
        <v>269873</v>
      </c>
      <c r="CA88" s="75">
        <v>263266</v>
      </c>
      <c r="CC88" s="75">
        <v>11</v>
      </c>
      <c r="CD88" s="316">
        <v>282139</v>
      </c>
      <c r="CE88" s="316">
        <v>272353</v>
      </c>
      <c r="CF88" s="316">
        <v>274396</v>
      </c>
      <c r="CG88" s="316">
        <v>262668</v>
      </c>
      <c r="CI88" s="75">
        <v>11</v>
      </c>
      <c r="CJ88" s="453">
        <v>295641</v>
      </c>
      <c r="CK88" s="453">
        <v>285112</v>
      </c>
      <c r="CL88" s="453">
        <v>260679</v>
      </c>
      <c r="CM88" s="453">
        <v>269924</v>
      </c>
    </row>
    <row r="89" spans="1:91">
      <c r="A89" s="766" t="s">
        <v>202</v>
      </c>
      <c r="B89" s="800"/>
      <c r="C89" s="744"/>
      <c r="D89" s="744"/>
      <c r="E89" s="744"/>
      <c r="F89" s="744"/>
      <c r="G89" s="796"/>
      <c r="H89" s="744"/>
      <c r="I89" s="744"/>
      <c r="J89" s="744"/>
      <c r="K89" s="744"/>
      <c r="L89" s="796"/>
      <c r="M89" s="744"/>
      <c r="N89" s="744"/>
      <c r="O89" s="744"/>
      <c r="P89" s="744"/>
      <c r="Q89" s="795">
        <f>消費ﾃﾞｰﾀ!E7</f>
        <v>306278</v>
      </c>
      <c r="R89" s="796">
        <f>ROUND(Q89+(V89-Q89)/5,0)</f>
        <v>307240</v>
      </c>
      <c r="S89" s="797">
        <f>ROUND(Q89+(V89-Q89)/5*2,0)</f>
        <v>308202</v>
      </c>
      <c r="T89" s="797">
        <f>ROUND(Q89+(V89-Q89)/5*3,0)</f>
        <v>309164</v>
      </c>
      <c r="U89" s="73">
        <f>ROUND(Q89+(V89-Q89)/5*4,0)</f>
        <v>310126</v>
      </c>
      <c r="V89" s="1179">
        <f>消費ﾃﾞｰﾀ!F7</f>
        <v>311088</v>
      </c>
      <c r="W89" s="73"/>
      <c r="X89" s="73" t="s">
        <v>627</v>
      </c>
      <c r="Y89" s="73"/>
      <c r="Z89" s="797"/>
      <c r="AA89" s="795">
        <f>消費ﾃﾞｰﾀ!L10</f>
        <v>284980</v>
      </c>
      <c r="AB89" s="1177">
        <f>AA89/AA90</f>
        <v>0.92779913855129459</v>
      </c>
      <c r="AC89" s="73"/>
      <c r="AD89" s="73"/>
      <c r="AE89" s="73"/>
      <c r="AF89" s="73"/>
      <c r="AG89" s="73"/>
      <c r="AH89" s="1169"/>
      <c r="AI89" s="1169"/>
      <c r="AJ89" s="1169"/>
      <c r="AK89" s="1169"/>
      <c r="AL89" s="75" t="s">
        <v>627</v>
      </c>
      <c r="AS89" s="1185">
        <f t="shared" ref="AS89:AX89" si="132">(AR88+AS88)/2</f>
        <v>1.0127401955398143</v>
      </c>
      <c r="AT89" s="481">
        <f t="shared" si="132"/>
        <v>1.0276101615054798</v>
      </c>
      <c r="AU89" s="481">
        <f t="shared" si="132"/>
        <v>0.99161398934563849</v>
      </c>
      <c r="AV89" s="481">
        <f t="shared" si="132"/>
        <v>0.97695255142961279</v>
      </c>
      <c r="AW89" s="481">
        <f t="shared" si="132"/>
        <v>0.98134889554308968</v>
      </c>
      <c r="AX89" s="481">
        <f t="shared" si="132"/>
        <v>0.99769324186589237</v>
      </c>
      <c r="AY89" s="481">
        <f>(AX88+AY88)/2</f>
        <v>1.0057872301396966</v>
      </c>
      <c r="AZ89" s="481">
        <f>(AY88+AZ88)/2</f>
        <v>1.0057872301396966</v>
      </c>
      <c r="BA89" s="481">
        <f t="shared" ref="BA89:BG89" si="133">(AZ88+BA88)/2</f>
        <v>1.0057872301396966</v>
      </c>
      <c r="BB89" s="481">
        <f t="shared" si="133"/>
        <v>1.0057872301396966</v>
      </c>
      <c r="BC89" s="481">
        <f t="shared" si="133"/>
        <v>1.0057872301396966</v>
      </c>
      <c r="BD89" s="481">
        <f t="shared" si="133"/>
        <v>0.50289361506984831</v>
      </c>
      <c r="BE89" s="481">
        <f t="shared" si="133"/>
        <v>1.5</v>
      </c>
      <c r="BF89" s="481">
        <f t="shared" si="133"/>
        <v>141542</v>
      </c>
      <c r="BG89" s="481">
        <f t="shared" si="133"/>
        <v>286664</v>
      </c>
      <c r="BH89" s="481">
        <f>(AZ88+BH88)/2</f>
        <v>1.0057872301396966</v>
      </c>
      <c r="BK89" s="132">
        <v>12</v>
      </c>
      <c r="BL89" s="132">
        <v>350629</v>
      </c>
      <c r="BM89" s="132">
        <v>343011</v>
      </c>
      <c r="BN89" s="132">
        <v>326182</v>
      </c>
      <c r="BO89" s="132">
        <v>326056</v>
      </c>
      <c r="BQ89" s="132">
        <v>12</v>
      </c>
      <c r="BR89" s="132">
        <v>338459</v>
      </c>
      <c r="BS89" s="132">
        <v>322239</v>
      </c>
      <c r="BT89" s="132">
        <v>313108</v>
      </c>
      <c r="BU89" s="132">
        <v>339174</v>
      </c>
      <c r="BW89" s="132">
        <v>12</v>
      </c>
      <c r="BX89" s="132">
        <v>340373</v>
      </c>
      <c r="BY89" s="132">
        <v>319007</v>
      </c>
      <c r="BZ89" s="132">
        <v>339887</v>
      </c>
      <c r="CA89" s="132">
        <v>308775</v>
      </c>
      <c r="CC89" s="132">
        <v>12</v>
      </c>
      <c r="CD89" s="380">
        <v>329378</v>
      </c>
      <c r="CE89" s="380">
        <v>324322</v>
      </c>
      <c r="CF89" s="380">
        <v>326235</v>
      </c>
      <c r="CG89" s="380">
        <v>320664</v>
      </c>
      <c r="CI89" s="132">
        <v>12</v>
      </c>
      <c r="CJ89" s="450">
        <v>340987</v>
      </c>
      <c r="CK89" s="450">
        <v>336556</v>
      </c>
      <c r="CL89" s="450">
        <v>320659</v>
      </c>
      <c r="CM89" s="450">
        <v>340452</v>
      </c>
    </row>
    <row r="90" spans="1:91">
      <c r="A90" s="801" t="s">
        <v>240</v>
      </c>
      <c r="B90" s="743">
        <f>消費ﾃﾞｰﾀ!B7</f>
        <v>295447</v>
      </c>
      <c r="C90" s="795">
        <f>ROUND($B$90*C60,0)</f>
        <v>277756</v>
      </c>
      <c r="D90" s="795">
        <f>ROUND($B$90*D60,0)</f>
        <v>302745</v>
      </c>
      <c r="E90" s="795">
        <f>ROUND($G$90*E60,0)</f>
        <v>281780</v>
      </c>
      <c r="F90" s="795">
        <f>ROUND($G$90*F60,0)</f>
        <v>283025</v>
      </c>
      <c r="G90" s="795">
        <v>306278</v>
      </c>
      <c r="H90" s="795">
        <v>306278</v>
      </c>
      <c r="I90" s="795">
        <v>306278</v>
      </c>
      <c r="J90" s="795">
        <v>306278</v>
      </c>
      <c r="K90" s="795">
        <v>306278</v>
      </c>
      <c r="L90" s="795">
        <f>消費ﾃﾞｰﾀ!D7</f>
        <v>346969</v>
      </c>
      <c r="M90" s="795">
        <f>ROUND($L$90*M60,0)</f>
        <v>315122</v>
      </c>
      <c r="N90" s="795">
        <f>ROUND($L$90*N60,0)</f>
        <v>303290</v>
      </c>
      <c r="O90" s="795">
        <f>ROUND($Q$90*O60,0)</f>
        <v>354521</v>
      </c>
      <c r="P90" s="795">
        <f>ROUND($Q$90*P60,0)</f>
        <v>352062</v>
      </c>
      <c r="Q90" s="795">
        <f>消費ﾃﾞｰﾀ!E7</f>
        <v>306278</v>
      </c>
      <c r="R90" s="66">
        <f>R89</f>
        <v>307240</v>
      </c>
      <c r="S90" s="797">
        <f>S89</f>
        <v>308202</v>
      </c>
      <c r="T90" s="797">
        <f>T89</f>
        <v>309164</v>
      </c>
      <c r="U90" s="797">
        <f>U89</f>
        <v>310126</v>
      </c>
      <c r="V90" s="66">
        <f>V89</f>
        <v>311088</v>
      </c>
      <c r="W90" s="73">
        <f t="shared" ref="W90:AF90" si="134">ROUND(V90*AP83,0)</f>
        <v>311623</v>
      </c>
      <c r="X90" s="73">
        <f t="shared" si="134"/>
        <v>300657</v>
      </c>
      <c r="Y90" s="73">
        <f t="shared" si="134"/>
        <v>301497</v>
      </c>
      <c r="Z90" s="797">
        <f t="shared" si="134"/>
        <v>310784</v>
      </c>
      <c r="AA90" s="73">
        <f t="shared" si="134"/>
        <v>307157</v>
      </c>
      <c r="AB90" s="73">
        <f t="shared" si="134"/>
        <v>305066</v>
      </c>
      <c r="AC90" s="73">
        <f t="shared" si="134"/>
        <v>306230</v>
      </c>
      <c r="AD90" s="73">
        <f t="shared" si="134"/>
        <v>307682</v>
      </c>
      <c r="AE90" s="73">
        <f t="shared" si="134"/>
        <v>307090</v>
      </c>
      <c r="AF90" s="73">
        <f t="shared" si="134"/>
        <v>308788</v>
      </c>
      <c r="AG90" s="73">
        <f>ROUND(AF90*BR128,0)</f>
        <v>298860</v>
      </c>
      <c r="AH90" s="1169">
        <f t="shared" ref="AH90:AK93" si="135">AG90</f>
        <v>298860</v>
      </c>
      <c r="AI90" s="1169">
        <f t="shared" si="135"/>
        <v>298860</v>
      </c>
      <c r="AJ90" s="1169">
        <f t="shared" si="135"/>
        <v>298860</v>
      </c>
      <c r="AK90" s="1169">
        <f t="shared" si="135"/>
        <v>298860</v>
      </c>
      <c r="AL90" s="75" t="s">
        <v>1014</v>
      </c>
      <c r="AN90" s="75" t="s">
        <v>748</v>
      </c>
      <c r="AP90" s="481">
        <f t="shared" ref="AP90:BC90" si="136">W60</f>
        <v>0.97089343184007137</v>
      </c>
      <c r="AQ90" s="481">
        <f t="shared" si="136"/>
        <v>0.98848323416697992</v>
      </c>
      <c r="AR90" s="481">
        <f t="shared" si="136"/>
        <v>0.99088338405259224</v>
      </c>
      <c r="AS90" s="481">
        <f t="shared" si="136"/>
        <v>0.98951867549456218</v>
      </c>
      <c r="AT90" s="481">
        <f t="shared" si="136"/>
        <v>0.97497143149581622</v>
      </c>
      <c r="AU90" s="481">
        <f t="shared" si="136"/>
        <v>1.0139087150953856</v>
      </c>
      <c r="AV90" s="481">
        <f t="shared" si="136"/>
        <v>1.003683912131593</v>
      </c>
      <c r="AW90" s="481">
        <f t="shared" si="136"/>
        <v>0.88782883335671225</v>
      </c>
      <c r="AX90" s="481">
        <f t="shared" si="136"/>
        <v>1.1945310590360805</v>
      </c>
      <c r="AY90" s="481">
        <f t="shared" si="136"/>
        <v>1.1945310590360805</v>
      </c>
      <c r="AZ90" s="481">
        <f t="shared" si="136"/>
        <v>1.1945310590360805</v>
      </c>
      <c r="BA90" s="481">
        <f t="shared" si="136"/>
        <v>1.1945310590360805</v>
      </c>
      <c r="BB90" s="481">
        <f t="shared" si="136"/>
        <v>1.1945310590360805</v>
      </c>
      <c r="BC90" s="481">
        <f t="shared" si="136"/>
        <v>1.1945310590360805</v>
      </c>
      <c r="BD90" s="481">
        <f t="shared" ref="BD90:BG90" si="137">AL60</f>
        <v>0</v>
      </c>
      <c r="BE90" s="481">
        <f t="shared" si="137"/>
        <v>0</v>
      </c>
      <c r="BF90" s="481" t="str">
        <f t="shared" si="137"/>
        <v>平成21年</v>
      </c>
      <c r="BG90" s="481" t="str">
        <f t="shared" si="137"/>
        <v>平成22年</v>
      </c>
      <c r="BH90" s="481">
        <f>AH60</f>
        <v>1.1945310590360805</v>
      </c>
      <c r="BK90" s="75" t="s">
        <v>85</v>
      </c>
      <c r="BL90" s="1389">
        <f>AVERAGE(BL78:BL89)</f>
        <v>304196.33333333331</v>
      </c>
      <c r="BM90" s="1389">
        <f t="shared" ref="BM90:BO90" si="138">AVERAGE(BM78:BM89)</f>
        <v>294121.75</v>
      </c>
      <c r="BN90" s="1389">
        <f t="shared" si="138"/>
        <v>286354.66666666669</v>
      </c>
      <c r="BO90" s="1389">
        <f t="shared" si="138"/>
        <v>276341.5</v>
      </c>
      <c r="BQ90" s="75" t="s">
        <v>85</v>
      </c>
      <c r="BR90" s="1389">
        <f>AVERAGE(BR78:BR89)</f>
        <v>304719.91666666669</v>
      </c>
      <c r="BS90" s="1389">
        <f t="shared" ref="BS90" si="139">AVERAGE(BS78:BS89)</f>
        <v>294743.16666666669</v>
      </c>
      <c r="BT90" s="1389">
        <f t="shared" ref="BT90" si="140">AVERAGE(BT78:BT89)</f>
        <v>277198.25</v>
      </c>
      <c r="BU90" s="1389">
        <f t="shared" ref="BU90" si="141">AVERAGE(BU78:BU89)</f>
        <v>278974.33333333331</v>
      </c>
      <c r="BW90" s="75" t="s">
        <v>85</v>
      </c>
      <c r="BX90" s="1389">
        <f>AVERAGE(BX78:BX89)</f>
        <v>293997</v>
      </c>
      <c r="BY90" s="1389">
        <f t="shared" ref="BY90" si="142">AVERAGE(BY78:BY89)</f>
        <v>281696.41666666669</v>
      </c>
      <c r="BZ90" s="1389">
        <f t="shared" ref="BZ90" si="143">AVERAGE(BZ78:BZ89)</f>
        <v>278167.58333333331</v>
      </c>
      <c r="CA90" s="1389">
        <f t="shared" ref="CA90" si="144">AVERAGE(CA78:CA89)</f>
        <v>275784.75</v>
      </c>
      <c r="CC90" s="75" t="s">
        <v>85</v>
      </c>
      <c r="CD90" s="1389">
        <f>AVERAGE(CD78:CD89)</f>
        <v>294818.25</v>
      </c>
      <c r="CE90" s="1389">
        <f t="shared" ref="CE90" si="145">AVERAGE(CE78:CE89)</f>
        <v>285738.91666666669</v>
      </c>
      <c r="CF90" s="1389">
        <f t="shared" ref="CF90" si="146">AVERAGE(CF78:CF89)</f>
        <v>284377.08333333331</v>
      </c>
      <c r="CG90" s="1389">
        <f t="shared" ref="CG90" si="147">AVERAGE(CG78:CG89)</f>
        <v>276420.41666666669</v>
      </c>
      <c r="CI90" s="75" t="s">
        <v>85</v>
      </c>
      <c r="CJ90" s="1389">
        <f>AVERAGE(CJ78:CJ89)</f>
        <v>303899.83333333331</v>
      </c>
      <c r="CK90" s="1389">
        <f t="shared" ref="CK90" si="148">AVERAGE(CK78:CK89)</f>
        <v>295821.83333333331</v>
      </c>
      <c r="CL90" s="1389">
        <f t="shared" ref="CL90" si="149">AVERAGE(CL78:CL89)</f>
        <v>277940.58333333331</v>
      </c>
      <c r="CM90" s="1389">
        <f t="shared" ref="CM90" si="150">AVERAGE(CM78:CM89)</f>
        <v>275844.5</v>
      </c>
    </row>
    <row r="91" spans="1:91">
      <c r="A91" s="741" t="s">
        <v>203</v>
      </c>
      <c r="B91" s="796">
        <f>B90</f>
        <v>295447</v>
      </c>
      <c r="C91" s="744">
        <f>C90</f>
        <v>277756</v>
      </c>
      <c r="D91" s="744">
        <f t="shared" ref="D91:Q91" si="151">D90</f>
        <v>302745</v>
      </c>
      <c r="E91" s="744">
        <f t="shared" si="151"/>
        <v>281780</v>
      </c>
      <c r="F91" s="744">
        <f t="shared" si="151"/>
        <v>283025</v>
      </c>
      <c r="G91" s="796">
        <f t="shared" si="151"/>
        <v>306278</v>
      </c>
      <c r="H91" s="744">
        <f t="shared" si="151"/>
        <v>306278</v>
      </c>
      <c r="I91" s="744">
        <f t="shared" si="151"/>
        <v>306278</v>
      </c>
      <c r="J91" s="744">
        <f t="shared" si="151"/>
        <v>306278</v>
      </c>
      <c r="K91" s="744">
        <f t="shared" si="151"/>
        <v>306278</v>
      </c>
      <c r="L91" s="796">
        <f t="shared" si="151"/>
        <v>346969</v>
      </c>
      <c r="M91" s="744">
        <f t="shared" si="151"/>
        <v>315122</v>
      </c>
      <c r="N91" s="744">
        <f t="shared" si="151"/>
        <v>303290</v>
      </c>
      <c r="O91" s="744">
        <f t="shared" si="151"/>
        <v>354521</v>
      </c>
      <c r="P91" s="744">
        <f t="shared" si="151"/>
        <v>352062</v>
      </c>
      <c r="Q91" s="796">
        <f t="shared" si="151"/>
        <v>306278</v>
      </c>
      <c r="R91" s="744">
        <f>R89</f>
        <v>307240</v>
      </c>
      <c r="S91" s="797">
        <f>S89</f>
        <v>308202</v>
      </c>
      <c r="T91" s="797">
        <f>T89</f>
        <v>309164</v>
      </c>
      <c r="U91" s="797">
        <f>U89</f>
        <v>310126</v>
      </c>
      <c r="V91" s="744">
        <f>V89</f>
        <v>311088</v>
      </c>
      <c r="W91" s="73">
        <f t="shared" ref="W91:AF91" si="152">ROUND(V91*AP86,0)</f>
        <v>314052</v>
      </c>
      <c r="X91" s="73">
        <f t="shared" si="152"/>
        <v>310461</v>
      </c>
      <c r="Y91" s="73">
        <f t="shared" si="152"/>
        <v>311177</v>
      </c>
      <c r="Z91" s="797">
        <f t="shared" si="152"/>
        <v>310529</v>
      </c>
      <c r="AA91" s="73">
        <f t="shared" si="152"/>
        <v>308842</v>
      </c>
      <c r="AB91" s="73">
        <f t="shared" si="152"/>
        <v>306012</v>
      </c>
      <c r="AC91" s="73">
        <f t="shared" si="152"/>
        <v>290829</v>
      </c>
      <c r="AD91" s="73">
        <f t="shared" si="152"/>
        <v>297491</v>
      </c>
      <c r="AE91" s="73">
        <f t="shared" si="152"/>
        <v>304949</v>
      </c>
      <c r="AF91" s="73">
        <f t="shared" si="152"/>
        <v>317710</v>
      </c>
      <c r="AG91" s="73">
        <f>ROUND(AF91*BU128,0)</f>
        <v>295536</v>
      </c>
      <c r="AH91" s="1169">
        <f t="shared" si="135"/>
        <v>295536</v>
      </c>
      <c r="AI91" s="1169">
        <f t="shared" si="135"/>
        <v>295536</v>
      </c>
      <c r="AJ91" s="1169">
        <f t="shared" si="135"/>
        <v>295536</v>
      </c>
      <c r="AK91" s="1169">
        <f t="shared" si="135"/>
        <v>295536</v>
      </c>
      <c r="AL91" s="75" t="s">
        <v>1018</v>
      </c>
      <c r="AN91" s="132"/>
      <c r="AO91" s="132"/>
      <c r="AP91" s="132"/>
      <c r="AQ91" s="132"/>
      <c r="AR91" s="132"/>
      <c r="AS91" s="1186">
        <f t="shared" ref="AS91:AX91" si="153">(AR90+AS90)/2</f>
        <v>0.99020102977357727</v>
      </c>
      <c r="AT91" s="482">
        <f t="shared" si="153"/>
        <v>0.9822450534951892</v>
      </c>
      <c r="AU91" s="482">
        <f t="shared" si="153"/>
        <v>0.99444007329560091</v>
      </c>
      <c r="AV91" s="482">
        <f t="shared" si="153"/>
        <v>1.0087963136134892</v>
      </c>
      <c r="AW91" s="482">
        <f t="shared" si="153"/>
        <v>0.9457563727441527</v>
      </c>
      <c r="AX91" s="482">
        <f t="shared" si="153"/>
        <v>1.0411799461963964</v>
      </c>
      <c r="AY91" s="482">
        <f>(AX90+AY90)/2</f>
        <v>1.1945310590360805</v>
      </c>
      <c r="AZ91" s="482">
        <f>(AY90+AZ90)/2</f>
        <v>1.1945310590360805</v>
      </c>
      <c r="BA91" s="482">
        <f t="shared" ref="BA91:BG91" si="154">(AZ90+BA90)/2</f>
        <v>1.1945310590360805</v>
      </c>
      <c r="BB91" s="482">
        <f t="shared" si="154"/>
        <v>1.1945310590360805</v>
      </c>
      <c r="BC91" s="482">
        <f t="shared" si="154"/>
        <v>1.1945310590360805</v>
      </c>
      <c r="BD91" s="482">
        <f t="shared" si="154"/>
        <v>0.59726552951804024</v>
      </c>
      <c r="BE91" s="482">
        <f t="shared" si="154"/>
        <v>0</v>
      </c>
      <c r="BF91" s="482" t="e">
        <f t="shared" si="154"/>
        <v>#VALUE!</v>
      </c>
      <c r="BG91" s="482" t="e">
        <f t="shared" si="154"/>
        <v>#VALUE!</v>
      </c>
      <c r="BH91" s="482">
        <f>(AZ90+BH90)/2</f>
        <v>1.1945310590360805</v>
      </c>
      <c r="BQ91" s="75" t="s">
        <v>66</v>
      </c>
      <c r="BR91" s="479">
        <f>BR90/BL90</f>
        <v>1.0017212019868749</v>
      </c>
      <c r="BS91" s="479">
        <f>BS90/BM90</f>
        <v>1.0021127871932853</v>
      </c>
      <c r="BT91" s="479">
        <f>BT90/BN90</f>
        <v>0.96802421007049522</v>
      </c>
      <c r="BU91" s="479">
        <f>BU90/BO90</f>
        <v>1.0095274626986295</v>
      </c>
      <c r="BW91" s="75" t="s">
        <v>120</v>
      </c>
      <c r="BX91" s="479">
        <f>BX90/BR90</f>
        <v>0.96481058152035237</v>
      </c>
      <c r="BY91" s="479">
        <f>BY90/BS90</f>
        <v>0.95573519092045678</v>
      </c>
      <c r="BZ91" s="479">
        <f>BZ90/BT90</f>
        <v>1.0034968955732344</v>
      </c>
      <c r="CA91" s="479">
        <f>CA90/BU90</f>
        <v>0.98856674986826754</v>
      </c>
      <c r="CC91" s="75" t="s">
        <v>87</v>
      </c>
      <c r="CD91" s="479">
        <f>CD90/BX90</f>
        <v>1.002793395850978</v>
      </c>
      <c r="CE91" s="479">
        <f>CE90/BY90</f>
        <v>1.014350555281587</v>
      </c>
      <c r="CF91" s="479">
        <f>CF90/BZ90</f>
        <v>1.0223228743104802</v>
      </c>
      <c r="CG91" s="479">
        <f>CG90/CA90</f>
        <v>1.0023049376974857</v>
      </c>
      <c r="CI91" s="75" t="s">
        <v>675</v>
      </c>
      <c r="CJ91" s="479">
        <f>CJ90/CD90</f>
        <v>1.0308040066492943</v>
      </c>
      <c r="CK91" s="479">
        <f>CK90/CE90</f>
        <v>1.0352871662855396</v>
      </c>
      <c r="CL91" s="479">
        <f>CL90/CF90</f>
        <v>0.97736631966066179</v>
      </c>
      <c r="CM91" s="479">
        <f>CM90/CG90</f>
        <v>0.99791651907043766</v>
      </c>
    </row>
    <row r="92" spans="1:91">
      <c r="A92" s="741" t="s">
        <v>204</v>
      </c>
      <c r="B92" s="796">
        <f>B90</f>
        <v>295447</v>
      </c>
      <c r="C92" s="744">
        <f>C90</f>
        <v>277756</v>
      </c>
      <c r="D92" s="744">
        <f t="shared" ref="D92:Q92" si="155">D90</f>
        <v>302745</v>
      </c>
      <c r="E92" s="744">
        <f t="shared" si="155"/>
        <v>281780</v>
      </c>
      <c r="F92" s="744">
        <f t="shared" si="155"/>
        <v>283025</v>
      </c>
      <c r="G92" s="796">
        <f t="shared" si="155"/>
        <v>306278</v>
      </c>
      <c r="H92" s="744">
        <f t="shared" si="155"/>
        <v>306278</v>
      </c>
      <c r="I92" s="744">
        <f t="shared" si="155"/>
        <v>306278</v>
      </c>
      <c r="J92" s="744">
        <f t="shared" si="155"/>
        <v>306278</v>
      </c>
      <c r="K92" s="744">
        <f t="shared" si="155"/>
        <v>306278</v>
      </c>
      <c r="L92" s="796">
        <f t="shared" si="155"/>
        <v>346969</v>
      </c>
      <c r="M92" s="744">
        <f t="shared" si="155"/>
        <v>315122</v>
      </c>
      <c r="N92" s="744">
        <f t="shared" si="155"/>
        <v>303290</v>
      </c>
      <c r="O92" s="744">
        <f t="shared" si="155"/>
        <v>354521</v>
      </c>
      <c r="P92" s="744">
        <f t="shared" si="155"/>
        <v>352062</v>
      </c>
      <c r="Q92" s="796">
        <f t="shared" si="155"/>
        <v>306278</v>
      </c>
      <c r="R92" s="744">
        <f>R89</f>
        <v>307240</v>
      </c>
      <c r="S92" s="797">
        <f>S89</f>
        <v>308202</v>
      </c>
      <c r="T92" s="797">
        <f>T89</f>
        <v>309164</v>
      </c>
      <c r="U92" s="797">
        <f>U89</f>
        <v>310126</v>
      </c>
      <c r="V92" s="744">
        <f>V89</f>
        <v>311088</v>
      </c>
      <c r="W92" s="73">
        <f t="shared" ref="W92:AF92" si="156">ROUND(V92*AP86,0)</f>
        <v>314052</v>
      </c>
      <c r="X92" s="73">
        <f t="shared" si="156"/>
        <v>310461</v>
      </c>
      <c r="Y92" s="73">
        <f t="shared" si="156"/>
        <v>311177</v>
      </c>
      <c r="Z92" s="797">
        <f t="shared" si="156"/>
        <v>310529</v>
      </c>
      <c r="AA92" s="73">
        <f t="shared" si="156"/>
        <v>308842</v>
      </c>
      <c r="AB92" s="73">
        <f t="shared" si="156"/>
        <v>306012</v>
      </c>
      <c r="AC92" s="73">
        <f t="shared" si="156"/>
        <v>290829</v>
      </c>
      <c r="AD92" s="73">
        <f t="shared" si="156"/>
        <v>297491</v>
      </c>
      <c r="AE92" s="73">
        <f t="shared" si="156"/>
        <v>304949</v>
      </c>
      <c r="AF92" s="73">
        <f t="shared" si="156"/>
        <v>317710</v>
      </c>
      <c r="AG92" s="73">
        <f>ROUND(AF92*BU128,0)</f>
        <v>295536</v>
      </c>
      <c r="AH92" s="1169">
        <f t="shared" si="135"/>
        <v>295536</v>
      </c>
      <c r="AI92" s="1169">
        <f t="shared" si="135"/>
        <v>295536</v>
      </c>
      <c r="AJ92" s="1169">
        <f t="shared" si="135"/>
        <v>295536</v>
      </c>
      <c r="AK92" s="1169">
        <f t="shared" si="135"/>
        <v>295536</v>
      </c>
      <c r="AL92" s="75" t="s">
        <v>1018</v>
      </c>
      <c r="CJ92" s="75">
        <f>AVERAGE(CJ78:CJ87)</f>
        <v>301017</v>
      </c>
      <c r="CK92" s="75">
        <f>AVERAGE(CK78:CK87)</f>
        <v>292819.40000000002</v>
      </c>
      <c r="CL92" s="75">
        <f>AVERAGE(CL78:CL87)</f>
        <v>275394.90000000002</v>
      </c>
      <c r="CM92" s="75">
        <f>AVERAGE(CM78:CM87)</f>
        <v>269975.8</v>
      </c>
    </row>
    <row r="93" spans="1:91">
      <c r="A93" s="741" t="s">
        <v>234</v>
      </c>
      <c r="B93" s="796">
        <f>B90</f>
        <v>295447</v>
      </c>
      <c r="C93" s="744">
        <f>C90</f>
        <v>277756</v>
      </c>
      <c r="D93" s="744">
        <f t="shared" ref="D93:Q93" si="157">D90</f>
        <v>302745</v>
      </c>
      <c r="E93" s="744">
        <f t="shared" si="157"/>
        <v>281780</v>
      </c>
      <c r="F93" s="744">
        <f t="shared" si="157"/>
        <v>283025</v>
      </c>
      <c r="G93" s="796">
        <f t="shared" si="157"/>
        <v>306278</v>
      </c>
      <c r="H93" s="744">
        <f t="shared" si="157"/>
        <v>306278</v>
      </c>
      <c r="I93" s="744">
        <f t="shared" si="157"/>
        <v>306278</v>
      </c>
      <c r="J93" s="744">
        <f t="shared" si="157"/>
        <v>306278</v>
      </c>
      <c r="K93" s="744">
        <f t="shared" si="157"/>
        <v>306278</v>
      </c>
      <c r="L93" s="796">
        <f t="shared" si="157"/>
        <v>346969</v>
      </c>
      <c r="M93" s="744">
        <f t="shared" si="157"/>
        <v>315122</v>
      </c>
      <c r="N93" s="744">
        <f t="shared" si="157"/>
        <v>303290</v>
      </c>
      <c r="O93" s="744">
        <f t="shared" si="157"/>
        <v>354521</v>
      </c>
      <c r="P93" s="744">
        <f t="shared" si="157"/>
        <v>352062</v>
      </c>
      <c r="Q93" s="796">
        <f t="shared" si="157"/>
        <v>306278</v>
      </c>
      <c r="R93" s="744">
        <f>R89</f>
        <v>307240</v>
      </c>
      <c r="S93" s="797">
        <f>S89</f>
        <v>308202</v>
      </c>
      <c r="T93" s="797">
        <f>T89</f>
        <v>309164</v>
      </c>
      <c r="U93" s="797">
        <f>U89</f>
        <v>310126</v>
      </c>
      <c r="V93" s="744">
        <f>V89</f>
        <v>311088</v>
      </c>
      <c r="W93" s="73">
        <f t="shared" ref="W93:AF93" si="158">ROUND(V93*AP86,0)</f>
        <v>314052</v>
      </c>
      <c r="X93" s="73">
        <f t="shared" si="158"/>
        <v>310461</v>
      </c>
      <c r="Y93" s="73">
        <f t="shared" si="158"/>
        <v>311177</v>
      </c>
      <c r="Z93" s="797">
        <f t="shared" si="158"/>
        <v>310529</v>
      </c>
      <c r="AA93" s="73">
        <f t="shared" si="158"/>
        <v>308842</v>
      </c>
      <c r="AB93" s="73">
        <f t="shared" si="158"/>
        <v>306012</v>
      </c>
      <c r="AC93" s="73">
        <f t="shared" si="158"/>
        <v>290829</v>
      </c>
      <c r="AD93" s="73">
        <f t="shared" si="158"/>
        <v>297491</v>
      </c>
      <c r="AE93" s="73">
        <f t="shared" si="158"/>
        <v>304949</v>
      </c>
      <c r="AF93" s="73">
        <f t="shared" si="158"/>
        <v>317710</v>
      </c>
      <c r="AG93" s="73">
        <f>ROUND(AF93*BU128,0)</f>
        <v>295536</v>
      </c>
      <c r="AH93" s="1169">
        <f t="shared" si="135"/>
        <v>295536</v>
      </c>
      <c r="AI93" s="1169">
        <f t="shared" si="135"/>
        <v>295536</v>
      </c>
      <c r="AJ93" s="1169">
        <f t="shared" si="135"/>
        <v>295536</v>
      </c>
      <c r="AK93" s="1169">
        <f t="shared" si="135"/>
        <v>295536</v>
      </c>
      <c r="AL93" s="75" t="s">
        <v>1018</v>
      </c>
      <c r="BK93" s="128" t="s">
        <v>1004</v>
      </c>
      <c r="BL93" s="130"/>
      <c r="BM93" s="130"/>
      <c r="BN93" s="130"/>
      <c r="BO93" s="130" t="s">
        <v>95</v>
      </c>
      <c r="BQ93" s="128" t="s">
        <v>1046</v>
      </c>
      <c r="BR93" s="130"/>
      <c r="BS93" s="130"/>
      <c r="BT93" s="130"/>
      <c r="BU93" s="130" t="s">
        <v>95</v>
      </c>
      <c r="BW93" s="128" t="s">
        <v>1069</v>
      </c>
      <c r="BX93" s="130"/>
      <c r="BY93" s="130"/>
      <c r="BZ93" s="130"/>
      <c r="CA93" s="130" t="s">
        <v>95</v>
      </c>
      <c r="CC93" s="128" t="s">
        <v>1101</v>
      </c>
      <c r="CD93" s="130"/>
      <c r="CE93" s="130"/>
      <c r="CF93" s="130"/>
      <c r="CG93" s="130" t="s">
        <v>95</v>
      </c>
      <c r="CI93" s="128" t="s">
        <v>1121</v>
      </c>
      <c r="CJ93" s="130"/>
      <c r="CK93" s="130"/>
      <c r="CL93" s="130"/>
      <c r="CM93" s="130" t="s">
        <v>95</v>
      </c>
    </row>
    <row r="94" spans="1:91">
      <c r="A94" s="766" t="s">
        <v>205</v>
      </c>
      <c r="B94" s="796"/>
      <c r="C94" s="744"/>
      <c r="D94" s="744"/>
      <c r="E94" s="744"/>
      <c r="F94" s="744"/>
      <c r="G94" s="796"/>
      <c r="H94" s="744"/>
      <c r="I94" s="744"/>
      <c r="J94" s="744"/>
      <c r="K94" s="744"/>
      <c r="L94" s="796"/>
      <c r="M94" s="744"/>
      <c r="N94" s="744"/>
      <c r="O94" s="744"/>
      <c r="P94" s="744"/>
      <c r="Q94" s="796"/>
      <c r="R94" s="744"/>
      <c r="S94" s="797"/>
      <c r="T94" s="797"/>
      <c r="U94" s="797"/>
      <c r="V94" s="744"/>
      <c r="W94" s="73" t="s">
        <v>627</v>
      </c>
      <c r="X94" s="73" t="s">
        <v>627</v>
      </c>
      <c r="Y94" s="73"/>
      <c r="Z94" s="797"/>
      <c r="AA94" s="795">
        <f>消費ﾃﾞｰﾀ!L11</f>
        <v>295787</v>
      </c>
      <c r="AB94" s="1177">
        <f>AA94/AA95</f>
        <v>0.95772919486339292</v>
      </c>
      <c r="AC94" s="73"/>
      <c r="AD94" s="73"/>
      <c r="AE94" s="73"/>
      <c r="AF94" s="73"/>
      <c r="AG94" s="73"/>
      <c r="AH94" s="1169"/>
      <c r="AI94" s="1169"/>
      <c r="AJ94" s="1169"/>
      <c r="AK94" s="1169"/>
      <c r="AL94" s="75" t="s">
        <v>627</v>
      </c>
      <c r="BL94" s="1181" t="s">
        <v>88</v>
      </c>
      <c r="BM94" s="1181" t="s">
        <v>89</v>
      </c>
      <c r="BN94" s="1181" t="s">
        <v>90</v>
      </c>
      <c r="BO94" s="1181" t="s">
        <v>91</v>
      </c>
      <c r="BR94" s="1181" t="s">
        <v>88</v>
      </c>
      <c r="BS94" s="1181" t="s">
        <v>89</v>
      </c>
      <c r="BT94" s="1181" t="s">
        <v>90</v>
      </c>
      <c r="BU94" s="1181" t="s">
        <v>91</v>
      </c>
      <c r="BX94" s="1181" t="s">
        <v>88</v>
      </c>
      <c r="BY94" s="1181" t="s">
        <v>89</v>
      </c>
      <c r="BZ94" s="1181" t="s">
        <v>90</v>
      </c>
      <c r="CA94" s="1181" t="s">
        <v>91</v>
      </c>
      <c r="CD94" s="1181" t="s">
        <v>88</v>
      </c>
      <c r="CE94" s="1181" t="s">
        <v>89</v>
      </c>
      <c r="CF94" s="1181" t="s">
        <v>90</v>
      </c>
      <c r="CG94" s="1181" t="s">
        <v>91</v>
      </c>
      <c r="CJ94" s="1181" t="s">
        <v>88</v>
      </c>
      <c r="CK94" s="1181" t="s">
        <v>89</v>
      </c>
      <c r="CL94" s="1181" t="s">
        <v>90</v>
      </c>
      <c r="CM94" s="1181" t="s">
        <v>91</v>
      </c>
    </row>
    <row r="95" spans="1:91">
      <c r="A95" s="741" t="s">
        <v>206</v>
      </c>
      <c r="B95" s="796">
        <f>B90</f>
        <v>295447</v>
      </c>
      <c r="C95" s="744">
        <f>C90</f>
        <v>277756</v>
      </c>
      <c r="D95" s="744">
        <f t="shared" ref="D95:Q95" si="159">D90</f>
        <v>302745</v>
      </c>
      <c r="E95" s="744">
        <f t="shared" si="159"/>
        <v>281780</v>
      </c>
      <c r="F95" s="744">
        <f t="shared" si="159"/>
        <v>283025</v>
      </c>
      <c r="G95" s="796">
        <f t="shared" si="159"/>
        <v>306278</v>
      </c>
      <c r="H95" s="744">
        <f t="shared" si="159"/>
        <v>306278</v>
      </c>
      <c r="I95" s="744">
        <f t="shared" si="159"/>
        <v>306278</v>
      </c>
      <c r="J95" s="744">
        <f t="shared" si="159"/>
        <v>306278</v>
      </c>
      <c r="K95" s="744">
        <f t="shared" si="159"/>
        <v>306278</v>
      </c>
      <c r="L95" s="796">
        <f t="shared" si="159"/>
        <v>346969</v>
      </c>
      <c r="M95" s="744">
        <f t="shared" si="159"/>
        <v>315122</v>
      </c>
      <c r="N95" s="744">
        <f t="shared" si="159"/>
        <v>303290</v>
      </c>
      <c r="O95" s="744">
        <f t="shared" si="159"/>
        <v>354521</v>
      </c>
      <c r="P95" s="744">
        <f t="shared" si="159"/>
        <v>352062</v>
      </c>
      <c r="Q95" s="796">
        <f t="shared" si="159"/>
        <v>306278</v>
      </c>
      <c r="R95" s="744">
        <f>R89</f>
        <v>307240</v>
      </c>
      <c r="S95" s="797">
        <f>S89</f>
        <v>308202</v>
      </c>
      <c r="T95" s="797">
        <f>T89</f>
        <v>309164</v>
      </c>
      <c r="U95" s="797">
        <f>U89</f>
        <v>310126</v>
      </c>
      <c r="V95" s="744">
        <f>V89</f>
        <v>311088</v>
      </c>
      <c r="W95" s="73">
        <f t="shared" ref="W95:AF95" si="160">ROUND(V95*AP86,0)</f>
        <v>314052</v>
      </c>
      <c r="X95" s="73">
        <f t="shared" si="160"/>
        <v>310461</v>
      </c>
      <c r="Y95" s="73">
        <f t="shared" si="160"/>
        <v>311177</v>
      </c>
      <c r="Z95" s="797">
        <f t="shared" si="160"/>
        <v>310529</v>
      </c>
      <c r="AA95" s="73">
        <f t="shared" si="160"/>
        <v>308842</v>
      </c>
      <c r="AB95" s="73">
        <f t="shared" si="160"/>
        <v>306012</v>
      </c>
      <c r="AC95" s="73">
        <f t="shared" si="160"/>
        <v>290829</v>
      </c>
      <c r="AD95" s="73">
        <f t="shared" si="160"/>
        <v>297491</v>
      </c>
      <c r="AE95" s="73">
        <f t="shared" si="160"/>
        <v>304949</v>
      </c>
      <c r="AF95" s="73">
        <f t="shared" si="160"/>
        <v>317710</v>
      </c>
      <c r="AG95" s="73">
        <f>ROUND(AF95*BU128,0)</f>
        <v>295536</v>
      </c>
      <c r="AH95" s="1169">
        <f t="shared" ref="AH95:AK101" si="161">AG95</f>
        <v>295536</v>
      </c>
      <c r="AI95" s="1169">
        <f t="shared" si="161"/>
        <v>295536</v>
      </c>
      <c r="AJ95" s="1169">
        <f t="shared" si="161"/>
        <v>295536</v>
      </c>
      <c r="AK95" s="1169">
        <f t="shared" si="161"/>
        <v>295536</v>
      </c>
      <c r="AL95" s="75" t="s">
        <v>1018</v>
      </c>
      <c r="BK95" s="132"/>
      <c r="BL95" s="1182"/>
      <c r="BM95" s="1182"/>
      <c r="BN95" s="1182"/>
      <c r="BO95" s="1182" t="s">
        <v>92</v>
      </c>
      <c r="BQ95" s="132"/>
      <c r="BR95" s="1182"/>
      <c r="BS95" s="1182"/>
      <c r="BT95" s="1182"/>
      <c r="BU95" s="1182" t="s">
        <v>92</v>
      </c>
      <c r="BW95" s="132"/>
      <c r="BX95" s="1182"/>
      <c r="BY95" s="1182"/>
      <c r="BZ95" s="1182"/>
      <c r="CA95" s="1182" t="s">
        <v>92</v>
      </c>
      <c r="CC95" s="132"/>
      <c r="CD95" s="1182"/>
      <c r="CE95" s="1182"/>
      <c r="CF95" s="1182"/>
      <c r="CG95" s="1182" t="s">
        <v>92</v>
      </c>
      <c r="CI95" s="132"/>
      <c r="CJ95" s="1182"/>
      <c r="CK95" s="1182"/>
      <c r="CL95" s="1182"/>
      <c r="CM95" s="1182" t="s">
        <v>92</v>
      </c>
    </row>
    <row r="96" spans="1:91">
      <c r="A96" s="741" t="s">
        <v>207</v>
      </c>
      <c r="B96" s="796">
        <f>B90</f>
        <v>295447</v>
      </c>
      <c r="C96" s="744">
        <f>C90</f>
        <v>277756</v>
      </c>
      <c r="D96" s="744">
        <f t="shared" ref="D96:Q96" si="162">D90</f>
        <v>302745</v>
      </c>
      <c r="E96" s="744">
        <f t="shared" si="162"/>
        <v>281780</v>
      </c>
      <c r="F96" s="744">
        <f t="shared" si="162"/>
        <v>283025</v>
      </c>
      <c r="G96" s="796">
        <f t="shared" si="162"/>
        <v>306278</v>
      </c>
      <c r="H96" s="744">
        <f t="shared" si="162"/>
        <v>306278</v>
      </c>
      <c r="I96" s="744">
        <f t="shared" si="162"/>
        <v>306278</v>
      </c>
      <c r="J96" s="744">
        <f t="shared" si="162"/>
        <v>306278</v>
      </c>
      <c r="K96" s="744">
        <f t="shared" si="162"/>
        <v>306278</v>
      </c>
      <c r="L96" s="796">
        <f t="shared" si="162"/>
        <v>346969</v>
      </c>
      <c r="M96" s="744">
        <f t="shared" si="162"/>
        <v>315122</v>
      </c>
      <c r="N96" s="744">
        <f t="shared" si="162"/>
        <v>303290</v>
      </c>
      <c r="O96" s="744">
        <f t="shared" si="162"/>
        <v>354521</v>
      </c>
      <c r="P96" s="744">
        <f t="shared" si="162"/>
        <v>352062</v>
      </c>
      <c r="Q96" s="796">
        <f t="shared" si="162"/>
        <v>306278</v>
      </c>
      <c r="R96" s="744">
        <f>R89</f>
        <v>307240</v>
      </c>
      <c r="S96" s="797">
        <f>S89</f>
        <v>308202</v>
      </c>
      <c r="T96" s="797">
        <f>T89</f>
        <v>309164</v>
      </c>
      <c r="U96" s="797">
        <f>U89</f>
        <v>310126</v>
      </c>
      <c r="V96" s="744">
        <f>V89</f>
        <v>311088</v>
      </c>
      <c r="W96" s="73">
        <f t="shared" ref="W96:AF96" si="163">ROUND(V96*AP86,0)</f>
        <v>314052</v>
      </c>
      <c r="X96" s="73">
        <f t="shared" si="163"/>
        <v>310461</v>
      </c>
      <c r="Y96" s="73">
        <f t="shared" si="163"/>
        <v>311177</v>
      </c>
      <c r="Z96" s="797">
        <f t="shared" si="163"/>
        <v>310529</v>
      </c>
      <c r="AA96" s="73">
        <f t="shared" si="163"/>
        <v>308842</v>
      </c>
      <c r="AB96" s="73">
        <f t="shared" si="163"/>
        <v>306012</v>
      </c>
      <c r="AC96" s="73">
        <f t="shared" si="163"/>
        <v>290829</v>
      </c>
      <c r="AD96" s="73">
        <f t="shared" si="163"/>
        <v>297491</v>
      </c>
      <c r="AE96" s="73">
        <f t="shared" si="163"/>
        <v>304949</v>
      </c>
      <c r="AF96" s="73">
        <f t="shared" si="163"/>
        <v>317710</v>
      </c>
      <c r="AG96" s="73">
        <f>ROUND(AF96*BU128,0)</f>
        <v>295536</v>
      </c>
      <c r="AH96" s="1169">
        <f t="shared" si="161"/>
        <v>295536</v>
      </c>
      <c r="AI96" s="1169">
        <f t="shared" si="161"/>
        <v>295536</v>
      </c>
      <c r="AJ96" s="1169">
        <f t="shared" si="161"/>
        <v>295536</v>
      </c>
      <c r="AK96" s="1169">
        <f t="shared" si="161"/>
        <v>295536</v>
      </c>
      <c r="AL96" s="75" t="s">
        <v>1018</v>
      </c>
      <c r="BK96" s="75">
        <v>1</v>
      </c>
      <c r="BL96" s="76">
        <v>295948</v>
      </c>
      <c r="BM96" s="76">
        <v>308768</v>
      </c>
      <c r="BN96" s="76">
        <v>286984</v>
      </c>
      <c r="BO96" s="76">
        <v>291570</v>
      </c>
      <c r="BQ96" s="75">
        <v>1</v>
      </c>
      <c r="BR96" s="76">
        <v>304975</v>
      </c>
      <c r="BS96" s="76">
        <v>287069</v>
      </c>
      <c r="BT96" s="76">
        <v>293833</v>
      </c>
      <c r="BU96" s="76">
        <v>262104</v>
      </c>
      <c r="BW96" s="75">
        <v>1</v>
      </c>
      <c r="BX96" s="76">
        <v>289406</v>
      </c>
      <c r="BY96" s="76">
        <v>283851</v>
      </c>
      <c r="BZ96" s="76">
        <v>280162</v>
      </c>
      <c r="CA96" s="76">
        <v>261560</v>
      </c>
      <c r="CC96" s="75">
        <v>1</v>
      </c>
      <c r="CD96" s="740">
        <v>303769</v>
      </c>
      <c r="CE96" s="740">
        <v>284653</v>
      </c>
      <c r="CF96" s="740">
        <v>260770</v>
      </c>
      <c r="CG96" s="740">
        <v>253457</v>
      </c>
      <c r="CI96" s="75">
        <v>1</v>
      </c>
      <c r="CJ96" s="740">
        <v>300451</v>
      </c>
      <c r="CK96" s="740">
        <v>294196</v>
      </c>
      <c r="CL96" s="740">
        <v>275524</v>
      </c>
      <c r="CM96" s="740">
        <v>283213</v>
      </c>
    </row>
    <row r="97" spans="1:92">
      <c r="A97" s="741" t="s">
        <v>219</v>
      </c>
      <c r="B97" s="796">
        <f>B90</f>
        <v>295447</v>
      </c>
      <c r="C97" s="744">
        <f>C90</f>
        <v>277756</v>
      </c>
      <c r="D97" s="744">
        <f t="shared" ref="D97:Q97" si="164">D90</f>
        <v>302745</v>
      </c>
      <c r="E97" s="744">
        <f t="shared" si="164"/>
        <v>281780</v>
      </c>
      <c r="F97" s="744">
        <f t="shared" si="164"/>
        <v>283025</v>
      </c>
      <c r="G97" s="796">
        <f t="shared" si="164"/>
        <v>306278</v>
      </c>
      <c r="H97" s="744">
        <f t="shared" si="164"/>
        <v>306278</v>
      </c>
      <c r="I97" s="744">
        <f t="shared" si="164"/>
        <v>306278</v>
      </c>
      <c r="J97" s="744">
        <f t="shared" si="164"/>
        <v>306278</v>
      </c>
      <c r="K97" s="744">
        <f t="shared" si="164"/>
        <v>306278</v>
      </c>
      <c r="L97" s="796">
        <f t="shared" si="164"/>
        <v>346969</v>
      </c>
      <c r="M97" s="744">
        <f t="shared" si="164"/>
        <v>315122</v>
      </c>
      <c r="N97" s="744">
        <f t="shared" si="164"/>
        <v>303290</v>
      </c>
      <c r="O97" s="744">
        <f t="shared" si="164"/>
        <v>354521</v>
      </c>
      <c r="P97" s="744">
        <f t="shared" si="164"/>
        <v>352062</v>
      </c>
      <c r="Q97" s="796">
        <f t="shared" si="164"/>
        <v>306278</v>
      </c>
      <c r="R97" s="744">
        <f>R89</f>
        <v>307240</v>
      </c>
      <c r="S97" s="797">
        <f>S89</f>
        <v>308202</v>
      </c>
      <c r="T97" s="797">
        <f>T89</f>
        <v>309164</v>
      </c>
      <c r="U97" s="797">
        <f>U89</f>
        <v>310126</v>
      </c>
      <c r="V97" s="744">
        <f>V89</f>
        <v>311088</v>
      </c>
      <c r="W97" s="73">
        <f t="shared" ref="W97:AF97" si="165">ROUND(V97*AP86,0)</f>
        <v>314052</v>
      </c>
      <c r="X97" s="73">
        <f t="shared" si="165"/>
        <v>310461</v>
      </c>
      <c r="Y97" s="73">
        <f t="shared" si="165"/>
        <v>311177</v>
      </c>
      <c r="Z97" s="797">
        <f t="shared" si="165"/>
        <v>310529</v>
      </c>
      <c r="AA97" s="73">
        <f t="shared" si="165"/>
        <v>308842</v>
      </c>
      <c r="AB97" s="73">
        <f t="shared" si="165"/>
        <v>306012</v>
      </c>
      <c r="AC97" s="73">
        <f t="shared" si="165"/>
        <v>290829</v>
      </c>
      <c r="AD97" s="73">
        <f t="shared" si="165"/>
        <v>297491</v>
      </c>
      <c r="AE97" s="73">
        <f t="shared" si="165"/>
        <v>304949</v>
      </c>
      <c r="AF97" s="73">
        <f t="shared" si="165"/>
        <v>317710</v>
      </c>
      <c r="AG97" s="73">
        <f>ROUND(AF97*BU128,0)</f>
        <v>295536</v>
      </c>
      <c r="AH97" s="1169">
        <f t="shared" si="161"/>
        <v>295536</v>
      </c>
      <c r="AI97" s="1169">
        <f t="shared" si="161"/>
        <v>295536</v>
      </c>
      <c r="AJ97" s="1169">
        <f t="shared" si="161"/>
        <v>295536</v>
      </c>
      <c r="AK97" s="1169">
        <f t="shared" si="161"/>
        <v>295536</v>
      </c>
      <c r="AL97" s="75" t="s">
        <v>1018</v>
      </c>
      <c r="BK97" s="75">
        <v>2</v>
      </c>
      <c r="BL97" s="76">
        <v>272418</v>
      </c>
      <c r="BM97" s="76">
        <v>271431</v>
      </c>
      <c r="BN97" s="76">
        <v>271120</v>
      </c>
      <c r="BO97" s="76">
        <v>239574</v>
      </c>
      <c r="BQ97" s="75">
        <v>2</v>
      </c>
      <c r="BR97" s="76">
        <v>280136</v>
      </c>
      <c r="BS97" s="76">
        <v>267432</v>
      </c>
      <c r="BT97" s="76">
        <v>262298</v>
      </c>
      <c r="BU97" s="76">
        <v>241410</v>
      </c>
      <c r="BW97" s="75">
        <v>2</v>
      </c>
      <c r="BX97" s="76">
        <v>278841</v>
      </c>
      <c r="BY97" s="76">
        <v>272463</v>
      </c>
      <c r="BZ97" s="76">
        <v>277628</v>
      </c>
      <c r="CA97" s="76">
        <v>236016</v>
      </c>
      <c r="CC97" s="75">
        <v>2</v>
      </c>
      <c r="CD97" s="740">
        <v>280533</v>
      </c>
      <c r="CE97" s="740">
        <v>272455</v>
      </c>
      <c r="CF97" s="740">
        <v>236543</v>
      </c>
      <c r="CG97" s="740">
        <v>239027</v>
      </c>
      <c r="CI97" s="75">
        <v>2</v>
      </c>
      <c r="CJ97" s="740">
        <v>274957</v>
      </c>
      <c r="CK97" s="740">
        <v>270047</v>
      </c>
      <c r="CL97" s="740">
        <v>254933</v>
      </c>
      <c r="CM97" s="740">
        <v>256455</v>
      </c>
    </row>
    <row r="98" spans="1:92">
      <c r="A98" s="741" t="s">
        <v>235</v>
      </c>
      <c r="B98" s="796">
        <f>B90</f>
        <v>295447</v>
      </c>
      <c r="C98" s="744">
        <f>C90</f>
        <v>277756</v>
      </c>
      <c r="D98" s="744">
        <f t="shared" ref="D98:Q98" si="166">D90</f>
        <v>302745</v>
      </c>
      <c r="E98" s="744">
        <f t="shared" si="166"/>
        <v>281780</v>
      </c>
      <c r="F98" s="744">
        <f t="shared" si="166"/>
        <v>283025</v>
      </c>
      <c r="G98" s="796">
        <f t="shared" si="166"/>
        <v>306278</v>
      </c>
      <c r="H98" s="744">
        <f t="shared" si="166"/>
        <v>306278</v>
      </c>
      <c r="I98" s="744">
        <f t="shared" si="166"/>
        <v>306278</v>
      </c>
      <c r="J98" s="744">
        <f t="shared" si="166"/>
        <v>306278</v>
      </c>
      <c r="K98" s="744">
        <f t="shared" si="166"/>
        <v>306278</v>
      </c>
      <c r="L98" s="796">
        <f t="shared" si="166"/>
        <v>346969</v>
      </c>
      <c r="M98" s="744">
        <f t="shared" si="166"/>
        <v>315122</v>
      </c>
      <c r="N98" s="744">
        <f t="shared" si="166"/>
        <v>303290</v>
      </c>
      <c r="O98" s="744">
        <f t="shared" si="166"/>
        <v>354521</v>
      </c>
      <c r="P98" s="744">
        <f t="shared" si="166"/>
        <v>352062</v>
      </c>
      <c r="Q98" s="796">
        <f t="shared" si="166"/>
        <v>306278</v>
      </c>
      <c r="R98" s="744">
        <f>R89</f>
        <v>307240</v>
      </c>
      <c r="S98" s="797">
        <f>S89</f>
        <v>308202</v>
      </c>
      <c r="T98" s="797">
        <f>T89</f>
        <v>309164</v>
      </c>
      <c r="U98" s="797">
        <f>U89</f>
        <v>310126</v>
      </c>
      <c r="V98" s="744">
        <f>V89</f>
        <v>311088</v>
      </c>
      <c r="W98" s="73">
        <f t="shared" ref="W98:AF99" si="167">ROUND(V98*AP85,0)</f>
        <v>301141</v>
      </c>
      <c r="X98" s="73">
        <f t="shared" si="167"/>
        <v>302194</v>
      </c>
      <c r="Y98" s="73">
        <f t="shared" si="167"/>
        <v>308940</v>
      </c>
      <c r="Z98" s="797">
        <f t="shared" si="167"/>
        <v>301948</v>
      </c>
      <c r="AA98" s="73">
        <f t="shared" si="167"/>
        <v>310787</v>
      </c>
      <c r="AB98" s="73">
        <f t="shared" si="167"/>
        <v>306011</v>
      </c>
      <c r="AC98" s="73">
        <f t="shared" si="167"/>
        <v>301593</v>
      </c>
      <c r="AD98" s="73">
        <f t="shared" si="167"/>
        <v>293381</v>
      </c>
      <c r="AE98" s="73">
        <f t="shared" si="167"/>
        <v>304806</v>
      </c>
      <c r="AF98" s="73">
        <f t="shared" si="167"/>
        <v>315526</v>
      </c>
      <c r="AG98" s="73">
        <f>ROUND(AF98*BT128,0)</f>
        <v>292227</v>
      </c>
      <c r="AH98" s="1169">
        <f t="shared" si="161"/>
        <v>292227</v>
      </c>
      <c r="AI98" s="1169">
        <f t="shared" si="161"/>
        <v>292227</v>
      </c>
      <c r="AJ98" s="1169">
        <f t="shared" si="161"/>
        <v>292227</v>
      </c>
      <c r="AK98" s="1169">
        <f t="shared" si="161"/>
        <v>292227</v>
      </c>
      <c r="AL98" s="75" t="s">
        <v>1017</v>
      </c>
      <c r="BK98" s="75">
        <v>3</v>
      </c>
      <c r="BL98" s="76">
        <v>346613</v>
      </c>
      <c r="BM98" s="76">
        <v>359086</v>
      </c>
      <c r="BN98" s="76">
        <v>336126</v>
      </c>
      <c r="BO98" s="76">
        <v>330785</v>
      </c>
      <c r="BQ98" s="75">
        <v>3</v>
      </c>
      <c r="BR98" s="76">
        <v>326344</v>
      </c>
      <c r="BS98" s="76">
        <v>318956</v>
      </c>
      <c r="BT98" s="76">
        <v>306949</v>
      </c>
      <c r="BU98" s="76">
        <v>316065</v>
      </c>
      <c r="BW98" s="75">
        <v>3</v>
      </c>
      <c r="BX98" s="76">
        <v>309400</v>
      </c>
      <c r="BY98" s="76">
        <v>303119</v>
      </c>
      <c r="BZ98" s="76">
        <v>300838</v>
      </c>
      <c r="CA98" s="76">
        <v>281409</v>
      </c>
      <c r="CC98" s="75">
        <v>3</v>
      </c>
      <c r="CD98" s="740">
        <v>325759</v>
      </c>
      <c r="CE98" s="740">
        <v>300789</v>
      </c>
      <c r="CF98" s="740">
        <v>276317</v>
      </c>
      <c r="CG98" s="740">
        <v>276475</v>
      </c>
      <c r="CI98" s="75">
        <v>3</v>
      </c>
      <c r="CJ98" s="740">
        <v>317821</v>
      </c>
      <c r="CK98" s="740">
        <v>299887</v>
      </c>
      <c r="CL98" s="740">
        <v>300796</v>
      </c>
      <c r="CM98" s="740">
        <v>274205</v>
      </c>
    </row>
    <row r="99" spans="1:92">
      <c r="A99" s="741" t="s">
        <v>208</v>
      </c>
      <c r="B99" s="796">
        <f>B90</f>
        <v>295447</v>
      </c>
      <c r="C99" s="744">
        <f>C90</f>
        <v>277756</v>
      </c>
      <c r="D99" s="744">
        <f t="shared" ref="D99:Q99" si="168">D90</f>
        <v>302745</v>
      </c>
      <c r="E99" s="744">
        <f t="shared" si="168"/>
        <v>281780</v>
      </c>
      <c r="F99" s="744">
        <f t="shared" si="168"/>
        <v>283025</v>
      </c>
      <c r="G99" s="796">
        <f t="shared" si="168"/>
        <v>306278</v>
      </c>
      <c r="H99" s="744">
        <f t="shared" si="168"/>
        <v>306278</v>
      </c>
      <c r="I99" s="744">
        <f t="shared" si="168"/>
        <v>306278</v>
      </c>
      <c r="J99" s="744">
        <f t="shared" si="168"/>
        <v>306278</v>
      </c>
      <c r="K99" s="744">
        <f t="shared" si="168"/>
        <v>306278</v>
      </c>
      <c r="L99" s="796">
        <f t="shared" si="168"/>
        <v>346969</v>
      </c>
      <c r="M99" s="744">
        <f t="shared" si="168"/>
        <v>315122</v>
      </c>
      <c r="N99" s="744">
        <f t="shared" si="168"/>
        <v>303290</v>
      </c>
      <c r="O99" s="744">
        <f t="shared" si="168"/>
        <v>354521</v>
      </c>
      <c r="P99" s="744">
        <f t="shared" si="168"/>
        <v>352062</v>
      </c>
      <c r="Q99" s="796">
        <f t="shared" si="168"/>
        <v>306278</v>
      </c>
      <c r="R99" s="744">
        <f>R89</f>
        <v>307240</v>
      </c>
      <c r="S99" s="797">
        <f>S89</f>
        <v>308202</v>
      </c>
      <c r="T99" s="797">
        <f>T89</f>
        <v>309164</v>
      </c>
      <c r="U99" s="797">
        <f>U89</f>
        <v>310126</v>
      </c>
      <c r="V99" s="744">
        <f>V89</f>
        <v>311088</v>
      </c>
      <c r="W99" s="73">
        <f t="shared" si="167"/>
        <v>314052</v>
      </c>
      <c r="X99" s="73">
        <f t="shared" si="167"/>
        <v>310461</v>
      </c>
      <c r="Y99" s="73">
        <f t="shared" si="167"/>
        <v>311177</v>
      </c>
      <c r="Z99" s="797">
        <f t="shared" si="167"/>
        <v>310529</v>
      </c>
      <c r="AA99" s="73">
        <f t="shared" si="167"/>
        <v>308842</v>
      </c>
      <c r="AB99" s="73">
        <f t="shared" si="167"/>
        <v>306012</v>
      </c>
      <c r="AC99" s="73">
        <f t="shared" si="167"/>
        <v>290829</v>
      </c>
      <c r="AD99" s="73">
        <f t="shared" si="167"/>
        <v>297491</v>
      </c>
      <c r="AE99" s="73">
        <f t="shared" si="167"/>
        <v>304949</v>
      </c>
      <c r="AF99" s="73">
        <f t="shared" si="167"/>
        <v>317710</v>
      </c>
      <c r="AG99" s="73">
        <f>ROUND(AF99*BU128,0)</f>
        <v>295536</v>
      </c>
      <c r="AH99" s="1169">
        <f t="shared" si="161"/>
        <v>295536</v>
      </c>
      <c r="AI99" s="1169">
        <f t="shared" si="161"/>
        <v>295536</v>
      </c>
      <c r="AJ99" s="1169">
        <f t="shared" si="161"/>
        <v>295536</v>
      </c>
      <c r="AK99" s="1169">
        <f t="shared" si="161"/>
        <v>295536</v>
      </c>
      <c r="AL99" s="75" t="s">
        <v>1018</v>
      </c>
      <c r="AZ99" s="479"/>
      <c r="BK99" s="75">
        <v>4</v>
      </c>
      <c r="BL99" s="76">
        <v>312346</v>
      </c>
      <c r="BM99" s="76">
        <v>299447</v>
      </c>
      <c r="BN99" s="76">
        <v>300391</v>
      </c>
      <c r="BO99" s="76">
        <v>292219</v>
      </c>
      <c r="BQ99" s="75">
        <v>4</v>
      </c>
      <c r="BR99" s="76">
        <v>325172</v>
      </c>
      <c r="BS99" s="76">
        <v>298482</v>
      </c>
      <c r="BT99" s="76">
        <v>284891</v>
      </c>
      <c r="BU99" s="76">
        <v>285314</v>
      </c>
      <c r="BW99" s="75">
        <v>4</v>
      </c>
      <c r="BX99" s="76">
        <v>331223</v>
      </c>
      <c r="BY99" s="76">
        <v>291929</v>
      </c>
      <c r="BZ99" s="76">
        <v>286231</v>
      </c>
      <c r="CA99" s="76">
        <v>273257</v>
      </c>
      <c r="CC99" s="75">
        <v>4</v>
      </c>
      <c r="CD99" s="740">
        <v>327109</v>
      </c>
      <c r="CE99" s="740">
        <v>302405</v>
      </c>
      <c r="CF99" s="740">
        <v>267589</v>
      </c>
      <c r="CG99" s="740">
        <v>272030</v>
      </c>
      <c r="CI99" s="75">
        <v>4</v>
      </c>
      <c r="CJ99" s="740">
        <v>320590</v>
      </c>
      <c r="CK99" s="740">
        <v>286646</v>
      </c>
      <c r="CL99" s="740">
        <v>287735</v>
      </c>
      <c r="CM99" s="740">
        <v>272096</v>
      </c>
    </row>
    <row r="100" spans="1:92">
      <c r="A100" s="741" t="s">
        <v>209</v>
      </c>
      <c r="B100" s="796">
        <f>B90</f>
        <v>295447</v>
      </c>
      <c r="C100" s="744">
        <f>C90</f>
        <v>277756</v>
      </c>
      <c r="D100" s="744">
        <f t="shared" ref="D100:Q100" si="169">D90</f>
        <v>302745</v>
      </c>
      <c r="E100" s="744">
        <f t="shared" si="169"/>
        <v>281780</v>
      </c>
      <c r="F100" s="744">
        <f t="shared" si="169"/>
        <v>283025</v>
      </c>
      <c r="G100" s="796">
        <f t="shared" si="169"/>
        <v>306278</v>
      </c>
      <c r="H100" s="744">
        <f t="shared" si="169"/>
        <v>306278</v>
      </c>
      <c r="I100" s="744">
        <f t="shared" si="169"/>
        <v>306278</v>
      </c>
      <c r="J100" s="744">
        <f t="shared" si="169"/>
        <v>306278</v>
      </c>
      <c r="K100" s="744">
        <f t="shared" si="169"/>
        <v>306278</v>
      </c>
      <c r="L100" s="796">
        <f t="shared" si="169"/>
        <v>346969</v>
      </c>
      <c r="M100" s="744">
        <f t="shared" si="169"/>
        <v>315122</v>
      </c>
      <c r="N100" s="744">
        <f t="shared" si="169"/>
        <v>303290</v>
      </c>
      <c r="O100" s="744">
        <f t="shared" si="169"/>
        <v>354521</v>
      </c>
      <c r="P100" s="744">
        <f t="shared" si="169"/>
        <v>352062</v>
      </c>
      <c r="Q100" s="796">
        <f t="shared" si="169"/>
        <v>306278</v>
      </c>
      <c r="R100" s="744">
        <f>R89</f>
        <v>307240</v>
      </c>
      <c r="S100" s="797">
        <f>S89</f>
        <v>308202</v>
      </c>
      <c r="T100" s="797">
        <f>T89</f>
        <v>309164</v>
      </c>
      <c r="U100" s="797">
        <f>U89</f>
        <v>310126</v>
      </c>
      <c r="V100" s="744">
        <f>V89</f>
        <v>311088</v>
      </c>
      <c r="W100" s="73">
        <f t="shared" ref="W100:AF100" si="170">ROUND(V100*AP86,0)</f>
        <v>314052</v>
      </c>
      <c r="X100" s="73">
        <f t="shared" si="170"/>
        <v>310461</v>
      </c>
      <c r="Y100" s="73">
        <f t="shared" si="170"/>
        <v>311177</v>
      </c>
      <c r="Z100" s="797">
        <f t="shared" si="170"/>
        <v>310529</v>
      </c>
      <c r="AA100" s="73">
        <f t="shared" si="170"/>
        <v>308842</v>
      </c>
      <c r="AB100" s="73">
        <f t="shared" si="170"/>
        <v>306012</v>
      </c>
      <c r="AC100" s="73">
        <f t="shared" si="170"/>
        <v>290829</v>
      </c>
      <c r="AD100" s="73">
        <f t="shared" si="170"/>
        <v>297491</v>
      </c>
      <c r="AE100" s="73">
        <f t="shared" si="170"/>
        <v>304949</v>
      </c>
      <c r="AF100" s="73">
        <f t="shared" si="170"/>
        <v>317710</v>
      </c>
      <c r="AG100" s="73">
        <f>ROUND(AF100*BU128,0)</f>
        <v>295536</v>
      </c>
      <c r="AH100" s="1169">
        <f t="shared" si="161"/>
        <v>295536</v>
      </c>
      <c r="AI100" s="1169">
        <f t="shared" si="161"/>
        <v>295536</v>
      </c>
      <c r="AJ100" s="1169">
        <f t="shared" si="161"/>
        <v>295536</v>
      </c>
      <c r="AK100" s="1169">
        <f t="shared" si="161"/>
        <v>295536</v>
      </c>
      <c r="AL100" s="75" t="s">
        <v>1018</v>
      </c>
      <c r="BK100" s="75">
        <v>5</v>
      </c>
      <c r="BL100" s="76">
        <v>286678</v>
      </c>
      <c r="BM100" s="76">
        <v>278391</v>
      </c>
      <c r="BN100" s="76">
        <v>253461</v>
      </c>
      <c r="BO100" s="76">
        <v>258374</v>
      </c>
      <c r="BQ100" s="75">
        <v>5</v>
      </c>
      <c r="BR100" s="76">
        <v>299874</v>
      </c>
      <c r="BS100" s="76">
        <v>287137</v>
      </c>
      <c r="BT100" s="76">
        <v>281853</v>
      </c>
      <c r="BU100" s="76">
        <v>268435</v>
      </c>
      <c r="BW100" s="75">
        <v>5</v>
      </c>
      <c r="BX100" s="76">
        <v>297751</v>
      </c>
      <c r="BY100" s="76">
        <v>291530</v>
      </c>
      <c r="BZ100" s="76">
        <v>270196</v>
      </c>
      <c r="CA100" s="76">
        <v>252516</v>
      </c>
      <c r="CC100" s="75">
        <v>5</v>
      </c>
      <c r="CD100" s="740">
        <v>305349</v>
      </c>
      <c r="CE100" s="740">
        <v>282422</v>
      </c>
      <c r="CF100" s="740">
        <v>268092</v>
      </c>
      <c r="CG100" s="740">
        <v>268135</v>
      </c>
      <c r="CI100" s="75">
        <v>5</v>
      </c>
      <c r="CJ100" s="740">
        <v>288027</v>
      </c>
      <c r="CK100" s="740">
        <v>286031</v>
      </c>
      <c r="CL100" s="740">
        <v>277662</v>
      </c>
      <c r="CM100" s="740">
        <v>264750</v>
      </c>
    </row>
    <row r="101" spans="1:92">
      <c r="A101" s="741" t="s">
        <v>236</v>
      </c>
      <c r="B101" s="796">
        <f>B90</f>
        <v>295447</v>
      </c>
      <c r="C101" s="744">
        <f>C90</f>
        <v>277756</v>
      </c>
      <c r="D101" s="744">
        <f t="shared" ref="D101:Q101" si="171">D90</f>
        <v>302745</v>
      </c>
      <c r="E101" s="744">
        <f t="shared" si="171"/>
        <v>281780</v>
      </c>
      <c r="F101" s="744">
        <f t="shared" si="171"/>
        <v>283025</v>
      </c>
      <c r="G101" s="796">
        <f t="shared" si="171"/>
        <v>306278</v>
      </c>
      <c r="H101" s="744">
        <f t="shared" si="171"/>
        <v>306278</v>
      </c>
      <c r="I101" s="744">
        <f t="shared" si="171"/>
        <v>306278</v>
      </c>
      <c r="J101" s="744">
        <f t="shared" si="171"/>
        <v>306278</v>
      </c>
      <c r="K101" s="744">
        <f t="shared" si="171"/>
        <v>306278</v>
      </c>
      <c r="L101" s="796">
        <f t="shared" si="171"/>
        <v>346969</v>
      </c>
      <c r="M101" s="744">
        <f t="shared" si="171"/>
        <v>315122</v>
      </c>
      <c r="N101" s="744">
        <f t="shared" si="171"/>
        <v>303290</v>
      </c>
      <c r="O101" s="744">
        <f t="shared" si="171"/>
        <v>354521</v>
      </c>
      <c r="P101" s="744">
        <f t="shared" si="171"/>
        <v>352062</v>
      </c>
      <c r="Q101" s="796">
        <f t="shared" si="171"/>
        <v>306278</v>
      </c>
      <c r="R101" s="744">
        <f>R89</f>
        <v>307240</v>
      </c>
      <c r="S101" s="797">
        <f>S89</f>
        <v>308202</v>
      </c>
      <c r="T101" s="797">
        <f>T89</f>
        <v>309164</v>
      </c>
      <c r="U101" s="797">
        <f>U89</f>
        <v>310126</v>
      </c>
      <c r="V101" s="744">
        <f>V89</f>
        <v>311088</v>
      </c>
      <c r="W101" s="73">
        <f t="shared" ref="W101:AF101" si="172">ROUND(V101*AP86,0)</f>
        <v>314052</v>
      </c>
      <c r="X101" s="73">
        <f t="shared" si="172"/>
        <v>310461</v>
      </c>
      <c r="Y101" s="73">
        <f t="shared" si="172"/>
        <v>311177</v>
      </c>
      <c r="Z101" s="797">
        <f t="shared" si="172"/>
        <v>310529</v>
      </c>
      <c r="AA101" s="73">
        <f t="shared" si="172"/>
        <v>308842</v>
      </c>
      <c r="AB101" s="73">
        <f t="shared" si="172"/>
        <v>306012</v>
      </c>
      <c r="AC101" s="73">
        <f t="shared" si="172"/>
        <v>290829</v>
      </c>
      <c r="AD101" s="73">
        <f t="shared" si="172"/>
        <v>297491</v>
      </c>
      <c r="AE101" s="73">
        <f t="shared" si="172"/>
        <v>304949</v>
      </c>
      <c r="AF101" s="73">
        <f t="shared" si="172"/>
        <v>317710</v>
      </c>
      <c r="AG101" s="73">
        <f>ROUND(AF101*BU128,0)</f>
        <v>295536</v>
      </c>
      <c r="AH101" s="1169">
        <f t="shared" si="161"/>
        <v>295536</v>
      </c>
      <c r="AI101" s="1169">
        <f t="shared" si="161"/>
        <v>295536</v>
      </c>
      <c r="AJ101" s="1169">
        <f t="shared" si="161"/>
        <v>295536</v>
      </c>
      <c r="AK101" s="1169">
        <f t="shared" si="161"/>
        <v>295536</v>
      </c>
      <c r="AL101" s="75" t="s">
        <v>1018</v>
      </c>
      <c r="BK101" s="75">
        <v>6</v>
      </c>
      <c r="BL101" s="76">
        <v>278158</v>
      </c>
      <c r="BM101" s="76">
        <v>277926</v>
      </c>
      <c r="BN101" s="76">
        <v>274834</v>
      </c>
      <c r="BO101" s="76">
        <v>249426</v>
      </c>
      <c r="BQ101" s="75">
        <v>6</v>
      </c>
      <c r="BR101" s="76">
        <v>276580</v>
      </c>
      <c r="BS101" s="76">
        <v>269051</v>
      </c>
      <c r="BT101" s="76">
        <v>268119</v>
      </c>
      <c r="BU101" s="76">
        <v>254634</v>
      </c>
      <c r="BW101" s="75">
        <v>6</v>
      </c>
      <c r="BX101" s="76">
        <v>278252</v>
      </c>
      <c r="BY101" s="76">
        <v>258966</v>
      </c>
      <c r="BZ101" s="76">
        <v>248664</v>
      </c>
      <c r="CA101" s="76">
        <v>256936</v>
      </c>
      <c r="CC101" s="75">
        <v>6</v>
      </c>
      <c r="CD101" s="740">
        <v>281688</v>
      </c>
      <c r="CE101" s="740">
        <v>274447</v>
      </c>
      <c r="CF101" s="740">
        <v>257862</v>
      </c>
      <c r="CG101" s="740">
        <v>251776</v>
      </c>
      <c r="CI101" s="75">
        <v>6</v>
      </c>
      <c r="CJ101" s="740">
        <v>277770</v>
      </c>
      <c r="CK101" s="740">
        <v>265890</v>
      </c>
      <c r="CL101" s="740">
        <v>268633</v>
      </c>
      <c r="CM101" s="740">
        <v>250522</v>
      </c>
    </row>
    <row r="102" spans="1:92">
      <c r="A102" s="770" t="s">
        <v>210</v>
      </c>
      <c r="B102" s="802"/>
      <c r="C102" s="744"/>
      <c r="D102" s="744"/>
      <c r="E102" s="744"/>
      <c r="F102" s="744"/>
      <c r="G102" s="796"/>
      <c r="H102" s="744"/>
      <c r="I102" s="744"/>
      <c r="J102" s="744"/>
      <c r="K102" s="744"/>
      <c r="L102" s="796"/>
      <c r="M102" s="744"/>
      <c r="N102" s="744"/>
      <c r="O102" s="744"/>
      <c r="P102" s="744"/>
      <c r="Q102" s="795">
        <f>消費ﾃﾞｰﾀ!E8</f>
        <v>356363</v>
      </c>
      <c r="R102" s="796">
        <f>ROUND(Q102+(V102-Q102)/5,0)</f>
        <v>352147</v>
      </c>
      <c r="S102" s="797">
        <f>ROUND(Q102+(V102-Q102)/5*2,0)</f>
        <v>347931</v>
      </c>
      <c r="T102" s="797">
        <f>ROUND(Q102+(V102-Q102)/5*3,0)</f>
        <v>343714</v>
      </c>
      <c r="U102" s="73">
        <f>ROUND(Q102+(V102-Q102)/5*4,0)</f>
        <v>339498</v>
      </c>
      <c r="V102" s="1179">
        <f>消費ﾃﾞｰﾀ!F8</f>
        <v>335282</v>
      </c>
      <c r="W102" s="73" t="s">
        <v>627</v>
      </c>
      <c r="X102" s="73" t="s">
        <v>627</v>
      </c>
      <c r="Y102" s="73"/>
      <c r="Z102" s="797"/>
      <c r="AA102" s="795">
        <f>消費ﾃﾞｰﾀ!L12</f>
        <v>327526</v>
      </c>
      <c r="AB102" s="1177">
        <f>AA102/AA103</f>
        <v>0.97781506282896014</v>
      </c>
      <c r="AC102" s="73"/>
      <c r="AD102" s="73"/>
      <c r="AE102" s="73"/>
      <c r="AF102" s="73"/>
      <c r="AG102" s="73"/>
      <c r="AH102" s="1169"/>
      <c r="AI102" s="1169"/>
      <c r="AJ102" s="1169"/>
      <c r="AK102" s="1169"/>
      <c r="AL102" s="75" t="s">
        <v>627</v>
      </c>
      <c r="BK102" s="75">
        <v>7</v>
      </c>
      <c r="BL102" s="76">
        <v>292952</v>
      </c>
      <c r="BM102" s="76">
        <v>284388</v>
      </c>
      <c r="BN102" s="76">
        <v>270802</v>
      </c>
      <c r="BO102" s="76">
        <v>264545</v>
      </c>
      <c r="BQ102" s="75">
        <v>7</v>
      </c>
      <c r="BR102" s="76">
        <v>282040</v>
      </c>
      <c r="BS102" s="76">
        <v>280415</v>
      </c>
      <c r="BT102" s="76">
        <v>278566</v>
      </c>
      <c r="BU102" s="76">
        <v>280819</v>
      </c>
      <c r="BW102" s="75">
        <v>7</v>
      </c>
      <c r="BX102" s="76">
        <v>289960</v>
      </c>
      <c r="BY102" s="76">
        <v>285315</v>
      </c>
      <c r="BZ102" s="76">
        <v>277809</v>
      </c>
      <c r="CA102" s="76">
        <v>241757</v>
      </c>
      <c r="CC102" s="75">
        <v>7</v>
      </c>
      <c r="CD102" s="740">
        <v>291346</v>
      </c>
      <c r="CE102" s="740">
        <v>284943</v>
      </c>
      <c r="CF102" s="740">
        <v>275034</v>
      </c>
      <c r="CG102" s="740">
        <v>252668</v>
      </c>
      <c r="CI102" s="75">
        <v>7</v>
      </c>
      <c r="CJ102" s="740">
        <v>299695</v>
      </c>
      <c r="CK102" s="740">
        <v>274922</v>
      </c>
      <c r="CL102" s="740">
        <v>280082</v>
      </c>
      <c r="CM102" s="740">
        <v>275607</v>
      </c>
    </row>
    <row r="103" spans="1:92">
      <c r="A103" s="799" t="s">
        <v>221</v>
      </c>
      <c r="B103" s="743">
        <f>消費ﾃﾞｰﾀ!B8</f>
        <v>288432</v>
      </c>
      <c r="C103" s="795">
        <f>ROUND($B$103*C60,0)</f>
        <v>271161</v>
      </c>
      <c r="D103" s="795">
        <f>ROUND($B$103*D60,0)</f>
        <v>295557</v>
      </c>
      <c r="E103" s="795">
        <f>ROUND($G$103*E60,0)</f>
        <v>327859</v>
      </c>
      <c r="F103" s="795">
        <f>ROUND($G$103*F60,0)</f>
        <v>329307</v>
      </c>
      <c r="G103" s="795">
        <v>356363</v>
      </c>
      <c r="H103" s="795">
        <v>356363</v>
      </c>
      <c r="I103" s="795">
        <v>356363</v>
      </c>
      <c r="J103" s="795">
        <v>356363</v>
      </c>
      <c r="K103" s="795">
        <v>356363</v>
      </c>
      <c r="L103" s="795">
        <f>消費ﾃﾞｰﾀ!D8</f>
        <v>350663</v>
      </c>
      <c r="M103" s="795">
        <f>ROUND($L$103*M60,0)</f>
        <v>318477</v>
      </c>
      <c r="N103" s="795">
        <f>ROUND($L$103*N60,0)</f>
        <v>306519</v>
      </c>
      <c r="O103" s="795">
        <f>ROUND($Q$103*O60,0)</f>
        <v>412495</v>
      </c>
      <c r="P103" s="795">
        <f>ROUND($Q$103*P60,0)</f>
        <v>409635</v>
      </c>
      <c r="Q103" s="795">
        <f>消費ﾃﾞｰﾀ!E8</f>
        <v>356363</v>
      </c>
      <c r="R103" s="66">
        <f>R102</f>
        <v>352147</v>
      </c>
      <c r="S103" s="797">
        <f>S102</f>
        <v>347931</v>
      </c>
      <c r="T103" s="797">
        <f>T102</f>
        <v>343714</v>
      </c>
      <c r="U103" s="797">
        <f>U102</f>
        <v>339498</v>
      </c>
      <c r="V103" s="66">
        <f>V102</f>
        <v>335282</v>
      </c>
      <c r="W103" s="73">
        <f t="shared" ref="W103:AF104" si="173">ROUND(V103*AP85,0)</f>
        <v>324561</v>
      </c>
      <c r="X103" s="73">
        <f t="shared" si="173"/>
        <v>325696</v>
      </c>
      <c r="Y103" s="73">
        <f t="shared" si="173"/>
        <v>332966</v>
      </c>
      <c r="Z103" s="797">
        <f t="shared" si="173"/>
        <v>325430</v>
      </c>
      <c r="AA103" s="73">
        <f t="shared" si="173"/>
        <v>334957</v>
      </c>
      <c r="AB103" s="73">
        <f t="shared" si="173"/>
        <v>329810</v>
      </c>
      <c r="AC103" s="73">
        <f t="shared" si="173"/>
        <v>325048</v>
      </c>
      <c r="AD103" s="73">
        <f t="shared" si="173"/>
        <v>316197</v>
      </c>
      <c r="AE103" s="73">
        <f t="shared" si="173"/>
        <v>328510</v>
      </c>
      <c r="AF103" s="73">
        <f t="shared" si="173"/>
        <v>340064</v>
      </c>
      <c r="AG103" s="73">
        <f>ROUND(AF103*BT128,0)</f>
        <v>314953</v>
      </c>
      <c r="AH103" s="1169">
        <f t="shared" ref="AH103:AK107" si="174">AG103</f>
        <v>314953</v>
      </c>
      <c r="AI103" s="1169">
        <f t="shared" si="174"/>
        <v>314953</v>
      </c>
      <c r="AJ103" s="1169">
        <f t="shared" si="174"/>
        <v>314953</v>
      </c>
      <c r="AK103" s="1169">
        <f t="shared" si="174"/>
        <v>314953</v>
      </c>
      <c r="AL103" s="75" t="s">
        <v>1017</v>
      </c>
      <c r="BK103" s="75">
        <v>8</v>
      </c>
      <c r="BL103" s="76">
        <v>295633</v>
      </c>
      <c r="BM103" s="76">
        <v>283818</v>
      </c>
      <c r="BN103" s="76">
        <v>275819</v>
      </c>
      <c r="BO103" s="76">
        <v>264710</v>
      </c>
      <c r="BQ103" s="75">
        <v>8</v>
      </c>
      <c r="BR103" s="76">
        <v>294685</v>
      </c>
      <c r="BS103" s="76">
        <v>298260</v>
      </c>
      <c r="BT103" s="76">
        <v>287806</v>
      </c>
      <c r="BU103" s="76">
        <v>276039</v>
      </c>
      <c r="BW103" s="75">
        <v>8</v>
      </c>
      <c r="BX103" s="76">
        <v>289892</v>
      </c>
      <c r="BY103" s="76">
        <v>276403</v>
      </c>
      <c r="BZ103" s="76">
        <v>270664</v>
      </c>
      <c r="CA103" s="76">
        <v>260700</v>
      </c>
      <c r="CC103" s="75">
        <v>8</v>
      </c>
      <c r="CD103" s="740">
        <v>291103</v>
      </c>
      <c r="CE103" s="740">
        <v>279648</v>
      </c>
      <c r="CF103" s="740">
        <v>273593</v>
      </c>
      <c r="CG103" s="740">
        <v>273149</v>
      </c>
      <c r="CI103" s="75">
        <v>8</v>
      </c>
      <c r="CJ103" s="740">
        <v>296334</v>
      </c>
      <c r="CK103" s="740">
        <v>295257</v>
      </c>
      <c r="CL103" s="740">
        <v>287279</v>
      </c>
      <c r="CM103" s="740">
        <v>287886</v>
      </c>
    </row>
    <row r="104" spans="1:92">
      <c r="A104" s="741" t="s">
        <v>218</v>
      </c>
      <c r="B104" s="796">
        <f>B103</f>
        <v>288432</v>
      </c>
      <c r="C104" s="744">
        <f>C103</f>
        <v>271161</v>
      </c>
      <c r="D104" s="744">
        <f t="shared" ref="D104:Q104" si="175">D103</f>
        <v>295557</v>
      </c>
      <c r="E104" s="744">
        <f t="shared" si="175"/>
        <v>327859</v>
      </c>
      <c r="F104" s="744">
        <f t="shared" si="175"/>
        <v>329307</v>
      </c>
      <c r="G104" s="796">
        <f t="shared" si="175"/>
        <v>356363</v>
      </c>
      <c r="H104" s="744">
        <f t="shared" si="175"/>
        <v>356363</v>
      </c>
      <c r="I104" s="744">
        <f t="shared" si="175"/>
        <v>356363</v>
      </c>
      <c r="J104" s="744">
        <f t="shared" si="175"/>
        <v>356363</v>
      </c>
      <c r="K104" s="744">
        <f t="shared" si="175"/>
        <v>356363</v>
      </c>
      <c r="L104" s="796">
        <f t="shared" si="175"/>
        <v>350663</v>
      </c>
      <c r="M104" s="744">
        <f t="shared" si="175"/>
        <v>318477</v>
      </c>
      <c r="N104" s="744">
        <f t="shared" si="175"/>
        <v>306519</v>
      </c>
      <c r="O104" s="744">
        <f t="shared" si="175"/>
        <v>412495</v>
      </c>
      <c r="P104" s="744">
        <f t="shared" si="175"/>
        <v>409635</v>
      </c>
      <c r="Q104" s="796">
        <f t="shared" si="175"/>
        <v>356363</v>
      </c>
      <c r="R104" s="744">
        <f>R102</f>
        <v>352147</v>
      </c>
      <c r="S104" s="797">
        <f>S102</f>
        <v>347931</v>
      </c>
      <c r="T104" s="797">
        <f>T102</f>
        <v>343714</v>
      </c>
      <c r="U104" s="797">
        <f>U102</f>
        <v>339498</v>
      </c>
      <c r="V104" s="744">
        <f>V102</f>
        <v>335282</v>
      </c>
      <c r="W104" s="73">
        <f t="shared" si="173"/>
        <v>338476</v>
      </c>
      <c r="X104" s="73">
        <f t="shared" si="173"/>
        <v>334606</v>
      </c>
      <c r="Y104" s="73">
        <f t="shared" si="173"/>
        <v>335377</v>
      </c>
      <c r="Z104" s="797">
        <f t="shared" si="173"/>
        <v>334678</v>
      </c>
      <c r="AA104" s="73">
        <f t="shared" si="173"/>
        <v>332860</v>
      </c>
      <c r="AB104" s="73">
        <f t="shared" si="173"/>
        <v>329810</v>
      </c>
      <c r="AC104" s="73">
        <f t="shared" si="173"/>
        <v>313446</v>
      </c>
      <c r="AD104" s="73">
        <f t="shared" si="173"/>
        <v>320627</v>
      </c>
      <c r="AE104" s="73">
        <f t="shared" si="173"/>
        <v>328665</v>
      </c>
      <c r="AF104" s="73">
        <f t="shared" si="173"/>
        <v>342418</v>
      </c>
      <c r="AG104" s="73">
        <f>ROUND(AF104*BU128,0)</f>
        <v>318520</v>
      </c>
      <c r="AH104" s="1169">
        <f t="shared" si="174"/>
        <v>318520</v>
      </c>
      <c r="AI104" s="1169">
        <f t="shared" si="174"/>
        <v>318520</v>
      </c>
      <c r="AJ104" s="1169">
        <f t="shared" si="174"/>
        <v>318520</v>
      </c>
      <c r="AK104" s="1169">
        <f t="shared" si="174"/>
        <v>318520</v>
      </c>
      <c r="AL104" s="75" t="s">
        <v>1018</v>
      </c>
      <c r="BK104" s="75">
        <v>9</v>
      </c>
      <c r="BL104" s="75">
        <v>289073</v>
      </c>
      <c r="BM104" s="75">
        <v>277045</v>
      </c>
      <c r="BN104" s="75">
        <v>259465</v>
      </c>
      <c r="BO104" s="75">
        <v>271904</v>
      </c>
      <c r="BQ104" s="75">
        <v>9</v>
      </c>
      <c r="BR104" s="75">
        <v>285736</v>
      </c>
      <c r="BS104" s="75">
        <v>276360</v>
      </c>
      <c r="BT104" s="75">
        <v>273585</v>
      </c>
      <c r="BU104" s="75">
        <v>251314</v>
      </c>
      <c r="BW104" s="75">
        <v>9</v>
      </c>
      <c r="BX104" s="75">
        <v>287922</v>
      </c>
      <c r="BY104" s="75">
        <v>265480</v>
      </c>
      <c r="BZ104" s="75">
        <v>257390</v>
      </c>
      <c r="CA104" s="75">
        <v>248690</v>
      </c>
      <c r="CC104" s="75">
        <v>9</v>
      </c>
      <c r="CD104" s="75">
        <v>282312</v>
      </c>
      <c r="CE104" s="75">
        <v>273969</v>
      </c>
      <c r="CF104" s="75">
        <v>263990</v>
      </c>
      <c r="CG104" s="75">
        <v>241769</v>
      </c>
      <c r="CI104" s="75">
        <v>9</v>
      </c>
      <c r="CJ104" s="75">
        <v>285214</v>
      </c>
      <c r="CK104" s="75">
        <v>280703</v>
      </c>
      <c r="CL104" s="75">
        <v>261118</v>
      </c>
      <c r="CM104" s="75">
        <v>241658</v>
      </c>
    </row>
    <row r="105" spans="1:92">
      <c r="A105" s="741" t="s">
        <v>222</v>
      </c>
      <c r="B105" s="796">
        <f>B103</f>
        <v>288432</v>
      </c>
      <c r="C105" s="744">
        <f>C103</f>
        <v>271161</v>
      </c>
      <c r="D105" s="744">
        <f t="shared" ref="D105:Q105" si="176">D103</f>
        <v>295557</v>
      </c>
      <c r="E105" s="744">
        <f t="shared" si="176"/>
        <v>327859</v>
      </c>
      <c r="F105" s="744">
        <f t="shared" si="176"/>
        <v>329307</v>
      </c>
      <c r="G105" s="796">
        <f t="shared" si="176"/>
        <v>356363</v>
      </c>
      <c r="H105" s="744">
        <f t="shared" si="176"/>
        <v>356363</v>
      </c>
      <c r="I105" s="744">
        <f t="shared" si="176"/>
        <v>356363</v>
      </c>
      <c r="J105" s="744">
        <f t="shared" si="176"/>
        <v>356363</v>
      </c>
      <c r="K105" s="744">
        <f t="shared" si="176"/>
        <v>356363</v>
      </c>
      <c r="L105" s="796">
        <f t="shared" si="176"/>
        <v>350663</v>
      </c>
      <c r="M105" s="744">
        <f t="shared" si="176"/>
        <v>318477</v>
      </c>
      <c r="N105" s="744">
        <f t="shared" si="176"/>
        <v>306519</v>
      </c>
      <c r="O105" s="744">
        <f t="shared" si="176"/>
        <v>412495</v>
      </c>
      <c r="P105" s="744">
        <f t="shared" si="176"/>
        <v>409635</v>
      </c>
      <c r="Q105" s="796">
        <f t="shared" si="176"/>
        <v>356363</v>
      </c>
      <c r="R105" s="744">
        <f>R102</f>
        <v>352147</v>
      </c>
      <c r="S105" s="797">
        <f>S102</f>
        <v>347931</v>
      </c>
      <c r="T105" s="797">
        <f>T102</f>
        <v>343714</v>
      </c>
      <c r="U105" s="797">
        <f>U102</f>
        <v>339498</v>
      </c>
      <c r="V105" s="744">
        <f>V102</f>
        <v>335282</v>
      </c>
      <c r="W105" s="73">
        <f t="shared" ref="W105:AF105" si="177">ROUND(V105*AP86,0)</f>
        <v>338476</v>
      </c>
      <c r="X105" s="73">
        <f t="shared" si="177"/>
        <v>334606</v>
      </c>
      <c r="Y105" s="73">
        <f t="shared" si="177"/>
        <v>335377</v>
      </c>
      <c r="Z105" s="797">
        <f t="shared" si="177"/>
        <v>334678</v>
      </c>
      <c r="AA105" s="73">
        <f t="shared" si="177"/>
        <v>332860</v>
      </c>
      <c r="AB105" s="73">
        <f t="shared" si="177"/>
        <v>329810</v>
      </c>
      <c r="AC105" s="73">
        <f t="shared" si="177"/>
        <v>313446</v>
      </c>
      <c r="AD105" s="73">
        <f t="shared" si="177"/>
        <v>320627</v>
      </c>
      <c r="AE105" s="73">
        <f t="shared" si="177"/>
        <v>328665</v>
      </c>
      <c r="AF105" s="73">
        <f t="shared" si="177"/>
        <v>342418</v>
      </c>
      <c r="AG105" s="73">
        <f>ROUND(AF105*BU128,0)</f>
        <v>318520</v>
      </c>
      <c r="AH105" s="1169">
        <f t="shared" si="174"/>
        <v>318520</v>
      </c>
      <c r="AI105" s="1169">
        <f t="shared" si="174"/>
        <v>318520</v>
      </c>
      <c r="AJ105" s="1169">
        <f t="shared" si="174"/>
        <v>318520</v>
      </c>
      <c r="AK105" s="1169">
        <f t="shared" si="174"/>
        <v>318520</v>
      </c>
      <c r="AL105" s="75" t="s">
        <v>1018</v>
      </c>
      <c r="BK105" s="75">
        <v>10</v>
      </c>
      <c r="BL105" s="75">
        <v>303129</v>
      </c>
      <c r="BM105" s="75">
        <v>287384</v>
      </c>
      <c r="BN105" s="75">
        <v>286374</v>
      </c>
      <c r="BO105" s="75">
        <v>268788</v>
      </c>
      <c r="BQ105" s="75">
        <v>10</v>
      </c>
      <c r="BR105" s="75">
        <v>290925</v>
      </c>
      <c r="BS105" s="75">
        <v>288459</v>
      </c>
      <c r="BT105" s="75">
        <v>272188</v>
      </c>
      <c r="BU105" s="75">
        <v>270945</v>
      </c>
      <c r="BW105" s="75">
        <v>10</v>
      </c>
      <c r="BX105" s="75">
        <v>304523</v>
      </c>
      <c r="BY105" s="75">
        <v>275396</v>
      </c>
      <c r="BZ105" s="75">
        <v>286954</v>
      </c>
      <c r="CA105" s="75">
        <v>246687</v>
      </c>
      <c r="CC105" s="75">
        <v>10</v>
      </c>
      <c r="CD105" s="75">
        <v>294392</v>
      </c>
      <c r="CE105" s="75">
        <v>282591</v>
      </c>
      <c r="CF105" s="75">
        <v>275793</v>
      </c>
      <c r="CG105" s="75">
        <v>274047</v>
      </c>
      <c r="CI105" s="75">
        <v>10</v>
      </c>
      <c r="CJ105" s="75">
        <v>300650</v>
      </c>
      <c r="CK105" s="75">
        <v>299143</v>
      </c>
      <c r="CL105" s="75">
        <v>283075</v>
      </c>
      <c r="CM105" s="75">
        <v>264529</v>
      </c>
    </row>
    <row r="106" spans="1:92">
      <c r="A106" s="741" t="s">
        <v>220</v>
      </c>
      <c r="B106" s="796">
        <f>B103</f>
        <v>288432</v>
      </c>
      <c r="C106" s="744">
        <f>C103</f>
        <v>271161</v>
      </c>
      <c r="D106" s="744">
        <f t="shared" ref="D106:Q106" si="178">D103</f>
        <v>295557</v>
      </c>
      <c r="E106" s="744">
        <f t="shared" si="178"/>
        <v>327859</v>
      </c>
      <c r="F106" s="744">
        <f t="shared" si="178"/>
        <v>329307</v>
      </c>
      <c r="G106" s="796">
        <f t="shared" si="178"/>
        <v>356363</v>
      </c>
      <c r="H106" s="744">
        <f t="shared" si="178"/>
        <v>356363</v>
      </c>
      <c r="I106" s="744">
        <f t="shared" si="178"/>
        <v>356363</v>
      </c>
      <c r="J106" s="744">
        <f t="shared" si="178"/>
        <v>356363</v>
      </c>
      <c r="K106" s="744">
        <f t="shared" si="178"/>
        <v>356363</v>
      </c>
      <c r="L106" s="796">
        <f t="shared" si="178"/>
        <v>350663</v>
      </c>
      <c r="M106" s="744">
        <f t="shared" si="178"/>
        <v>318477</v>
      </c>
      <c r="N106" s="744">
        <f t="shared" si="178"/>
        <v>306519</v>
      </c>
      <c r="O106" s="744">
        <f t="shared" si="178"/>
        <v>412495</v>
      </c>
      <c r="P106" s="744">
        <f t="shared" si="178"/>
        <v>409635</v>
      </c>
      <c r="Q106" s="796">
        <f t="shared" si="178"/>
        <v>356363</v>
      </c>
      <c r="R106" s="744">
        <f>R102</f>
        <v>352147</v>
      </c>
      <c r="S106" s="797">
        <f>S102</f>
        <v>347931</v>
      </c>
      <c r="T106" s="797">
        <f>T102</f>
        <v>343714</v>
      </c>
      <c r="U106" s="797">
        <f>U102</f>
        <v>339498</v>
      </c>
      <c r="V106" s="744">
        <f>V102</f>
        <v>335282</v>
      </c>
      <c r="W106" s="73">
        <f t="shared" ref="W106:AF106" si="179">ROUND(V106*AP86,0)</f>
        <v>338476</v>
      </c>
      <c r="X106" s="73">
        <f t="shared" si="179"/>
        <v>334606</v>
      </c>
      <c r="Y106" s="73">
        <f t="shared" si="179"/>
        <v>335377</v>
      </c>
      <c r="Z106" s="797">
        <f t="shared" si="179"/>
        <v>334678</v>
      </c>
      <c r="AA106" s="73">
        <f t="shared" si="179"/>
        <v>332860</v>
      </c>
      <c r="AB106" s="73">
        <f t="shared" si="179"/>
        <v>329810</v>
      </c>
      <c r="AC106" s="73">
        <f t="shared" si="179"/>
        <v>313446</v>
      </c>
      <c r="AD106" s="73">
        <f t="shared" si="179"/>
        <v>320627</v>
      </c>
      <c r="AE106" s="73">
        <f t="shared" si="179"/>
        <v>328665</v>
      </c>
      <c r="AF106" s="73">
        <f t="shared" si="179"/>
        <v>342418</v>
      </c>
      <c r="AG106" s="73">
        <f>ROUND(AF106*BU128,0)</f>
        <v>318520</v>
      </c>
      <c r="AH106" s="1169">
        <f t="shared" si="174"/>
        <v>318520</v>
      </c>
      <c r="AI106" s="1169">
        <f t="shared" si="174"/>
        <v>318520</v>
      </c>
      <c r="AJ106" s="1169">
        <f t="shared" si="174"/>
        <v>318520</v>
      </c>
      <c r="AK106" s="1169">
        <f t="shared" si="174"/>
        <v>318520</v>
      </c>
      <c r="AL106" s="75" t="s">
        <v>1018</v>
      </c>
      <c r="BK106" s="75">
        <v>11</v>
      </c>
      <c r="BL106" s="453">
        <v>285317</v>
      </c>
      <c r="BM106" s="453">
        <v>280150</v>
      </c>
      <c r="BN106" s="453">
        <v>281870</v>
      </c>
      <c r="BO106" s="453">
        <v>269134</v>
      </c>
      <c r="BQ106" s="75">
        <v>11</v>
      </c>
      <c r="BR106" s="453">
        <v>287552</v>
      </c>
      <c r="BS106" s="453">
        <v>282271</v>
      </c>
      <c r="BT106" s="453">
        <v>260052</v>
      </c>
      <c r="BU106" s="453">
        <v>250234</v>
      </c>
      <c r="BW106" s="75">
        <v>11</v>
      </c>
      <c r="BX106" s="453">
        <v>294885</v>
      </c>
      <c r="BY106" s="453">
        <v>270483</v>
      </c>
      <c r="BZ106" s="453">
        <v>259356</v>
      </c>
      <c r="CA106" s="453">
        <v>246230</v>
      </c>
      <c r="CC106" s="75">
        <v>11</v>
      </c>
      <c r="CD106" s="75">
        <v>295397</v>
      </c>
      <c r="CE106" s="75">
        <v>275752</v>
      </c>
      <c r="CF106" s="75">
        <v>269481</v>
      </c>
      <c r="CG106" s="75">
        <v>260812</v>
      </c>
      <c r="CI106" s="75">
        <v>11</v>
      </c>
      <c r="CJ106" s="75">
        <v>301408</v>
      </c>
      <c r="CK106" s="75">
        <v>280586</v>
      </c>
      <c r="CL106" s="75">
        <v>272278</v>
      </c>
      <c r="CM106" s="75">
        <v>258202</v>
      </c>
      <c r="CN106" s="75" t="s">
        <v>11</v>
      </c>
    </row>
    <row r="107" spans="1:92">
      <c r="A107" s="741" t="s">
        <v>237</v>
      </c>
      <c r="B107" s="796">
        <f>B103</f>
        <v>288432</v>
      </c>
      <c r="C107" s="744">
        <f>C103</f>
        <v>271161</v>
      </c>
      <c r="D107" s="744">
        <f t="shared" ref="D107:Q107" si="180">D103</f>
        <v>295557</v>
      </c>
      <c r="E107" s="744">
        <f t="shared" si="180"/>
        <v>327859</v>
      </c>
      <c r="F107" s="744">
        <f t="shared" si="180"/>
        <v>329307</v>
      </c>
      <c r="G107" s="796">
        <f t="shared" si="180"/>
        <v>356363</v>
      </c>
      <c r="H107" s="744">
        <f t="shared" si="180"/>
        <v>356363</v>
      </c>
      <c r="I107" s="744">
        <f t="shared" si="180"/>
        <v>356363</v>
      </c>
      <c r="J107" s="744">
        <f t="shared" si="180"/>
        <v>356363</v>
      </c>
      <c r="K107" s="744">
        <f t="shared" si="180"/>
        <v>356363</v>
      </c>
      <c r="L107" s="796">
        <f t="shared" si="180"/>
        <v>350663</v>
      </c>
      <c r="M107" s="744">
        <f t="shared" si="180"/>
        <v>318477</v>
      </c>
      <c r="N107" s="744">
        <f t="shared" si="180"/>
        <v>306519</v>
      </c>
      <c r="O107" s="744">
        <f t="shared" si="180"/>
        <v>412495</v>
      </c>
      <c r="P107" s="744">
        <f t="shared" si="180"/>
        <v>409635</v>
      </c>
      <c r="Q107" s="796">
        <f t="shared" si="180"/>
        <v>356363</v>
      </c>
      <c r="R107" s="744">
        <f>R102</f>
        <v>352147</v>
      </c>
      <c r="S107" s="797">
        <f>S102</f>
        <v>347931</v>
      </c>
      <c r="T107" s="797">
        <f>T102</f>
        <v>343714</v>
      </c>
      <c r="U107" s="797">
        <f>U102</f>
        <v>339498</v>
      </c>
      <c r="V107" s="744">
        <f>V102</f>
        <v>335282</v>
      </c>
      <c r="W107" s="73">
        <f t="shared" ref="W107:AF107" si="181">ROUND(V107*AP86,0)</f>
        <v>338476</v>
      </c>
      <c r="X107" s="73">
        <f t="shared" si="181"/>
        <v>334606</v>
      </c>
      <c r="Y107" s="73">
        <f t="shared" si="181"/>
        <v>335377</v>
      </c>
      <c r="Z107" s="797">
        <f t="shared" si="181"/>
        <v>334678</v>
      </c>
      <c r="AA107" s="73">
        <f t="shared" si="181"/>
        <v>332860</v>
      </c>
      <c r="AB107" s="73">
        <f t="shared" si="181"/>
        <v>329810</v>
      </c>
      <c r="AC107" s="73">
        <f t="shared" si="181"/>
        <v>313446</v>
      </c>
      <c r="AD107" s="73">
        <f t="shared" si="181"/>
        <v>320627</v>
      </c>
      <c r="AE107" s="73">
        <f t="shared" si="181"/>
        <v>328665</v>
      </c>
      <c r="AF107" s="73">
        <f t="shared" si="181"/>
        <v>342418</v>
      </c>
      <c r="AG107" s="73">
        <f>ROUND(AF107*BU128,0)</f>
        <v>318520</v>
      </c>
      <c r="AH107" s="1169">
        <f t="shared" si="174"/>
        <v>318520</v>
      </c>
      <c r="AI107" s="1169">
        <f t="shared" si="174"/>
        <v>318520</v>
      </c>
      <c r="AJ107" s="1169">
        <f t="shared" si="174"/>
        <v>318520</v>
      </c>
      <c r="AK107" s="1169">
        <f t="shared" si="174"/>
        <v>318520</v>
      </c>
      <c r="AL107" s="75" t="s">
        <v>1018</v>
      </c>
      <c r="BK107" s="132">
        <v>12</v>
      </c>
      <c r="BL107" s="450">
        <v>345969</v>
      </c>
      <c r="BM107" s="450">
        <v>338378</v>
      </c>
      <c r="BN107" s="450">
        <v>335679</v>
      </c>
      <c r="BO107" s="450">
        <v>291125</v>
      </c>
      <c r="BQ107" s="132">
        <v>12</v>
      </c>
      <c r="BR107" s="450">
        <v>325681</v>
      </c>
      <c r="BS107" s="450">
        <v>324764</v>
      </c>
      <c r="BT107" s="450">
        <v>310034</v>
      </c>
      <c r="BU107" s="450">
        <v>304676</v>
      </c>
      <c r="BW107" s="132">
        <v>12</v>
      </c>
      <c r="BX107" s="450">
        <v>341308</v>
      </c>
      <c r="BY107" s="450">
        <v>312284</v>
      </c>
      <c r="BZ107" s="450">
        <v>315476</v>
      </c>
      <c r="CA107" s="450">
        <v>294383</v>
      </c>
      <c r="CC107" s="132">
        <v>12</v>
      </c>
      <c r="CD107" s="132">
        <v>331649</v>
      </c>
      <c r="CE107" s="132">
        <v>325885</v>
      </c>
      <c r="CF107" s="132">
        <v>315593</v>
      </c>
      <c r="CG107" s="132">
        <v>307816</v>
      </c>
      <c r="CI107" s="132">
        <v>12</v>
      </c>
      <c r="CJ107" s="132">
        <v>340541</v>
      </c>
      <c r="CK107" s="132">
        <v>331887</v>
      </c>
      <c r="CL107" s="132">
        <v>317740</v>
      </c>
      <c r="CM107" s="132">
        <v>321538</v>
      </c>
      <c r="CN107" s="75" t="s">
        <v>11</v>
      </c>
    </row>
    <row r="108" spans="1:92">
      <c r="A108" s="772" t="s">
        <v>211</v>
      </c>
      <c r="B108" s="796"/>
      <c r="C108" s="744"/>
      <c r="D108" s="744"/>
      <c r="E108" s="744"/>
      <c r="F108" s="744"/>
      <c r="G108" s="796"/>
      <c r="H108" s="744"/>
      <c r="I108" s="744"/>
      <c r="J108" s="744"/>
      <c r="K108" s="744"/>
      <c r="L108" s="796"/>
      <c r="M108" s="744"/>
      <c r="N108" s="744"/>
      <c r="O108" s="744"/>
      <c r="P108" s="744"/>
      <c r="Q108" s="796"/>
      <c r="R108" s="744"/>
      <c r="S108" s="797"/>
      <c r="T108" s="797"/>
      <c r="U108" s="797"/>
      <c r="V108" s="744"/>
      <c r="W108" s="73" t="s">
        <v>627</v>
      </c>
      <c r="X108" s="73" t="s">
        <v>627</v>
      </c>
      <c r="Y108" s="73"/>
      <c r="Z108" s="797"/>
      <c r="AA108" s="795">
        <f>消費ﾃﾞｰﾀ!L12</f>
        <v>327526</v>
      </c>
      <c r="AB108" s="1177">
        <f>AA108/AA109</f>
        <v>0.98397524484768373</v>
      </c>
      <c r="AC108" s="73"/>
      <c r="AD108" s="73"/>
      <c r="AE108" s="73"/>
      <c r="AF108" s="73"/>
      <c r="AG108" s="73"/>
      <c r="AH108" s="1169"/>
      <c r="AI108" s="1169"/>
      <c r="AJ108" s="1169"/>
      <c r="AK108" s="1169"/>
      <c r="AL108" s="75" t="s">
        <v>627</v>
      </c>
      <c r="BK108" s="75" t="s">
        <v>85</v>
      </c>
      <c r="BL108" s="1389">
        <f>AVERAGE(BL96:BL107)</f>
        <v>300352.83333333331</v>
      </c>
      <c r="BM108" s="1389">
        <f t="shared" ref="BM108" si="182">AVERAGE(BM96:BM107)</f>
        <v>295517.66666666669</v>
      </c>
      <c r="BN108" s="1389">
        <f t="shared" ref="BN108" si="183">AVERAGE(BN96:BN107)</f>
        <v>286077.08333333331</v>
      </c>
      <c r="BO108" s="1389">
        <f t="shared" ref="BO108" si="184">AVERAGE(BO96:BO107)</f>
        <v>274346.16666666669</v>
      </c>
      <c r="BQ108" s="75" t="s">
        <v>85</v>
      </c>
      <c r="BR108" s="1389">
        <f>AVERAGE(BR96:BR107)</f>
        <v>298308.33333333331</v>
      </c>
      <c r="BS108" s="1389">
        <f t="shared" ref="BS108" si="185">AVERAGE(BS96:BS107)</f>
        <v>289888</v>
      </c>
      <c r="BT108" s="1389">
        <f t="shared" ref="BT108" si="186">AVERAGE(BT96:BT107)</f>
        <v>281681.16666666669</v>
      </c>
      <c r="BU108" s="1389">
        <f t="shared" ref="BU108" si="187">AVERAGE(BU96:BU107)</f>
        <v>271832.41666666669</v>
      </c>
      <c r="BW108" s="75" t="s">
        <v>85</v>
      </c>
      <c r="BX108" s="1389">
        <f>AVERAGE(BX96:BX107)</f>
        <v>299446.91666666669</v>
      </c>
      <c r="BY108" s="1389">
        <f t="shared" ref="BY108" si="188">AVERAGE(BY96:BY107)</f>
        <v>282268.25</v>
      </c>
      <c r="BZ108" s="1389">
        <f t="shared" ref="BZ108" si="189">AVERAGE(BZ96:BZ107)</f>
        <v>277614</v>
      </c>
      <c r="CA108" s="1389">
        <f t="shared" ref="CA108" si="190">AVERAGE(CA96:CA107)</f>
        <v>258345.08333333334</v>
      </c>
      <c r="CC108" s="75" t="s">
        <v>85</v>
      </c>
      <c r="CD108" s="1389">
        <f>AVERAGE(CD96:CD107)</f>
        <v>300867.16666666669</v>
      </c>
      <c r="CE108" s="1389">
        <f t="shared" ref="CE108" si="191">AVERAGE(CE96:CE107)</f>
        <v>286663.25</v>
      </c>
      <c r="CF108" s="1389">
        <f t="shared" ref="CF108" si="192">AVERAGE(CF96:CF107)</f>
        <v>270054.75</v>
      </c>
      <c r="CG108" s="1389">
        <f t="shared" ref="CG108" si="193">AVERAGE(CG96:CG107)</f>
        <v>264263.41666666669</v>
      </c>
      <c r="CI108" s="75" t="s">
        <v>85</v>
      </c>
      <c r="CJ108" s="1389">
        <f>AVERAGE(CJ96:CJ107)</f>
        <v>300288.16666666669</v>
      </c>
      <c r="CK108" s="1389">
        <f t="shared" ref="CK108" si="194">AVERAGE(CK96:CK107)</f>
        <v>288766.25</v>
      </c>
      <c r="CL108" s="1389">
        <f t="shared" ref="CL108" si="195">AVERAGE(CL96:CL107)</f>
        <v>280571.25</v>
      </c>
      <c r="CM108" s="1389">
        <f t="shared" ref="CM108" si="196">AVERAGE(CM96:CM107)</f>
        <v>270888.41666666669</v>
      </c>
    </row>
    <row r="109" spans="1:92">
      <c r="A109" s="741" t="s">
        <v>1144</v>
      </c>
      <c r="B109" s="796">
        <f>B103</f>
        <v>288432</v>
      </c>
      <c r="C109" s="744">
        <f>C103</f>
        <v>271161</v>
      </c>
      <c r="D109" s="744">
        <f t="shared" ref="D109:Q109" si="197">D103</f>
        <v>295557</v>
      </c>
      <c r="E109" s="744">
        <f t="shared" si="197"/>
        <v>327859</v>
      </c>
      <c r="F109" s="744">
        <f t="shared" si="197"/>
        <v>329307</v>
      </c>
      <c r="G109" s="796">
        <f t="shared" si="197"/>
        <v>356363</v>
      </c>
      <c r="H109" s="744">
        <f t="shared" si="197"/>
        <v>356363</v>
      </c>
      <c r="I109" s="744">
        <f t="shared" si="197"/>
        <v>356363</v>
      </c>
      <c r="J109" s="744">
        <f t="shared" si="197"/>
        <v>356363</v>
      </c>
      <c r="K109" s="744">
        <f t="shared" si="197"/>
        <v>356363</v>
      </c>
      <c r="L109" s="796">
        <f t="shared" si="197"/>
        <v>350663</v>
      </c>
      <c r="M109" s="744">
        <f t="shared" si="197"/>
        <v>318477</v>
      </c>
      <c r="N109" s="744">
        <f t="shared" si="197"/>
        <v>306519</v>
      </c>
      <c r="O109" s="744">
        <f t="shared" si="197"/>
        <v>412495</v>
      </c>
      <c r="P109" s="744">
        <f t="shared" si="197"/>
        <v>409635</v>
      </c>
      <c r="Q109" s="796">
        <f t="shared" si="197"/>
        <v>356363</v>
      </c>
      <c r="R109" s="744">
        <f>R102</f>
        <v>352147</v>
      </c>
      <c r="S109" s="797">
        <f>S102</f>
        <v>347931</v>
      </c>
      <c r="T109" s="797">
        <f>T102</f>
        <v>343714</v>
      </c>
      <c r="U109" s="797">
        <f>U102</f>
        <v>339498</v>
      </c>
      <c r="V109" s="744">
        <f>V102</f>
        <v>335282</v>
      </c>
      <c r="W109" s="73">
        <f t="shared" ref="W109:AF109" si="198">ROUND(V109*AP86,0)</f>
        <v>338476</v>
      </c>
      <c r="X109" s="73">
        <f t="shared" si="198"/>
        <v>334606</v>
      </c>
      <c r="Y109" s="73">
        <f t="shared" si="198"/>
        <v>335377</v>
      </c>
      <c r="Z109" s="797">
        <f t="shared" si="198"/>
        <v>334678</v>
      </c>
      <c r="AA109" s="73">
        <f t="shared" si="198"/>
        <v>332860</v>
      </c>
      <c r="AB109" s="73">
        <f t="shared" si="198"/>
        <v>329810</v>
      </c>
      <c r="AC109" s="73">
        <f t="shared" si="198"/>
        <v>313446</v>
      </c>
      <c r="AD109" s="73">
        <f t="shared" si="198"/>
        <v>320627</v>
      </c>
      <c r="AE109" s="73">
        <f t="shared" si="198"/>
        <v>328665</v>
      </c>
      <c r="AF109" s="73">
        <f t="shared" si="198"/>
        <v>342418</v>
      </c>
      <c r="AG109" s="73">
        <f>ROUND(AF109*BU128,0)</f>
        <v>318520</v>
      </c>
      <c r="AH109" s="1169">
        <f t="shared" ref="AH109:AK110" si="199">AG109</f>
        <v>318520</v>
      </c>
      <c r="AI109" s="1169">
        <f t="shared" si="199"/>
        <v>318520</v>
      </c>
      <c r="AJ109" s="1169">
        <f t="shared" si="199"/>
        <v>318520</v>
      </c>
      <c r="AK109" s="1169">
        <f t="shared" si="199"/>
        <v>318520</v>
      </c>
      <c r="AL109" s="75" t="s">
        <v>1018</v>
      </c>
      <c r="BK109" s="75" t="s">
        <v>1005</v>
      </c>
      <c r="BL109" s="479">
        <f>BL108/CJ90</f>
        <v>0.98832839109816339</v>
      </c>
      <c r="BM109" s="479">
        <f>BM108/CK90</f>
        <v>0.99897179101610156</v>
      </c>
      <c r="BN109" s="479">
        <f>BN108/CL90</f>
        <v>1.0292742423665491</v>
      </c>
      <c r="BO109" s="479">
        <f>BO108/CM90</f>
        <v>0.9945681957286322</v>
      </c>
      <c r="BQ109" s="75" t="s">
        <v>1045</v>
      </c>
      <c r="BR109" s="479">
        <f>BR108/BL108</f>
        <v>0.99319300578153358</v>
      </c>
      <c r="BS109" s="479">
        <f>BS108/BM108</f>
        <v>0.98094981349112798</v>
      </c>
      <c r="BT109" s="479">
        <f>BT108/BN108</f>
        <v>0.98463380353488661</v>
      </c>
      <c r="BU109" s="479">
        <f>BU108/BO108</f>
        <v>0.99083730590974783</v>
      </c>
      <c r="BW109" s="75" t="s">
        <v>1070</v>
      </c>
      <c r="BX109" s="479">
        <f>BX108/BR108</f>
        <v>1.0038168002905272</v>
      </c>
      <c r="BY109" s="479">
        <f>BY108/BS108</f>
        <v>0.97371484849321122</v>
      </c>
      <c r="BZ109" s="479">
        <f>BZ108/BT108</f>
        <v>0.98556109833399097</v>
      </c>
      <c r="CA109" s="479">
        <f>CA108/BU108</f>
        <v>0.95038364629678396</v>
      </c>
      <c r="CC109" s="75" t="s">
        <v>1100</v>
      </c>
      <c r="CD109" s="479">
        <f>CD108/BX108</f>
        <v>1.0047429107496237</v>
      </c>
      <c r="CE109" s="479">
        <f>CE108/BY108</f>
        <v>1.0155702952776304</v>
      </c>
      <c r="CF109" s="479">
        <f>CF108/BZ108</f>
        <v>0.9727706455726296</v>
      </c>
      <c r="CG109" s="479">
        <f>CG108/CA108</f>
        <v>1.0229086354459362</v>
      </c>
      <c r="CI109" s="75" t="s">
        <v>1063</v>
      </c>
      <c r="CJ109" s="479">
        <f>CJ108/CD108</f>
        <v>0.99807556269294917</v>
      </c>
      <c r="CK109" s="479">
        <f>CK108/CE108</f>
        <v>1.0073361339481082</v>
      </c>
      <c r="CL109" s="479">
        <f>CL108/CF108</f>
        <v>1.0389421034068091</v>
      </c>
      <c r="CM109" s="479">
        <f>CM108/CG108</f>
        <v>1.0250696826808856</v>
      </c>
    </row>
    <row r="110" spans="1:92">
      <c r="A110" s="741" t="s">
        <v>223</v>
      </c>
      <c r="B110" s="796">
        <f>B103</f>
        <v>288432</v>
      </c>
      <c r="C110" s="744">
        <f>C103</f>
        <v>271161</v>
      </c>
      <c r="D110" s="744">
        <f t="shared" ref="D110:Q110" si="200">D103</f>
        <v>295557</v>
      </c>
      <c r="E110" s="744">
        <f t="shared" si="200"/>
        <v>327859</v>
      </c>
      <c r="F110" s="744">
        <f t="shared" si="200"/>
        <v>329307</v>
      </c>
      <c r="G110" s="796">
        <f t="shared" si="200"/>
        <v>356363</v>
      </c>
      <c r="H110" s="744">
        <f t="shared" si="200"/>
        <v>356363</v>
      </c>
      <c r="I110" s="744">
        <f t="shared" si="200"/>
        <v>356363</v>
      </c>
      <c r="J110" s="744">
        <f t="shared" si="200"/>
        <v>356363</v>
      </c>
      <c r="K110" s="744">
        <f t="shared" si="200"/>
        <v>356363</v>
      </c>
      <c r="L110" s="796">
        <f t="shared" si="200"/>
        <v>350663</v>
      </c>
      <c r="M110" s="744">
        <f t="shared" si="200"/>
        <v>318477</v>
      </c>
      <c r="N110" s="744">
        <f t="shared" si="200"/>
        <v>306519</v>
      </c>
      <c r="O110" s="744">
        <f t="shared" si="200"/>
        <v>412495</v>
      </c>
      <c r="P110" s="744">
        <f t="shared" si="200"/>
        <v>409635</v>
      </c>
      <c r="Q110" s="796">
        <f t="shared" si="200"/>
        <v>356363</v>
      </c>
      <c r="R110" s="744">
        <f>R102</f>
        <v>352147</v>
      </c>
      <c r="S110" s="797">
        <f>S102</f>
        <v>347931</v>
      </c>
      <c r="T110" s="797">
        <f>T102</f>
        <v>343714</v>
      </c>
      <c r="U110" s="797">
        <f>U102</f>
        <v>339498</v>
      </c>
      <c r="V110" s="744">
        <f>V102</f>
        <v>335282</v>
      </c>
      <c r="W110" s="1388">
        <f t="shared" ref="W110:AF110" si="201">ROUND(V110*AP85,0)</f>
        <v>324561</v>
      </c>
      <c r="X110" s="1388">
        <f t="shared" si="201"/>
        <v>325696</v>
      </c>
      <c r="Y110" s="1388">
        <f t="shared" si="201"/>
        <v>332966</v>
      </c>
      <c r="Z110" s="1388">
        <f t="shared" si="201"/>
        <v>325430</v>
      </c>
      <c r="AA110" s="1388">
        <f t="shared" si="201"/>
        <v>334957</v>
      </c>
      <c r="AB110" s="1388">
        <f t="shared" si="201"/>
        <v>329810</v>
      </c>
      <c r="AC110" s="1388">
        <f t="shared" si="201"/>
        <v>325048</v>
      </c>
      <c r="AD110" s="1388">
        <f t="shared" si="201"/>
        <v>316197</v>
      </c>
      <c r="AE110" s="1388">
        <f t="shared" si="201"/>
        <v>328510</v>
      </c>
      <c r="AF110" s="1388">
        <f t="shared" si="201"/>
        <v>340064</v>
      </c>
      <c r="AG110" s="73">
        <f>ROUND(AF110*BT128,0)</f>
        <v>314953</v>
      </c>
      <c r="AH110" s="1169">
        <f t="shared" si="199"/>
        <v>314953</v>
      </c>
      <c r="AI110" s="1169">
        <f t="shared" si="199"/>
        <v>314953</v>
      </c>
      <c r="AJ110" s="1169">
        <f t="shared" si="199"/>
        <v>314953</v>
      </c>
      <c r="AK110" s="1169">
        <f t="shared" si="199"/>
        <v>314953</v>
      </c>
      <c r="AL110" s="75" t="s">
        <v>1017</v>
      </c>
      <c r="BL110" s="75">
        <f>AVERAGE(BL96:BL105)</f>
        <v>297294.8</v>
      </c>
      <c r="BM110" s="75">
        <f>AVERAGE(BM96:BM105)</f>
        <v>292768.40000000002</v>
      </c>
      <c r="BN110" s="75">
        <f>AVERAGE(BN96:BN105)</f>
        <v>281537.59999999998</v>
      </c>
      <c r="BO110" s="75">
        <f>AVERAGE(BO96:BO105)</f>
        <v>273189.5</v>
      </c>
      <c r="BR110" s="75">
        <f>AVERAGE(BR96:BR105)</f>
        <v>296646.7</v>
      </c>
      <c r="BS110" s="75">
        <f>AVERAGE(BS96:BS105)</f>
        <v>287162.09999999998</v>
      </c>
      <c r="BT110" s="75">
        <f>AVERAGE(BT96:BT105)</f>
        <v>281008.8</v>
      </c>
      <c r="BU110" s="75">
        <f>AVERAGE(BU96:BU105)</f>
        <v>270707.90000000002</v>
      </c>
      <c r="BX110" s="75">
        <f>AVERAGE(BX96:BX105)</f>
        <v>295717</v>
      </c>
      <c r="BY110" s="75">
        <f>AVERAGE(BY96:BY105)</f>
        <v>280445.2</v>
      </c>
      <c r="BZ110" s="75">
        <f>AVERAGE(BZ96:BZ105)</f>
        <v>275653.59999999998</v>
      </c>
      <c r="CA110" s="75">
        <f>AVERAGE(CA96:CA105)</f>
        <v>255952.8</v>
      </c>
      <c r="CD110" s="75">
        <f>AVERAGE(CD96:CD105)</f>
        <v>298336</v>
      </c>
      <c r="CE110" s="75">
        <f>AVERAGE(CE96:CE105)</f>
        <v>283832.2</v>
      </c>
      <c r="CF110" s="75">
        <f>AVERAGE(CF96:CF105)</f>
        <v>265558.3</v>
      </c>
      <c r="CG110" s="75">
        <f>AVERAGE(CG96:CG105)</f>
        <v>260253.3</v>
      </c>
      <c r="CJ110" s="75">
        <f>AVERAGE(CJ96:CJ105)</f>
        <v>296150.90000000002</v>
      </c>
      <c r="CK110" s="75">
        <f>AVERAGE(CK96:CK105)</f>
        <v>285272.2</v>
      </c>
      <c r="CL110" s="75">
        <f>AVERAGE(CL96:CL105)</f>
        <v>277683.7</v>
      </c>
      <c r="CM110" s="75">
        <f>AVERAGE(CM96:CM105)</f>
        <v>267092.09999999998</v>
      </c>
    </row>
    <row r="111" spans="1:92">
      <c r="A111" s="774" t="s">
        <v>212</v>
      </c>
      <c r="B111" s="762"/>
      <c r="C111" s="744"/>
      <c r="D111" s="744"/>
      <c r="E111" s="744"/>
      <c r="F111" s="744"/>
      <c r="G111" s="796"/>
      <c r="H111" s="744"/>
      <c r="I111" s="744"/>
      <c r="J111" s="744"/>
      <c r="K111" s="744"/>
      <c r="L111" s="796"/>
      <c r="M111" s="744"/>
      <c r="N111" s="744"/>
      <c r="O111" s="744"/>
      <c r="P111" s="744"/>
      <c r="Q111" s="795">
        <f>消費ﾃﾞｰﾀ!E9</f>
        <v>292018</v>
      </c>
      <c r="R111" s="796">
        <f>ROUND(Q111+(V111-Q111)/5,0)</f>
        <v>291407</v>
      </c>
      <c r="S111" s="797">
        <f>ROUND(Q111+(V111-Q111)/5*2,0)</f>
        <v>290795</v>
      </c>
      <c r="T111" s="797">
        <f>ROUND(Q111+(V111-Q111)/5*3,0)</f>
        <v>290184</v>
      </c>
      <c r="U111" s="73">
        <f>ROUND(Q111+(V111-Q111)/5*4,0)</f>
        <v>289572</v>
      </c>
      <c r="V111" s="1179">
        <f>消費ﾃﾞｰﾀ!F9</f>
        <v>288961</v>
      </c>
      <c r="W111" s="73" t="s">
        <v>627</v>
      </c>
      <c r="X111" s="73" t="s">
        <v>627</v>
      </c>
      <c r="Y111" s="73"/>
      <c r="Z111" s="797"/>
      <c r="AA111" s="795">
        <f>消費ﾃﾞｰﾀ!L5</f>
        <v>262611</v>
      </c>
      <c r="AB111" s="1177">
        <f>AA111/AA112</f>
        <v>0.91541960784313725</v>
      </c>
      <c r="AC111" s="73"/>
      <c r="AD111" s="73"/>
      <c r="AE111" s="73"/>
      <c r="AF111" s="73"/>
      <c r="AG111" s="73"/>
      <c r="AH111" s="1169"/>
      <c r="AI111" s="1169"/>
      <c r="AJ111" s="1169"/>
      <c r="AK111" s="1169"/>
      <c r="AL111" s="75" t="s">
        <v>627</v>
      </c>
    </row>
    <row r="112" spans="1:92" ht="15" customHeight="1">
      <c r="A112" s="801" t="s">
        <v>241</v>
      </c>
      <c r="B112" s="743">
        <f>消費ﾃﾞｰﾀ!B9</f>
        <v>311895</v>
      </c>
      <c r="C112" s="795">
        <f>ROUND($B$112*C60,0)</f>
        <v>293219</v>
      </c>
      <c r="D112" s="795">
        <f>ROUND($B$112*D60,0)</f>
        <v>319599</v>
      </c>
      <c r="E112" s="795">
        <f>ROUND($G$112*E60,0)</f>
        <v>268661</v>
      </c>
      <c r="F112" s="795">
        <f>ROUND($G$112*F60,0)</f>
        <v>269847</v>
      </c>
      <c r="G112" s="795">
        <v>292018</v>
      </c>
      <c r="H112" s="795">
        <v>292018</v>
      </c>
      <c r="I112" s="795">
        <v>292018</v>
      </c>
      <c r="J112" s="795">
        <v>292018</v>
      </c>
      <c r="K112" s="795">
        <v>292018</v>
      </c>
      <c r="L112" s="795">
        <f>消費ﾃﾞｰﾀ!D9</f>
        <v>339966</v>
      </c>
      <c r="M112" s="795">
        <f>ROUND($L$112*M60,0)</f>
        <v>308762</v>
      </c>
      <c r="N112" s="795">
        <f>ROUND($L$112*N60,0)</f>
        <v>297169</v>
      </c>
      <c r="O112" s="795">
        <f>ROUND($Q$112*O60,0)</f>
        <v>338015</v>
      </c>
      <c r="P112" s="795">
        <f>ROUND($Q$112*P60,0)</f>
        <v>335671</v>
      </c>
      <c r="Q112" s="795">
        <f>消費ﾃﾞｰﾀ!E9</f>
        <v>292018</v>
      </c>
      <c r="R112" s="66">
        <f>R111</f>
        <v>291407</v>
      </c>
      <c r="S112" s="797">
        <f>S111</f>
        <v>290795</v>
      </c>
      <c r="T112" s="797">
        <f>T111</f>
        <v>290184</v>
      </c>
      <c r="U112" s="797">
        <f>U111</f>
        <v>289572</v>
      </c>
      <c r="V112" s="66">
        <f>V111</f>
        <v>288961</v>
      </c>
      <c r="W112" s="73">
        <f t="shared" ref="W112:AF112" si="202">ROUND(V112*AP86,0)</f>
        <v>291714</v>
      </c>
      <c r="X112" s="73">
        <f t="shared" si="202"/>
        <v>288379</v>
      </c>
      <c r="Y112" s="73">
        <f t="shared" si="202"/>
        <v>289044</v>
      </c>
      <c r="Z112" s="797">
        <f t="shared" si="202"/>
        <v>288442</v>
      </c>
      <c r="AA112" s="73">
        <f t="shared" si="202"/>
        <v>286875</v>
      </c>
      <c r="AB112" s="73">
        <f t="shared" si="202"/>
        <v>284246</v>
      </c>
      <c r="AC112" s="73">
        <f t="shared" si="202"/>
        <v>270143</v>
      </c>
      <c r="AD112" s="73">
        <f t="shared" si="202"/>
        <v>276332</v>
      </c>
      <c r="AE112" s="73">
        <f t="shared" si="202"/>
        <v>283260</v>
      </c>
      <c r="AF112" s="73">
        <f t="shared" si="202"/>
        <v>295113</v>
      </c>
      <c r="AG112" s="73">
        <f>ROUND(AF112*BU128,0)</f>
        <v>274516</v>
      </c>
      <c r="AH112" s="1169">
        <f t="shared" ref="AH112:AK114" si="203">AG112</f>
        <v>274516</v>
      </c>
      <c r="AI112" s="1169">
        <f t="shared" si="203"/>
        <v>274516</v>
      </c>
      <c r="AJ112" s="1169">
        <f t="shared" si="203"/>
        <v>274516</v>
      </c>
      <c r="AK112" s="1169">
        <f t="shared" si="203"/>
        <v>274516</v>
      </c>
      <c r="AL112" s="75" t="s">
        <v>1018</v>
      </c>
      <c r="BK112" s="128" t="s">
        <v>1171</v>
      </c>
      <c r="BL112" s="130"/>
      <c r="BM112" s="130"/>
      <c r="BN112" s="130"/>
      <c r="BO112" s="130" t="s">
        <v>95</v>
      </c>
      <c r="BQ112" s="128" t="s">
        <v>1546</v>
      </c>
      <c r="BR112" s="130"/>
      <c r="BS112" s="130"/>
      <c r="BT112" s="130"/>
      <c r="BU112" s="130" t="s">
        <v>95</v>
      </c>
      <c r="BW112" s="128" t="s">
        <v>1547</v>
      </c>
      <c r="BX112" s="130"/>
      <c r="BY112" s="130"/>
      <c r="BZ112" s="130"/>
      <c r="CA112" s="130" t="s">
        <v>95</v>
      </c>
      <c r="CC112" s="128" t="s">
        <v>1570</v>
      </c>
      <c r="CD112" s="130"/>
      <c r="CE112" s="130"/>
      <c r="CF112" s="130"/>
      <c r="CG112" s="130" t="s">
        <v>95</v>
      </c>
    </row>
    <row r="113" spans="1:85">
      <c r="A113" s="741" t="s">
        <v>224</v>
      </c>
      <c r="B113" s="796">
        <f>B112</f>
        <v>311895</v>
      </c>
      <c r="C113" s="744">
        <f>C112</f>
        <v>293219</v>
      </c>
      <c r="D113" s="744">
        <f t="shared" ref="D113:Q113" si="204">D112</f>
        <v>319599</v>
      </c>
      <c r="E113" s="744">
        <f t="shared" si="204"/>
        <v>268661</v>
      </c>
      <c r="F113" s="744">
        <f t="shared" si="204"/>
        <v>269847</v>
      </c>
      <c r="G113" s="796">
        <f t="shared" si="204"/>
        <v>292018</v>
      </c>
      <c r="H113" s="744">
        <f t="shared" si="204"/>
        <v>292018</v>
      </c>
      <c r="I113" s="744">
        <f t="shared" si="204"/>
        <v>292018</v>
      </c>
      <c r="J113" s="744">
        <f t="shared" si="204"/>
        <v>292018</v>
      </c>
      <c r="K113" s="744">
        <f t="shared" si="204"/>
        <v>292018</v>
      </c>
      <c r="L113" s="796">
        <f t="shared" si="204"/>
        <v>339966</v>
      </c>
      <c r="M113" s="744">
        <f t="shared" si="204"/>
        <v>308762</v>
      </c>
      <c r="N113" s="744">
        <f t="shared" si="204"/>
        <v>297169</v>
      </c>
      <c r="O113" s="744">
        <f t="shared" si="204"/>
        <v>338015</v>
      </c>
      <c r="P113" s="744">
        <f t="shared" si="204"/>
        <v>335671</v>
      </c>
      <c r="Q113" s="796">
        <f t="shared" si="204"/>
        <v>292018</v>
      </c>
      <c r="R113" s="744">
        <f>R111</f>
        <v>291407</v>
      </c>
      <c r="S113" s="797">
        <f>S111</f>
        <v>290795</v>
      </c>
      <c r="T113" s="797">
        <f>T111</f>
        <v>290184</v>
      </c>
      <c r="U113" s="797">
        <f>U111</f>
        <v>289572</v>
      </c>
      <c r="V113" s="744">
        <f>V111</f>
        <v>288961</v>
      </c>
      <c r="W113" s="73">
        <f t="shared" ref="W113:AF113" si="205">ROUND(V113*AP86,0)</f>
        <v>291714</v>
      </c>
      <c r="X113" s="73">
        <f t="shared" si="205"/>
        <v>288379</v>
      </c>
      <c r="Y113" s="73">
        <f t="shared" si="205"/>
        <v>289044</v>
      </c>
      <c r="Z113" s="797">
        <f t="shared" si="205"/>
        <v>288442</v>
      </c>
      <c r="AA113" s="73">
        <f t="shared" si="205"/>
        <v>286875</v>
      </c>
      <c r="AB113" s="73">
        <f t="shared" si="205"/>
        <v>284246</v>
      </c>
      <c r="AC113" s="73">
        <f t="shared" si="205"/>
        <v>270143</v>
      </c>
      <c r="AD113" s="73">
        <f t="shared" si="205"/>
        <v>276332</v>
      </c>
      <c r="AE113" s="73">
        <f t="shared" si="205"/>
        <v>283260</v>
      </c>
      <c r="AF113" s="73">
        <f t="shared" si="205"/>
        <v>295113</v>
      </c>
      <c r="AG113" s="73">
        <f>ROUND(AF113*BU128,0)</f>
        <v>274516</v>
      </c>
      <c r="AH113" s="1169">
        <f t="shared" si="203"/>
        <v>274516</v>
      </c>
      <c r="AI113" s="1169">
        <f t="shared" si="203"/>
        <v>274516</v>
      </c>
      <c r="AJ113" s="1169">
        <f t="shared" si="203"/>
        <v>274516</v>
      </c>
      <c r="AK113" s="1169">
        <f t="shared" si="203"/>
        <v>274516</v>
      </c>
      <c r="AL113" s="75" t="s">
        <v>1018</v>
      </c>
      <c r="BL113" s="1181" t="s">
        <v>88</v>
      </c>
      <c r="BM113" s="1181" t="s">
        <v>89</v>
      </c>
      <c r="BN113" s="1181" t="s">
        <v>90</v>
      </c>
      <c r="BO113" s="1181" t="s">
        <v>91</v>
      </c>
      <c r="BR113" s="1181" t="s">
        <v>88</v>
      </c>
      <c r="BS113" s="1181" t="s">
        <v>89</v>
      </c>
      <c r="BT113" s="1181" t="s">
        <v>90</v>
      </c>
      <c r="BU113" s="1181" t="s">
        <v>91</v>
      </c>
      <c r="BX113" s="1181" t="s">
        <v>88</v>
      </c>
      <c r="BY113" s="1181" t="s">
        <v>89</v>
      </c>
      <c r="BZ113" s="1181" t="s">
        <v>90</v>
      </c>
      <c r="CA113" s="1181" t="s">
        <v>91</v>
      </c>
      <c r="CD113" s="1181" t="s">
        <v>88</v>
      </c>
      <c r="CE113" s="1181" t="s">
        <v>89</v>
      </c>
      <c r="CF113" s="1181" t="s">
        <v>90</v>
      </c>
      <c r="CG113" s="1181" t="s">
        <v>91</v>
      </c>
    </row>
    <row r="114" spans="1:85">
      <c r="A114" s="776" t="s">
        <v>225</v>
      </c>
      <c r="B114" s="778">
        <f>B112</f>
        <v>311895</v>
      </c>
      <c r="C114" s="779">
        <f>C112</f>
        <v>293219</v>
      </c>
      <c r="D114" s="779">
        <f t="shared" ref="D114:Q114" si="206">D112</f>
        <v>319599</v>
      </c>
      <c r="E114" s="779">
        <f t="shared" si="206"/>
        <v>268661</v>
      </c>
      <c r="F114" s="779">
        <f t="shared" si="206"/>
        <v>269847</v>
      </c>
      <c r="G114" s="778">
        <f t="shared" si="206"/>
        <v>292018</v>
      </c>
      <c r="H114" s="779">
        <f t="shared" si="206"/>
        <v>292018</v>
      </c>
      <c r="I114" s="779">
        <f t="shared" si="206"/>
        <v>292018</v>
      </c>
      <c r="J114" s="779">
        <f t="shared" si="206"/>
        <v>292018</v>
      </c>
      <c r="K114" s="779">
        <f t="shared" si="206"/>
        <v>292018</v>
      </c>
      <c r="L114" s="778">
        <f t="shared" si="206"/>
        <v>339966</v>
      </c>
      <c r="M114" s="779">
        <f t="shared" si="206"/>
        <v>308762</v>
      </c>
      <c r="N114" s="779">
        <f t="shared" si="206"/>
        <v>297169</v>
      </c>
      <c r="O114" s="779">
        <f t="shared" si="206"/>
        <v>338015</v>
      </c>
      <c r="P114" s="779">
        <f t="shared" si="206"/>
        <v>335671</v>
      </c>
      <c r="Q114" s="778">
        <f t="shared" si="206"/>
        <v>292018</v>
      </c>
      <c r="R114" s="779">
        <f>R111</f>
        <v>291407</v>
      </c>
      <c r="S114" s="731">
        <f>S111</f>
        <v>290795</v>
      </c>
      <c r="T114" s="731">
        <f>T111</f>
        <v>290184</v>
      </c>
      <c r="U114" s="731">
        <f>U111</f>
        <v>289572</v>
      </c>
      <c r="V114" s="779">
        <f>V111</f>
        <v>288961</v>
      </c>
      <c r="W114" s="258">
        <f t="shared" ref="W114:AF114" si="207">ROUND(V114*AP86,0)</f>
        <v>291714</v>
      </c>
      <c r="X114" s="258">
        <f t="shared" si="207"/>
        <v>288379</v>
      </c>
      <c r="Y114" s="258">
        <f t="shared" si="207"/>
        <v>289044</v>
      </c>
      <c r="Z114" s="731">
        <f t="shared" si="207"/>
        <v>288442</v>
      </c>
      <c r="AA114" s="258">
        <f t="shared" si="207"/>
        <v>286875</v>
      </c>
      <c r="AB114" s="258">
        <f t="shared" si="207"/>
        <v>284246</v>
      </c>
      <c r="AC114" s="258">
        <f t="shared" si="207"/>
        <v>270143</v>
      </c>
      <c r="AD114" s="258">
        <f t="shared" si="207"/>
        <v>276332</v>
      </c>
      <c r="AE114" s="258">
        <f t="shared" si="207"/>
        <v>283260</v>
      </c>
      <c r="AF114" s="258">
        <f t="shared" si="207"/>
        <v>295113</v>
      </c>
      <c r="AG114" s="258">
        <f>ROUND(AF114*BU128,0)</f>
        <v>274516</v>
      </c>
      <c r="AH114" s="1168">
        <f t="shared" si="203"/>
        <v>274516</v>
      </c>
      <c r="AI114" s="1168">
        <f t="shared" si="203"/>
        <v>274516</v>
      </c>
      <c r="AJ114" s="1168">
        <f t="shared" si="203"/>
        <v>274516</v>
      </c>
      <c r="AK114" s="1168">
        <f t="shared" si="203"/>
        <v>274516</v>
      </c>
      <c r="AL114" s="75" t="s">
        <v>1018</v>
      </c>
      <c r="BK114" s="132"/>
      <c r="BL114" s="1182"/>
      <c r="BM114" s="1182"/>
      <c r="BN114" s="1182"/>
      <c r="BO114" s="1182" t="s">
        <v>92</v>
      </c>
      <c r="BQ114" s="132"/>
      <c r="BR114" s="1182"/>
      <c r="BS114" s="1182"/>
      <c r="BT114" s="1182"/>
      <c r="BU114" s="1182" t="s">
        <v>92</v>
      </c>
      <c r="BW114" s="132"/>
      <c r="BX114" s="1182"/>
      <c r="BY114" s="1182"/>
      <c r="BZ114" s="1182"/>
      <c r="CA114" s="1182" t="s">
        <v>92</v>
      </c>
      <c r="CC114" s="132"/>
      <c r="CD114" s="1182"/>
      <c r="CE114" s="1182"/>
      <c r="CF114" s="1182"/>
      <c r="CG114" s="1182" t="s">
        <v>92</v>
      </c>
    </row>
    <row r="115" spans="1:8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t="s">
        <v>627</v>
      </c>
      <c r="AB115" s="73"/>
      <c r="AC115" s="73"/>
      <c r="AD115" s="73"/>
      <c r="AE115" s="73"/>
      <c r="AF115" s="73"/>
      <c r="AG115" s="73"/>
      <c r="AH115" s="73"/>
      <c r="AI115" s="73"/>
      <c r="BK115" s="75">
        <v>1</v>
      </c>
      <c r="BL115" s="76">
        <v>305856</v>
      </c>
      <c r="BM115" s="76">
        <v>299655</v>
      </c>
      <c r="BN115" s="76">
        <v>289318</v>
      </c>
      <c r="BO115" s="76">
        <v>282966</v>
      </c>
      <c r="BQ115" s="75">
        <v>1</v>
      </c>
      <c r="BR115" s="76">
        <v>290171</v>
      </c>
      <c r="BS115" s="76">
        <v>291092</v>
      </c>
      <c r="BT115" s="76">
        <v>283843</v>
      </c>
      <c r="BU115" s="76">
        <v>278958</v>
      </c>
      <c r="BW115" s="75">
        <v>1</v>
      </c>
      <c r="BX115" s="76">
        <v>278815</v>
      </c>
      <c r="BY115" s="76">
        <v>275111</v>
      </c>
      <c r="BZ115" s="76">
        <v>257002</v>
      </c>
      <c r="CA115" s="76">
        <v>249924</v>
      </c>
      <c r="CC115" s="75">
        <v>1</v>
      </c>
      <c r="CD115" s="76">
        <v>296423</v>
      </c>
      <c r="CE115" s="76">
        <v>286569</v>
      </c>
      <c r="CF115" s="76">
        <v>282653</v>
      </c>
      <c r="CG115" s="76">
        <v>282579</v>
      </c>
    </row>
    <row r="116" spans="1:8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BK116" s="75">
        <v>2</v>
      </c>
      <c r="BL116" s="76">
        <v>280092</v>
      </c>
      <c r="BM116" s="76">
        <v>275680</v>
      </c>
      <c r="BN116" s="76">
        <v>263863</v>
      </c>
      <c r="BO116" s="76">
        <v>257659</v>
      </c>
      <c r="BQ116" s="75">
        <v>2</v>
      </c>
      <c r="BR116" s="76">
        <v>278032</v>
      </c>
      <c r="BS116" s="76">
        <v>275429</v>
      </c>
      <c r="BT116" s="76">
        <v>265919</v>
      </c>
      <c r="BU116" s="76">
        <v>261863</v>
      </c>
      <c r="BW116" s="75">
        <v>2</v>
      </c>
      <c r="BX116" s="76">
        <v>271648</v>
      </c>
      <c r="BY116" s="76">
        <v>252468</v>
      </c>
      <c r="BZ116" s="76">
        <v>245676</v>
      </c>
      <c r="CA116" s="76">
        <v>228047</v>
      </c>
      <c r="CC116" s="75">
        <v>2</v>
      </c>
      <c r="CD116" s="76">
        <v>260694</v>
      </c>
      <c r="CE116" s="76">
        <v>257545</v>
      </c>
      <c r="CF116" s="76">
        <v>254202</v>
      </c>
      <c r="CG116" s="76">
        <v>259272</v>
      </c>
    </row>
    <row r="117" spans="1:85">
      <c r="A117" s="72" t="s">
        <v>674</v>
      </c>
      <c r="B117" s="72"/>
      <c r="C117" s="73"/>
      <c r="D117" s="73"/>
      <c r="E117" s="73"/>
      <c r="F117" s="73"/>
      <c r="G117" s="73"/>
      <c r="H117" s="72"/>
      <c r="I117" s="72"/>
      <c r="J117" s="72"/>
      <c r="K117" s="72"/>
      <c r="L117" s="73"/>
      <c r="M117" s="744" t="s">
        <v>11</v>
      </c>
      <c r="N117" s="744" t="s">
        <v>11</v>
      </c>
      <c r="O117" s="744" t="s">
        <v>11</v>
      </c>
      <c r="P117" s="744" t="s">
        <v>11</v>
      </c>
      <c r="Q117" s="73" t="s">
        <v>11</v>
      </c>
      <c r="R117" s="73"/>
      <c r="S117" s="73" t="s">
        <v>11</v>
      </c>
      <c r="T117" s="73"/>
      <c r="U117" s="73"/>
      <c r="V117" s="73"/>
      <c r="W117" s="73"/>
      <c r="X117" s="73"/>
      <c r="Y117" s="73"/>
      <c r="Z117" s="73"/>
      <c r="AA117" s="73"/>
      <c r="AB117" s="73"/>
      <c r="AC117" s="73"/>
      <c r="AD117" s="73"/>
      <c r="AE117" s="73"/>
      <c r="AF117" s="73"/>
      <c r="AG117" s="73"/>
      <c r="AH117" s="73"/>
      <c r="AI117" s="73"/>
      <c r="AJ117" s="75" t="s">
        <v>14</v>
      </c>
      <c r="BK117" s="75">
        <v>3</v>
      </c>
      <c r="BL117" s="76">
        <v>313757</v>
      </c>
      <c r="BM117" s="76">
        <v>320418</v>
      </c>
      <c r="BN117" s="76">
        <v>308817</v>
      </c>
      <c r="BO117" s="76">
        <v>278814</v>
      </c>
      <c r="BQ117" s="75">
        <v>3</v>
      </c>
      <c r="BR117" s="76">
        <v>299375</v>
      </c>
      <c r="BS117" s="76">
        <v>286427</v>
      </c>
      <c r="BT117" s="76">
        <v>290863</v>
      </c>
      <c r="BU117" s="76">
        <v>292959</v>
      </c>
      <c r="BW117" s="75">
        <v>3</v>
      </c>
      <c r="BX117" s="76">
        <v>319666</v>
      </c>
      <c r="BY117" s="76">
        <v>318340</v>
      </c>
      <c r="BZ117" s="76">
        <v>294867</v>
      </c>
      <c r="CA117" s="76">
        <v>298274</v>
      </c>
      <c r="CC117" s="75">
        <v>3</v>
      </c>
      <c r="CD117" s="76">
        <v>314185</v>
      </c>
      <c r="CE117" s="76">
        <v>310059</v>
      </c>
      <c r="CF117" s="76">
        <v>314329</v>
      </c>
      <c r="CG117" s="76">
        <v>277806</v>
      </c>
    </row>
    <row r="118" spans="1:85">
      <c r="A118" s="745"/>
      <c r="B118" s="746"/>
      <c r="C118" s="747" t="s">
        <v>622</v>
      </c>
      <c r="D118" s="748" t="s">
        <v>623</v>
      </c>
      <c r="E118" s="748" t="s">
        <v>624</v>
      </c>
      <c r="F118" s="748" t="s">
        <v>625</v>
      </c>
      <c r="G118" s="748" t="s">
        <v>626</v>
      </c>
      <c r="H118" s="749" t="s">
        <v>610</v>
      </c>
      <c r="I118" s="750" t="s">
        <v>611</v>
      </c>
      <c r="J118" s="748" t="s">
        <v>612</v>
      </c>
      <c r="K118" s="748" t="s">
        <v>613</v>
      </c>
      <c r="L118" s="748" t="s">
        <v>614</v>
      </c>
      <c r="M118" s="747" t="s">
        <v>615</v>
      </c>
      <c r="N118" s="748" t="s">
        <v>616</v>
      </c>
      <c r="O118" s="748" t="s">
        <v>617</v>
      </c>
      <c r="P118" s="748" t="s">
        <v>618</v>
      </c>
      <c r="Q118" s="748" t="s">
        <v>619</v>
      </c>
      <c r="R118" s="747" t="s">
        <v>460</v>
      </c>
      <c r="S118" s="748" t="s">
        <v>459</v>
      </c>
      <c r="T118" s="748" t="s">
        <v>456</v>
      </c>
      <c r="U118" s="748" t="s">
        <v>750</v>
      </c>
      <c r="V118" s="748" t="s">
        <v>856</v>
      </c>
      <c r="W118" s="748" t="s">
        <v>911</v>
      </c>
      <c r="X118" s="748" t="s">
        <v>96</v>
      </c>
      <c r="Y118" s="748" t="s">
        <v>118</v>
      </c>
      <c r="Z118" s="748" t="s">
        <v>119</v>
      </c>
      <c r="AA118" s="748" t="s">
        <v>67</v>
      </c>
      <c r="AB118" s="1166" t="s">
        <v>157</v>
      </c>
      <c r="AC118" s="1166" t="s">
        <v>1000</v>
      </c>
      <c r="AD118" s="1166" t="s">
        <v>1036</v>
      </c>
      <c r="AE118" s="1166" t="s">
        <v>1062</v>
      </c>
      <c r="AF118" s="1166" t="s">
        <v>1086</v>
      </c>
      <c r="AG118" s="1166" t="s">
        <v>1129</v>
      </c>
      <c r="AH118" s="1166" t="s">
        <v>1160</v>
      </c>
      <c r="AI118" s="1166" t="s">
        <v>1200</v>
      </c>
      <c r="AJ118" s="130" t="s">
        <v>1234</v>
      </c>
      <c r="BK118" s="75">
        <v>4</v>
      </c>
      <c r="BL118" s="76">
        <v>302026</v>
      </c>
      <c r="BM118" s="76">
        <v>301746</v>
      </c>
      <c r="BN118" s="76">
        <v>304817</v>
      </c>
      <c r="BO118" s="76">
        <v>292366</v>
      </c>
      <c r="BQ118" s="75">
        <v>4</v>
      </c>
      <c r="BR118" s="76">
        <v>280232</v>
      </c>
      <c r="BS118" s="76">
        <v>262241</v>
      </c>
      <c r="BT118" s="76">
        <v>261191</v>
      </c>
      <c r="BU118" s="76">
        <v>267629</v>
      </c>
      <c r="BW118" s="75">
        <v>4</v>
      </c>
      <c r="BX118" s="76">
        <v>323129</v>
      </c>
      <c r="BY118" s="76">
        <v>310698</v>
      </c>
      <c r="BZ118" s="76">
        <v>292816</v>
      </c>
      <c r="CA118" s="76">
        <v>254718</v>
      </c>
      <c r="CC118" s="75">
        <v>4</v>
      </c>
      <c r="CD118" s="76">
        <v>314799</v>
      </c>
      <c r="CE118" s="76">
        <v>313988</v>
      </c>
      <c r="CF118" s="76">
        <v>299804</v>
      </c>
      <c r="CG118" s="76">
        <v>274092</v>
      </c>
    </row>
    <row r="119" spans="1:85">
      <c r="A119" s="751"/>
      <c r="B119" s="752"/>
      <c r="C119" s="753" t="s">
        <v>11</v>
      </c>
      <c r="D119" s="751"/>
      <c r="E119" s="751"/>
      <c r="F119" s="751"/>
      <c r="G119" s="751"/>
      <c r="H119" s="754"/>
      <c r="I119" s="258"/>
      <c r="J119" s="258"/>
      <c r="K119" s="258"/>
      <c r="L119" s="258"/>
      <c r="M119" s="754"/>
      <c r="N119" s="258"/>
      <c r="O119" s="258"/>
      <c r="P119" s="258"/>
      <c r="Q119" s="258"/>
      <c r="R119" s="754"/>
      <c r="S119" s="258"/>
      <c r="T119" s="258"/>
      <c r="U119" s="258"/>
      <c r="V119" s="258"/>
      <c r="W119" s="258"/>
      <c r="X119" s="258"/>
      <c r="Y119" s="258"/>
      <c r="Z119" s="258"/>
      <c r="AA119" s="258"/>
      <c r="AB119" s="258" t="s">
        <v>627</v>
      </c>
      <c r="AC119" s="258"/>
      <c r="AD119" s="258"/>
      <c r="AE119" s="258"/>
      <c r="AF119" s="258"/>
      <c r="AG119" s="258"/>
      <c r="AH119" s="258"/>
      <c r="AI119" s="258"/>
      <c r="AJ119" s="132"/>
      <c r="BK119" s="75">
        <v>5</v>
      </c>
      <c r="BL119" s="76">
        <v>314726</v>
      </c>
      <c r="BM119" s="76">
        <v>296765</v>
      </c>
      <c r="BN119" s="76">
        <v>302110</v>
      </c>
      <c r="BO119" s="76">
        <v>281911</v>
      </c>
      <c r="BQ119" s="75">
        <v>5</v>
      </c>
      <c r="BR119" s="76">
        <v>261752</v>
      </c>
      <c r="BS119" s="76">
        <v>245095</v>
      </c>
      <c r="BT119" s="76">
        <v>247232</v>
      </c>
      <c r="BU119" s="76">
        <v>255844</v>
      </c>
      <c r="BW119" s="75">
        <v>5</v>
      </c>
      <c r="BX119" s="76">
        <v>288831</v>
      </c>
      <c r="BY119" s="76">
        <v>299082</v>
      </c>
      <c r="BZ119" s="76">
        <v>268969</v>
      </c>
      <c r="CA119" s="76">
        <v>249648</v>
      </c>
      <c r="CC119" s="75">
        <v>5</v>
      </c>
      <c r="CD119" s="76">
        <v>297360</v>
      </c>
      <c r="CE119" s="76">
        <v>305444</v>
      </c>
      <c r="CF119" s="76">
        <v>275713</v>
      </c>
      <c r="CG119" s="76">
        <v>253322</v>
      </c>
    </row>
    <row r="120" spans="1:85">
      <c r="A120" s="760" t="s">
        <v>166</v>
      </c>
      <c r="B120" s="761"/>
      <c r="C120" s="762">
        <f>世帯数!I7</f>
        <v>1791672</v>
      </c>
      <c r="D120" s="742">
        <f>世帯数!J7</f>
        <v>1825580</v>
      </c>
      <c r="E120" s="742">
        <f>世帯数!K7</f>
        <v>1858584</v>
      </c>
      <c r="F120" s="742">
        <f>世帯数!L7</f>
        <v>1890296</v>
      </c>
      <c r="G120" s="742">
        <f>世帯数!M7</f>
        <v>1921633</v>
      </c>
      <c r="H120" s="762">
        <f>世帯数!N7</f>
        <v>1871922</v>
      </c>
      <c r="I120" s="742">
        <f>世帯数!O7</f>
        <v>1898632</v>
      </c>
      <c r="J120" s="742">
        <f>世帯数!P7</f>
        <v>1934722</v>
      </c>
      <c r="K120" s="742">
        <f>世帯数!Q7</f>
        <v>1972565</v>
      </c>
      <c r="L120" s="742">
        <f>世帯数!R7</f>
        <v>1983728</v>
      </c>
      <c r="M120" s="762">
        <f>世帯数!S7</f>
        <v>2041696</v>
      </c>
      <c r="N120" s="742">
        <f>世帯数!T7</f>
        <v>2073072</v>
      </c>
      <c r="O120" s="742">
        <f>世帯数!U7</f>
        <v>2100565</v>
      </c>
      <c r="P120" s="742">
        <f>世帯数!V7</f>
        <v>2126404</v>
      </c>
      <c r="Q120" s="742">
        <f>世帯数!W7</f>
        <v>2150303</v>
      </c>
      <c r="R120" s="762">
        <f>世帯数!X7</f>
        <v>2175239</v>
      </c>
      <c r="S120" s="742">
        <f>世帯数!Z7</f>
        <v>2177405</v>
      </c>
      <c r="T120" s="742">
        <f>世帯数!AA7</f>
        <v>2203303</v>
      </c>
      <c r="U120" s="742">
        <f>世帯数!AB7</f>
        <v>2231209</v>
      </c>
      <c r="V120" s="742">
        <f>世帯数!AC7</f>
        <v>2258048</v>
      </c>
      <c r="W120" s="730">
        <f>世帯数!AD7</f>
        <v>2255318</v>
      </c>
      <c r="X120" s="730">
        <f>世帯数!AE7</f>
        <v>2272618</v>
      </c>
      <c r="Y120" s="730">
        <f>世帯数!AF7</f>
        <v>2273985</v>
      </c>
      <c r="Z120" s="730">
        <f>世帯数!AG7</f>
        <v>2288479</v>
      </c>
      <c r="AA120" s="730">
        <f>世帯数!AH7</f>
        <v>2301120</v>
      </c>
      <c r="AB120" s="730">
        <f>世帯数!AI7</f>
        <v>2315200</v>
      </c>
      <c r="AC120" s="730">
        <f>世帯数!AJ7</f>
        <v>2333859</v>
      </c>
      <c r="AD120" s="730">
        <f>世帯数!AK7</f>
        <v>2350448</v>
      </c>
      <c r="AE120" s="730">
        <f>世帯数!AL7</f>
        <v>2366441</v>
      </c>
      <c r="AF120" s="730">
        <f>世帯数!AM7</f>
        <v>2385314</v>
      </c>
      <c r="AG120" s="730">
        <f>世帯数!AN7</f>
        <v>2402484</v>
      </c>
      <c r="AH120" s="730">
        <f>世帯数!AO7</f>
        <v>2413953</v>
      </c>
      <c r="AI120" s="730">
        <f>世帯数!AP7</f>
        <v>2430402</v>
      </c>
      <c r="AJ120" s="730">
        <f>世帯数!AQ7</f>
        <v>2443174</v>
      </c>
      <c r="AK120" s="730"/>
      <c r="BK120" s="75">
        <v>6</v>
      </c>
      <c r="BL120" s="76">
        <v>287920</v>
      </c>
      <c r="BM120" s="76">
        <v>288280</v>
      </c>
      <c r="BN120" s="76">
        <v>262233</v>
      </c>
      <c r="BO120" s="76">
        <v>256536</v>
      </c>
      <c r="BQ120" s="75">
        <v>6</v>
      </c>
      <c r="BR120" s="76">
        <v>286423</v>
      </c>
      <c r="BS120" s="76">
        <v>275415</v>
      </c>
      <c r="BT120" s="76">
        <v>265483</v>
      </c>
      <c r="BU120" s="76">
        <v>260052</v>
      </c>
      <c r="BW120" s="75">
        <v>6</v>
      </c>
      <c r="BX120" s="76">
        <v>272327</v>
      </c>
      <c r="BY120" s="76">
        <v>266062</v>
      </c>
      <c r="BZ120" s="76">
        <v>251478</v>
      </c>
      <c r="CA120" s="76">
        <v>240603</v>
      </c>
      <c r="CC120" s="75">
        <v>6</v>
      </c>
      <c r="CD120" s="76">
        <v>280705</v>
      </c>
      <c r="CE120" s="76">
        <v>295745</v>
      </c>
      <c r="CF120" s="76">
        <v>263878</v>
      </c>
      <c r="CG120" s="76">
        <v>252518</v>
      </c>
    </row>
    <row r="121" spans="1:85">
      <c r="A121" s="760" t="s">
        <v>172</v>
      </c>
      <c r="B121" s="761"/>
      <c r="C121" s="762">
        <f>世帯数!I8</f>
        <v>539151</v>
      </c>
      <c r="D121" s="742">
        <f>世帯数!J8</f>
        <v>549086</v>
      </c>
      <c r="E121" s="742">
        <f>世帯数!K8</f>
        <v>559421</v>
      </c>
      <c r="F121" s="742">
        <f>世帯数!L8</f>
        <v>569206</v>
      </c>
      <c r="G121" s="742">
        <f>世帯数!M8</f>
        <v>578634</v>
      </c>
      <c r="H121" s="762">
        <f>世帯数!N8</f>
        <v>536508</v>
      </c>
      <c r="I121" s="742">
        <f>世帯数!O8</f>
        <v>541046</v>
      </c>
      <c r="J121" s="742">
        <f>世帯数!P8</f>
        <v>551798</v>
      </c>
      <c r="K121" s="742">
        <f>世帯数!Q8</f>
        <v>563374</v>
      </c>
      <c r="L121" s="742">
        <f>世帯数!R8</f>
        <v>574709</v>
      </c>
      <c r="M121" s="762">
        <f>世帯数!S8</f>
        <v>606162</v>
      </c>
      <c r="N121" s="742">
        <f>世帯数!T8</f>
        <v>618243</v>
      </c>
      <c r="O121" s="742">
        <f>世帯数!U8</f>
        <v>628280</v>
      </c>
      <c r="P121" s="742">
        <f>世帯数!V8</f>
        <v>637006</v>
      </c>
      <c r="Q121" s="742">
        <f>世帯数!W8</f>
        <v>644374</v>
      </c>
      <c r="R121" s="762">
        <f>世帯数!X8</f>
        <v>652341</v>
      </c>
      <c r="S121" s="742">
        <f>世帯数!Z8</f>
        <v>651992</v>
      </c>
      <c r="T121" s="742">
        <f>世帯数!AA8</f>
        <v>659078</v>
      </c>
      <c r="U121" s="742">
        <f>世帯数!AB8</f>
        <v>667425</v>
      </c>
      <c r="V121" s="742">
        <f>世帯数!AC8</f>
        <v>676547</v>
      </c>
      <c r="W121" s="730">
        <f>世帯数!AD8</f>
        <v>684183</v>
      </c>
      <c r="X121" s="730">
        <f>世帯数!AE8</f>
        <v>690715</v>
      </c>
      <c r="Y121" s="730">
        <f>世帯数!AF8</f>
        <v>688588</v>
      </c>
      <c r="Z121" s="730">
        <f>世帯数!AG8</f>
        <v>694196</v>
      </c>
      <c r="AA121" s="730">
        <f>世帯数!AH8</f>
        <v>699713</v>
      </c>
      <c r="AB121" s="730">
        <f>世帯数!AI8</f>
        <v>705459</v>
      </c>
      <c r="AC121" s="730">
        <f>世帯数!AJ8</f>
        <v>712553</v>
      </c>
      <c r="AD121" s="730">
        <f>世帯数!AK8</f>
        <v>718183</v>
      </c>
      <c r="AE121" s="730">
        <f>世帯数!AL8</f>
        <v>723705</v>
      </c>
      <c r="AF121" s="730">
        <f>世帯数!AM8</f>
        <v>729466</v>
      </c>
      <c r="AG121" s="730">
        <f>世帯数!AN8</f>
        <v>734920</v>
      </c>
      <c r="AH121" s="730">
        <f>世帯数!AO8</f>
        <v>738314</v>
      </c>
      <c r="AI121" s="730">
        <f>世帯数!AP8</f>
        <v>743089</v>
      </c>
      <c r="AJ121" s="730">
        <f>世帯数!AQ8</f>
        <v>745656</v>
      </c>
      <c r="AK121" s="730"/>
      <c r="BK121" s="75">
        <v>7</v>
      </c>
      <c r="BL121" s="76">
        <v>298622</v>
      </c>
      <c r="BM121" s="76">
        <v>280752</v>
      </c>
      <c r="BN121" s="76">
        <v>290873</v>
      </c>
      <c r="BO121" s="76">
        <v>278740</v>
      </c>
      <c r="BQ121" s="75">
        <v>7</v>
      </c>
      <c r="BR121" s="76">
        <v>296798</v>
      </c>
      <c r="BS121" s="76">
        <v>261689</v>
      </c>
      <c r="BT121" s="76">
        <v>255313</v>
      </c>
      <c r="BU121" s="76">
        <v>241164</v>
      </c>
      <c r="BW121" s="75">
        <v>7</v>
      </c>
      <c r="BX121" s="76">
        <v>287012</v>
      </c>
      <c r="BY121" s="76">
        <v>279647</v>
      </c>
      <c r="BZ121" s="76">
        <v>252091</v>
      </c>
      <c r="CA121" s="76">
        <v>232658</v>
      </c>
      <c r="CC121" s="75">
        <v>7</v>
      </c>
      <c r="CD121" s="76">
        <v>291187</v>
      </c>
      <c r="CE121" s="76">
        <v>295431</v>
      </c>
      <c r="CF121" s="76">
        <v>271903</v>
      </c>
      <c r="CG121" s="76">
        <v>275435</v>
      </c>
    </row>
    <row r="122" spans="1:85">
      <c r="A122" s="763" t="s">
        <v>182</v>
      </c>
      <c r="B122" s="764"/>
      <c r="C122" s="762">
        <f>世帯数!I18</f>
        <v>376224</v>
      </c>
      <c r="D122" s="742">
        <f>世帯数!J18</f>
        <v>380596</v>
      </c>
      <c r="E122" s="742">
        <f>世帯数!K18</f>
        <v>384755</v>
      </c>
      <c r="F122" s="742">
        <f>世帯数!L18</f>
        <v>388229</v>
      </c>
      <c r="G122" s="742">
        <f>世帯数!M18</f>
        <v>390687</v>
      </c>
      <c r="H122" s="762">
        <f>世帯数!N18</f>
        <v>370859</v>
      </c>
      <c r="I122" s="742">
        <f>世帯数!O18</f>
        <v>373255</v>
      </c>
      <c r="J122" s="742">
        <f>世帯数!P18</f>
        <v>379645</v>
      </c>
      <c r="K122" s="742">
        <f>世帯数!Q18</f>
        <v>388134</v>
      </c>
      <c r="L122" s="742">
        <f>世帯数!R18</f>
        <v>383634</v>
      </c>
      <c r="M122" s="762">
        <f>世帯数!S18</f>
        <v>403187</v>
      </c>
      <c r="N122" s="742">
        <f>世帯数!T18</f>
        <v>410016</v>
      </c>
      <c r="O122" s="742">
        <f>世帯数!U18</f>
        <v>415971</v>
      </c>
      <c r="P122" s="742">
        <f>世帯数!V18</f>
        <v>421978</v>
      </c>
      <c r="Q122" s="742">
        <f>世帯数!W18</f>
        <v>426482</v>
      </c>
      <c r="R122" s="762">
        <f>世帯数!X18</f>
        <v>431537</v>
      </c>
      <c r="S122" s="742">
        <f>世帯数!Z18</f>
        <v>436536</v>
      </c>
      <c r="T122" s="742">
        <f>世帯数!AA18</f>
        <v>442308</v>
      </c>
      <c r="U122" s="742">
        <f>世帯数!AB18</f>
        <v>448208</v>
      </c>
      <c r="V122" s="742">
        <f>世帯数!AC18</f>
        <v>452794</v>
      </c>
      <c r="W122" s="730">
        <f>世帯数!AD18</f>
        <v>451744</v>
      </c>
      <c r="X122" s="730">
        <f>世帯数!AE18</f>
        <v>454345</v>
      </c>
      <c r="Y122" s="730">
        <f>世帯数!AF18</f>
        <v>455457</v>
      </c>
      <c r="Z122" s="730">
        <f>世帯数!AG18</f>
        <v>458466</v>
      </c>
      <c r="AA122" s="730">
        <f>世帯数!AH18</f>
        <v>460676</v>
      </c>
      <c r="AB122" s="730">
        <f>世帯数!AI18</f>
        <v>463279</v>
      </c>
      <c r="AC122" s="730">
        <f>世帯数!AJ18</f>
        <v>466435</v>
      </c>
      <c r="AD122" s="730">
        <f>世帯数!AK18</f>
        <v>469242</v>
      </c>
      <c r="AE122" s="730">
        <f>世帯数!AL18</f>
        <v>472482</v>
      </c>
      <c r="AF122" s="730">
        <f>世帯数!AM18</f>
        <v>475942</v>
      </c>
      <c r="AG122" s="730">
        <f>世帯数!AN18</f>
        <v>479577</v>
      </c>
      <c r="AH122" s="730">
        <f>世帯数!AO18</f>
        <v>482126</v>
      </c>
      <c r="AI122" s="730">
        <f>世帯数!AP18</f>
        <v>485609</v>
      </c>
      <c r="AJ122" s="730">
        <f>世帯数!AQ18</f>
        <v>489017</v>
      </c>
      <c r="AK122" s="730"/>
      <c r="BK122" s="75">
        <v>8</v>
      </c>
      <c r="BL122" s="76">
        <v>309798</v>
      </c>
      <c r="BM122" s="76">
        <v>292164</v>
      </c>
      <c r="BN122" s="76">
        <v>287437</v>
      </c>
      <c r="BO122" s="76">
        <v>294162</v>
      </c>
      <c r="BQ122" s="75">
        <v>8</v>
      </c>
      <c r="BR122" s="76">
        <v>294580</v>
      </c>
      <c r="BS122" s="76">
        <v>281661</v>
      </c>
      <c r="BT122" s="76">
        <v>267240</v>
      </c>
      <c r="BU122" s="76">
        <v>246549</v>
      </c>
      <c r="BW122" s="75">
        <v>8</v>
      </c>
      <c r="BX122" s="76">
        <v>272673</v>
      </c>
      <c r="BY122" s="76">
        <v>273904</v>
      </c>
      <c r="BZ122" s="76">
        <v>258831</v>
      </c>
      <c r="CA122" s="76">
        <v>253019</v>
      </c>
      <c r="CC122" s="75">
        <v>8</v>
      </c>
      <c r="CD122" s="76">
        <v>290676</v>
      </c>
      <c r="CE122" s="76">
        <v>307108</v>
      </c>
      <c r="CF122" s="76">
        <v>278037</v>
      </c>
      <c r="CG122" s="76">
        <v>273094</v>
      </c>
    </row>
    <row r="123" spans="1:85">
      <c r="A123" s="741" t="s">
        <v>183</v>
      </c>
      <c r="B123" s="765"/>
      <c r="C123" s="762">
        <f>世帯数!I19</f>
        <v>185819</v>
      </c>
      <c r="D123" s="742">
        <f>世帯数!J19</f>
        <v>188309</v>
      </c>
      <c r="E123" s="742">
        <f>世帯数!K19</f>
        <v>190439</v>
      </c>
      <c r="F123" s="742">
        <f>世帯数!L19</f>
        <v>192340</v>
      </c>
      <c r="G123" s="742">
        <f>世帯数!M19</f>
        <v>193216</v>
      </c>
      <c r="H123" s="762">
        <f>世帯数!N19</f>
        <v>191407</v>
      </c>
      <c r="I123" s="742">
        <f>世帯数!O19</f>
        <v>192194</v>
      </c>
      <c r="J123" s="742">
        <f>世帯数!P19</f>
        <v>193393</v>
      </c>
      <c r="K123" s="742">
        <f>世帯数!Q19</f>
        <v>194544</v>
      </c>
      <c r="L123" s="742">
        <f>世帯数!R19</f>
        <v>184330</v>
      </c>
      <c r="M123" s="762">
        <f>世帯数!S19</f>
        <v>190894</v>
      </c>
      <c r="N123" s="742">
        <f>世帯数!T19</f>
        <v>192080</v>
      </c>
      <c r="O123" s="742">
        <f>世帯数!U19</f>
        <v>193397</v>
      </c>
      <c r="P123" s="742">
        <f>世帯数!V19</f>
        <v>195336</v>
      </c>
      <c r="Q123" s="742">
        <f>世帯数!W19</f>
        <v>196842</v>
      </c>
      <c r="R123" s="762">
        <f>世帯数!X19</f>
        <v>198095</v>
      </c>
      <c r="S123" s="742">
        <f>世帯数!Z19</f>
        <v>200977</v>
      </c>
      <c r="T123" s="742">
        <f>世帯数!AA19</f>
        <v>202838</v>
      </c>
      <c r="U123" s="742">
        <f>世帯数!AB19</f>
        <v>205551</v>
      </c>
      <c r="V123" s="742">
        <f>世帯数!AC19</f>
        <v>207999</v>
      </c>
      <c r="W123" s="730">
        <f>世帯数!AD19</f>
        <v>209343</v>
      </c>
      <c r="X123" s="730">
        <f>世帯数!AE19</f>
        <v>209514</v>
      </c>
      <c r="Y123" s="730">
        <f>世帯数!AF19</f>
        <v>209537</v>
      </c>
      <c r="Z123" s="730">
        <f>世帯数!AG19</f>
        <v>210063</v>
      </c>
      <c r="AA123" s="730">
        <f>世帯数!AH19</f>
        <v>209956</v>
      </c>
      <c r="AB123" s="730">
        <f>世帯数!AI19</f>
        <v>210433</v>
      </c>
      <c r="AC123" s="730">
        <f>世帯数!AJ19</f>
        <v>212377</v>
      </c>
      <c r="AD123" s="730">
        <f>世帯数!AK19</f>
        <v>214103</v>
      </c>
      <c r="AE123" s="730">
        <f>世帯数!AL19</f>
        <v>216462</v>
      </c>
      <c r="AF123" s="730">
        <f>世帯数!AM19</f>
        <v>219012</v>
      </c>
      <c r="AG123" s="730">
        <f>世帯数!AN19</f>
        <v>221404</v>
      </c>
      <c r="AH123" s="730">
        <f>世帯数!AO19</f>
        <v>222519</v>
      </c>
      <c r="AI123" s="730">
        <f>世帯数!AP19</f>
        <v>223707</v>
      </c>
      <c r="AJ123" s="730">
        <f>世帯数!AQ19</f>
        <v>225616</v>
      </c>
      <c r="AK123" s="730"/>
      <c r="BK123" s="75">
        <v>9</v>
      </c>
      <c r="BL123" s="456">
        <v>318357</v>
      </c>
      <c r="BM123" s="456">
        <v>297516</v>
      </c>
      <c r="BN123" s="456">
        <v>293038</v>
      </c>
      <c r="BO123" s="456">
        <v>286232</v>
      </c>
      <c r="BQ123" s="75">
        <v>9</v>
      </c>
      <c r="BR123" s="456">
        <v>286365</v>
      </c>
      <c r="BS123" s="456">
        <v>270170</v>
      </c>
      <c r="BT123" s="456">
        <v>265248</v>
      </c>
      <c r="BU123" s="456">
        <v>245916</v>
      </c>
      <c r="BW123" s="75">
        <v>9</v>
      </c>
      <c r="BX123" s="1075">
        <v>288451</v>
      </c>
      <c r="BY123" s="1075">
        <v>273683</v>
      </c>
      <c r="BZ123" s="1075">
        <v>248341</v>
      </c>
      <c r="CA123" s="1075">
        <v>232561</v>
      </c>
      <c r="CC123" s="75">
        <v>9</v>
      </c>
      <c r="CD123" s="1075">
        <v>301699</v>
      </c>
      <c r="CE123" s="1075">
        <v>285231</v>
      </c>
      <c r="CF123" s="1075">
        <v>274711</v>
      </c>
      <c r="CG123" s="1075">
        <v>244710</v>
      </c>
    </row>
    <row r="124" spans="1:85">
      <c r="A124" s="741" t="s">
        <v>184</v>
      </c>
      <c r="B124" s="765"/>
      <c r="C124" s="762">
        <f>世帯数!I20</f>
        <v>157978</v>
      </c>
      <c r="D124" s="742">
        <f>世帯数!J20</f>
        <v>159361</v>
      </c>
      <c r="E124" s="742">
        <f>世帯数!K20</f>
        <v>160935</v>
      </c>
      <c r="F124" s="742">
        <f>世帯数!L20</f>
        <v>162246</v>
      </c>
      <c r="G124" s="742">
        <f>世帯数!M20</f>
        <v>163776</v>
      </c>
      <c r="H124" s="762">
        <f>世帯数!N20</f>
        <v>150382</v>
      </c>
      <c r="I124" s="742">
        <f>世帯数!O20</f>
        <v>151933</v>
      </c>
      <c r="J124" s="742">
        <f>世帯数!P20</f>
        <v>156625</v>
      </c>
      <c r="K124" s="742">
        <f>世帯数!Q20</f>
        <v>162782</v>
      </c>
      <c r="L124" s="742">
        <f>世帯数!R20</f>
        <v>167443</v>
      </c>
      <c r="M124" s="762">
        <f>世帯数!S20</f>
        <v>178084</v>
      </c>
      <c r="N124" s="742">
        <f>世帯数!T20</f>
        <v>182844</v>
      </c>
      <c r="O124" s="742">
        <f>世帯数!U20</f>
        <v>186257</v>
      </c>
      <c r="P124" s="742">
        <f>世帯数!V20</f>
        <v>189307</v>
      </c>
      <c r="Q124" s="742">
        <f>世帯数!W20</f>
        <v>191756</v>
      </c>
      <c r="R124" s="762">
        <f>世帯数!X20</f>
        <v>195013</v>
      </c>
      <c r="S124" s="742">
        <f>世帯数!Z20</f>
        <v>196860</v>
      </c>
      <c r="T124" s="742">
        <f>世帯数!AA20</f>
        <v>200204</v>
      </c>
      <c r="U124" s="742">
        <f>世帯数!AB20</f>
        <v>202847</v>
      </c>
      <c r="V124" s="742">
        <f>世帯数!AC20</f>
        <v>204761</v>
      </c>
      <c r="W124" s="730">
        <f>世帯数!AD20</f>
        <v>202648</v>
      </c>
      <c r="X124" s="730">
        <f>世帯数!AE20</f>
        <v>204427</v>
      </c>
      <c r="Y124" s="730">
        <f>世帯数!AF20</f>
        <v>205297</v>
      </c>
      <c r="Z124" s="730">
        <f>世帯数!AG20</f>
        <v>207242</v>
      </c>
      <c r="AA124" s="730">
        <f>世帯数!AH20</f>
        <v>209065</v>
      </c>
      <c r="AB124" s="730">
        <f>世帯数!AI20</f>
        <v>210965</v>
      </c>
      <c r="AC124" s="730">
        <f>世帯数!AJ20</f>
        <v>212192</v>
      </c>
      <c r="AD124" s="730">
        <f>世帯数!AK20</f>
        <v>213013</v>
      </c>
      <c r="AE124" s="730">
        <f>世帯数!AL20</f>
        <v>213784</v>
      </c>
      <c r="AF124" s="730">
        <f>世帯数!AM20</f>
        <v>214699</v>
      </c>
      <c r="AG124" s="730">
        <f>世帯数!AN20</f>
        <v>215651</v>
      </c>
      <c r="AH124" s="730">
        <f>世帯数!AO20</f>
        <v>217006</v>
      </c>
      <c r="AI124" s="730">
        <f>世帯数!AP20</f>
        <v>218967</v>
      </c>
      <c r="AJ124" s="730">
        <f>世帯数!AQ20</f>
        <v>220384</v>
      </c>
      <c r="AK124" s="730"/>
      <c r="BK124" s="75">
        <v>10</v>
      </c>
      <c r="BL124" s="75">
        <v>280072</v>
      </c>
      <c r="BM124" s="75">
        <v>278268</v>
      </c>
      <c r="BN124" s="75">
        <v>281280</v>
      </c>
      <c r="BO124" s="75">
        <v>279236</v>
      </c>
      <c r="BQ124" s="75">
        <v>10</v>
      </c>
      <c r="BR124" s="75">
        <v>298275</v>
      </c>
      <c r="BS124" s="75">
        <v>302225</v>
      </c>
      <c r="BT124" s="75">
        <v>263568</v>
      </c>
      <c r="BU124" s="75">
        <v>249578</v>
      </c>
      <c r="BW124" s="75">
        <v>10</v>
      </c>
      <c r="BX124" s="76">
        <v>293774</v>
      </c>
      <c r="BY124" s="76">
        <v>287358</v>
      </c>
      <c r="BZ124" s="76">
        <v>274643</v>
      </c>
      <c r="CA124" s="76">
        <v>260897</v>
      </c>
      <c r="CC124" s="75">
        <v>10</v>
      </c>
      <c r="CD124" s="76">
        <v>312836</v>
      </c>
      <c r="CE124" s="76">
        <v>308532</v>
      </c>
      <c r="CF124" s="76">
        <v>279750</v>
      </c>
      <c r="CG124" s="76">
        <v>278586</v>
      </c>
    </row>
    <row r="125" spans="1:85">
      <c r="A125" s="741" t="s">
        <v>185</v>
      </c>
      <c r="B125" s="765"/>
      <c r="C125" s="762">
        <f>世帯数!I21</f>
        <v>32427</v>
      </c>
      <c r="D125" s="742">
        <f>世帯数!J21</f>
        <v>32926</v>
      </c>
      <c r="E125" s="742">
        <f>世帯数!K21</f>
        <v>33381</v>
      </c>
      <c r="F125" s="742">
        <f>世帯数!L21</f>
        <v>33643</v>
      </c>
      <c r="G125" s="742">
        <f>世帯数!M21</f>
        <v>33695</v>
      </c>
      <c r="H125" s="762">
        <f>世帯数!N21</f>
        <v>29070</v>
      </c>
      <c r="I125" s="742">
        <f>世帯数!O21</f>
        <v>29128</v>
      </c>
      <c r="J125" s="742">
        <f>世帯数!P21</f>
        <v>29627</v>
      </c>
      <c r="K125" s="742">
        <f>世帯数!Q21</f>
        <v>30808</v>
      </c>
      <c r="L125" s="742">
        <f>世帯数!R21</f>
        <v>31861</v>
      </c>
      <c r="M125" s="762">
        <f>世帯数!S21</f>
        <v>34209</v>
      </c>
      <c r="N125" s="742">
        <f>世帯数!T21</f>
        <v>35092</v>
      </c>
      <c r="O125" s="742">
        <f>世帯数!U21</f>
        <v>36317</v>
      </c>
      <c r="P125" s="742">
        <f>世帯数!V21</f>
        <v>37335</v>
      </c>
      <c r="Q125" s="742">
        <f>世帯数!W21</f>
        <v>37884</v>
      </c>
      <c r="R125" s="762">
        <f>世帯数!X21</f>
        <v>38429</v>
      </c>
      <c r="S125" s="742">
        <f>世帯数!Z21</f>
        <v>38699</v>
      </c>
      <c r="T125" s="742">
        <f>世帯数!AA21</f>
        <v>39266</v>
      </c>
      <c r="U125" s="742">
        <f>世帯数!AB21</f>
        <v>39810</v>
      </c>
      <c r="V125" s="742">
        <f>世帯数!AC21</f>
        <v>40034</v>
      </c>
      <c r="W125" s="730">
        <f>世帯数!AD21</f>
        <v>39753</v>
      </c>
      <c r="X125" s="730">
        <f>世帯数!AE21</f>
        <v>40404</v>
      </c>
      <c r="Y125" s="730">
        <f>世帯数!AF21</f>
        <v>40623</v>
      </c>
      <c r="Z125" s="730">
        <f>世帯数!AG21</f>
        <v>41161</v>
      </c>
      <c r="AA125" s="730">
        <f>世帯数!AH21</f>
        <v>41655</v>
      </c>
      <c r="AB125" s="730">
        <f>世帯数!AI21</f>
        <v>41881</v>
      </c>
      <c r="AC125" s="730">
        <f>世帯数!AJ21</f>
        <v>41866</v>
      </c>
      <c r="AD125" s="730">
        <f>世帯数!AK21</f>
        <v>42126</v>
      </c>
      <c r="AE125" s="730">
        <f>世帯数!AL21</f>
        <v>42236</v>
      </c>
      <c r="AF125" s="730">
        <f>世帯数!AM21</f>
        <v>42231</v>
      </c>
      <c r="AG125" s="730">
        <f>世帯数!AN21</f>
        <v>42522</v>
      </c>
      <c r="AH125" s="730">
        <f>世帯数!AO21</f>
        <v>42601</v>
      </c>
      <c r="AI125" s="730">
        <f>世帯数!AP21</f>
        <v>42935</v>
      </c>
      <c r="AJ125" s="730">
        <f>世帯数!AQ21</f>
        <v>43017</v>
      </c>
      <c r="AK125" s="730"/>
      <c r="BK125" s="75">
        <v>11</v>
      </c>
      <c r="BL125" s="456">
        <v>286691</v>
      </c>
      <c r="BM125" s="456">
        <v>271020</v>
      </c>
      <c r="BN125" s="456">
        <v>279133</v>
      </c>
      <c r="BO125" s="456">
        <v>279318</v>
      </c>
      <c r="BQ125" s="75">
        <v>11</v>
      </c>
      <c r="BR125" s="456">
        <v>297319</v>
      </c>
      <c r="BS125" s="456">
        <v>290807</v>
      </c>
      <c r="BT125" s="456">
        <v>258066</v>
      </c>
      <c r="BU125" s="456">
        <v>252836</v>
      </c>
      <c r="BW125" s="75">
        <v>11</v>
      </c>
      <c r="BX125" s="1075">
        <v>292256</v>
      </c>
      <c r="BY125" s="1075">
        <v>279271</v>
      </c>
      <c r="BZ125" s="1075">
        <v>263222</v>
      </c>
      <c r="CA125" s="1075">
        <v>266647</v>
      </c>
      <c r="CC125" s="75">
        <v>11</v>
      </c>
      <c r="CD125" s="1075">
        <v>309028</v>
      </c>
      <c r="CE125" s="1075">
        <v>287536</v>
      </c>
      <c r="CF125" s="1075">
        <v>271198</v>
      </c>
      <c r="CG125" s="1075">
        <v>264284</v>
      </c>
    </row>
    <row r="126" spans="1:85">
      <c r="A126" s="763" t="s">
        <v>186</v>
      </c>
      <c r="B126" s="764"/>
      <c r="C126" s="762">
        <f>世帯数!I22</f>
        <v>198771</v>
      </c>
      <c r="D126" s="742">
        <f>世帯数!J22</f>
        <v>204164</v>
      </c>
      <c r="E126" s="742">
        <f>世帯数!K22</f>
        <v>209691</v>
      </c>
      <c r="F126" s="742">
        <f>世帯数!L22</f>
        <v>215167</v>
      </c>
      <c r="G126" s="742">
        <f>世帯数!M22</f>
        <v>221559</v>
      </c>
      <c r="H126" s="762">
        <f>世帯数!N22</f>
        <v>222566</v>
      </c>
      <c r="I126" s="742">
        <f>世帯数!O22</f>
        <v>229220</v>
      </c>
      <c r="J126" s="742">
        <f>世帯数!P22</f>
        <v>235298</v>
      </c>
      <c r="K126" s="742">
        <f>世帯数!Q22</f>
        <v>241661</v>
      </c>
      <c r="L126" s="742">
        <f>世帯数!R22</f>
        <v>241861</v>
      </c>
      <c r="M126" s="762">
        <f>世帯数!S22</f>
        <v>247817</v>
      </c>
      <c r="N126" s="742">
        <f>世帯数!T22</f>
        <v>252401</v>
      </c>
      <c r="O126" s="742">
        <f>世帯数!U22</f>
        <v>256629</v>
      </c>
      <c r="P126" s="742">
        <f>世帯数!V22</f>
        <v>260713</v>
      </c>
      <c r="Q126" s="742">
        <f>世帯数!W22</f>
        <v>264426</v>
      </c>
      <c r="R126" s="762">
        <f>世帯数!X22</f>
        <v>268399</v>
      </c>
      <c r="S126" s="742">
        <f>世帯数!Z22</f>
        <v>267211</v>
      </c>
      <c r="T126" s="742">
        <f>世帯数!AA22</f>
        <v>271409</v>
      </c>
      <c r="U126" s="742">
        <f>世帯数!AB22</f>
        <v>275850</v>
      </c>
      <c r="V126" s="742">
        <f>世帯数!AC22</f>
        <v>280180</v>
      </c>
      <c r="W126" s="730">
        <f>世帯数!AD22</f>
        <v>280199</v>
      </c>
      <c r="X126" s="730">
        <f>世帯数!AE22</f>
        <v>282892</v>
      </c>
      <c r="Y126" s="730">
        <f>世帯数!AF22</f>
        <v>283320</v>
      </c>
      <c r="Z126" s="730">
        <f>世帯数!AG22</f>
        <v>284655</v>
      </c>
      <c r="AA126" s="730">
        <f>世帯数!AH22</f>
        <v>285632</v>
      </c>
      <c r="AB126" s="730">
        <f>世帯数!AI22</f>
        <v>287568</v>
      </c>
      <c r="AC126" s="730">
        <f>世帯数!AJ22</f>
        <v>289329</v>
      </c>
      <c r="AD126" s="730">
        <f>世帯数!AK22</f>
        <v>290728</v>
      </c>
      <c r="AE126" s="730">
        <f>世帯数!AL22</f>
        <v>291971</v>
      </c>
      <c r="AF126" s="730">
        <f>世帯数!AM22</f>
        <v>293604</v>
      </c>
      <c r="AG126" s="730">
        <f>世帯数!AN22</f>
        <v>294673</v>
      </c>
      <c r="AH126" s="730">
        <f>世帯数!AO22</f>
        <v>296167</v>
      </c>
      <c r="AI126" s="730">
        <f>世帯数!AP22</f>
        <v>298018</v>
      </c>
      <c r="AJ126" s="730">
        <f>世帯数!AQ22</f>
        <v>299025</v>
      </c>
      <c r="AK126" s="730"/>
      <c r="BK126" s="132">
        <v>12</v>
      </c>
      <c r="BL126" s="461">
        <v>325471</v>
      </c>
      <c r="BM126" s="461">
        <v>318222</v>
      </c>
      <c r="BN126" s="461">
        <v>322348</v>
      </c>
      <c r="BO126" s="461">
        <v>318746</v>
      </c>
      <c r="BQ126" s="132">
        <v>12</v>
      </c>
      <c r="BR126" s="461">
        <v>337566</v>
      </c>
      <c r="BS126" s="461">
        <v>312299</v>
      </c>
      <c r="BT126" s="461">
        <v>303940</v>
      </c>
      <c r="BU126" s="461">
        <v>296970</v>
      </c>
      <c r="BW126" s="132">
        <v>12</v>
      </c>
      <c r="BX126" s="1074">
        <v>331722</v>
      </c>
      <c r="BY126" s="1074">
        <v>323268</v>
      </c>
      <c r="BZ126" s="1074">
        <v>299055</v>
      </c>
      <c r="CA126" s="1074">
        <v>307165</v>
      </c>
      <c r="CC126" s="132">
        <v>12</v>
      </c>
      <c r="CD126" s="1074"/>
      <c r="CE126" s="1074"/>
      <c r="CF126" s="1074"/>
      <c r="CG126" s="1074"/>
    </row>
    <row r="127" spans="1:85" ht="12.75" customHeight="1">
      <c r="A127" s="741" t="s">
        <v>187</v>
      </c>
      <c r="B127" s="765"/>
      <c r="C127" s="762">
        <f>世帯数!I23</f>
        <v>62702</v>
      </c>
      <c r="D127" s="742">
        <f>世帯数!J23</f>
        <v>63463</v>
      </c>
      <c r="E127" s="742">
        <f>世帯数!K23</f>
        <v>64539</v>
      </c>
      <c r="F127" s="742">
        <f>世帯数!L23</f>
        <v>65690</v>
      </c>
      <c r="G127" s="742">
        <f>世帯数!M23</f>
        <v>66799</v>
      </c>
      <c r="H127" s="762">
        <f>世帯数!N23</f>
        <v>66665</v>
      </c>
      <c r="I127" s="742">
        <f>世帯数!O23</f>
        <v>67875</v>
      </c>
      <c r="J127" s="742">
        <f>世帯数!P23</f>
        <v>69038</v>
      </c>
      <c r="K127" s="742">
        <f>世帯数!Q23</f>
        <v>70479</v>
      </c>
      <c r="L127" s="742">
        <f>世帯数!R23</f>
        <v>66887</v>
      </c>
      <c r="M127" s="762">
        <f>世帯数!S23</f>
        <v>70846</v>
      </c>
      <c r="N127" s="742">
        <f>世帯数!T23</f>
        <v>71323</v>
      </c>
      <c r="O127" s="742">
        <f>世帯数!U23</f>
        <v>72025</v>
      </c>
      <c r="P127" s="742">
        <f>世帯数!V23</f>
        <v>73022</v>
      </c>
      <c r="Q127" s="742">
        <f>世帯数!W23</f>
        <v>73887</v>
      </c>
      <c r="R127" s="762">
        <f>世帯数!X23</f>
        <v>74512</v>
      </c>
      <c r="S127" s="742">
        <f>世帯数!Z23</f>
        <v>73774</v>
      </c>
      <c r="T127" s="742">
        <f>世帯数!AA23</f>
        <v>75108</v>
      </c>
      <c r="U127" s="742">
        <f>世帯数!AB23</f>
        <v>76067</v>
      </c>
      <c r="V127" s="742">
        <f>世帯数!AC23</f>
        <v>77222</v>
      </c>
      <c r="W127" s="730">
        <f>世帯数!AD23</f>
        <v>77263</v>
      </c>
      <c r="X127" s="730">
        <f>世帯数!AE23</f>
        <v>77905</v>
      </c>
      <c r="Y127" s="730">
        <f>世帯数!AF23</f>
        <v>77489</v>
      </c>
      <c r="Z127" s="730">
        <f>世帯数!AG23</f>
        <v>77921</v>
      </c>
      <c r="AA127" s="730">
        <f>世帯数!AH23</f>
        <v>78147</v>
      </c>
      <c r="AB127" s="730">
        <f>世帯数!AI23</f>
        <v>78903</v>
      </c>
      <c r="AC127" s="730">
        <f>世帯数!AJ23</f>
        <v>79632</v>
      </c>
      <c r="AD127" s="730">
        <f>世帯数!AK23</f>
        <v>80150</v>
      </c>
      <c r="AE127" s="730">
        <f>世帯数!AL23</f>
        <v>80925</v>
      </c>
      <c r="AF127" s="730">
        <f>世帯数!AM23</f>
        <v>81772</v>
      </c>
      <c r="AG127" s="730">
        <f>世帯数!AN23</f>
        <v>82481</v>
      </c>
      <c r="AH127" s="730">
        <f>世帯数!AO23</f>
        <v>82966</v>
      </c>
      <c r="AI127" s="730">
        <f>世帯数!AP23</f>
        <v>83582</v>
      </c>
      <c r="AJ127" s="730">
        <f>世帯数!AQ23</f>
        <v>84031</v>
      </c>
      <c r="AK127" s="730"/>
      <c r="BK127" s="75" t="s">
        <v>85</v>
      </c>
      <c r="BL127" s="1389">
        <f>AVERAGE(BL115:BL126)</f>
        <v>301949</v>
      </c>
      <c r="BM127" s="1389">
        <f t="shared" ref="BM127" si="208">AVERAGE(BM115:BM126)</f>
        <v>293373.83333333331</v>
      </c>
      <c r="BN127" s="1389">
        <f t="shared" ref="BN127" si="209">AVERAGE(BN115:BN126)</f>
        <v>290438.91666666669</v>
      </c>
      <c r="BO127" s="1389">
        <f t="shared" ref="BO127" si="210">AVERAGE(BO115:BO126)</f>
        <v>282223.83333333331</v>
      </c>
      <c r="BQ127" s="75" t="s">
        <v>85</v>
      </c>
      <c r="BR127" s="1389">
        <f>AVERAGE(BR115:BR126)</f>
        <v>292240.66666666669</v>
      </c>
      <c r="BS127" s="1389">
        <f t="shared" ref="BS127" si="211">AVERAGE(BS115:BS126)</f>
        <v>279545.83333333331</v>
      </c>
      <c r="BT127" s="1389">
        <f t="shared" ref="BT127" si="212">AVERAGE(BT115:BT126)</f>
        <v>268992.16666666669</v>
      </c>
      <c r="BU127" s="1389">
        <f t="shared" ref="BU127" si="213">AVERAGE(BU115:BU126)</f>
        <v>262526.5</v>
      </c>
      <c r="BW127" s="75" t="s">
        <v>85</v>
      </c>
      <c r="BX127" s="1389">
        <f>AVERAGE(BX115:BX126)</f>
        <v>293358.66666666669</v>
      </c>
      <c r="BY127" s="1389">
        <f t="shared" ref="BY127" si="214">AVERAGE(BY115:BY126)</f>
        <v>286574.33333333331</v>
      </c>
      <c r="BZ127" s="1389">
        <f t="shared" ref="BZ127" si="215">AVERAGE(BZ115:BZ126)</f>
        <v>267249.25</v>
      </c>
      <c r="CA127" s="1389">
        <f t="shared" ref="CA127" si="216">AVERAGE(CA115:CA126)</f>
        <v>256180.08333333334</v>
      </c>
      <c r="CC127" s="75" t="s">
        <v>85</v>
      </c>
      <c r="CD127" s="1389">
        <f>AVERAGE(CD115:CD126)</f>
        <v>297235.63636363635</v>
      </c>
      <c r="CE127" s="1389">
        <f t="shared" ref="CE127" si="217">AVERAGE(CE115:CE126)</f>
        <v>295744.36363636365</v>
      </c>
      <c r="CF127" s="1389">
        <f t="shared" ref="CF127" si="218">AVERAGE(CF115:CF126)</f>
        <v>278743.45454545453</v>
      </c>
      <c r="CG127" s="1389">
        <f t="shared" ref="CG127" si="219">AVERAGE(CG115:CG126)</f>
        <v>266881.63636363635</v>
      </c>
    </row>
    <row r="128" spans="1:85" ht="12.75" customHeight="1">
      <c r="A128" s="741" t="s">
        <v>1304</v>
      </c>
      <c r="B128" s="765"/>
      <c r="C128" s="762">
        <f>世帯数!I24</f>
        <v>67922</v>
      </c>
      <c r="D128" s="742">
        <f>世帯数!J24</f>
        <v>69432</v>
      </c>
      <c r="E128" s="742">
        <f>世帯数!K24</f>
        <v>70477</v>
      </c>
      <c r="F128" s="742">
        <f>世帯数!L24</f>
        <v>71558</v>
      </c>
      <c r="G128" s="742">
        <f>世帯数!M24</f>
        <v>72797</v>
      </c>
      <c r="H128" s="762">
        <f>世帯数!N24</f>
        <v>71363</v>
      </c>
      <c r="I128" s="742">
        <f>世帯数!O24</f>
        <v>72478</v>
      </c>
      <c r="J128" s="742">
        <f>世帯数!P24</f>
        <v>74362</v>
      </c>
      <c r="K128" s="742">
        <f>世帯数!Q24</f>
        <v>76262</v>
      </c>
      <c r="L128" s="742">
        <f>世帯数!R24</f>
        <v>76133</v>
      </c>
      <c r="M128" s="762">
        <f>世帯数!S24</f>
        <v>79131</v>
      </c>
      <c r="N128" s="742">
        <f>世帯数!T24</f>
        <v>81451</v>
      </c>
      <c r="O128" s="742">
        <f>世帯数!U24</f>
        <v>82951</v>
      </c>
      <c r="P128" s="742">
        <f>世帯数!V24</f>
        <v>84457</v>
      </c>
      <c r="Q128" s="742">
        <f>世帯数!W24</f>
        <v>85782</v>
      </c>
      <c r="R128" s="762">
        <f>世帯数!X24</f>
        <v>87300</v>
      </c>
      <c r="S128" s="742">
        <f>世帯数!Z24</f>
        <v>86376</v>
      </c>
      <c r="T128" s="742">
        <f>世帯数!AA24</f>
        <v>87702</v>
      </c>
      <c r="U128" s="742">
        <f>世帯数!AB24</f>
        <v>89206</v>
      </c>
      <c r="V128" s="742">
        <f>世帯数!AC24</f>
        <v>90593</v>
      </c>
      <c r="W128" s="730">
        <f>世帯数!AD24</f>
        <v>91737</v>
      </c>
      <c r="X128" s="730">
        <f>世帯数!AE24</f>
        <v>92820</v>
      </c>
      <c r="Y128" s="730">
        <f>世帯数!AF24</f>
        <v>93419</v>
      </c>
      <c r="Z128" s="730">
        <f>世帯数!AG24</f>
        <v>93472</v>
      </c>
      <c r="AA128" s="730">
        <f>世帯数!AH24</f>
        <v>93603</v>
      </c>
      <c r="AB128" s="730">
        <f>世帯数!AI24</f>
        <v>94140</v>
      </c>
      <c r="AC128" s="730">
        <f>世帯数!AJ24</f>
        <v>94562</v>
      </c>
      <c r="AD128" s="730">
        <f>世帯数!AK24</f>
        <v>94857</v>
      </c>
      <c r="AE128" s="730">
        <f>世帯数!AL24</f>
        <v>94977</v>
      </c>
      <c r="AF128" s="730">
        <f>世帯数!AM24</f>
        <v>95252</v>
      </c>
      <c r="AG128" s="730">
        <f>世帯数!AN24</f>
        <v>95465</v>
      </c>
      <c r="AH128" s="730">
        <f>世帯数!AO24</f>
        <v>95886</v>
      </c>
      <c r="AI128" s="730">
        <f>世帯数!AP24</f>
        <v>96462</v>
      </c>
      <c r="AJ128" s="730">
        <f>世帯数!AQ24</f>
        <v>96734</v>
      </c>
      <c r="AK128" s="730"/>
      <c r="BK128" s="75" t="s">
        <v>1162</v>
      </c>
      <c r="BL128" s="1187">
        <f>BL127/CJ108</f>
        <v>1.0055307984719122</v>
      </c>
      <c r="BM128" s="1187">
        <f>BM127/CK108</f>
        <v>1.0159561005946274</v>
      </c>
      <c r="BN128" s="1187">
        <f>BN127/CL108</f>
        <v>1.0351699137622501</v>
      </c>
      <c r="BO128" s="1187">
        <f>BO127/CM108</f>
        <v>1.0418453354563886</v>
      </c>
      <c r="BQ128" s="75" t="s">
        <v>1163</v>
      </c>
      <c r="BR128" s="1187">
        <f>BR127/BL127</f>
        <v>0.96784777120198007</v>
      </c>
      <c r="BS128" s="1187">
        <f>BS127/BM127</f>
        <v>0.95286559867018361</v>
      </c>
      <c r="BT128" s="1187">
        <f>BT127/BN127</f>
        <v>0.92615745077780265</v>
      </c>
      <c r="BU128" s="1187">
        <f>BU127/BO127</f>
        <v>0.93020669763893082</v>
      </c>
      <c r="BW128" s="75" t="s">
        <v>1176</v>
      </c>
      <c r="BX128" s="479">
        <f>BX127/BR127</f>
        <v>1.003825614048695</v>
      </c>
      <c r="BY128" s="479">
        <f>BY127/BS127</f>
        <v>1.0251425675574966</v>
      </c>
      <c r="BZ128" s="479">
        <f>BZ127/BT127</f>
        <v>0.9935205672036298</v>
      </c>
      <c r="CA128" s="479">
        <f>CA127/BU127</f>
        <v>0.97582561506489185</v>
      </c>
      <c r="CC128" s="75" t="s">
        <v>1199</v>
      </c>
      <c r="CD128" s="479">
        <f>CD127/BX127</f>
        <v>1.013215800784147</v>
      </c>
      <c r="CE128" s="479">
        <f>CE127/BY127</f>
        <v>1.0319987843864722</v>
      </c>
      <c r="CF128" s="479">
        <f>CF127/BZ127</f>
        <v>1.0430093051541007</v>
      </c>
      <c r="CG128" s="479">
        <f>CG127/CA127</f>
        <v>1.0417735558949697</v>
      </c>
    </row>
    <row r="129" spans="1:37">
      <c r="A129" s="741" t="s">
        <v>189</v>
      </c>
      <c r="B129" s="765"/>
      <c r="C129" s="762">
        <f>世帯数!I25</f>
        <v>44107</v>
      </c>
      <c r="D129" s="742">
        <f>世帯数!J25</f>
        <v>44756</v>
      </c>
      <c r="E129" s="742">
        <f>世帯数!K25</f>
        <v>45685</v>
      </c>
      <c r="F129" s="742">
        <f>世帯数!L25</f>
        <v>46695</v>
      </c>
      <c r="G129" s="742">
        <f>世帯数!M25</f>
        <v>47675</v>
      </c>
      <c r="H129" s="762">
        <f>世帯数!N25</f>
        <v>48522</v>
      </c>
      <c r="I129" s="742">
        <f>世帯数!O25</f>
        <v>50481</v>
      </c>
      <c r="J129" s="742">
        <f>世帯数!P25</f>
        <v>51726</v>
      </c>
      <c r="K129" s="742">
        <f>世帯数!Q25</f>
        <v>53086</v>
      </c>
      <c r="L129" s="742">
        <f>世帯数!R25</f>
        <v>55968</v>
      </c>
      <c r="M129" s="762">
        <f>世帯数!S25</f>
        <v>54766</v>
      </c>
      <c r="N129" s="742">
        <f>世帯数!T25</f>
        <v>55744</v>
      </c>
      <c r="O129" s="742">
        <f>世帯数!U25</f>
        <v>56919</v>
      </c>
      <c r="P129" s="742">
        <f>世帯数!V25</f>
        <v>57942</v>
      </c>
      <c r="Q129" s="742">
        <f>世帯数!W25</f>
        <v>58777</v>
      </c>
      <c r="R129" s="762">
        <f>世帯数!X25</f>
        <v>59905</v>
      </c>
      <c r="S129" s="742">
        <f>世帯数!Z25</f>
        <v>59566</v>
      </c>
      <c r="T129" s="742">
        <f>世帯数!AA25</f>
        <v>60254</v>
      </c>
      <c r="U129" s="742">
        <f>世帯数!AB25</f>
        <v>61103</v>
      </c>
      <c r="V129" s="742">
        <f>世帯数!AC25</f>
        <v>62066</v>
      </c>
      <c r="W129" s="730">
        <f>世帯数!AD25</f>
        <v>60584</v>
      </c>
      <c r="X129" s="730">
        <f>世帯数!AE25</f>
        <v>61066</v>
      </c>
      <c r="Y129" s="730">
        <f>世帯数!AF25</f>
        <v>61172</v>
      </c>
      <c r="Z129" s="730">
        <f>世帯数!AG25</f>
        <v>61844</v>
      </c>
      <c r="AA129" s="730">
        <f>世帯数!AH25</f>
        <v>62210</v>
      </c>
      <c r="AB129" s="730">
        <f>世帯数!AI25</f>
        <v>62675</v>
      </c>
      <c r="AC129" s="730">
        <f>世帯数!AJ25</f>
        <v>62858</v>
      </c>
      <c r="AD129" s="730">
        <f>世帯数!AK25</f>
        <v>62987</v>
      </c>
      <c r="AE129" s="730">
        <f>世帯数!AL25</f>
        <v>63038</v>
      </c>
      <c r="AF129" s="730">
        <f>世帯数!AM25</f>
        <v>63253</v>
      </c>
      <c r="AG129" s="730">
        <f>世帯数!AN25</f>
        <v>63331</v>
      </c>
      <c r="AH129" s="730">
        <f>世帯数!AO25</f>
        <v>63768</v>
      </c>
      <c r="AI129" s="730">
        <f>世帯数!AP25</f>
        <v>64273</v>
      </c>
      <c r="AJ129" s="730">
        <f>世帯数!AQ25</f>
        <v>64555</v>
      </c>
      <c r="AK129" s="730"/>
    </row>
    <row r="130" spans="1:37">
      <c r="A130" s="741" t="s">
        <v>190</v>
      </c>
      <c r="B130" s="765"/>
      <c r="C130" s="762">
        <f>世帯数!I26</f>
        <v>18217</v>
      </c>
      <c r="D130" s="742">
        <f>世帯数!J26</f>
        <v>20309</v>
      </c>
      <c r="E130" s="742">
        <f>世帯数!K26</f>
        <v>22427</v>
      </c>
      <c r="F130" s="742">
        <f>世帯数!L26</f>
        <v>24218</v>
      </c>
      <c r="G130" s="742">
        <f>世帯数!M26</f>
        <v>26824</v>
      </c>
      <c r="H130" s="762">
        <f>世帯数!N26</f>
        <v>28375</v>
      </c>
      <c r="I130" s="742">
        <f>世帯数!O26</f>
        <v>30472</v>
      </c>
      <c r="J130" s="742">
        <f>世帯数!P26</f>
        <v>32015</v>
      </c>
      <c r="K130" s="742">
        <f>世帯数!Q26</f>
        <v>33411</v>
      </c>
      <c r="L130" s="742">
        <f>世帯数!R26</f>
        <v>34219</v>
      </c>
      <c r="M130" s="762">
        <f>世帯数!S26</f>
        <v>34374</v>
      </c>
      <c r="N130" s="742">
        <f>世帯数!T26</f>
        <v>35070</v>
      </c>
      <c r="O130" s="742">
        <f>世帯数!U26</f>
        <v>35754</v>
      </c>
      <c r="P130" s="742">
        <f>世帯数!V26</f>
        <v>36229</v>
      </c>
      <c r="Q130" s="742">
        <f>世帯数!W26</f>
        <v>36618</v>
      </c>
      <c r="R130" s="762">
        <f>世帯数!X26</f>
        <v>36941</v>
      </c>
      <c r="S130" s="742">
        <f>世帯数!Z26</f>
        <v>37728</v>
      </c>
      <c r="T130" s="742">
        <f>世帯数!AA26</f>
        <v>38194</v>
      </c>
      <c r="U130" s="742">
        <f>世帯数!AB26</f>
        <v>39026</v>
      </c>
      <c r="V130" s="742">
        <f>世帯数!AC26</f>
        <v>39632</v>
      </c>
      <c r="W130" s="730">
        <f>世帯数!AD26</f>
        <v>40068</v>
      </c>
      <c r="X130" s="730">
        <f>世帯数!AE26</f>
        <v>40495</v>
      </c>
      <c r="Y130" s="730">
        <f>世帯数!AF26</f>
        <v>40638</v>
      </c>
      <c r="Z130" s="730">
        <f>世帯数!AG26</f>
        <v>40795</v>
      </c>
      <c r="AA130" s="730">
        <f>世帯数!AH26</f>
        <v>40936</v>
      </c>
      <c r="AB130" s="730">
        <f>世帯数!AI26</f>
        <v>41070</v>
      </c>
      <c r="AC130" s="730">
        <f>世帯数!AJ26</f>
        <v>41403</v>
      </c>
      <c r="AD130" s="730">
        <f>世帯数!AK26</f>
        <v>41795</v>
      </c>
      <c r="AE130" s="730">
        <f>世帯数!AL26</f>
        <v>42013</v>
      </c>
      <c r="AF130" s="730">
        <f>世帯数!AM26</f>
        <v>42314</v>
      </c>
      <c r="AG130" s="730">
        <f>世帯数!AN26</f>
        <v>42401</v>
      </c>
      <c r="AH130" s="730">
        <f>世帯数!AO26</f>
        <v>42526</v>
      </c>
      <c r="AI130" s="730">
        <f>世帯数!AP26</f>
        <v>42677</v>
      </c>
      <c r="AJ130" s="730">
        <f>世帯数!AQ26</f>
        <v>42691</v>
      </c>
      <c r="AK130" s="730"/>
    </row>
    <row r="131" spans="1:37">
      <c r="A131" s="741" t="s">
        <v>191</v>
      </c>
      <c r="B131" s="765"/>
      <c r="C131" s="762">
        <f>世帯数!I27</f>
        <v>5823</v>
      </c>
      <c r="D131" s="742">
        <f>世帯数!J27</f>
        <v>6204</v>
      </c>
      <c r="E131" s="742">
        <f>世帯数!K27</f>
        <v>6563</v>
      </c>
      <c r="F131" s="742">
        <f>世帯数!L27</f>
        <v>7006</v>
      </c>
      <c r="G131" s="742">
        <f>世帯数!M27</f>
        <v>7464</v>
      </c>
      <c r="H131" s="762">
        <f>世帯数!N27</f>
        <v>7641</v>
      </c>
      <c r="I131" s="742">
        <f>世帯数!O27</f>
        <v>7914</v>
      </c>
      <c r="J131" s="742">
        <f>世帯数!P27</f>
        <v>8157</v>
      </c>
      <c r="K131" s="742">
        <f>世帯数!Q27</f>
        <v>8423</v>
      </c>
      <c r="L131" s="742">
        <f>世帯数!R27</f>
        <v>8654</v>
      </c>
      <c r="M131" s="762">
        <f>世帯数!S27</f>
        <v>8700</v>
      </c>
      <c r="N131" s="742">
        <f>世帯数!T27</f>
        <v>8813</v>
      </c>
      <c r="O131" s="742">
        <f>世帯数!U27</f>
        <v>8980</v>
      </c>
      <c r="P131" s="742">
        <f>世帯数!V27</f>
        <v>9063</v>
      </c>
      <c r="Q131" s="742">
        <f>世帯数!W27</f>
        <v>9362</v>
      </c>
      <c r="R131" s="762">
        <f>世帯数!X27</f>
        <v>9741</v>
      </c>
      <c r="S131" s="742">
        <f>世帯数!Z27</f>
        <v>9767</v>
      </c>
      <c r="T131" s="742">
        <f>世帯数!AA27</f>
        <v>10151</v>
      </c>
      <c r="U131" s="742">
        <f>世帯数!AB27</f>
        <v>10448</v>
      </c>
      <c r="V131" s="742">
        <f>世帯数!AC27</f>
        <v>10667</v>
      </c>
      <c r="W131" s="730">
        <f>世帯数!AD27</f>
        <v>10547</v>
      </c>
      <c r="X131" s="730">
        <f>世帯数!AE27</f>
        <v>10606</v>
      </c>
      <c r="Y131" s="730">
        <f>世帯数!AF27</f>
        <v>10602</v>
      </c>
      <c r="Z131" s="730">
        <f>世帯数!AG27</f>
        <v>10623</v>
      </c>
      <c r="AA131" s="730">
        <f>世帯数!AH27</f>
        <v>10736</v>
      </c>
      <c r="AB131" s="730">
        <f>世帯数!AI27</f>
        <v>10780</v>
      </c>
      <c r="AC131" s="730">
        <f>世帯数!AJ27</f>
        <v>10874</v>
      </c>
      <c r="AD131" s="730">
        <f>世帯数!AK27</f>
        <v>10939</v>
      </c>
      <c r="AE131" s="730">
        <f>世帯数!AL27</f>
        <v>11018</v>
      </c>
      <c r="AF131" s="730">
        <f>世帯数!AM27</f>
        <v>11013</v>
      </c>
      <c r="AG131" s="730">
        <f>世帯数!AN27</f>
        <v>10995</v>
      </c>
      <c r="AH131" s="730">
        <f>世帯数!AO27</f>
        <v>11021</v>
      </c>
      <c r="AI131" s="730">
        <f>世帯数!AP27</f>
        <v>11024</v>
      </c>
      <c r="AJ131" s="730">
        <f>世帯数!AQ27</f>
        <v>11014</v>
      </c>
      <c r="AK131" s="730"/>
    </row>
    <row r="132" spans="1:37">
      <c r="A132" s="763" t="s">
        <v>192</v>
      </c>
      <c r="B132" s="764"/>
      <c r="C132" s="762">
        <f>世帯数!I28</f>
        <v>206640</v>
      </c>
      <c r="D132" s="742">
        <f>世帯数!J28</f>
        <v>212656</v>
      </c>
      <c r="E132" s="742">
        <f>世帯数!K28</f>
        <v>218386</v>
      </c>
      <c r="F132" s="742">
        <f>世帯数!L28</f>
        <v>223789</v>
      </c>
      <c r="G132" s="742">
        <f>世帯数!M28</f>
        <v>228787</v>
      </c>
      <c r="H132" s="762">
        <f>世帯数!N28</f>
        <v>235911</v>
      </c>
      <c r="I132" s="742">
        <f>世帯数!O28</f>
        <v>241067</v>
      </c>
      <c r="J132" s="742">
        <f>世帯数!P28</f>
        <v>246370</v>
      </c>
      <c r="K132" s="742">
        <f>世帯数!Q28</f>
        <v>251227</v>
      </c>
      <c r="L132" s="742">
        <f>世帯数!R28</f>
        <v>249900</v>
      </c>
      <c r="M132" s="762">
        <f>世帯数!S28</f>
        <v>250608</v>
      </c>
      <c r="N132" s="742">
        <f>世帯数!T28</f>
        <v>253547</v>
      </c>
      <c r="O132" s="742">
        <f>世帯数!U28</f>
        <v>256145</v>
      </c>
      <c r="P132" s="742">
        <f>世帯数!V28</f>
        <v>258671</v>
      </c>
      <c r="Q132" s="742">
        <f>世帯数!W28</f>
        <v>262146</v>
      </c>
      <c r="R132" s="762">
        <f>世帯数!X28</f>
        <v>264891</v>
      </c>
      <c r="S132" s="742">
        <f>世帯数!Z28</f>
        <v>265589</v>
      </c>
      <c r="T132" s="742">
        <f>世帯数!AA28</f>
        <v>269322</v>
      </c>
      <c r="U132" s="742">
        <f>世帯数!AB28</f>
        <v>273407</v>
      </c>
      <c r="V132" s="742">
        <f>世帯数!AC28</f>
        <v>277345</v>
      </c>
      <c r="W132" s="730">
        <f>世帯数!AD28</f>
        <v>275137</v>
      </c>
      <c r="X132" s="730">
        <f>世帯数!AE28</f>
        <v>277959</v>
      </c>
      <c r="Y132" s="730">
        <f>世帯数!AF28</f>
        <v>279669</v>
      </c>
      <c r="Z132" s="730">
        <f>世帯数!AG28</f>
        <v>281780</v>
      </c>
      <c r="AA132" s="730">
        <f>世帯数!AH28</f>
        <v>283932</v>
      </c>
      <c r="AB132" s="730">
        <f>世帯数!AI28</f>
        <v>286009</v>
      </c>
      <c r="AC132" s="730">
        <f>世帯数!AJ28</f>
        <v>289019</v>
      </c>
      <c r="AD132" s="730">
        <f>世帯数!AK28</f>
        <v>292323</v>
      </c>
      <c r="AE132" s="730">
        <f>世帯数!AL28</f>
        <v>295659</v>
      </c>
      <c r="AF132" s="730">
        <f>世帯数!AM28</f>
        <v>299169</v>
      </c>
      <c r="AG132" s="730">
        <f>世帯数!AN28</f>
        <v>302730</v>
      </c>
      <c r="AH132" s="730">
        <f>世帯数!AO28</f>
        <v>304950</v>
      </c>
      <c r="AI132" s="730">
        <f>世帯数!AP28</f>
        <v>307351</v>
      </c>
      <c r="AJ132" s="730">
        <f>世帯数!AQ28</f>
        <v>310022</v>
      </c>
      <c r="AK132" s="730"/>
    </row>
    <row r="133" spans="1:37">
      <c r="A133" s="741" t="s">
        <v>193</v>
      </c>
      <c r="B133" s="765"/>
      <c r="C133" s="762">
        <f>世帯数!I29</f>
        <v>89365</v>
      </c>
      <c r="D133" s="742">
        <f>世帯数!J29</f>
        <v>92356</v>
      </c>
      <c r="E133" s="742">
        <f>世帯数!K29</f>
        <v>94692</v>
      </c>
      <c r="F133" s="742">
        <f>世帯数!L29</f>
        <v>96696</v>
      </c>
      <c r="G133" s="742">
        <f>世帯数!M29</f>
        <v>98757</v>
      </c>
      <c r="H133" s="762">
        <f>世帯数!N29</f>
        <v>101019</v>
      </c>
      <c r="I133" s="742">
        <f>世帯数!O29</f>
        <v>102905</v>
      </c>
      <c r="J133" s="742">
        <f>世帯数!P29</f>
        <v>105366</v>
      </c>
      <c r="K133" s="742">
        <f>世帯数!Q29</f>
        <v>107692</v>
      </c>
      <c r="L133" s="742">
        <f>世帯数!R29</f>
        <v>105648</v>
      </c>
      <c r="M133" s="762">
        <f>世帯数!S29</f>
        <v>107610</v>
      </c>
      <c r="N133" s="742">
        <f>世帯数!T29</f>
        <v>108608</v>
      </c>
      <c r="O133" s="742">
        <f>世帯数!U29</f>
        <v>109231</v>
      </c>
      <c r="P133" s="742">
        <f>世帯数!V29</f>
        <v>110316</v>
      </c>
      <c r="Q133" s="742">
        <f>世帯数!W29</f>
        <v>111842</v>
      </c>
      <c r="R133" s="762">
        <f>世帯数!X29</f>
        <v>112940</v>
      </c>
      <c r="S133" s="742">
        <f>世帯数!Z29</f>
        <v>112912</v>
      </c>
      <c r="T133" s="742">
        <f>世帯数!AA29</f>
        <v>114636</v>
      </c>
      <c r="U133" s="742">
        <f>世帯数!AB29</f>
        <v>116292</v>
      </c>
      <c r="V133" s="742">
        <f>世帯数!AC29</f>
        <v>118249</v>
      </c>
      <c r="W133" s="730">
        <f>世帯数!AD29</f>
        <v>116948</v>
      </c>
      <c r="X133" s="730">
        <f>世帯数!AE29</f>
        <v>117767</v>
      </c>
      <c r="Y133" s="730">
        <f>世帯数!AF29</f>
        <v>118386</v>
      </c>
      <c r="Z133" s="730">
        <f>世帯数!AG29</f>
        <v>119467</v>
      </c>
      <c r="AA133" s="730">
        <f>世帯数!AH29</f>
        <v>120604</v>
      </c>
      <c r="AB133" s="730">
        <f>世帯数!AI29</f>
        <v>121890</v>
      </c>
      <c r="AC133" s="730">
        <f>世帯数!AJ29</f>
        <v>123795</v>
      </c>
      <c r="AD133" s="730">
        <f>世帯数!AK29</f>
        <v>126624</v>
      </c>
      <c r="AE133" s="730">
        <f>世帯数!AL29</f>
        <v>129153</v>
      </c>
      <c r="AF133" s="730">
        <f>世帯数!AM29</f>
        <v>131641</v>
      </c>
      <c r="AG133" s="730">
        <f>世帯数!AN29</f>
        <v>133647</v>
      </c>
      <c r="AH133" s="730">
        <f>世帯数!AO29</f>
        <v>134566</v>
      </c>
      <c r="AI133" s="730">
        <f>世帯数!AP29</f>
        <v>135788</v>
      </c>
      <c r="AJ133" s="730">
        <f>世帯数!AQ29</f>
        <v>137171</v>
      </c>
      <c r="AK133" s="730"/>
    </row>
    <row r="134" spans="1:37">
      <c r="A134" s="741" t="s">
        <v>194</v>
      </c>
      <c r="B134" s="765"/>
      <c r="C134" s="762">
        <f>世帯数!I30</f>
        <v>71715</v>
      </c>
      <c r="D134" s="742">
        <f>世帯数!J30</f>
        <v>73709</v>
      </c>
      <c r="E134" s="742">
        <f>世帯数!K30</f>
        <v>75991</v>
      </c>
      <c r="F134" s="742">
        <f>世帯数!L30</f>
        <v>78091</v>
      </c>
      <c r="G134" s="742">
        <f>世帯数!M30</f>
        <v>79956</v>
      </c>
      <c r="H134" s="762">
        <f>世帯数!N30</f>
        <v>83792</v>
      </c>
      <c r="I134" s="742">
        <f>世帯数!O30</f>
        <v>85941</v>
      </c>
      <c r="J134" s="742">
        <f>世帯数!P30</f>
        <v>87818</v>
      </c>
      <c r="K134" s="742">
        <f>世帯数!Q30</f>
        <v>89630</v>
      </c>
      <c r="L134" s="742">
        <f>世帯数!R30</f>
        <v>90208</v>
      </c>
      <c r="M134" s="762">
        <f>世帯数!S30</f>
        <v>89533</v>
      </c>
      <c r="N134" s="742">
        <f>世帯数!T30</f>
        <v>90785</v>
      </c>
      <c r="O134" s="742">
        <f>世帯数!U30</f>
        <v>92016</v>
      </c>
      <c r="P134" s="742">
        <f>世帯数!V30</f>
        <v>93082</v>
      </c>
      <c r="Q134" s="742">
        <f>世帯数!W30</f>
        <v>94374</v>
      </c>
      <c r="R134" s="762">
        <f>世帯数!X30</f>
        <v>95483</v>
      </c>
      <c r="S134" s="742">
        <f>世帯数!Z30</f>
        <v>95952</v>
      </c>
      <c r="T134" s="742">
        <f>世帯数!AA30</f>
        <v>97390</v>
      </c>
      <c r="U134" s="742">
        <f>世帯数!AB30</f>
        <v>98963</v>
      </c>
      <c r="V134" s="742">
        <f>世帯数!AC30</f>
        <v>100313</v>
      </c>
      <c r="W134" s="730">
        <f>世帯数!AD30</f>
        <v>99645</v>
      </c>
      <c r="X134" s="730">
        <f>世帯数!AE30</f>
        <v>101187</v>
      </c>
      <c r="Y134" s="730">
        <f>世帯数!AF30</f>
        <v>101791</v>
      </c>
      <c r="Z134" s="730">
        <f>世帯数!AG30</f>
        <v>102468</v>
      </c>
      <c r="AA134" s="730">
        <f>世帯数!AH30</f>
        <v>103038</v>
      </c>
      <c r="AB134" s="730">
        <f>世帯数!AI30</f>
        <v>103495</v>
      </c>
      <c r="AC134" s="730">
        <f>世帯数!AJ30</f>
        <v>104142</v>
      </c>
      <c r="AD134" s="730">
        <f>世帯数!AK30</f>
        <v>104608</v>
      </c>
      <c r="AE134" s="730">
        <f>世帯数!AL30</f>
        <v>105357</v>
      </c>
      <c r="AF134" s="730">
        <f>世帯数!AM30</f>
        <v>106100</v>
      </c>
      <c r="AG134" s="730">
        <f>世帯数!AN30</f>
        <v>107195</v>
      </c>
      <c r="AH134" s="730">
        <f>世帯数!AO30</f>
        <v>108113</v>
      </c>
      <c r="AI134" s="730">
        <f>世帯数!AP30</f>
        <v>108791</v>
      </c>
      <c r="AJ134" s="730">
        <f>世帯数!AQ30</f>
        <v>109569</v>
      </c>
      <c r="AK134" s="730"/>
    </row>
    <row r="135" spans="1:37">
      <c r="A135" s="741" t="s">
        <v>195</v>
      </c>
      <c r="B135" s="765"/>
      <c r="C135" s="762">
        <f>世帯数!I31</f>
        <v>28497</v>
      </c>
      <c r="D135" s="742">
        <f>世帯数!J31</f>
        <v>29008</v>
      </c>
      <c r="E135" s="742">
        <f>世帯数!K31</f>
        <v>29704</v>
      </c>
      <c r="F135" s="742">
        <f>世帯数!L31</f>
        <v>30388</v>
      </c>
      <c r="G135" s="742">
        <f>世帯数!M31</f>
        <v>31102</v>
      </c>
      <c r="H135" s="762">
        <f>世帯数!N31</f>
        <v>31726</v>
      </c>
      <c r="I135" s="742">
        <f>世帯数!O31</f>
        <v>32169</v>
      </c>
      <c r="J135" s="742">
        <f>世帯数!P31</f>
        <v>32692</v>
      </c>
      <c r="K135" s="742">
        <f>世帯数!Q31</f>
        <v>33125</v>
      </c>
      <c r="L135" s="742">
        <f>世帯数!R31</f>
        <v>32992</v>
      </c>
      <c r="M135" s="762">
        <f>世帯数!S31</f>
        <v>32633</v>
      </c>
      <c r="N135" s="742">
        <f>世帯数!T31</f>
        <v>32917</v>
      </c>
      <c r="O135" s="742">
        <f>世帯数!U31</f>
        <v>33317</v>
      </c>
      <c r="P135" s="742">
        <f>世帯数!V31</f>
        <v>33509</v>
      </c>
      <c r="Q135" s="742">
        <f>世帯数!W31</f>
        <v>33812</v>
      </c>
      <c r="R135" s="762">
        <f>世帯数!X31</f>
        <v>34073</v>
      </c>
      <c r="S135" s="742">
        <f>世帯数!Z31</f>
        <v>34378</v>
      </c>
      <c r="T135" s="742">
        <f>世帯数!AA31</f>
        <v>34663</v>
      </c>
      <c r="U135" s="742">
        <f>世帯数!AB31</f>
        <v>35258</v>
      </c>
      <c r="V135" s="742">
        <f>世帯数!AC31</f>
        <v>35674</v>
      </c>
      <c r="W135" s="730">
        <f>世帯数!AD31</f>
        <v>35737</v>
      </c>
      <c r="X135" s="730">
        <f>世帯数!AE31</f>
        <v>35796</v>
      </c>
      <c r="Y135" s="730">
        <f>世帯数!AF31</f>
        <v>35944</v>
      </c>
      <c r="Z135" s="730">
        <f>世帯数!AG31</f>
        <v>36010</v>
      </c>
      <c r="AA135" s="730">
        <f>世帯数!AH31</f>
        <v>36168</v>
      </c>
      <c r="AB135" s="730">
        <f>世帯数!AI31</f>
        <v>36340</v>
      </c>
      <c r="AC135" s="730">
        <f>世帯数!AJ31</f>
        <v>36561</v>
      </c>
      <c r="AD135" s="730">
        <f>世帯数!AK31</f>
        <v>36484</v>
      </c>
      <c r="AE135" s="730">
        <f>世帯数!AL31</f>
        <v>36417</v>
      </c>
      <c r="AF135" s="730">
        <f>世帯数!AM31</f>
        <v>36481</v>
      </c>
      <c r="AG135" s="730">
        <f>世帯数!AN31</f>
        <v>36712</v>
      </c>
      <c r="AH135" s="730">
        <f>世帯数!AO31</f>
        <v>36812</v>
      </c>
      <c r="AI135" s="730">
        <f>世帯数!AP31</f>
        <v>37044</v>
      </c>
      <c r="AJ135" s="730">
        <f>世帯数!AQ31</f>
        <v>37237</v>
      </c>
      <c r="AK135" s="730"/>
    </row>
    <row r="136" spans="1:37">
      <c r="A136" s="741" t="s">
        <v>196</v>
      </c>
      <c r="B136" s="765"/>
      <c r="C136" s="762">
        <f>世帯数!I32</f>
        <v>7863</v>
      </c>
      <c r="D136" s="742">
        <f>世帯数!J32</f>
        <v>8028</v>
      </c>
      <c r="E136" s="742">
        <f>世帯数!K32</f>
        <v>8259</v>
      </c>
      <c r="F136" s="742">
        <f>世帯数!L32</f>
        <v>8448</v>
      </c>
      <c r="G136" s="742">
        <f>世帯数!M32</f>
        <v>8599</v>
      </c>
      <c r="H136" s="762">
        <f>世帯数!N32</f>
        <v>8569</v>
      </c>
      <c r="I136" s="742">
        <f>世帯数!O32</f>
        <v>8815</v>
      </c>
      <c r="J136" s="742">
        <f>世帯数!P32</f>
        <v>9018</v>
      </c>
      <c r="K136" s="742">
        <f>世帯数!Q32</f>
        <v>9167</v>
      </c>
      <c r="L136" s="742">
        <f>世帯数!R32</f>
        <v>9353</v>
      </c>
      <c r="M136" s="762">
        <f>世帯数!S32</f>
        <v>9446</v>
      </c>
      <c r="N136" s="742">
        <f>世帯数!T32</f>
        <v>9660</v>
      </c>
      <c r="O136" s="742">
        <f>世帯数!U32</f>
        <v>9817</v>
      </c>
      <c r="P136" s="742">
        <f>世帯数!V32</f>
        <v>9909</v>
      </c>
      <c r="Q136" s="742">
        <f>世帯数!W32</f>
        <v>10096</v>
      </c>
      <c r="R136" s="762">
        <f>世帯数!X32</f>
        <v>10215</v>
      </c>
      <c r="S136" s="742">
        <f>世帯数!Z32</f>
        <v>10066</v>
      </c>
      <c r="T136" s="742">
        <f>世帯数!AA32</f>
        <v>10181</v>
      </c>
      <c r="U136" s="742">
        <f>世帯数!AB32</f>
        <v>10309</v>
      </c>
      <c r="V136" s="742">
        <f>世帯数!AC32</f>
        <v>10359</v>
      </c>
      <c r="W136" s="730">
        <f>世帯数!AD32</f>
        <v>10226</v>
      </c>
      <c r="X136" s="730">
        <f>世帯数!AE32</f>
        <v>10397</v>
      </c>
      <c r="Y136" s="730">
        <f>世帯数!AF32</f>
        <v>10559</v>
      </c>
      <c r="Z136" s="730">
        <f>世帯数!AG32</f>
        <v>10733</v>
      </c>
      <c r="AA136" s="730">
        <f>世帯数!AH32</f>
        <v>10885</v>
      </c>
      <c r="AB136" s="730">
        <f>世帯数!AI32</f>
        <v>11026</v>
      </c>
      <c r="AC136" s="730">
        <f>世帯数!AJ32</f>
        <v>11124</v>
      </c>
      <c r="AD136" s="730">
        <f>世帯数!AK32</f>
        <v>11143</v>
      </c>
      <c r="AE136" s="730">
        <f>世帯数!AL32</f>
        <v>11216</v>
      </c>
      <c r="AF136" s="730">
        <f>世帯数!AM32</f>
        <v>11301</v>
      </c>
      <c r="AG136" s="730">
        <f>世帯数!AN32</f>
        <v>11384</v>
      </c>
      <c r="AH136" s="730">
        <f>世帯数!AO32</f>
        <v>11492</v>
      </c>
      <c r="AI136" s="730">
        <f>世帯数!AP32</f>
        <v>11624</v>
      </c>
      <c r="AJ136" s="730">
        <f>世帯数!AQ32</f>
        <v>11790</v>
      </c>
      <c r="AK136" s="730"/>
    </row>
    <row r="137" spans="1:37">
      <c r="A137" s="741" t="s">
        <v>197</v>
      </c>
      <c r="B137" s="765"/>
      <c r="C137" s="762">
        <f>世帯数!I33</f>
        <v>9200</v>
      </c>
      <c r="D137" s="742">
        <f>世帯数!J33</f>
        <v>9555</v>
      </c>
      <c r="E137" s="742">
        <f>世帯数!K33</f>
        <v>9740</v>
      </c>
      <c r="F137" s="742">
        <f>世帯数!L33</f>
        <v>10166</v>
      </c>
      <c r="G137" s="742">
        <f>世帯数!M33</f>
        <v>10373</v>
      </c>
      <c r="H137" s="762">
        <f>世帯数!N33</f>
        <v>10805</v>
      </c>
      <c r="I137" s="742">
        <f>世帯数!O33</f>
        <v>11237</v>
      </c>
      <c r="J137" s="742">
        <f>世帯数!P33</f>
        <v>11476</v>
      </c>
      <c r="K137" s="742">
        <f>世帯数!Q33</f>
        <v>11613</v>
      </c>
      <c r="L137" s="742">
        <f>世帯数!R33</f>
        <v>11699</v>
      </c>
      <c r="M137" s="762">
        <f>世帯数!S33</f>
        <v>11386</v>
      </c>
      <c r="N137" s="742">
        <f>世帯数!T33</f>
        <v>11577</v>
      </c>
      <c r="O137" s="742">
        <f>世帯数!U33</f>
        <v>11764</v>
      </c>
      <c r="P137" s="742">
        <f>世帯数!V33</f>
        <v>11855</v>
      </c>
      <c r="Q137" s="742">
        <f>世帯数!W33</f>
        <v>12022</v>
      </c>
      <c r="R137" s="762">
        <f>世帯数!X33</f>
        <v>12180</v>
      </c>
      <c r="S137" s="742">
        <f>世帯数!Z33</f>
        <v>12281</v>
      </c>
      <c r="T137" s="742">
        <f>世帯数!AA33</f>
        <v>12452</v>
      </c>
      <c r="U137" s="742">
        <f>世帯数!AB33</f>
        <v>12585</v>
      </c>
      <c r="V137" s="742">
        <f>世帯数!AC33</f>
        <v>12750</v>
      </c>
      <c r="W137" s="730">
        <f>世帯数!AD33</f>
        <v>12581</v>
      </c>
      <c r="X137" s="730">
        <f>世帯数!AE33</f>
        <v>12812</v>
      </c>
      <c r="Y137" s="730">
        <f>世帯数!AF33</f>
        <v>12989</v>
      </c>
      <c r="Z137" s="730">
        <f>世帯数!AG33</f>
        <v>13102</v>
      </c>
      <c r="AA137" s="730">
        <f>世帯数!AH33</f>
        <v>13237</v>
      </c>
      <c r="AB137" s="730">
        <f>世帯数!AI33</f>
        <v>13258</v>
      </c>
      <c r="AC137" s="730">
        <f>世帯数!AJ33</f>
        <v>13397</v>
      </c>
      <c r="AD137" s="730">
        <f>世帯数!AK33</f>
        <v>13464</v>
      </c>
      <c r="AE137" s="730">
        <f>世帯数!AL33</f>
        <v>13516</v>
      </c>
      <c r="AF137" s="730">
        <f>世帯数!AM33</f>
        <v>13646</v>
      </c>
      <c r="AG137" s="730">
        <f>世帯数!AN33</f>
        <v>13792</v>
      </c>
      <c r="AH137" s="730">
        <f>世帯数!AO33</f>
        <v>13967</v>
      </c>
      <c r="AI137" s="730">
        <f>世帯数!AP33</f>
        <v>14104</v>
      </c>
      <c r="AJ137" s="730">
        <f>世帯数!AQ33</f>
        <v>14255</v>
      </c>
      <c r="AK137" s="730"/>
    </row>
    <row r="138" spans="1:37">
      <c r="A138" s="766" t="s">
        <v>198</v>
      </c>
      <c r="B138" s="767"/>
      <c r="C138" s="762">
        <f>世帯数!I34</f>
        <v>78226</v>
      </c>
      <c r="D138" s="742">
        <f>世帯数!J34</f>
        <v>80304</v>
      </c>
      <c r="E138" s="742">
        <f>世帯数!K34</f>
        <v>81771</v>
      </c>
      <c r="F138" s="742">
        <f>世帯数!L34</f>
        <v>83251</v>
      </c>
      <c r="G138" s="742">
        <f>世帯数!M34</f>
        <v>84638</v>
      </c>
      <c r="H138" s="762">
        <f>世帯数!N34</f>
        <v>84988</v>
      </c>
      <c r="I138" s="742">
        <f>世帯数!O34</f>
        <v>86687</v>
      </c>
      <c r="J138" s="742">
        <f>世帯数!P34</f>
        <v>88373</v>
      </c>
      <c r="K138" s="742">
        <f>世帯数!Q34</f>
        <v>89770</v>
      </c>
      <c r="L138" s="742">
        <f>世帯数!R34</f>
        <v>89883</v>
      </c>
      <c r="M138" s="762">
        <f>世帯数!S34</f>
        <v>91112</v>
      </c>
      <c r="N138" s="742">
        <f>世帯数!T34</f>
        <v>91157</v>
      </c>
      <c r="O138" s="742">
        <f>世帯数!U34</f>
        <v>91893</v>
      </c>
      <c r="P138" s="742">
        <f>世帯数!V34</f>
        <v>92727</v>
      </c>
      <c r="Q138" s="742">
        <f>世帯数!W34</f>
        <v>93710</v>
      </c>
      <c r="R138" s="762">
        <f>世帯数!X34</f>
        <v>94747</v>
      </c>
      <c r="S138" s="742">
        <f>世帯数!Z34</f>
        <v>94168</v>
      </c>
      <c r="T138" s="742">
        <f>世帯数!AA34</f>
        <v>95123</v>
      </c>
      <c r="U138" s="742">
        <f>世帯数!AB34</f>
        <v>96325</v>
      </c>
      <c r="V138" s="742">
        <f>世帯数!AC34</f>
        <v>97299</v>
      </c>
      <c r="W138" s="730">
        <f>世帯数!AD34</f>
        <v>95995</v>
      </c>
      <c r="X138" s="730">
        <f>世帯数!AE34</f>
        <v>96500</v>
      </c>
      <c r="Y138" s="730">
        <f>世帯数!AF34</f>
        <v>96816</v>
      </c>
      <c r="Z138" s="730">
        <f>世帯数!AG34</f>
        <v>97037</v>
      </c>
      <c r="AA138" s="730">
        <f>世帯数!AH34</f>
        <v>97275</v>
      </c>
      <c r="AB138" s="730">
        <f>世帯数!AI34</f>
        <v>97677</v>
      </c>
      <c r="AC138" s="730">
        <f>世帯数!AJ34</f>
        <v>98755</v>
      </c>
      <c r="AD138" s="730">
        <f>世帯数!AK34</f>
        <v>99760</v>
      </c>
      <c r="AE138" s="730">
        <f>世帯数!AL34</f>
        <v>100911</v>
      </c>
      <c r="AF138" s="730">
        <f>世帯数!AM34</f>
        <v>102150</v>
      </c>
      <c r="AG138" s="730">
        <f>世帯数!AN34</f>
        <v>103224</v>
      </c>
      <c r="AH138" s="730">
        <f>世帯数!AO34</f>
        <v>103187</v>
      </c>
      <c r="AI138" s="730">
        <f>世帯数!AP34</f>
        <v>103853</v>
      </c>
      <c r="AJ138" s="730">
        <f>世帯数!AQ34</f>
        <v>104456</v>
      </c>
      <c r="AK138" s="730"/>
    </row>
    <row r="139" spans="1:37">
      <c r="A139" s="768" t="s">
        <v>231</v>
      </c>
      <c r="B139" s="769"/>
      <c r="C139" s="762">
        <f>世帯数!I35</f>
        <v>13007</v>
      </c>
      <c r="D139" s="742">
        <f>世帯数!J35</f>
        <v>13132</v>
      </c>
      <c r="E139" s="742">
        <f>世帯数!K35</f>
        <v>13353</v>
      </c>
      <c r="F139" s="742">
        <f>世帯数!L35</f>
        <v>13581</v>
      </c>
      <c r="G139" s="742">
        <f>世帯数!M35</f>
        <v>13754</v>
      </c>
      <c r="H139" s="762">
        <f>世帯数!N35</f>
        <v>13880</v>
      </c>
      <c r="I139" s="742">
        <f>世帯数!O35</f>
        <v>14133</v>
      </c>
      <c r="J139" s="742">
        <f>世帯数!P35</f>
        <v>14353</v>
      </c>
      <c r="K139" s="742">
        <f>世帯数!Q35</f>
        <v>14545</v>
      </c>
      <c r="L139" s="742">
        <f>世帯数!R35</f>
        <v>14721</v>
      </c>
      <c r="M139" s="762">
        <f>世帯数!S35</f>
        <v>14657</v>
      </c>
      <c r="N139" s="742">
        <f>世帯数!T35</f>
        <v>14743</v>
      </c>
      <c r="O139" s="742">
        <f>世帯数!U35</f>
        <v>14809</v>
      </c>
      <c r="P139" s="742">
        <f>世帯数!V35</f>
        <v>14923</v>
      </c>
      <c r="Q139" s="742">
        <f>世帯数!W35</f>
        <v>15007</v>
      </c>
      <c r="R139" s="762">
        <f>世帯数!X35</f>
        <v>15152</v>
      </c>
      <c r="S139" s="742">
        <f>世帯数!Z35</f>
        <v>14776</v>
      </c>
      <c r="T139" s="742">
        <f>世帯数!AA35</f>
        <v>14844</v>
      </c>
      <c r="U139" s="742">
        <f>世帯数!AB35</f>
        <v>15054</v>
      </c>
      <c r="V139" s="742">
        <f>世帯数!AC35</f>
        <v>15216</v>
      </c>
      <c r="W139" s="730">
        <f>世帯数!AD35</f>
        <v>14989</v>
      </c>
      <c r="X139" s="730">
        <f>世帯数!AE35</f>
        <v>15059</v>
      </c>
      <c r="Y139" s="730">
        <f>世帯数!AF35</f>
        <v>15054</v>
      </c>
      <c r="Z139" s="730">
        <f>世帯数!AG35</f>
        <v>15079</v>
      </c>
      <c r="AA139" s="730">
        <f>世帯数!AH35</f>
        <v>15054</v>
      </c>
      <c r="AB139" s="730">
        <f>世帯数!AI35</f>
        <v>15049</v>
      </c>
      <c r="AC139" s="730">
        <f>世帯数!AJ35</f>
        <v>15033</v>
      </c>
      <c r="AD139" s="730">
        <f>世帯数!AK35</f>
        <v>15022</v>
      </c>
      <c r="AE139" s="730">
        <f>世帯数!AL35</f>
        <v>15085</v>
      </c>
      <c r="AF139" s="730">
        <f>世帯数!AM35</f>
        <v>15118</v>
      </c>
      <c r="AG139" s="730">
        <f>世帯数!AN35</f>
        <v>15167</v>
      </c>
      <c r="AH139" s="730">
        <f>世帯数!AO35</f>
        <v>15037</v>
      </c>
      <c r="AI139" s="730">
        <f>世帯数!AP35</f>
        <v>15070</v>
      </c>
      <c r="AJ139" s="730">
        <f>世帯数!AQ35</f>
        <v>15092</v>
      </c>
      <c r="AK139" s="730"/>
    </row>
    <row r="140" spans="1:37">
      <c r="A140" s="768" t="s">
        <v>232</v>
      </c>
      <c r="B140" s="769"/>
      <c r="C140" s="762">
        <f>世帯数!I36</f>
        <v>23297</v>
      </c>
      <c r="D140" s="742">
        <f>世帯数!J36</f>
        <v>23700</v>
      </c>
      <c r="E140" s="742">
        <f>世帯数!K36</f>
        <v>24142</v>
      </c>
      <c r="F140" s="742">
        <f>世帯数!L36</f>
        <v>24466</v>
      </c>
      <c r="G140" s="742">
        <f>世帯数!M36</f>
        <v>24841</v>
      </c>
      <c r="H140" s="762">
        <f>世帯数!N36</f>
        <v>25377</v>
      </c>
      <c r="I140" s="742">
        <f>世帯数!O36</f>
        <v>25985</v>
      </c>
      <c r="J140" s="742">
        <f>世帯数!P36</f>
        <v>26568</v>
      </c>
      <c r="K140" s="742">
        <f>世帯数!Q36</f>
        <v>26978</v>
      </c>
      <c r="L140" s="742">
        <f>世帯数!R36</f>
        <v>26089</v>
      </c>
      <c r="M140" s="762">
        <f>世帯数!S36</f>
        <v>26564</v>
      </c>
      <c r="N140" s="742">
        <f>世帯数!T36</f>
        <v>26947</v>
      </c>
      <c r="O140" s="742">
        <f>世帯数!U36</f>
        <v>27250</v>
      </c>
      <c r="P140" s="742">
        <f>世帯数!V36</f>
        <v>27507</v>
      </c>
      <c r="Q140" s="742">
        <f>世帯数!W36</f>
        <v>27849</v>
      </c>
      <c r="R140" s="762">
        <f>世帯数!X36</f>
        <v>28195</v>
      </c>
      <c r="S140" s="742">
        <f>世帯数!Z36</f>
        <v>28071</v>
      </c>
      <c r="T140" s="742">
        <f>世帯数!AA36</f>
        <v>28414</v>
      </c>
      <c r="U140" s="742">
        <f>世帯数!AB36</f>
        <v>28831</v>
      </c>
      <c r="V140" s="742">
        <f>世帯数!AC36</f>
        <v>29141</v>
      </c>
      <c r="W140" s="730">
        <f>世帯数!AD36</f>
        <v>28506</v>
      </c>
      <c r="X140" s="730">
        <f>世帯数!AE36</f>
        <v>28575</v>
      </c>
      <c r="Y140" s="730">
        <f>世帯数!AF36</f>
        <v>28521</v>
      </c>
      <c r="Z140" s="730">
        <f>世帯数!AG36</f>
        <v>28466</v>
      </c>
      <c r="AA140" s="730">
        <f>世帯数!AH36</f>
        <v>28489</v>
      </c>
      <c r="AB140" s="730">
        <f>世帯数!AI36</f>
        <v>28653</v>
      </c>
      <c r="AC140" s="730">
        <f>世帯数!AJ36</f>
        <v>28964</v>
      </c>
      <c r="AD140" s="730">
        <f>世帯数!AK36</f>
        <v>29297</v>
      </c>
      <c r="AE140" s="730">
        <f>世帯数!AL36</f>
        <v>29637</v>
      </c>
      <c r="AF140" s="730">
        <f>世帯数!AM36</f>
        <v>29972</v>
      </c>
      <c r="AG140" s="730">
        <f>世帯数!AN36</f>
        <v>30370</v>
      </c>
      <c r="AH140" s="730">
        <f>世帯数!AO36</f>
        <v>30449</v>
      </c>
      <c r="AI140" s="730">
        <f>世帯数!AP36</f>
        <v>30623</v>
      </c>
      <c r="AJ140" s="730">
        <f>世帯数!AQ36</f>
        <v>30815</v>
      </c>
      <c r="AK140" s="730"/>
    </row>
    <row r="141" spans="1:37">
      <c r="A141" s="741" t="s">
        <v>200</v>
      </c>
      <c r="B141" s="765"/>
      <c r="C141" s="762">
        <f>世帯数!I37</f>
        <v>12164</v>
      </c>
      <c r="D141" s="742">
        <f>世帯数!J37</f>
        <v>12457</v>
      </c>
      <c r="E141" s="742">
        <f>世帯数!K37</f>
        <v>12811</v>
      </c>
      <c r="F141" s="742">
        <f>世帯数!L37</f>
        <v>13170</v>
      </c>
      <c r="G141" s="742">
        <f>世帯数!M37</f>
        <v>13513</v>
      </c>
      <c r="H141" s="762">
        <f>世帯数!N37</f>
        <v>13881</v>
      </c>
      <c r="I141" s="742">
        <f>世帯数!O37</f>
        <v>14132</v>
      </c>
      <c r="J141" s="742">
        <f>世帯数!P37</f>
        <v>14432</v>
      </c>
      <c r="K141" s="742">
        <f>世帯数!Q37</f>
        <v>14831</v>
      </c>
      <c r="L141" s="742">
        <f>世帯数!R37</f>
        <v>15186</v>
      </c>
      <c r="M141" s="762">
        <f>世帯数!S37</f>
        <v>14881</v>
      </c>
      <c r="N141" s="742">
        <f>世帯数!T37</f>
        <v>15063</v>
      </c>
      <c r="O141" s="742">
        <f>世帯数!U37</f>
        <v>15264</v>
      </c>
      <c r="P141" s="742">
        <f>世帯数!V37</f>
        <v>15535</v>
      </c>
      <c r="Q141" s="742">
        <f>世帯数!W37</f>
        <v>15745</v>
      </c>
      <c r="R141" s="762">
        <f>世帯数!X37</f>
        <v>16003</v>
      </c>
      <c r="S141" s="742">
        <f>世帯数!Z37</f>
        <v>16093</v>
      </c>
      <c r="T141" s="742">
        <f>世帯数!AA37</f>
        <v>16314</v>
      </c>
      <c r="U141" s="742">
        <f>世帯数!AB37</f>
        <v>16582</v>
      </c>
      <c r="V141" s="742">
        <f>世帯数!AC37</f>
        <v>16923</v>
      </c>
      <c r="W141" s="730">
        <f>世帯数!AD37</f>
        <v>16470</v>
      </c>
      <c r="X141" s="730">
        <f>世帯数!AE37</f>
        <v>16639</v>
      </c>
      <c r="Y141" s="730">
        <f>世帯数!AF37</f>
        <v>16740</v>
      </c>
      <c r="Z141" s="730">
        <f>世帯数!AG37</f>
        <v>16844</v>
      </c>
      <c r="AA141" s="730">
        <f>世帯数!AH37</f>
        <v>16893</v>
      </c>
      <c r="AB141" s="730">
        <f>世帯数!AI37</f>
        <v>16860</v>
      </c>
      <c r="AC141" s="730">
        <f>世帯数!AJ37</f>
        <v>17005</v>
      </c>
      <c r="AD141" s="730">
        <f>世帯数!AK37</f>
        <v>17268</v>
      </c>
      <c r="AE141" s="730">
        <f>世帯数!AL37</f>
        <v>17440</v>
      </c>
      <c r="AF141" s="730">
        <f>世帯数!AM37</f>
        <v>17663</v>
      </c>
      <c r="AG141" s="730">
        <f>世帯数!AN37</f>
        <v>17810</v>
      </c>
      <c r="AH141" s="730">
        <f>世帯数!AO37</f>
        <v>17985</v>
      </c>
      <c r="AI141" s="730">
        <f>世帯数!AP37</f>
        <v>18122</v>
      </c>
      <c r="AJ141" s="730">
        <f>世帯数!AQ37</f>
        <v>18302</v>
      </c>
      <c r="AK141" s="730"/>
    </row>
    <row r="142" spans="1:37">
      <c r="A142" s="741" t="s">
        <v>201</v>
      </c>
      <c r="B142" s="765"/>
      <c r="C142" s="762">
        <f>世帯数!I38</f>
        <v>13280</v>
      </c>
      <c r="D142" s="742">
        <f>世帯数!J38</f>
        <v>14007</v>
      </c>
      <c r="E142" s="742">
        <f>世帯数!K38</f>
        <v>14182</v>
      </c>
      <c r="F142" s="742">
        <f>世帯数!L38</f>
        <v>14451</v>
      </c>
      <c r="G142" s="742">
        <f>世帯数!M38</f>
        <v>14740</v>
      </c>
      <c r="H142" s="762">
        <f>世帯数!N38</f>
        <v>13925</v>
      </c>
      <c r="I142" s="742">
        <f>世帯数!O38</f>
        <v>14095</v>
      </c>
      <c r="J142" s="742">
        <f>世帯数!P38</f>
        <v>14332</v>
      </c>
      <c r="K142" s="742">
        <f>世帯数!Q38</f>
        <v>14468</v>
      </c>
      <c r="L142" s="742">
        <f>世帯数!R38</f>
        <v>14692</v>
      </c>
      <c r="M142" s="762">
        <f>世帯数!S38</f>
        <v>14631</v>
      </c>
      <c r="N142" s="742">
        <f>世帯数!T38</f>
        <v>14880</v>
      </c>
      <c r="O142" s="742">
        <f>世帯数!U38</f>
        <v>14937</v>
      </c>
      <c r="P142" s="742">
        <f>世帯数!V38</f>
        <v>15048</v>
      </c>
      <c r="Q142" s="742">
        <f>世帯数!W38</f>
        <v>15227</v>
      </c>
      <c r="R142" s="762">
        <f>世帯数!X38</f>
        <v>15355</v>
      </c>
      <c r="S142" s="742">
        <f>世帯数!Z38</f>
        <v>15180</v>
      </c>
      <c r="T142" s="742">
        <f>世帯数!AA38</f>
        <v>15283</v>
      </c>
      <c r="U142" s="742">
        <f>世帯数!AB38</f>
        <v>15405</v>
      </c>
      <c r="V142" s="742">
        <f>世帯数!AC38</f>
        <v>15412</v>
      </c>
      <c r="W142" s="730">
        <f>世帯数!AD38</f>
        <v>15188</v>
      </c>
      <c r="X142" s="730">
        <f>世帯数!AE38</f>
        <v>15218</v>
      </c>
      <c r="Y142" s="730">
        <f>世帯数!AF38</f>
        <v>15248</v>
      </c>
      <c r="Z142" s="730">
        <f>世帯数!AG38</f>
        <v>15226</v>
      </c>
      <c r="AA142" s="730">
        <f>世帯数!AH38</f>
        <v>15315</v>
      </c>
      <c r="AB142" s="730">
        <f>世帯数!AI38</f>
        <v>15364</v>
      </c>
      <c r="AC142" s="730">
        <f>世帯数!AJ38</f>
        <v>15543</v>
      </c>
      <c r="AD142" s="730">
        <f>世帯数!AK38</f>
        <v>15683</v>
      </c>
      <c r="AE142" s="730">
        <f>世帯数!AL38</f>
        <v>15978</v>
      </c>
      <c r="AF142" s="730">
        <f>世帯数!AM38</f>
        <v>16157</v>
      </c>
      <c r="AG142" s="730">
        <f>世帯数!AN38</f>
        <v>16245</v>
      </c>
      <c r="AH142" s="730">
        <f>世帯数!AO38</f>
        <v>16159</v>
      </c>
      <c r="AI142" s="730">
        <f>世帯数!AP38</f>
        <v>16257</v>
      </c>
      <c r="AJ142" s="730">
        <f>世帯数!AQ38</f>
        <v>16375</v>
      </c>
      <c r="AK142" s="730"/>
    </row>
    <row r="143" spans="1:37">
      <c r="A143" s="741" t="s">
        <v>239</v>
      </c>
      <c r="B143" s="765"/>
      <c r="C143" s="762">
        <f>世帯数!I39</f>
        <v>10323</v>
      </c>
      <c r="D143" s="742">
        <f>世帯数!J39</f>
        <v>10605</v>
      </c>
      <c r="E143" s="742">
        <f>世帯数!K39</f>
        <v>10817</v>
      </c>
      <c r="F143" s="742">
        <f>世帯数!L39</f>
        <v>11076</v>
      </c>
      <c r="G143" s="742">
        <f>世帯数!M39</f>
        <v>11249</v>
      </c>
      <c r="H143" s="762">
        <f>世帯数!N39</f>
        <v>11577</v>
      </c>
      <c r="I143" s="742">
        <f>世帯数!O39</f>
        <v>11934</v>
      </c>
      <c r="J143" s="742">
        <f>世帯数!P39</f>
        <v>12210</v>
      </c>
      <c r="K143" s="742">
        <f>世帯数!Q39</f>
        <v>12403</v>
      </c>
      <c r="L143" s="742">
        <f>世帯数!R39</f>
        <v>12549</v>
      </c>
      <c r="M143" s="762">
        <f>世帯数!S39</f>
        <v>12773</v>
      </c>
      <c r="N143" s="742">
        <f>世帯数!T39</f>
        <v>12892</v>
      </c>
      <c r="O143" s="742">
        <f>世帯数!U39</f>
        <v>12951</v>
      </c>
      <c r="P143" s="742">
        <f>世帯数!V39</f>
        <v>12998</v>
      </c>
      <c r="Q143" s="742">
        <f>世帯数!W39</f>
        <v>13095</v>
      </c>
      <c r="R143" s="762">
        <f>世帯数!X39</f>
        <v>13279</v>
      </c>
      <c r="S143" s="742">
        <f>世帯数!Z39</f>
        <v>13322</v>
      </c>
      <c r="T143" s="742">
        <f>世帯数!AA39</f>
        <v>13487</v>
      </c>
      <c r="U143" s="742">
        <f>世帯数!AB39</f>
        <v>13620</v>
      </c>
      <c r="V143" s="742">
        <f>世帯数!AC39</f>
        <v>13775</v>
      </c>
      <c r="W143" s="730">
        <f>世帯数!AD39</f>
        <v>14133</v>
      </c>
      <c r="X143" s="730">
        <f>世帯数!AE39</f>
        <v>14311</v>
      </c>
      <c r="Y143" s="730">
        <f>世帯数!AF39</f>
        <v>14507</v>
      </c>
      <c r="Z143" s="730">
        <f>世帯数!AG39</f>
        <v>14672</v>
      </c>
      <c r="AA143" s="730">
        <f>世帯数!AH39</f>
        <v>14816</v>
      </c>
      <c r="AB143" s="730">
        <f>世帯数!AI39</f>
        <v>15086</v>
      </c>
      <c r="AC143" s="730">
        <f>世帯数!AJ39</f>
        <v>15563</v>
      </c>
      <c r="AD143" s="730">
        <f>世帯数!AK39</f>
        <v>15885</v>
      </c>
      <c r="AE143" s="730">
        <f>世帯数!AL39</f>
        <v>16205</v>
      </c>
      <c r="AF143" s="730">
        <f>世帯数!AM39</f>
        <v>16671</v>
      </c>
      <c r="AG143" s="730">
        <f>世帯数!AN39</f>
        <v>17070</v>
      </c>
      <c r="AH143" s="730">
        <f>世帯数!AO39</f>
        <v>17013</v>
      </c>
      <c r="AI143" s="730">
        <f>世帯数!AP39</f>
        <v>17192</v>
      </c>
      <c r="AJ143" s="730">
        <f>世帯数!AQ39</f>
        <v>17354</v>
      </c>
      <c r="AK143" s="730"/>
    </row>
    <row r="144" spans="1:37">
      <c r="A144" s="741" t="s">
        <v>233</v>
      </c>
      <c r="B144" s="765"/>
      <c r="C144" s="762">
        <f>世帯数!I40</f>
        <v>6155</v>
      </c>
      <c r="D144" s="742">
        <f>世帯数!J40</f>
        <v>6403</v>
      </c>
      <c r="E144" s="742">
        <f>世帯数!K40</f>
        <v>6466</v>
      </c>
      <c r="F144" s="742">
        <f>世帯数!L40</f>
        <v>6507</v>
      </c>
      <c r="G144" s="742">
        <f>世帯数!M40</f>
        <v>6541</v>
      </c>
      <c r="H144" s="762">
        <f>世帯数!N40</f>
        <v>6348</v>
      </c>
      <c r="I144" s="742">
        <f>世帯数!O40</f>
        <v>6408</v>
      </c>
      <c r="J144" s="742">
        <f>世帯数!P40</f>
        <v>6478</v>
      </c>
      <c r="K144" s="742">
        <f>世帯数!Q40</f>
        <v>6545</v>
      </c>
      <c r="L144" s="742">
        <f>世帯数!R40</f>
        <v>6646</v>
      </c>
      <c r="M144" s="762">
        <f>世帯数!S40</f>
        <v>6619</v>
      </c>
      <c r="N144" s="742">
        <f>世帯数!T40</f>
        <v>6632</v>
      </c>
      <c r="O144" s="742">
        <f>世帯数!U40</f>
        <v>6682</v>
      </c>
      <c r="P144" s="742">
        <f>世帯数!V40</f>
        <v>6716</v>
      </c>
      <c r="Q144" s="742">
        <f>世帯数!W40</f>
        <v>6787</v>
      </c>
      <c r="R144" s="762">
        <f>世帯数!X40</f>
        <v>6763</v>
      </c>
      <c r="S144" s="742">
        <f>世帯数!Z40</f>
        <v>6726</v>
      </c>
      <c r="T144" s="742">
        <f>世帯数!AA40</f>
        <v>6781</v>
      </c>
      <c r="U144" s="742">
        <f>世帯数!AB40</f>
        <v>6833</v>
      </c>
      <c r="V144" s="742">
        <f>世帯数!AC40</f>
        <v>6832</v>
      </c>
      <c r="W144" s="730">
        <f>世帯数!AD40</f>
        <v>6709</v>
      </c>
      <c r="X144" s="730">
        <f>世帯数!AE40</f>
        <v>6698</v>
      </c>
      <c r="Y144" s="730">
        <f>世帯数!AF40</f>
        <v>6746</v>
      </c>
      <c r="Z144" s="730">
        <f>世帯数!AG40</f>
        <v>6750</v>
      </c>
      <c r="AA144" s="730">
        <f>世帯数!AH40</f>
        <v>6708</v>
      </c>
      <c r="AB144" s="730">
        <f>世帯数!AI40</f>
        <v>6665</v>
      </c>
      <c r="AC144" s="730">
        <f>世帯数!AJ40</f>
        <v>6647</v>
      </c>
      <c r="AD144" s="730">
        <f>世帯数!AK40</f>
        <v>6605</v>
      </c>
      <c r="AE144" s="730">
        <f>世帯数!AL40</f>
        <v>6566</v>
      </c>
      <c r="AF144" s="730">
        <f>世帯数!AM40</f>
        <v>6569</v>
      </c>
      <c r="AG144" s="730">
        <f>世帯数!AN40</f>
        <v>6562</v>
      </c>
      <c r="AH144" s="730">
        <f>世帯数!AO40</f>
        <v>6544</v>
      </c>
      <c r="AI144" s="730">
        <f>世帯数!AP40</f>
        <v>6589</v>
      </c>
      <c r="AJ144" s="730">
        <f>世帯数!AQ40</f>
        <v>6518</v>
      </c>
      <c r="AK144" s="730"/>
    </row>
    <row r="145" spans="1:37">
      <c r="A145" s="766" t="s">
        <v>202</v>
      </c>
      <c r="B145" s="767"/>
      <c r="C145" s="762">
        <f>世帯数!I41</f>
        <v>171000</v>
      </c>
      <c r="D145" s="742">
        <f>世帯数!J41</f>
        <v>175061</v>
      </c>
      <c r="E145" s="742">
        <f>世帯数!K41</f>
        <v>178608</v>
      </c>
      <c r="F145" s="742">
        <f>世帯数!L41</f>
        <v>182058</v>
      </c>
      <c r="G145" s="742">
        <f>世帯数!M41</f>
        <v>185923</v>
      </c>
      <c r="H145" s="762">
        <f>世帯数!N41</f>
        <v>187919</v>
      </c>
      <c r="I145" s="742">
        <f>世帯数!O41</f>
        <v>191374</v>
      </c>
      <c r="J145" s="742">
        <f>世帯数!P41</f>
        <v>194443</v>
      </c>
      <c r="K145" s="742">
        <f>世帯数!Q41</f>
        <v>197204</v>
      </c>
      <c r="L145" s="742">
        <f>世帯数!R41</f>
        <v>199636</v>
      </c>
      <c r="M145" s="762">
        <f>世帯数!S41</f>
        <v>200469</v>
      </c>
      <c r="N145" s="742">
        <f>世帯数!T41</f>
        <v>203471</v>
      </c>
      <c r="O145" s="742">
        <f>世帯数!U41</f>
        <v>205890</v>
      </c>
      <c r="P145" s="742">
        <f>世帯数!V41</f>
        <v>208594</v>
      </c>
      <c r="Q145" s="742">
        <f>世帯数!W41</f>
        <v>210947</v>
      </c>
      <c r="R145" s="762">
        <f>世帯数!X41</f>
        <v>213481</v>
      </c>
      <c r="S145" s="742">
        <f>世帯数!Z41</f>
        <v>213798</v>
      </c>
      <c r="T145" s="742">
        <f>世帯数!AA41</f>
        <v>216708</v>
      </c>
      <c r="U145" s="742">
        <f>世帯数!AB41</f>
        <v>219369</v>
      </c>
      <c r="V145" s="742">
        <f>世帯数!AC41</f>
        <v>221880</v>
      </c>
      <c r="W145" s="730">
        <f>世帯数!AD41</f>
        <v>220389</v>
      </c>
      <c r="X145" s="730">
        <f>世帯数!AE41</f>
        <v>222347</v>
      </c>
      <c r="Y145" s="730">
        <f>世帯数!AF41</f>
        <v>222495</v>
      </c>
      <c r="Z145" s="730">
        <f>世帯数!AG41</f>
        <v>224939</v>
      </c>
      <c r="AA145" s="730">
        <f>世帯数!AH41</f>
        <v>226494</v>
      </c>
      <c r="AB145" s="730">
        <f>世帯数!AI41</f>
        <v>227839</v>
      </c>
      <c r="AC145" s="730">
        <f>世帯数!AJ41</f>
        <v>230214</v>
      </c>
      <c r="AD145" s="730">
        <f>世帯数!AK41</f>
        <v>232463</v>
      </c>
      <c r="AE145" s="730">
        <f>世帯数!AL41</f>
        <v>234546</v>
      </c>
      <c r="AF145" s="730">
        <f>世帯数!AM41</f>
        <v>237447</v>
      </c>
      <c r="AG145" s="730">
        <f>世帯数!AN41</f>
        <v>240004</v>
      </c>
      <c r="AH145" s="730">
        <f>世帯数!AO41</f>
        <v>241224</v>
      </c>
      <c r="AI145" s="730">
        <f>世帯数!AP41</f>
        <v>243478</v>
      </c>
      <c r="AJ145" s="730">
        <f>世帯数!AQ41</f>
        <v>245507</v>
      </c>
      <c r="AK145" s="730"/>
    </row>
    <row r="146" spans="1:37">
      <c r="A146" s="768" t="s">
        <v>240</v>
      </c>
      <c r="B146" s="769"/>
      <c r="C146" s="762">
        <f>世帯数!I42</f>
        <v>158060</v>
      </c>
      <c r="D146" s="742">
        <f>世帯数!J42</f>
        <v>161924</v>
      </c>
      <c r="E146" s="742">
        <f>世帯数!K42</f>
        <v>165251</v>
      </c>
      <c r="F146" s="742">
        <f>世帯数!L42</f>
        <v>168621</v>
      </c>
      <c r="G146" s="742">
        <f>世帯数!M42</f>
        <v>172370</v>
      </c>
      <c r="H146" s="762">
        <f>世帯数!N42</f>
        <v>174833</v>
      </c>
      <c r="I146" s="742">
        <f>世帯数!O42</f>
        <v>178164</v>
      </c>
      <c r="J146" s="742">
        <f>世帯数!P42</f>
        <v>181028</v>
      </c>
      <c r="K146" s="742">
        <f>世帯数!Q42</f>
        <v>183632</v>
      </c>
      <c r="L146" s="742">
        <f>世帯数!R42</f>
        <v>185913</v>
      </c>
      <c r="M146" s="762">
        <f>世帯数!S42</f>
        <v>186708</v>
      </c>
      <c r="N146" s="742">
        <f>世帯数!T42</f>
        <v>189394</v>
      </c>
      <c r="O146" s="742">
        <f>世帯数!U42</f>
        <v>191615</v>
      </c>
      <c r="P146" s="742">
        <f>世帯数!V42</f>
        <v>194156</v>
      </c>
      <c r="Q146" s="742">
        <f>世帯数!W42</f>
        <v>196371</v>
      </c>
      <c r="R146" s="762">
        <f>世帯数!X42</f>
        <v>198771</v>
      </c>
      <c r="S146" s="742">
        <f>世帯数!Z42</f>
        <v>199091</v>
      </c>
      <c r="T146" s="742">
        <f>世帯数!AA42</f>
        <v>201905</v>
      </c>
      <c r="U146" s="742">
        <f>世帯数!AB42</f>
        <v>204574</v>
      </c>
      <c r="V146" s="742">
        <f>世帯数!AC42</f>
        <v>207078</v>
      </c>
      <c r="W146" s="730">
        <f>世帯数!AD42</f>
        <v>205587</v>
      </c>
      <c r="X146" s="730">
        <f>世帯数!AE42</f>
        <v>207475</v>
      </c>
      <c r="Y146" s="730">
        <f>世帯数!AF42</f>
        <v>207672</v>
      </c>
      <c r="Z146" s="730">
        <f>世帯数!AG42</f>
        <v>210033</v>
      </c>
      <c r="AA146" s="730">
        <f>世帯数!AH42</f>
        <v>211555</v>
      </c>
      <c r="AB146" s="730">
        <f>世帯数!AI42</f>
        <v>212801</v>
      </c>
      <c r="AC146" s="730">
        <f>世帯数!AJ42</f>
        <v>214927</v>
      </c>
      <c r="AD146" s="730">
        <f>世帯数!AK42</f>
        <v>216954</v>
      </c>
      <c r="AE146" s="730">
        <f>世帯数!AL42</f>
        <v>218901</v>
      </c>
      <c r="AF146" s="730">
        <f>世帯数!AM42</f>
        <v>221596</v>
      </c>
      <c r="AG146" s="730">
        <f>世帯数!AN42</f>
        <v>224106</v>
      </c>
      <c r="AH146" s="730">
        <f>世帯数!AO42</f>
        <v>225352</v>
      </c>
      <c r="AI146" s="730">
        <f>世帯数!AP42</f>
        <v>227558</v>
      </c>
      <c r="AJ146" s="730">
        <f>世帯数!AQ42</f>
        <v>229379</v>
      </c>
      <c r="AK146" s="730"/>
    </row>
    <row r="147" spans="1:37">
      <c r="A147" s="741" t="s">
        <v>203</v>
      </c>
      <c r="B147" s="765"/>
      <c r="C147" s="762">
        <f>世帯数!I43</f>
        <v>3907</v>
      </c>
      <c r="D147" s="742">
        <f>世帯数!J43</f>
        <v>3998</v>
      </c>
      <c r="E147" s="742">
        <f>世帯数!K43</f>
        <v>4084</v>
      </c>
      <c r="F147" s="742">
        <f>世帯数!L43</f>
        <v>4091</v>
      </c>
      <c r="G147" s="742">
        <f>世帯数!M43</f>
        <v>4154</v>
      </c>
      <c r="H147" s="762">
        <f>世帯数!N43</f>
        <v>4082</v>
      </c>
      <c r="I147" s="742">
        <f>世帯数!O43</f>
        <v>4106</v>
      </c>
      <c r="J147" s="742">
        <f>世帯数!P43</f>
        <v>4157</v>
      </c>
      <c r="K147" s="742">
        <f>世帯数!Q43</f>
        <v>4198</v>
      </c>
      <c r="L147" s="742">
        <f>世帯数!R43</f>
        <v>4231</v>
      </c>
      <c r="M147" s="762">
        <f>世帯数!S43</f>
        <v>4217</v>
      </c>
      <c r="N147" s="742">
        <f>世帯数!T43</f>
        <v>4294</v>
      </c>
      <c r="O147" s="742">
        <f>世帯数!U43</f>
        <v>4290</v>
      </c>
      <c r="P147" s="742">
        <f>世帯数!V43</f>
        <v>4311</v>
      </c>
      <c r="Q147" s="742">
        <f>世帯数!W43</f>
        <v>4322</v>
      </c>
      <c r="R147" s="762">
        <f>世帯数!X43</f>
        <v>4351</v>
      </c>
      <c r="S147" s="742">
        <f>世帯数!Z43</f>
        <v>4384</v>
      </c>
      <c r="T147" s="742">
        <f>世帯数!AA43</f>
        <v>4397</v>
      </c>
      <c r="U147" s="742">
        <f>世帯数!AB43</f>
        <v>4386</v>
      </c>
      <c r="V147" s="742">
        <f>世帯数!AC43</f>
        <v>4377</v>
      </c>
      <c r="W147" s="730">
        <f>世帯数!AD43</f>
        <v>4350</v>
      </c>
      <c r="X147" s="730">
        <f>世帯数!AE43</f>
        <v>4333</v>
      </c>
      <c r="Y147" s="730">
        <f>世帯数!AF43</f>
        <v>4328</v>
      </c>
      <c r="Z147" s="730">
        <f>世帯数!AG43</f>
        <v>4351</v>
      </c>
      <c r="AA147" s="730">
        <f>世帯数!AH43</f>
        <v>4342</v>
      </c>
      <c r="AB147" s="730">
        <f>世帯数!AI43</f>
        <v>4334</v>
      </c>
      <c r="AC147" s="730">
        <f>世帯数!AJ43</f>
        <v>4327</v>
      </c>
      <c r="AD147" s="730">
        <f>世帯数!AK43</f>
        <v>4362</v>
      </c>
      <c r="AE147" s="730">
        <f>世帯数!AL43</f>
        <v>4331</v>
      </c>
      <c r="AF147" s="730">
        <f>世帯数!AM43</f>
        <v>4333</v>
      </c>
      <c r="AG147" s="730">
        <f>世帯数!AN43</f>
        <v>4324</v>
      </c>
      <c r="AH147" s="730">
        <f>世帯数!AO43</f>
        <v>4299</v>
      </c>
      <c r="AI147" s="730">
        <f>世帯数!AP43</f>
        <v>4277</v>
      </c>
      <c r="AJ147" s="730">
        <f>世帯数!AQ43</f>
        <v>4264</v>
      </c>
      <c r="AK147" s="730"/>
    </row>
    <row r="148" spans="1:37">
      <c r="A148" s="741" t="s">
        <v>204</v>
      </c>
      <c r="B148" s="765"/>
      <c r="C148" s="762">
        <f>世帯数!I44</f>
        <v>4997</v>
      </c>
      <c r="D148" s="742">
        <f>世帯数!J44</f>
        <v>5088</v>
      </c>
      <c r="E148" s="742">
        <f>世帯数!K44</f>
        <v>5203</v>
      </c>
      <c r="F148" s="742">
        <f>世帯数!L44</f>
        <v>5237</v>
      </c>
      <c r="G148" s="742">
        <f>世帯数!M44</f>
        <v>5244</v>
      </c>
      <c r="H148" s="762">
        <f>世帯数!N44</f>
        <v>5328</v>
      </c>
      <c r="I148" s="742">
        <f>世帯数!O44</f>
        <v>5401</v>
      </c>
      <c r="J148" s="742">
        <f>世帯数!P44</f>
        <v>5498</v>
      </c>
      <c r="K148" s="742">
        <f>世帯数!Q44</f>
        <v>5588</v>
      </c>
      <c r="L148" s="742">
        <f>世帯数!R44</f>
        <v>5653</v>
      </c>
      <c r="M148" s="762">
        <f>世帯数!S44</f>
        <v>5697</v>
      </c>
      <c r="N148" s="742">
        <f>世帯数!T44</f>
        <v>5879</v>
      </c>
      <c r="O148" s="742">
        <f>世帯数!U44</f>
        <v>6069</v>
      </c>
      <c r="P148" s="742">
        <f>世帯数!V44</f>
        <v>6165</v>
      </c>
      <c r="Q148" s="742">
        <f>世帯数!W44</f>
        <v>6291</v>
      </c>
      <c r="R148" s="762">
        <f>世帯数!X44</f>
        <v>6374</v>
      </c>
      <c r="S148" s="742">
        <f>世帯数!Z44</f>
        <v>6497</v>
      </c>
      <c r="T148" s="742">
        <f>世帯数!AA44</f>
        <v>6586</v>
      </c>
      <c r="U148" s="742">
        <f>世帯数!AB44</f>
        <v>6587</v>
      </c>
      <c r="V148" s="742">
        <f>世帯数!AC44</f>
        <v>6580</v>
      </c>
      <c r="W148" s="730">
        <f>世帯数!AD44</f>
        <v>6639</v>
      </c>
      <c r="X148" s="730">
        <f>世帯数!AE44</f>
        <v>6727</v>
      </c>
      <c r="Y148" s="730">
        <f>世帯数!AF44</f>
        <v>6718</v>
      </c>
      <c r="Z148" s="730">
        <f>世帯数!AG44</f>
        <v>6754</v>
      </c>
      <c r="AA148" s="730">
        <f>世帯数!AH44</f>
        <v>6805</v>
      </c>
      <c r="AB148" s="730">
        <f>世帯数!AI44</f>
        <v>6906</v>
      </c>
      <c r="AC148" s="730">
        <f>世帯数!AJ44</f>
        <v>7124</v>
      </c>
      <c r="AD148" s="730">
        <f>世帯数!AK44</f>
        <v>7330</v>
      </c>
      <c r="AE148" s="730">
        <f>世帯数!AL44</f>
        <v>7521</v>
      </c>
      <c r="AF148" s="730">
        <f>世帯数!AM44</f>
        <v>7719</v>
      </c>
      <c r="AG148" s="730">
        <f>世帯数!AN44</f>
        <v>7795</v>
      </c>
      <c r="AH148" s="730">
        <f>世帯数!AO44</f>
        <v>7772</v>
      </c>
      <c r="AI148" s="730">
        <f>世帯数!AP44</f>
        <v>7848</v>
      </c>
      <c r="AJ148" s="730">
        <f>世帯数!AQ44</f>
        <v>8071</v>
      </c>
      <c r="AK148" s="730"/>
    </row>
    <row r="149" spans="1:37">
      <c r="A149" s="741" t="s">
        <v>234</v>
      </c>
      <c r="B149" s="765"/>
      <c r="C149" s="762">
        <f>世帯数!I45</f>
        <v>4036</v>
      </c>
      <c r="D149" s="742">
        <f>世帯数!J45</f>
        <v>4051</v>
      </c>
      <c r="E149" s="742">
        <f>世帯数!K45</f>
        <v>4070</v>
      </c>
      <c r="F149" s="742">
        <f>世帯数!L45</f>
        <v>4109</v>
      </c>
      <c r="G149" s="742">
        <f>世帯数!M45</f>
        <v>4155</v>
      </c>
      <c r="H149" s="762">
        <f>世帯数!N45</f>
        <v>3676</v>
      </c>
      <c r="I149" s="742">
        <f>世帯数!O45</f>
        <v>3703</v>
      </c>
      <c r="J149" s="742">
        <f>世帯数!P45</f>
        <v>3760</v>
      </c>
      <c r="K149" s="742">
        <f>世帯数!Q45</f>
        <v>3786</v>
      </c>
      <c r="L149" s="742">
        <f>世帯数!R45</f>
        <v>3839</v>
      </c>
      <c r="M149" s="762">
        <f>世帯数!S45</f>
        <v>3847</v>
      </c>
      <c r="N149" s="742">
        <f>世帯数!T45</f>
        <v>3904</v>
      </c>
      <c r="O149" s="742">
        <f>世帯数!U45</f>
        <v>3916</v>
      </c>
      <c r="P149" s="742">
        <f>世帯数!V45</f>
        <v>3962</v>
      </c>
      <c r="Q149" s="742">
        <f>世帯数!W45</f>
        <v>3963</v>
      </c>
      <c r="R149" s="762">
        <f>世帯数!X45</f>
        <v>3985</v>
      </c>
      <c r="S149" s="742">
        <f>世帯数!Z45</f>
        <v>3826</v>
      </c>
      <c r="T149" s="742">
        <f>世帯数!AA45</f>
        <v>3820</v>
      </c>
      <c r="U149" s="742">
        <f>世帯数!AB45</f>
        <v>3822</v>
      </c>
      <c r="V149" s="742">
        <f>世帯数!AC45</f>
        <v>3845</v>
      </c>
      <c r="W149" s="730">
        <f>世帯数!AD45</f>
        <v>3813</v>
      </c>
      <c r="X149" s="730">
        <f>世帯数!AE45</f>
        <v>3812</v>
      </c>
      <c r="Y149" s="730">
        <f>世帯数!AF45</f>
        <v>3777</v>
      </c>
      <c r="Z149" s="730">
        <f>世帯数!AG45</f>
        <v>3801</v>
      </c>
      <c r="AA149" s="730">
        <f>世帯数!AH45</f>
        <v>3792</v>
      </c>
      <c r="AB149" s="730">
        <f>世帯数!AI45</f>
        <v>3798</v>
      </c>
      <c r="AC149" s="730">
        <f>世帯数!AJ45</f>
        <v>3836</v>
      </c>
      <c r="AD149" s="730">
        <f>世帯数!AK45</f>
        <v>3817</v>
      </c>
      <c r="AE149" s="730">
        <f>世帯数!AL45</f>
        <v>3793</v>
      </c>
      <c r="AF149" s="730">
        <f>世帯数!AM45</f>
        <v>3799</v>
      </c>
      <c r="AG149" s="730">
        <f>世帯数!AN45</f>
        <v>3779</v>
      </c>
      <c r="AH149" s="730">
        <f>世帯数!AO45</f>
        <v>3801</v>
      </c>
      <c r="AI149" s="730">
        <f>世帯数!AP45</f>
        <v>3795</v>
      </c>
      <c r="AJ149" s="730">
        <f>世帯数!AQ45</f>
        <v>3793</v>
      </c>
      <c r="AK149" s="730"/>
    </row>
    <row r="150" spans="1:37">
      <c r="A150" s="766" t="s">
        <v>205</v>
      </c>
      <c r="B150" s="767"/>
      <c r="C150" s="762">
        <f>世帯数!I46</f>
        <v>81545</v>
      </c>
      <c r="D150" s="742">
        <f>世帯数!J46</f>
        <v>82338</v>
      </c>
      <c r="E150" s="742">
        <f>世帯数!K46</f>
        <v>83287</v>
      </c>
      <c r="F150" s="742">
        <f>世帯数!L46</f>
        <v>84335</v>
      </c>
      <c r="G150" s="742">
        <f>世帯数!M46</f>
        <v>85207</v>
      </c>
      <c r="H150" s="762">
        <f>世帯数!N46</f>
        <v>85721</v>
      </c>
      <c r="I150" s="742">
        <f>世帯数!O46</f>
        <v>86756</v>
      </c>
      <c r="J150" s="742">
        <f>世帯数!P46</f>
        <v>87888</v>
      </c>
      <c r="K150" s="742">
        <f>世帯数!Q46</f>
        <v>88969</v>
      </c>
      <c r="L150" s="742">
        <f>世帯数!R46</f>
        <v>90114</v>
      </c>
      <c r="M150" s="762">
        <f>世帯数!S46</f>
        <v>89736</v>
      </c>
      <c r="N150" s="742">
        <f>世帯数!T46</f>
        <v>90402</v>
      </c>
      <c r="O150" s="742">
        <f>世帯数!U46</f>
        <v>91086</v>
      </c>
      <c r="P150" s="742">
        <f>世帯数!V46</f>
        <v>91719</v>
      </c>
      <c r="Q150" s="742">
        <f>世帯数!W46</f>
        <v>92424</v>
      </c>
      <c r="R150" s="762">
        <f>世帯数!X46</f>
        <v>93219</v>
      </c>
      <c r="S150" s="742">
        <f>世帯数!Z46</f>
        <v>93658</v>
      </c>
      <c r="T150" s="742">
        <f>世帯数!AA46</f>
        <v>94391</v>
      </c>
      <c r="U150" s="742">
        <f>世帯数!AB46</f>
        <v>95136</v>
      </c>
      <c r="V150" s="742">
        <f>世帯数!AC46</f>
        <v>95783</v>
      </c>
      <c r="W150" s="730">
        <f>世帯数!AD46</f>
        <v>94755</v>
      </c>
      <c r="X150" s="730">
        <f>世帯数!AE46</f>
        <v>94880</v>
      </c>
      <c r="Y150" s="730">
        <f>世帯数!AF46</f>
        <v>94771</v>
      </c>
      <c r="Z150" s="730">
        <f>世帯数!AG46</f>
        <v>94827</v>
      </c>
      <c r="AA150" s="730">
        <f>世帯数!AH46</f>
        <v>94851</v>
      </c>
      <c r="AB150" s="730">
        <f>世帯数!AI46</f>
        <v>94817</v>
      </c>
      <c r="AC150" s="730">
        <f>世帯数!AJ46</f>
        <v>94995</v>
      </c>
      <c r="AD150" s="730">
        <f>世帯数!AK46</f>
        <v>95225</v>
      </c>
      <c r="AE150" s="730">
        <f>世帯数!AL46</f>
        <v>95126</v>
      </c>
      <c r="AF150" s="730">
        <f>世帯数!AM46</f>
        <v>95441</v>
      </c>
      <c r="AG150" s="730">
        <f>世帯数!AN46</f>
        <v>95577</v>
      </c>
      <c r="AH150" s="730">
        <f>世帯数!AO46</f>
        <v>95624</v>
      </c>
      <c r="AI150" s="730">
        <f>世帯数!AP46</f>
        <v>95965</v>
      </c>
      <c r="AJ150" s="730">
        <f>世帯数!AQ46</f>
        <v>96084</v>
      </c>
      <c r="AK150" s="730"/>
    </row>
    <row r="151" spans="1:37">
      <c r="A151" s="741" t="s">
        <v>206</v>
      </c>
      <c r="B151" s="765"/>
      <c r="C151" s="762">
        <f>世帯数!I47</f>
        <v>11456</v>
      </c>
      <c r="D151" s="742">
        <f>世帯数!J47</f>
        <v>11538</v>
      </c>
      <c r="E151" s="742">
        <f>世帯数!K47</f>
        <v>11647</v>
      </c>
      <c r="F151" s="742">
        <f>世帯数!L47</f>
        <v>11704</v>
      </c>
      <c r="G151" s="742">
        <f>世帯数!M47</f>
        <v>11765</v>
      </c>
      <c r="H151" s="762">
        <f>世帯数!N47</f>
        <v>11967</v>
      </c>
      <c r="I151" s="742">
        <f>世帯数!O47</f>
        <v>12003</v>
      </c>
      <c r="J151" s="742">
        <f>世帯数!P47</f>
        <v>12080</v>
      </c>
      <c r="K151" s="742">
        <f>世帯数!Q47</f>
        <v>12067</v>
      </c>
      <c r="L151" s="742">
        <f>世帯数!R47</f>
        <v>12108</v>
      </c>
      <c r="M151" s="762">
        <f>世帯数!S47</f>
        <v>11964</v>
      </c>
      <c r="N151" s="742">
        <f>世帯数!T47</f>
        <v>12047</v>
      </c>
      <c r="O151" s="742">
        <f>世帯数!U47</f>
        <v>12002</v>
      </c>
      <c r="P151" s="742">
        <f>世帯数!V47</f>
        <v>11987</v>
      </c>
      <c r="Q151" s="742">
        <f>世帯数!W47</f>
        <v>12041</v>
      </c>
      <c r="R151" s="762">
        <f>世帯数!X47</f>
        <v>12149</v>
      </c>
      <c r="S151" s="742">
        <f>世帯数!Z47</f>
        <v>12063</v>
      </c>
      <c r="T151" s="742">
        <f>世帯数!AA47</f>
        <v>12086</v>
      </c>
      <c r="U151" s="742">
        <f>世帯数!AB47</f>
        <v>12182</v>
      </c>
      <c r="V151" s="742">
        <f>世帯数!AC47</f>
        <v>12217</v>
      </c>
      <c r="W151" s="730">
        <f>世帯数!AD47</f>
        <v>12141</v>
      </c>
      <c r="X151" s="730">
        <f>世帯数!AE47</f>
        <v>12059</v>
      </c>
      <c r="Y151" s="730">
        <f>世帯数!AF47</f>
        <v>12103</v>
      </c>
      <c r="Z151" s="730">
        <f>世帯数!AG47</f>
        <v>12116</v>
      </c>
      <c r="AA151" s="730">
        <f>世帯数!AH47</f>
        <v>12141</v>
      </c>
      <c r="AB151" s="730">
        <f>世帯数!AI47</f>
        <v>12153</v>
      </c>
      <c r="AC151" s="730">
        <f>世帯数!AJ47</f>
        <v>12133</v>
      </c>
      <c r="AD151" s="730">
        <f>世帯数!AK47</f>
        <v>12114</v>
      </c>
      <c r="AE151" s="730">
        <f>世帯数!AL47</f>
        <v>12036</v>
      </c>
      <c r="AF151" s="730">
        <f>世帯数!AM47</f>
        <v>11900</v>
      </c>
      <c r="AG151" s="730">
        <f>世帯数!AN47</f>
        <v>11806</v>
      </c>
      <c r="AH151" s="730">
        <f>世帯数!AO47</f>
        <v>11728</v>
      </c>
      <c r="AI151" s="730">
        <f>世帯数!AP47</f>
        <v>11652</v>
      </c>
      <c r="AJ151" s="730">
        <f>世帯数!AQ47</f>
        <v>11580</v>
      </c>
      <c r="AK151" s="730"/>
    </row>
    <row r="152" spans="1:37">
      <c r="A152" s="741" t="s">
        <v>207</v>
      </c>
      <c r="B152" s="765"/>
      <c r="C152" s="762">
        <f>世帯数!I48</f>
        <v>14951</v>
      </c>
      <c r="D152" s="742">
        <f>世帯数!J48</f>
        <v>15077</v>
      </c>
      <c r="E152" s="742">
        <f>世帯数!K48</f>
        <v>15303</v>
      </c>
      <c r="F152" s="742">
        <f>世帯数!L48</f>
        <v>15518</v>
      </c>
      <c r="G152" s="742">
        <f>世帯数!M48</f>
        <v>15635</v>
      </c>
      <c r="H152" s="762">
        <f>世帯数!N48</f>
        <v>15880</v>
      </c>
      <c r="I152" s="742">
        <f>世帯数!O48</f>
        <v>16174</v>
      </c>
      <c r="J152" s="742">
        <f>世帯数!P48</f>
        <v>16587</v>
      </c>
      <c r="K152" s="742">
        <f>世帯数!Q48</f>
        <v>16997</v>
      </c>
      <c r="L152" s="742">
        <f>世帯数!R48</f>
        <v>17340</v>
      </c>
      <c r="M152" s="762">
        <f>世帯数!S48</f>
        <v>17527</v>
      </c>
      <c r="N152" s="742">
        <f>世帯数!T48</f>
        <v>17712</v>
      </c>
      <c r="O152" s="742">
        <f>世帯数!U48</f>
        <v>17880</v>
      </c>
      <c r="P152" s="742">
        <f>世帯数!V48</f>
        <v>18019</v>
      </c>
      <c r="Q152" s="742">
        <f>世帯数!W48</f>
        <v>18157</v>
      </c>
      <c r="R152" s="762">
        <f>世帯数!X48</f>
        <v>18350</v>
      </c>
      <c r="S152" s="742">
        <f>世帯数!Z48</f>
        <v>18559</v>
      </c>
      <c r="T152" s="742">
        <f>世帯数!AA48</f>
        <v>18701</v>
      </c>
      <c r="U152" s="742">
        <f>世帯数!AB48</f>
        <v>18866</v>
      </c>
      <c r="V152" s="742">
        <f>世帯数!AC48</f>
        <v>18954</v>
      </c>
      <c r="W152" s="730">
        <f>世帯数!AD48</f>
        <v>18826</v>
      </c>
      <c r="X152" s="730">
        <f>世帯数!AE48</f>
        <v>18820</v>
      </c>
      <c r="Y152" s="730">
        <f>世帯数!AF48</f>
        <v>18706</v>
      </c>
      <c r="Z152" s="730">
        <f>世帯数!AG48</f>
        <v>18684</v>
      </c>
      <c r="AA152" s="730">
        <f>世帯数!AH48</f>
        <v>18724</v>
      </c>
      <c r="AB152" s="730">
        <f>世帯数!AI48</f>
        <v>18729</v>
      </c>
      <c r="AC152" s="730">
        <f>世帯数!AJ48</f>
        <v>18802</v>
      </c>
      <c r="AD152" s="730">
        <f>世帯数!AK48</f>
        <v>18786</v>
      </c>
      <c r="AE152" s="730">
        <f>世帯数!AL48</f>
        <v>18739</v>
      </c>
      <c r="AF152" s="730">
        <f>世帯数!AM48</f>
        <v>18884</v>
      </c>
      <c r="AG152" s="730">
        <f>世帯数!AN48</f>
        <v>18911</v>
      </c>
      <c r="AH152" s="730">
        <f>世帯数!AO48</f>
        <v>18886</v>
      </c>
      <c r="AI152" s="730">
        <f>世帯数!AP48</f>
        <v>18911</v>
      </c>
      <c r="AJ152" s="730">
        <f>世帯数!AQ48</f>
        <v>18975</v>
      </c>
      <c r="AK152" s="730"/>
    </row>
    <row r="153" spans="1:37">
      <c r="A153" s="741" t="s">
        <v>219</v>
      </c>
      <c r="B153" s="765"/>
      <c r="C153" s="762">
        <f>世帯数!I49</f>
        <v>12415</v>
      </c>
      <c r="D153" s="742">
        <f>世帯数!J49</f>
        <v>12489</v>
      </c>
      <c r="E153" s="742">
        <f>世帯数!K49</f>
        <v>12564</v>
      </c>
      <c r="F153" s="742">
        <f>世帯数!L49</f>
        <v>12659</v>
      </c>
      <c r="G153" s="742">
        <f>世帯数!M49</f>
        <v>12801</v>
      </c>
      <c r="H153" s="762">
        <f>世帯数!N49</f>
        <v>12784</v>
      </c>
      <c r="I153" s="742">
        <f>世帯数!O49</f>
        <v>12833</v>
      </c>
      <c r="J153" s="742">
        <f>世帯数!P49</f>
        <v>12857</v>
      </c>
      <c r="K153" s="742">
        <f>世帯数!Q49</f>
        <v>12905</v>
      </c>
      <c r="L153" s="742">
        <f>世帯数!R49</f>
        <v>13006</v>
      </c>
      <c r="M153" s="762">
        <f>世帯数!S49</f>
        <v>12989</v>
      </c>
      <c r="N153" s="742">
        <f>世帯数!T49</f>
        <v>13027</v>
      </c>
      <c r="O153" s="742">
        <f>世帯数!U49</f>
        <v>13026</v>
      </c>
      <c r="P153" s="742">
        <f>世帯数!V49</f>
        <v>13119</v>
      </c>
      <c r="Q153" s="742">
        <f>世帯数!W49</f>
        <v>13128</v>
      </c>
      <c r="R153" s="762">
        <f>世帯数!X49</f>
        <v>13154</v>
      </c>
      <c r="S153" s="742">
        <f>世帯数!Z49</f>
        <v>13273</v>
      </c>
      <c r="T153" s="742">
        <f>世帯数!AA49</f>
        <v>13281</v>
      </c>
      <c r="U153" s="742">
        <f>世帯数!AB49</f>
        <v>13371</v>
      </c>
      <c r="V153" s="742">
        <f>世帯数!AC49</f>
        <v>13470</v>
      </c>
      <c r="W153" s="730">
        <f>世帯数!AD49</f>
        <v>13174</v>
      </c>
      <c r="X153" s="730">
        <f>世帯数!AE49</f>
        <v>13127</v>
      </c>
      <c r="Y153" s="730">
        <f>世帯数!AF49</f>
        <v>13039</v>
      </c>
      <c r="Z153" s="730">
        <f>世帯数!AG49</f>
        <v>12929</v>
      </c>
      <c r="AA153" s="730">
        <f>世帯数!AH49</f>
        <v>12816</v>
      </c>
      <c r="AB153" s="730">
        <f>世帯数!AI49</f>
        <v>12723</v>
      </c>
      <c r="AC153" s="730">
        <f>世帯数!AJ49</f>
        <v>12707</v>
      </c>
      <c r="AD153" s="730">
        <f>世帯数!AK49</f>
        <v>12791</v>
      </c>
      <c r="AE153" s="730">
        <f>世帯数!AL49</f>
        <v>12784</v>
      </c>
      <c r="AF153" s="730">
        <f>世帯数!AM49</f>
        <v>12838</v>
      </c>
      <c r="AG153" s="730">
        <f>世帯数!AN49</f>
        <v>12882</v>
      </c>
      <c r="AH153" s="730">
        <f>世帯数!AO49</f>
        <v>12864</v>
      </c>
      <c r="AI153" s="730">
        <f>世帯数!AP49</f>
        <v>12875</v>
      </c>
      <c r="AJ153" s="730">
        <f>世帯数!AQ49</f>
        <v>12814</v>
      </c>
      <c r="AK153" s="730"/>
    </row>
    <row r="154" spans="1:37">
      <c r="A154" s="741" t="s">
        <v>235</v>
      </c>
      <c r="B154" s="765"/>
      <c r="C154" s="762">
        <f>世帯数!I50</f>
        <v>22107</v>
      </c>
      <c r="D154" s="742">
        <f>世帯数!J50</f>
        <v>22395</v>
      </c>
      <c r="E154" s="742">
        <f>世帯数!K50</f>
        <v>22709</v>
      </c>
      <c r="F154" s="742">
        <f>世帯数!L50</f>
        <v>23031</v>
      </c>
      <c r="G154" s="742">
        <f>世帯数!M50</f>
        <v>23322</v>
      </c>
      <c r="H154" s="762">
        <f>世帯数!N50</f>
        <v>23255</v>
      </c>
      <c r="I154" s="742">
        <f>世帯数!O50</f>
        <v>23639</v>
      </c>
      <c r="J154" s="742">
        <f>世帯数!P50</f>
        <v>23922</v>
      </c>
      <c r="K154" s="742">
        <f>世帯数!Q50</f>
        <v>24292</v>
      </c>
      <c r="L154" s="742">
        <f>世帯数!R50</f>
        <v>24669</v>
      </c>
      <c r="M154" s="762">
        <f>世帯数!S50</f>
        <v>24588</v>
      </c>
      <c r="N154" s="742">
        <f>世帯数!T50</f>
        <v>24775</v>
      </c>
      <c r="O154" s="742">
        <f>世帯数!U50</f>
        <v>25008</v>
      </c>
      <c r="P154" s="742">
        <f>世帯数!V50</f>
        <v>25225</v>
      </c>
      <c r="Q154" s="742">
        <f>世帯数!W50</f>
        <v>25556</v>
      </c>
      <c r="R154" s="762">
        <f>世帯数!X50</f>
        <v>25795</v>
      </c>
      <c r="S154" s="742">
        <f>世帯数!Z50</f>
        <v>26082</v>
      </c>
      <c r="T154" s="742">
        <f>世帯数!AA50</f>
        <v>26424</v>
      </c>
      <c r="U154" s="742">
        <f>世帯数!AB50</f>
        <v>26611</v>
      </c>
      <c r="V154" s="742">
        <f>世帯数!AC50</f>
        <v>26952</v>
      </c>
      <c r="W154" s="730">
        <f>世帯数!AD50</f>
        <v>26803</v>
      </c>
      <c r="X154" s="730">
        <f>世帯数!AE50</f>
        <v>26921</v>
      </c>
      <c r="Y154" s="730">
        <f>世帯数!AF50</f>
        <v>26947</v>
      </c>
      <c r="Z154" s="730">
        <f>世帯数!AG50</f>
        <v>27116</v>
      </c>
      <c r="AA154" s="730">
        <f>世帯数!AH50</f>
        <v>27244</v>
      </c>
      <c r="AB154" s="730">
        <f>世帯数!AI50</f>
        <v>27297</v>
      </c>
      <c r="AC154" s="730">
        <f>世帯数!AJ50</f>
        <v>27425</v>
      </c>
      <c r="AD154" s="730">
        <f>世帯数!AK50</f>
        <v>27539</v>
      </c>
      <c r="AE154" s="730">
        <f>世帯数!AL50</f>
        <v>27537</v>
      </c>
      <c r="AF154" s="730">
        <f>世帯数!AM50</f>
        <v>27664</v>
      </c>
      <c r="AG154" s="730">
        <f>世帯数!AN50</f>
        <v>27757</v>
      </c>
      <c r="AH154" s="730">
        <f>世帯数!AO50</f>
        <v>27857</v>
      </c>
      <c r="AI154" s="730">
        <f>世帯数!AP50</f>
        <v>28147</v>
      </c>
      <c r="AJ154" s="730">
        <f>世帯数!AQ50</f>
        <v>28180</v>
      </c>
      <c r="AK154" s="730"/>
    </row>
    <row r="155" spans="1:37">
      <c r="A155" s="741" t="s">
        <v>208</v>
      </c>
      <c r="B155" s="765"/>
      <c r="C155" s="762">
        <f>世帯数!I51</f>
        <v>8847</v>
      </c>
      <c r="D155" s="742">
        <f>世帯数!J51</f>
        <v>9007</v>
      </c>
      <c r="E155" s="742">
        <f>世帯数!K51</f>
        <v>9128</v>
      </c>
      <c r="F155" s="742">
        <f>世帯数!L51</f>
        <v>9350</v>
      </c>
      <c r="G155" s="742">
        <f>世帯数!M51</f>
        <v>9509</v>
      </c>
      <c r="H155" s="762">
        <f>世帯数!N51</f>
        <v>9698</v>
      </c>
      <c r="I155" s="742">
        <f>世帯数!O51</f>
        <v>9847</v>
      </c>
      <c r="J155" s="742">
        <f>世帯数!P51</f>
        <v>10078</v>
      </c>
      <c r="K155" s="742">
        <f>世帯数!Q51</f>
        <v>10274</v>
      </c>
      <c r="L155" s="742">
        <f>世帯数!R51</f>
        <v>10466</v>
      </c>
      <c r="M155" s="762">
        <f>世帯数!S51</f>
        <v>10240</v>
      </c>
      <c r="N155" s="742">
        <f>世帯数!T51</f>
        <v>10407</v>
      </c>
      <c r="O155" s="742">
        <f>世帯数!U51</f>
        <v>10652</v>
      </c>
      <c r="P155" s="742">
        <f>世帯数!V51</f>
        <v>10817</v>
      </c>
      <c r="Q155" s="742">
        <f>世帯数!W51</f>
        <v>10976</v>
      </c>
      <c r="R155" s="762">
        <f>世帯数!X51</f>
        <v>11140</v>
      </c>
      <c r="S155" s="742">
        <f>世帯数!Z51</f>
        <v>11104</v>
      </c>
      <c r="T155" s="742">
        <f>世帯数!AA51</f>
        <v>11313</v>
      </c>
      <c r="U155" s="742">
        <f>世帯数!AB51</f>
        <v>11486</v>
      </c>
      <c r="V155" s="742">
        <f>世帯数!AC51</f>
        <v>11637</v>
      </c>
      <c r="W155" s="730">
        <f>世帯数!AD51</f>
        <v>11640</v>
      </c>
      <c r="X155" s="730">
        <f>世帯数!AE51</f>
        <v>11804</v>
      </c>
      <c r="Y155" s="730">
        <f>世帯数!AF51</f>
        <v>11914</v>
      </c>
      <c r="Z155" s="730">
        <f>世帯数!AG51</f>
        <v>11988</v>
      </c>
      <c r="AA155" s="730">
        <f>世帯数!AH51</f>
        <v>12028</v>
      </c>
      <c r="AB155" s="730">
        <f>世帯数!AI51</f>
        <v>12092</v>
      </c>
      <c r="AC155" s="730">
        <f>世帯数!AJ51</f>
        <v>12230</v>
      </c>
      <c r="AD155" s="730">
        <f>世帯数!AK51</f>
        <v>12410</v>
      </c>
      <c r="AE155" s="730">
        <f>世帯数!AL51</f>
        <v>12524</v>
      </c>
      <c r="AF155" s="730">
        <f>世帯数!AM51</f>
        <v>12651</v>
      </c>
      <c r="AG155" s="730">
        <f>世帯数!AN51</f>
        <v>12757</v>
      </c>
      <c r="AH155" s="730">
        <f>世帯数!AO51</f>
        <v>12875</v>
      </c>
      <c r="AI155" s="730">
        <f>世帯数!AP51</f>
        <v>12988</v>
      </c>
      <c r="AJ155" s="730">
        <f>世帯数!AQ51</f>
        <v>13125</v>
      </c>
      <c r="AK155" s="730"/>
    </row>
    <row r="156" spans="1:37">
      <c r="A156" s="741" t="s">
        <v>209</v>
      </c>
      <c r="B156" s="765"/>
      <c r="C156" s="762">
        <f>世帯数!I52</f>
        <v>5215</v>
      </c>
      <c r="D156" s="742">
        <f>世帯数!J52</f>
        <v>5295</v>
      </c>
      <c r="E156" s="742">
        <f>世帯数!K52</f>
        <v>5372</v>
      </c>
      <c r="F156" s="742">
        <f>世帯数!L52</f>
        <v>5473</v>
      </c>
      <c r="G156" s="742">
        <f>世帯数!M52</f>
        <v>5570</v>
      </c>
      <c r="H156" s="762">
        <f>世帯数!N52</f>
        <v>5552</v>
      </c>
      <c r="I156" s="742">
        <f>世帯数!O52</f>
        <v>5654</v>
      </c>
      <c r="J156" s="742">
        <f>世帯数!P52</f>
        <v>5756</v>
      </c>
      <c r="K156" s="742">
        <f>世帯数!Q52</f>
        <v>5817</v>
      </c>
      <c r="L156" s="742">
        <f>世帯数!R52</f>
        <v>5853</v>
      </c>
      <c r="M156" s="762">
        <f>世帯数!S52</f>
        <v>5817</v>
      </c>
      <c r="N156" s="742">
        <f>世帯数!T52</f>
        <v>5824</v>
      </c>
      <c r="O156" s="742">
        <f>世帯数!U52</f>
        <v>5888</v>
      </c>
      <c r="P156" s="742">
        <f>世帯数!V52</f>
        <v>5906</v>
      </c>
      <c r="Q156" s="742">
        <f>世帯数!W52</f>
        <v>5933</v>
      </c>
      <c r="R156" s="762">
        <f>世帯数!X52</f>
        <v>6001</v>
      </c>
      <c r="S156" s="742">
        <f>世帯数!Z52</f>
        <v>5923</v>
      </c>
      <c r="T156" s="742">
        <f>世帯数!AA52</f>
        <v>5954</v>
      </c>
      <c r="U156" s="742">
        <f>世帯数!AB52</f>
        <v>6024</v>
      </c>
      <c r="V156" s="742">
        <f>世帯数!AC52</f>
        <v>6024</v>
      </c>
      <c r="W156" s="730">
        <f>世帯数!AD52</f>
        <v>5870</v>
      </c>
      <c r="X156" s="730">
        <f>世帯数!AE52</f>
        <v>5861</v>
      </c>
      <c r="Y156" s="730">
        <f>世帯数!AF52</f>
        <v>5812</v>
      </c>
      <c r="Z156" s="730">
        <f>世帯数!AG52</f>
        <v>5791</v>
      </c>
      <c r="AA156" s="730">
        <f>世帯数!AH52</f>
        <v>5746</v>
      </c>
      <c r="AB156" s="730">
        <f>世帯数!AI52</f>
        <v>5715</v>
      </c>
      <c r="AC156" s="730">
        <f>世帯数!AJ52</f>
        <v>5658</v>
      </c>
      <c r="AD156" s="730">
        <f>世帯数!AK52</f>
        <v>5596</v>
      </c>
      <c r="AE156" s="730">
        <f>世帯数!AL52</f>
        <v>5558</v>
      </c>
      <c r="AF156" s="730">
        <f>世帯数!AM52</f>
        <v>5568</v>
      </c>
      <c r="AG156" s="730">
        <f>世帯数!AN52</f>
        <v>5537</v>
      </c>
      <c r="AH156" s="730">
        <f>世帯数!AO52</f>
        <v>5516</v>
      </c>
      <c r="AI156" s="730">
        <f>世帯数!AP52</f>
        <v>5502</v>
      </c>
      <c r="AJ156" s="730">
        <f>世帯数!AQ52</f>
        <v>5531</v>
      </c>
      <c r="AK156" s="730"/>
    </row>
    <row r="157" spans="1:37">
      <c r="A157" s="741" t="s">
        <v>236</v>
      </c>
      <c r="B157" s="765"/>
      <c r="C157" s="762">
        <f>世帯数!I53</f>
        <v>6554</v>
      </c>
      <c r="D157" s="742">
        <f>世帯数!J53</f>
        <v>6537</v>
      </c>
      <c r="E157" s="742">
        <f>世帯数!K53</f>
        <v>6564</v>
      </c>
      <c r="F157" s="742">
        <f>世帯数!L53</f>
        <v>6600</v>
      </c>
      <c r="G157" s="742">
        <f>世帯数!M53</f>
        <v>6605</v>
      </c>
      <c r="H157" s="762">
        <f>世帯数!N53</f>
        <v>6585</v>
      </c>
      <c r="I157" s="742">
        <f>世帯数!O53</f>
        <v>6606</v>
      </c>
      <c r="J157" s="742">
        <f>世帯数!P53</f>
        <v>6608</v>
      </c>
      <c r="K157" s="742">
        <f>世帯数!Q53</f>
        <v>6617</v>
      </c>
      <c r="L157" s="742">
        <f>世帯数!R53</f>
        <v>6672</v>
      </c>
      <c r="M157" s="762">
        <f>世帯数!S53</f>
        <v>6611</v>
      </c>
      <c r="N157" s="742">
        <f>世帯数!T53</f>
        <v>6610</v>
      </c>
      <c r="O157" s="742">
        <f>世帯数!U53</f>
        <v>6630</v>
      </c>
      <c r="P157" s="742">
        <f>世帯数!V53</f>
        <v>6646</v>
      </c>
      <c r="Q157" s="742">
        <f>世帯数!W53</f>
        <v>6633</v>
      </c>
      <c r="R157" s="762">
        <f>世帯数!X53</f>
        <v>6630</v>
      </c>
      <c r="S157" s="742">
        <f>世帯数!Z53</f>
        <v>6654</v>
      </c>
      <c r="T157" s="742">
        <f>世帯数!AA53</f>
        <v>6632</v>
      </c>
      <c r="U157" s="742">
        <f>世帯数!AB53</f>
        <v>6596</v>
      </c>
      <c r="V157" s="742">
        <f>世帯数!AC53</f>
        <v>6529</v>
      </c>
      <c r="W157" s="730">
        <f>世帯数!AD53</f>
        <v>6301</v>
      </c>
      <c r="X157" s="730">
        <f>世帯数!AE53</f>
        <v>6288</v>
      </c>
      <c r="Y157" s="730">
        <f>世帯数!AF53</f>
        <v>6250</v>
      </c>
      <c r="Z157" s="730">
        <f>世帯数!AG53</f>
        <v>6203</v>
      </c>
      <c r="AA157" s="730">
        <f>世帯数!AH53</f>
        <v>6152</v>
      </c>
      <c r="AB157" s="730">
        <f>世帯数!AI53</f>
        <v>6108</v>
      </c>
      <c r="AC157" s="730">
        <f>世帯数!AJ53</f>
        <v>6040</v>
      </c>
      <c r="AD157" s="730">
        <f>世帯数!AK53</f>
        <v>5989</v>
      </c>
      <c r="AE157" s="730">
        <f>世帯数!AL53</f>
        <v>5948</v>
      </c>
      <c r="AF157" s="730">
        <f>世帯数!AM53</f>
        <v>5936</v>
      </c>
      <c r="AG157" s="730">
        <f>世帯数!AN53</f>
        <v>5927</v>
      </c>
      <c r="AH157" s="730">
        <f>世帯数!AO53</f>
        <v>5898</v>
      </c>
      <c r="AI157" s="730">
        <f>世帯数!AP53</f>
        <v>5890</v>
      </c>
      <c r="AJ157" s="730">
        <f>世帯数!AQ53</f>
        <v>5879</v>
      </c>
      <c r="AK157" s="730"/>
    </row>
    <row r="158" spans="1:37">
      <c r="A158" s="770" t="s">
        <v>210</v>
      </c>
      <c r="B158" s="771"/>
      <c r="C158" s="762">
        <f>世帯数!I54</f>
        <v>58494</v>
      </c>
      <c r="D158" s="742">
        <f>世帯数!J54</f>
        <v>58902</v>
      </c>
      <c r="E158" s="742">
        <f>世帯数!K54</f>
        <v>59243</v>
      </c>
      <c r="F158" s="742">
        <f>世帯数!L54</f>
        <v>59868</v>
      </c>
      <c r="G158" s="742">
        <f>世帯数!M54</f>
        <v>60497</v>
      </c>
      <c r="H158" s="762">
        <f>世帯数!N54</f>
        <v>61197</v>
      </c>
      <c r="I158" s="742">
        <f>世帯数!O54</f>
        <v>61911</v>
      </c>
      <c r="J158" s="742">
        <f>世帯数!P54</f>
        <v>62485</v>
      </c>
      <c r="K158" s="742">
        <f>世帯数!Q54</f>
        <v>62960</v>
      </c>
      <c r="L158" s="742">
        <f>世帯数!R54</f>
        <v>63280</v>
      </c>
      <c r="M158" s="762">
        <f>世帯数!S54</f>
        <v>62607</v>
      </c>
      <c r="N158" s="742">
        <f>世帯数!T54</f>
        <v>63001</v>
      </c>
      <c r="O158" s="742">
        <f>世帯数!U54</f>
        <v>63339</v>
      </c>
      <c r="P158" s="742">
        <f>世帯数!V54</f>
        <v>63298</v>
      </c>
      <c r="Q158" s="742">
        <f>世帯数!W54</f>
        <v>63604</v>
      </c>
      <c r="R158" s="762">
        <f>世帯数!X54</f>
        <v>63976</v>
      </c>
      <c r="S158" s="742">
        <f>世帯数!Z54</f>
        <v>63237</v>
      </c>
      <c r="T158" s="742">
        <f>世帯数!AA54</f>
        <v>63517</v>
      </c>
      <c r="U158" s="742">
        <f>世帯数!AB54</f>
        <v>63513</v>
      </c>
      <c r="V158" s="742">
        <f>世帯数!AC54</f>
        <v>63698</v>
      </c>
      <c r="W158" s="730">
        <f>世帯数!AD54</f>
        <v>62249</v>
      </c>
      <c r="X158" s="730">
        <f>世帯数!AE54</f>
        <v>62227</v>
      </c>
      <c r="Y158" s="730">
        <f>世帯数!AF54</f>
        <v>62024</v>
      </c>
      <c r="Z158" s="730">
        <f>世帯数!AG54</f>
        <v>61960</v>
      </c>
      <c r="AA158" s="730">
        <f>世帯数!AH54</f>
        <v>61868</v>
      </c>
      <c r="AB158" s="730">
        <f>世帯数!AI54</f>
        <v>61921</v>
      </c>
      <c r="AC158" s="730">
        <f>世帯数!AJ54</f>
        <v>61837</v>
      </c>
      <c r="AD158" s="730">
        <f>世帯数!AK54</f>
        <v>61713</v>
      </c>
      <c r="AE158" s="730">
        <f>世帯数!AL54</f>
        <v>61346</v>
      </c>
      <c r="AF158" s="730">
        <f>世帯数!AM54</f>
        <v>61122</v>
      </c>
      <c r="AG158" s="730">
        <f>世帯数!AN54</f>
        <v>60808</v>
      </c>
      <c r="AH158" s="730">
        <f>世帯数!AO54</f>
        <v>60890</v>
      </c>
      <c r="AI158" s="730">
        <f>世帯数!AP54</f>
        <v>60973</v>
      </c>
      <c r="AJ158" s="730">
        <f>世帯数!AQ54</f>
        <v>60858</v>
      </c>
      <c r="AK158" s="730"/>
    </row>
    <row r="159" spans="1:37">
      <c r="A159" s="741" t="s">
        <v>221</v>
      </c>
      <c r="B159" s="765"/>
      <c r="C159" s="762">
        <f>世帯数!I55</f>
        <v>26441</v>
      </c>
      <c r="D159" s="742">
        <f>世帯数!J55</f>
        <v>26767</v>
      </c>
      <c r="E159" s="742">
        <f>世帯数!K55</f>
        <v>26932</v>
      </c>
      <c r="F159" s="742">
        <f>世帯数!L55</f>
        <v>27283</v>
      </c>
      <c r="G159" s="742">
        <f>世帯数!M55</f>
        <v>27692</v>
      </c>
      <c r="H159" s="762">
        <f>世帯数!N55</f>
        <v>28131</v>
      </c>
      <c r="I159" s="742">
        <f>世帯数!O55</f>
        <v>28542</v>
      </c>
      <c r="J159" s="742">
        <f>世帯数!P55</f>
        <v>28847</v>
      </c>
      <c r="K159" s="742">
        <f>世帯数!Q55</f>
        <v>29146</v>
      </c>
      <c r="L159" s="742">
        <f>世帯数!R55</f>
        <v>29397</v>
      </c>
      <c r="M159" s="762">
        <f>世帯数!S55</f>
        <v>29181</v>
      </c>
      <c r="N159" s="742">
        <f>世帯数!T55</f>
        <v>29449</v>
      </c>
      <c r="O159" s="742">
        <f>世帯数!U55</f>
        <v>29624</v>
      </c>
      <c r="P159" s="742">
        <f>世帯数!V55</f>
        <v>29702</v>
      </c>
      <c r="Q159" s="742">
        <f>世帯数!W55</f>
        <v>29943</v>
      </c>
      <c r="R159" s="762">
        <f>世帯数!X55</f>
        <v>30098</v>
      </c>
      <c r="S159" s="742">
        <f>世帯数!Z55</f>
        <v>29841</v>
      </c>
      <c r="T159" s="742">
        <f>世帯数!AA55</f>
        <v>30019</v>
      </c>
      <c r="U159" s="742">
        <f>世帯数!AB55</f>
        <v>30095</v>
      </c>
      <c r="V159" s="742">
        <f>世帯数!AC55</f>
        <v>30360</v>
      </c>
      <c r="W159" s="730">
        <f>世帯数!AD55</f>
        <v>29741</v>
      </c>
      <c r="X159" s="730">
        <f>世帯数!AE55</f>
        <v>29874</v>
      </c>
      <c r="Y159" s="730">
        <f>世帯数!AF55</f>
        <v>29818</v>
      </c>
      <c r="Z159" s="730">
        <f>世帯数!AG55</f>
        <v>29882</v>
      </c>
      <c r="AA159" s="730">
        <f>世帯数!AH55</f>
        <v>30017</v>
      </c>
      <c r="AB159" s="730">
        <f>世帯数!AI55</f>
        <v>30189</v>
      </c>
      <c r="AC159" s="730">
        <f>世帯数!AJ55</f>
        <v>30199</v>
      </c>
      <c r="AD159" s="730">
        <f>世帯数!AK55</f>
        <v>30296</v>
      </c>
      <c r="AE159" s="730">
        <f>世帯数!AL55</f>
        <v>30209</v>
      </c>
      <c r="AF159" s="730">
        <f>世帯数!AM55</f>
        <v>30264</v>
      </c>
      <c r="AG159" s="730">
        <f>世帯数!AN55</f>
        <v>30180</v>
      </c>
      <c r="AH159" s="730">
        <f>世帯数!AO55</f>
        <v>30416</v>
      </c>
      <c r="AI159" s="730">
        <f>世帯数!AP55</f>
        <v>30556</v>
      </c>
      <c r="AJ159" s="730">
        <f>世帯数!AQ55</f>
        <v>30591</v>
      </c>
      <c r="AK159" s="730"/>
    </row>
    <row r="160" spans="1:37">
      <c r="A160" s="741" t="s">
        <v>218</v>
      </c>
      <c r="B160" s="765"/>
      <c r="C160" s="762">
        <f>世帯数!I56</f>
        <v>9005</v>
      </c>
      <c r="D160" s="742">
        <f>世帯数!J56</f>
        <v>9027</v>
      </c>
      <c r="E160" s="742">
        <f>世帯数!K56</f>
        <v>9040</v>
      </c>
      <c r="F160" s="742">
        <f>世帯数!L56</f>
        <v>9156</v>
      </c>
      <c r="G160" s="742">
        <f>世帯数!M56</f>
        <v>9248</v>
      </c>
      <c r="H160" s="762">
        <f>世帯数!N56</f>
        <v>9252</v>
      </c>
      <c r="I160" s="742">
        <f>世帯数!O56</f>
        <v>9375</v>
      </c>
      <c r="J160" s="742">
        <f>世帯数!P56</f>
        <v>9460</v>
      </c>
      <c r="K160" s="742">
        <f>世帯数!Q56</f>
        <v>9476</v>
      </c>
      <c r="L160" s="742">
        <f>世帯数!R56</f>
        <v>9504</v>
      </c>
      <c r="M160" s="762">
        <f>世帯数!S56</f>
        <v>9298</v>
      </c>
      <c r="N160" s="742">
        <f>世帯数!T56</f>
        <v>9311</v>
      </c>
      <c r="O160" s="742">
        <f>世帯数!U56</f>
        <v>9350</v>
      </c>
      <c r="P160" s="742">
        <f>世帯数!V56</f>
        <v>9320</v>
      </c>
      <c r="Q160" s="742">
        <f>世帯数!W56</f>
        <v>9339</v>
      </c>
      <c r="R160" s="762">
        <f>世帯数!X56</f>
        <v>9386</v>
      </c>
      <c r="S160" s="742">
        <f>世帯数!Z56</f>
        <v>9247</v>
      </c>
      <c r="T160" s="742">
        <f>世帯数!AA56</f>
        <v>9244</v>
      </c>
      <c r="U160" s="742">
        <f>世帯数!AB56</f>
        <v>9222</v>
      </c>
      <c r="V160" s="742">
        <f>世帯数!AC56</f>
        <v>9211</v>
      </c>
      <c r="W160" s="730">
        <f>世帯数!AD56</f>
        <v>9062</v>
      </c>
      <c r="X160" s="730">
        <f>世帯数!AE56</f>
        <v>8963</v>
      </c>
      <c r="Y160" s="730">
        <f>世帯数!AF56</f>
        <v>8886</v>
      </c>
      <c r="Z160" s="730">
        <f>世帯数!AG56</f>
        <v>8825</v>
      </c>
      <c r="AA160" s="730">
        <f>世帯数!AH56</f>
        <v>8768</v>
      </c>
      <c r="AB160" s="730">
        <f>世帯数!AI56</f>
        <v>8713</v>
      </c>
      <c r="AC160" s="730">
        <f>世帯数!AJ56</f>
        <v>8678</v>
      </c>
      <c r="AD160" s="730">
        <f>世帯数!AK56</f>
        <v>8612</v>
      </c>
      <c r="AE160" s="730">
        <f>世帯数!AL56</f>
        <v>8493</v>
      </c>
      <c r="AF160" s="730">
        <f>世帯数!AM56</f>
        <v>8432</v>
      </c>
      <c r="AG160" s="730">
        <f>世帯数!AN56</f>
        <v>8388</v>
      </c>
      <c r="AH160" s="730">
        <f>世帯数!AO56</f>
        <v>8345</v>
      </c>
      <c r="AI160" s="730">
        <f>世帯数!AP56</f>
        <v>8295</v>
      </c>
      <c r="AJ160" s="730">
        <f>世帯数!AQ56</f>
        <v>8216</v>
      </c>
      <c r="AK160" s="730"/>
    </row>
    <row r="161" spans="1:37">
      <c r="A161" s="741" t="s">
        <v>222</v>
      </c>
      <c r="B161" s="765"/>
      <c r="C161" s="762">
        <f>世帯数!I57</f>
        <v>10704</v>
      </c>
      <c r="D161" s="742">
        <f>世帯数!J57</f>
        <v>10769</v>
      </c>
      <c r="E161" s="742">
        <f>世帯数!K57</f>
        <v>10919</v>
      </c>
      <c r="F161" s="742">
        <f>世帯数!L57</f>
        <v>11024</v>
      </c>
      <c r="G161" s="742">
        <f>世帯数!M57</f>
        <v>11114</v>
      </c>
      <c r="H161" s="762">
        <f>世帯数!N57</f>
        <v>11411</v>
      </c>
      <c r="I161" s="742">
        <f>世帯数!O57</f>
        <v>11498</v>
      </c>
      <c r="J161" s="742">
        <f>世帯数!P57</f>
        <v>11657</v>
      </c>
      <c r="K161" s="742">
        <f>世帯数!Q57</f>
        <v>11783</v>
      </c>
      <c r="L161" s="742">
        <f>世帯数!R57</f>
        <v>11842</v>
      </c>
      <c r="M161" s="762">
        <f>世帯数!S57</f>
        <v>11685</v>
      </c>
      <c r="N161" s="742">
        <f>世帯数!T57</f>
        <v>11786</v>
      </c>
      <c r="O161" s="742">
        <f>世帯数!U57</f>
        <v>11885</v>
      </c>
      <c r="P161" s="742">
        <f>世帯数!V57</f>
        <v>11871</v>
      </c>
      <c r="Q161" s="742">
        <f>世帯数!W57</f>
        <v>11938</v>
      </c>
      <c r="R161" s="762">
        <f>世帯数!X57</f>
        <v>12066</v>
      </c>
      <c r="S161" s="742">
        <f>世帯数!Z57</f>
        <v>11961</v>
      </c>
      <c r="T161" s="742">
        <f>世帯数!AA57</f>
        <v>12038</v>
      </c>
      <c r="U161" s="742">
        <f>世帯数!AB57</f>
        <v>12014</v>
      </c>
      <c r="V161" s="742">
        <f>世帯数!AC57</f>
        <v>11987</v>
      </c>
      <c r="W161" s="730">
        <f>世帯数!AD57</f>
        <v>11655</v>
      </c>
      <c r="X161" s="730">
        <f>世帯数!AE57</f>
        <v>11653</v>
      </c>
      <c r="Y161" s="730">
        <f>世帯数!AF57</f>
        <v>11587</v>
      </c>
      <c r="Z161" s="730">
        <f>世帯数!AG57</f>
        <v>11572</v>
      </c>
      <c r="AA161" s="730">
        <f>世帯数!AH57</f>
        <v>11532</v>
      </c>
      <c r="AB161" s="730">
        <f>世帯数!AI57</f>
        <v>11500</v>
      </c>
      <c r="AC161" s="730">
        <f>世帯数!AJ57</f>
        <v>11566</v>
      </c>
      <c r="AD161" s="730">
        <f>世帯数!AK57</f>
        <v>11524</v>
      </c>
      <c r="AE161" s="730">
        <f>世帯数!AL57</f>
        <v>11512</v>
      </c>
      <c r="AF161" s="730">
        <f>世帯数!AM57</f>
        <v>11442</v>
      </c>
      <c r="AG161" s="730">
        <f>世帯数!AN57</f>
        <v>11399</v>
      </c>
      <c r="AH161" s="730">
        <f>世帯数!AO57</f>
        <v>11356</v>
      </c>
      <c r="AI161" s="730">
        <f>世帯数!AP57</f>
        <v>11401</v>
      </c>
      <c r="AJ161" s="730">
        <f>世帯数!AQ57</f>
        <v>11368</v>
      </c>
      <c r="AK161" s="730"/>
    </row>
    <row r="162" spans="1:37">
      <c r="A162" s="741" t="s">
        <v>220</v>
      </c>
      <c r="B162" s="765"/>
      <c r="C162" s="762">
        <f>世帯数!I58</f>
        <v>6833</v>
      </c>
      <c r="D162" s="742">
        <f>世帯数!J58</f>
        <v>6825</v>
      </c>
      <c r="E162" s="742">
        <f>世帯数!K58</f>
        <v>6821</v>
      </c>
      <c r="F162" s="742">
        <f>世帯数!L58</f>
        <v>6839</v>
      </c>
      <c r="G162" s="742">
        <f>世帯数!M58</f>
        <v>6847</v>
      </c>
      <c r="H162" s="762">
        <f>世帯数!N58</f>
        <v>6816</v>
      </c>
      <c r="I162" s="742">
        <f>世帯数!O58</f>
        <v>6874</v>
      </c>
      <c r="J162" s="742">
        <f>世帯数!P58</f>
        <v>6886</v>
      </c>
      <c r="K162" s="742">
        <f>世帯数!Q58</f>
        <v>6904</v>
      </c>
      <c r="L162" s="742">
        <f>世帯数!R58</f>
        <v>6892</v>
      </c>
      <c r="M162" s="762">
        <f>世帯数!S58</f>
        <v>6878</v>
      </c>
      <c r="N162" s="742">
        <f>世帯数!T58</f>
        <v>6884</v>
      </c>
      <c r="O162" s="742">
        <f>世帯数!U58</f>
        <v>6880</v>
      </c>
      <c r="P162" s="742">
        <f>世帯数!V58</f>
        <v>6841</v>
      </c>
      <c r="Q162" s="742">
        <f>世帯数!W58</f>
        <v>6800</v>
      </c>
      <c r="R162" s="762">
        <f>世帯数!X58</f>
        <v>6783</v>
      </c>
      <c r="S162" s="742">
        <f>世帯数!Z58</f>
        <v>6625</v>
      </c>
      <c r="T162" s="742">
        <f>世帯数!AA58</f>
        <v>6657</v>
      </c>
      <c r="U162" s="742">
        <f>世帯数!AB58</f>
        <v>6627</v>
      </c>
      <c r="V162" s="742">
        <f>世帯数!AC58</f>
        <v>6609</v>
      </c>
      <c r="W162" s="730">
        <f>世帯数!AD58</f>
        <v>6449</v>
      </c>
      <c r="X162" s="730">
        <f>世帯数!AE58</f>
        <v>6399</v>
      </c>
      <c r="Y162" s="730">
        <f>世帯数!AF58</f>
        <v>6365</v>
      </c>
      <c r="Z162" s="730">
        <f>世帯数!AG58</f>
        <v>6328</v>
      </c>
      <c r="AA162" s="730">
        <f>世帯数!AH58</f>
        <v>6243</v>
      </c>
      <c r="AB162" s="730">
        <f>世帯数!AI58</f>
        <v>6228</v>
      </c>
      <c r="AC162" s="730">
        <f>世帯数!AJ58</f>
        <v>6179</v>
      </c>
      <c r="AD162" s="730">
        <f>世帯数!AK58</f>
        <v>6127</v>
      </c>
      <c r="AE162" s="730">
        <f>世帯数!AL58</f>
        <v>6068</v>
      </c>
      <c r="AF162" s="730">
        <f>世帯数!AM58</f>
        <v>5968</v>
      </c>
      <c r="AG162" s="730">
        <f>世帯数!AN58</f>
        <v>5912</v>
      </c>
      <c r="AH162" s="730">
        <f>世帯数!AO58</f>
        <v>5872</v>
      </c>
      <c r="AI162" s="730">
        <f>世帯数!AP58</f>
        <v>5825</v>
      </c>
      <c r="AJ162" s="730">
        <f>世帯数!AQ58</f>
        <v>5805</v>
      </c>
      <c r="AK162" s="730"/>
    </row>
    <row r="163" spans="1:37">
      <c r="A163" s="741" t="s">
        <v>237</v>
      </c>
      <c r="B163" s="765"/>
      <c r="C163" s="762">
        <f>世帯数!I59</f>
        <v>5511</v>
      </c>
      <c r="D163" s="742">
        <f>世帯数!J59</f>
        <v>5514</v>
      </c>
      <c r="E163" s="742">
        <f>世帯数!K59</f>
        <v>5531</v>
      </c>
      <c r="F163" s="742">
        <f>世帯数!L59</f>
        <v>5566</v>
      </c>
      <c r="G163" s="742">
        <f>世帯数!M59</f>
        <v>5596</v>
      </c>
      <c r="H163" s="762">
        <f>世帯数!N59</f>
        <v>5587</v>
      </c>
      <c r="I163" s="742">
        <f>世帯数!O59</f>
        <v>5622</v>
      </c>
      <c r="J163" s="742">
        <f>世帯数!P59</f>
        <v>5635</v>
      </c>
      <c r="K163" s="742">
        <f>世帯数!Q59</f>
        <v>5651</v>
      </c>
      <c r="L163" s="742">
        <f>世帯数!R59</f>
        <v>5645</v>
      </c>
      <c r="M163" s="762">
        <f>世帯数!S59</f>
        <v>5565</v>
      </c>
      <c r="N163" s="742">
        <f>世帯数!T59</f>
        <v>5571</v>
      </c>
      <c r="O163" s="742">
        <f>世帯数!U59</f>
        <v>5600</v>
      </c>
      <c r="P163" s="742">
        <f>世帯数!V59</f>
        <v>5564</v>
      </c>
      <c r="Q163" s="742">
        <f>世帯数!W59</f>
        <v>5584</v>
      </c>
      <c r="R163" s="762">
        <f>世帯数!X59</f>
        <v>5643</v>
      </c>
      <c r="S163" s="742">
        <f>世帯数!Z59</f>
        <v>5563</v>
      </c>
      <c r="T163" s="742">
        <f>世帯数!AA59</f>
        <v>5559</v>
      </c>
      <c r="U163" s="742">
        <f>世帯数!AB59</f>
        <v>5555</v>
      </c>
      <c r="V163" s="742">
        <f>世帯数!AC59</f>
        <v>5531</v>
      </c>
      <c r="W163" s="730">
        <f>世帯数!AD59</f>
        <v>5342</v>
      </c>
      <c r="X163" s="730">
        <f>世帯数!AE59</f>
        <v>5338</v>
      </c>
      <c r="Y163" s="730">
        <f>世帯数!AF59</f>
        <v>5368</v>
      </c>
      <c r="Z163" s="730">
        <f>世帯数!AG59</f>
        <v>5353</v>
      </c>
      <c r="AA163" s="730">
        <f>世帯数!AH59</f>
        <v>5308</v>
      </c>
      <c r="AB163" s="730">
        <f>世帯数!AI59</f>
        <v>5291</v>
      </c>
      <c r="AC163" s="730">
        <f>世帯数!AJ59</f>
        <v>5215</v>
      </c>
      <c r="AD163" s="730">
        <f>世帯数!AK59</f>
        <v>5154</v>
      </c>
      <c r="AE163" s="730">
        <f>世帯数!AL59</f>
        <v>5064</v>
      </c>
      <c r="AF163" s="730">
        <f>世帯数!AM59</f>
        <v>5016</v>
      </c>
      <c r="AG163" s="730">
        <f>世帯数!AN59</f>
        <v>4929</v>
      </c>
      <c r="AH163" s="730">
        <f>世帯数!AO59</f>
        <v>4901</v>
      </c>
      <c r="AI163" s="730">
        <f>世帯数!AP59</f>
        <v>4896</v>
      </c>
      <c r="AJ163" s="730">
        <f>世帯数!AQ59</f>
        <v>4878</v>
      </c>
      <c r="AK163" s="730"/>
    </row>
    <row r="164" spans="1:37">
      <c r="A164" s="772" t="s">
        <v>211</v>
      </c>
      <c r="B164" s="773"/>
      <c r="C164" s="762">
        <f>世帯数!I60</f>
        <v>31564</v>
      </c>
      <c r="D164" s="742">
        <f>世帯数!J60</f>
        <v>32161</v>
      </c>
      <c r="E164" s="742">
        <f>世帯数!K60</f>
        <v>32790</v>
      </c>
      <c r="F164" s="742">
        <f>世帯数!L60</f>
        <v>33334</v>
      </c>
      <c r="G164" s="742">
        <f>世帯数!M60</f>
        <v>33857</v>
      </c>
      <c r="H164" s="762">
        <f>世帯数!N60</f>
        <v>34261</v>
      </c>
      <c r="I164" s="742">
        <f>世帯数!O60</f>
        <v>34805</v>
      </c>
      <c r="J164" s="742">
        <f>世帯数!P60</f>
        <v>35449</v>
      </c>
      <c r="K164" s="742">
        <f>世帯数!Q60</f>
        <v>35896</v>
      </c>
      <c r="L164" s="742">
        <f>世帯数!R60</f>
        <v>36357</v>
      </c>
      <c r="M164" s="762">
        <f>世帯数!S60</f>
        <v>36354</v>
      </c>
      <c r="N164" s="742">
        <f>世帯数!T60</f>
        <v>36808</v>
      </c>
      <c r="O164" s="742">
        <f>世帯数!U60</f>
        <v>37023</v>
      </c>
      <c r="P164" s="742">
        <f>世帯数!V60</f>
        <v>37276</v>
      </c>
      <c r="Q164" s="742">
        <f>世帯数!W60</f>
        <v>37640</v>
      </c>
      <c r="R164" s="762">
        <f>世帯数!X60</f>
        <v>38061</v>
      </c>
      <c r="S164" s="742">
        <f>世帯数!Z60</f>
        <v>37806</v>
      </c>
      <c r="T164" s="742">
        <f>世帯数!AA60</f>
        <v>38001</v>
      </c>
      <c r="U164" s="742">
        <f>世帯数!AB60</f>
        <v>38277</v>
      </c>
      <c r="V164" s="742">
        <f>世帯数!AC60</f>
        <v>38446</v>
      </c>
      <c r="W164" s="730">
        <f>世帯数!AD60</f>
        <v>37803</v>
      </c>
      <c r="X164" s="730">
        <f>世帯数!AE60</f>
        <v>38006</v>
      </c>
      <c r="Y164" s="730">
        <f>世帯数!AF60</f>
        <v>38115</v>
      </c>
      <c r="Z164" s="730">
        <f>世帯数!AG60</f>
        <v>38075</v>
      </c>
      <c r="AA164" s="730">
        <f>世帯数!AH60</f>
        <v>38052</v>
      </c>
      <c r="AB164" s="730">
        <f>世帯数!AI60</f>
        <v>38131</v>
      </c>
      <c r="AC164" s="730">
        <f>世帯数!AJ60</f>
        <v>38239</v>
      </c>
      <c r="AD164" s="730">
        <f>世帯数!AK60</f>
        <v>38324</v>
      </c>
      <c r="AE164" s="730">
        <f>世帯数!AL60</f>
        <v>38476</v>
      </c>
      <c r="AF164" s="730">
        <f>世帯数!AM60</f>
        <v>38676</v>
      </c>
      <c r="AG164" s="730">
        <f>世帯数!AN60</f>
        <v>38638</v>
      </c>
      <c r="AH164" s="730">
        <f>世帯数!AO60</f>
        <v>38702</v>
      </c>
      <c r="AI164" s="730">
        <f>世帯数!AP60</f>
        <v>39074</v>
      </c>
      <c r="AJ164" s="730">
        <f>世帯数!AQ60</f>
        <v>39347</v>
      </c>
      <c r="AK164" s="730"/>
    </row>
    <row r="165" spans="1:37">
      <c r="A165" s="741" t="s">
        <v>1144</v>
      </c>
      <c r="B165" s="765"/>
      <c r="C165" s="762">
        <f>世帯数!I61</f>
        <v>11825</v>
      </c>
      <c r="D165" s="742">
        <f>世帯数!J61</f>
        <v>12119</v>
      </c>
      <c r="E165" s="742">
        <f>世帯数!K61</f>
        <v>12431</v>
      </c>
      <c r="F165" s="742">
        <f>世帯数!L61</f>
        <v>12694</v>
      </c>
      <c r="G165" s="742">
        <f>世帯数!M61</f>
        <v>12964</v>
      </c>
      <c r="H165" s="762">
        <f>世帯数!N61</f>
        <v>13228</v>
      </c>
      <c r="I165" s="742">
        <f>世帯数!O61</f>
        <v>13521</v>
      </c>
      <c r="J165" s="742">
        <f>世帯数!P61</f>
        <v>13899</v>
      </c>
      <c r="K165" s="742">
        <f>世帯数!Q61</f>
        <v>14194</v>
      </c>
      <c r="L165" s="742">
        <f>世帯数!R61</f>
        <v>14534</v>
      </c>
      <c r="M165" s="762">
        <f>世帯数!S61</f>
        <v>14585</v>
      </c>
      <c r="N165" s="742">
        <f>世帯数!T61</f>
        <v>14896</v>
      </c>
      <c r="O165" s="742">
        <f>世帯数!U61</f>
        <v>15074</v>
      </c>
      <c r="P165" s="742">
        <f>世帯数!V61</f>
        <v>15228</v>
      </c>
      <c r="Q165" s="742">
        <f>世帯数!W61</f>
        <v>15367</v>
      </c>
      <c r="R165" s="762">
        <f>世帯数!X61</f>
        <v>15544</v>
      </c>
      <c r="S165" s="742">
        <f>世帯数!Z61</f>
        <v>15197</v>
      </c>
      <c r="T165" s="742">
        <f>世帯数!AA61</f>
        <v>15297</v>
      </c>
      <c r="U165" s="742">
        <f>世帯数!AB61</f>
        <v>15374</v>
      </c>
      <c r="V165" s="742">
        <f>世帯数!AC61</f>
        <v>15479</v>
      </c>
      <c r="W165" s="730">
        <f>世帯数!AD61</f>
        <v>15342</v>
      </c>
      <c r="X165" s="730">
        <f>世帯数!AE61</f>
        <v>15434</v>
      </c>
      <c r="Y165" s="730">
        <f>世帯数!AF61</f>
        <v>15537</v>
      </c>
      <c r="Z165" s="730">
        <f>世帯数!AG61</f>
        <v>15502</v>
      </c>
      <c r="AA165" s="730">
        <f>世帯数!AH61</f>
        <v>15490</v>
      </c>
      <c r="AB165" s="730">
        <f>世帯数!AI61</f>
        <v>15578</v>
      </c>
      <c r="AC165" s="730">
        <f>世帯数!AJ61</f>
        <v>15628</v>
      </c>
      <c r="AD165" s="730">
        <f>世帯数!AK61</f>
        <v>15577</v>
      </c>
      <c r="AE165" s="730">
        <f>世帯数!AL61</f>
        <v>15604</v>
      </c>
      <c r="AF165" s="730">
        <f>世帯数!AM61</f>
        <v>15652</v>
      </c>
      <c r="AG165" s="730">
        <f>世帯数!AN61</f>
        <v>15605</v>
      </c>
      <c r="AH165" s="730">
        <f>世帯数!AO61</f>
        <v>15635</v>
      </c>
      <c r="AI165" s="730">
        <f>世帯数!AP61</f>
        <v>15790</v>
      </c>
      <c r="AJ165" s="730">
        <f>世帯数!AQ61</f>
        <v>15911</v>
      </c>
      <c r="AK165" s="730"/>
    </row>
    <row r="166" spans="1:37">
      <c r="A166" s="741" t="s">
        <v>223</v>
      </c>
      <c r="B166" s="765"/>
      <c r="C166" s="762">
        <f>世帯数!I62</f>
        <v>19739</v>
      </c>
      <c r="D166" s="742">
        <f>世帯数!J62</f>
        <v>20042</v>
      </c>
      <c r="E166" s="742">
        <f>世帯数!K62</f>
        <v>20359</v>
      </c>
      <c r="F166" s="742">
        <f>世帯数!L62</f>
        <v>20640</v>
      </c>
      <c r="G166" s="742">
        <f>世帯数!M62</f>
        <v>20893</v>
      </c>
      <c r="H166" s="762">
        <f>世帯数!N62</f>
        <v>21033</v>
      </c>
      <c r="I166" s="742">
        <f>世帯数!O62</f>
        <v>21284</v>
      </c>
      <c r="J166" s="742">
        <f>世帯数!P62</f>
        <v>21550</v>
      </c>
      <c r="K166" s="742">
        <f>世帯数!Q62</f>
        <v>21702</v>
      </c>
      <c r="L166" s="742">
        <f>世帯数!R62</f>
        <v>21823</v>
      </c>
      <c r="M166" s="762">
        <f>世帯数!S62</f>
        <v>21769</v>
      </c>
      <c r="N166" s="742">
        <f>世帯数!T62</f>
        <v>21912</v>
      </c>
      <c r="O166" s="742">
        <f>世帯数!U62</f>
        <v>21949</v>
      </c>
      <c r="P166" s="742">
        <f>世帯数!V62</f>
        <v>22048</v>
      </c>
      <c r="Q166" s="742">
        <f>世帯数!W62</f>
        <v>22273</v>
      </c>
      <c r="R166" s="762">
        <f>世帯数!X62</f>
        <v>22517</v>
      </c>
      <c r="S166" s="742">
        <f>世帯数!Z62</f>
        <v>22609</v>
      </c>
      <c r="T166" s="742">
        <f>世帯数!AA62</f>
        <v>22704</v>
      </c>
      <c r="U166" s="742">
        <f>世帯数!AB62</f>
        <v>22903</v>
      </c>
      <c r="V166" s="742">
        <f>世帯数!AC62</f>
        <v>22967</v>
      </c>
      <c r="W166" s="730">
        <f>世帯数!AD62</f>
        <v>22461</v>
      </c>
      <c r="X166" s="730">
        <f>世帯数!AE62</f>
        <v>22572</v>
      </c>
      <c r="Y166" s="730">
        <f>世帯数!AF62</f>
        <v>22578</v>
      </c>
      <c r="Z166" s="730">
        <f>世帯数!AG62</f>
        <v>22573</v>
      </c>
      <c r="AA166" s="730">
        <f>世帯数!AH62</f>
        <v>22562</v>
      </c>
      <c r="AB166" s="730">
        <f>世帯数!AI62</f>
        <v>22553</v>
      </c>
      <c r="AC166" s="730">
        <f>世帯数!AJ62</f>
        <v>22611</v>
      </c>
      <c r="AD166" s="730">
        <f>世帯数!AK62</f>
        <v>22747</v>
      </c>
      <c r="AE166" s="730">
        <f>世帯数!AL62</f>
        <v>22872</v>
      </c>
      <c r="AF166" s="730">
        <f>世帯数!AM62</f>
        <v>23024</v>
      </c>
      <c r="AG166" s="730">
        <f>世帯数!AN62</f>
        <v>23033</v>
      </c>
      <c r="AH166" s="730">
        <f>世帯数!AO62</f>
        <v>23067</v>
      </c>
      <c r="AI166" s="730">
        <f>世帯数!AP62</f>
        <v>23284</v>
      </c>
      <c r="AJ166" s="730">
        <f>世帯数!AQ62</f>
        <v>23436</v>
      </c>
      <c r="AK166" s="730"/>
    </row>
    <row r="167" spans="1:37">
      <c r="A167" s="774" t="s">
        <v>212</v>
      </c>
      <c r="B167" s="775"/>
      <c r="C167" s="762">
        <f>世帯数!I63</f>
        <v>50057</v>
      </c>
      <c r="D167" s="742">
        <f>世帯数!J63</f>
        <v>50312</v>
      </c>
      <c r="E167" s="742">
        <f>世帯数!K63</f>
        <v>50632</v>
      </c>
      <c r="F167" s="742">
        <f>世帯数!L63</f>
        <v>51059</v>
      </c>
      <c r="G167" s="742">
        <f>世帯数!M63</f>
        <v>51844</v>
      </c>
      <c r="H167" s="762">
        <f>世帯数!N63</f>
        <v>51992</v>
      </c>
      <c r="I167" s="742">
        <f>世帯数!O63</f>
        <v>52511</v>
      </c>
      <c r="J167" s="742">
        <f>世帯数!P63</f>
        <v>52973</v>
      </c>
      <c r="K167" s="742">
        <f>世帯数!Q63</f>
        <v>53370</v>
      </c>
      <c r="L167" s="742">
        <f>世帯数!R63</f>
        <v>54354</v>
      </c>
      <c r="M167" s="762">
        <f>世帯数!S63</f>
        <v>53644</v>
      </c>
      <c r="N167" s="742">
        <f>世帯数!T63</f>
        <v>54026</v>
      </c>
      <c r="O167" s="742">
        <f>世帯数!U63</f>
        <v>54309</v>
      </c>
      <c r="P167" s="742">
        <f>世帯数!V63</f>
        <v>54422</v>
      </c>
      <c r="Q167" s="742">
        <f>世帯数!W63</f>
        <v>54550</v>
      </c>
      <c r="R167" s="762">
        <f>世帯数!X63</f>
        <v>54587</v>
      </c>
      <c r="S167" s="742">
        <f>世帯数!Z63</f>
        <v>53410</v>
      </c>
      <c r="T167" s="742">
        <f>世帯数!AA63</f>
        <v>53446</v>
      </c>
      <c r="U167" s="742">
        <f>世帯数!AB63</f>
        <v>53699</v>
      </c>
      <c r="V167" s="742">
        <f>世帯数!AC63</f>
        <v>54076</v>
      </c>
      <c r="W167" s="730">
        <f>世帯数!AD63</f>
        <v>52864</v>
      </c>
      <c r="X167" s="730">
        <f>世帯数!AE63</f>
        <v>52747</v>
      </c>
      <c r="Y167" s="730">
        <f>世帯数!AF63</f>
        <v>52730</v>
      </c>
      <c r="Z167" s="730">
        <f>世帯数!AG63</f>
        <v>52544</v>
      </c>
      <c r="AA167" s="730">
        <f>世帯数!AH63</f>
        <v>52627</v>
      </c>
      <c r="AB167" s="730">
        <f>世帯数!AI63</f>
        <v>52500</v>
      </c>
      <c r="AC167" s="730">
        <f>世帯数!AJ63</f>
        <v>52483</v>
      </c>
      <c r="AD167" s="730">
        <f>世帯数!AK63</f>
        <v>52487</v>
      </c>
      <c r="AE167" s="730">
        <f>世帯数!AL63</f>
        <v>52219</v>
      </c>
      <c r="AF167" s="730">
        <f>世帯数!AM63</f>
        <v>52297</v>
      </c>
      <c r="AG167" s="730">
        <f>世帯数!AN63</f>
        <v>52333</v>
      </c>
      <c r="AH167" s="730">
        <f>世帯数!AO63</f>
        <v>52769</v>
      </c>
      <c r="AI167" s="730">
        <f>世帯数!AP63</f>
        <v>52992</v>
      </c>
      <c r="AJ167" s="730">
        <f>世帯数!AQ63</f>
        <v>53202</v>
      </c>
      <c r="AK167" s="730"/>
    </row>
    <row r="168" spans="1:37">
      <c r="A168" s="768" t="s">
        <v>241</v>
      </c>
      <c r="B168" s="769"/>
      <c r="C168" s="762">
        <f>世帯数!I64</f>
        <v>17387</v>
      </c>
      <c r="D168" s="742">
        <f>世帯数!J64</f>
        <v>17437</v>
      </c>
      <c r="E168" s="742">
        <f>世帯数!K64</f>
        <v>17578</v>
      </c>
      <c r="F168" s="742">
        <f>世帯数!L64</f>
        <v>17574</v>
      </c>
      <c r="G168" s="742">
        <f>世帯数!M64</f>
        <v>17960</v>
      </c>
      <c r="H168" s="762">
        <f>世帯数!N64</f>
        <v>17981</v>
      </c>
      <c r="I168" s="742">
        <f>世帯数!O64</f>
        <v>18223</v>
      </c>
      <c r="J168" s="742">
        <f>世帯数!P64</f>
        <v>18409</v>
      </c>
      <c r="K168" s="742">
        <f>世帯数!Q64</f>
        <v>18529</v>
      </c>
      <c r="L168" s="742">
        <f>世帯数!R64</f>
        <v>19101</v>
      </c>
      <c r="M168" s="762">
        <f>世帯数!S64</f>
        <v>18842</v>
      </c>
      <c r="N168" s="742">
        <f>世帯数!T64</f>
        <v>18989</v>
      </c>
      <c r="O168" s="742">
        <f>世帯数!U64</f>
        <v>19107</v>
      </c>
      <c r="P168" s="742">
        <f>世帯数!V64</f>
        <v>19118</v>
      </c>
      <c r="Q168" s="742">
        <f>世帯数!W64</f>
        <v>19154</v>
      </c>
      <c r="R168" s="762">
        <f>世帯数!X64</f>
        <v>19086</v>
      </c>
      <c r="S168" s="742">
        <f>世帯数!Z64</f>
        <v>18789</v>
      </c>
      <c r="T168" s="742">
        <f>世帯数!AA64</f>
        <v>18753</v>
      </c>
      <c r="U168" s="742">
        <f>世帯数!AB64</f>
        <v>18719</v>
      </c>
      <c r="V168" s="742">
        <f>世帯数!AC64</f>
        <v>18835</v>
      </c>
      <c r="W168" s="730">
        <f>世帯数!AD64</f>
        <v>18447</v>
      </c>
      <c r="X168" s="730">
        <f>世帯数!AE64</f>
        <v>18316</v>
      </c>
      <c r="Y168" s="730">
        <f>世帯数!AF64</f>
        <v>18347</v>
      </c>
      <c r="Z168" s="730">
        <f>世帯数!AG64</f>
        <v>18180</v>
      </c>
      <c r="AA168" s="730">
        <f>世帯数!AH64</f>
        <v>18153</v>
      </c>
      <c r="AB168" s="730">
        <f>世帯数!AI64</f>
        <v>18081</v>
      </c>
      <c r="AC168" s="730">
        <f>世帯数!AJ64</f>
        <v>18010</v>
      </c>
      <c r="AD168" s="730">
        <f>世帯数!AK64</f>
        <v>17955</v>
      </c>
      <c r="AE168" s="730">
        <f>世帯数!AL64</f>
        <v>17786</v>
      </c>
      <c r="AF168" s="730">
        <f>世帯数!AM64</f>
        <v>17792</v>
      </c>
      <c r="AG168" s="730">
        <f>世帯数!AN64</f>
        <v>17792</v>
      </c>
      <c r="AH168" s="730">
        <f>世帯数!AO64</f>
        <v>17946</v>
      </c>
      <c r="AI168" s="730">
        <f>世帯数!AP64</f>
        <v>17996</v>
      </c>
      <c r="AJ168" s="730">
        <f>世帯数!AQ64</f>
        <v>18024</v>
      </c>
      <c r="AK168" s="730"/>
    </row>
    <row r="169" spans="1:37">
      <c r="A169" s="741" t="s">
        <v>224</v>
      </c>
      <c r="B169" s="765"/>
      <c r="C169" s="762">
        <f>世帯数!I65</f>
        <v>16017</v>
      </c>
      <c r="D169" s="742">
        <f>世帯数!J65</f>
        <v>16134</v>
      </c>
      <c r="E169" s="742">
        <f>世帯数!K65</f>
        <v>16227</v>
      </c>
      <c r="F169" s="742">
        <f>世帯数!L65</f>
        <v>16399</v>
      </c>
      <c r="G169" s="742">
        <f>世帯数!M65</f>
        <v>16674</v>
      </c>
      <c r="H169" s="762">
        <f>世帯数!N65</f>
        <v>16716</v>
      </c>
      <c r="I169" s="742">
        <f>世帯数!O65</f>
        <v>16861</v>
      </c>
      <c r="J169" s="742">
        <f>世帯数!P65</f>
        <v>16939</v>
      </c>
      <c r="K169" s="742">
        <f>世帯数!Q65</f>
        <v>17026</v>
      </c>
      <c r="L169" s="742">
        <f>世帯数!R65</f>
        <v>17192</v>
      </c>
      <c r="M169" s="762">
        <f>世帯数!S65</f>
        <v>17140</v>
      </c>
      <c r="N169" s="742">
        <f>世帯数!T65</f>
        <v>17311</v>
      </c>
      <c r="O169" s="742">
        <f>世帯数!U65</f>
        <v>17433</v>
      </c>
      <c r="P169" s="742">
        <f>世帯数!V65</f>
        <v>17479</v>
      </c>
      <c r="Q169" s="742">
        <f>世帯数!W65</f>
        <v>17513</v>
      </c>
      <c r="R169" s="762">
        <f>世帯数!X65</f>
        <v>17623</v>
      </c>
      <c r="S169" s="742">
        <f>世帯数!Z65</f>
        <v>17180</v>
      </c>
      <c r="T169" s="742">
        <f>世帯数!AA65</f>
        <v>17225</v>
      </c>
      <c r="U169" s="742">
        <f>世帯数!AB65</f>
        <v>17365</v>
      </c>
      <c r="V169" s="742">
        <f>世帯数!AC65</f>
        <v>17466</v>
      </c>
      <c r="W169" s="730">
        <f>世帯数!AD65</f>
        <v>16981</v>
      </c>
      <c r="X169" s="730">
        <f>世帯数!AE65</f>
        <v>17009</v>
      </c>
      <c r="Y169" s="730">
        <f>世帯数!AF65</f>
        <v>17001</v>
      </c>
      <c r="Z169" s="730">
        <f>世帯数!AG65</f>
        <v>16960</v>
      </c>
      <c r="AA169" s="730">
        <f>世帯数!AH65</f>
        <v>17023</v>
      </c>
      <c r="AB169" s="730">
        <f>世帯数!AI65</f>
        <v>16968</v>
      </c>
      <c r="AC169" s="730">
        <f>世帯数!AJ65</f>
        <v>16975</v>
      </c>
      <c r="AD169" s="730">
        <f>世帯数!AK65</f>
        <v>16954</v>
      </c>
      <c r="AE169" s="730">
        <f>世帯数!AL65</f>
        <v>16952</v>
      </c>
      <c r="AF169" s="730">
        <f>世帯数!AM65</f>
        <v>17037</v>
      </c>
      <c r="AG169" s="730">
        <f>世帯数!AN65</f>
        <v>17047</v>
      </c>
      <c r="AH169" s="730">
        <f>世帯数!AO65</f>
        <v>17226</v>
      </c>
      <c r="AI169" s="730">
        <f>世帯数!AP65</f>
        <v>17247</v>
      </c>
      <c r="AJ169" s="730">
        <f>世帯数!AQ65</f>
        <v>17328</v>
      </c>
      <c r="AK169" s="730"/>
    </row>
    <row r="170" spans="1:37">
      <c r="A170" s="776" t="s">
        <v>225</v>
      </c>
      <c r="B170" s="777"/>
      <c r="C170" s="778">
        <f>世帯数!I66</f>
        <v>16653</v>
      </c>
      <c r="D170" s="779">
        <f>世帯数!J66</f>
        <v>16741</v>
      </c>
      <c r="E170" s="779">
        <f>世帯数!K66</f>
        <v>16827</v>
      </c>
      <c r="F170" s="779">
        <f>世帯数!L66</f>
        <v>17086</v>
      </c>
      <c r="G170" s="779">
        <f>世帯数!M66</f>
        <v>17210</v>
      </c>
      <c r="H170" s="778">
        <f>世帯数!N66</f>
        <v>17295</v>
      </c>
      <c r="I170" s="779">
        <f>世帯数!O66</f>
        <v>17427</v>
      </c>
      <c r="J170" s="779">
        <f>世帯数!P66</f>
        <v>17625</v>
      </c>
      <c r="K170" s="779">
        <f>世帯数!Q66</f>
        <v>17815</v>
      </c>
      <c r="L170" s="779">
        <f>世帯数!R66</f>
        <v>18061</v>
      </c>
      <c r="M170" s="778">
        <f>世帯数!S66</f>
        <v>17662</v>
      </c>
      <c r="N170" s="779">
        <f>世帯数!T66</f>
        <v>17726</v>
      </c>
      <c r="O170" s="779">
        <f>世帯数!U66</f>
        <v>17769</v>
      </c>
      <c r="P170" s="779">
        <f>世帯数!V66</f>
        <v>17825</v>
      </c>
      <c r="Q170" s="779">
        <f>世帯数!W66</f>
        <v>17883</v>
      </c>
      <c r="R170" s="778">
        <f>世帯数!X66</f>
        <v>17878</v>
      </c>
      <c r="S170" s="779">
        <f>世帯数!Z66</f>
        <v>17441</v>
      </c>
      <c r="T170" s="779">
        <f>世帯数!AA66</f>
        <v>17468</v>
      </c>
      <c r="U170" s="779">
        <f>世帯数!AB66</f>
        <v>17615</v>
      </c>
      <c r="V170" s="779">
        <f>世帯数!AC66</f>
        <v>17775</v>
      </c>
      <c r="W170" s="731">
        <f>世帯数!AD66</f>
        <v>17436</v>
      </c>
      <c r="X170" s="731">
        <f>世帯数!AE66</f>
        <v>17422</v>
      </c>
      <c r="Y170" s="731">
        <f>世帯数!AF66</f>
        <v>17382</v>
      </c>
      <c r="Z170" s="731">
        <f>世帯数!AG66</f>
        <v>17404</v>
      </c>
      <c r="AA170" s="731">
        <f>世帯数!AH66</f>
        <v>17451</v>
      </c>
      <c r="AB170" s="731">
        <f>世帯数!AI66</f>
        <v>17451</v>
      </c>
      <c r="AC170" s="731">
        <f>世帯数!AJ66</f>
        <v>17498</v>
      </c>
      <c r="AD170" s="731">
        <f>世帯数!AK66</f>
        <v>17578</v>
      </c>
      <c r="AE170" s="731">
        <f>世帯数!AL66</f>
        <v>17481</v>
      </c>
      <c r="AF170" s="731">
        <f>世帯数!AM66</f>
        <v>17468</v>
      </c>
      <c r="AG170" s="731">
        <f>世帯数!AN66</f>
        <v>17494</v>
      </c>
      <c r="AH170" s="731">
        <f>世帯数!AO66</f>
        <v>17597</v>
      </c>
      <c r="AI170" s="731">
        <f>世帯数!AP66</f>
        <v>17749</v>
      </c>
      <c r="AJ170" s="731">
        <f>世帯数!AQ66</f>
        <v>17850</v>
      </c>
      <c r="AK170" s="730"/>
    </row>
    <row r="171" spans="1:37">
      <c r="C171" s="133" t="s">
        <v>11</v>
      </c>
    </row>
  </sheetData>
  <phoneticPr fontId="13"/>
  <pageMargins left="0.75" right="0.75" top="1" bottom="1" header="0.51200000000000001" footer="0.5120000000000000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0D95-4AA3-40E5-9715-17EBD65A4466}">
  <sheetPr codeName="Sheet3">
    <tabColor theme="9" tint="0.79998168889431442"/>
    <pageSetUpPr fitToPage="1"/>
  </sheetPr>
  <dimension ref="A1:R23"/>
  <sheetViews>
    <sheetView topLeftCell="F1" workbookViewId="0">
      <selection activeCell="K20" sqref="K20"/>
    </sheetView>
  </sheetViews>
  <sheetFormatPr defaultColWidth="8.7109375" defaultRowHeight="12.5"/>
  <cols>
    <col min="1" max="1" width="2.7109375" style="239" customWidth="1"/>
    <col min="2" max="2" width="3.42578125" style="239" customWidth="1"/>
    <col min="3" max="3" width="18.42578125" style="239" customWidth="1"/>
    <col min="4" max="4" width="15.92578125" style="239" customWidth="1"/>
    <col min="5" max="5" width="10.92578125" style="239" customWidth="1"/>
    <col min="6" max="6" width="8.92578125" style="239" customWidth="1"/>
    <col min="7" max="7" width="17.42578125" style="239" customWidth="1"/>
    <col min="8" max="8" width="16" style="239" customWidth="1"/>
    <col min="9" max="9" width="5.2109375" style="239" customWidth="1"/>
    <col min="10" max="10" width="2.7109375" style="239" customWidth="1"/>
    <col min="11" max="11" width="17" style="239" customWidth="1"/>
    <col min="12" max="12" width="22.42578125" style="239" customWidth="1"/>
    <col min="13" max="13" width="22.0703125" style="239" customWidth="1"/>
    <col min="14" max="14" width="11.5703125" style="239" customWidth="1"/>
    <col min="15" max="15" width="7.7109375" style="239" customWidth="1"/>
    <col min="16" max="16" width="8.7109375" style="239"/>
    <col min="17" max="17" width="7.42578125" style="239" customWidth="1"/>
    <col min="18" max="16384" width="8.7109375" style="239"/>
  </cols>
  <sheetData>
    <row r="1" spans="1:18" ht="13" thickBot="1">
      <c r="A1" s="978" t="s">
        <v>1365</v>
      </c>
      <c r="B1" s="500"/>
      <c r="C1" s="500"/>
      <c r="D1" s="500"/>
      <c r="E1" s="500"/>
      <c r="F1" s="500"/>
      <c r="G1" s="500"/>
      <c r="H1" s="500"/>
      <c r="J1" s="978" t="s">
        <v>1366</v>
      </c>
      <c r="K1" s="500"/>
      <c r="L1" s="500"/>
      <c r="M1" s="500"/>
      <c r="N1" s="1891" t="str">
        <f>目次!D1</f>
        <v>2026/4/13</v>
      </c>
      <c r="O1" s="500"/>
    </row>
    <row r="2" spans="1:18" ht="13" thickBot="1">
      <c r="A2" s="979"/>
      <c r="B2" s="980" t="s">
        <v>1367</v>
      </c>
      <c r="C2" s="981"/>
      <c r="D2" s="980" t="s">
        <v>1368</v>
      </c>
      <c r="E2" s="980"/>
      <c r="F2" s="982"/>
      <c r="G2" s="980" t="s">
        <v>1369</v>
      </c>
      <c r="H2" s="981"/>
      <c r="J2" s="983"/>
      <c r="K2" s="984" t="s">
        <v>1367</v>
      </c>
      <c r="L2" s="985" t="s">
        <v>1368</v>
      </c>
      <c r="M2" s="986"/>
      <c r="N2" s="987"/>
      <c r="O2" s="1713" t="s">
        <v>1370</v>
      </c>
    </row>
    <row r="3" spans="1:18">
      <c r="A3" s="988">
        <v>1</v>
      </c>
      <c r="B3" s="500" t="s">
        <v>1371</v>
      </c>
      <c r="C3" s="989"/>
      <c r="D3" s="983" t="s">
        <v>271</v>
      </c>
      <c r="E3" s="986" t="s">
        <v>348</v>
      </c>
      <c r="F3" s="990"/>
      <c r="G3" s="986" t="s">
        <v>1372</v>
      </c>
      <c r="H3" s="987" t="s">
        <v>1373</v>
      </c>
      <c r="J3" s="983">
        <v>1</v>
      </c>
      <c r="K3" s="986" t="s">
        <v>1371</v>
      </c>
      <c r="L3" s="991" t="s">
        <v>747</v>
      </c>
      <c r="M3" s="986" t="s">
        <v>1606</v>
      </c>
      <c r="N3" s="992" t="s">
        <v>1374</v>
      </c>
      <c r="O3" s="1714"/>
      <c r="P3" s="993"/>
    </row>
    <row r="4" spans="1:18">
      <c r="A4" s="988"/>
      <c r="B4" s="500"/>
      <c r="C4" s="989"/>
      <c r="D4" s="988"/>
      <c r="E4" s="500"/>
      <c r="F4" s="994"/>
      <c r="G4" s="500" t="s">
        <v>1375</v>
      </c>
      <c r="H4" s="989"/>
      <c r="J4" s="988"/>
      <c r="K4" s="500"/>
      <c r="L4" s="995"/>
      <c r="M4" s="500" t="s">
        <v>1375</v>
      </c>
      <c r="N4" s="996" t="s">
        <v>1760</v>
      </c>
      <c r="O4" s="1715" t="s">
        <v>1379</v>
      </c>
      <c r="P4" s="993" t="s">
        <v>1376</v>
      </c>
      <c r="Q4" s="239" t="s">
        <v>11</v>
      </c>
    </row>
    <row r="5" spans="1:18">
      <c r="A5" s="988"/>
      <c r="B5" s="500"/>
      <c r="C5" s="989"/>
      <c r="D5" s="988"/>
      <c r="E5" s="500"/>
      <c r="F5" s="994"/>
      <c r="G5" s="500"/>
      <c r="H5" s="989"/>
      <c r="J5" s="988"/>
      <c r="K5" s="500"/>
      <c r="L5" s="995" t="s">
        <v>1377</v>
      </c>
      <c r="M5" s="682" t="s">
        <v>1378</v>
      </c>
      <c r="N5" s="1720" t="s">
        <v>1790</v>
      </c>
      <c r="O5" s="998" t="s">
        <v>1379</v>
      </c>
      <c r="P5" s="993" t="s">
        <v>1380</v>
      </c>
      <c r="Q5" s="239" t="s">
        <v>11</v>
      </c>
    </row>
    <row r="6" spans="1:18">
      <c r="A6" s="999">
        <v>2</v>
      </c>
      <c r="B6" s="1000" t="s">
        <v>673</v>
      </c>
      <c r="C6" s="1001"/>
      <c r="D6" s="999" t="s">
        <v>1381</v>
      </c>
      <c r="E6" s="1000" t="s">
        <v>1382</v>
      </c>
      <c r="F6" s="1002"/>
      <c r="G6" s="1000" t="s">
        <v>1383</v>
      </c>
      <c r="H6" s="1001"/>
      <c r="J6" s="999">
        <v>2</v>
      </c>
      <c r="K6" s="1000" t="s">
        <v>673</v>
      </c>
      <c r="L6" s="1003" t="s">
        <v>1384</v>
      </c>
      <c r="M6" s="1268" t="s">
        <v>1880</v>
      </c>
      <c r="N6" s="1719" t="s">
        <v>1809</v>
      </c>
      <c r="O6" s="1715" t="s">
        <v>1379</v>
      </c>
      <c r="P6" s="993" t="s">
        <v>163</v>
      </c>
      <c r="Q6" s="993" t="s">
        <v>11</v>
      </c>
    </row>
    <row r="7" spans="1:18">
      <c r="A7" s="1004"/>
      <c r="B7" s="1005"/>
      <c r="C7" s="1006" t="s">
        <v>1385</v>
      </c>
      <c r="D7" s="1004" t="s">
        <v>1381</v>
      </c>
      <c r="E7" s="1005" t="s">
        <v>1382</v>
      </c>
      <c r="F7" s="1007" t="s">
        <v>1386</v>
      </c>
      <c r="G7" s="1005" t="s">
        <v>1387</v>
      </c>
      <c r="H7" s="1006"/>
      <c r="J7" s="988"/>
      <c r="K7" s="500"/>
      <c r="L7" s="995" t="s">
        <v>11</v>
      </c>
      <c r="M7" s="500" t="s">
        <v>627</v>
      </c>
      <c r="N7" s="996" t="s">
        <v>627</v>
      </c>
      <c r="O7" s="1715" t="s">
        <v>11</v>
      </c>
      <c r="P7" s="993"/>
    </row>
    <row r="8" spans="1:18">
      <c r="A8" s="988">
        <v>3</v>
      </c>
      <c r="B8" s="500" t="s">
        <v>669</v>
      </c>
      <c r="C8" s="989"/>
      <c r="D8" s="988"/>
      <c r="E8" s="500"/>
      <c r="F8" s="994"/>
      <c r="G8" s="500"/>
      <c r="H8" s="989"/>
      <c r="J8" s="999">
        <v>3</v>
      </c>
      <c r="K8" s="1000" t="s">
        <v>669</v>
      </c>
      <c r="L8" s="1003" t="s">
        <v>11</v>
      </c>
      <c r="M8" s="1003" t="s">
        <v>11</v>
      </c>
      <c r="N8" s="1001" t="s">
        <v>11</v>
      </c>
      <c r="O8" s="1716" t="s">
        <v>627</v>
      </c>
      <c r="P8" s="993"/>
    </row>
    <row r="9" spans="1:18">
      <c r="A9" s="988"/>
      <c r="B9" s="500"/>
      <c r="C9" s="989" t="s">
        <v>1388</v>
      </c>
      <c r="D9" s="988" t="s">
        <v>1389</v>
      </c>
      <c r="E9" s="500"/>
      <c r="F9" s="994"/>
      <c r="G9" s="500" t="s">
        <v>1390</v>
      </c>
      <c r="H9" s="989"/>
      <c r="J9" s="988"/>
      <c r="K9" s="500"/>
      <c r="L9" s="995" t="s">
        <v>1782</v>
      </c>
      <c r="M9" s="995" t="s">
        <v>1391</v>
      </c>
      <c r="N9" s="989" t="s">
        <v>1781</v>
      </c>
      <c r="O9" s="1717"/>
      <c r="P9" s="993" t="s">
        <v>1392</v>
      </c>
    </row>
    <row r="10" spans="1:18">
      <c r="A10" s="988"/>
      <c r="B10" s="500"/>
      <c r="C10" s="989" t="s">
        <v>1393</v>
      </c>
      <c r="D10" s="988" t="s">
        <v>1394</v>
      </c>
      <c r="E10" s="500"/>
      <c r="F10" s="994"/>
      <c r="G10" s="500" t="s">
        <v>1395</v>
      </c>
      <c r="H10" s="989"/>
      <c r="J10" s="1004"/>
      <c r="K10" s="1005"/>
      <c r="L10" s="1008" t="s">
        <v>1396</v>
      </c>
      <c r="M10" s="1008" t="s">
        <v>1397</v>
      </c>
      <c r="N10" s="1006" t="s">
        <v>1398</v>
      </c>
      <c r="O10" s="998" t="s">
        <v>627</v>
      </c>
      <c r="P10" s="993" t="s">
        <v>627</v>
      </c>
      <c r="Q10" s="239" t="s">
        <v>11</v>
      </c>
    </row>
    <row r="11" spans="1:18">
      <c r="A11" s="988"/>
      <c r="B11" s="500"/>
      <c r="C11" s="989" t="s">
        <v>1399</v>
      </c>
      <c r="D11" s="988" t="s">
        <v>1400</v>
      </c>
      <c r="E11" s="500"/>
      <c r="F11" s="994"/>
      <c r="G11" s="500" t="s">
        <v>1401</v>
      </c>
      <c r="H11" s="989"/>
      <c r="J11" s="988">
        <v>4</v>
      </c>
      <c r="K11" s="500" t="s">
        <v>670</v>
      </c>
      <c r="L11" s="995" t="s">
        <v>1402</v>
      </c>
      <c r="M11" s="1268" t="s">
        <v>1880</v>
      </c>
      <c r="N11" s="1719" t="s">
        <v>1809</v>
      </c>
      <c r="O11" s="1715" t="s">
        <v>1379</v>
      </c>
      <c r="P11" s="993" t="s">
        <v>163</v>
      </c>
      <c r="Q11" s="239" t="s">
        <v>11</v>
      </c>
    </row>
    <row r="12" spans="1:18">
      <c r="A12" s="988"/>
      <c r="B12" s="500"/>
      <c r="C12" s="989" t="s">
        <v>1403</v>
      </c>
      <c r="D12" s="988" t="s">
        <v>1400</v>
      </c>
      <c r="E12" s="500"/>
      <c r="F12" s="994"/>
      <c r="G12" s="500" t="s">
        <v>1401</v>
      </c>
      <c r="H12" s="989"/>
      <c r="J12" s="1004"/>
      <c r="K12" s="1005"/>
      <c r="L12" s="1008" t="s">
        <v>1404</v>
      </c>
      <c r="M12" s="1005"/>
      <c r="N12" s="997"/>
      <c r="O12" s="998"/>
      <c r="P12" s="993"/>
      <c r="Q12" s="993" t="s">
        <v>11</v>
      </c>
    </row>
    <row r="13" spans="1:18">
      <c r="A13" s="999">
        <v>4</v>
      </c>
      <c r="B13" s="1000" t="s">
        <v>670</v>
      </c>
      <c r="C13" s="1001"/>
      <c r="D13" s="999" t="s">
        <v>1405</v>
      </c>
      <c r="E13" s="1000" t="s">
        <v>1406</v>
      </c>
      <c r="F13" s="1002"/>
      <c r="G13" s="1000" t="s">
        <v>1407</v>
      </c>
      <c r="H13" s="1001"/>
      <c r="J13" s="988">
        <v>5</v>
      </c>
      <c r="K13" s="500" t="s">
        <v>1408</v>
      </c>
      <c r="L13" s="1364" t="s">
        <v>1810</v>
      </c>
      <c r="M13" s="500" t="s">
        <v>1409</v>
      </c>
      <c r="N13" s="1719" t="s">
        <v>1809</v>
      </c>
      <c r="O13" s="1715" t="s">
        <v>1379</v>
      </c>
      <c r="P13" s="993" t="s">
        <v>1380</v>
      </c>
      <c r="Q13" s="239" t="s">
        <v>11</v>
      </c>
      <c r="R13" s="239" t="s">
        <v>627</v>
      </c>
    </row>
    <row r="14" spans="1:18">
      <c r="A14" s="1004"/>
      <c r="B14" s="1005"/>
      <c r="C14" s="1006" t="s">
        <v>1385</v>
      </c>
      <c r="D14" s="1004" t="s">
        <v>1402</v>
      </c>
      <c r="E14" s="1005" t="s">
        <v>1404</v>
      </c>
      <c r="F14" s="1007"/>
      <c r="G14" s="1005" t="s">
        <v>1387</v>
      </c>
      <c r="H14" s="1006"/>
      <c r="J14" s="999">
        <v>6</v>
      </c>
      <c r="K14" s="1000" t="s">
        <v>1410</v>
      </c>
      <c r="L14" s="1827" t="s">
        <v>1811</v>
      </c>
      <c r="M14" s="1000" t="s">
        <v>1518</v>
      </c>
      <c r="N14" s="1828" t="s">
        <v>1809</v>
      </c>
      <c r="O14" s="1716" t="s">
        <v>1379</v>
      </c>
      <c r="P14" s="993" t="s">
        <v>1380</v>
      </c>
      <c r="Q14" s="239" t="s">
        <v>11</v>
      </c>
    </row>
    <row r="15" spans="1:18" ht="13" thickBot="1">
      <c r="A15" s="988">
        <v>5</v>
      </c>
      <c r="B15" s="500" t="s">
        <v>1411</v>
      </c>
      <c r="C15" s="989"/>
      <c r="D15" s="988" t="s">
        <v>1412</v>
      </c>
      <c r="E15" s="500"/>
      <c r="F15" s="994"/>
      <c r="G15" s="500"/>
      <c r="H15" s="989"/>
      <c r="J15" s="1009">
        <v>7</v>
      </c>
      <c r="K15" s="1010" t="s">
        <v>1413</v>
      </c>
      <c r="L15" s="1365" t="s">
        <v>1810</v>
      </c>
      <c r="M15" s="1010" t="s">
        <v>1409</v>
      </c>
      <c r="N15" s="1721" t="s">
        <v>1809</v>
      </c>
      <c r="O15" s="1718" t="s">
        <v>1379</v>
      </c>
      <c r="P15" s="993" t="s">
        <v>1380</v>
      </c>
      <c r="Q15" s="239" t="s">
        <v>11</v>
      </c>
    </row>
    <row r="16" spans="1:18" ht="13" thickBot="1">
      <c r="A16" s="1009">
        <v>6</v>
      </c>
      <c r="B16" s="1010" t="s">
        <v>1410</v>
      </c>
      <c r="C16" s="1011"/>
      <c r="D16" s="1009" t="s">
        <v>1414</v>
      </c>
      <c r="E16" s="1010"/>
      <c r="F16" s="1012"/>
      <c r="G16" s="1010" t="s">
        <v>1401</v>
      </c>
      <c r="H16" s="1011" t="s">
        <v>1574</v>
      </c>
      <c r="Q16" s="239" t="s">
        <v>11</v>
      </c>
    </row>
    <row r="17" spans="1:13">
      <c r="A17" s="983"/>
      <c r="B17" s="1013" t="s">
        <v>1415</v>
      </c>
      <c r="C17" s="987" t="s">
        <v>1416</v>
      </c>
      <c r="D17" s="986"/>
      <c r="E17" s="986"/>
      <c r="F17" s="990"/>
      <c r="G17" s="985"/>
      <c r="H17" s="987"/>
      <c r="M17" s="239" t="s">
        <v>11</v>
      </c>
    </row>
    <row r="18" spans="1:13">
      <c r="A18" s="1014" t="s">
        <v>1417</v>
      </c>
      <c r="B18" s="1015" t="s">
        <v>1418</v>
      </c>
      <c r="C18" s="989" t="s">
        <v>1419</v>
      </c>
      <c r="D18" s="500" t="s">
        <v>1420</v>
      </c>
      <c r="E18" s="500"/>
      <c r="F18" s="994"/>
      <c r="G18" s="1016"/>
      <c r="H18" s="989"/>
    </row>
    <row r="19" spans="1:13">
      <c r="A19" s="1014"/>
      <c r="B19" s="1015" t="s">
        <v>1421</v>
      </c>
      <c r="C19" s="989" t="s">
        <v>1422</v>
      </c>
      <c r="D19" s="500" t="s">
        <v>1423</v>
      </c>
      <c r="E19" s="500"/>
      <c r="F19" s="994"/>
      <c r="G19" s="1016"/>
      <c r="H19" s="989"/>
    </row>
    <row r="20" spans="1:13">
      <c r="A20" s="1014" t="s">
        <v>1424</v>
      </c>
      <c r="B20" s="1015" t="s">
        <v>1425</v>
      </c>
      <c r="C20" s="989" t="s">
        <v>1426</v>
      </c>
      <c r="D20" s="500" t="s">
        <v>1427</v>
      </c>
      <c r="E20" s="500"/>
      <c r="F20" s="994"/>
      <c r="G20" s="1016"/>
      <c r="H20" s="989"/>
      <c r="I20" s="239" t="s">
        <v>11</v>
      </c>
      <c r="M20" s="239" t="s">
        <v>11</v>
      </c>
    </row>
    <row r="21" spans="1:13">
      <c r="A21" s="1014"/>
      <c r="B21" s="1015" t="s">
        <v>1428</v>
      </c>
      <c r="C21" s="989" t="s">
        <v>1429</v>
      </c>
      <c r="D21" s="500" t="s">
        <v>1430</v>
      </c>
      <c r="E21" s="500"/>
      <c r="F21" s="994"/>
      <c r="G21" s="1016"/>
      <c r="H21" s="989"/>
    </row>
    <row r="22" spans="1:13">
      <c r="A22" s="988"/>
      <c r="B22" s="1015" t="s">
        <v>1431</v>
      </c>
      <c r="C22" s="989" t="s">
        <v>1432</v>
      </c>
      <c r="D22" s="500" t="s">
        <v>1412</v>
      </c>
      <c r="E22" s="500"/>
      <c r="F22" s="994"/>
      <c r="G22" s="1016"/>
      <c r="H22" s="989"/>
    </row>
    <row r="23" spans="1:13" ht="13" thickBot="1">
      <c r="A23" s="1017"/>
      <c r="B23" s="1018" t="s">
        <v>1433</v>
      </c>
      <c r="C23" s="1019" t="s">
        <v>1434</v>
      </c>
      <c r="D23" s="1020"/>
      <c r="E23" s="1020"/>
      <c r="F23" s="1021"/>
      <c r="G23" s="1022"/>
      <c r="H23" s="1019"/>
    </row>
  </sheetData>
  <phoneticPr fontId="13"/>
  <pageMargins left="0.7" right="0.7" top="0.75" bottom="0.75" header="0.3" footer="0.3"/>
  <pageSetup paperSize="9" scale="5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dimension ref="A1:AV85"/>
  <sheetViews>
    <sheetView topLeftCell="J1" workbookViewId="0">
      <selection activeCell="W65" sqref="W65"/>
    </sheetView>
  </sheetViews>
  <sheetFormatPr defaultColWidth="8.7109375" defaultRowHeight="13"/>
  <cols>
    <col min="1" max="7" width="8.7109375" style="604"/>
    <col min="8" max="8" width="2.7109375" style="604" customWidth="1"/>
    <col min="9" max="9" width="10.7109375" style="604" customWidth="1"/>
    <col min="10" max="10" width="2.92578125" style="604" customWidth="1"/>
    <col min="11" max="11" width="8.7109375" style="604" customWidth="1"/>
    <col min="12" max="12" width="8" style="604" customWidth="1"/>
    <col min="13" max="13" width="13.2109375" style="604" customWidth="1"/>
    <col min="14" max="17" width="8.7109375" style="604"/>
    <col min="18" max="18" width="8.5" style="604" customWidth="1"/>
    <col min="19" max="19" width="10.5703125" style="604" customWidth="1"/>
    <col min="20" max="16384" width="8.7109375" style="604"/>
  </cols>
  <sheetData>
    <row r="1" spans="1:48">
      <c r="A1" s="605" t="s">
        <v>350</v>
      </c>
      <c r="B1" s="605"/>
      <c r="C1" s="605"/>
      <c r="F1" s="629" t="s">
        <v>105</v>
      </c>
      <c r="G1" s="629" t="s">
        <v>105</v>
      </c>
    </row>
    <row r="2" spans="1:48">
      <c r="A2" s="607"/>
      <c r="B2" s="672" t="s">
        <v>371</v>
      </c>
      <c r="C2" s="672" t="s">
        <v>372</v>
      </c>
      <c r="D2" s="672" t="s">
        <v>269</v>
      </c>
      <c r="E2" s="672" t="s">
        <v>270</v>
      </c>
      <c r="F2" s="673" t="s">
        <v>122</v>
      </c>
      <c r="G2" s="671" t="s">
        <v>828</v>
      </c>
      <c r="J2" s="810"/>
      <c r="K2" s="607"/>
      <c r="L2" s="811" t="s">
        <v>770</v>
      </c>
      <c r="M2" s="810"/>
      <c r="N2" s="674" t="s">
        <v>1328</v>
      </c>
      <c r="O2" s="674" t="s">
        <v>1109</v>
      </c>
      <c r="P2" s="812" t="s">
        <v>1331</v>
      </c>
    </row>
    <row r="3" spans="1:48">
      <c r="A3" s="608" t="s">
        <v>684</v>
      </c>
      <c r="B3" s="608">
        <v>314281</v>
      </c>
      <c r="C3" s="608">
        <v>361329</v>
      </c>
      <c r="D3" s="608">
        <v>342061</v>
      </c>
      <c r="E3" s="608">
        <v>314498</v>
      </c>
      <c r="F3" s="637">
        <f>ROUND((E3+G3)/2,0)</f>
        <v>311755</v>
      </c>
      <c r="G3" s="633">
        <v>309012</v>
      </c>
      <c r="M3" s="604" t="s">
        <v>684</v>
      </c>
      <c r="N3" s="604">
        <v>233985</v>
      </c>
      <c r="O3" s="604">
        <v>248225</v>
      </c>
    </row>
    <row r="4" spans="1:48">
      <c r="A4" s="639" t="s">
        <v>748</v>
      </c>
      <c r="B4" s="639"/>
      <c r="C4" s="639"/>
      <c r="D4" s="639"/>
      <c r="E4" s="639">
        <v>317936</v>
      </c>
      <c r="F4" s="633">
        <f t="shared" ref="F4:F9" si="0">ROUND((E4+G4)/2,0)</f>
        <v>317354</v>
      </c>
      <c r="G4" s="639">
        <v>316771</v>
      </c>
      <c r="H4" s="604" t="s">
        <v>914</v>
      </c>
      <c r="I4" s="604" t="s">
        <v>748</v>
      </c>
      <c r="J4" s="604" t="s">
        <v>914</v>
      </c>
      <c r="K4" s="604" t="s">
        <v>748</v>
      </c>
      <c r="L4" s="604">
        <v>297515</v>
      </c>
      <c r="M4" s="604" t="s">
        <v>748</v>
      </c>
      <c r="N4" s="604">
        <v>253240</v>
      </c>
      <c r="O4" s="604">
        <v>275023</v>
      </c>
      <c r="P4" s="604">
        <f>+(G4+N4+O4)/3</f>
        <v>281678</v>
      </c>
      <c r="Q4" s="809">
        <f t="shared" ref="Q4:Q12" si="1">+P4/L4-1</f>
        <v>-5.323092953296471E-2</v>
      </c>
    </row>
    <row r="5" spans="1:48">
      <c r="A5" s="635" t="s">
        <v>272</v>
      </c>
      <c r="B5" s="635">
        <v>323021</v>
      </c>
      <c r="C5" s="632">
        <f>ROUND(D5*$C$3/$D$3,0)</f>
        <v>355843</v>
      </c>
      <c r="D5" s="635">
        <v>336868</v>
      </c>
      <c r="E5" s="635">
        <v>312700</v>
      </c>
      <c r="F5" s="632">
        <f t="shared" si="0"/>
        <v>313042</v>
      </c>
      <c r="G5" s="632">
        <v>313383</v>
      </c>
      <c r="H5" s="604" t="s">
        <v>915</v>
      </c>
      <c r="I5" s="604" t="s">
        <v>801</v>
      </c>
      <c r="J5" s="604" t="s">
        <v>1040</v>
      </c>
      <c r="K5" s="643" t="s">
        <v>806</v>
      </c>
      <c r="L5" s="604">
        <v>262611</v>
      </c>
      <c r="M5" s="604" t="s">
        <v>1319</v>
      </c>
      <c r="N5" s="604">
        <v>250490</v>
      </c>
      <c r="O5" s="604">
        <v>255525</v>
      </c>
      <c r="P5" s="604">
        <f>+(G9+N5+O5)/3</f>
        <v>263972.66666666669</v>
      </c>
      <c r="Q5" s="809">
        <f t="shared" si="1"/>
        <v>5.1851090269130484E-3</v>
      </c>
    </row>
    <row r="6" spans="1:48">
      <c r="A6" s="604" t="s">
        <v>273</v>
      </c>
      <c r="B6" s="604">
        <v>301846</v>
      </c>
      <c r="C6" s="637">
        <f>ROUND(D6*$C$3/$D$3,0)</f>
        <v>359299</v>
      </c>
      <c r="D6" s="604">
        <v>340139</v>
      </c>
      <c r="E6" s="604">
        <v>317060</v>
      </c>
      <c r="F6" s="637">
        <f t="shared" si="0"/>
        <v>302211</v>
      </c>
      <c r="G6" s="637">
        <v>287362</v>
      </c>
      <c r="H6" s="604" t="s">
        <v>916</v>
      </c>
      <c r="I6" s="604" t="s">
        <v>1329</v>
      </c>
      <c r="J6" s="604" t="s">
        <v>915</v>
      </c>
      <c r="K6" s="604" t="s">
        <v>1041</v>
      </c>
      <c r="L6" s="604">
        <v>291455</v>
      </c>
      <c r="M6" s="604" t="s">
        <v>1320</v>
      </c>
      <c r="N6" s="604">
        <v>258521</v>
      </c>
      <c r="O6" s="604">
        <v>224462</v>
      </c>
      <c r="P6" s="604">
        <f>+(G5+N6+O6)/3</f>
        <v>265455.33333333331</v>
      </c>
      <c r="Q6" s="809">
        <f t="shared" si="1"/>
        <v>-8.9206452682804138E-2</v>
      </c>
    </row>
    <row r="7" spans="1:48">
      <c r="A7" s="604" t="s">
        <v>274</v>
      </c>
      <c r="B7" s="604">
        <v>295447</v>
      </c>
      <c r="C7" s="637">
        <f>ROUND(D7*$C$3/$D$3,0)</f>
        <v>366513</v>
      </c>
      <c r="D7" s="604">
        <v>346969</v>
      </c>
      <c r="E7" s="604">
        <v>306278</v>
      </c>
      <c r="F7" s="637">
        <f t="shared" si="0"/>
        <v>311088</v>
      </c>
      <c r="G7" s="637">
        <v>315898</v>
      </c>
      <c r="H7" s="604" t="s">
        <v>917</v>
      </c>
      <c r="I7" s="604" t="s">
        <v>1330</v>
      </c>
      <c r="J7" s="604" t="s">
        <v>916</v>
      </c>
      <c r="K7" s="604" t="s">
        <v>1042</v>
      </c>
      <c r="L7" s="604">
        <v>291383</v>
      </c>
      <c r="M7" s="604" t="s">
        <v>1321</v>
      </c>
      <c r="N7" s="604">
        <v>253090</v>
      </c>
      <c r="O7" s="604">
        <v>254854</v>
      </c>
      <c r="P7" s="604">
        <f>+(G5+N7+O7)/3</f>
        <v>273775.66666666669</v>
      </c>
      <c r="Q7" s="809">
        <f t="shared" si="1"/>
        <v>-6.0426769349390064E-2</v>
      </c>
    </row>
    <row r="8" spans="1:48">
      <c r="A8" s="604" t="s">
        <v>275</v>
      </c>
      <c r="B8" s="604">
        <v>288432</v>
      </c>
      <c r="C8" s="637">
        <f>ROUND(D8*$C$3/$D$3,0)</f>
        <v>370416</v>
      </c>
      <c r="D8" s="604">
        <v>350663</v>
      </c>
      <c r="E8" s="604">
        <v>356363</v>
      </c>
      <c r="F8" s="637">
        <f t="shared" si="0"/>
        <v>335282</v>
      </c>
      <c r="G8" s="637">
        <v>314201</v>
      </c>
      <c r="H8" s="604" t="s">
        <v>919</v>
      </c>
      <c r="I8" s="604" t="s">
        <v>115</v>
      </c>
      <c r="J8" s="604" t="s">
        <v>917</v>
      </c>
      <c r="K8" s="604" t="s">
        <v>802</v>
      </c>
      <c r="L8" s="604">
        <v>279740</v>
      </c>
      <c r="M8" s="604" t="s">
        <v>1322</v>
      </c>
      <c r="N8" s="604">
        <v>241317</v>
      </c>
      <c r="O8" s="604">
        <v>232460</v>
      </c>
      <c r="P8" s="604">
        <f>+(G6+N8+O8)/3</f>
        <v>253713</v>
      </c>
      <c r="Q8" s="809">
        <f t="shared" si="1"/>
        <v>-9.3039965682419346E-2</v>
      </c>
    </row>
    <row r="9" spans="1:48">
      <c r="A9" s="624" t="s">
        <v>276</v>
      </c>
      <c r="B9" s="624">
        <v>311895</v>
      </c>
      <c r="C9" s="641">
        <f>ROUND(D9*$C$3/$D$3,0)</f>
        <v>359116</v>
      </c>
      <c r="D9" s="642">
        <f>ROUND((311895+415985+292018)/3,0)</f>
        <v>339966</v>
      </c>
      <c r="E9" s="624">
        <v>292018</v>
      </c>
      <c r="F9" s="641">
        <f t="shared" si="0"/>
        <v>288961</v>
      </c>
      <c r="G9" s="641">
        <v>285903</v>
      </c>
      <c r="H9" s="604" t="s">
        <v>920</v>
      </c>
      <c r="I9" s="604" t="s">
        <v>806</v>
      </c>
      <c r="J9" s="604" t="s">
        <v>1037</v>
      </c>
      <c r="K9" s="604" t="s">
        <v>1043</v>
      </c>
      <c r="L9" s="604">
        <v>291316</v>
      </c>
      <c r="M9" s="604" t="s">
        <v>1323</v>
      </c>
      <c r="N9" s="604">
        <v>265784</v>
      </c>
      <c r="O9" s="604">
        <v>361784</v>
      </c>
      <c r="P9" s="604">
        <f>+(G6+N9+O9)/3</f>
        <v>304976.66666666669</v>
      </c>
      <c r="Q9" s="809">
        <f t="shared" si="1"/>
        <v>4.6892950152640722E-2</v>
      </c>
    </row>
    <row r="10" spans="1:48">
      <c r="A10" s="604" t="s">
        <v>873</v>
      </c>
      <c r="D10" s="604" t="s">
        <v>752</v>
      </c>
      <c r="J10" s="604" t="s">
        <v>920</v>
      </c>
      <c r="K10" s="604" t="s">
        <v>1044</v>
      </c>
      <c r="L10" s="604">
        <v>284980</v>
      </c>
      <c r="M10" s="604" t="s">
        <v>1324</v>
      </c>
      <c r="N10" s="604">
        <v>244733</v>
      </c>
      <c r="O10" s="604">
        <v>273083</v>
      </c>
      <c r="P10" s="604">
        <f>+(G7+N10+O10)/3</f>
        <v>277904.66666666669</v>
      </c>
      <c r="Q10" s="809">
        <f t="shared" si="1"/>
        <v>-2.4827473272978184E-2</v>
      </c>
      <c r="U10" s="604" t="s">
        <v>753</v>
      </c>
      <c r="V10" s="630"/>
      <c r="W10" s="631"/>
      <c r="X10" s="631"/>
      <c r="Y10" s="631"/>
      <c r="Z10" s="631"/>
      <c r="AA10" s="631"/>
      <c r="AP10" s="604" t="s">
        <v>872</v>
      </c>
      <c r="AQ10" s="604" t="s">
        <v>872</v>
      </c>
      <c r="AR10" s="604" t="s">
        <v>872</v>
      </c>
      <c r="AS10" s="604" t="s">
        <v>161</v>
      </c>
      <c r="AT10" s="604" t="s">
        <v>161</v>
      </c>
      <c r="AU10" s="604" t="s">
        <v>1006</v>
      </c>
      <c r="AV10" s="604" t="s">
        <v>1006</v>
      </c>
    </row>
    <row r="11" spans="1:48">
      <c r="J11" s="604" t="s">
        <v>1038</v>
      </c>
      <c r="K11" s="604" t="s">
        <v>803</v>
      </c>
      <c r="L11" s="604">
        <v>295787</v>
      </c>
      <c r="M11" s="604" t="s">
        <v>1325</v>
      </c>
      <c r="N11" s="604">
        <v>293715</v>
      </c>
      <c r="O11" s="604">
        <v>233185</v>
      </c>
      <c r="P11" s="604">
        <f>+(G7+N11+O11)/3</f>
        <v>280932.66666666669</v>
      </c>
      <c r="Q11" s="809">
        <f t="shared" si="1"/>
        <v>-5.0219696380616186E-2</v>
      </c>
      <c r="U11" s="607" t="s">
        <v>747</v>
      </c>
      <c r="V11" s="634" t="s">
        <v>682</v>
      </c>
      <c r="W11" s="635" t="s">
        <v>622</v>
      </c>
      <c r="X11" s="635" t="s">
        <v>623</v>
      </c>
      <c r="Y11" s="635" t="s">
        <v>624</v>
      </c>
      <c r="Z11" s="635" t="s">
        <v>625</v>
      </c>
      <c r="AA11" s="634" t="s">
        <v>626</v>
      </c>
      <c r="AB11" s="636" t="s">
        <v>610</v>
      </c>
      <c r="AC11" s="636" t="s">
        <v>611</v>
      </c>
      <c r="AD11" s="635" t="s">
        <v>612</v>
      </c>
      <c r="AE11" s="635" t="s">
        <v>613</v>
      </c>
      <c r="AF11" s="634" t="s">
        <v>614</v>
      </c>
      <c r="AG11" s="635" t="s">
        <v>615</v>
      </c>
      <c r="AH11" s="635" t="s">
        <v>616</v>
      </c>
      <c r="AI11" s="635" t="s">
        <v>617</v>
      </c>
      <c r="AJ11" s="635" t="s">
        <v>618</v>
      </c>
      <c r="AK11" s="634" t="s">
        <v>619</v>
      </c>
      <c r="AL11" s="635" t="s">
        <v>460</v>
      </c>
      <c r="AM11" s="635" t="s">
        <v>459</v>
      </c>
      <c r="AN11" s="635" t="s">
        <v>456</v>
      </c>
      <c r="AO11" s="635" t="s">
        <v>750</v>
      </c>
      <c r="AP11" s="607" t="s">
        <v>856</v>
      </c>
      <c r="AQ11" s="607" t="s">
        <v>911</v>
      </c>
      <c r="AR11" s="607" t="s">
        <v>96</v>
      </c>
      <c r="AS11" s="607" t="s">
        <v>118</v>
      </c>
      <c r="AT11" s="607" t="s">
        <v>119</v>
      </c>
      <c r="AU11" s="607" t="s">
        <v>67</v>
      </c>
      <c r="AV11" s="607" t="s">
        <v>157</v>
      </c>
    </row>
    <row r="12" spans="1:48">
      <c r="J12" s="604" t="s">
        <v>1039</v>
      </c>
      <c r="K12" s="604" t="s">
        <v>115</v>
      </c>
      <c r="L12" s="604">
        <v>327526</v>
      </c>
      <c r="M12" s="604" t="s">
        <v>1326</v>
      </c>
      <c r="N12" s="604">
        <v>305624</v>
      </c>
      <c r="O12" s="604">
        <v>249079</v>
      </c>
      <c r="P12" s="604">
        <f>+(G8+N12+O12)/3</f>
        <v>289634.66666666669</v>
      </c>
      <c r="Q12" s="809">
        <f t="shared" si="1"/>
        <v>-0.11568954322201386</v>
      </c>
      <c r="U12" s="635" t="s">
        <v>748</v>
      </c>
      <c r="V12" s="635">
        <v>308399</v>
      </c>
      <c r="W12" s="635">
        <v>289932</v>
      </c>
      <c r="X12" s="635">
        <v>316017</v>
      </c>
      <c r="Y12" s="635">
        <v>328550</v>
      </c>
      <c r="Z12" s="635">
        <v>330001</v>
      </c>
      <c r="AA12" s="635">
        <v>357114</v>
      </c>
      <c r="AB12" s="635">
        <v>391274</v>
      </c>
      <c r="AC12" s="635">
        <v>357475</v>
      </c>
      <c r="AD12" s="635">
        <v>371046</v>
      </c>
      <c r="AE12" s="635">
        <v>366387</v>
      </c>
      <c r="AF12" s="635">
        <v>374607</v>
      </c>
      <c r="AG12" s="635">
        <v>340223</v>
      </c>
      <c r="AH12" s="635">
        <v>327449</v>
      </c>
      <c r="AI12" s="635">
        <v>327625</v>
      </c>
      <c r="AJ12" s="635">
        <v>325353</v>
      </c>
      <c r="AK12" s="635">
        <v>283042</v>
      </c>
      <c r="AL12" s="635">
        <f>ROUND(AL13*$AK$12/$AK$13,0)</f>
        <v>249152</v>
      </c>
      <c r="AM12" s="635">
        <f>ROUND(AM13*$AK$12/$AK$13,0)</f>
        <v>242715</v>
      </c>
      <c r="AN12" s="635">
        <f>ROUND(AN13*$AK$12/$AK$13,0)</f>
        <v>244833</v>
      </c>
      <c r="AO12" s="635">
        <f>ROUND(AO13*$AK$12/$AK$13,0)</f>
        <v>251801</v>
      </c>
      <c r="AP12" s="606">
        <v>238444</v>
      </c>
      <c r="AQ12" s="604">
        <v>223420</v>
      </c>
      <c r="AR12" s="635">
        <v>229983</v>
      </c>
      <c r="AS12" s="635">
        <v>230687</v>
      </c>
      <c r="AT12" s="604">
        <f>ROUND(AS12*AT19/AS19,0)</f>
        <v>236777</v>
      </c>
      <c r="AU12" s="604">
        <f>ROUND(AT12*AU19/AT19,0)</f>
        <v>229443</v>
      </c>
      <c r="AV12" s="638">
        <v>211871</v>
      </c>
    </row>
    <row r="13" spans="1:48">
      <c r="A13" s="605" t="s">
        <v>277</v>
      </c>
      <c r="B13" s="605"/>
      <c r="C13" s="605"/>
      <c r="U13" s="624" t="s">
        <v>749</v>
      </c>
      <c r="V13" s="624"/>
      <c r="W13" s="624"/>
      <c r="X13" s="624"/>
      <c r="Y13" s="624"/>
      <c r="Z13" s="624"/>
      <c r="AA13" s="624"/>
      <c r="AB13" s="624"/>
      <c r="AC13" s="624"/>
      <c r="AD13" s="624"/>
      <c r="AE13" s="624"/>
      <c r="AF13" s="624"/>
      <c r="AG13" s="624"/>
      <c r="AH13" s="624"/>
      <c r="AI13" s="624"/>
      <c r="AJ13" s="624"/>
      <c r="AK13" s="624">
        <v>296281</v>
      </c>
      <c r="AL13" s="624">
        <v>260806</v>
      </c>
      <c r="AM13" s="624">
        <v>254068</v>
      </c>
      <c r="AN13" s="624">
        <v>256285</v>
      </c>
      <c r="AO13" s="624">
        <v>263579</v>
      </c>
      <c r="AP13" s="625">
        <v>252837</v>
      </c>
      <c r="AQ13" s="624">
        <v>241404</v>
      </c>
      <c r="AR13" s="624">
        <v>249446</v>
      </c>
      <c r="AS13" s="624">
        <v>241234</v>
      </c>
      <c r="AT13" s="624">
        <f>ROUND(AS13*AT18/AS18,0)</f>
        <v>253971</v>
      </c>
      <c r="AU13" s="624">
        <f>ROUND(AT13*AU18/AT18,0)</f>
        <v>254586</v>
      </c>
      <c r="AV13" s="640">
        <v>248432</v>
      </c>
    </row>
    <row r="14" spans="1:48">
      <c r="A14" s="608" t="s">
        <v>684</v>
      </c>
      <c r="B14" s="608">
        <f>SUM(B16:B20)</f>
        <v>2223</v>
      </c>
      <c r="C14" s="608">
        <v>2179</v>
      </c>
      <c r="D14" s="608">
        <f>SUM(D16:D20)</f>
        <v>2088</v>
      </c>
      <c r="E14" s="608">
        <f>SUM(E16:E20)</f>
        <v>2096</v>
      </c>
      <c r="F14" s="633">
        <v>2090</v>
      </c>
      <c r="G14" s="607">
        <v>2090</v>
      </c>
      <c r="U14" s="604" t="s">
        <v>874</v>
      </c>
    </row>
    <row r="15" spans="1:48">
      <c r="A15" s="639" t="s">
        <v>748</v>
      </c>
      <c r="B15" s="639"/>
      <c r="C15" s="639"/>
      <c r="D15" s="639"/>
      <c r="E15" s="639"/>
      <c r="F15" s="639">
        <v>294</v>
      </c>
      <c r="G15" s="604">
        <v>294</v>
      </c>
      <c r="H15" s="604" t="s">
        <v>914</v>
      </c>
      <c r="I15" s="604" t="s">
        <v>748</v>
      </c>
      <c r="J15" s="604" t="s">
        <v>914</v>
      </c>
      <c r="K15" s="604" t="s">
        <v>748</v>
      </c>
      <c r="L15" s="604">
        <v>288</v>
      </c>
      <c r="AP15" s="604" t="s">
        <v>872</v>
      </c>
      <c r="AQ15" s="604" t="s">
        <v>872</v>
      </c>
      <c r="AR15" s="604" t="s">
        <v>872</v>
      </c>
      <c r="AS15" s="604" t="s">
        <v>161</v>
      </c>
      <c r="AT15" s="604" t="s">
        <v>161</v>
      </c>
      <c r="AU15" s="604" t="s">
        <v>1006</v>
      </c>
      <c r="AV15" s="604" t="s">
        <v>1006</v>
      </c>
    </row>
    <row r="16" spans="1:48">
      <c r="A16" s="635" t="s">
        <v>272</v>
      </c>
      <c r="B16" s="635">
        <v>1219</v>
      </c>
      <c r="C16" s="635"/>
      <c r="D16" s="635">
        <v>1149</v>
      </c>
      <c r="E16" s="635">
        <v>1164</v>
      </c>
      <c r="F16" s="632">
        <v>789</v>
      </c>
      <c r="G16" s="635">
        <v>789</v>
      </c>
      <c r="H16" s="604" t="s">
        <v>915</v>
      </c>
      <c r="I16" s="604" t="s">
        <v>801</v>
      </c>
      <c r="J16" s="604" t="s">
        <v>915</v>
      </c>
      <c r="K16" s="604" t="s">
        <v>1041</v>
      </c>
      <c r="L16" s="604">
        <v>370</v>
      </c>
      <c r="U16" s="607" t="s">
        <v>876</v>
      </c>
      <c r="V16" s="634" t="s">
        <v>682</v>
      </c>
      <c r="W16" s="635" t="s">
        <v>622</v>
      </c>
      <c r="X16" s="635" t="s">
        <v>623</v>
      </c>
      <c r="Y16" s="635" t="s">
        <v>624</v>
      </c>
      <c r="Z16" s="635" t="s">
        <v>625</v>
      </c>
      <c r="AA16" s="634" t="s">
        <v>626</v>
      </c>
      <c r="AB16" s="636" t="s">
        <v>610</v>
      </c>
      <c r="AC16" s="636" t="s">
        <v>611</v>
      </c>
      <c r="AD16" s="635" t="s">
        <v>612</v>
      </c>
      <c r="AE16" s="635" t="s">
        <v>613</v>
      </c>
      <c r="AF16" s="634" t="s">
        <v>614</v>
      </c>
      <c r="AG16" s="635" t="s">
        <v>615</v>
      </c>
      <c r="AH16" s="635" t="s">
        <v>616</v>
      </c>
      <c r="AI16" s="635" t="s">
        <v>617</v>
      </c>
      <c r="AJ16" s="635" t="s">
        <v>618</v>
      </c>
      <c r="AK16" s="634" t="s">
        <v>619</v>
      </c>
      <c r="AL16" s="635" t="s">
        <v>460</v>
      </c>
      <c r="AM16" s="635" t="s">
        <v>459</v>
      </c>
      <c r="AN16" s="635" t="s">
        <v>456</v>
      </c>
      <c r="AO16" s="635" t="s">
        <v>750</v>
      </c>
      <c r="AP16" s="607" t="s">
        <v>856</v>
      </c>
      <c r="AQ16" s="607" t="s">
        <v>911</v>
      </c>
      <c r="AR16" s="607" t="s">
        <v>96</v>
      </c>
      <c r="AS16" s="607" t="s">
        <v>118</v>
      </c>
      <c r="AT16" s="607" t="s">
        <v>119</v>
      </c>
      <c r="AU16" s="607" t="s">
        <v>67</v>
      </c>
      <c r="AV16" s="607" t="s">
        <v>157</v>
      </c>
    </row>
    <row r="17" spans="1:48">
      <c r="A17" s="604" t="s">
        <v>273</v>
      </c>
      <c r="B17" s="604">
        <v>407</v>
      </c>
      <c r="D17" s="604">
        <v>389</v>
      </c>
      <c r="E17" s="604">
        <v>390</v>
      </c>
      <c r="F17" s="637">
        <v>474</v>
      </c>
      <c r="G17" s="604">
        <v>475</v>
      </c>
      <c r="H17" s="604" t="s">
        <v>916</v>
      </c>
      <c r="I17" s="604" t="s">
        <v>802</v>
      </c>
      <c r="J17" s="604" t="s">
        <v>916</v>
      </c>
      <c r="K17" s="604" t="s">
        <v>1042</v>
      </c>
      <c r="L17" s="604">
        <v>344</v>
      </c>
      <c r="U17" s="607" t="s">
        <v>749</v>
      </c>
      <c r="V17" s="633"/>
      <c r="W17" s="633"/>
      <c r="X17" s="633"/>
      <c r="Y17" s="633"/>
      <c r="Z17" s="633"/>
      <c r="AA17" s="633"/>
      <c r="AB17" s="633"/>
      <c r="AC17" s="633"/>
      <c r="AD17" s="633"/>
      <c r="AE17" s="633"/>
      <c r="AF17" s="633"/>
      <c r="AG17" s="633"/>
      <c r="AH17" s="633"/>
      <c r="AI17" s="607">
        <v>318312</v>
      </c>
      <c r="AJ17" s="607">
        <v>318268</v>
      </c>
      <c r="AK17" s="607">
        <v>316329</v>
      </c>
      <c r="AL17" s="607">
        <v>322433</v>
      </c>
      <c r="AM17" s="607">
        <v>324869</v>
      </c>
      <c r="AN17" s="607">
        <v>312774</v>
      </c>
      <c r="AO17" s="607">
        <v>304713</v>
      </c>
      <c r="AP17" s="607">
        <v>306287</v>
      </c>
      <c r="AQ17" s="607">
        <v>295070</v>
      </c>
      <c r="AR17" s="607">
        <v>284024</v>
      </c>
      <c r="AS17" s="607">
        <v>288761</v>
      </c>
      <c r="AT17" s="607">
        <f>ROUND(AS17*AT18/AS18,0)</f>
        <v>304007</v>
      </c>
      <c r="AU17" s="607">
        <f>ROUND(AT17*AU18/AT18,0)</f>
        <v>304743</v>
      </c>
      <c r="AV17" s="607">
        <f>ROUND(AU17*AV18/AU18,0)</f>
        <v>298894</v>
      </c>
    </row>
    <row r="18" spans="1:48">
      <c r="A18" s="604" t="s">
        <v>274</v>
      </c>
      <c r="B18" s="604">
        <v>383</v>
      </c>
      <c r="D18" s="604">
        <v>358</v>
      </c>
      <c r="E18" s="604">
        <v>356</v>
      </c>
      <c r="F18" s="637">
        <v>309</v>
      </c>
      <c r="G18" s="604">
        <v>286</v>
      </c>
      <c r="H18" s="604" t="s">
        <v>917</v>
      </c>
      <c r="I18" s="604" t="s">
        <v>803</v>
      </c>
      <c r="J18" s="604" t="s">
        <v>917</v>
      </c>
      <c r="K18" s="604" t="s">
        <v>802</v>
      </c>
      <c r="L18" s="604">
        <v>333</v>
      </c>
      <c r="U18" s="604" t="s">
        <v>875</v>
      </c>
      <c r="AR18" s="604" t="s">
        <v>749</v>
      </c>
      <c r="AS18" s="604">
        <f>消費支出2!BF73</f>
        <v>277106.41666666669</v>
      </c>
      <c r="AT18" s="604">
        <f>消費支出2!BG73</f>
        <v>291737.33333333331</v>
      </c>
      <c r="AU18" s="604">
        <f>消費支出2!BH73</f>
        <v>292443.75</v>
      </c>
      <c r="AV18" s="604">
        <f>消費支出2!BI73</f>
        <v>286830.75</v>
      </c>
    </row>
    <row r="19" spans="1:48">
      <c r="A19" s="604" t="s">
        <v>275</v>
      </c>
      <c r="B19" s="604">
        <v>142</v>
      </c>
      <c r="D19" s="604">
        <v>120</v>
      </c>
      <c r="E19" s="604">
        <v>139</v>
      </c>
      <c r="F19" s="637">
        <v>153</v>
      </c>
      <c r="G19" s="604">
        <v>129</v>
      </c>
      <c r="H19" s="604" t="s">
        <v>919</v>
      </c>
      <c r="I19" s="604" t="s">
        <v>115</v>
      </c>
      <c r="J19" s="604" t="s">
        <v>1037</v>
      </c>
      <c r="K19" s="604" t="s">
        <v>1043</v>
      </c>
      <c r="L19" s="604">
        <v>117</v>
      </c>
      <c r="AR19" s="604" t="s">
        <v>923</v>
      </c>
      <c r="AS19" s="604">
        <f>消費支出2!CI90</f>
        <v>294041.25</v>
      </c>
      <c r="AT19" s="604">
        <f>消費支出2!CO90</f>
        <v>301803.75</v>
      </c>
      <c r="AU19" s="604">
        <f>消費支出2!CP90</f>
        <v>292456</v>
      </c>
      <c r="AV19" s="604">
        <f>消費支出2!CQ90</f>
        <v>276343</v>
      </c>
    </row>
    <row r="20" spans="1:48">
      <c r="A20" s="624" t="s">
        <v>276</v>
      </c>
      <c r="B20" s="624">
        <v>72</v>
      </c>
      <c r="C20" s="624"/>
      <c r="D20" s="624">
        <v>72</v>
      </c>
      <c r="E20" s="624">
        <v>47</v>
      </c>
      <c r="F20" s="641">
        <v>71</v>
      </c>
      <c r="G20" s="624">
        <v>71</v>
      </c>
      <c r="H20" s="604" t="s">
        <v>920</v>
      </c>
      <c r="I20" s="604" t="s">
        <v>806</v>
      </c>
      <c r="J20" s="604" t="s">
        <v>920</v>
      </c>
      <c r="K20" s="604" t="s">
        <v>1044</v>
      </c>
      <c r="L20" s="604">
        <v>201</v>
      </c>
    </row>
    <row r="21" spans="1:48">
      <c r="J21" s="604" t="s">
        <v>1038</v>
      </c>
      <c r="K21" s="604" t="s">
        <v>803</v>
      </c>
      <c r="L21" s="604">
        <v>117</v>
      </c>
    </row>
    <row r="22" spans="1:48">
      <c r="J22" s="604" t="s">
        <v>1039</v>
      </c>
      <c r="K22" s="604" t="s">
        <v>115</v>
      </c>
      <c r="L22" s="604">
        <v>134</v>
      </c>
    </row>
    <row r="23" spans="1:48">
      <c r="J23" s="604" t="s">
        <v>1040</v>
      </c>
      <c r="K23" s="643" t="s">
        <v>806</v>
      </c>
      <c r="L23" s="643">
        <v>65</v>
      </c>
    </row>
    <row r="25" spans="1:48">
      <c r="J25" s="696"/>
      <c r="K25" s="635"/>
      <c r="L25" s="696"/>
      <c r="M25" s="698" t="s">
        <v>1266</v>
      </c>
      <c r="N25" s="635"/>
      <c r="O25" s="699"/>
      <c r="P25" s="698" t="s">
        <v>1332</v>
      </c>
      <c r="Q25" s="635"/>
      <c r="R25" s="699"/>
      <c r="T25" s="666"/>
      <c r="U25" s="698" t="s">
        <v>1267</v>
      </c>
      <c r="V25" s="635"/>
      <c r="W25" s="699"/>
    </row>
    <row r="26" spans="1:48">
      <c r="J26" s="663"/>
      <c r="K26" s="663"/>
      <c r="M26" s="700" t="s">
        <v>1268</v>
      </c>
      <c r="N26" s="604" t="s">
        <v>1269</v>
      </c>
      <c r="O26" s="701" t="s">
        <v>1270</v>
      </c>
      <c r="P26" s="700" t="s">
        <v>1268</v>
      </c>
      <c r="Q26" s="604" t="s">
        <v>1269</v>
      </c>
      <c r="R26" s="701" t="s">
        <v>1270</v>
      </c>
      <c r="T26" s="666"/>
      <c r="U26" s="700" t="s">
        <v>1268</v>
      </c>
      <c r="V26" s="604" t="s">
        <v>1269</v>
      </c>
      <c r="W26" s="701" t="s">
        <v>1270</v>
      </c>
    </row>
    <row r="27" spans="1:48">
      <c r="J27" s="666" t="s">
        <v>1271</v>
      </c>
      <c r="K27" s="666" t="s">
        <v>1272</v>
      </c>
      <c r="M27" s="700">
        <v>255525</v>
      </c>
      <c r="N27" s="604">
        <v>294763</v>
      </c>
      <c r="O27" s="701">
        <v>185146</v>
      </c>
      <c r="P27" s="700">
        <v>617589</v>
      </c>
      <c r="Q27" s="604">
        <v>396523</v>
      </c>
      <c r="R27" s="701">
        <v>221067</v>
      </c>
      <c r="S27" s="604">
        <f>+(N27*Q27+O27*R27)/(P27)</f>
        <v>255525.8915411382</v>
      </c>
      <c r="T27" s="814">
        <f>+S27/S41-1</f>
        <v>1.980190031168827E-2</v>
      </c>
      <c r="U27" s="700">
        <v>786297</v>
      </c>
      <c r="V27" s="604">
        <v>451450</v>
      </c>
      <c r="W27" s="701">
        <v>334847</v>
      </c>
    </row>
    <row r="28" spans="1:48">
      <c r="A28" s="630" t="s">
        <v>746</v>
      </c>
      <c r="B28" s="630"/>
      <c r="C28" s="644"/>
      <c r="D28" s="644"/>
      <c r="E28" s="644"/>
      <c r="F28" s="644"/>
      <c r="G28" s="630" t="s">
        <v>739</v>
      </c>
      <c r="H28" s="630"/>
      <c r="I28" s="630"/>
      <c r="J28" s="666" t="s">
        <v>1273</v>
      </c>
      <c r="K28" s="666" t="s">
        <v>1274</v>
      </c>
      <c r="M28" s="700">
        <v>224462</v>
      </c>
      <c r="N28" s="604">
        <v>270313</v>
      </c>
      <c r="O28" s="701">
        <v>148318</v>
      </c>
      <c r="P28" s="700">
        <v>438046</v>
      </c>
      <c r="Q28" s="604">
        <v>273411</v>
      </c>
      <c r="R28" s="701">
        <v>164635</v>
      </c>
      <c r="S28" s="604">
        <f>(SUMPRODUCT(N28:N29,Q28:Q29)+SUMPRODUCT(O28:O29,R28:R29))/SUM(P28:P29)</f>
        <v>237683.99224738215</v>
      </c>
      <c r="T28" s="814">
        <f>+S28/S42-1</f>
        <v>-8.3520533337030245E-2</v>
      </c>
      <c r="U28" s="700">
        <v>479077</v>
      </c>
      <c r="V28" s="604">
        <v>290601</v>
      </c>
      <c r="W28" s="701">
        <v>188476</v>
      </c>
    </row>
    <row r="29" spans="1:48">
      <c r="A29" s="645" t="s">
        <v>740</v>
      </c>
      <c r="B29" s="646"/>
      <c r="C29" s="647" t="s">
        <v>741</v>
      </c>
      <c r="D29" s="648"/>
      <c r="E29" s="647" t="s">
        <v>742</v>
      </c>
      <c r="F29" s="649"/>
      <c r="G29" s="649"/>
      <c r="H29" s="650"/>
      <c r="I29" s="650"/>
      <c r="J29" s="666" t="s">
        <v>1275</v>
      </c>
      <c r="K29" s="666" t="s">
        <v>1276</v>
      </c>
      <c r="M29" s="700">
        <v>254854</v>
      </c>
      <c r="N29" s="604">
        <v>271350</v>
      </c>
      <c r="O29" s="701">
        <v>221392</v>
      </c>
      <c r="P29" s="700">
        <v>337305</v>
      </c>
      <c r="Q29" s="604">
        <v>225930</v>
      </c>
      <c r="R29" s="701">
        <v>111375</v>
      </c>
      <c r="T29" s="814"/>
      <c r="U29" s="700">
        <v>294367</v>
      </c>
      <c r="V29" s="604">
        <v>212717</v>
      </c>
      <c r="W29" s="701">
        <v>81650</v>
      </c>
    </row>
    <row r="30" spans="1:48">
      <c r="A30" s="652"/>
      <c r="B30" s="653"/>
      <c r="C30" s="654"/>
      <c r="D30" s="655" t="s">
        <v>743</v>
      </c>
      <c r="E30" s="654"/>
      <c r="F30" s="656" t="s">
        <v>744</v>
      </c>
      <c r="G30" s="649"/>
      <c r="H30" s="650"/>
      <c r="I30" s="650"/>
      <c r="J30" s="666" t="s">
        <v>1277</v>
      </c>
      <c r="K30" s="666" t="s">
        <v>1278</v>
      </c>
      <c r="M30" s="700">
        <v>232460</v>
      </c>
      <c r="N30" s="604">
        <v>257760</v>
      </c>
      <c r="O30" s="701">
        <v>145229</v>
      </c>
      <c r="P30" s="700">
        <v>238532</v>
      </c>
      <c r="Q30" s="604">
        <v>184903</v>
      </c>
      <c r="R30" s="701">
        <v>53629</v>
      </c>
      <c r="S30" s="604">
        <f>(SUMPRODUCT(N30:N31,Q30:Q31)+SUMPRODUCT(O30:O31,R30:R31))/SUM(P30:P31)</f>
        <v>279251.04533050093</v>
      </c>
      <c r="T30" s="814">
        <f>+S30/S44-1</f>
        <v>0.15630895900289965</v>
      </c>
      <c r="U30" s="700">
        <v>302390</v>
      </c>
      <c r="V30" s="604">
        <v>206725</v>
      </c>
      <c r="W30" s="701">
        <v>95665</v>
      </c>
    </row>
    <row r="31" spans="1:48">
      <c r="A31" s="652"/>
      <c r="B31" s="653"/>
      <c r="C31" s="654"/>
      <c r="D31" s="657"/>
      <c r="E31" s="654"/>
      <c r="F31" s="658"/>
      <c r="G31" s="647" t="s">
        <v>745</v>
      </c>
      <c r="H31" s="650"/>
      <c r="I31" s="650"/>
      <c r="J31" s="666" t="s">
        <v>1279</v>
      </c>
      <c r="K31" s="666" t="s">
        <v>1280</v>
      </c>
      <c r="M31" s="700">
        <v>361784</v>
      </c>
      <c r="N31" s="604">
        <v>456575</v>
      </c>
      <c r="O31" s="701">
        <v>102273</v>
      </c>
      <c r="P31" s="700">
        <v>135234</v>
      </c>
      <c r="Q31" s="604">
        <v>99053</v>
      </c>
      <c r="R31" s="701">
        <v>36181</v>
      </c>
      <c r="T31" s="814"/>
      <c r="U31" s="700">
        <v>103046</v>
      </c>
      <c r="V31" s="604">
        <v>73168</v>
      </c>
      <c r="W31" s="701">
        <v>29878</v>
      </c>
    </row>
    <row r="32" spans="1:48">
      <c r="A32" s="659" t="s">
        <v>685</v>
      </c>
      <c r="B32" s="660" t="s">
        <v>686</v>
      </c>
      <c r="C32" s="661"/>
      <c r="D32" s="661"/>
      <c r="E32" s="661"/>
      <c r="F32" s="662"/>
      <c r="G32" s="661"/>
      <c r="H32" s="663"/>
      <c r="I32" s="663"/>
      <c r="J32" s="666" t="s">
        <v>1281</v>
      </c>
      <c r="K32" s="666" t="s">
        <v>1282</v>
      </c>
      <c r="M32" s="700">
        <v>273083</v>
      </c>
      <c r="N32" s="604">
        <v>312822</v>
      </c>
      <c r="O32" s="701">
        <v>127373</v>
      </c>
      <c r="P32" s="700">
        <v>185542</v>
      </c>
      <c r="Q32" s="604">
        <v>145784</v>
      </c>
      <c r="R32" s="701">
        <v>39759</v>
      </c>
      <c r="S32" s="604">
        <f>(SUMPRODUCT(N32:N33,Q32:Q33)+SUMPRODUCT(O32:O33,R32:R33))/SUM(P32:P33)</f>
        <v>259152.55558244765</v>
      </c>
      <c r="T32" s="814">
        <f>+S32/S46-1</f>
        <v>-4.5941615879586672E-2</v>
      </c>
      <c r="U32" s="700">
        <v>239665</v>
      </c>
      <c r="V32" s="604">
        <v>159629</v>
      </c>
      <c r="W32" s="701">
        <v>80036</v>
      </c>
    </row>
    <row r="33" spans="1:23">
      <c r="A33" s="664" t="s">
        <v>687</v>
      </c>
      <c r="B33" s="665">
        <v>1953</v>
      </c>
      <c r="C33" s="666">
        <v>30840</v>
      </c>
      <c r="D33" s="666">
        <v>29133</v>
      </c>
      <c r="E33" s="666">
        <v>28579</v>
      </c>
      <c r="F33" s="667">
        <v>24594</v>
      </c>
      <c r="G33" s="666">
        <v>10448</v>
      </c>
      <c r="H33" s="666"/>
      <c r="I33" s="666"/>
      <c r="J33" s="666" t="s">
        <v>1283</v>
      </c>
      <c r="K33" s="666" t="s">
        <v>1284</v>
      </c>
      <c r="M33" s="700">
        <v>233185</v>
      </c>
      <c r="N33" s="604">
        <v>270519</v>
      </c>
      <c r="O33" s="701">
        <v>135927</v>
      </c>
      <c r="P33" s="700">
        <v>99548</v>
      </c>
      <c r="Q33" s="604">
        <v>71935</v>
      </c>
      <c r="R33" s="701">
        <v>27613</v>
      </c>
      <c r="T33" s="666"/>
      <c r="U33" s="700">
        <v>95337</v>
      </c>
      <c r="V33" s="604">
        <v>70193</v>
      </c>
      <c r="W33" s="701">
        <v>25144</v>
      </c>
    </row>
    <row r="34" spans="1:23">
      <c r="A34" s="668" t="s">
        <v>688</v>
      </c>
      <c r="B34" s="665">
        <v>1954</v>
      </c>
      <c r="C34" s="666">
        <v>30818</v>
      </c>
      <c r="D34" s="666">
        <v>28948</v>
      </c>
      <c r="E34" s="666">
        <v>28996</v>
      </c>
      <c r="F34" s="667">
        <v>25131</v>
      </c>
      <c r="G34" s="666">
        <v>11049</v>
      </c>
      <c r="H34" s="666"/>
      <c r="I34" s="666"/>
      <c r="J34" s="666" t="s">
        <v>1285</v>
      </c>
      <c r="K34" s="666" t="s">
        <v>1286</v>
      </c>
      <c r="M34" s="700">
        <v>249079</v>
      </c>
      <c r="N34" s="604">
        <v>270586</v>
      </c>
      <c r="O34" s="701">
        <v>228539</v>
      </c>
      <c r="P34" s="700">
        <v>165262</v>
      </c>
      <c r="Q34" s="604">
        <v>80731</v>
      </c>
      <c r="R34" s="701">
        <v>84531</v>
      </c>
      <c r="S34" s="604">
        <f>+(N34*Q34+N27*Q27+O27*R27+O34*R34)/(P34+P27)</f>
        <v>254164.95400274126</v>
      </c>
      <c r="T34" s="814">
        <f>+S34/S48-1</f>
        <v>-1.5362730399239966E-2</v>
      </c>
      <c r="U34" s="700">
        <v>94260</v>
      </c>
      <c r="V34" s="604">
        <v>68705</v>
      </c>
      <c r="W34" s="701">
        <v>25555</v>
      </c>
    </row>
    <row r="35" spans="1:23">
      <c r="A35" s="668" t="s">
        <v>689</v>
      </c>
      <c r="B35" s="665">
        <v>1955</v>
      </c>
      <c r="C35" s="666">
        <v>32289</v>
      </c>
      <c r="D35" s="666">
        <v>30228</v>
      </c>
      <c r="E35" s="666">
        <v>29431</v>
      </c>
      <c r="F35" s="667">
        <v>25622</v>
      </c>
      <c r="G35" s="666">
        <v>10946</v>
      </c>
      <c r="H35" s="666"/>
      <c r="I35" s="666"/>
      <c r="J35" s="697"/>
      <c r="K35" s="697" t="s">
        <v>748</v>
      </c>
      <c r="L35" s="697"/>
      <c r="M35" s="698">
        <v>275023</v>
      </c>
      <c r="N35" s="635">
        <v>299970</v>
      </c>
      <c r="O35" s="699">
        <v>215751</v>
      </c>
      <c r="P35" s="698">
        <v>517416</v>
      </c>
      <c r="Q35" s="635">
        <v>364151</v>
      </c>
      <c r="R35" s="699">
        <v>153265</v>
      </c>
      <c r="S35" s="604">
        <f>+(N35*Q35+O35*R35)/(P35)</f>
        <v>275023.29360707826</v>
      </c>
      <c r="T35" s="666"/>
      <c r="U35" s="700">
        <v>734091</v>
      </c>
      <c r="V35" s="604">
        <v>415719</v>
      </c>
      <c r="W35" s="701">
        <v>318372</v>
      </c>
    </row>
    <row r="36" spans="1:23">
      <c r="A36" s="668" t="s">
        <v>690</v>
      </c>
      <c r="B36" s="665">
        <v>1956</v>
      </c>
      <c r="C36" s="666">
        <v>32229</v>
      </c>
      <c r="D36" s="666">
        <v>30378</v>
      </c>
      <c r="E36" s="666">
        <v>28699</v>
      </c>
      <c r="F36" s="667">
        <v>25352</v>
      </c>
      <c r="G36" s="666">
        <v>10940</v>
      </c>
      <c r="H36" s="666"/>
      <c r="I36" s="666"/>
      <c r="J36" s="663"/>
      <c r="K36" s="666" t="s">
        <v>684</v>
      </c>
      <c r="L36" s="666"/>
      <c r="M36" s="700">
        <v>248225</v>
      </c>
      <c r="N36" s="604">
        <v>292148</v>
      </c>
      <c r="O36" s="701">
        <v>162036</v>
      </c>
      <c r="P36" s="700">
        <v>2231213</v>
      </c>
      <c r="Q36" s="604">
        <v>1478001</v>
      </c>
      <c r="R36" s="701">
        <v>753212</v>
      </c>
      <c r="U36" s="700">
        <v>2399358</v>
      </c>
      <c r="V36" s="604">
        <v>1536847</v>
      </c>
      <c r="W36" s="701">
        <v>862511</v>
      </c>
    </row>
    <row r="37" spans="1:23">
      <c r="A37" s="668" t="s">
        <v>691</v>
      </c>
      <c r="B37" s="665">
        <v>1957</v>
      </c>
      <c r="C37" s="666">
        <v>34070</v>
      </c>
      <c r="D37" s="666">
        <v>32123</v>
      </c>
      <c r="E37" s="666">
        <v>30004</v>
      </c>
      <c r="F37" s="667">
        <v>27171</v>
      </c>
      <c r="G37" s="666">
        <v>11272</v>
      </c>
      <c r="H37" s="666"/>
      <c r="I37" s="666"/>
      <c r="J37" s="666"/>
      <c r="K37" s="666"/>
      <c r="L37" s="666"/>
      <c r="M37" s="700"/>
      <c r="O37" s="701"/>
      <c r="P37" s="700"/>
      <c r="R37" s="701"/>
      <c r="U37" s="813">
        <v>52206</v>
      </c>
      <c r="V37" s="624">
        <v>35731</v>
      </c>
      <c r="W37" s="808">
        <v>16475</v>
      </c>
    </row>
    <row r="38" spans="1:23">
      <c r="A38" s="668" t="s">
        <v>692</v>
      </c>
      <c r="B38" s="665">
        <v>1958</v>
      </c>
      <c r="C38" s="666">
        <v>38477</v>
      </c>
      <c r="D38" s="666">
        <v>36640</v>
      </c>
      <c r="E38" s="666">
        <v>33386</v>
      </c>
      <c r="F38" s="667">
        <v>30332</v>
      </c>
      <c r="G38" s="666">
        <v>12654</v>
      </c>
      <c r="H38" s="666"/>
      <c r="I38" s="666"/>
      <c r="J38" s="651"/>
      <c r="K38" s="651"/>
      <c r="L38" s="651"/>
    </row>
    <row r="39" spans="1:23">
      <c r="A39" s="668" t="s">
        <v>693</v>
      </c>
      <c r="B39" s="665">
        <v>1959</v>
      </c>
      <c r="C39" s="666">
        <v>38901</v>
      </c>
      <c r="D39" s="666">
        <v>36861</v>
      </c>
      <c r="E39" s="666">
        <v>33155</v>
      </c>
      <c r="F39" s="667">
        <v>30681</v>
      </c>
      <c r="G39" s="666">
        <v>12427</v>
      </c>
      <c r="H39" s="666"/>
      <c r="I39" s="666"/>
      <c r="J39" s="696"/>
      <c r="K39" s="635"/>
      <c r="L39" s="696"/>
      <c r="M39" s="698" t="s">
        <v>1265</v>
      </c>
      <c r="N39" s="635"/>
      <c r="O39" s="699"/>
      <c r="P39" s="698" t="s">
        <v>1332</v>
      </c>
      <c r="Q39" s="635"/>
      <c r="R39" s="699"/>
      <c r="U39" s="698" t="s">
        <v>1327</v>
      </c>
      <c r="V39" s="635"/>
      <c r="W39" s="699"/>
    </row>
    <row r="40" spans="1:23">
      <c r="A40" s="668" t="s">
        <v>694</v>
      </c>
      <c r="B40" s="665">
        <v>1960</v>
      </c>
      <c r="C40" s="666">
        <v>42012</v>
      </c>
      <c r="D40" s="666">
        <v>39916</v>
      </c>
      <c r="E40" s="666">
        <v>36028</v>
      </c>
      <c r="F40" s="667">
        <v>33427</v>
      </c>
      <c r="G40" s="666">
        <v>13345</v>
      </c>
      <c r="H40" s="666"/>
      <c r="I40" s="666"/>
      <c r="J40" s="663"/>
      <c r="K40" s="663"/>
      <c r="M40" s="700" t="s">
        <v>1268</v>
      </c>
      <c r="N40" s="604" t="s">
        <v>1269</v>
      </c>
      <c r="O40" s="701" t="s">
        <v>1270</v>
      </c>
      <c r="P40" s="700" t="s">
        <v>1268</v>
      </c>
      <c r="Q40" s="604" t="s">
        <v>1269</v>
      </c>
      <c r="R40" s="701" t="s">
        <v>1270</v>
      </c>
      <c r="U40" s="700" t="s">
        <v>1268</v>
      </c>
      <c r="V40" s="604" t="s">
        <v>1269</v>
      </c>
      <c r="W40" s="701" t="s">
        <v>1270</v>
      </c>
    </row>
    <row r="41" spans="1:23">
      <c r="A41" s="668" t="s">
        <v>695</v>
      </c>
      <c r="B41" s="665">
        <v>1961</v>
      </c>
      <c r="C41" s="666">
        <v>48762</v>
      </c>
      <c r="D41" s="666">
        <v>46241</v>
      </c>
      <c r="E41" s="666">
        <v>41597</v>
      </c>
      <c r="F41" s="667">
        <v>38513</v>
      </c>
      <c r="G41" s="666">
        <v>14329</v>
      </c>
      <c r="H41" s="666"/>
      <c r="I41" s="666"/>
      <c r="J41" s="666" t="s">
        <v>1271</v>
      </c>
      <c r="K41" s="666" t="s">
        <v>1319</v>
      </c>
      <c r="M41" s="700">
        <v>250490</v>
      </c>
      <c r="N41" s="604">
        <v>301024</v>
      </c>
      <c r="O41" s="701">
        <v>138806</v>
      </c>
      <c r="P41" s="700">
        <v>582811</v>
      </c>
      <c r="Q41" s="604">
        <v>401521</v>
      </c>
      <c r="R41" s="701">
        <v>181290</v>
      </c>
      <c r="S41" s="604">
        <f>+(N41*Q41+O41*R41)/(P41)</f>
        <v>250564.24337220815</v>
      </c>
      <c r="U41" s="700">
        <v>756907</v>
      </c>
      <c r="V41" s="604">
        <v>462235</v>
      </c>
      <c r="W41" s="701">
        <v>294672</v>
      </c>
    </row>
    <row r="42" spans="1:23">
      <c r="A42" s="668" t="s">
        <v>696</v>
      </c>
      <c r="B42" s="665">
        <v>1962</v>
      </c>
      <c r="C42" s="666">
        <v>53564</v>
      </c>
      <c r="D42" s="666">
        <v>50458</v>
      </c>
      <c r="E42" s="666">
        <v>46601</v>
      </c>
      <c r="F42" s="667">
        <v>43091</v>
      </c>
      <c r="G42" s="666">
        <v>15486</v>
      </c>
      <c r="H42" s="666"/>
      <c r="I42" s="666"/>
      <c r="J42" s="666" t="s">
        <v>1273</v>
      </c>
      <c r="K42" s="666" t="s">
        <v>1320</v>
      </c>
      <c r="M42" s="700">
        <v>258521</v>
      </c>
      <c r="N42" s="604">
        <v>289493</v>
      </c>
      <c r="O42" s="701">
        <v>198273</v>
      </c>
      <c r="P42" s="700">
        <v>641558</v>
      </c>
      <c r="Q42" s="604">
        <v>441699</v>
      </c>
      <c r="R42" s="701">
        <v>199859</v>
      </c>
      <c r="S42" s="604">
        <f>(SUMPRODUCT(N42:N43,Q42:Q43)+SUMPRODUCT(O42:O43,R42:R43))/SUM(P42:P43)</f>
        <v>259344.59078807614</v>
      </c>
      <c r="U42" s="700">
        <v>462850</v>
      </c>
      <c r="V42" s="604">
        <v>288832</v>
      </c>
      <c r="W42" s="701">
        <v>174018</v>
      </c>
    </row>
    <row r="43" spans="1:23">
      <c r="A43" s="668" t="s">
        <v>697</v>
      </c>
      <c r="B43" s="665">
        <v>1963</v>
      </c>
      <c r="C43" s="666">
        <v>57386</v>
      </c>
      <c r="D43" s="666">
        <v>54288</v>
      </c>
      <c r="E43" s="666">
        <v>49738</v>
      </c>
      <c r="F43" s="667">
        <v>45996</v>
      </c>
      <c r="G43" s="666">
        <v>16842</v>
      </c>
      <c r="H43" s="666"/>
      <c r="I43" s="666"/>
      <c r="J43" s="666" t="s">
        <v>1275</v>
      </c>
      <c r="K43" s="666" t="s">
        <v>1321</v>
      </c>
      <c r="M43" s="700">
        <v>253090</v>
      </c>
      <c r="N43" s="604">
        <v>284561</v>
      </c>
      <c r="O43" s="701">
        <v>202697</v>
      </c>
      <c r="P43" s="700">
        <v>430813</v>
      </c>
      <c r="Q43" s="604">
        <v>284539</v>
      </c>
      <c r="R43" s="701">
        <v>146275</v>
      </c>
      <c r="U43" s="700">
        <v>287331</v>
      </c>
      <c r="V43" s="604">
        <v>212204</v>
      </c>
      <c r="W43" s="701">
        <v>75127</v>
      </c>
    </row>
    <row r="44" spans="1:23">
      <c r="A44" s="668" t="s">
        <v>698</v>
      </c>
      <c r="B44" s="665">
        <v>1964</v>
      </c>
      <c r="C44" s="666">
        <v>62236</v>
      </c>
      <c r="D44" s="666">
        <v>58963</v>
      </c>
      <c r="E44" s="666">
        <v>52883</v>
      </c>
      <c r="F44" s="667">
        <v>48204</v>
      </c>
      <c r="G44" s="666">
        <v>17514</v>
      </c>
      <c r="H44" s="666"/>
      <c r="I44" s="666"/>
      <c r="J44" s="666" t="s">
        <v>1277</v>
      </c>
      <c r="K44" s="666" t="s">
        <v>1322</v>
      </c>
      <c r="M44" s="700">
        <v>241317</v>
      </c>
      <c r="N44" s="604">
        <v>278672</v>
      </c>
      <c r="O44" s="701">
        <v>140977</v>
      </c>
      <c r="P44" s="700">
        <v>341181</v>
      </c>
      <c r="Q44" s="604">
        <v>210020</v>
      </c>
      <c r="R44" s="701">
        <v>131161</v>
      </c>
      <c r="S44" s="604">
        <f>(SUMPRODUCT(N44:N45,Q44:Q45)+SUMPRODUCT(O44:O45,R44:R45))/SUM(P44:P45)</f>
        <v>241502.10301172687</v>
      </c>
      <c r="U44" s="700">
        <v>285749</v>
      </c>
      <c r="V44" s="604">
        <v>207915</v>
      </c>
      <c r="W44" s="701">
        <v>77834</v>
      </c>
    </row>
    <row r="45" spans="1:23">
      <c r="A45" s="668" t="s">
        <v>699</v>
      </c>
      <c r="B45" s="665">
        <v>1965</v>
      </c>
      <c r="C45" s="666">
        <v>70978</v>
      </c>
      <c r="D45" s="666">
        <v>65976</v>
      </c>
      <c r="E45" s="666">
        <v>59453</v>
      </c>
      <c r="F45" s="667">
        <v>53565</v>
      </c>
      <c r="G45" s="666">
        <v>19323</v>
      </c>
      <c r="H45" s="666"/>
      <c r="I45" s="666"/>
      <c r="J45" s="666" t="s">
        <v>1279</v>
      </c>
      <c r="K45" s="666" t="s">
        <v>1323</v>
      </c>
      <c r="M45" s="700">
        <v>265784</v>
      </c>
      <c r="N45" s="604">
        <v>287187</v>
      </c>
      <c r="O45" s="701">
        <v>189755</v>
      </c>
      <c r="P45" s="700">
        <v>279360</v>
      </c>
      <c r="Q45" s="604">
        <v>203574</v>
      </c>
      <c r="R45" s="701">
        <v>75786</v>
      </c>
      <c r="U45" s="700">
        <v>97499</v>
      </c>
      <c r="V45" s="604">
        <v>74500</v>
      </c>
      <c r="W45" s="701">
        <v>22999</v>
      </c>
    </row>
    <row r="46" spans="1:23">
      <c r="A46" s="668" t="s">
        <v>700</v>
      </c>
      <c r="B46" s="665">
        <v>1966</v>
      </c>
      <c r="C46" s="666">
        <v>82094</v>
      </c>
      <c r="D46" s="666">
        <v>78415</v>
      </c>
      <c r="E46" s="666">
        <v>70177</v>
      </c>
      <c r="F46" s="667">
        <v>61986</v>
      </c>
      <c r="G46" s="666">
        <v>21500</v>
      </c>
      <c r="H46" s="666"/>
      <c r="I46" s="666"/>
      <c r="J46" s="666" t="s">
        <v>1281</v>
      </c>
      <c r="K46" s="666" t="s">
        <v>1324</v>
      </c>
      <c r="M46" s="700">
        <v>244733</v>
      </c>
      <c r="N46" s="604">
        <v>279091</v>
      </c>
      <c r="O46" s="701">
        <v>150629</v>
      </c>
      <c r="P46" s="700">
        <v>81686</v>
      </c>
      <c r="Q46" s="604">
        <v>63742</v>
      </c>
      <c r="R46" s="701">
        <v>17944</v>
      </c>
      <c r="S46" s="604">
        <f>(SUMPRODUCT(N46:N47,Q46:Q47)+SUMPRODUCT(O46:O47,R46:R47))/SUM(P46:P47)</f>
        <v>271631.75744361948</v>
      </c>
      <c r="U46" s="700">
        <v>227548</v>
      </c>
      <c r="V46" s="604">
        <v>161853</v>
      </c>
      <c r="W46" s="701">
        <v>65695</v>
      </c>
    </row>
    <row r="47" spans="1:23">
      <c r="A47" s="668" t="s">
        <v>701</v>
      </c>
      <c r="B47" s="665">
        <v>1967</v>
      </c>
      <c r="C47" s="666">
        <v>90228</v>
      </c>
      <c r="D47" s="666">
        <v>85496</v>
      </c>
      <c r="E47" s="666">
        <v>74651</v>
      </c>
      <c r="F47" s="667">
        <v>65697</v>
      </c>
      <c r="G47" s="666">
        <v>22480</v>
      </c>
      <c r="H47" s="666"/>
      <c r="I47" s="666"/>
      <c r="J47" s="666" t="s">
        <v>1283</v>
      </c>
      <c r="K47" s="666" t="s">
        <v>1325</v>
      </c>
      <c r="M47" s="700">
        <v>293715</v>
      </c>
      <c r="N47" s="604">
        <v>316549</v>
      </c>
      <c r="O47" s="701">
        <v>177439</v>
      </c>
      <c r="P47" s="700">
        <v>219881</v>
      </c>
      <c r="Q47" s="604">
        <v>161074</v>
      </c>
      <c r="R47" s="701">
        <v>58807</v>
      </c>
      <c r="U47" s="700">
        <v>94603</v>
      </c>
      <c r="V47" s="604">
        <v>73040</v>
      </c>
      <c r="W47" s="701">
        <v>21563</v>
      </c>
    </row>
    <row r="48" spans="1:23">
      <c r="A48" s="668" t="s">
        <v>702</v>
      </c>
      <c r="B48" s="665">
        <v>1968</v>
      </c>
      <c r="C48" s="666">
        <v>106606</v>
      </c>
      <c r="D48" s="666">
        <v>101117</v>
      </c>
      <c r="E48" s="666">
        <v>90788</v>
      </c>
      <c r="F48" s="667">
        <v>79752</v>
      </c>
      <c r="G48" s="666">
        <v>25670</v>
      </c>
      <c r="H48" s="666"/>
      <c r="I48" s="666"/>
      <c r="J48" s="666" t="s">
        <v>1285</v>
      </c>
      <c r="K48" s="666" t="s">
        <v>1326</v>
      </c>
      <c r="M48" s="700">
        <v>305624</v>
      </c>
      <c r="N48" s="604">
        <v>330168</v>
      </c>
      <c r="O48" s="701">
        <v>190707</v>
      </c>
      <c r="P48" s="700">
        <v>89727</v>
      </c>
      <c r="Q48" s="604">
        <v>74999</v>
      </c>
      <c r="R48" s="701">
        <v>14728</v>
      </c>
      <c r="S48" s="604">
        <f>+(N48*Q48+N41*Q41+O41*R41+O48*R48)/(P48+P41)</f>
        <v>258130.54395736745</v>
      </c>
      <c r="U48" s="700">
        <v>99797</v>
      </c>
      <c r="V48" s="604">
        <v>75482</v>
      </c>
      <c r="W48" s="701">
        <v>24315</v>
      </c>
    </row>
    <row r="49" spans="1:23">
      <c r="A49" s="668" t="s">
        <v>703</v>
      </c>
      <c r="B49" s="665">
        <v>1969</v>
      </c>
      <c r="C49" s="666">
        <v>115562</v>
      </c>
      <c r="D49" s="666">
        <v>108052</v>
      </c>
      <c r="E49" s="666">
        <v>94354</v>
      </c>
      <c r="F49" s="667">
        <v>83936</v>
      </c>
      <c r="G49" s="666">
        <v>26939</v>
      </c>
      <c r="H49" s="666"/>
      <c r="I49" s="666"/>
      <c r="J49" s="697"/>
      <c r="K49" s="697" t="s">
        <v>748</v>
      </c>
      <c r="L49" s="697"/>
      <c r="M49" s="698">
        <v>253240</v>
      </c>
      <c r="N49" s="635">
        <v>303453</v>
      </c>
      <c r="O49" s="699">
        <v>142029</v>
      </c>
      <c r="P49" s="698">
        <v>109736</v>
      </c>
      <c r="Q49" s="635">
        <v>90424</v>
      </c>
      <c r="R49" s="699">
        <v>19313</v>
      </c>
      <c r="S49" s="604">
        <f>+(N49*Q49+O49*R49)/(P49)</f>
        <v>275045.92976780637</v>
      </c>
      <c r="U49" s="700">
        <v>704497</v>
      </c>
      <c r="V49" s="604">
        <v>424424</v>
      </c>
      <c r="W49" s="701">
        <v>280073</v>
      </c>
    </row>
    <row r="50" spans="1:23">
      <c r="A50" s="668" t="s">
        <v>704</v>
      </c>
      <c r="B50" s="665">
        <v>1970</v>
      </c>
      <c r="C50" s="666">
        <v>129680</v>
      </c>
      <c r="D50" s="666">
        <v>122307</v>
      </c>
      <c r="E50" s="666">
        <v>104705</v>
      </c>
      <c r="F50" s="667">
        <v>93327</v>
      </c>
      <c r="G50" s="666">
        <v>29034</v>
      </c>
      <c r="H50" s="666"/>
      <c r="I50" s="666"/>
      <c r="J50" s="663"/>
      <c r="K50" s="666" t="s">
        <v>684</v>
      </c>
      <c r="L50" s="666"/>
      <c r="M50" s="700">
        <v>233985</v>
      </c>
      <c r="O50" s="701">
        <v>156515</v>
      </c>
      <c r="P50" s="700">
        <v>2196186</v>
      </c>
      <c r="Q50" s="604">
        <v>1529499</v>
      </c>
      <c r="R50" s="701">
        <v>666687</v>
      </c>
      <c r="S50" s="666"/>
      <c r="U50" s="700">
        <v>2312284</v>
      </c>
      <c r="V50" s="604">
        <v>1556061</v>
      </c>
      <c r="W50" s="701">
        <v>756223</v>
      </c>
    </row>
    <row r="51" spans="1:23">
      <c r="A51" s="668" t="s">
        <v>705</v>
      </c>
      <c r="B51" s="665">
        <v>1971</v>
      </c>
      <c r="C51" s="666">
        <v>119855</v>
      </c>
      <c r="D51" s="666">
        <v>112818</v>
      </c>
      <c r="E51" s="666">
        <v>102999</v>
      </c>
      <c r="F51" s="667">
        <v>94659</v>
      </c>
      <c r="G51" s="666">
        <v>30892</v>
      </c>
      <c r="H51" s="666"/>
      <c r="I51" s="666"/>
      <c r="J51" s="666"/>
      <c r="K51" s="666"/>
      <c r="L51" s="666"/>
      <c r="M51" s="700"/>
      <c r="O51" s="701"/>
      <c r="P51" s="700"/>
      <c r="R51" s="701"/>
      <c r="S51" s="666"/>
      <c r="U51" s="813">
        <v>52410</v>
      </c>
      <c r="V51" s="624">
        <v>37811</v>
      </c>
      <c r="W51" s="808">
        <v>14599</v>
      </c>
    </row>
    <row r="52" spans="1:23">
      <c r="A52" s="668" t="s">
        <v>706</v>
      </c>
      <c r="B52" s="665">
        <v>1972</v>
      </c>
      <c r="C52" s="666">
        <v>136289</v>
      </c>
      <c r="D52" s="666">
        <v>128142</v>
      </c>
      <c r="E52" s="666">
        <v>111835</v>
      </c>
      <c r="F52" s="667">
        <v>102204</v>
      </c>
      <c r="G52" s="666">
        <v>32710</v>
      </c>
      <c r="H52" s="666"/>
      <c r="I52" s="666"/>
      <c r="J52" s="666"/>
      <c r="S52" s="666"/>
    </row>
    <row r="53" spans="1:23">
      <c r="A53" s="668" t="s">
        <v>707</v>
      </c>
      <c r="B53" s="665">
        <v>1973</v>
      </c>
      <c r="C53" s="666">
        <v>166024</v>
      </c>
      <c r="D53" s="666">
        <v>156327</v>
      </c>
      <c r="E53" s="666">
        <v>139066</v>
      </c>
      <c r="F53" s="667">
        <v>125264</v>
      </c>
      <c r="G53" s="666">
        <v>37670</v>
      </c>
      <c r="H53" s="666"/>
      <c r="I53" s="666"/>
      <c r="J53" s="666"/>
      <c r="S53" s="666"/>
    </row>
    <row r="54" spans="1:23">
      <c r="A54" s="668" t="s">
        <v>708</v>
      </c>
      <c r="B54" s="665">
        <v>1974</v>
      </c>
      <c r="C54" s="666">
        <v>205278</v>
      </c>
      <c r="D54" s="666">
        <v>196139</v>
      </c>
      <c r="E54" s="666">
        <v>164470</v>
      </c>
      <c r="F54" s="667">
        <v>147500</v>
      </c>
      <c r="G54" s="666">
        <v>47915</v>
      </c>
      <c r="H54" s="666"/>
      <c r="I54" s="666"/>
      <c r="J54" s="666"/>
      <c r="S54" s="666"/>
    </row>
    <row r="55" spans="1:23">
      <c r="A55" s="668" t="s">
        <v>709</v>
      </c>
      <c r="B55" s="665">
        <v>1975</v>
      </c>
      <c r="C55" s="666">
        <v>224463</v>
      </c>
      <c r="D55" s="666">
        <v>211561</v>
      </c>
      <c r="E55" s="666">
        <v>185843</v>
      </c>
      <c r="F55" s="667">
        <v>167580</v>
      </c>
      <c r="G55" s="666">
        <v>52515</v>
      </c>
      <c r="H55" s="666"/>
      <c r="I55" s="666"/>
      <c r="J55" s="666"/>
    </row>
    <row r="56" spans="1:23">
      <c r="A56" s="668" t="s">
        <v>710</v>
      </c>
      <c r="B56" s="665">
        <v>1976</v>
      </c>
      <c r="C56" s="666">
        <v>244718</v>
      </c>
      <c r="D56" s="666">
        <v>232983</v>
      </c>
      <c r="E56" s="666">
        <v>203013</v>
      </c>
      <c r="F56" s="667">
        <v>181421</v>
      </c>
      <c r="G56" s="666">
        <v>58279</v>
      </c>
      <c r="H56" s="666"/>
      <c r="I56" s="666"/>
      <c r="J56" s="666"/>
    </row>
    <row r="57" spans="1:23">
      <c r="A57" s="668" t="s">
        <v>711</v>
      </c>
      <c r="B57" s="665">
        <v>1977</v>
      </c>
      <c r="C57" s="666">
        <v>286892</v>
      </c>
      <c r="D57" s="666">
        <v>268149</v>
      </c>
      <c r="E57" s="666">
        <v>234700</v>
      </c>
      <c r="F57" s="667">
        <v>206269</v>
      </c>
      <c r="G57" s="666">
        <v>62509</v>
      </c>
      <c r="H57" s="666"/>
      <c r="I57" s="666"/>
      <c r="J57" s="666"/>
    </row>
    <row r="58" spans="1:23">
      <c r="A58" s="668" t="s">
        <v>712</v>
      </c>
      <c r="B58" s="665">
        <v>1978</v>
      </c>
      <c r="C58" s="666">
        <v>290905</v>
      </c>
      <c r="D58" s="666">
        <v>275218</v>
      </c>
      <c r="E58" s="666">
        <v>237788</v>
      </c>
      <c r="F58" s="667">
        <v>205018</v>
      </c>
      <c r="G58" s="666">
        <v>64341</v>
      </c>
      <c r="H58" s="666"/>
      <c r="I58" s="666"/>
      <c r="J58" s="666"/>
    </row>
    <row r="59" spans="1:23">
      <c r="A59" s="668" t="s">
        <v>713</v>
      </c>
      <c r="B59" s="665">
        <v>1979</v>
      </c>
      <c r="C59" s="666">
        <v>295030</v>
      </c>
      <c r="D59" s="666">
        <v>281411</v>
      </c>
      <c r="E59" s="666">
        <v>247300</v>
      </c>
      <c r="F59" s="667">
        <v>213625</v>
      </c>
      <c r="G59" s="666">
        <v>68803</v>
      </c>
      <c r="H59" s="666"/>
      <c r="I59" s="666"/>
      <c r="J59" s="666"/>
    </row>
    <row r="60" spans="1:23">
      <c r="A60" s="668" t="s">
        <v>714</v>
      </c>
      <c r="B60" s="665">
        <v>1980</v>
      </c>
      <c r="C60" s="666">
        <v>316921</v>
      </c>
      <c r="D60" s="666">
        <v>299550</v>
      </c>
      <c r="E60" s="666">
        <v>263393</v>
      </c>
      <c r="F60" s="667">
        <v>227032</v>
      </c>
      <c r="G60" s="666">
        <v>71775</v>
      </c>
      <c r="H60" s="666"/>
      <c r="I60" s="666"/>
      <c r="J60" s="666"/>
    </row>
    <row r="61" spans="1:23">
      <c r="A61" s="668" t="s">
        <v>715</v>
      </c>
      <c r="B61" s="665">
        <v>1981</v>
      </c>
      <c r="C61" s="666">
        <v>329459</v>
      </c>
      <c r="D61" s="666">
        <v>313418</v>
      </c>
      <c r="E61" s="666">
        <v>271981</v>
      </c>
      <c r="F61" s="667">
        <v>232066</v>
      </c>
      <c r="G61" s="666">
        <v>73801</v>
      </c>
      <c r="H61" s="666"/>
      <c r="I61" s="666"/>
      <c r="J61" s="666"/>
    </row>
    <row r="62" spans="1:23">
      <c r="A62" s="668" t="s">
        <v>716</v>
      </c>
      <c r="B62" s="665">
        <v>1982</v>
      </c>
      <c r="C62" s="666">
        <v>384420</v>
      </c>
      <c r="D62" s="666">
        <v>366359</v>
      </c>
      <c r="E62" s="666">
        <v>316916</v>
      </c>
      <c r="F62" s="667">
        <v>262526</v>
      </c>
      <c r="G62" s="666">
        <v>77937</v>
      </c>
      <c r="H62" s="666"/>
      <c r="I62" s="666"/>
      <c r="J62" s="666"/>
    </row>
    <row r="63" spans="1:23">
      <c r="A63" s="668" t="s">
        <v>717</v>
      </c>
      <c r="B63" s="665">
        <v>1983</v>
      </c>
      <c r="C63" s="666">
        <v>407503</v>
      </c>
      <c r="D63" s="666">
        <v>388786</v>
      </c>
      <c r="E63" s="666">
        <v>340191</v>
      </c>
      <c r="F63" s="667">
        <v>276298</v>
      </c>
      <c r="G63" s="666">
        <v>79854</v>
      </c>
      <c r="H63" s="666"/>
      <c r="I63" s="666"/>
      <c r="J63" s="666"/>
      <c r="S63" s="666"/>
    </row>
    <row r="64" spans="1:23">
      <c r="A64" s="668" t="s">
        <v>718</v>
      </c>
      <c r="B64" s="665">
        <v>1984</v>
      </c>
      <c r="C64" s="666">
        <v>444354</v>
      </c>
      <c r="D64" s="666">
        <v>425193</v>
      </c>
      <c r="E64" s="666">
        <v>378766</v>
      </c>
      <c r="F64" s="667">
        <v>295073</v>
      </c>
      <c r="G64" s="666">
        <v>79593</v>
      </c>
      <c r="H64" s="666"/>
      <c r="I64" s="666"/>
      <c r="J64" s="666"/>
      <c r="S64" s="666"/>
    </row>
    <row r="65" spans="1:19">
      <c r="A65" s="668" t="s">
        <v>719</v>
      </c>
      <c r="B65" s="665">
        <v>1985</v>
      </c>
      <c r="C65" s="666">
        <v>461949</v>
      </c>
      <c r="D65" s="666">
        <v>437220</v>
      </c>
      <c r="E65" s="666">
        <v>392901</v>
      </c>
      <c r="F65" s="667">
        <v>314342</v>
      </c>
      <c r="G65" s="666">
        <v>82747</v>
      </c>
      <c r="H65" s="666"/>
      <c r="I65" s="666"/>
      <c r="J65" s="666"/>
      <c r="S65" s="666"/>
    </row>
    <row r="66" spans="1:19">
      <c r="A66" s="669" t="s">
        <v>720</v>
      </c>
      <c r="B66" s="665">
        <v>1986</v>
      </c>
      <c r="C66" s="666">
        <v>423574</v>
      </c>
      <c r="D66" s="666">
        <v>400961</v>
      </c>
      <c r="E66" s="666">
        <v>347663</v>
      </c>
      <c r="F66" s="667">
        <v>279889</v>
      </c>
      <c r="G66" s="666">
        <v>78314</v>
      </c>
      <c r="H66" s="666"/>
      <c r="I66" s="666"/>
      <c r="J66" s="666"/>
      <c r="S66" s="666"/>
    </row>
    <row r="67" spans="1:19">
      <c r="A67" s="669" t="s">
        <v>721</v>
      </c>
      <c r="B67" s="665">
        <v>1987</v>
      </c>
      <c r="C67" s="666">
        <v>421920</v>
      </c>
      <c r="D67" s="666">
        <v>396464</v>
      </c>
      <c r="E67" s="666">
        <v>360378</v>
      </c>
      <c r="F67" s="667">
        <v>300910</v>
      </c>
      <c r="G67" s="666">
        <v>79367</v>
      </c>
      <c r="H67" s="666"/>
      <c r="I67" s="666"/>
      <c r="J67" s="666"/>
      <c r="S67" s="666"/>
    </row>
    <row r="68" spans="1:19">
      <c r="A68" s="669" t="s">
        <v>722</v>
      </c>
      <c r="B68" s="665">
        <v>1988</v>
      </c>
      <c r="C68" s="666">
        <v>454411</v>
      </c>
      <c r="D68" s="666">
        <v>429105</v>
      </c>
      <c r="E68" s="666">
        <v>375650</v>
      </c>
      <c r="F68" s="667">
        <v>302132</v>
      </c>
      <c r="G68" s="666">
        <v>80913</v>
      </c>
      <c r="H68" s="666"/>
      <c r="I68" s="666"/>
      <c r="J68" s="666"/>
      <c r="S68" s="666"/>
    </row>
    <row r="69" spans="1:19">
      <c r="A69" s="669" t="s">
        <v>723</v>
      </c>
      <c r="B69" s="665">
        <v>1989</v>
      </c>
      <c r="C69" s="666">
        <v>405317</v>
      </c>
      <c r="D69" s="666">
        <v>378276</v>
      </c>
      <c r="E69" s="666">
        <v>356272</v>
      </c>
      <c r="F69" s="667">
        <v>308399</v>
      </c>
      <c r="G69" s="666">
        <v>83545</v>
      </c>
      <c r="H69" s="666"/>
      <c r="I69" s="666"/>
      <c r="J69" s="666"/>
      <c r="S69" s="666"/>
    </row>
    <row r="70" spans="1:19">
      <c r="A70" s="668" t="s">
        <v>724</v>
      </c>
      <c r="B70" s="665">
        <v>1990</v>
      </c>
      <c r="C70" s="666">
        <v>410389</v>
      </c>
      <c r="D70" s="666">
        <v>382217</v>
      </c>
      <c r="E70" s="666">
        <v>335292</v>
      </c>
      <c r="F70" s="667">
        <v>289932</v>
      </c>
      <c r="G70" s="666">
        <v>78855</v>
      </c>
      <c r="H70" s="666"/>
      <c r="I70" s="666"/>
      <c r="J70" s="666"/>
      <c r="S70" s="666"/>
    </row>
    <row r="71" spans="1:19">
      <c r="A71" s="668" t="s">
        <v>725</v>
      </c>
      <c r="B71" s="665">
        <v>1991</v>
      </c>
      <c r="C71" s="666">
        <v>464196</v>
      </c>
      <c r="D71" s="666">
        <v>436660</v>
      </c>
      <c r="E71" s="666">
        <v>377846</v>
      </c>
      <c r="F71" s="667">
        <v>316017</v>
      </c>
      <c r="G71" s="666">
        <v>86412</v>
      </c>
      <c r="H71" s="666"/>
      <c r="I71" s="666"/>
      <c r="J71" s="666"/>
      <c r="S71" s="666"/>
    </row>
    <row r="72" spans="1:19">
      <c r="A72" s="668" t="s">
        <v>726</v>
      </c>
      <c r="B72" s="665">
        <v>1992</v>
      </c>
      <c r="C72" s="666">
        <v>484887</v>
      </c>
      <c r="D72" s="666">
        <v>453740</v>
      </c>
      <c r="E72" s="666">
        <v>401823</v>
      </c>
      <c r="F72" s="667">
        <v>328550</v>
      </c>
      <c r="G72" s="666">
        <v>87379</v>
      </c>
      <c r="H72" s="666"/>
      <c r="I72" s="666"/>
      <c r="J72" s="666"/>
      <c r="S72" s="666"/>
    </row>
    <row r="73" spans="1:19">
      <c r="A73" s="668" t="s">
        <v>727</v>
      </c>
      <c r="B73" s="665">
        <v>1993</v>
      </c>
      <c r="C73" s="666">
        <v>470586</v>
      </c>
      <c r="D73" s="666">
        <v>440849</v>
      </c>
      <c r="E73" s="666">
        <v>393664</v>
      </c>
      <c r="F73" s="667">
        <v>330001</v>
      </c>
      <c r="G73" s="666">
        <v>85652</v>
      </c>
      <c r="H73" s="666"/>
      <c r="I73" s="666"/>
      <c r="J73" s="666"/>
      <c r="S73" s="666"/>
    </row>
    <row r="74" spans="1:19">
      <c r="A74" s="668" t="s">
        <v>728</v>
      </c>
      <c r="B74" s="665">
        <v>1994</v>
      </c>
      <c r="C74" s="666">
        <v>520099</v>
      </c>
      <c r="D74" s="666">
        <v>478869</v>
      </c>
      <c r="E74" s="666">
        <v>423063</v>
      </c>
      <c r="F74" s="667">
        <v>357114</v>
      </c>
      <c r="G74" s="666">
        <v>87153</v>
      </c>
      <c r="H74" s="666"/>
      <c r="I74" s="666"/>
      <c r="J74" s="666"/>
      <c r="S74" s="666"/>
    </row>
    <row r="75" spans="1:19">
      <c r="A75" s="668" t="s">
        <v>729</v>
      </c>
      <c r="B75" s="665">
        <v>1995</v>
      </c>
      <c r="C75" s="666">
        <v>618295</v>
      </c>
      <c r="D75" s="666">
        <v>572175</v>
      </c>
      <c r="E75" s="666">
        <v>478357</v>
      </c>
      <c r="F75" s="667">
        <v>391274</v>
      </c>
      <c r="G75" s="666">
        <v>83517</v>
      </c>
      <c r="H75" s="666"/>
      <c r="I75" s="666"/>
      <c r="J75" s="666"/>
      <c r="S75" s="666"/>
    </row>
    <row r="76" spans="1:19">
      <c r="A76" s="668" t="s">
        <v>730</v>
      </c>
      <c r="B76" s="665">
        <v>1996</v>
      </c>
      <c r="C76" s="666">
        <v>569956</v>
      </c>
      <c r="D76" s="666">
        <v>536390</v>
      </c>
      <c r="E76" s="666">
        <v>442694</v>
      </c>
      <c r="F76" s="667">
        <v>357475</v>
      </c>
      <c r="G76" s="666">
        <v>83334</v>
      </c>
      <c r="H76" s="666"/>
      <c r="I76" s="666"/>
      <c r="J76" s="666"/>
      <c r="S76" s="666"/>
    </row>
    <row r="77" spans="1:19">
      <c r="A77" s="668" t="s">
        <v>731</v>
      </c>
      <c r="B77" s="665">
        <v>1997</v>
      </c>
      <c r="C77" s="666">
        <v>580768</v>
      </c>
      <c r="D77" s="666">
        <v>544516</v>
      </c>
      <c r="E77" s="666">
        <v>461186</v>
      </c>
      <c r="F77" s="667">
        <v>371046</v>
      </c>
      <c r="G77" s="666">
        <v>86203</v>
      </c>
      <c r="H77" s="666"/>
      <c r="I77" s="666"/>
      <c r="J77" s="666"/>
      <c r="S77" s="666"/>
    </row>
    <row r="78" spans="1:19">
      <c r="A78" s="668" t="s">
        <v>732</v>
      </c>
      <c r="B78" s="665">
        <v>1998</v>
      </c>
      <c r="C78" s="666">
        <v>574706</v>
      </c>
      <c r="D78" s="666">
        <v>491421</v>
      </c>
      <c r="E78" s="666">
        <v>446458</v>
      </c>
      <c r="F78" s="667">
        <v>366387</v>
      </c>
      <c r="G78" s="666">
        <v>90636</v>
      </c>
      <c r="H78" s="666"/>
      <c r="I78" s="666"/>
      <c r="J78" s="666"/>
      <c r="S78" s="666"/>
    </row>
    <row r="79" spans="1:19">
      <c r="A79" s="668" t="s">
        <v>733</v>
      </c>
      <c r="B79" s="665">
        <v>1999</v>
      </c>
      <c r="C79" s="666">
        <v>484719</v>
      </c>
      <c r="D79" s="666">
        <v>436177</v>
      </c>
      <c r="E79" s="666">
        <v>445380</v>
      </c>
      <c r="F79" s="667">
        <v>374607</v>
      </c>
      <c r="G79" s="666">
        <v>89618</v>
      </c>
      <c r="H79" s="666"/>
      <c r="I79" s="666"/>
      <c r="S79" s="666"/>
    </row>
    <row r="80" spans="1:19">
      <c r="A80" s="668" t="s">
        <v>734</v>
      </c>
      <c r="B80" s="665">
        <v>2000</v>
      </c>
      <c r="C80" s="666">
        <v>456470</v>
      </c>
      <c r="D80" s="666">
        <v>406664</v>
      </c>
      <c r="E80" s="666">
        <v>405937</v>
      </c>
      <c r="F80" s="667">
        <v>340223</v>
      </c>
      <c r="G80" s="666">
        <v>84165</v>
      </c>
      <c r="H80" s="666"/>
      <c r="I80" s="666"/>
      <c r="S80" s="666"/>
    </row>
    <row r="81" spans="1:19">
      <c r="A81" s="668" t="s">
        <v>735</v>
      </c>
      <c r="B81" s="670">
        <v>2001</v>
      </c>
      <c r="C81" s="666">
        <v>471591</v>
      </c>
      <c r="D81" s="666">
        <v>427279</v>
      </c>
      <c r="E81" s="666">
        <v>401902</v>
      </c>
      <c r="F81" s="667">
        <v>327449</v>
      </c>
      <c r="G81" s="666">
        <v>79753</v>
      </c>
      <c r="H81" s="666"/>
      <c r="I81" s="666"/>
      <c r="S81" s="666"/>
    </row>
    <row r="82" spans="1:19">
      <c r="A82" s="668" t="s">
        <v>736</v>
      </c>
      <c r="B82" s="670">
        <v>2002</v>
      </c>
      <c r="C82" s="666">
        <v>419629</v>
      </c>
      <c r="D82" s="666">
        <v>390198</v>
      </c>
      <c r="E82" s="666">
        <v>387747</v>
      </c>
      <c r="F82" s="667">
        <v>327625</v>
      </c>
      <c r="G82" s="666">
        <v>78923</v>
      </c>
      <c r="H82" s="666"/>
      <c r="I82" s="666"/>
      <c r="S82" s="666"/>
    </row>
    <row r="83" spans="1:19">
      <c r="A83" s="668" t="s">
        <v>737</v>
      </c>
      <c r="B83" s="670">
        <v>2003</v>
      </c>
      <c r="C83" s="666">
        <v>481826</v>
      </c>
      <c r="D83" s="666">
        <v>454102</v>
      </c>
      <c r="E83" s="666">
        <v>402264</v>
      </c>
      <c r="F83" s="667">
        <v>325353</v>
      </c>
      <c r="G83" s="666">
        <v>79796</v>
      </c>
      <c r="H83" s="666"/>
      <c r="I83" s="666"/>
      <c r="S83" s="666"/>
    </row>
    <row r="84" spans="1:19">
      <c r="A84" s="668" t="s">
        <v>738</v>
      </c>
      <c r="B84" s="670">
        <v>2004</v>
      </c>
      <c r="C84" s="666">
        <v>416325</v>
      </c>
      <c r="D84" s="666">
        <v>395058</v>
      </c>
      <c r="E84" s="666">
        <v>340068</v>
      </c>
      <c r="F84" s="667">
        <v>283042</v>
      </c>
      <c r="G84" s="666">
        <v>71176</v>
      </c>
      <c r="H84" s="666"/>
      <c r="I84" s="666"/>
      <c r="S84" s="666"/>
    </row>
    <row r="85" spans="1:19">
      <c r="S85" s="666"/>
    </row>
  </sheetData>
  <phoneticPr fontId="13"/>
  <pageMargins left="0.75" right="0.75" top="1" bottom="1" header="0.51200000000000001" footer="0.51200000000000001"/>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dimension ref="A1:BA123"/>
  <sheetViews>
    <sheetView workbookViewId="0">
      <pane xSplit="8" ySplit="5" topLeftCell="AN6" activePane="bottomRight" state="frozen"/>
      <selection pane="topRight" activeCell="I1" sqref="I1"/>
      <selection pane="bottomLeft" activeCell="A6" sqref="A6"/>
      <selection pane="bottomRight" activeCell="BC13" sqref="BC13"/>
    </sheetView>
  </sheetViews>
  <sheetFormatPr defaultColWidth="5.42578125" defaultRowHeight="11"/>
  <cols>
    <col min="1" max="1" width="4.7109375" style="14" customWidth="1"/>
    <col min="2" max="2" width="3.0703125" style="14" customWidth="1"/>
    <col min="3" max="3" width="7.7109375" style="14" customWidth="1"/>
    <col min="4" max="8" width="7.7109375" style="1" hidden="1" customWidth="1"/>
    <col min="9" max="25" width="7.7109375" style="1" customWidth="1"/>
    <col min="26" max="28" width="7.7109375" style="14" customWidth="1"/>
    <col min="29" max="29" width="7.5703125" style="14" customWidth="1"/>
    <col min="30" max="47" width="8.0703125" style="14" customWidth="1"/>
    <col min="48" max="48" width="3.2109375" style="14" customWidth="1"/>
    <col min="49" max="49" width="8.0703125" style="14" customWidth="1"/>
    <col min="50" max="16384" width="5.42578125" style="14"/>
  </cols>
  <sheetData>
    <row r="1" spans="1:53" s="5" customFormat="1" ht="12" customHeight="1">
      <c r="C1" s="31" t="s">
        <v>213</v>
      </c>
      <c r="D1" s="14" t="s">
        <v>268</v>
      </c>
      <c r="E1" s="1" t="s">
        <v>268</v>
      </c>
      <c r="F1" s="1" t="s">
        <v>268</v>
      </c>
      <c r="G1" s="1" t="s">
        <v>268</v>
      </c>
      <c r="H1" s="1" t="s">
        <v>268</v>
      </c>
      <c r="I1" s="14" t="s">
        <v>268</v>
      </c>
      <c r="J1" s="14" t="s">
        <v>265</v>
      </c>
      <c r="K1" s="14" t="s">
        <v>265</v>
      </c>
      <c r="L1" s="14" t="s">
        <v>265</v>
      </c>
      <c r="M1" s="14" t="s">
        <v>265</v>
      </c>
      <c r="N1" s="14" t="s">
        <v>268</v>
      </c>
      <c r="O1" s="14" t="s">
        <v>265</v>
      </c>
      <c r="P1" s="14" t="s">
        <v>265</v>
      </c>
      <c r="Q1" s="14" t="s">
        <v>265</v>
      </c>
      <c r="R1" s="14" t="s">
        <v>265</v>
      </c>
      <c r="S1" s="1" t="s">
        <v>268</v>
      </c>
      <c r="T1" s="1" t="s">
        <v>265</v>
      </c>
      <c r="U1" s="1" t="s">
        <v>265</v>
      </c>
      <c r="V1" s="1" t="s">
        <v>265</v>
      </c>
      <c r="W1" s="1" t="s">
        <v>265</v>
      </c>
      <c r="X1" s="1" t="s">
        <v>265</v>
      </c>
      <c r="Y1" s="1" t="s">
        <v>268</v>
      </c>
      <c r="Z1" s="14" t="s">
        <v>265</v>
      </c>
      <c r="AA1" s="14" t="s">
        <v>265</v>
      </c>
      <c r="AB1" s="14" t="s">
        <v>265</v>
      </c>
      <c r="AC1" s="14" t="s">
        <v>265</v>
      </c>
      <c r="AD1" s="695" t="s">
        <v>268</v>
      </c>
      <c r="AE1" s="386" t="s">
        <v>265</v>
      </c>
      <c r="AF1" s="386" t="s">
        <v>265</v>
      </c>
      <c r="AG1" s="386" t="s">
        <v>265</v>
      </c>
      <c r="AH1" s="386" t="s">
        <v>265</v>
      </c>
      <c r="AI1" s="695" t="s">
        <v>268</v>
      </c>
      <c r="AJ1" s="386" t="s">
        <v>265</v>
      </c>
      <c r="AK1" s="386" t="s">
        <v>265</v>
      </c>
      <c r="AL1" s="386" t="s">
        <v>265</v>
      </c>
      <c r="AM1" s="386" t="s">
        <v>265</v>
      </c>
      <c r="AN1" s="694" t="s">
        <v>1261</v>
      </c>
      <c r="AO1" s="386" t="s">
        <v>265</v>
      </c>
      <c r="AP1" s="386" t="s">
        <v>265</v>
      </c>
      <c r="AQ1" s="386" t="s">
        <v>265</v>
      </c>
      <c r="AR1" s="386" t="s">
        <v>265</v>
      </c>
      <c r="AS1" s="386" t="s">
        <v>265</v>
      </c>
      <c r="AT1" s="523"/>
      <c r="AU1" s="523"/>
      <c r="AW1" s="386" t="s">
        <v>265</v>
      </c>
    </row>
    <row r="2" spans="1:53" ht="12" customHeight="1">
      <c r="D2" s="44">
        <v>1</v>
      </c>
      <c r="E2" s="44">
        <v>2</v>
      </c>
      <c r="F2" s="44">
        <v>3</v>
      </c>
      <c r="G2" s="44">
        <v>4</v>
      </c>
      <c r="H2" s="44">
        <v>5</v>
      </c>
      <c r="I2" s="44">
        <v>6</v>
      </c>
      <c r="J2" s="44"/>
      <c r="K2" s="44"/>
      <c r="L2" s="44"/>
      <c r="M2" s="44"/>
      <c r="N2" s="44">
        <v>7</v>
      </c>
      <c r="O2" s="44"/>
      <c r="P2" s="44"/>
      <c r="Q2" s="44"/>
      <c r="R2" s="44"/>
      <c r="S2" s="44">
        <v>8</v>
      </c>
      <c r="T2" s="44"/>
      <c r="U2" s="44"/>
      <c r="V2" s="44"/>
      <c r="W2" s="44" t="s">
        <v>266</v>
      </c>
      <c r="X2" s="44"/>
      <c r="Y2" s="44">
        <v>9</v>
      </c>
      <c r="AD2" s="356" t="s">
        <v>116</v>
      </c>
      <c r="AE2" s="694" t="s">
        <v>1262</v>
      </c>
      <c r="AF2" s="694" t="s">
        <v>1262</v>
      </c>
      <c r="AG2" s="694" t="s">
        <v>1262</v>
      </c>
      <c r="AH2" s="694" t="s">
        <v>1262</v>
      </c>
      <c r="AI2" s="385"/>
      <c r="AJ2" s="385"/>
      <c r="AK2" s="385"/>
      <c r="AL2" s="385"/>
      <c r="AM2" s="385"/>
      <c r="AN2" s="385"/>
      <c r="AO2" s="694" t="s">
        <v>1263</v>
      </c>
      <c r="AP2" s="694" t="s">
        <v>1263</v>
      </c>
      <c r="AQ2" s="694" t="s">
        <v>1263</v>
      </c>
      <c r="AR2" s="694" t="s">
        <v>1263</v>
      </c>
      <c r="AS2" s="694" t="s">
        <v>1263</v>
      </c>
      <c r="AT2" s="1474" t="s">
        <v>1201</v>
      </c>
      <c r="AU2" s="1474" t="s">
        <v>1201</v>
      </c>
      <c r="AW2" s="694" t="s">
        <v>1263</v>
      </c>
    </row>
    <row r="3" spans="1:53" s="4" customFormat="1" ht="45" customHeight="1">
      <c r="B3" s="2314" t="s">
        <v>167</v>
      </c>
      <c r="C3" s="2315"/>
      <c r="D3" s="9" t="s">
        <v>244</v>
      </c>
      <c r="E3" s="9" t="s">
        <v>245</v>
      </c>
      <c r="F3" s="9" t="s">
        <v>246</v>
      </c>
      <c r="G3" s="9" t="s">
        <v>247</v>
      </c>
      <c r="H3" s="2" t="s">
        <v>214</v>
      </c>
      <c r="I3" s="2" t="s">
        <v>215</v>
      </c>
      <c r="J3" s="9" t="s">
        <v>279</v>
      </c>
      <c r="K3" s="9" t="s">
        <v>280</v>
      </c>
      <c r="L3" s="9" t="s">
        <v>281</v>
      </c>
      <c r="M3" s="9" t="s">
        <v>282</v>
      </c>
      <c r="N3" s="9" t="s">
        <v>216</v>
      </c>
      <c r="O3" s="2" t="s">
        <v>255</v>
      </c>
      <c r="P3" s="2" t="s">
        <v>256</v>
      </c>
      <c r="Q3" s="2" t="s">
        <v>257</v>
      </c>
      <c r="R3" s="2" t="s">
        <v>258</v>
      </c>
      <c r="S3" s="43" t="s">
        <v>217</v>
      </c>
      <c r="T3" s="2" t="s">
        <v>259</v>
      </c>
      <c r="U3" s="2" t="s">
        <v>260</v>
      </c>
      <c r="V3" s="2" t="s">
        <v>261</v>
      </c>
      <c r="W3" s="2" t="s">
        <v>267</v>
      </c>
      <c r="X3" s="50" t="s">
        <v>278</v>
      </c>
      <c r="Y3" s="2" t="s">
        <v>230</v>
      </c>
      <c r="Z3" s="2" t="s">
        <v>262</v>
      </c>
      <c r="AA3" s="2" t="s">
        <v>263</v>
      </c>
      <c r="AB3" s="2" t="s">
        <v>264</v>
      </c>
      <c r="AC3" s="2" t="s">
        <v>832</v>
      </c>
      <c r="AD3" s="2" t="s">
        <v>871</v>
      </c>
      <c r="AE3" s="2" t="s">
        <v>98</v>
      </c>
      <c r="AF3" s="2" t="s">
        <v>107</v>
      </c>
      <c r="AG3" s="2" t="s">
        <v>597</v>
      </c>
      <c r="AH3" s="2" t="s">
        <v>488</v>
      </c>
      <c r="AI3" s="2" t="s">
        <v>847</v>
      </c>
      <c r="AJ3" s="2" t="s">
        <v>1022</v>
      </c>
      <c r="AK3" s="2" t="s">
        <v>1057</v>
      </c>
      <c r="AL3" s="2" t="s">
        <v>1095</v>
      </c>
      <c r="AM3" s="2" t="s">
        <v>1108</v>
      </c>
      <c r="AN3" s="2" t="s">
        <v>1134</v>
      </c>
      <c r="AO3" s="2" t="s">
        <v>1181</v>
      </c>
      <c r="AP3" s="2" t="s">
        <v>1217</v>
      </c>
      <c r="AQ3" s="2" t="s">
        <v>1550</v>
      </c>
      <c r="AR3" s="2" t="s">
        <v>1772</v>
      </c>
      <c r="AS3" s="2" t="s">
        <v>1771</v>
      </c>
      <c r="AT3" s="2" t="s">
        <v>1773</v>
      </c>
      <c r="AU3" s="2" t="s">
        <v>1814</v>
      </c>
      <c r="AW3" s="2" t="s">
        <v>1773</v>
      </c>
    </row>
    <row r="4" spans="1:53" s="8" customFormat="1" ht="21" customHeight="1">
      <c r="A4" s="8" t="s">
        <v>318</v>
      </c>
      <c r="B4" s="2316" t="s">
        <v>168</v>
      </c>
      <c r="C4" s="2317"/>
      <c r="D4" s="10">
        <v>24016</v>
      </c>
      <c r="E4" s="10">
        <v>25842</v>
      </c>
      <c r="F4" s="10">
        <v>27668</v>
      </c>
      <c r="G4" s="10">
        <v>29495</v>
      </c>
      <c r="H4" s="3">
        <v>31321</v>
      </c>
      <c r="I4" s="3">
        <v>33147</v>
      </c>
      <c r="J4" s="10">
        <v>33512</v>
      </c>
      <c r="K4" s="10">
        <v>33878</v>
      </c>
      <c r="L4" s="10">
        <v>34243</v>
      </c>
      <c r="M4" s="10">
        <v>34608</v>
      </c>
      <c r="N4" s="10">
        <v>34973</v>
      </c>
      <c r="O4" s="3">
        <v>35339</v>
      </c>
      <c r="P4" s="3">
        <v>35704</v>
      </c>
      <c r="Q4" s="3">
        <v>36069</v>
      </c>
      <c r="R4" s="3">
        <v>36434</v>
      </c>
      <c r="S4" s="42">
        <v>36800</v>
      </c>
      <c r="T4" s="3">
        <v>37165</v>
      </c>
      <c r="U4" s="3">
        <v>37530</v>
      </c>
      <c r="V4" s="3">
        <v>37895</v>
      </c>
      <c r="W4" s="3">
        <v>38261</v>
      </c>
      <c r="X4" s="51">
        <v>38626</v>
      </c>
      <c r="Y4" s="3">
        <v>38626</v>
      </c>
      <c r="Z4" s="3">
        <v>38991</v>
      </c>
      <c r="AA4" s="3">
        <v>39356</v>
      </c>
      <c r="AB4" s="3">
        <v>39722</v>
      </c>
      <c r="AC4" s="3">
        <v>40087</v>
      </c>
      <c r="AD4" s="448">
        <v>40452</v>
      </c>
      <c r="AE4" s="448">
        <v>40817</v>
      </c>
      <c r="AF4" s="448">
        <v>41183</v>
      </c>
      <c r="AG4" s="448">
        <v>41548</v>
      </c>
      <c r="AH4" s="448">
        <v>41913</v>
      </c>
      <c r="AI4" s="569">
        <v>42278</v>
      </c>
      <c r="AJ4" s="569">
        <v>42644</v>
      </c>
      <c r="AK4" s="569">
        <v>43009</v>
      </c>
      <c r="AL4" s="569">
        <v>43374</v>
      </c>
      <c r="AM4" s="569" t="s">
        <v>1168</v>
      </c>
      <c r="AN4" s="569" t="s">
        <v>1135</v>
      </c>
      <c r="AO4" s="569" t="s">
        <v>1182</v>
      </c>
      <c r="AP4" s="569">
        <v>44835</v>
      </c>
      <c r="AQ4" s="569">
        <v>45200</v>
      </c>
      <c r="AR4" s="569">
        <v>45566</v>
      </c>
      <c r="AS4" s="569">
        <v>45931</v>
      </c>
      <c r="AT4" s="569">
        <v>46296</v>
      </c>
      <c r="AU4" s="569">
        <v>46661</v>
      </c>
      <c r="AW4" s="569">
        <v>46054</v>
      </c>
    </row>
    <row r="5" spans="1:53" s="33" customFormat="1" ht="12" customHeight="1">
      <c r="B5" s="2318" t="s">
        <v>169</v>
      </c>
      <c r="C5" s="2319"/>
      <c r="D5" s="2" t="s">
        <v>165</v>
      </c>
      <c r="E5" s="2" t="s">
        <v>165</v>
      </c>
      <c r="F5" s="2" t="s">
        <v>165</v>
      </c>
      <c r="G5" s="2" t="s">
        <v>165</v>
      </c>
      <c r="H5" s="2" t="s">
        <v>165</v>
      </c>
      <c r="I5" s="2" t="s">
        <v>165</v>
      </c>
      <c r="J5" s="9" t="s">
        <v>165</v>
      </c>
      <c r="K5" s="9" t="s">
        <v>165</v>
      </c>
      <c r="L5" s="9" t="s">
        <v>165</v>
      </c>
      <c r="M5" s="9" t="s">
        <v>165</v>
      </c>
      <c r="N5" s="9" t="s">
        <v>165</v>
      </c>
      <c r="O5" s="2" t="s">
        <v>165</v>
      </c>
      <c r="P5" s="2" t="s">
        <v>165</v>
      </c>
      <c r="Q5" s="2" t="s">
        <v>165</v>
      </c>
      <c r="R5" s="2" t="s">
        <v>165</v>
      </c>
      <c r="S5" s="43" t="s">
        <v>165</v>
      </c>
      <c r="T5" s="2" t="s">
        <v>165</v>
      </c>
      <c r="U5" s="2" t="s">
        <v>165</v>
      </c>
      <c r="V5" s="2" t="s">
        <v>165</v>
      </c>
      <c r="W5" s="2" t="s">
        <v>165</v>
      </c>
      <c r="X5" s="50" t="s">
        <v>165</v>
      </c>
      <c r="Y5" s="2" t="s">
        <v>165</v>
      </c>
      <c r="Z5" s="2" t="s">
        <v>165</v>
      </c>
      <c r="AA5" s="2" t="s">
        <v>165</v>
      </c>
      <c r="AB5" s="2" t="s">
        <v>165</v>
      </c>
      <c r="AC5" s="2" t="s">
        <v>165</v>
      </c>
      <c r="AD5" s="2" t="s">
        <v>165</v>
      </c>
      <c r="AE5" s="2" t="s">
        <v>165</v>
      </c>
      <c r="AF5" s="2" t="s">
        <v>165</v>
      </c>
      <c r="AG5" s="2" t="s">
        <v>165</v>
      </c>
      <c r="AH5" s="2" t="s">
        <v>165</v>
      </c>
      <c r="AI5" s="2" t="s">
        <v>165</v>
      </c>
      <c r="AJ5" s="2" t="s">
        <v>165</v>
      </c>
      <c r="AK5" s="2" t="s">
        <v>165</v>
      </c>
      <c r="AL5" s="2" t="s">
        <v>165</v>
      </c>
      <c r="AM5" s="2" t="s">
        <v>165</v>
      </c>
      <c r="AN5" s="2" t="s">
        <v>165</v>
      </c>
      <c r="AO5" s="2" t="s">
        <v>165</v>
      </c>
      <c r="AP5" s="2" t="s">
        <v>165</v>
      </c>
      <c r="AQ5" s="2" t="s">
        <v>165</v>
      </c>
      <c r="AR5" s="2" t="s">
        <v>165</v>
      </c>
      <c r="AS5" s="2" t="s">
        <v>165</v>
      </c>
      <c r="AT5" s="2" t="s">
        <v>165</v>
      </c>
      <c r="AU5" s="2" t="s">
        <v>165</v>
      </c>
      <c r="AW5" s="2" t="s">
        <v>165</v>
      </c>
      <c r="AX5" s="33" t="s">
        <v>1264</v>
      </c>
      <c r="AY5" s="8"/>
      <c r="AZ5" s="8"/>
      <c r="BA5" s="8"/>
    </row>
    <row r="6" spans="1:53" s="6" customFormat="1" ht="11.25" customHeight="1">
      <c r="B6" s="12"/>
      <c r="C6" s="13"/>
      <c r="D6" s="11"/>
      <c r="E6" s="11"/>
      <c r="F6" s="11"/>
      <c r="G6" s="11"/>
      <c r="H6" s="11"/>
      <c r="I6" s="11">
        <v>1791672</v>
      </c>
      <c r="J6" s="11">
        <v>1825580</v>
      </c>
      <c r="K6" s="11">
        <v>1858584</v>
      </c>
      <c r="L6" s="11">
        <v>1890296</v>
      </c>
      <c r="M6" s="11">
        <v>1921633</v>
      </c>
      <c r="N6" s="11">
        <v>1871922</v>
      </c>
      <c r="O6" s="11">
        <v>1898632</v>
      </c>
      <c r="P6" s="11">
        <v>1934722</v>
      </c>
      <c r="Q6" s="11">
        <v>1972565</v>
      </c>
      <c r="R6" s="11">
        <v>1983728</v>
      </c>
      <c r="S6" s="11">
        <v>2040709</v>
      </c>
      <c r="T6" s="11">
        <v>2073072</v>
      </c>
      <c r="U6" s="11">
        <v>2100565</v>
      </c>
      <c r="V6" s="11">
        <v>2126404</v>
      </c>
      <c r="W6" s="11">
        <v>2150303</v>
      </c>
      <c r="X6" s="52"/>
      <c r="Y6" s="11">
        <v>2146488</v>
      </c>
      <c r="Z6" s="85">
        <v>2177405</v>
      </c>
      <c r="AA6" s="85">
        <v>2203303</v>
      </c>
      <c r="AB6" s="85">
        <v>2231209</v>
      </c>
      <c r="AC6" s="85">
        <v>2258048</v>
      </c>
      <c r="AD6" s="85">
        <v>2255318</v>
      </c>
      <c r="AE6" s="85">
        <v>2272618</v>
      </c>
      <c r="AF6" s="85">
        <v>2273985</v>
      </c>
      <c r="AG6" s="290">
        <v>2288479</v>
      </c>
      <c r="AH6" s="290">
        <v>2301120</v>
      </c>
      <c r="AI6" s="290">
        <f>AI7</f>
        <v>2315200</v>
      </c>
      <c r="AJ6" s="290">
        <v>2333242</v>
      </c>
      <c r="AK6" s="290">
        <v>2349217</v>
      </c>
      <c r="AL6" s="290">
        <v>2364596</v>
      </c>
      <c r="AM6" s="290">
        <v>2382855</v>
      </c>
      <c r="AN6" s="290">
        <f>AN7</f>
        <v>2402484</v>
      </c>
      <c r="AO6" s="290">
        <f>AO7</f>
        <v>2413953</v>
      </c>
      <c r="AP6" s="290">
        <f>AP7</f>
        <v>2430402</v>
      </c>
      <c r="AQ6" s="290"/>
      <c r="AR6" s="290"/>
      <c r="AS6" s="290"/>
      <c r="AT6" s="290"/>
      <c r="AU6" s="290"/>
      <c r="AW6" s="290"/>
      <c r="AX6" s="679" t="s">
        <v>1508</v>
      </c>
      <c r="AY6" s="8"/>
      <c r="AZ6" s="8"/>
      <c r="BA6" s="8"/>
    </row>
    <row r="7" spans="1:53" s="5" customFormat="1" ht="12" customHeight="1">
      <c r="B7" s="5" t="s">
        <v>170</v>
      </c>
      <c r="C7" s="7" t="s">
        <v>166</v>
      </c>
      <c r="D7" s="36">
        <v>1090934</v>
      </c>
      <c r="E7" s="36">
        <v>1269229</v>
      </c>
      <c r="F7" s="36">
        <v>1440612</v>
      </c>
      <c r="G7" s="36">
        <v>1592224</v>
      </c>
      <c r="H7" s="36">
        <v>1666482</v>
      </c>
      <c r="I7" s="36">
        <v>1791672</v>
      </c>
      <c r="J7" s="36">
        <f>J8+J18+J22+J28+J34+J41+J46+J54+J60+J63</f>
        <v>1825580</v>
      </c>
      <c r="K7" s="36">
        <f>K8+K18+K22+K28+K34+K41+K46+K54+K60+K63</f>
        <v>1858584</v>
      </c>
      <c r="L7" s="36">
        <f>L8+L18+L22+L28+L34+L41+L46+L54+L60+L63</f>
        <v>1890296</v>
      </c>
      <c r="M7" s="36">
        <f>M8+M18+M22+M28+M34+M41+M46+M54+M60+M63</f>
        <v>1921633</v>
      </c>
      <c r="N7" s="36">
        <f>N8+N18+N22+N28+N34+N41+N46+N54+N60+N63</f>
        <v>1871922</v>
      </c>
      <c r="O7" s="36">
        <f t="shared" ref="O7:AB7" si="0">O8+O18+O22+O28+O34+O41+O46+O54+O60+O63</f>
        <v>1898632</v>
      </c>
      <c r="P7" s="36">
        <f t="shared" si="0"/>
        <v>1934722</v>
      </c>
      <c r="Q7" s="36">
        <f t="shared" si="0"/>
        <v>1972565</v>
      </c>
      <c r="R7" s="36">
        <f t="shared" si="0"/>
        <v>1983728</v>
      </c>
      <c r="S7" s="36">
        <f t="shared" si="0"/>
        <v>2041696</v>
      </c>
      <c r="T7" s="36">
        <f t="shared" si="0"/>
        <v>2073072</v>
      </c>
      <c r="U7" s="36">
        <f t="shared" si="0"/>
        <v>2100565</v>
      </c>
      <c r="V7" s="36">
        <f t="shared" si="0"/>
        <v>2126404</v>
      </c>
      <c r="W7" s="36">
        <f t="shared" si="0"/>
        <v>2150303</v>
      </c>
      <c r="X7" s="53">
        <f>X8+X18+X22+X28+X34+X41+X46+X54+X60+X63</f>
        <v>2175239</v>
      </c>
      <c r="Y7" s="36">
        <f t="shared" si="0"/>
        <v>2146488</v>
      </c>
      <c r="Z7" s="36">
        <f t="shared" si="0"/>
        <v>2177405</v>
      </c>
      <c r="AA7" s="36">
        <f t="shared" si="0"/>
        <v>2203303</v>
      </c>
      <c r="AB7" s="36">
        <f t="shared" si="0"/>
        <v>2231209</v>
      </c>
      <c r="AC7" s="36">
        <f>AC8+AC18+AC22+AC28+AC34+AC41+AC46+AC54+AC60+AC63</f>
        <v>2258048</v>
      </c>
      <c r="AD7" s="289">
        <v>2255318</v>
      </c>
      <c r="AE7" s="289">
        <f t="shared" ref="AE7:AQ7" si="1">AE8+AE18+AE22+AE28+AE34+AE41+AE46+AE54+AE60+AE63</f>
        <v>2272618</v>
      </c>
      <c r="AF7" s="289">
        <f t="shared" si="1"/>
        <v>2273985</v>
      </c>
      <c r="AG7" s="289">
        <f t="shared" si="1"/>
        <v>2288479</v>
      </c>
      <c r="AH7" s="289">
        <f t="shared" si="1"/>
        <v>2301120</v>
      </c>
      <c r="AI7" s="289">
        <f t="shared" si="1"/>
        <v>2315200</v>
      </c>
      <c r="AJ7" s="1081">
        <f t="shared" si="1"/>
        <v>2333859</v>
      </c>
      <c r="AK7" s="1082">
        <f t="shared" si="1"/>
        <v>2350448</v>
      </c>
      <c r="AL7" s="1083">
        <f t="shared" si="1"/>
        <v>2366441</v>
      </c>
      <c r="AM7" s="1083">
        <f t="shared" si="1"/>
        <v>2385314</v>
      </c>
      <c r="AN7" s="1084">
        <f t="shared" si="1"/>
        <v>2402484</v>
      </c>
      <c r="AO7" s="1083">
        <f t="shared" si="1"/>
        <v>2413953</v>
      </c>
      <c r="AP7" s="289">
        <f t="shared" si="1"/>
        <v>2430402</v>
      </c>
      <c r="AQ7" s="289">
        <f t="shared" si="1"/>
        <v>2443174</v>
      </c>
      <c r="AR7" s="289">
        <f t="shared" ref="AR7:AU7" si="2">AR8+AR18+AR22+AR28+AR34+AR41+AR46+AR54+AR60+AR63</f>
        <v>2459517</v>
      </c>
      <c r="AS7" s="289">
        <f t="shared" si="2"/>
        <v>2475794</v>
      </c>
      <c r="AT7" s="289">
        <f t="shared" si="2"/>
        <v>2524151</v>
      </c>
      <c r="AU7" s="289">
        <f t="shared" si="2"/>
        <v>2572508</v>
      </c>
      <c r="AW7" s="1083">
        <v>2472319</v>
      </c>
      <c r="AX7" s="679">
        <f t="shared" ref="AX7:AX38" si="3">AW7-AR7</f>
        <v>12802</v>
      </c>
      <c r="AY7" s="8"/>
      <c r="AZ7" s="8"/>
      <c r="BA7" s="8"/>
    </row>
    <row r="8" spans="1:53" s="5" customFormat="1" ht="20.25" customHeight="1">
      <c r="B8" s="15">
        <v>100</v>
      </c>
      <c r="C8" s="7" t="s">
        <v>172</v>
      </c>
      <c r="D8" s="37">
        <v>331388</v>
      </c>
      <c r="E8" s="37">
        <v>377473</v>
      </c>
      <c r="F8" s="37">
        <v>427031</v>
      </c>
      <c r="G8" s="37">
        <v>462281</v>
      </c>
      <c r="H8" s="37">
        <v>487849</v>
      </c>
      <c r="I8" s="37">
        <v>539151</v>
      </c>
      <c r="J8" s="37">
        <f t="shared" ref="J8:V8" si="4">SUM(J9:J17)</f>
        <v>549086</v>
      </c>
      <c r="K8" s="37">
        <f t="shared" si="4"/>
        <v>559421</v>
      </c>
      <c r="L8" s="37">
        <f t="shared" si="4"/>
        <v>569206</v>
      </c>
      <c r="M8" s="37">
        <f t="shared" si="4"/>
        <v>578634</v>
      </c>
      <c r="N8" s="37">
        <f t="shared" si="4"/>
        <v>536508</v>
      </c>
      <c r="O8" s="37">
        <f t="shared" si="4"/>
        <v>541046</v>
      </c>
      <c r="P8" s="37">
        <f t="shared" si="4"/>
        <v>551798</v>
      </c>
      <c r="Q8" s="37">
        <f t="shared" si="4"/>
        <v>563374</v>
      </c>
      <c r="R8" s="37">
        <f t="shared" si="4"/>
        <v>574709</v>
      </c>
      <c r="S8" s="37">
        <f t="shared" si="4"/>
        <v>606162</v>
      </c>
      <c r="T8" s="37">
        <f t="shared" si="4"/>
        <v>618243</v>
      </c>
      <c r="U8" s="37">
        <f t="shared" si="4"/>
        <v>628280</v>
      </c>
      <c r="V8" s="37">
        <f t="shared" si="4"/>
        <v>637006</v>
      </c>
      <c r="W8" s="37">
        <f t="shared" ref="W8:AB8" si="5">SUM(W9:W17)</f>
        <v>644374</v>
      </c>
      <c r="X8" s="54">
        <f t="shared" si="5"/>
        <v>652341</v>
      </c>
      <c r="Y8" s="37">
        <f t="shared" si="5"/>
        <v>643351</v>
      </c>
      <c r="Z8" s="37">
        <f t="shared" si="5"/>
        <v>651992</v>
      </c>
      <c r="AA8" s="37">
        <f t="shared" si="5"/>
        <v>659078</v>
      </c>
      <c r="AB8" s="37">
        <f t="shared" si="5"/>
        <v>667425</v>
      </c>
      <c r="AC8" s="37">
        <f>SUM(AC9:AC17)</f>
        <v>676547</v>
      </c>
      <c r="AD8" s="37">
        <v>684183</v>
      </c>
      <c r="AE8" s="37">
        <f t="shared" ref="AE8:AU8" si="6">SUM(AE9:AE17)</f>
        <v>690715</v>
      </c>
      <c r="AF8" s="37">
        <f t="shared" si="6"/>
        <v>688588</v>
      </c>
      <c r="AG8" s="37">
        <f t="shared" si="6"/>
        <v>694196</v>
      </c>
      <c r="AH8" s="37">
        <f t="shared" si="6"/>
        <v>699713</v>
      </c>
      <c r="AI8" s="37">
        <f t="shared" si="6"/>
        <v>705459</v>
      </c>
      <c r="AJ8" s="37">
        <f t="shared" si="6"/>
        <v>712553</v>
      </c>
      <c r="AK8" s="37">
        <f t="shared" si="6"/>
        <v>718183</v>
      </c>
      <c r="AL8" s="37">
        <f t="shared" si="6"/>
        <v>723705</v>
      </c>
      <c r="AM8" s="37">
        <f t="shared" si="6"/>
        <v>729466</v>
      </c>
      <c r="AN8" s="37">
        <f t="shared" si="6"/>
        <v>734920</v>
      </c>
      <c r="AO8" s="37">
        <f t="shared" si="6"/>
        <v>738314</v>
      </c>
      <c r="AP8" s="37">
        <f t="shared" si="6"/>
        <v>743089</v>
      </c>
      <c r="AQ8" s="37">
        <f t="shared" si="6"/>
        <v>745656</v>
      </c>
      <c r="AR8" s="37">
        <f t="shared" si="6"/>
        <v>750913</v>
      </c>
      <c r="AS8" s="37">
        <f t="shared" si="6"/>
        <v>756115</v>
      </c>
      <c r="AT8" s="37">
        <f t="shared" si="6"/>
        <v>769705</v>
      </c>
      <c r="AU8" s="37">
        <f t="shared" si="6"/>
        <v>783295</v>
      </c>
      <c r="AW8" s="37">
        <v>755416</v>
      </c>
      <c r="AX8" s="679">
        <f t="shared" si="3"/>
        <v>4503</v>
      </c>
      <c r="AY8" s="8"/>
      <c r="AZ8" s="8"/>
      <c r="BA8" s="8"/>
    </row>
    <row r="9" spans="1:53" ht="12.75" customHeight="1">
      <c r="A9" s="14">
        <v>1</v>
      </c>
      <c r="B9" s="16">
        <v>101</v>
      </c>
      <c r="C9" s="17" t="s">
        <v>173</v>
      </c>
      <c r="D9" s="37">
        <v>42046</v>
      </c>
      <c r="E9" s="37">
        <v>49247</v>
      </c>
      <c r="F9" s="37">
        <v>57370</v>
      </c>
      <c r="G9" s="37">
        <v>65129</v>
      </c>
      <c r="H9" s="37">
        <v>67535</v>
      </c>
      <c r="I9" s="37">
        <v>73582</v>
      </c>
      <c r="J9" s="37">
        <f>世帯数2!R5</f>
        <v>74737</v>
      </c>
      <c r="K9" s="37">
        <f>世帯数2!S5</f>
        <v>75767</v>
      </c>
      <c r="L9" s="37">
        <f>世帯数2!T5</f>
        <v>76542</v>
      </c>
      <c r="M9" s="37">
        <f>世帯数2!U5</f>
        <v>77077</v>
      </c>
      <c r="N9" s="37">
        <v>62906</v>
      </c>
      <c r="O9" s="37">
        <f>世帯数2!V5</f>
        <v>63373</v>
      </c>
      <c r="P9" s="37">
        <f>世帯数2!W5</f>
        <v>66783</v>
      </c>
      <c r="Q9" s="37">
        <f>世帯数2!X5</f>
        <v>69759</v>
      </c>
      <c r="R9" s="37">
        <f>世帯数2!Y5</f>
        <v>73728</v>
      </c>
      <c r="S9" s="38">
        <v>81896</v>
      </c>
      <c r="T9" s="38">
        <f>世帯数2!AA5</f>
        <v>84424</v>
      </c>
      <c r="U9" s="38">
        <f>世帯数2!AB5</f>
        <v>85976</v>
      </c>
      <c r="V9" s="38">
        <f>世帯数2!AC5</f>
        <v>87162</v>
      </c>
      <c r="W9" s="48">
        <v>88308</v>
      </c>
      <c r="X9" s="55">
        <v>89957</v>
      </c>
      <c r="Y9" s="38">
        <v>89749</v>
      </c>
      <c r="Z9" s="45">
        <v>90631</v>
      </c>
      <c r="AA9" s="45">
        <v>91154</v>
      </c>
      <c r="AB9" s="45">
        <v>92289</v>
      </c>
      <c r="AC9" s="45">
        <v>93275</v>
      </c>
      <c r="AD9" s="290">
        <v>94039</v>
      </c>
      <c r="AE9" s="522">
        <v>94897</v>
      </c>
      <c r="AF9" s="522">
        <v>94789</v>
      </c>
      <c r="AG9" s="522">
        <v>95816</v>
      </c>
      <c r="AH9" s="522">
        <v>96320</v>
      </c>
      <c r="AI9" s="290">
        <v>97265</v>
      </c>
      <c r="AJ9" s="1085">
        <v>98359</v>
      </c>
      <c r="AK9" s="1085">
        <v>99443</v>
      </c>
      <c r="AL9" s="1086">
        <v>100375</v>
      </c>
      <c r="AM9" s="693">
        <v>101597</v>
      </c>
      <c r="AN9" s="1087">
        <v>102465</v>
      </c>
      <c r="AO9" s="693">
        <v>102911</v>
      </c>
      <c r="AP9" s="290">
        <v>103232</v>
      </c>
      <c r="AQ9" s="522">
        <v>103260</v>
      </c>
      <c r="AR9" s="522">
        <v>104251</v>
      </c>
      <c r="AS9" s="522">
        <v>105107</v>
      </c>
      <c r="AT9" s="289">
        <f>AS9+ROUND((AW9-AR9)/4*12,0)</f>
        <v>107756</v>
      </c>
      <c r="AU9" s="289">
        <f>AT9+(AT9-AS9)</f>
        <v>110405</v>
      </c>
      <c r="AW9" s="522">
        <v>105134</v>
      </c>
      <c r="AX9" s="679">
        <f t="shared" si="3"/>
        <v>883</v>
      </c>
      <c r="AY9" s="8"/>
      <c r="AZ9" s="8"/>
      <c r="BA9" s="8"/>
    </row>
    <row r="10" spans="1:53" ht="12.75" customHeight="1">
      <c r="A10" s="14">
        <v>1</v>
      </c>
      <c r="B10" s="16">
        <v>102</v>
      </c>
      <c r="C10" s="17" t="s">
        <v>174</v>
      </c>
      <c r="D10" s="37">
        <v>47533</v>
      </c>
      <c r="E10" s="37">
        <v>52490</v>
      </c>
      <c r="F10" s="37">
        <v>53901</v>
      </c>
      <c r="G10" s="37">
        <v>53361</v>
      </c>
      <c r="H10" s="37">
        <v>52432</v>
      </c>
      <c r="I10" s="37">
        <v>54809</v>
      </c>
      <c r="J10" s="37">
        <f>世帯数2!R6</f>
        <v>54806</v>
      </c>
      <c r="K10" s="37">
        <f>世帯数2!S6</f>
        <v>54932</v>
      </c>
      <c r="L10" s="37">
        <f>世帯数2!T6</f>
        <v>55205</v>
      </c>
      <c r="M10" s="37">
        <f>世帯数2!U6</f>
        <v>55397</v>
      </c>
      <c r="N10" s="37">
        <v>42063</v>
      </c>
      <c r="O10" s="37">
        <f>世帯数2!V6</f>
        <v>41698</v>
      </c>
      <c r="P10" s="37">
        <f>世帯数2!W6</f>
        <v>43308</v>
      </c>
      <c r="Q10" s="37">
        <f>世帯数2!X6</f>
        <v>45387</v>
      </c>
      <c r="R10" s="37">
        <f>世帯数2!Y6</f>
        <v>51245</v>
      </c>
      <c r="S10" s="38">
        <v>56560</v>
      </c>
      <c r="T10" s="38">
        <f>世帯数2!AA6</f>
        <v>58274</v>
      </c>
      <c r="U10" s="38">
        <f>世帯数2!AB6</f>
        <v>59380</v>
      </c>
      <c r="V10" s="38">
        <f>世帯数2!AC6</f>
        <v>60217</v>
      </c>
      <c r="W10" s="48">
        <v>61072</v>
      </c>
      <c r="X10" s="55">
        <v>61647</v>
      </c>
      <c r="Y10" s="38">
        <v>61377</v>
      </c>
      <c r="Z10" s="45">
        <v>61827</v>
      </c>
      <c r="AA10" s="45">
        <v>62552</v>
      </c>
      <c r="AB10" s="45">
        <v>62972</v>
      </c>
      <c r="AC10" s="45">
        <v>63822</v>
      </c>
      <c r="AD10" s="290">
        <v>65178</v>
      </c>
      <c r="AE10" s="522">
        <v>65833</v>
      </c>
      <c r="AF10" s="522">
        <v>65764</v>
      </c>
      <c r="AG10" s="522">
        <v>66080</v>
      </c>
      <c r="AH10" s="522">
        <v>66975</v>
      </c>
      <c r="AI10" s="290">
        <v>67407</v>
      </c>
      <c r="AJ10" s="1085">
        <v>68146</v>
      </c>
      <c r="AK10" s="1085">
        <v>68762</v>
      </c>
      <c r="AL10" s="1086">
        <v>69244</v>
      </c>
      <c r="AM10" s="693">
        <v>69769</v>
      </c>
      <c r="AN10" s="1087">
        <v>70009</v>
      </c>
      <c r="AO10" s="693">
        <v>70284</v>
      </c>
      <c r="AP10" s="290">
        <v>70844</v>
      </c>
      <c r="AQ10" s="522">
        <v>71220</v>
      </c>
      <c r="AR10" s="522">
        <v>71759</v>
      </c>
      <c r="AS10" s="522">
        <v>72368</v>
      </c>
      <c r="AT10" s="289">
        <f t="shared" ref="AT10:AT66" si="7">AS10+ROUND((AW10-AR10)/4*12,0)</f>
        <v>73889</v>
      </c>
      <c r="AU10" s="289">
        <f t="shared" ref="AU10:AU66" si="8">AT10+(AT10-AS10)</f>
        <v>75410</v>
      </c>
      <c r="AW10" s="522">
        <v>72266</v>
      </c>
      <c r="AX10" s="679">
        <f t="shared" si="3"/>
        <v>507</v>
      </c>
      <c r="AY10" s="8"/>
      <c r="AZ10" s="8"/>
      <c r="BA10" s="8"/>
    </row>
    <row r="11" spans="1:53" ht="12.75" customHeight="1">
      <c r="A11" s="14">
        <v>1</v>
      </c>
      <c r="B11" s="18">
        <v>110</v>
      </c>
      <c r="C11" s="17" t="s">
        <v>175</v>
      </c>
      <c r="D11" s="40">
        <v>49781</v>
      </c>
      <c r="E11" s="40">
        <v>47205</v>
      </c>
      <c r="F11" s="40">
        <v>46891</v>
      </c>
      <c r="G11" s="40">
        <v>46635</v>
      </c>
      <c r="H11" s="40">
        <v>49424</v>
      </c>
      <c r="I11" s="40">
        <v>52179</v>
      </c>
      <c r="J11" s="37">
        <f>世帯数2!R7</f>
        <v>52295</v>
      </c>
      <c r="K11" s="37">
        <f>世帯数2!S7</f>
        <v>52419</v>
      </c>
      <c r="L11" s="37">
        <f>世帯数2!T7</f>
        <v>52260</v>
      </c>
      <c r="M11" s="37">
        <f>世帯数2!U7</f>
        <v>52271</v>
      </c>
      <c r="N11" s="37">
        <v>48662</v>
      </c>
      <c r="O11" s="37">
        <f>世帯数2!V7</f>
        <v>48057</v>
      </c>
      <c r="P11" s="37">
        <f>世帯数2!W7</f>
        <v>48450</v>
      </c>
      <c r="Q11" s="37">
        <f>世帯数2!X7</f>
        <v>49844</v>
      </c>
      <c r="R11" s="37">
        <f>世帯数2!Y7</f>
        <v>54344</v>
      </c>
      <c r="S11" s="38">
        <v>55571</v>
      </c>
      <c r="T11" s="38">
        <f>世帯数2!AA7</f>
        <v>57296</v>
      </c>
      <c r="U11" s="38">
        <f>世帯数2!AB7</f>
        <v>58918</v>
      </c>
      <c r="V11" s="38">
        <f>世帯数2!AC7</f>
        <v>60509</v>
      </c>
      <c r="W11" s="48">
        <v>61830</v>
      </c>
      <c r="X11" s="55">
        <v>63318</v>
      </c>
      <c r="Y11" s="38">
        <v>63375</v>
      </c>
      <c r="Z11" s="45">
        <v>65304</v>
      </c>
      <c r="AA11" s="45">
        <v>66356</v>
      </c>
      <c r="AB11" s="45">
        <v>67528</v>
      </c>
      <c r="AC11" s="45">
        <v>69058</v>
      </c>
      <c r="AD11" s="290">
        <v>73814</v>
      </c>
      <c r="AE11" s="522">
        <v>75557</v>
      </c>
      <c r="AF11" s="522">
        <v>75355</v>
      </c>
      <c r="AG11" s="522">
        <v>77234</v>
      </c>
      <c r="AH11" s="522">
        <v>78885</v>
      </c>
      <c r="AI11" s="290">
        <v>81022</v>
      </c>
      <c r="AJ11" s="1085">
        <v>83450</v>
      </c>
      <c r="AK11" s="1085">
        <v>85446</v>
      </c>
      <c r="AL11" s="1086">
        <v>87504</v>
      </c>
      <c r="AM11" s="693">
        <v>89168</v>
      </c>
      <c r="AN11" s="1087">
        <v>90870</v>
      </c>
      <c r="AO11" s="693">
        <v>91597</v>
      </c>
      <c r="AP11" s="290">
        <v>92491</v>
      </c>
      <c r="AQ11" s="522">
        <v>93838</v>
      </c>
      <c r="AR11" s="522">
        <v>95129</v>
      </c>
      <c r="AS11" s="522">
        <v>96887</v>
      </c>
      <c r="AT11" s="289">
        <f t="shared" si="7"/>
        <v>101834</v>
      </c>
      <c r="AU11" s="289">
        <f t="shared" si="8"/>
        <v>106781</v>
      </c>
      <c r="AV11" s="14" t="s">
        <v>116</v>
      </c>
      <c r="AW11" s="522">
        <v>96778</v>
      </c>
      <c r="AX11" s="679">
        <f t="shared" si="3"/>
        <v>1649</v>
      </c>
      <c r="AY11" s="8"/>
      <c r="AZ11" s="8"/>
      <c r="BA11" s="8"/>
    </row>
    <row r="12" spans="1:53" ht="12.75" customHeight="1">
      <c r="A12" s="14">
        <v>1</v>
      </c>
      <c r="B12" s="18">
        <v>105</v>
      </c>
      <c r="C12" s="17" t="s">
        <v>176</v>
      </c>
      <c r="D12" s="41">
        <v>70504</v>
      </c>
      <c r="E12" s="41">
        <v>80978</v>
      </c>
      <c r="F12" s="37">
        <v>57382</v>
      </c>
      <c r="G12" s="37">
        <v>54001</v>
      </c>
      <c r="H12" s="37">
        <v>51824</v>
      </c>
      <c r="I12" s="37">
        <v>52673</v>
      </c>
      <c r="J12" s="37">
        <f>世帯数2!R8</f>
        <v>52594</v>
      </c>
      <c r="K12" s="37">
        <f>世帯数2!S8</f>
        <v>52814</v>
      </c>
      <c r="L12" s="37">
        <f>世帯数2!T8</f>
        <v>53203</v>
      </c>
      <c r="M12" s="37">
        <f>世帯数2!U8</f>
        <v>53326</v>
      </c>
      <c r="N12" s="37">
        <v>43586</v>
      </c>
      <c r="O12" s="37">
        <f>世帯数2!V8</f>
        <v>43225</v>
      </c>
      <c r="P12" s="37">
        <f>世帯数2!W8</f>
        <v>43751</v>
      </c>
      <c r="Q12" s="37">
        <f>世帯数2!X8</f>
        <v>44369</v>
      </c>
      <c r="R12" s="37">
        <f>世帯数2!Y8</f>
        <v>47039</v>
      </c>
      <c r="S12" s="38">
        <v>51070</v>
      </c>
      <c r="T12" s="38">
        <f>世帯数2!AA8</f>
        <v>51951</v>
      </c>
      <c r="U12" s="38">
        <f>世帯数2!AB8</f>
        <v>52846</v>
      </c>
      <c r="V12" s="38">
        <f>世帯数2!AC8</f>
        <v>53558</v>
      </c>
      <c r="W12" s="48">
        <v>53777</v>
      </c>
      <c r="X12" s="55">
        <v>53912</v>
      </c>
      <c r="Y12" s="38">
        <v>52215</v>
      </c>
      <c r="Z12" s="45">
        <v>52766</v>
      </c>
      <c r="AA12" s="45">
        <v>53393</v>
      </c>
      <c r="AB12" s="45">
        <v>54538</v>
      </c>
      <c r="AC12" s="45">
        <v>55455</v>
      </c>
      <c r="AD12" s="290">
        <v>56954</v>
      </c>
      <c r="AE12" s="522">
        <v>57135</v>
      </c>
      <c r="AF12" s="522">
        <v>56436</v>
      </c>
      <c r="AG12" s="522">
        <v>56769</v>
      </c>
      <c r="AH12" s="522">
        <v>57235</v>
      </c>
      <c r="AI12" s="290">
        <v>57875</v>
      </c>
      <c r="AJ12" s="1085">
        <v>58689</v>
      </c>
      <c r="AK12" s="1085">
        <v>59377</v>
      </c>
      <c r="AL12" s="1086">
        <v>60081</v>
      </c>
      <c r="AM12" s="693">
        <v>60737</v>
      </c>
      <c r="AN12" s="1087">
        <v>61186</v>
      </c>
      <c r="AO12" s="693">
        <v>61679</v>
      </c>
      <c r="AP12" s="290">
        <v>63401</v>
      </c>
      <c r="AQ12" s="522">
        <v>63948</v>
      </c>
      <c r="AR12" s="522">
        <v>65062</v>
      </c>
      <c r="AS12" s="522">
        <v>66620</v>
      </c>
      <c r="AT12" s="289">
        <f t="shared" si="7"/>
        <v>71144</v>
      </c>
      <c r="AU12" s="289">
        <f t="shared" si="8"/>
        <v>75668</v>
      </c>
      <c r="AW12" s="522">
        <v>66570</v>
      </c>
      <c r="AX12" s="679">
        <f t="shared" si="3"/>
        <v>1508</v>
      </c>
      <c r="AY12" s="8"/>
      <c r="AZ12" s="8"/>
      <c r="BA12" s="8"/>
    </row>
    <row r="13" spans="1:53" ht="12.75" customHeight="1">
      <c r="A13" s="14">
        <v>1</v>
      </c>
      <c r="B13" s="18">
        <v>109</v>
      </c>
      <c r="C13" s="17" t="s">
        <v>177</v>
      </c>
      <c r="D13" s="41" t="s">
        <v>248</v>
      </c>
      <c r="E13" s="41" t="s">
        <v>248</v>
      </c>
      <c r="F13" s="37">
        <v>37037</v>
      </c>
      <c r="G13" s="37">
        <v>47389</v>
      </c>
      <c r="H13" s="37">
        <v>52571</v>
      </c>
      <c r="I13" s="37">
        <v>61715</v>
      </c>
      <c r="J13" s="37">
        <f>世帯数2!R9</f>
        <v>63811</v>
      </c>
      <c r="K13" s="37">
        <f>世帯数2!S9</f>
        <v>66120</v>
      </c>
      <c r="L13" s="37">
        <f>世帯数2!T9</f>
        <v>68221</v>
      </c>
      <c r="M13" s="37">
        <f>世帯数2!U9</f>
        <v>70766</v>
      </c>
      <c r="N13" s="37">
        <v>77174</v>
      </c>
      <c r="O13" s="37">
        <f>世帯数2!V9</f>
        <v>79153</v>
      </c>
      <c r="P13" s="37">
        <f>世帯数2!W9</f>
        <v>80443</v>
      </c>
      <c r="Q13" s="37">
        <f>世帯数2!X9</f>
        <v>81603</v>
      </c>
      <c r="R13" s="37">
        <f>世帯数2!Y9</f>
        <v>77395</v>
      </c>
      <c r="S13" s="38">
        <v>78390</v>
      </c>
      <c r="T13" s="38">
        <f>世帯数2!AA9</f>
        <v>79520</v>
      </c>
      <c r="U13" s="38">
        <f>世帯数2!AB9</f>
        <v>80526</v>
      </c>
      <c r="V13" s="38">
        <f>世帯数2!AC9</f>
        <v>81612</v>
      </c>
      <c r="W13" s="48">
        <v>82855</v>
      </c>
      <c r="X13" s="55">
        <v>83836</v>
      </c>
      <c r="Y13" s="38">
        <v>82680</v>
      </c>
      <c r="Z13" s="45">
        <v>83944</v>
      </c>
      <c r="AA13" s="45">
        <v>85064</v>
      </c>
      <c r="AB13" s="45">
        <v>86085</v>
      </c>
      <c r="AC13" s="45">
        <v>87250</v>
      </c>
      <c r="AD13" s="290">
        <v>86350</v>
      </c>
      <c r="AE13" s="522">
        <v>86928</v>
      </c>
      <c r="AF13" s="522">
        <v>86817</v>
      </c>
      <c r="AG13" s="522">
        <v>87007</v>
      </c>
      <c r="AH13" s="522">
        <v>87171</v>
      </c>
      <c r="AI13" s="290">
        <v>87126</v>
      </c>
      <c r="AJ13" s="1085">
        <v>87291</v>
      </c>
      <c r="AK13" s="1085">
        <v>87528</v>
      </c>
      <c r="AL13" s="1086">
        <v>87659</v>
      </c>
      <c r="AM13" s="693">
        <v>87915</v>
      </c>
      <c r="AN13" s="1087">
        <v>88489</v>
      </c>
      <c r="AO13" s="693">
        <v>89101</v>
      </c>
      <c r="AP13" s="290">
        <v>89655</v>
      </c>
      <c r="AQ13" s="522">
        <v>89955</v>
      </c>
      <c r="AR13" s="522">
        <v>90247</v>
      </c>
      <c r="AS13" s="522">
        <v>90059</v>
      </c>
      <c r="AT13" s="289">
        <f t="shared" si="7"/>
        <v>89189</v>
      </c>
      <c r="AU13" s="289">
        <f t="shared" si="8"/>
        <v>88319</v>
      </c>
      <c r="AW13" s="522">
        <v>89957</v>
      </c>
      <c r="AX13" s="679">
        <f t="shared" si="3"/>
        <v>-290</v>
      </c>
      <c r="AY13" s="8"/>
      <c r="AZ13" s="8"/>
      <c r="BA13" s="8"/>
    </row>
    <row r="14" spans="1:53" ht="12.75" customHeight="1">
      <c r="A14" s="14">
        <v>1</v>
      </c>
      <c r="B14" s="18">
        <v>106</v>
      </c>
      <c r="C14" s="17" t="s">
        <v>178</v>
      </c>
      <c r="D14" s="37">
        <v>57165</v>
      </c>
      <c r="E14" s="37">
        <v>60406</v>
      </c>
      <c r="F14" s="37">
        <v>58777</v>
      </c>
      <c r="G14" s="37">
        <v>56021</v>
      </c>
      <c r="H14" s="37">
        <v>53744</v>
      </c>
      <c r="I14" s="37">
        <v>52948</v>
      </c>
      <c r="J14" s="37">
        <f>世帯数2!R10</f>
        <v>53116</v>
      </c>
      <c r="K14" s="37">
        <f>世帯数2!S10</f>
        <v>53317</v>
      </c>
      <c r="L14" s="37">
        <f>世帯数2!T10</f>
        <v>53455</v>
      </c>
      <c r="M14" s="37">
        <f>世帯数2!U10</f>
        <v>53284</v>
      </c>
      <c r="N14" s="37">
        <v>37979</v>
      </c>
      <c r="O14" s="37">
        <f>世帯数2!V10</f>
        <v>36426</v>
      </c>
      <c r="P14" s="37">
        <f>世帯数2!W10</f>
        <v>35826</v>
      </c>
      <c r="Q14" s="37">
        <f>世帯数2!X10</f>
        <v>35538</v>
      </c>
      <c r="R14" s="37">
        <f>世帯数2!Y10</f>
        <v>45969</v>
      </c>
      <c r="S14" s="38">
        <v>45928</v>
      </c>
      <c r="T14" s="38">
        <f>世帯数2!AA10</f>
        <v>46456</v>
      </c>
      <c r="U14" s="38">
        <f>世帯数2!AB10</f>
        <v>46949</v>
      </c>
      <c r="V14" s="38">
        <f>世帯数2!AC10</f>
        <v>47444</v>
      </c>
      <c r="W14" s="48">
        <v>47863</v>
      </c>
      <c r="X14" s="55">
        <v>48112</v>
      </c>
      <c r="Y14" s="38">
        <v>46782</v>
      </c>
      <c r="Z14" s="45">
        <v>47103</v>
      </c>
      <c r="AA14" s="45">
        <v>47340</v>
      </c>
      <c r="AB14" s="45">
        <v>47590</v>
      </c>
      <c r="AC14" s="45">
        <v>48111</v>
      </c>
      <c r="AD14" s="290">
        <v>48224</v>
      </c>
      <c r="AE14" s="522">
        <v>48681</v>
      </c>
      <c r="AF14" s="522">
        <v>47978</v>
      </c>
      <c r="AG14" s="522">
        <v>47994</v>
      </c>
      <c r="AH14" s="522">
        <v>48447</v>
      </c>
      <c r="AI14" s="290">
        <v>48780</v>
      </c>
      <c r="AJ14" s="1085">
        <v>49091</v>
      </c>
      <c r="AK14" s="1085">
        <v>49192</v>
      </c>
      <c r="AL14" s="1086">
        <v>49364</v>
      </c>
      <c r="AM14" s="693">
        <v>49564</v>
      </c>
      <c r="AN14" s="1087">
        <v>49601</v>
      </c>
      <c r="AO14" s="693">
        <v>49820</v>
      </c>
      <c r="AP14" s="290">
        <v>50369</v>
      </c>
      <c r="AQ14" s="522">
        <v>50589</v>
      </c>
      <c r="AR14" s="522">
        <v>50861</v>
      </c>
      <c r="AS14" s="522">
        <v>51291</v>
      </c>
      <c r="AT14" s="289">
        <f t="shared" si="7"/>
        <v>52905</v>
      </c>
      <c r="AU14" s="289">
        <f t="shared" si="8"/>
        <v>54519</v>
      </c>
      <c r="AW14" s="522">
        <v>51399</v>
      </c>
      <c r="AX14" s="679">
        <f t="shared" si="3"/>
        <v>538</v>
      </c>
      <c r="AY14" s="8"/>
      <c r="AZ14" s="8"/>
      <c r="BA14" s="8"/>
    </row>
    <row r="15" spans="1:53" ht="12.75" customHeight="1">
      <c r="A15" s="14">
        <v>1</v>
      </c>
      <c r="B15" s="18">
        <v>107</v>
      </c>
      <c r="C15" s="17" t="s">
        <v>179</v>
      </c>
      <c r="D15" s="41">
        <v>27921</v>
      </c>
      <c r="E15" s="41">
        <v>31856</v>
      </c>
      <c r="F15" s="41">
        <v>38127</v>
      </c>
      <c r="G15" s="37">
        <v>49289</v>
      </c>
      <c r="H15" s="37">
        <v>57534</v>
      </c>
      <c r="I15" s="37">
        <v>62394</v>
      </c>
      <c r="J15" s="37">
        <f>世帯数2!R11</f>
        <v>63298</v>
      </c>
      <c r="K15" s="37">
        <f>世帯数2!S11</f>
        <v>64038</v>
      </c>
      <c r="L15" s="37">
        <f>世帯数2!T11</f>
        <v>65060</v>
      </c>
      <c r="M15" s="37">
        <f>世帯数2!U11</f>
        <v>66220</v>
      </c>
      <c r="N15" s="37">
        <v>61811</v>
      </c>
      <c r="O15" s="37">
        <f>世帯数2!V11</f>
        <v>61973</v>
      </c>
      <c r="P15" s="37">
        <f>世帯数2!W11</f>
        <v>62768</v>
      </c>
      <c r="Q15" s="37">
        <f>世帯数2!X11</f>
        <v>63674</v>
      </c>
      <c r="R15" s="37">
        <f>世帯数2!Y11</f>
        <v>62778</v>
      </c>
      <c r="S15" s="38">
        <v>67114</v>
      </c>
      <c r="T15" s="38">
        <f>世帯数2!AA11</f>
        <v>68285</v>
      </c>
      <c r="U15" s="38">
        <f>世帯数2!AB11</f>
        <v>69161</v>
      </c>
      <c r="V15" s="38">
        <f>世帯数2!AC11</f>
        <v>69719</v>
      </c>
      <c r="W15" s="48">
        <v>70268</v>
      </c>
      <c r="X15" s="55">
        <v>70934</v>
      </c>
      <c r="Y15" s="38">
        <v>68794</v>
      </c>
      <c r="Z15" s="45">
        <v>69060</v>
      </c>
      <c r="AA15" s="45">
        <v>69509</v>
      </c>
      <c r="AB15" s="45">
        <v>70418</v>
      </c>
      <c r="AC15" s="45">
        <v>71247</v>
      </c>
      <c r="AD15" s="290">
        <v>71657</v>
      </c>
      <c r="AE15" s="522">
        <v>72066</v>
      </c>
      <c r="AF15" s="522">
        <v>71616</v>
      </c>
      <c r="AG15" s="522">
        <v>72175</v>
      </c>
      <c r="AH15" s="522">
        <v>73011</v>
      </c>
      <c r="AI15" s="290">
        <v>73278</v>
      </c>
      <c r="AJ15" s="1085">
        <v>73358</v>
      </c>
      <c r="AK15" s="1085">
        <v>73514</v>
      </c>
      <c r="AL15" s="1086">
        <v>73570</v>
      </c>
      <c r="AM15" s="693">
        <v>73886</v>
      </c>
      <c r="AN15" s="1087">
        <v>74352</v>
      </c>
      <c r="AO15" s="693">
        <v>74661</v>
      </c>
      <c r="AP15" s="290">
        <v>74567</v>
      </c>
      <c r="AQ15" s="522">
        <v>74390</v>
      </c>
      <c r="AR15" s="522">
        <v>74390</v>
      </c>
      <c r="AS15" s="522">
        <v>74181</v>
      </c>
      <c r="AT15" s="289">
        <f t="shared" si="7"/>
        <v>73188</v>
      </c>
      <c r="AU15" s="289">
        <f t="shared" si="8"/>
        <v>72195</v>
      </c>
      <c r="AV15" s="14" t="s">
        <v>116</v>
      </c>
      <c r="AW15" s="522">
        <v>74059</v>
      </c>
      <c r="AX15" s="679">
        <f t="shared" si="3"/>
        <v>-331</v>
      </c>
      <c r="AY15" s="8"/>
      <c r="AZ15" s="8"/>
      <c r="BA15" s="8"/>
    </row>
    <row r="16" spans="1:53" ht="12.75" customHeight="1">
      <c r="A16" s="14">
        <v>1</v>
      </c>
      <c r="B16" s="18">
        <v>108</v>
      </c>
      <c r="C16" s="17" t="s">
        <v>180</v>
      </c>
      <c r="D16" s="41">
        <v>36438</v>
      </c>
      <c r="E16" s="41">
        <v>55291</v>
      </c>
      <c r="F16" s="41">
        <v>77546</v>
      </c>
      <c r="G16" s="41">
        <v>90456</v>
      </c>
      <c r="H16" s="37">
        <v>73480</v>
      </c>
      <c r="I16" s="37">
        <v>81788</v>
      </c>
      <c r="J16" s="37">
        <f>世帯数2!R12</f>
        <v>83032</v>
      </c>
      <c r="K16" s="37">
        <f>世帯数2!S12</f>
        <v>85073</v>
      </c>
      <c r="L16" s="37">
        <f>世帯数2!T12</f>
        <v>86192</v>
      </c>
      <c r="M16" s="37">
        <f>世帯数2!U12</f>
        <v>87242</v>
      </c>
      <c r="N16" s="37">
        <v>89106</v>
      </c>
      <c r="O16" s="37">
        <f>世帯数2!V12</f>
        <v>89825</v>
      </c>
      <c r="P16" s="37">
        <f>世帯数2!W12</f>
        <v>89774</v>
      </c>
      <c r="Q16" s="37">
        <f>世帯数2!X12</f>
        <v>90495</v>
      </c>
      <c r="R16" s="37">
        <f>世帯数2!Y12</f>
        <v>84377</v>
      </c>
      <c r="S16" s="38">
        <v>89385</v>
      </c>
      <c r="T16" s="38">
        <f>世帯数2!AA12</f>
        <v>90178</v>
      </c>
      <c r="U16" s="38">
        <f>世帯数2!AB12</f>
        <v>91030</v>
      </c>
      <c r="V16" s="38">
        <f>世帯数2!AC12</f>
        <v>91914</v>
      </c>
      <c r="W16" s="48">
        <v>92160</v>
      </c>
      <c r="X16" s="55">
        <v>92896</v>
      </c>
      <c r="Y16" s="38">
        <v>91546</v>
      </c>
      <c r="Z16" s="45">
        <v>92070</v>
      </c>
      <c r="AA16" s="45">
        <v>92665</v>
      </c>
      <c r="AB16" s="45">
        <v>93525</v>
      </c>
      <c r="AC16" s="45">
        <v>94563</v>
      </c>
      <c r="AD16" s="290">
        <v>94016</v>
      </c>
      <c r="AE16" s="522">
        <v>94667</v>
      </c>
      <c r="AF16" s="522">
        <v>94578</v>
      </c>
      <c r="AG16" s="522">
        <v>94998</v>
      </c>
      <c r="AH16" s="522">
        <v>94957</v>
      </c>
      <c r="AI16" s="290">
        <v>95473</v>
      </c>
      <c r="AJ16" s="1085">
        <v>96128</v>
      </c>
      <c r="AK16" s="1085">
        <v>96474</v>
      </c>
      <c r="AL16" s="1086">
        <v>96805</v>
      </c>
      <c r="AM16" s="693">
        <v>97296</v>
      </c>
      <c r="AN16" s="1087">
        <v>97680</v>
      </c>
      <c r="AO16" s="693">
        <v>97622</v>
      </c>
      <c r="AP16" s="290">
        <v>97381</v>
      </c>
      <c r="AQ16" s="522">
        <v>96895</v>
      </c>
      <c r="AR16" s="522">
        <v>97218</v>
      </c>
      <c r="AS16" s="522">
        <v>97248</v>
      </c>
      <c r="AT16" s="289">
        <f t="shared" si="7"/>
        <v>96771</v>
      </c>
      <c r="AU16" s="289">
        <f t="shared" si="8"/>
        <v>96294</v>
      </c>
      <c r="AW16" s="522">
        <v>97059</v>
      </c>
      <c r="AX16" s="679">
        <f t="shared" si="3"/>
        <v>-159</v>
      </c>
      <c r="AY16" s="8"/>
      <c r="AZ16" s="8"/>
      <c r="BA16" s="8"/>
    </row>
    <row r="17" spans="1:53" ht="12.75" customHeight="1">
      <c r="A17" s="14">
        <v>1</v>
      </c>
      <c r="B17" s="18">
        <v>111</v>
      </c>
      <c r="C17" s="17" t="s">
        <v>181</v>
      </c>
      <c r="D17" s="41" t="s">
        <v>248</v>
      </c>
      <c r="E17" s="41" t="s">
        <v>248</v>
      </c>
      <c r="F17" s="41" t="s">
        <v>248</v>
      </c>
      <c r="G17" s="41" t="s">
        <v>248</v>
      </c>
      <c r="H17" s="37">
        <v>29305</v>
      </c>
      <c r="I17" s="37">
        <v>47063</v>
      </c>
      <c r="J17" s="37">
        <f>世帯数2!R13</f>
        <v>51397</v>
      </c>
      <c r="K17" s="37">
        <f>世帯数2!S13</f>
        <v>54941</v>
      </c>
      <c r="L17" s="37">
        <f>世帯数2!T13</f>
        <v>59068</v>
      </c>
      <c r="M17" s="37">
        <f>世帯数2!U13</f>
        <v>63051</v>
      </c>
      <c r="N17" s="37">
        <v>73221</v>
      </c>
      <c r="O17" s="37">
        <f>世帯数2!V13</f>
        <v>77316</v>
      </c>
      <c r="P17" s="37">
        <f>世帯数2!W13</f>
        <v>80695</v>
      </c>
      <c r="Q17" s="37">
        <f>世帯数2!X13</f>
        <v>82705</v>
      </c>
      <c r="R17" s="37">
        <f>世帯数2!Y13</f>
        <v>77834</v>
      </c>
      <c r="S17" s="38">
        <v>80248</v>
      </c>
      <c r="T17" s="38">
        <f>世帯数2!AA13</f>
        <v>81859</v>
      </c>
      <c r="U17" s="38">
        <f>世帯数2!AB13</f>
        <v>83494</v>
      </c>
      <c r="V17" s="38">
        <f>世帯数2!AC13</f>
        <v>84871</v>
      </c>
      <c r="W17" s="48">
        <v>86241</v>
      </c>
      <c r="X17" s="55">
        <v>87729</v>
      </c>
      <c r="Y17" s="38">
        <v>86833</v>
      </c>
      <c r="Z17" s="45">
        <v>89287</v>
      </c>
      <c r="AA17" s="45">
        <v>91045</v>
      </c>
      <c r="AB17" s="45">
        <v>92480</v>
      </c>
      <c r="AC17" s="45">
        <v>93766</v>
      </c>
      <c r="AD17" s="290">
        <v>93951</v>
      </c>
      <c r="AE17" s="522">
        <v>94951</v>
      </c>
      <c r="AF17" s="522">
        <v>95255</v>
      </c>
      <c r="AG17" s="522">
        <v>96123</v>
      </c>
      <c r="AH17" s="522">
        <v>96712</v>
      </c>
      <c r="AI17" s="290">
        <v>97233</v>
      </c>
      <c r="AJ17" s="1085">
        <v>98041</v>
      </c>
      <c r="AK17" s="1085">
        <v>98447</v>
      </c>
      <c r="AL17" s="1086">
        <v>99103</v>
      </c>
      <c r="AM17" s="693">
        <v>99534</v>
      </c>
      <c r="AN17" s="1087">
        <v>100268</v>
      </c>
      <c r="AO17" s="693">
        <v>100639</v>
      </c>
      <c r="AP17" s="290">
        <v>101149</v>
      </c>
      <c r="AQ17" s="522">
        <v>101561</v>
      </c>
      <c r="AR17" s="522">
        <v>101996</v>
      </c>
      <c r="AS17" s="522">
        <v>102354</v>
      </c>
      <c r="AT17" s="289">
        <f t="shared" si="7"/>
        <v>103029</v>
      </c>
      <c r="AU17" s="289">
        <f t="shared" si="8"/>
        <v>103704</v>
      </c>
      <c r="AW17" s="522">
        <v>102221</v>
      </c>
      <c r="AX17" s="679">
        <f t="shared" si="3"/>
        <v>225</v>
      </c>
      <c r="AY17" s="8"/>
      <c r="AZ17" s="8"/>
      <c r="BA17" s="8"/>
    </row>
    <row r="18" spans="1:53" s="5" customFormat="1" ht="20.25" customHeight="1">
      <c r="C18" s="19" t="s">
        <v>182</v>
      </c>
      <c r="D18" s="36">
        <v>244872</v>
      </c>
      <c r="E18" s="36">
        <v>291009</v>
      </c>
      <c r="F18" s="36">
        <v>318897</v>
      </c>
      <c r="G18" s="36">
        <v>349216</v>
      </c>
      <c r="H18" s="36">
        <v>357545</v>
      </c>
      <c r="I18" s="36">
        <v>376224</v>
      </c>
      <c r="J18" s="36">
        <f t="shared" ref="J18:V18" si="9">SUM(J19:J21)</f>
        <v>380596</v>
      </c>
      <c r="K18" s="36">
        <f t="shared" si="9"/>
        <v>384755</v>
      </c>
      <c r="L18" s="36">
        <f t="shared" si="9"/>
        <v>388229</v>
      </c>
      <c r="M18" s="36">
        <f t="shared" si="9"/>
        <v>390687</v>
      </c>
      <c r="N18" s="36">
        <f t="shared" si="9"/>
        <v>370859</v>
      </c>
      <c r="O18" s="36">
        <f t="shared" si="9"/>
        <v>373255</v>
      </c>
      <c r="P18" s="36">
        <f t="shared" si="9"/>
        <v>379645</v>
      </c>
      <c r="Q18" s="36">
        <f t="shared" si="9"/>
        <v>388134</v>
      </c>
      <c r="R18" s="36">
        <f t="shared" si="9"/>
        <v>383634</v>
      </c>
      <c r="S18" s="36">
        <f t="shared" si="9"/>
        <v>403187</v>
      </c>
      <c r="T18" s="36">
        <f t="shared" si="9"/>
        <v>410016</v>
      </c>
      <c r="U18" s="36">
        <f t="shared" si="9"/>
        <v>415971</v>
      </c>
      <c r="V18" s="36">
        <f t="shared" si="9"/>
        <v>421978</v>
      </c>
      <c r="W18" s="36">
        <f t="shared" ref="W18:AB18" si="10">SUM(W19:W21)</f>
        <v>426482</v>
      </c>
      <c r="X18" s="53">
        <f t="shared" si="10"/>
        <v>431537</v>
      </c>
      <c r="Y18" s="36">
        <f t="shared" si="10"/>
        <v>429089</v>
      </c>
      <c r="Z18" s="36">
        <f t="shared" si="10"/>
        <v>436536</v>
      </c>
      <c r="AA18" s="36">
        <f t="shared" si="10"/>
        <v>442308</v>
      </c>
      <c r="AB18" s="36">
        <f t="shared" si="10"/>
        <v>448208</v>
      </c>
      <c r="AC18" s="36">
        <f>SUM(AC19:AC21)</f>
        <v>452794</v>
      </c>
      <c r="AD18" s="36">
        <v>451744</v>
      </c>
      <c r="AE18" s="36">
        <f t="shared" ref="AE18:AU18" si="11">SUM(AE19:AE21)</f>
        <v>454345</v>
      </c>
      <c r="AF18" s="36">
        <f t="shared" si="11"/>
        <v>455457</v>
      </c>
      <c r="AG18" s="36">
        <f t="shared" si="11"/>
        <v>458466</v>
      </c>
      <c r="AH18" s="36">
        <f t="shared" si="11"/>
        <v>460676</v>
      </c>
      <c r="AI18" s="36">
        <f t="shared" si="11"/>
        <v>463279</v>
      </c>
      <c r="AJ18" s="1082">
        <f t="shared" si="11"/>
        <v>466435</v>
      </c>
      <c r="AK18" s="1082">
        <f t="shared" si="11"/>
        <v>469242</v>
      </c>
      <c r="AL18" s="1083">
        <f t="shared" si="11"/>
        <v>472482</v>
      </c>
      <c r="AM18" s="1083">
        <f t="shared" si="11"/>
        <v>475942</v>
      </c>
      <c r="AN18" s="1083">
        <f t="shared" si="11"/>
        <v>479577</v>
      </c>
      <c r="AO18" s="1083">
        <f t="shared" si="11"/>
        <v>482126</v>
      </c>
      <c r="AP18" s="1083">
        <f t="shared" si="11"/>
        <v>485609</v>
      </c>
      <c r="AQ18" s="1083">
        <f t="shared" si="11"/>
        <v>489017</v>
      </c>
      <c r="AR18" s="1083">
        <f t="shared" si="11"/>
        <v>493037</v>
      </c>
      <c r="AS18" s="1083">
        <f t="shared" si="11"/>
        <v>497333</v>
      </c>
      <c r="AT18" s="1083">
        <f t="shared" si="11"/>
        <v>510302</v>
      </c>
      <c r="AU18" s="1083">
        <f t="shared" si="11"/>
        <v>523271</v>
      </c>
      <c r="AW18" s="36">
        <v>497360</v>
      </c>
      <c r="AX18" s="679">
        <f t="shared" si="3"/>
        <v>4323</v>
      </c>
      <c r="AY18" s="8"/>
      <c r="AZ18" s="8"/>
      <c r="BA18" s="8"/>
    </row>
    <row r="19" spans="1:53" ht="12.75" customHeight="1">
      <c r="A19" s="14">
        <v>1</v>
      </c>
      <c r="B19" s="16">
        <v>202</v>
      </c>
      <c r="C19" s="20" t="s">
        <v>183</v>
      </c>
      <c r="D19" s="36">
        <v>135938</v>
      </c>
      <c r="E19" s="36">
        <v>162027</v>
      </c>
      <c r="F19" s="36">
        <v>170999</v>
      </c>
      <c r="G19" s="36">
        <v>178151</v>
      </c>
      <c r="H19" s="36">
        <v>177817</v>
      </c>
      <c r="I19" s="36">
        <v>185819</v>
      </c>
      <c r="J19" s="37">
        <f>世帯数2!R15</f>
        <v>188309</v>
      </c>
      <c r="K19" s="37">
        <f>世帯数2!S15</f>
        <v>190439</v>
      </c>
      <c r="L19" s="37">
        <f>世帯数2!T15</f>
        <v>192340</v>
      </c>
      <c r="M19" s="37">
        <f>世帯数2!U15</f>
        <v>193216</v>
      </c>
      <c r="N19" s="36">
        <v>191407</v>
      </c>
      <c r="O19" s="37">
        <f>世帯数2!V15</f>
        <v>192194</v>
      </c>
      <c r="P19" s="37">
        <f>世帯数2!W15</f>
        <v>193393</v>
      </c>
      <c r="Q19" s="37">
        <f>世帯数2!X15</f>
        <v>194544</v>
      </c>
      <c r="R19" s="37">
        <f>世帯数2!Y15</f>
        <v>184330</v>
      </c>
      <c r="S19" s="38">
        <v>190894</v>
      </c>
      <c r="T19" s="38">
        <f>世帯数2!AA15</f>
        <v>192080</v>
      </c>
      <c r="U19" s="38">
        <f>世帯数2!AB15</f>
        <v>193397</v>
      </c>
      <c r="V19" s="38">
        <f>世帯数2!AC15</f>
        <v>195336</v>
      </c>
      <c r="W19" s="48">
        <v>196842</v>
      </c>
      <c r="X19" s="55">
        <v>198095</v>
      </c>
      <c r="Y19" s="38">
        <v>198653</v>
      </c>
      <c r="Z19" s="45">
        <v>200977</v>
      </c>
      <c r="AA19" s="45">
        <v>202838</v>
      </c>
      <c r="AB19" s="45">
        <v>205551</v>
      </c>
      <c r="AC19" s="45">
        <v>207999</v>
      </c>
      <c r="AD19" s="290">
        <v>209343</v>
      </c>
      <c r="AE19" s="522">
        <v>209514</v>
      </c>
      <c r="AF19" s="522">
        <v>209537</v>
      </c>
      <c r="AG19" s="522">
        <v>210063</v>
      </c>
      <c r="AH19" s="522">
        <v>209956</v>
      </c>
      <c r="AI19" s="290">
        <v>210433</v>
      </c>
      <c r="AJ19" s="1085">
        <v>212377</v>
      </c>
      <c r="AK19" s="1085">
        <v>214103</v>
      </c>
      <c r="AL19" s="1086">
        <v>216462</v>
      </c>
      <c r="AM19" s="693">
        <v>219012</v>
      </c>
      <c r="AN19" s="1087">
        <v>221404</v>
      </c>
      <c r="AO19" s="693">
        <v>222519</v>
      </c>
      <c r="AP19" s="290">
        <v>223707</v>
      </c>
      <c r="AQ19" s="522">
        <v>225616</v>
      </c>
      <c r="AR19" s="522">
        <v>228124</v>
      </c>
      <c r="AS19" s="522">
        <v>230846</v>
      </c>
      <c r="AT19" s="289">
        <f t="shared" si="7"/>
        <v>239345</v>
      </c>
      <c r="AU19" s="289">
        <f t="shared" si="8"/>
        <v>247844</v>
      </c>
      <c r="AW19" s="522">
        <v>230957</v>
      </c>
      <c r="AX19" s="679">
        <f t="shared" si="3"/>
        <v>2833</v>
      </c>
      <c r="AY19" s="8"/>
      <c r="AZ19" s="8"/>
      <c r="BA19" s="8"/>
    </row>
    <row r="20" spans="1:53" ht="12.75" customHeight="1">
      <c r="A20" s="14">
        <v>1</v>
      </c>
      <c r="B20" s="16">
        <v>204</v>
      </c>
      <c r="C20" s="20" t="s">
        <v>184</v>
      </c>
      <c r="D20" s="36">
        <v>91888</v>
      </c>
      <c r="E20" s="36">
        <v>108292</v>
      </c>
      <c r="F20" s="36">
        <v>124069</v>
      </c>
      <c r="G20" s="36">
        <v>142451</v>
      </c>
      <c r="H20" s="36">
        <v>148985</v>
      </c>
      <c r="I20" s="36">
        <v>157978</v>
      </c>
      <c r="J20" s="37">
        <f>世帯数2!R16</f>
        <v>159361</v>
      </c>
      <c r="K20" s="37">
        <f>世帯数2!S16</f>
        <v>160935</v>
      </c>
      <c r="L20" s="37">
        <f>世帯数2!T16</f>
        <v>162246</v>
      </c>
      <c r="M20" s="37">
        <f>世帯数2!U16</f>
        <v>163776</v>
      </c>
      <c r="N20" s="36">
        <v>150382</v>
      </c>
      <c r="O20" s="37">
        <f>世帯数2!V16</f>
        <v>151933</v>
      </c>
      <c r="P20" s="37">
        <f>世帯数2!W16</f>
        <v>156625</v>
      </c>
      <c r="Q20" s="37">
        <f>世帯数2!X16</f>
        <v>162782</v>
      </c>
      <c r="R20" s="37">
        <f>世帯数2!Y16</f>
        <v>167443</v>
      </c>
      <c r="S20" s="38">
        <v>178084</v>
      </c>
      <c r="T20" s="38">
        <f>世帯数2!AA16</f>
        <v>182844</v>
      </c>
      <c r="U20" s="38">
        <f>世帯数2!AB16</f>
        <v>186257</v>
      </c>
      <c r="V20" s="38">
        <f>世帯数2!AC16</f>
        <v>189307</v>
      </c>
      <c r="W20" s="48">
        <v>191756</v>
      </c>
      <c r="X20" s="55">
        <v>195013</v>
      </c>
      <c r="Y20" s="38">
        <v>192466</v>
      </c>
      <c r="Z20" s="45">
        <v>196860</v>
      </c>
      <c r="AA20" s="45">
        <v>200204</v>
      </c>
      <c r="AB20" s="45">
        <v>202847</v>
      </c>
      <c r="AC20" s="45">
        <v>204761</v>
      </c>
      <c r="AD20" s="290">
        <v>202648</v>
      </c>
      <c r="AE20" s="522">
        <v>204427</v>
      </c>
      <c r="AF20" s="522">
        <v>205297</v>
      </c>
      <c r="AG20" s="522">
        <v>207242</v>
      </c>
      <c r="AH20" s="522">
        <v>209065</v>
      </c>
      <c r="AI20" s="290">
        <v>210965</v>
      </c>
      <c r="AJ20" s="1085">
        <v>212192</v>
      </c>
      <c r="AK20" s="1085">
        <v>213013</v>
      </c>
      <c r="AL20" s="1086">
        <v>213784</v>
      </c>
      <c r="AM20" s="693">
        <v>214699</v>
      </c>
      <c r="AN20" s="1087">
        <v>215651</v>
      </c>
      <c r="AO20" s="693">
        <v>217006</v>
      </c>
      <c r="AP20" s="290">
        <v>218967</v>
      </c>
      <c r="AQ20" s="522">
        <v>220384</v>
      </c>
      <c r="AR20" s="522">
        <v>221991</v>
      </c>
      <c r="AS20" s="522">
        <v>223419</v>
      </c>
      <c r="AT20" s="289">
        <f t="shared" si="7"/>
        <v>227580</v>
      </c>
      <c r="AU20" s="289">
        <f t="shared" si="8"/>
        <v>231741</v>
      </c>
      <c r="AW20" s="522">
        <v>223378</v>
      </c>
      <c r="AX20" s="679">
        <f t="shared" si="3"/>
        <v>1387</v>
      </c>
      <c r="AY20" s="8"/>
      <c r="AZ20" s="8"/>
      <c r="BA20" s="8"/>
    </row>
    <row r="21" spans="1:53" ht="12.75" customHeight="1">
      <c r="A21" s="14">
        <v>1</v>
      </c>
      <c r="B21" s="16">
        <v>206</v>
      </c>
      <c r="C21" s="20" t="s">
        <v>185</v>
      </c>
      <c r="D21" s="36">
        <v>17046</v>
      </c>
      <c r="E21" s="36">
        <v>20690</v>
      </c>
      <c r="F21" s="36">
        <v>23829</v>
      </c>
      <c r="G21" s="36">
        <v>28614</v>
      </c>
      <c r="H21" s="36">
        <v>30743</v>
      </c>
      <c r="I21" s="36">
        <v>32427</v>
      </c>
      <c r="J21" s="37">
        <f>世帯数2!R17</f>
        <v>32926</v>
      </c>
      <c r="K21" s="37">
        <f>世帯数2!S17</f>
        <v>33381</v>
      </c>
      <c r="L21" s="37">
        <f>世帯数2!T17</f>
        <v>33643</v>
      </c>
      <c r="M21" s="37">
        <f>世帯数2!U17</f>
        <v>33695</v>
      </c>
      <c r="N21" s="36">
        <v>29070</v>
      </c>
      <c r="O21" s="37">
        <f>世帯数2!V17</f>
        <v>29128</v>
      </c>
      <c r="P21" s="37">
        <f>世帯数2!W17</f>
        <v>29627</v>
      </c>
      <c r="Q21" s="37">
        <f>世帯数2!X17</f>
        <v>30808</v>
      </c>
      <c r="R21" s="37">
        <f>世帯数2!Y17</f>
        <v>31861</v>
      </c>
      <c r="S21" s="38">
        <v>34209</v>
      </c>
      <c r="T21" s="38">
        <f>世帯数2!AA17</f>
        <v>35092</v>
      </c>
      <c r="U21" s="38">
        <f>世帯数2!AB17</f>
        <v>36317</v>
      </c>
      <c r="V21" s="38">
        <f>世帯数2!AC17</f>
        <v>37335</v>
      </c>
      <c r="W21" s="48">
        <v>37884</v>
      </c>
      <c r="X21" s="55">
        <v>38429</v>
      </c>
      <c r="Y21" s="38">
        <v>37970</v>
      </c>
      <c r="Z21" s="45">
        <v>38699</v>
      </c>
      <c r="AA21" s="45">
        <v>39266</v>
      </c>
      <c r="AB21" s="45">
        <v>39810</v>
      </c>
      <c r="AC21" s="45">
        <v>40034</v>
      </c>
      <c r="AD21" s="290">
        <v>39753</v>
      </c>
      <c r="AE21" s="522">
        <v>40404</v>
      </c>
      <c r="AF21" s="522">
        <v>40623</v>
      </c>
      <c r="AG21" s="522">
        <v>41161</v>
      </c>
      <c r="AH21" s="522">
        <v>41655</v>
      </c>
      <c r="AI21" s="290">
        <v>41881</v>
      </c>
      <c r="AJ21" s="1085">
        <v>41866</v>
      </c>
      <c r="AK21" s="1085">
        <v>42126</v>
      </c>
      <c r="AL21" s="1086">
        <v>42236</v>
      </c>
      <c r="AM21" s="693">
        <v>42231</v>
      </c>
      <c r="AN21" s="1087">
        <v>42522</v>
      </c>
      <c r="AO21" s="693">
        <v>42601</v>
      </c>
      <c r="AP21" s="290">
        <v>42935</v>
      </c>
      <c r="AQ21" s="522">
        <v>43017</v>
      </c>
      <c r="AR21" s="522">
        <v>42922</v>
      </c>
      <c r="AS21" s="522">
        <v>43068</v>
      </c>
      <c r="AT21" s="289">
        <f t="shared" si="7"/>
        <v>43377</v>
      </c>
      <c r="AU21" s="289">
        <f t="shared" si="8"/>
        <v>43686</v>
      </c>
      <c r="AW21" s="522">
        <v>43025</v>
      </c>
      <c r="AX21" s="679">
        <f t="shared" si="3"/>
        <v>103</v>
      </c>
      <c r="AY21" s="8"/>
      <c r="AZ21" s="8"/>
      <c r="BA21" s="8"/>
    </row>
    <row r="22" spans="1:53" s="5" customFormat="1" ht="20.25" customHeight="1">
      <c r="C22" s="19" t="s">
        <v>186</v>
      </c>
      <c r="D22" s="36">
        <v>78492</v>
      </c>
      <c r="E22" s="36">
        <v>109949</v>
      </c>
      <c r="F22" s="36">
        <v>138948</v>
      </c>
      <c r="G22" s="36">
        <v>164649</v>
      </c>
      <c r="H22" s="36">
        <v>176619</v>
      </c>
      <c r="I22" s="36">
        <v>198771</v>
      </c>
      <c r="J22" s="36">
        <f t="shared" ref="J22:V22" si="12">SUM(J23:J27)</f>
        <v>204164</v>
      </c>
      <c r="K22" s="36">
        <f t="shared" si="12"/>
        <v>209691</v>
      </c>
      <c r="L22" s="36">
        <f t="shared" si="12"/>
        <v>215167</v>
      </c>
      <c r="M22" s="36">
        <f t="shared" si="12"/>
        <v>221559</v>
      </c>
      <c r="N22" s="36">
        <f t="shared" si="12"/>
        <v>222566</v>
      </c>
      <c r="O22" s="36">
        <f t="shared" si="12"/>
        <v>229220</v>
      </c>
      <c r="P22" s="36">
        <f t="shared" si="12"/>
        <v>235298</v>
      </c>
      <c r="Q22" s="36">
        <f t="shared" si="12"/>
        <v>241661</v>
      </c>
      <c r="R22" s="36">
        <f t="shared" si="12"/>
        <v>241861</v>
      </c>
      <c r="S22" s="36">
        <f t="shared" si="12"/>
        <v>247817</v>
      </c>
      <c r="T22" s="36">
        <f t="shared" si="12"/>
        <v>252401</v>
      </c>
      <c r="U22" s="36">
        <f t="shared" si="12"/>
        <v>256629</v>
      </c>
      <c r="V22" s="36">
        <f t="shared" si="12"/>
        <v>260713</v>
      </c>
      <c r="W22" s="36">
        <f t="shared" ref="W22:AB22" si="13">SUM(W23:W27)</f>
        <v>264426</v>
      </c>
      <c r="X22" s="53">
        <f t="shared" si="13"/>
        <v>268399</v>
      </c>
      <c r="Y22" s="36">
        <f t="shared" si="13"/>
        <v>263301</v>
      </c>
      <c r="Z22" s="36">
        <f t="shared" si="13"/>
        <v>267211</v>
      </c>
      <c r="AA22" s="36">
        <f t="shared" si="13"/>
        <v>271409</v>
      </c>
      <c r="AB22" s="36">
        <f t="shared" si="13"/>
        <v>275850</v>
      </c>
      <c r="AC22" s="36">
        <f>SUM(AC23:AC27)</f>
        <v>280180</v>
      </c>
      <c r="AD22" s="36">
        <v>280199</v>
      </c>
      <c r="AE22" s="36">
        <f t="shared" ref="AE22:AU22" si="14">SUM(AE23:AE27)</f>
        <v>282892</v>
      </c>
      <c r="AF22" s="36">
        <f t="shared" si="14"/>
        <v>283320</v>
      </c>
      <c r="AG22" s="36">
        <f t="shared" si="14"/>
        <v>284655</v>
      </c>
      <c r="AH22" s="36">
        <f t="shared" si="14"/>
        <v>285632</v>
      </c>
      <c r="AI22" s="36">
        <f t="shared" si="14"/>
        <v>287568</v>
      </c>
      <c r="AJ22" s="1082">
        <f t="shared" si="14"/>
        <v>289329</v>
      </c>
      <c r="AK22" s="1082">
        <f t="shared" si="14"/>
        <v>290728</v>
      </c>
      <c r="AL22" s="1083">
        <f t="shared" si="14"/>
        <v>291971</v>
      </c>
      <c r="AM22" s="1083">
        <f t="shared" si="14"/>
        <v>293604</v>
      </c>
      <c r="AN22" s="1083">
        <f t="shared" si="14"/>
        <v>294673</v>
      </c>
      <c r="AO22" s="1083">
        <f t="shared" si="14"/>
        <v>296167</v>
      </c>
      <c r="AP22" s="1083">
        <f t="shared" si="14"/>
        <v>298018</v>
      </c>
      <c r="AQ22" s="1083">
        <f t="shared" si="14"/>
        <v>299025</v>
      </c>
      <c r="AR22" s="1083">
        <f t="shared" si="14"/>
        <v>300399</v>
      </c>
      <c r="AS22" s="1083">
        <f t="shared" si="14"/>
        <v>302492</v>
      </c>
      <c r="AT22" s="1083">
        <f t="shared" si="14"/>
        <v>310130</v>
      </c>
      <c r="AU22" s="1083">
        <f t="shared" si="14"/>
        <v>317768</v>
      </c>
      <c r="AW22" s="36">
        <v>302945</v>
      </c>
      <c r="AX22" s="679">
        <f t="shared" si="3"/>
        <v>2546</v>
      </c>
      <c r="AY22" s="8"/>
      <c r="AZ22" s="8"/>
      <c r="BA22" s="8"/>
    </row>
    <row r="23" spans="1:53" ht="12.75" customHeight="1">
      <c r="A23" s="14">
        <v>1</v>
      </c>
      <c r="B23" s="16">
        <v>207</v>
      </c>
      <c r="C23" s="20" t="s">
        <v>187</v>
      </c>
      <c r="D23" s="36">
        <v>30342</v>
      </c>
      <c r="E23" s="36">
        <v>41123</v>
      </c>
      <c r="F23" s="36">
        <v>48882</v>
      </c>
      <c r="G23" s="36">
        <v>55978</v>
      </c>
      <c r="H23" s="36">
        <v>58877</v>
      </c>
      <c r="I23" s="36">
        <v>62702</v>
      </c>
      <c r="J23" s="37">
        <f>世帯数2!R19</f>
        <v>63463</v>
      </c>
      <c r="K23" s="37">
        <f>世帯数2!S19</f>
        <v>64539</v>
      </c>
      <c r="L23" s="37">
        <f>世帯数2!T19</f>
        <v>65690</v>
      </c>
      <c r="M23" s="37">
        <f>世帯数2!U19</f>
        <v>66799</v>
      </c>
      <c r="N23" s="36">
        <v>66665</v>
      </c>
      <c r="O23" s="37">
        <f>世帯数2!V19</f>
        <v>67875</v>
      </c>
      <c r="P23" s="37">
        <f>世帯数2!W19</f>
        <v>69038</v>
      </c>
      <c r="Q23" s="37">
        <f>世帯数2!X19</f>
        <v>70479</v>
      </c>
      <c r="R23" s="37">
        <f>世帯数2!Y19</f>
        <v>66887</v>
      </c>
      <c r="S23" s="38">
        <v>70846</v>
      </c>
      <c r="T23" s="38">
        <f>世帯数2!AA19</f>
        <v>71323</v>
      </c>
      <c r="U23" s="38">
        <f>世帯数2!AB19</f>
        <v>72025</v>
      </c>
      <c r="V23" s="38">
        <f>世帯数2!AC19</f>
        <v>73022</v>
      </c>
      <c r="W23" s="48">
        <v>73887</v>
      </c>
      <c r="X23" s="55">
        <v>74512</v>
      </c>
      <c r="Y23" s="38">
        <v>72983</v>
      </c>
      <c r="Z23" s="45">
        <v>73774</v>
      </c>
      <c r="AA23" s="45">
        <v>75108</v>
      </c>
      <c r="AB23" s="45">
        <v>76067</v>
      </c>
      <c r="AC23" s="45">
        <v>77222</v>
      </c>
      <c r="AD23" s="290">
        <v>77263</v>
      </c>
      <c r="AE23" s="522">
        <v>77905</v>
      </c>
      <c r="AF23" s="522">
        <v>77489</v>
      </c>
      <c r="AG23" s="522">
        <v>77921</v>
      </c>
      <c r="AH23" s="522">
        <v>78147</v>
      </c>
      <c r="AI23" s="290">
        <v>78903</v>
      </c>
      <c r="AJ23" s="1085">
        <v>79632</v>
      </c>
      <c r="AK23" s="1085">
        <v>80150</v>
      </c>
      <c r="AL23" s="1086">
        <v>80925</v>
      </c>
      <c r="AM23" s="693">
        <v>81772</v>
      </c>
      <c r="AN23" s="1087">
        <v>82481</v>
      </c>
      <c r="AO23" s="693">
        <v>82966</v>
      </c>
      <c r="AP23" s="290">
        <v>83582</v>
      </c>
      <c r="AQ23" s="522">
        <v>84031</v>
      </c>
      <c r="AR23" s="522">
        <v>84479</v>
      </c>
      <c r="AS23" s="522">
        <v>85412</v>
      </c>
      <c r="AT23" s="289">
        <f t="shared" si="7"/>
        <v>89252</v>
      </c>
      <c r="AU23" s="289">
        <f t="shared" si="8"/>
        <v>93092</v>
      </c>
      <c r="AW23" s="522">
        <v>85759</v>
      </c>
      <c r="AX23" s="679">
        <f t="shared" si="3"/>
        <v>1280</v>
      </c>
      <c r="AY23" s="8"/>
      <c r="AZ23" s="8"/>
      <c r="BA23" s="8"/>
    </row>
    <row r="24" spans="1:53" ht="12.75" customHeight="1">
      <c r="A24" s="14">
        <v>1</v>
      </c>
      <c r="B24" s="16">
        <v>214</v>
      </c>
      <c r="C24" s="20" t="s">
        <v>188</v>
      </c>
      <c r="D24" s="36">
        <v>23438</v>
      </c>
      <c r="E24" s="36">
        <v>35378</v>
      </c>
      <c r="F24" s="36">
        <v>47083</v>
      </c>
      <c r="G24" s="36">
        <v>58300</v>
      </c>
      <c r="H24" s="36">
        <v>62586</v>
      </c>
      <c r="I24" s="36">
        <v>67922</v>
      </c>
      <c r="J24" s="37">
        <f>世帯数2!R20</f>
        <v>69432</v>
      </c>
      <c r="K24" s="37">
        <f>世帯数2!S20</f>
        <v>70477</v>
      </c>
      <c r="L24" s="37">
        <f>世帯数2!T20</f>
        <v>71558</v>
      </c>
      <c r="M24" s="37">
        <f>世帯数2!U20</f>
        <v>72797</v>
      </c>
      <c r="N24" s="36">
        <v>71363</v>
      </c>
      <c r="O24" s="37">
        <f>世帯数2!V20</f>
        <v>72478</v>
      </c>
      <c r="P24" s="37">
        <f>世帯数2!W20</f>
        <v>74362</v>
      </c>
      <c r="Q24" s="37">
        <f>世帯数2!X20</f>
        <v>76262</v>
      </c>
      <c r="R24" s="37">
        <f>世帯数2!Y20</f>
        <v>76133</v>
      </c>
      <c r="S24" s="38">
        <v>79131</v>
      </c>
      <c r="T24" s="38">
        <f>世帯数2!AA20</f>
        <v>81451</v>
      </c>
      <c r="U24" s="38">
        <f>世帯数2!AB20</f>
        <v>82951</v>
      </c>
      <c r="V24" s="38">
        <f>世帯数2!AC20</f>
        <v>84457</v>
      </c>
      <c r="W24" s="48">
        <v>85782</v>
      </c>
      <c r="X24" s="55">
        <v>87300</v>
      </c>
      <c r="Y24" s="38">
        <v>85098</v>
      </c>
      <c r="Z24" s="45">
        <v>86376</v>
      </c>
      <c r="AA24" s="45">
        <v>87702</v>
      </c>
      <c r="AB24" s="45">
        <v>89206</v>
      </c>
      <c r="AC24" s="45">
        <v>90593</v>
      </c>
      <c r="AD24" s="290">
        <v>91737</v>
      </c>
      <c r="AE24" s="522">
        <v>92820</v>
      </c>
      <c r="AF24" s="522">
        <v>93419</v>
      </c>
      <c r="AG24" s="522">
        <v>93472</v>
      </c>
      <c r="AH24" s="522">
        <v>93603</v>
      </c>
      <c r="AI24" s="290">
        <v>94140</v>
      </c>
      <c r="AJ24" s="1085">
        <v>94562</v>
      </c>
      <c r="AK24" s="1085">
        <v>94857</v>
      </c>
      <c r="AL24" s="1086">
        <v>94977</v>
      </c>
      <c r="AM24" s="693">
        <v>95252</v>
      </c>
      <c r="AN24" s="1087">
        <v>95465</v>
      </c>
      <c r="AO24" s="693">
        <v>95886</v>
      </c>
      <c r="AP24" s="290">
        <v>96462</v>
      </c>
      <c r="AQ24" s="522">
        <v>96734</v>
      </c>
      <c r="AR24" s="522">
        <v>97144</v>
      </c>
      <c r="AS24" s="522">
        <v>97523</v>
      </c>
      <c r="AT24" s="289">
        <f t="shared" si="7"/>
        <v>98870</v>
      </c>
      <c r="AU24" s="289">
        <f t="shared" si="8"/>
        <v>100217</v>
      </c>
      <c r="AW24" s="522">
        <v>97593</v>
      </c>
      <c r="AX24" s="679">
        <f t="shared" si="3"/>
        <v>449</v>
      </c>
      <c r="AY24" s="8"/>
      <c r="AZ24" s="8"/>
      <c r="BA24" s="8"/>
    </row>
    <row r="25" spans="1:53" ht="12.75" customHeight="1">
      <c r="A25" s="14">
        <v>1</v>
      </c>
      <c r="B25" s="16">
        <v>217</v>
      </c>
      <c r="C25" s="20" t="s">
        <v>189</v>
      </c>
      <c r="D25" s="36">
        <v>16205</v>
      </c>
      <c r="E25" s="36">
        <v>24156</v>
      </c>
      <c r="F25" s="36">
        <v>32504</v>
      </c>
      <c r="G25" s="36">
        <v>38101</v>
      </c>
      <c r="H25" s="36">
        <v>40753</v>
      </c>
      <c r="I25" s="36">
        <v>44107</v>
      </c>
      <c r="J25" s="37">
        <f>世帯数2!R21</f>
        <v>44756</v>
      </c>
      <c r="K25" s="37">
        <f>世帯数2!S21</f>
        <v>45685</v>
      </c>
      <c r="L25" s="37">
        <f>世帯数2!T21</f>
        <v>46695</v>
      </c>
      <c r="M25" s="37">
        <f>世帯数2!U21</f>
        <v>47675</v>
      </c>
      <c r="N25" s="36">
        <v>48522</v>
      </c>
      <c r="O25" s="37">
        <f>世帯数2!V21</f>
        <v>50481</v>
      </c>
      <c r="P25" s="37">
        <f>世帯数2!W21</f>
        <v>51726</v>
      </c>
      <c r="Q25" s="37">
        <f>世帯数2!X21</f>
        <v>53086</v>
      </c>
      <c r="R25" s="37">
        <f>世帯数2!Y21</f>
        <v>55968</v>
      </c>
      <c r="S25" s="38">
        <v>54766</v>
      </c>
      <c r="T25" s="38">
        <f>世帯数2!AA21</f>
        <v>55744</v>
      </c>
      <c r="U25" s="38">
        <f>世帯数2!AB21</f>
        <v>56919</v>
      </c>
      <c r="V25" s="38">
        <f>世帯数2!AC21</f>
        <v>57942</v>
      </c>
      <c r="W25" s="48">
        <v>58777</v>
      </c>
      <c r="X25" s="55">
        <v>59905</v>
      </c>
      <c r="Y25" s="38">
        <v>58777</v>
      </c>
      <c r="Z25" s="45">
        <v>59566</v>
      </c>
      <c r="AA25" s="45">
        <v>60254</v>
      </c>
      <c r="AB25" s="45">
        <v>61103</v>
      </c>
      <c r="AC25" s="45">
        <v>62066</v>
      </c>
      <c r="AD25" s="290">
        <v>60584</v>
      </c>
      <c r="AE25" s="522">
        <v>61066</v>
      </c>
      <c r="AF25" s="522">
        <v>61172</v>
      </c>
      <c r="AG25" s="522">
        <v>61844</v>
      </c>
      <c r="AH25" s="522">
        <v>62210</v>
      </c>
      <c r="AI25" s="290">
        <v>62675</v>
      </c>
      <c r="AJ25" s="1085">
        <v>62858</v>
      </c>
      <c r="AK25" s="1085">
        <v>62987</v>
      </c>
      <c r="AL25" s="1086">
        <v>63038</v>
      </c>
      <c r="AM25" s="693">
        <v>63253</v>
      </c>
      <c r="AN25" s="1087">
        <v>63331</v>
      </c>
      <c r="AO25" s="693">
        <v>63768</v>
      </c>
      <c r="AP25" s="290">
        <v>64273</v>
      </c>
      <c r="AQ25" s="522">
        <v>64555</v>
      </c>
      <c r="AR25" s="522">
        <v>64737</v>
      </c>
      <c r="AS25" s="522">
        <v>65209</v>
      </c>
      <c r="AT25" s="289">
        <f t="shared" si="7"/>
        <v>66781</v>
      </c>
      <c r="AU25" s="289">
        <f t="shared" si="8"/>
        <v>68353</v>
      </c>
      <c r="AW25" s="522">
        <v>65261</v>
      </c>
      <c r="AX25" s="679">
        <f t="shared" si="3"/>
        <v>524</v>
      </c>
      <c r="AY25" s="8"/>
      <c r="AZ25" s="8"/>
      <c r="BA25" s="8"/>
    </row>
    <row r="26" spans="1:53" ht="12.75" customHeight="1">
      <c r="A26" s="14">
        <v>1</v>
      </c>
      <c r="B26" s="16">
        <v>219</v>
      </c>
      <c r="C26" s="20" t="s">
        <v>190</v>
      </c>
      <c r="D26" s="36">
        <v>7064</v>
      </c>
      <c r="E26" s="36">
        <v>7744</v>
      </c>
      <c r="F26" s="36">
        <v>8619</v>
      </c>
      <c r="G26" s="36">
        <v>9424</v>
      </c>
      <c r="H26" s="36">
        <v>10777</v>
      </c>
      <c r="I26" s="36">
        <v>18217</v>
      </c>
      <c r="J26" s="37">
        <f>世帯数2!R22</f>
        <v>20309</v>
      </c>
      <c r="K26" s="37">
        <f>世帯数2!S22</f>
        <v>22427</v>
      </c>
      <c r="L26" s="37">
        <f>世帯数2!T22</f>
        <v>24218</v>
      </c>
      <c r="M26" s="37">
        <f>世帯数2!U22</f>
        <v>26824</v>
      </c>
      <c r="N26" s="36">
        <v>28375</v>
      </c>
      <c r="O26" s="37">
        <f>世帯数2!V22</f>
        <v>30472</v>
      </c>
      <c r="P26" s="37">
        <f>世帯数2!W22</f>
        <v>32015</v>
      </c>
      <c r="Q26" s="37">
        <f>世帯数2!X22</f>
        <v>33411</v>
      </c>
      <c r="R26" s="37">
        <f>世帯数2!Y22</f>
        <v>34219</v>
      </c>
      <c r="S26" s="38">
        <v>34374</v>
      </c>
      <c r="T26" s="38">
        <f>世帯数2!AA22</f>
        <v>35070</v>
      </c>
      <c r="U26" s="38">
        <f>世帯数2!AB22</f>
        <v>35754</v>
      </c>
      <c r="V26" s="38">
        <f>世帯数2!AC22</f>
        <v>36229</v>
      </c>
      <c r="W26" s="48">
        <v>36618</v>
      </c>
      <c r="X26" s="55">
        <v>36941</v>
      </c>
      <c r="Y26" s="38">
        <v>37052</v>
      </c>
      <c r="Z26" s="45">
        <v>37728</v>
      </c>
      <c r="AA26" s="45">
        <v>38194</v>
      </c>
      <c r="AB26" s="45">
        <v>39026</v>
      </c>
      <c r="AC26" s="45">
        <v>39632</v>
      </c>
      <c r="AD26" s="290">
        <v>40068</v>
      </c>
      <c r="AE26" s="522">
        <v>40495</v>
      </c>
      <c r="AF26" s="522">
        <v>40638</v>
      </c>
      <c r="AG26" s="522">
        <v>40795</v>
      </c>
      <c r="AH26" s="522">
        <v>40936</v>
      </c>
      <c r="AI26" s="290">
        <v>41070</v>
      </c>
      <c r="AJ26" s="1085">
        <v>41403</v>
      </c>
      <c r="AK26" s="1085">
        <v>41795</v>
      </c>
      <c r="AL26" s="1086">
        <v>42013</v>
      </c>
      <c r="AM26" s="693">
        <v>42314</v>
      </c>
      <c r="AN26" s="1087">
        <v>42401</v>
      </c>
      <c r="AO26" s="693">
        <v>42526</v>
      </c>
      <c r="AP26" s="290">
        <v>42677</v>
      </c>
      <c r="AQ26" s="522">
        <v>42691</v>
      </c>
      <c r="AR26" s="522">
        <v>43090</v>
      </c>
      <c r="AS26" s="522">
        <v>43405</v>
      </c>
      <c r="AT26" s="289">
        <f t="shared" si="7"/>
        <v>44338</v>
      </c>
      <c r="AU26" s="289">
        <f t="shared" si="8"/>
        <v>45271</v>
      </c>
      <c r="AW26" s="522">
        <v>43401</v>
      </c>
      <c r="AX26" s="679">
        <f t="shared" si="3"/>
        <v>311</v>
      </c>
      <c r="AY26" s="8"/>
      <c r="AZ26" s="8"/>
      <c r="BA26" s="8"/>
    </row>
    <row r="27" spans="1:53" ht="12.75" customHeight="1">
      <c r="A27" s="14">
        <v>1</v>
      </c>
      <c r="B27" s="16">
        <v>301</v>
      </c>
      <c r="C27" s="20" t="s">
        <v>191</v>
      </c>
      <c r="D27" s="36">
        <v>1443</v>
      </c>
      <c r="E27" s="36">
        <v>1548</v>
      </c>
      <c r="F27" s="36">
        <v>1860</v>
      </c>
      <c r="G27" s="36">
        <v>2846</v>
      </c>
      <c r="H27" s="36">
        <v>3626</v>
      </c>
      <c r="I27" s="36">
        <v>5823</v>
      </c>
      <c r="J27" s="37">
        <f>世帯数2!R23</f>
        <v>6204</v>
      </c>
      <c r="K27" s="37">
        <f>世帯数2!S23</f>
        <v>6563</v>
      </c>
      <c r="L27" s="37">
        <f>世帯数2!T23</f>
        <v>7006</v>
      </c>
      <c r="M27" s="37">
        <f>世帯数2!U23</f>
        <v>7464</v>
      </c>
      <c r="N27" s="36">
        <v>7641</v>
      </c>
      <c r="O27" s="37">
        <f>世帯数2!V23</f>
        <v>7914</v>
      </c>
      <c r="P27" s="37">
        <f>世帯数2!W23</f>
        <v>8157</v>
      </c>
      <c r="Q27" s="37">
        <f>世帯数2!X23</f>
        <v>8423</v>
      </c>
      <c r="R27" s="37">
        <f>世帯数2!Y23</f>
        <v>8654</v>
      </c>
      <c r="S27" s="38">
        <v>8700</v>
      </c>
      <c r="T27" s="38">
        <f>世帯数2!AA23</f>
        <v>8813</v>
      </c>
      <c r="U27" s="38">
        <f>世帯数2!AB23</f>
        <v>8980</v>
      </c>
      <c r="V27" s="38">
        <f>世帯数2!AC23</f>
        <v>9063</v>
      </c>
      <c r="W27" s="48">
        <v>9362</v>
      </c>
      <c r="X27" s="55">
        <v>9741</v>
      </c>
      <c r="Y27" s="38">
        <v>9391</v>
      </c>
      <c r="Z27" s="45">
        <v>9767</v>
      </c>
      <c r="AA27" s="45">
        <v>10151</v>
      </c>
      <c r="AB27" s="45">
        <v>10448</v>
      </c>
      <c r="AC27" s="45">
        <v>10667</v>
      </c>
      <c r="AD27" s="290">
        <v>10547</v>
      </c>
      <c r="AE27" s="522">
        <v>10606</v>
      </c>
      <c r="AF27" s="522">
        <v>10602</v>
      </c>
      <c r="AG27" s="522">
        <v>10623</v>
      </c>
      <c r="AH27" s="522">
        <v>10736</v>
      </c>
      <c r="AI27" s="290">
        <v>10780</v>
      </c>
      <c r="AJ27" s="1085">
        <v>10874</v>
      </c>
      <c r="AK27" s="1085">
        <v>10939</v>
      </c>
      <c r="AL27" s="1086">
        <v>11018</v>
      </c>
      <c r="AM27" s="693">
        <v>11013</v>
      </c>
      <c r="AN27" s="1087">
        <v>10995</v>
      </c>
      <c r="AO27" s="693">
        <v>11021</v>
      </c>
      <c r="AP27" s="290">
        <v>11024</v>
      </c>
      <c r="AQ27" s="522">
        <v>11014</v>
      </c>
      <c r="AR27" s="522">
        <v>10949</v>
      </c>
      <c r="AS27" s="522">
        <v>10943</v>
      </c>
      <c r="AT27" s="289">
        <f t="shared" si="7"/>
        <v>10889</v>
      </c>
      <c r="AU27" s="289">
        <f t="shared" si="8"/>
        <v>10835</v>
      </c>
      <c r="AW27" s="522">
        <v>10931</v>
      </c>
      <c r="AX27" s="679">
        <f t="shared" si="3"/>
        <v>-18</v>
      </c>
      <c r="AY27" s="8"/>
      <c r="AZ27" s="8"/>
      <c r="BA27" s="8"/>
    </row>
    <row r="28" spans="1:53" s="5" customFormat="1" ht="20.25" customHeight="1">
      <c r="C28" s="19" t="s">
        <v>192</v>
      </c>
      <c r="D28" s="36">
        <v>86409</v>
      </c>
      <c r="E28" s="36">
        <v>114961</v>
      </c>
      <c r="F28" s="36">
        <v>146191</v>
      </c>
      <c r="G28" s="36">
        <v>177113</v>
      </c>
      <c r="H28" s="36">
        <v>189785</v>
      </c>
      <c r="I28" s="36">
        <v>206640</v>
      </c>
      <c r="J28" s="36">
        <f t="shared" ref="J28:V28" si="15">SUM(J29:J33)</f>
        <v>212656</v>
      </c>
      <c r="K28" s="36">
        <f t="shared" si="15"/>
        <v>218386</v>
      </c>
      <c r="L28" s="36">
        <f t="shared" si="15"/>
        <v>223789</v>
      </c>
      <c r="M28" s="36">
        <f t="shared" si="15"/>
        <v>228787</v>
      </c>
      <c r="N28" s="36">
        <f t="shared" si="15"/>
        <v>235911</v>
      </c>
      <c r="O28" s="36">
        <f t="shared" si="15"/>
        <v>241067</v>
      </c>
      <c r="P28" s="36">
        <f t="shared" si="15"/>
        <v>246370</v>
      </c>
      <c r="Q28" s="36">
        <f t="shared" si="15"/>
        <v>251227</v>
      </c>
      <c r="R28" s="36">
        <f t="shared" si="15"/>
        <v>249900</v>
      </c>
      <c r="S28" s="36">
        <f t="shared" si="15"/>
        <v>250608</v>
      </c>
      <c r="T28" s="36">
        <f t="shared" si="15"/>
        <v>253547</v>
      </c>
      <c r="U28" s="36">
        <f t="shared" si="15"/>
        <v>256145</v>
      </c>
      <c r="V28" s="36">
        <f t="shared" si="15"/>
        <v>258671</v>
      </c>
      <c r="W28" s="36">
        <f t="shared" ref="W28:AB28" si="16">SUM(W29:W33)</f>
        <v>262146</v>
      </c>
      <c r="X28" s="53">
        <f t="shared" si="16"/>
        <v>264891</v>
      </c>
      <c r="Y28" s="36">
        <f t="shared" si="16"/>
        <v>261983</v>
      </c>
      <c r="Z28" s="36">
        <f t="shared" si="16"/>
        <v>265589</v>
      </c>
      <c r="AA28" s="36">
        <f t="shared" si="16"/>
        <v>269322</v>
      </c>
      <c r="AB28" s="36">
        <f t="shared" si="16"/>
        <v>273407</v>
      </c>
      <c r="AC28" s="36">
        <f>SUM(AC29:AC33)</f>
        <v>277345</v>
      </c>
      <c r="AD28" s="36">
        <v>275137</v>
      </c>
      <c r="AE28" s="36">
        <f t="shared" ref="AE28:AU28" si="17">SUM(AE29:AE33)</f>
        <v>277959</v>
      </c>
      <c r="AF28" s="36">
        <f t="shared" si="17"/>
        <v>279669</v>
      </c>
      <c r="AG28" s="36">
        <f t="shared" si="17"/>
        <v>281780</v>
      </c>
      <c r="AH28" s="36">
        <f t="shared" si="17"/>
        <v>283932</v>
      </c>
      <c r="AI28" s="36">
        <f t="shared" si="17"/>
        <v>286009</v>
      </c>
      <c r="AJ28" s="1082">
        <f t="shared" si="17"/>
        <v>289019</v>
      </c>
      <c r="AK28" s="1082">
        <f t="shared" si="17"/>
        <v>292323</v>
      </c>
      <c r="AL28" s="1083">
        <f t="shared" si="17"/>
        <v>295659</v>
      </c>
      <c r="AM28" s="1083">
        <f t="shared" si="17"/>
        <v>299169</v>
      </c>
      <c r="AN28" s="1083">
        <f t="shared" si="17"/>
        <v>302730</v>
      </c>
      <c r="AO28" s="1083">
        <f t="shared" si="17"/>
        <v>304950</v>
      </c>
      <c r="AP28" s="1083">
        <f t="shared" si="17"/>
        <v>307351</v>
      </c>
      <c r="AQ28" s="1083">
        <f t="shared" si="17"/>
        <v>310022</v>
      </c>
      <c r="AR28" s="1083">
        <f t="shared" si="17"/>
        <v>312763</v>
      </c>
      <c r="AS28" s="1083">
        <f t="shared" si="17"/>
        <v>315033</v>
      </c>
      <c r="AT28" s="1083">
        <f t="shared" si="17"/>
        <v>322419</v>
      </c>
      <c r="AU28" s="1083">
        <f t="shared" si="17"/>
        <v>329805</v>
      </c>
      <c r="AW28" s="36">
        <v>315225</v>
      </c>
      <c r="AX28" s="679">
        <f t="shared" si="3"/>
        <v>2462</v>
      </c>
      <c r="AY28" s="8"/>
      <c r="AZ28" s="8"/>
      <c r="BA28" s="8"/>
    </row>
    <row r="29" spans="1:53" ht="12.75" customHeight="1">
      <c r="A29" s="14">
        <v>2</v>
      </c>
      <c r="B29" s="16">
        <v>203</v>
      </c>
      <c r="C29" s="20" t="s">
        <v>193</v>
      </c>
      <c r="D29" s="36">
        <v>39196</v>
      </c>
      <c r="E29" s="36">
        <v>55515</v>
      </c>
      <c r="F29" s="36">
        <v>67275</v>
      </c>
      <c r="G29" s="36">
        <v>77829</v>
      </c>
      <c r="H29" s="36">
        <v>82288</v>
      </c>
      <c r="I29" s="36">
        <v>89365</v>
      </c>
      <c r="J29" s="37">
        <f>世帯数2!R25</f>
        <v>92356</v>
      </c>
      <c r="K29" s="37">
        <f>世帯数2!S25</f>
        <v>94692</v>
      </c>
      <c r="L29" s="37">
        <f>世帯数2!T25</f>
        <v>96696</v>
      </c>
      <c r="M29" s="37">
        <f>世帯数2!U25</f>
        <v>98757</v>
      </c>
      <c r="N29" s="36">
        <v>101019</v>
      </c>
      <c r="O29" s="37">
        <f>世帯数2!V25</f>
        <v>102905</v>
      </c>
      <c r="P29" s="37">
        <f>世帯数2!W25</f>
        <v>105366</v>
      </c>
      <c r="Q29" s="37">
        <f>世帯数2!X25</f>
        <v>107692</v>
      </c>
      <c r="R29" s="37">
        <f>世帯数2!Y25</f>
        <v>105648</v>
      </c>
      <c r="S29" s="38">
        <v>107610</v>
      </c>
      <c r="T29" s="38">
        <f>世帯数2!AA25</f>
        <v>108608</v>
      </c>
      <c r="U29" s="38">
        <f>世帯数2!AB25</f>
        <v>109231</v>
      </c>
      <c r="V29" s="38">
        <f>世帯数2!AC25</f>
        <v>110316</v>
      </c>
      <c r="W29" s="48">
        <v>111842</v>
      </c>
      <c r="X29" s="55">
        <v>112940</v>
      </c>
      <c r="Y29" s="38">
        <v>111585</v>
      </c>
      <c r="Z29" s="45">
        <v>112912</v>
      </c>
      <c r="AA29" s="45">
        <v>114636</v>
      </c>
      <c r="AB29" s="45">
        <v>116292</v>
      </c>
      <c r="AC29" s="45">
        <v>118249</v>
      </c>
      <c r="AD29" s="290">
        <v>116948</v>
      </c>
      <c r="AE29" s="522">
        <v>117767</v>
      </c>
      <c r="AF29" s="522">
        <v>118386</v>
      </c>
      <c r="AG29" s="522">
        <v>119467</v>
      </c>
      <c r="AH29" s="522">
        <v>120604</v>
      </c>
      <c r="AI29" s="290">
        <v>121890</v>
      </c>
      <c r="AJ29" s="1085">
        <v>123795</v>
      </c>
      <c r="AK29" s="1085">
        <v>126624</v>
      </c>
      <c r="AL29" s="1086">
        <v>129153</v>
      </c>
      <c r="AM29" s="693">
        <v>131641</v>
      </c>
      <c r="AN29" s="1087">
        <v>133647</v>
      </c>
      <c r="AO29" s="693">
        <v>134566</v>
      </c>
      <c r="AP29" s="290">
        <v>135788</v>
      </c>
      <c r="AQ29" s="522">
        <v>137171</v>
      </c>
      <c r="AR29" s="522">
        <v>138602</v>
      </c>
      <c r="AS29" s="522">
        <v>139630</v>
      </c>
      <c r="AT29" s="289">
        <f t="shared" si="7"/>
        <v>143146</v>
      </c>
      <c r="AU29" s="289">
        <f t="shared" si="8"/>
        <v>146662</v>
      </c>
      <c r="AW29" s="522">
        <v>139774</v>
      </c>
      <c r="AX29" s="679">
        <f t="shared" si="3"/>
        <v>1172</v>
      </c>
      <c r="AY29" s="8"/>
      <c r="AZ29" s="8"/>
      <c r="BA29" s="8"/>
    </row>
    <row r="30" spans="1:53" ht="12.75" customHeight="1">
      <c r="A30" s="14">
        <v>2</v>
      </c>
      <c r="B30" s="16">
        <v>210</v>
      </c>
      <c r="C30" s="20" t="s">
        <v>194</v>
      </c>
      <c r="D30" s="36">
        <v>26090</v>
      </c>
      <c r="E30" s="36">
        <v>34102</v>
      </c>
      <c r="F30" s="36">
        <v>47578</v>
      </c>
      <c r="G30" s="36">
        <v>60335</v>
      </c>
      <c r="H30" s="36">
        <v>64965</v>
      </c>
      <c r="I30" s="36">
        <v>71715</v>
      </c>
      <c r="J30" s="37">
        <f>世帯数2!R26</f>
        <v>73709</v>
      </c>
      <c r="K30" s="37">
        <f>世帯数2!S26</f>
        <v>75991</v>
      </c>
      <c r="L30" s="37">
        <f>世帯数2!T26</f>
        <v>78091</v>
      </c>
      <c r="M30" s="37">
        <f>世帯数2!U26</f>
        <v>79956</v>
      </c>
      <c r="N30" s="36">
        <v>83792</v>
      </c>
      <c r="O30" s="37">
        <f>世帯数2!V26</f>
        <v>85941</v>
      </c>
      <c r="P30" s="37">
        <f>世帯数2!W26</f>
        <v>87818</v>
      </c>
      <c r="Q30" s="37">
        <f>世帯数2!X26</f>
        <v>89630</v>
      </c>
      <c r="R30" s="37">
        <f>世帯数2!Y26</f>
        <v>90208</v>
      </c>
      <c r="S30" s="38">
        <v>89533</v>
      </c>
      <c r="T30" s="38">
        <f>世帯数2!AA26</f>
        <v>90785</v>
      </c>
      <c r="U30" s="38">
        <f>世帯数2!AB26</f>
        <v>92016</v>
      </c>
      <c r="V30" s="38">
        <f>世帯数2!AC26</f>
        <v>93082</v>
      </c>
      <c r="W30" s="48">
        <v>94374</v>
      </c>
      <c r="X30" s="55">
        <v>95483</v>
      </c>
      <c r="Y30" s="38">
        <v>94605</v>
      </c>
      <c r="Z30" s="45">
        <v>95952</v>
      </c>
      <c r="AA30" s="45">
        <v>97390</v>
      </c>
      <c r="AB30" s="45">
        <v>98963</v>
      </c>
      <c r="AC30" s="45">
        <v>100313</v>
      </c>
      <c r="AD30" s="290">
        <v>99645</v>
      </c>
      <c r="AE30" s="522">
        <v>101187</v>
      </c>
      <c r="AF30" s="522">
        <v>101791</v>
      </c>
      <c r="AG30" s="522">
        <v>102468</v>
      </c>
      <c r="AH30" s="522">
        <v>103038</v>
      </c>
      <c r="AI30" s="290">
        <v>103495</v>
      </c>
      <c r="AJ30" s="1085">
        <v>104142</v>
      </c>
      <c r="AK30" s="1085">
        <v>104608</v>
      </c>
      <c r="AL30" s="1086">
        <v>105357</v>
      </c>
      <c r="AM30" s="693">
        <v>106100</v>
      </c>
      <c r="AN30" s="1087">
        <v>107195</v>
      </c>
      <c r="AO30" s="693">
        <v>108113</v>
      </c>
      <c r="AP30" s="290">
        <v>108791</v>
      </c>
      <c r="AQ30" s="522">
        <v>109569</v>
      </c>
      <c r="AR30" s="522">
        <v>110413</v>
      </c>
      <c r="AS30" s="522">
        <v>111148</v>
      </c>
      <c r="AT30" s="289">
        <f t="shared" si="7"/>
        <v>113533</v>
      </c>
      <c r="AU30" s="289">
        <f t="shared" si="8"/>
        <v>115918</v>
      </c>
      <c r="AW30" s="522">
        <v>111208</v>
      </c>
      <c r="AX30" s="679">
        <f t="shared" si="3"/>
        <v>795</v>
      </c>
      <c r="AY30" s="8"/>
      <c r="AZ30" s="8"/>
      <c r="BA30" s="8"/>
    </row>
    <row r="31" spans="1:53" ht="12.75" customHeight="1">
      <c r="A31" s="14">
        <v>2</v>
      </c>
      <c r="B31" s="16">
        <v>216</v>
      </c>
      <c r="C31" s="20" t="s">
        <v>195</v>
      </c>
      <c r="D31" s="36">
        <v>14609</v>
      </c>
      <c r="E31" s="36">
        <v>17343</v>
      </c>
      <c r="F31" s="36">
        <v>20596</v>
      </c>
      <c r="G31" s="36">
        <v>24818</v>
      </c>
      <c r="H31" s="36">
        <v>26834</v>
      </c>
      <c r="I31" s="36">
        <v>28497</v>
      </c>
      <c r="J31" s="37">
        <f>世帯数2!R27</f>
        <v>29008</v>
      </c>
      <c r="K31" s="37">
        <f>世帯数2!S27</f>
        <v>29704</v>
      </c>
      <c r="L31" s="37">
        <f>世帯数2!T27</f>
        <v>30388</v>
      </c>
      <c r="M31" s="37">
        <f>世帯数2!U27</f>
        <v>31102</v>
      </c>
      <c r="N31" s="36">
        <v>31726</v>
      </c>
      <c r="O31" s="37">
        <f>世帯数2!V27</f>
        <v>32169</v>
      </c>
      <c r="P31" s="37">
        <f>世帯数2!W27</f>
        <v>32692</v>
      </c>
      <c r="Q31" s="37">
        <f>世帯数2!X27</f>
        <v>33125</v>
      </c>
      <c r="R31" s="37">
        <f>世帯数2!Y27</f>
        <v>32992</v>
      </c>
      <c r="S31" s="38">
        <v>32633</v>
      </c>
      <c r="T31" s="38">
        <f>世帯数2!AA27</f>
        <v>32917</v>
      </c>
      <c r="U31" s="38">
        <f>世帯数2!AB27</f>
        <v>33317</v>
      </c>
      <c r="V31" s="38">
        <f>世帯数2!AC27</f>
        <v>33509</v>
      </c>
      <c r="W31" s="48">
        <v>33812</v>
      </c>
      <c r="X31" s="55">
        <v>34073</v>
      </c>
      <c r="Y31" s="38">
        <v>33838</v>
      </c>
      <c r="Z31" s="45">
        <v>34378</v>
      </c>
      <c r="AA31" s="45">
        <v>34663</v>
      </c>
      <c r="AB31" s="45">
        <v>35258</v>
      </c>
      <c r="AC31" s="45">
        <v>35674</v>
      </c>
      <c r="AD31" s="290">
        <v>35737</v>
      </c>
      <c r="AE31" s="522">
        <v>35796</v>
      </c>
      <c r="AF31" s="522">
        <v>35944</v>
      </c>
      <c r="AG31" s="522">
        <v>36010</v>
      </c>
      <c r="AH31" s="522">
        <v>36168</v>
      </c>
      <c r="AI31" s="290">
        <v>36340</v>
      </c>
      <c r="AJ31" s="1085">
        <v>36561</v>
      </c>
      <c r="AK31" s="1085">
        <v>36484</v>
      </c>
      <c r="AL31" s="1086">
        <v>36417</v>
      </c>
      <c r="AM31" s="693">
        <v>36481</v>
      </c>
      <c r="AN31" s="1087">
        <v>36712</v>
      </c>
      <c r="AO31" s="693">
        <v>36812</v>
      </c>
      <c r="AP31" s="290">
        <v>37044</v>
      </c>
      <c r="AQ31" s="522">
        <v>37237</v>
      </c>
      <c r="AR31" s="522">
        <v>37430</v>
      </c>
      <c r="AS31" s="522">
        <v>37725</v>
      </c>
      <c r="AT31" s="289">
        <f t="shared" si="7"/>
        <v>38523</v>
      </c>
      <c r="AU31" s="289">
        <f t="shared" si="8"/>
        <v>39321</v>
      </c>
      <c r="AW31" s="522">
        <v>37696</v>
      </c>
      <c r="AX31" s="679">
        <f t="shared" si="3"/>
        <v>266</v>
      </c>
      <c r="AY31" s="8"/>
      <c r="AZ31" s="8"/>
      <c r="BA31" s="8"/>
    </row>
    <row r="32" spans="1:53" ht="12.75" customHeight="1">
      <c r="A32" s="14">
        <v>2</v>
      </c>
      <c r="B32" s="16">
        <v>381</v>
      </c>
      <c r="C32" s="20" t="s">
        <v>196</v>
      </c>
      <c r="D32" s="36">
        <v>4036</v>
      </c>
      <c r="E32" s="36">
        <v>4717</v>
      </c>
      <c r="F32" s="36">
        <v>5404</v>
      </c>
      <c r="G32" s="36">
        <v>6724</v>
      </c>
      <c r="H32" s="36">
        <v>7289</v>
      </c>
      <c r="I32" s="36">
        <v>7863</v>
      </c>
      <c r="J32" s="37">
        <f>世帯数2!R28</f>
        <v>8028</v>
      </c>
      <c r="K32" s="37">
        <f>世帯数2!S28</f>
        <v>8259</v>
      </c>
      <c r="L32" s="37">
        <f>世帯数2!T28</f>
        <v>8448</v>
      </c>
      <c r="M32" s="37">
        <f>世帯数2!U28</f>
        <v>8599</v>
      </c>
      <c r="N32" s="36">
        <v>8569</v>
      </c>
      <c r="O32" s="37">
        <f>世帯数2!V28</f>
        <v>8815</v>
      </c>
      <c r="P32" s="37">
        <f>世帯数2!W28</f>
        <v>9018</v>
      </c>
      <c r="Q32" s="37">
        <f>世帯数2!X28</f>
        <v>9167</v>
      </c>
      <c r="R32" s="37">
        <f>世帯数2!Y28</f>
        <v>9353</v>
      </c>
      <c r="S32" s="38">
        <v>9446</v>
      </c>
      <c r="T32" s="38">
        <f>世帯数2!AA28</f>
        <v>9660</v>
      </c>
      <c r="U32" s="38">
        <f>世帯数2!AB28</f>
        <v>9817</v>
      </c>
      <c r="V32" s="38">
        <f>世帯数2!AC28</f>
        <v>9909</v>
      </c>
      <c r="W32" s="48">
        <v>10096</v>
      </c>
      <c r="X32" s="56">
        <v>10215</v>
      </c>
      <c r="Y32" s="38">
        <v>9897</v>
      </c>
      <c r="Z32" s="45">
        <v>10066</v>
      </c>
      <c r="AA32" s="45">
        <v>10181</v>
      </c>
      <c r="AB32" s="45">
        <v>10309</v>
      </c>
      <c r="AC32" s="45">
        <v>10359</v>
      </c>
      <c r="AD32" s="290">
        <v>10226</v>
      </c>
      <c r="AE32" s="522">
        <v>10397</v>
      </c>
      <c r="AF32" s="522">
        <v>10559</v>
      </c>
      <c r="AG32" s="522">
        <v>10733</v>
      </c>
      <c r="AH32" s="522">
        <v>10885</v>
      </c>
      <c r="AI32" s="290">
        <v>11026</v>
      </c>
      <c r="AJ32" s="1085">
        <v>11124</v>
      </c>
      <c r="AK32" s="1085">
        <v>11143</v>
      </c>
      <c r="AL32" s="1086">
        <v>11216</v>
      </c>
      <c r="AM32" s="693">
        <v>11301</v>
      </c>
      <c r="AN32" s="1087">
        <v>11384</v>
      </c>
      <c r="AO32" s="693">
        <v>11492</v>
      </c>
      <c r="AP32" s="290">
        <v>11624</v>
      </c>
      <c r="AQ32" s="522">
        <v>11790</v>
      </c>
      <c r="AR32" s="522">
        <v>11955</v>
      </c>
      <c r="AS32" s="522">
        <v>12031</v>
      </c>
      <c r="AT32" s="289">
        <f t="shared" si="7"/>
        <v>12310</v>
      </c>
      <c r="AU32" s="289">
        <f t="shared" si="8"/>
        <v>12589</v>
      </c>
      <c r="AW32" s="522">
        <v>12048</v>
      </c>
      <c r="AX32" s="679">
        <f t="shared" si="3"/>
        <v>93</v>
      </c>
      <c r="AY32" s="8"/>
      <c r="AZ32" s="8"/>
      <c r="BA32" s="8"/>
    </row>
    <row r="33" spans="1:53" ht="12.75" customHeight="1">
      <c r="A33" s="14">
        <v>2</v>
      </c>
      <c r="B33" s="16">
        <v>382</v>
      </c>
      <c r="C33" s="20" t="s">
        <v>197</v>
      </c>
      <c r="D33" s="36">
        <v>2478</v>
      </c>
      <c r="E33" s="36">
        <v>3284</v>
      </c>
      <c r="F33" s="36">
        <v>5338</v>
      </c>
      <c r="G33" s="36">
        <v>7407</v>
      </c>
      <c r="H33" s="36">
        <v>8409</v>
      </c>
      <c r="I33" s="36">
        <v>9200</v>
      </c>
      <c r="J33" s="37">
        <f>世帯数2!R29</f>
        <v>9555</v>
      </c>
      <c r="K33" s="37">
        <f>世帯数2!S29</f>
        <v>9740</v>
      </c>
      <c r="L33" s="37">
        <f>世帯数2!T29</f>
        <v>10166</v>
      </c>
      <c r="M33" s="37">
        <f>世帯数2!U29</f>
        <v>10373</v>
      </c>
      <c r="N33" s="36">
        <v>10805</v>
      </c>
      <c r="O33" s="37">
        <f>世帯数2!V29</f>
        <v>11237</v>
      </c>
      <c r="P33" s="37">
        <f>世帯数2!W29</f>
        <v>11476</v>
      </c>
      <c r="Q33" s="37">
        <f>世帯数2!X29</f>
        <v>11613</v>
      </c>
      <c r="R33" s="37">
        <f>世帯数2!Y29</f>
        <v>11699</v>
      </c>
      <c r="S33" s="38">
        <v>11386</v>
      </c>
      <c r="T33" s="38">
        <f>世帯数2!AA29</f>
        <v>11577</v>
      </c>
      <c r="U33" s="38">
        <f>世帯数2!AB29</f>
        <v>11764</v>
      </c>
      <c r="V33" s="38">
        <f>世帯数2!AC29</f>
        <v>11855</v>
      </c>
      <c r="W33" s="48">
        <v>12022</v>
      </c>
      <c r="X33" s="55">
        <v>12180</v>
      </c>
      <c r="Y33" s="38">
        <v>12058</v>
      </c>
      <c r="Z33" s="45">
        <v>12281</v>
      </c>
      <c r="AA33" s="45">
        <v>12452</v>
      </c>
      <c r="AB33" s="45">
        <v>12585</v>
      </c>
      <c r="AC33" s="45">
        <v>12750</v>
      </c>
      <c r="AD33" s="290">
        <v>12581</v>
      </c>
      <c r="AE33" s="522">
        <v>12812</v>
      </c>
      <c r="AF33" s="522">
        <v>12989</v>
      </c>
      <c r="AG33" s="522">
        <v>13102</v>
      </c>
      <c r="AH33" s="522">
        <v>13237</v>
      </c>
      <c r="AI33" s="290">
        <v>13258</v>
      </c>
      <c r="AJ33" s="1085">
        <v>13397</v>
      </c>
      <c r="AK33" s="1085">
        <v>13464</v>
      </c>
      <c r="AL33" s="1086">
        <v>13516</v>
      </c>
      <c r="AM33" s="693">
        <v>13646</v>
      </c>
      <c r="AN33" s="1087">
        <v>13792</v>
      </c>
      <c r="AO33" s="693">
        <v>13967</v>
      </c>
      <c r="AP33" s="290">
        <v>14104</v>
      </c>
      <c r="AQ33" s="522">
        <v>14255</v>
      </c>
      <c r="AR33" s="522">
        <v>14363</v>
      </c>
      <c r="AS33" s="522">
        <v>14499</v>
      </c>
      <c r="AT33" s="289">
        <f t="shared" si="7"/>
        <v>14907</v>
      </c>
      <c r="AU33" s="289">
        <f t="shared" si="8"/>
        <v>15315</v>
      </c>
      <c r="AW33" s="522">
        <v>14499</v>
      </c>
      <c r="AX33" s="679">
        <f t="shared" si="3"/>
        <v>136</v>
      </c>
      <c r="AY33" s="8"/>
      <c r="AZ33" s="8"/>
      <c r="BA33" s="8"/>
    </row>
    <row r="34" spans="1:53" s="5" customFormat="1" ht="20.25" customHeight="1">
      <c r="C34" s="21" t="s">
        <v>198</v>
      </c>
      <c r="D34" s="36">
        <v>51955</v>
      </c>
      <c r="E34" s="36">
        <v>55636</v>
      </c>
      <c r="F34" s="36">
        <v>62690</v>
      </c>
      <c r="G34" s="36">
        <v>70538</v>
      </c>
      <c r="H34" s="36">
        <v>74878</v>
      </c>
      <c r="I34" s="36">
        <v>78226</v>
      </c>
      <c r="J34" s="37">
        <f>世帯数2!R30</f>
        <v>80304</v>
      </c>
      <c r="K34" s="37">
        <f>世帯数2!S30</f>
        <v>81771</v>
      </c>
      <c r="L34" s="37">
        <f>世帯数2!T30</f>
        <v>83251</v>
      </c>
      <c r="M34" s="37">
        <f>世帯数2!U30</f>
        <v>84638</v>
      </c>
      <c r="N34" s="36">
        <f>SUM(N35:N40)</f>
        <v>84988</v>
      </c>
      <c r="O34" s="37">
        <f>世帯数2!V30</f>
        <v>86687</v>
      </c>
      <c r="P34" s="37">
        <f>世帯数2!W30</f>
        <v>88373</v>
      </c>
      <c r="Q34" s="37">
        <f>世帯数2!X30</f>
        <v>89770</v>
      </c>
      <c r="R34" s="37">
        <f>世帯数2!Y30</f>
        <v>89883</v>
      </c>
      <c r="S34" s="37">
        <f>世帯数2!Z30</f>
        <v>91112</v>
      </c>
      <c r="T34" s="37">
        <f>世帯数2!AA30</f>
        <v>91157</v>
      </c>
      <c r="U34" s="37">
        <f>世帯数2!AB30</f>
        <v>91893</v>
      </c>
      <c r="V34" s="37">
        <f>世帯数2!AC30</f>
        <v>92727</v>
      </c>
      <c r="W34" s="36">
        <f t="shared" ref="W34:AB34" si="18">SUM(W35:W40)</f>
        <v>93710</v>
      </c>
      <c r="X34" s="53">
        <f t="shared" si="18"/>
        <v>94747</v>
      </c>
      <c r="Y34" s="36">
        <f t="shared" si="18"/>
        <v>93018</v>
      </c>
      <c r="Z34" s="36">
        <f t="shared" si="18"/>
        <v>94168</v>
      </c>
      <c r="AA34" s="36">
        <f t="shared" si="18"/>
        <v>95123</v>
      </c>
      <c r="AB34" s="36">
        <f t="shared" si="18"/>
        <v>96325</v>
      </c>
      <c r="AC34" s="36">
        <f>SUM(AC35:AC40)</f>
        <v>97299</v>
      </c>
      <c r="AD34" s="36">
        <v>95995</v>
      </c>
      <c r="AE34" s="36">
        <f t="shared" ref="AE34:AU34" si="19">SUM(AE35:AE40)</f>
        <v>96500</v>
      </c>
      <c r="AF34" s="36">
        <f t="shared" si="19"/>
        <v>96816</v>
      </c>
      <c r="AG34" s="36">
        <f t="shared" si="19"/>
        <v>97037</v>
      </c>
      <c r="AH34" s="36">
        <f t="shared" si="19"/>
        <v>97275</v>
      </c>
      <c r="AI34" s="36">
        <f t="shared" si="19"/>
        <v>97677</v>
      </c>
      <c r="AJ34" s="1082">
        <f t="shared" si="19"/>
        <v>98755</v>
      </c>
      <c r="AK34" s="1082">
        <f t="shared" si="19"/>
        <v>99760</v>
      </c>
      <c r="AL34" s="1083">
        <f t="shared" si="19"/>
        <v>100911</v>
      </c>
      <c r="AM34" s="1083">
        <f t="shared" si="19"/>
        <v>102150</v>
      </c>
      <c r="AN34" s="1083">
        <f t="shared" si="19"/>
        <v>103224</v>
      </c>
      <c r="AO34" s="1083">
        <f t="shared" si="19"/>
        <v>103187</v>
      </c>
      <c r="AP34" s="1083">
        <f t="shared" si="19"/>
        <v>103853</v>
      </c>
      <c r="AQ34" s="1083">
        <f t="shared" si="19"/>
        <v>104456</v>
      </c>
      <c r="AR34" s="1083">
        <f t="shared" si="19"/>
        <v>105248</v>
      </c>
      <c r="AS34" s="1083">
        <f t="shared" si="19"/>
        <v>106078</v>
      </c>
      <c r="AT34" s="1083">
        <f t="shared" si="19"/>
        <v>108541</v>
      </c>
      <c r="AU34" s="1083">
        <f t="shared" si="19"/>
        <v>111004</v>
      </c>
      <c r="AW34" s="36">
        <v>106069</v>
      </c>
      <c r="AX34" s="679">
        <f t="shared" si="3"/>
        <v>821</v>
      </c>
      <c r="AY34" s="8"/>
      <c r="AZ34" s="8"/>
      <c r="BA34" s="8"/>
    </row>
    <row r="35" spans="1:53" ht="12.75" customHeight="1">
      <c r="A35" s="14">
        <v>2</v>
      </c>
      <c r="B35" s="14">
        <v>213</v>
      </c>
      <c r="C35" s="35" t="s">
        <v>231</v>
      </c>
      <c r="D35" s="34">
        <v>10536</v>
      </c>
      <c r="E35" s="34">
        <v>11335</v>
      </c>
      <c r="F35" s="34">
        <v>11826</v>
      </c>
      <c r="G35" s="34">
        <v>12320</v>
      </c>
      <c r="H35" s="34">
        <v>12698</v>
      </c>
      <c r="I35" s="34">
        <v>13007</v>
      </c>
      <c r="J35" s="37">
        <f>世帯数2!R31</f>
        <v>13132</v>
      </c>
      <c r="K35" s="37">
        <f>世帯数2!S31</f>
        <v>13353</v>
      </c>
      <c r="L35" s="37">
        <f>世帯数2!T31</f>
        <v>13581</v>
      </c>
      <c r="M35" s="37">
        <f>世帯数2!U31</f>
        <v>13754</v>
      </c>
      <c r="N35" s="34">
        <v>13880</v>
      </c>
      <c r="O35" s="37">
        <f>世帯数2!V31</f>
        <v>14133</v>
      </c>
      <c r="P35" s="37">
        <f>世帯数2!W31</f>
        <v>14353</v>
      </c>
      <c r="Q35" s="37">
        <f>世帯数2!X31</f>
        <v>14545</v>
      </c>
      <c r="R35" s="37">
        <f>世帯数2!Y31</f>
        <v>14721</v>
      </c>
      <c r="S35" s="34">
        <v>14657</v>
      </c>
      <c r="T35" s="38">
        <f>世帯数2!AA31</f>
        <v>14743</v>
      </c>
      <c r="U35" s="38">
        <f>世帯数2!AB31</f>
        <v>14809</v>
      </c>
      <c r="V35" s="38">
        <f>世帯数2!AC31</f>
        <v>14923</v>
      </c>
      <c r="W35" s="1">
        <v>15007</v>
      </c>
      <c r="X35" s="55">
        <v>15152</v>
      </c>
      <c r="Y35" s="38">
        <v>14673</v>
      </c>
      <c r="Z35" s="45">
        <v>14776</v>
      </c>
      <c r="AA35" s="45">
        <v>14844</v>
      </c>
      <c r="AB35" s="45">
        <v>15054</v>
      </c>
      <c r="AC35" s="45">
        <v>15216</v>
      </c>
      <c r="AD35" s="290">
        <v>14989</v>
      </c>
      <c r="AE35" s="522">
        <v>15059</v>
      </c>
      <c r="AF35" s="522">
        <v>15054</v>
      </c>
      <c r="AG35" s="522">
        <v>15079</v>
      </c>
      <c r="AH35" s="522">
        <v>15054</v>
      </c>
      <c r="AI35" s="290">
        <v>15049</v>
      </c>
      <c r="AJ35" s="1085">
        <v>15033</v>
      </c>
      <c r="AK35" s="1085">
        <v>15022</v>
      </c>
      <c r="AL35" s="1086">
        <v>15085</v>
      </c>
      <c r="AM35" s="1088">
        <v>15118</v>
      </c>
      <c r="AN35" s="1087">
        <v>15167</v>
      </c>
      <c r="AO35" s="1088">
        <v>15037</v>
      </c>
      <c r="AP35" s="290">
        <v>15070</v>
      </c>
      <c r="AQ35" s="522">
        <v>15092</v>
      </c>
      <c r="AR35" s="522">
        <v>15137</v>
      </c>
      <c r="AS35" s="522">
        <v>15132</v>
      </c>
      <c r="AT35" s="289">
        <f t="shared" si="7"/>
        <v>15006</v>
      </c>
      <c r="AU35" s="289">
        <f t="shared" si="8"/>
        <v>14880</v>
      </c>
      <c r="AW35" s="522">
        <v>15095</v>
      </c>
      <c r="AX35" s="679">
        <f t="shared" si="3"/>
        <v>-42</v>
      </c>
      <c r="AY35" s="8"/>
      <c r="AZ35" s="8"/>
      <c r="BA35" s="8"/>
    </row>
    <row r="36" spans="1:53" ht="12.75" customHeight="1">
      <c r="A36" s="14">
        <v>2</v>
      </c>
      <c r="B36" s="14">
        <v>215</v>
      </c>
      <c r="C36" s="35" t="s">
        <v>232</v>
      </c>
      <c r="D36" s="34">
        <v>10199</v>
      </c>
      <c r="E36" s="34">
        <v>11405</v>
      </c>
      <c r="F36" s="34">
        <v>15644</v>
      </c>
      <c r="G36" s="34">
        <v>20219</v>
      </c>
      <c r="H36" s="34">
        <v>21688</v>
      </c>
      <c r="I36" s="34">
        <v>23297</v>
      </c>
      <c r="J36" s="37">
        <f>世帯数2!R32</f>
        <v>23700</v>
      </c>
      <c r="K36" s="37">
        <f>世帯数2!S32</f>
        <v>24142</v>
      </c>
      <c r="L36" s="37">
        <f>世帯数2!T32</f>
        <v>24466</v>
      </c>
      <c r="M36" s="37">
        <f>世帯数2!U32</f>
        <v>24841</v>
      </c>
      <c r="N36" s="34">
        <v>25377</v>
      </c>
      <c r="O36" s="37">
        <f>世帯数2!V32</f>
        <v>25985</v>
      </c>
      <c r="P36" s="37">
        <f>世帯数2!W32</f>
        <v>26568</v>
      </c>
      <c r="Q36" s="37">
        <f>世帯数2!X32</f>
        <v>26978</v>
      </c>
      <c r="R36" s="37">
        <f>世帯数2!Y32</f>
        <v>26089</v>
      </c>
      <c r="S36" s="34">
        <v>26564</v>
      </c>
      <c r="T36" s="38">
        <f>世帯数2!AA32</f>
        <v>26947</v>
      </c>
      <c r="U36" s="38">
        <f>世帯数2!AB32</f>
        <v>27250</v>
      </c>
      <c r="V36" s="38">
        <f>世帯数2!AC32</f>
        <v>27507</v>
      </c>
      <c r="W36" s="1">
        <v>27849</v>
      </c>
      <c r="X36" s="57">
        <v>28195</v>
      </c>
      <c r="Y36" s="34">
        <v>27676</v>
      </c>
      <c r="Z36" s="45">
        <v>28071</v>
      </c>
      <c r="AA36" s="45">
        <v>28414</v>
      </c>
      <c r="AB36" s="45">
        <v>28831</v>
      </c>
      <c r="AC36" s="45">
        <v>29141</v>
      </c>
      <c r="AD36" s="290">
        <v>28506</v>
      </c>
      <c r="AE36" s="522">
        <v>28575</v>
      </c>
      <c r="AF36" s="522">
        <v>28521</v>
      </c>
      <c r="AG36" s="522">
        <v>28466</v>
      </c>
      <c r="AH36" s="522">
        <v>28489</v>
      </c>
      <c r="AI36" s="290">
        <v>28653</v>
      </c>
      <c r="AJ36" s="1085">
        <v>28964</v>
      </c>
      <c r="AK36" s="1085">
        <v>29297</v>
      </c>
      <c r="AL36" s="1086">
        <v>29637</v>
      </c>
      <c r="AM36" s="693">
        <v>29972</v>
      </c>
      <c r="AN36" s="1087">
        <v>30370</v>
      </c>
      <c r="AO36" s="693">
        <v>30449</v>
      </c>
      <c r="AP36" s="290">
        <v>30623</v>
      </c>
      <c r="AQ36" s="522">
        <v>30815</v>
      </c>
      <c r="AR36" s="522">
        <v>31024</v>
      </c>
      <c r="AS36" s="522">
        <v>31290</v>
      </c>
      <c r="AT36" s="289">
        <f t="shared" si="7"/>
        <v>31887</v>
      </c>
      <c r="AU36" s="289">
        <f t="shared" si="8"/>
        <v>32484</v>
      </c>
      <c r="AW36" s="522">
        <v>31223</v>
      </c>
      <c r="AX36" s="679">
        <f t="shared" si="3"/>
        <v>199</v>
      </c>
      <c r="AY36" s="8"/>
      <c r="AZ36" s="8"/>
      <c r="BA36" s="8"/>
    </row>
    <row r="37" spans="1:53" ht="12.75" customHeight="1">
      <c r="A37" s="14">
        <v>2</v>
      </c>
      <c r="B37" s="16">
        <v>218</v>
      </c>
      <c r="C37" s="20" t="s">
        <v>200</v>
      </c>
      <c r="D37" s="36">
        <v>8103</v>
      </c>
      <c r="E37" s="36">
        <v>8716</v>
      </c>
      <c r="F37" s="36">
        <v>9815</v>
      </c>
      <c r="G37" s="36">
        <v>10935</v>
      </c>
      <c r="H37" s="36">
        <v>11708</v>
      </c>
      <c r="I37" s="36">
        <v>12164</v>
      </c>
      <c r="J37" s="37">
        <f>世帯数2!R33</f>
        <v>12457</v>
      </c>
      <c r="K37" s="37">
        <f>世帯数2!S33</f>
        <v>12811</v>
      </c>
      <c r="L37" s="37">
        <f>世帯数2!T33</f>
        <v>13170</v>
      </c>
      <c r="M37" s="37">
        <f>世帯数2!U33</f>
        <v>13513</v>
      </c>
      <c r="N37" s="36">
        <v>13881</v>
      </c>
      <c r="O37" s="37">
        <f>世帯数2!V33</f>
        <v>14132</v>
      </c>
      <c r="P37" s="37">
        <f>世帯数2!W33</f>
        <v>14432</v>
      </c>
      <c r="Q37" s="37">
        <f>世帯数2!X33</f>
        <v>14831</v>
      </c>
      <c r="R37" s="37">
        <f>世帯数2!Y33</f>
        <v>15186</v>
      </c>
      <c r="S37" s="38">
        <v>14881</v>
      </c>
      <c r="T37" s="38">
        <f>世帯数2!AA33</f>
        <v>15063</v>
      </c>
      <c r="U37" s="38">
        <f>世帯数2!AB33</f>
        <v>15264</v>
      </c>
      <c r="V37" s="38">
        <f>世帯数2!AC33</f>
        <v>15535</v>
      </c>
      <c r="W37" s="48">
        <v>15745</v>
      </c>
      <c r="X37" s="55">
        <v>16003</v>
      </c>
      <c r="Y37" s="38">
        <v>15809</v>
      </c>
      <c r="Z37" s="45">
        <v>16093</v>
      </c>
      <c r="AA37" s="45">
        <v>16314</v>
      </c>
      <c r="AB37" s="45">
        <v>16582</v>
      </c>
      <c r="AC37" s="45">
        <v>16923</v>
      </c>
      <c r="AD37" s="290">
        <v>16470</v>
      </c>
      <c r="AE37" s="522">
        <v>16639</v>
      </c>
      <c r="AF37" s="522">
        <v>16740</v>
      </c>
      <c r="AG37" s="522">
        <v>16844</v>
      </c>
      <c r="AH37" s="522">
        <v>16893</v>
      </c>
      <c r="AI37" s="290">
        <v>16860</v>
      </c>
      <c r="AJ37" s="1085">
        <v>17005</v>
      </c>
      <c r="AK37" s="1085">
        <v>17268</v>
      </c>
      <c r="AL37" s="1086">
        <v>17440</v>
      </c>
      <c r="AM37" s="693">
        <v>17663</v>
      </c>
      <c r="AN37" s="1087">
        <v>17810</v>
      </c>
      <c r="AO37" s="693">
        <v>17985</v>
      </c>
      <c r="AP37" s="290">
        <v>18122</v>
      </c>
      <c r="AQ37" s="522">
        <v>18302</v>
      </c>
      <c r="AR37" s="522">
        <v>18408</v>
      </c>
      <c r="AS37" s="522">
        <v>18752</v>
      </c>
      <c r="AT37" s="289">
        <f t="shared" si="7"/>
        <v>19784</v>
      </c>
      <c r="AU37" s="289">
        <f t="shared" si="8"/>
        <v>20816</v>
      </c>
      <c r="AW37" s="522">
        <v>18752</v>
      </c>
      <c r="AX37" s="679">
        <f t="shared" si="3"/>
        <v>344</v>
      </c>
      <c r="AY37" s="8"/>
      <c r="AZ37" s="8"/>
      <c r="BA37" s="8"/>
    </row>
    <row r="38" spans="1:53" ht="12.75" customHeight="1">
      <c r="A38" s="14">
        <v>2</v>
      </c>
      <c r="B38" s="16">
        <v>220</v>
      </c>
      <c r="C38" s="20" t="s">
        <v>201</v>
      </c>
      <c r="D38" s="36">
        <v>10365</v>
      </c>
      <c r="E38" s="36">
        <v>10954</v>
      </c>
      <c r="F38" s="36">
        <v>11719</v>
      </c>
      <c r="G38" s="36">
        <v>12498</v>
      </c>
      <c r="H38" s="36">
        <v>13107</v>
      </c>
      <c r="I38" s="36">
        <v>13280</v>
      </c>
      <c r="J38" s="37">
        <f>世帯数2!R34</f>
        <v>14007</v>
      </c>
      <c r="K38" s="37">
        <f>世帯数2!S34</f>
        <v>14182</v>
      </c>
      <c r="L38" s="37">
        <f>世帯数2!T34</f>
        <v>14451</v>
      </c>
      <c r="M38" s="37">
        <f>世帯数2!U34</f>
        <v>14740</v>
      </c>
      <c r="N38" s="36">
        <v>13925</v>
      </c>
      <c r="O38" s="37">
        <f>世帯数2!V34</f>
        <v>14095</v>
      </c>
      <c r="P38" s="37">
        <f>世帯数2!W34</f>
        <v>14332</v>
      </c>
      <c r="Q38" s="37">
        <f>世帯数2!X34</f>
        <v>14468</v>
      </c>
      <c r="R38" s="37">
        <f>世帯数2!Y34</f>
        <v>14692</v>
      </c>
      <c r="S38" s="38">
        <v>14631</v>
      </c>
      <c r="T38" s="38">
        <f>世帯数2!AA34</f>
        <v>14880</v>
      </c>
      <c r="U38" s="38">
        <f>世帯数2!AB34</f>
        <v>14937</v>
      </c>
      <c r="V38" s="38">
        <f>世帯数2!AC34</f>
        <v>15048</v>
      </c>
      <c r="W38" s="48">
        <v>15227</v>
      </c>
      <c r="X38" s="55">
        <v>15355</v>
      </c>
      <c r="Y38" s="38">
        <v>15038</v>
      </c>
      <c r="Z38" s="45">
        <v>15180</v>
      </c>
      <c r="AA38" s="45">
        <v>15283</v>
      </c>
      <c r="AB38" s="45">
        <v>15405</v>
      </c>
      <c r="AC38" s="45">
        <v>15412</v>
      </c>
      <c r="AD38" s="290">
        <v>15188</v>
      </c>
      <c r="AE38" s="522">
        <v>15218</v>
      </c>
      <c r="AF38" s="522">
        <v>15248</v>
      </c>
      <c r="AG38" s="522">
        <v>15226</v>
      </c>
      <c r="AH38" s="522">
        <v>15315</v>
      </c>
      <c r="AI38" s="290">
        <v>15364</v>
      </c>
      <c r="AJ38" s="1085">
        <v>15543</v>
      </c>
      <c r="AK38" s="1085">
        <v>15683</v>
      </c>
      <c r="AL38" s="1086">
        <v>15978</v>
      </c>
      <c r="AM38" s="693">
        <v>16157</v>
      </c>
      <c r="AN38" s="1087">
        <v>16245</v>
      </c>
      <c r="AO38" s="693">
        <v>16159</v>
      </c>
      <c r="AP38" s="290">
        <v>16257</v>
      </c>
      <c r="AQ38" s="522">
        <v>16375</v>
      </c>
      <c r="AR38" s="522">
        <v>16556</v>
      </c>
      <c r="AS38" s="522">
        <v>16606</v>
      </c>
      <c r="AT38" s="289">
        <f t="shared" si="7"/>
        <v>16870</v>
      </c>
      <c r="AU38" s="289">
        <f t="shared" si="8"/>
        <v>17134</v>
      </c>
      <c r="AW38" s="522">
        <v>16644</v>
      </c>
      <c r="AX38" s="679">
        <f t="shared" si="3"/>
        <v>88</v>
      </c>
      <c r="AY38" s="8"/>
      <c r="AZ38" s="8"/>
      <c r="BA38" s="8"/>
    </row>
    <row r="39" spans="1:53" ht="12.75" customHeight="1">
      <c r="A39" s="14">
        <v>2</v>
      </c>
      <c r="B39" s="16">
        <v>228</v>
      </c>
      <c r="C39" s="20" t="s">
        <v>239</v>
      </c>
      <c r="D39" s="36">
        <v>7181</v>
      </c>
      <c r="E39" s="36">
        <v>7392</v>
      </c>
      <c r="F39" s="36">
        <v>7697</v>
      </c>
      <c r="G39" s="36">
        <v>8532</v>
      </c>
      <c r="H39" s="36">
        <v>9516</v>
      </c>
      <c r="I39" s="36">
        <v>10323</v>
      </c>
      <c r="J39" s="37">
        <f>世帯数2!R35</f>
        <v>10605</v>
      </c>
      <c r="K39" s="37">
        <f>世帯数2!S35</f>
        <v>10817</v>
      </c>
      <c r="L39" s="37">
        <f>世帯数2!T35</f>
        <v>11076</v>
      </c>
      <c r="M39" s="37">
        <f>世帯数2!U35</f>
        <v>11249</v>
      </c>
      <c r="N39" s="36">
        <v>11577</v>
      </c>
      <c r="O39" s="37">
        <f>世帯数2!V35</f>
        <v>11934</v>
      </c>
      <c r="P39" s="37">
        <f>世帯数2!W35</f>
        <v>12210</v>
      </c>
      <c r="Q39" s="37">
        <f>世帯数2!X35</f>
        <v>12403</v>
      </c>
      <c r="R39" s="37">
        <f>世帯数2!Y35</f>
        <v>12549</v>
      </c>
      <c r="S39" s="36">
        <v>12773</v>
      </c>
      <c r="T39" s="38">
        <f>世帯数2!AA35</f>
        <v>12892</v>
      </c>
      <c r="U39" s="38">
        <f>世帯数2!AB35</f>
        <v>12951</v>
      </c>
      <c r="V39" s="38">
        <f>世帯数2!AC35</f>
        <v>12998</v>
      </c>
      <c r="W39" s="48">
        <v>13095</v>
      </c>
      <c r="X39" s="55">
        <v>13279</v>
      </c>
      <c r="Y39" s="36">
        <v>13155</v>
      </c>
      <c r="Z39" s="45">
        <v>13322</v>
      </c>
      <c r="AA39" s="45">
        <v>13487</v>
      </c>
      <c r="AB39" s="45">
        <v>13620</v>
      </c>
      <c r="AC39" s="45">
        <v>13775</v>
      </c>
      <c r="AD39" s="290">
        <v>14133</v>
      </c>
      <c r="AE39" s="522">
        <v>14311</v>
      </c>
      <c r="AF39" s="522">
        <v>14507</v>
      </c>
      <c r="AG39" s="522">
        <v>14672</v>
      </c>
      <c r="AH39" s="522">
        <v>14816</v>
      </c>
      <c r="AI39" s="290">
        <v>15086</v>
      </c>
      <c r="AJ39" s="1085">
        <v>15563</v>
      </c>
      <c r="AK39" s="1085">
        <v>15885</v>
      </c>
      <c r="AL39" s="1086">
        <v>16205</v>
      </c>
      <c r="AM39" s="693">
        <v>16671</v>
      </c>
      <c r="AN39" s="1087">
        <v>17070</v>
      </c>
      <c r="AO39" s="693">
        <v>17013</v>
      </c>
      <c r="AP39" s="290">
        <v>17192</v>
      </c>
      <c r="AQ39" s="522">
        <v>17354</v>
      </c>
      <c r="AR39" s="522">
        <v>17565</v>
      </c>
      <c r="AS39" s="522">
        <v>17687</v>
      </c>
      <c r="AT39" s="289">
        <f t="shared" si="7"/>
        <v>18206</v>
      </c>
      <c r="AU39" s="289">
        <f t="shared" si="8"/>
        <v>18725</v>
      </c>
      <c r="AW39" s="522">
        <v>17738</v>
      </c>
      <c r="AX39" s="679">
        <f t="shared" ref="AX39:AX66" si="20">AW39-AR39</f>
        <v>173</v>
      </c>
      <c r="AY39" s="8"/>
      <c r="AZ39" s="8"/>
      <c r="BA39" s="8"/>
    </row>
    <row r="40" spans="1:53" ht="12.75" customHeight="1">
      <c r="A40" s="14">
        <v>2</v>
      </c>
      <c r="B40" s="16">
        <v>365</v>
      </c>
      <c r="C40" s="20" t="s">
        <v>233</v>
      </c>
      <c r="D40" s="36">
        <v>5571</v>
      </c>
      <c r="E40" s="36">
        <v>5834</v>
      </c>
      <c r="F40" s="36">
        <v>5989</v>
      </c>
      <c r="G40" s="36">
        <v>6034</v>
      </c>
      <c r="H40" s="36">
        <v>6161</v>
      </c>
      <c r="I40" s="36">
        <v>6155</v>
      </c>
      <c r="J40" s="37">
        <f>世帯数2!R36</f>
        <v>6403</v>
      </c>
      <c r="K40" s="37">
        <f>世帯数2!S36</f>
        <v>6466</v>
      </c>
      <c r="L40" s="37">
        <f>世帯数2!T36</f>
        <v>6507</v>
      </c>
      <c r="M40" s="37">
        <f>世帯数2!U36</f>
        <v>6541</v>
      </c>
      <c r="N40" s="36">
        <v>6348</v>
      </c>
      <c r="O40" s="37">
        <f>世帯数2!V36</f>
        <v>6408</v>
      </c>
      <c r="P40" s="37">
        <f>世帯数2!W36</f>
        <v>6478</v>
      </c>
      <c r="Q40" s="37">
        <f>世帯数2!X36</f>
        <v>6545</v>
      </c>
      <c r="R40" s="37">
        <f>世帯数2!Y36</f>
        <v>6646</v>
      </c>
      <c r="S40" s="36">
        <v>6619</v>
      </c>
      <c r="T40" s="38">
        <f>世帯数2!AA36</f>
        <v>6632</v>
      </c>
      <c r="U40" s="38">
        <f>世帯数2!AB36</f>
        <v>6682</v>
      </c>
      <c r="V40" s="38">
        <f>世帯数2!AC36</f>
        <v>6716</v>
      </c>
      <c r="W40" s="1">
        <v>6787</v>
      </c>
      <c r="X40" s="58">
        <v>6763</v>
      </c>
      <c r="Y40" s="38">
        <v>6667</v>
      </c>
      <c r="Z40" s="45">
        <v>6726</v>
      </c>
      <c r="AA40" s="45">
        <v>6781</v>
      </c>
      <c r="AB40" s="45">
        <v>6833</v>
      </c>
      <c r="AC40" s="45">
        <v>6832</v>
      </c>
      <c r="AD40" s="290">
        <v>6709</v>
      </c>
      <c r="AE40" s="522">
        <v>6698</v>
      </c>
      <c r="AF40" s="522">
        <v>6746</v>
      </c>
      <c r="AG40" s="522">
        <v>6750</v>
      </c>
      <c r="AH40" s="522">
        <v>6708</v>
      </c>
      <c r="AI40" s="290">
        <v>6665</v>
      </c>
      <c r="AJ40" s="1085">
        <v>6647</v>
      </c>
      <c r="AK40" s="1085">
        <v>6605</v>
      </c>
      <c r="AL40" s="1086">
        <v>6566</v>
      </c>
      <c r="AM40" s="693">
        <v>6569</v>
      </c>
      <c r="AN40" s="1087">
        <v>6562</v>
      </c>
      <c r="AO40" s="693">
        <v>6544</v>
      </c>
      <c r="AP40" s="290">
        <v>6589</v>
      </c>
      <c r="AQ40" s="522">
        <v>6518</v>
      </c>
      <c r="AR40" s="522">
        <v>6558</v>
      </c>
      <c r="AS40" s="522">
        <v>6611</v>
      </c>
      <c r="AT40" s="289">
        <f t="shared" si="7"/>
        <v>6788</v>
      </c>
      <c r="AU40" s="289">
        <f t="shared" si="8"/>
        <v>6965</v>
      </c>
      <c r="AW40" s="522">
        <v>6617</v>
      </c>
      <c r="AX40" s="679">
        <f t="shared" si="20"/>
        <v>59</v>
      </c>
      <c r="AY40" s="8"/>
      <c r="AZ40" s="8"/>
      <c r="BA40" s="8"/>
    </row>
    <row r="41" spans="1:53" s="5" customFormat="1" ht="20.25" customHeight="1">
      <c r="C41" s="21" t="s">
        <v>202</v>
      </c>
      <c r="D41" s="36">
        <v>109830</v>
      </c>
      <c r="E41" s="36">
        <v>126933</v>
      </c>
      <c r="F41" s="36">
        <v>142290</v>
      </c>
      <c r="G41" s="36">
        <v>154684</v>
      </c>
      <c r="H41" s="36">
        <v>161425</v>
      </c>
      <c r="I41" s="36">
        <v>171000</v>
      </c>
      <c r="J41" s="36">
        <f t="shared" ref="J41:V41" si="21">SUM(J42:J45)</f>
        <v>175061</v>
      </c>
      <c r="K41" s="36">
        <f t="shared" si="21"/>
        <v>178608</v>
      </c>
      <c r="L41" s="36">
        <f t="shared" si="21"/>
        <v>182058</v>
      </c>
      <c r="M41" s="36">
        <f t="shared" si="21"/>
        <v>185923</v>
      </c>
      <c r="N41" s="36">
        <f t="shared" si="21"/>
        <v>187919</v>
      </c>
      <c r="O41" s="36">
        <f t="shared" si="21"/>
        <v>191374</v>
      </c>
      <c r="P41" s="36">
        <f t="shared" si="21"/>
        <v>194443</v>
      </c>
      <c r="Q41" s="36">
        <f t="shared" si="21"/>
        <v>197204</v>
      </c>
      <c r="R41" s="36">
        <f t="shared" si="21"/>
        <v>199636</v>
      </c>
      <c r="S41" s="36">
        <f t="shared" si="21"/>
        <v>200469</v>
      </c>
      <c r="T41" s="36">
        <f t="shared" si="21"/>
        <v>203471</v>
      </c>
      <c r="U41" s="36">
        <f t="shared" si="21"/>
        <v>205890</v>
      </c>
      <c r="V41" s="36">
        <f t="shared" si="21"/>
        <v>208594</v>
      </c>
      <c r="W41" s="36">
        <f t="shared" ref="W41:AB41" si="22">SUM(W42:W45)</f>
        <v>210947</v>
      </c>
      <c r="X41" s="53">
        <f t="shared" si="22"/>
        <v>213481</v>
      </c>
      <c r="Y41" s="36">
        <f t="shared" si="22"/>
        <v>210493</v>
      </c>
      <c r="Z41" s="36">
        <f t="shared" si="22"/>
        <v>213798</v>
      </c>
      <c r="AA41" s="36">
        <f t="shared" si="22"/>
        <v>216708</v>
      </c>
      <c r="AB41" s="36">
        <f t="shared" si="22"/>
        <v>219369</v>
      </c>
      <c r="AC41" s="36">
        <f>SUM(AC42:AC45)</f>
        <v>221880</v>
      </c>
      <c r="AD41" s="36">
        <v>220389</v>
      </c>
      <c r="AE41" s="36">
        <f t="shared" ref="AE41:AU41" si="23">SUM(AE42:AE45)</f>
        <v>222347</v>
      </c>
      <c r="AF41" s="36">
        <f t="shared" si="23"/>
        <v>222495</v>
      </c>
      <c r="AG41" s="36">
        <f t="shared" si="23"/>
        <v>224939</v>
      </c>
      <c r="AH41" s="36">
        <f t="shared" si="23"/>
        <v>226494</v>
      </c>
      <c r="AI41" s="36">
        <f t="shared" si="23"/>
        <v>227839</v>
      </c>
      <c r="AJ41" s="1082">
        <f t="shared" si="23"/>
        <v>230214</v>
      </c>
      <c r="AK41" s="1082">
        <f t="shared" si="23"/>
        <v>232463</v>
      </c>
      <c r="AL41" s="1083">
        <f t="shared" si="23"/>
        <v>234546</v>
      </c>
      <c r="AM41" s="1083">
        <f t="shared" si="23"/>
        <v>237447</v>
      </c>
      <c r="AN41" s="1083">
        <f t="shared" si="23"/>
        <v>240004</v>
      </c>
      <c r="AO41" s="1083">
        <f t="shared" si="23"/>
        <v>241224</v>
      </c>
      <c r="AP41" s="1083">
        <f t="shared" si="23"/>
        <v>243478</v>
      </c>
      <c r="AQ41" s="1083">
        <f t="shared" si="23"/>
        <v>245507</v>
      </c>
      <c r="AR41" s="1083">
        <f t="shared" si="23"/>
        <v>247360</v>
      </c>
      <c r="AS41" s="1083">
        <f t="shared" si="23"/>
        <v>249252</v>
      </c>
      <c r="AT41" s="1083">
        <f t="shared" si="23"/>
        <v>255612</v>
      </c>
      <c r="AU41" s="1083">
        <f t="shared" si="23"/>
        <v>261972</v>
      </c>
      <c r="AW41" s="36">
        <v>249480</v>
      </c>
      <c r="AX41" s="679">
        <f t="shared" si="20"/>
        <v>2120</v>
      </c>
      <c r="AY41" s="8"/>
      <c r="AZ41" s="8"/>
      <c r="BA41" s="8"/>
    </row>
    <row r="42" spans="1:53" ht="12.75" customHeight="1">
      <c r="A42" s="14">
        <v>3</v>
      </c>
      <c r="B42" s="14">
        <v>201</v>
      </c>
      <c r="C42" s="35" t="s">
        <v>240</v>
      </c>
      <c r="D42" s="34">
        <v>99799</v>
      </c>
      <c r="E42" s="34">
        <v>116540</v>
      </c>
      <c r="F42" s="34">
        <v>131180</v>
      </c>
      <c r="G42" s="34">
        <v>143004</v>
      </c>
      <c r="H42" s="34">
        <v>149302</v>
      </c>
      <c r="I42" s="34">
        <v>158060</v>
      </c>
      <c r="J42" s="37">
        <f>世帯数2!R38</f>
        <v>161924</v>
      </c>
      <c r="K42" s="37">
        <f>世帯数2!S38</f>
        <v>165251</v>
      </c>
      <c r="L42" s="37">
        <f>世帯数2!T38</f>
        <v>168621</v>
      </c>
      <c r="M42" s="37">
        <f>世帯数2!U38</f>
        <v>172370</v>
      </c>
      <c r="N42" s="34">
        <v>174833</v>
      </c>
      <c r="O42" s="37">
        <f>世帯数2!V38</f>
        <v>178164</v>
      </c>
      <c r="P42" s="37">
        <f>世帯数2!W38</f>
        <v>181028</v>
      </c>
      <c r="Q42" s="37">
        <f>世帯数2!X38</f>
        <v>183632</v>
      </c>
      <c r="R42" s="37">
        <f>世帯数2!Y38</f>
        <v>185913</v>
      </c>
      <c r="S42" s="34">
        <v>186708</v>
      </c>
      <c r="T42" s="38">
        <f>世帯数2!AA38</f>
        <v>189394</v>
      </c>
      <c r="U42" s="38">
        <f>世帯数2!AB38</f>
        <v>191615</v>
      </c>
      <c r="V42" s="38">
        <f>世帯数2!AC38</f>
        <v>194156</v>
      </c>
      <c r="W42" s="48">
        <f>178903+17468</f>
        <v>196371</v>
      </c>
      <c r="X42" s="57">
        <v>198771</v>
      </c>
      <c r="Y42" s="34">
        <v>195988</v>
      </c>
      <c r="Z42" s="45">
        <v>199091</v>
      </c>
      <c r="AA42" s="45">
        <v>201905</v>
      </c>
      <c r="AB42" s="45">
        <v>204574</v>
      </c>
      <c r="AC42" s="45">
        <v>207078</v>
      </c>
      <c r="AD42" s="290">
        <v>205587</v>
      </c>
      <c r="AE42" s="522">
        <v>207475</v>
      </c>
      <c r="AF42" s="522">
        <v>207672</v>
      </c>
      <c r="AG42" s="522">
        <v>210033</v>
      </c>
      <c r="AH42" s="522">
        <v>211555</v>
      </c>
      <c r="AI42" s="290">
        <v>212801</v>
      </c>
      <c r="AJ42" s="1085">
        <v>214927</v>
      </c>
      <c r="AK42" s="1085">
        <v>216954</v>
      </c>
      <c r="AL42" s="1086">
        <v>218901</v>
      </c>
      <c r="AM42" s="693">
        <v>221596</v>
      </c>
      <c r="AN42" s="1087">
        <v>224106</v>
      </c>
      <c r="AO42" s="693">
        <v>225352</v>
      </c>
      <c r="AP42" s="290">
        <v>227558</v>
      </c>
      <c r="AQ42" s="522">
        <v>229379</v>
      </c>
      <c r="AR42" s="522">
        <v>231206</v>
      </c>
      <c r="AS42" s="522">
        <v>233116</v>
      </c>
      <c r="AT42" s="289">
        <f t="shared" si="7"/>
        <v>239593</v>
      </c>
      <c r="AU42" s="289">
        <f t="shared" si="8"/>
        <v>246070</v>
      </c>
      <c r="AW42" s="522">
        <v>233365</v>
      </c>
      <c r="AX42" s="679">
        <f t="shared" si="20"/>
        <v>2159</v>
      </c>
      <c r="AY42" s="8"/>
      <c r="AZ42" s="8"/>
      <c r="BA42" s="8"/>
    </row>
    <row r="43" spans="1:53" ht="12.75" customHeight="1">
      <c r="A43" s="14">
        <v>3</v>
      </c>
      <c r="B43" s="16">
        <v>442</v>
      </c>
      <c r="C43" s="20" t="s">
        <v>203</v>
      </c>
      <c r="D43" s="36">
        <v>3208</v>
      </c>
      <c r="E43" s="36">
        <v>3287</v>
      </c>
      <c r="F43" s="36">
        <v>3515</v>
      </c>
      <c r="G43" s="36">
        <v>3718</v>
      </c>
      <c r="H43" s="36">
        <v>3842</v>
      </c>
      <c r="I43" s="36">
        <v>3907</v>
      </c>
      <c r="J43" s="37">
        <f>世帯数2!R39</f>
        <v>3998</v>
      </c>
      <c r="K43" s="37">
        <f>世帯数2!S39</f>
        <v>4084</v>
      </c>
      <c r="L43" s="37">
        <f>世帯数2!T39</f>
        <v>4091</v>
      </c>
      <c r="M43" s="37">
        <f>世帯数2!U39</f>
        <v>4154</v>
      </c>
      <c r="N43" s="36">
        <v>4082</v>
      </c>
      <c r="O43" s="37">
        <f>世帯数2!V39</f>
        <v>4106</v>
      </c>
      <c r="P43" s="37">
        <f>世帯数2!W39</f>
        <v>4157</v>
      </c>
      <c r="Q43" s="37">
        <f>世帯数2!X39</f>
        <v>4198</v>
      </c>
      <c r="R43" s="37">
        <f>世帯数2!Y39</f>
        <v>4231</v>
      </c>
      <c r="S43" s="38">
        <v>4217</v>
      </c>
      <c r="T43" s="38">
        <f>世帯数2!AA39</f>
        <v>4294</v>
      </c>
      <c r="U43" s="38">
        <f>世帯数2!AB39</f>
        <v>4290</v>
      </c>
      <c r="V43" s="38">
        <f>世帯数2!AC39</f>
        <v>4311</v>
      </c>
      <c r="W43" s="48">
        <v>4322</v>
      </c>
      <c r="X43" s="55">
        <v>4351</v>
      </c>
      <c r="Y43" s="38">
        <v>4315</v>
      </c>
      <c r="Z43" s="45">
        <v>4384</v>
      </c>
      <c r="AA43" s="45">
        <v>4397</v>
      </c>
      <c r="AB43" s="45">
        <v>4386</v>
      </c>
      <c r="AC43" s="45">
        <v>4377</v>
      </c>
      <c r="AD43" s="290">
        <v>4350</v>
      </c>
      <c r="AE43" s="522">
        <v>4333</v>
      </c>
      <c r="AF43" s="522">
        <v>4328</v>
      </c>
      <c r="AG43" s="522">
        <v>4351</v>
      </c>
      <c r="AH43" s="522">
        <v>4342</v>
      </c>
      <c r="AI43" s="290">
        <v>4334</v>
      </c>
      <c r="AJ43" s="1085">
        <v>4327</v>
      </c>
      <c r="AK43" s="1085">
        <v>4362</v>
      </c>
      <c r="AL43" s="1086">
        <v>4331</v>
      </c>
      <c r="AM43" s="1086">
        <v>4333</v>
      </c>
      <c r="AN43" s="1089">
        <v>4324</v>
      </c>
      <c r="AO43" s="1086">
        <v>4299</v>
      </c>
      <c r="AP43" s="290">
        <v>4277</v>
      </c>
      <c r="AQ43" s="522">
        <v>4264</v>
      </c>
      <c r="AR43" s="522">
        <v>4254</v>
      </c>
      <c r="AS43" s="522">
        <v>4207</v>
      </c>
      <c r="AT43" s="289">
        <f t="shared" si="7"/>
        <v>4033</v>
      </c>
      <c r="AU43" s="289">
        <f t="shared" si="8"/>
        <v>3859</v>
      </c>
      <c r="AW43" s="522">
        <v>4196</v>
      </c>
      <c r="AX43" s="679">
        <f t="shared" si="20"/>
        <v>-58</v>
      </c>
      <c r="AY43" s="8"/>
      <c r="AZ43" s="8"/>
      <c r="BA43" s="8"/>
    </row>
    <row r="44" spans="1:53" ht="12.75" customHeight="1">
      <c r="A44" s="14">
        <v>3</v>
      </c>
      <c r="B44" s="16">
        <v>443</v>
      </c>
      <c r="C44" s="20" t="s">
        <v>204</v>
      </c>
      <c r="D44" s="36">
        <v>3566</v>
      </c>
      <c r="E44" s="36">
        <v>3796</v>
      </c>
      <c r="F44" s="36">
        <v>4186</v>
      </c>
      <c r="G44" s="36">
        <v>4498</v>
      </c>
      <c r="H44" s="36">
        <v>4775</v>
      </c>
      <c r="I44" s="36">
        <v>4997</v>
      </c>
      <c r="J44" s="37">
        <f>世帯数2!R40</f>
        <v>5088</v>
      </c>
      <c r="K44" s="37">
        <f>世帯数2!S40</f>
        <v>5203</v>
      </c>
      <c r="L44" s="37">
        <f>世帯数2!T40</f>
        <v>5237</v>
      </c>
      <c r="M44" s="37">
        <f>世帯数2!U40</f>
        <v>5244</v>
      </c>
      <c r="N44" s="36">
        <v>5328</v>
      </c>
      <c r="O44" s="37">
        <f>世帯数2!V40</f>
        <v>5401</v>
      </c>
      <c r="P44" s="37">
        <f>世帯数2!W40</f>
        <v>5498</v>
      </c>
      <c r="Q44" s="37">
        <f>世帯数2!X40</f>
        <v>5588</v>
      </c>
      <c r="R44" s="37">
        <f>世帯数2!Y40</f>
        <v>5653</v>
      </c>
      <c r="S44" s="38">
        <v>5697</v>
      </c>
      <c r="T44" s="38">
        <f>世帯数2!AA40</f>
        <v>5879</v>
      </c>
      <c r="U44" s="38">
        <f>世帯数2!AB40</f>
        <v>6069</v>
      </c>
      <c r="V44" s="38">
        <f>世帯数2!AC40</f>
        <v>6165</v>
      </c>
      <c r="W44" s="48">
        <v>6291</v>
      </c>
      <c r="X44" s="55">
        <v>6374</v>
      </c>
      <c r="Y44" s="38">
        <v>6359</v>
      </c>
      <c r="Z44" s="45">
        <v>6497</v>
      </c>
      <c r="AA44" s="45">
        <v>6586</v>
      </c>
      <c r="AB44" s="45">
        <v>6587</v>
      </c>
      <c r="AC44" s="45">
        <v>6580</v>
      </c>
      <c r="AD44" s="290">
        <v>6639</v>
      </c>
      <c r="AE44" s="522">
        <v>6727</v>
      </c>
      <c r="AF44" s="522">
        <v>6718</v>
      </c>
      <c r="AG44" s="522">
        <v>6754</v>
      </c>
      <c r="AH44" s="522">
        <v>6805</v>
      </c>
      <c r="AI44" s="290">
        <v>6906</v>
      </c>
      <c r="AJ44" s="1085">
        <v>7124</v>
      </c>
      <c r="AK44" s="1085">
        <v>7330</v>
      </c>
      <c r="AL44" s="1086">
        <v>7521</v>
      </c>
      <c r="AM44" s="1086">
        <v>7719</v>
      </c>
      <c r="AN44" s="1089">
        <v>7795</v>
      </c>
      <c r="AO44" s="1086">
        <v>7772</v>
      </c>
      <c r="AP44" s="290">
        <v>7848</v>
      </c>
      <c r="AQ44" s="522">
        <v>8071</v>
      </c>
      <c r="AR44" s="522">
        <v>8091</v>
      </c>
      <c r="AS44" s="522">
        <v>8146</v>
      </c>
      <c r="AT44" s="289">
        <f t="shared" si="7"/>
        <v>8254</v>
      </c>
      <c r="AU44" s="289">
        <f t="shared" si="8"/>
        <v>8362</v>
      </c>
      <c r="AW44" s="522">
        <v>8127</v>
      </c>
      <c r="AX44" s="679">
        <f t="shared" si="20"/>
        <v>36</v>
      </c>
      <c r="AY44" s="8"/>
      <c r="AZ44" s="8"/>
      <c r="BA44" s="8"/>
    </row>
    <row r="45" spans="1:53" ht="12.75" customHeight="1">
      <c r="A45" s="14">
        <v>3</v>
      </c>
      <c r="B45" s="16">
        <v>446</v>
      </c>
      <c r="C45" s="20" t="s">
        <v>234</v>
      </c>
      <c r="D45" s="36">
        <v>3257</v>
      </c>
      <c r="E45" s="36">
        <v>3310</v>
      </c>
      <c r="F45" s="36">
        <v>3409</v>
      </c>
      <c r="G45" s="36">
        <v>3464</v>
      </c>
      <c r="H45" s="36">
        <v>3506</v>
      </c>
      <c r="I45" s="36">
        <v>4036</v>
      </c>
      <c r="J45" s="37">
        <f>世帯数2!R41</f>
        <v>4051</v>
      </c>
      <c r="K45" s="37">
        <f>世帯数2!S41</f>
        <v>4070</v>
      </c>
      <c r="L45" s="37">
        <f>世帯数2!T41</f>
        <v>4109</v>
      </c>
      <c r="M45" s="37">
        <f>世帯数2!U41</f>
        <v>4155</v>
      </c>
      <c r="N45" s="36">
        <v>3676</v>
      </c>
      <c r="O45" s="37">
        <f>世帯数2!V41</f>
        <v>3703</v>
      </c>
      <c r="P45" s="37">
        <f>世帯数2!W41</f>
        <v>3760</v>
      </c>
      <c r="Q45" s="37">
        <f>世帯数2!X41</f>
        <v>3786</v>
      </c>
      <c r="R45" s="37">
        <f>世帯数2!Y41</f>
        <v>3839</v>
      </c>
      <c r="S45" s="36">
        <v>3847</v>
      </c>
      <c r="T45" s="38">
        <f>世帯数2!AA41</f>
        <v>3904</v>
      </c>
      <c r="U45" s="38">
        <f>世帯数2!AB41</f>
        <v>3916</v>
      </c>
      <c r="V45" s="38">
        <f>世帯数2!AC41</f>
        <v>3962</v>
      </c>
      <c r="W45" s="1">
        <v>3963</v>
      </c>
      <c r="X45" s="57">
        <v>3985</v>
      </c>
      <c r="Y45" s="38">
        <v>3831</v>
      </c>
      <c r="Z45" s="45">
        <v>3826</v>
      </c>
      <c r="AA45" s="45">
        <v>3820</v>
      </c>
      <c r="AB45" s="45">
        <v>3822</v>
      </c>
      <c r="AC45" s="45">
        <v>3845</v>
      </c>
      <c r="AD45" s="290">
        <v>3813</v>
      </c>
      <c r="AE45" s="522">
        <v>3812</v>
      </c>
      <c r="AF45" s="522">
        <v>3777</v>
      </c>
      <c r="AG45" s="522">
        <v>3801</v>
      </c>
      <c r="AH45" s="522">
        <v>3792</v>
      </c>
      <c r="AI45" s="290">
        <v>3798</v>
      </c>
      <c r="AJ45" s="1085">
        <v>3836</v>
      </c>
      <c r="AK45" s="1085">
        <v>3817</v>
      </c>
      <c r="AL45" s="1086">
        <v>3793</v>
      </c>
      <c r="AM45" s="1086">
        <v>3799</v>
      </c>
      <c r="AN45" s="1089">
        <v>3779</v>
      </c>
      <c r="AO45" s="1086">
        <v>3801</v>
      </c>
      <c r="AP45" s="290">
        <v>3795</v>
      </c>
      <c r="AQ45" s="522">
        <v>3793</v>
      </c>
      <c r="AR45" s="522">
        <v>3809</v>
      </c>
      <c r="AS45" s="522">
        <v>3783</v>
      </c>
      <c r="AT45" s="289">
        <f t="shared" si="7"/>
        <v>3732</v>
      </c>
      <c r="AU45" s="289">
        <f t="shared" si="8"/>
        <v>3681</v>
      </c>
      <c r="AW45" s="522">
        <v>3792</v>
      </c>
      <c r="AX45" s="679">
        <f t="shared" si="20"/>
        <v>-17</v>
      </c>
      <c r="AY45" s="8"/>
      <c r="AZ45" s="8"/>
      <c r="BA45" s="8"/>
    </row>
    <row r="46" spans="1:53" s="5" customFormat="1" ht="20.25" customHeight="1">
      <c r="C46" s="21" t="s">
        <v>205</v>
      </c>
      <c r="D46" s="36">
        <v>60691</v>
      </c>
      <c r="E46" s="36">
        <v>65555</v>
      </c>
      <c r="F46" s="36">
        <v>72672</v>
      </c>
      <c r="G46" s="36">
        <v>77662</v>
      </c>
      <c r="H46" s="36">
        <v>80775</v>
      </c>
      <c r="I46" s="36">
        <v>81545</v>
      </c>
      <c r="J46" s="36">
        <f t="shared" ref="J46:V46" si="24">SUM(J47:J53)</f>
        <v>82338</v>
      </c>
      <c r="K46" s="36">
        <f t="shared" si="24"/>
        <v>83287</v>
      </c>
      <c r="L46" s="36">
        <f t="shared" si="24"/>
        <v>84335</v>
      </c>
      <c r="M46" s="36">
        <f t="shared" si="24"/>
        <v>85207</v>
      </c>
      <c r="N46" s="36">
        <f t="shared" si="24"/>
        <v>85721</v>
      </c>
      <c r="O46" s="36">
        <f t="shared" si="24"/>
        <v>86756</v>
      </c>
      <c r="P46" s="36">
        <f t="shared" si="24"/>
        <v>87888</v>
      </c>
      <c r="Q46" s="36">
        <f t="shared" si="24"/>
        <v>88969</v>
      </c>
      <c r="R46" s="36">
        <f t="shared" si="24"/>
        <v>90114</v>
      </c>
      <c r="S46" s="36">
        <f t="shared" si="24"/>
        <v>89736</v>
      </c>
      <c r="T46" s="36">
        <f t="shared" si="24"/>
        <v>90402</v>
      </c>
      <c r="U46" s="36">
        <f t="shared" si="24"/>
        <v>91086</v>
      </c>
      <c r="V46" s="36">
        <f t="shared" si="24"/>
        <v>91719</v>
      </c>
      <c r="W46" s="36">
        <f t="shared" ref="W46:AB46" si="25">SUM(W47:W53)</f>
        <v>92424</v>
      </c>
      <c r="X46" s="53">
        <f t="shared" si="25"/>
        <v>93219</v>
      </c>
      <c r="Y46" s="36">
        <f t="shared" si="25"/>
        <v>92003</v>
      </c>
      <c r="Z46" s="36">
        <f t="shared" si="25"/>
        <v>93658</v>
      </c>
      <c r="AA46" s="36">
        <f t="shared" si="25"/>
        <v>94391</v>
      </c>
      <c r="AB46" s="36">
        <f t="shared" si="25"/>
        <v>95136</v>
      </c>
      <c r="AC46" s="36">
        <f>SUM(AC47:AC53)</f>
        <v>95783</v>
      </c>
      <c r="AD46" s="36">
        <v>94755</v>
      </c>
      <c r="AE46" s="36">
        <f t="shared" ref="AE46:AU46" si="26">SUM(AE47:AE53)</f>
        <v>94880</v>
      </c>
      <c r="AF46" s="36">
        <f t="shared" si="26"/>
        <v>94771</v>
      </c>
      <c r="AG46" s="36">
        <f t="shared" si="26"/>
        <v>94827</v>
      </c>
      <c r="AH46" s="36">
        <f t="shared" si="26"/>
        <v>94851</v>
      </c>
      <c r="AI46" s="36">
        <f t="shared" si="26"/>
        <v>94817</v>
      </c>
      <c r="AJ46" s="1082">
        <f t="shared" si="26"/>
        <v>94995</v>
      </c>
      <c r="AK46" s="1082">
        <f t="shared" si="26"/>
        <v>95225</v>
      </c>
      <c r="AL46" s="1083">
        <f t="shared" si="26"/>
        <v>95126</v>
      </c>
      <c r="AM46" s="1083">
        <f t="shared" si="26"/>
        <v>95441</v>
      </c>
      <c r="AN46" s="1083">
        <f t="shared" si="26"/>
        <v>95577</v>
      </c>
      <c r="AO46" s="1083">
        <f t="shared" si="26"/>
        <v>95624</v>
      </c>
      <c r="AP46" s="1083">
        <f t="shared" si="26"/>
        <v>95965</v>
      </c>
      <c r="AQ46" s="1083">
        <f t="shared" si="26"/>
        <v>96084</v>
      </c>
      <c r="AR46" s="1083">
        <f t="shared" si="26"/>
        <v>96098</v>
      </c>
      <c r="AS46" s="1083">
        <f t="shared" si="26"/>
        <v>96127</v>
      </c>
      <c r="AT46" s="1083">
        <f t="shared" si="26"/>
        <v>96289</v>
      </c>
      <c r="AU46" s="1083">
        <f t="shared" si="26"/>
        <v>96451</v>
      </c>
      <c r="AW46" s="36">
        <v>96152</v>
      </c>
      <c r="AX46" s="679">
        <f t="shared" si="20"/>
        <v>54</v>
      </c>
      <c r="AY46" s="8"/>
      <c r="AZ46" s="8"/>
      <c r="BA46" s="8"/>
    </row>
    <row r="47" spans="1:53" ht="12.75" customHeight="1">
      <c r="A47" s="14">
        <v>3</v>
      </c>
      <c r="B47" s="16">
        <v>208</v>
      </c>
      <c r="C47" s="20" t="s">
        <v>206</v>
      </c>
      <c r="D47" s="36">
        <v>9438</v>
      </c>
      <c r="E47" s="36">
        <v>10493</v>
      </c>
      <c r="F47" s="36">
        <v>11571</v>
      </c>
      <c r="G47" s="36">
        <v>12430</v>
      </c>
      <c r="H47" s="36">
        <v>11912</v>
      </c>
      <c r="I47" s="36">
        <v>11456</v>
      </c>
      <c r="J47" s="37">
        <f>世帯数2!R43</f>
        <v>11538</v>
      </c>
      <c r="K47" s="37">
        <f>世帯数2!S43</f>
        <v>11647</v>
      </c>
      <c r="L47" s="37">
        <f>世帯数2!T43</f>
        <v>11704</v>
      </c>
      <c r="M47" s="37">
        <f>世帯数2!U43</f>
        <v>11765</v>
      </c>
      <c r="N47" s="36">
        <v>11967</v>
      </c>
      <c r="O47" s="37">
        <f>世帯数2!V43</f>
        <v>12003</v>
      </c>
      <c r="P47" s="37">
        <f>世帯数2!W43</f>
        <v>12080</v>
      </c>
      <c r="Q47" s="37">
        <f>世帯数2!X43</f>
        <v>12067</v>
      </c>
      <c r="R47" s="37">
        <f>世帯数2!Y43</f>
        <v>12108</v>
      </c>
      <c r="S47" s="38">
        <v>11964</v>
      </c>
      <c r="T47" s="38">
        <f>世帯数2!AA43</f>
        <v>12047</v>
      </c>
      <c r="U47" s="38">
        <f>世帯数2!AB43</f>
        <v>12002</v>
      </c>
      <c r="V47" s="38">
        <f>世帯数2!AC43</f>
        <v>11987</v>
      </c>
      <c r="W47" s="48">
        <v>12041</v>
      </c>
      <c r="X47" s="55">
        <v>12149</v>
      </c>
      <c r="Y47" s="38">
        <v>11847</v>
      </c>
      <c r="Z47" s="45">
        <v>12063</v>
      </c>
      <c r="AA47" s="45">
        <v>12086</v>
      </c>
      <c r="AB47" s="45">
        <v>12182</v>
      </c>
      <c r="AC47" s="45">
        <v>12217</v>
      </c>
      <c r="AD47" s="290">
        <v>12141</v>
      </c>
      <c r="AE47" s="522">
        <v>12059</v>
      </c>
      <c r="AF47" s="522">
        <v>12103</v>
      </c>
      <c r="AG47" s="522">
        <v>12116</v>
      </c>
      <c r="AH47" s="522">
        <v>12141</v>
      </c>
      <c r="AI47" s="290">
        <v>12153</v>
      </c>
      <c r="AJ47" s="1085">
        <v>12133</v>
      </c>
      <c r="AK47" s="1085">
        <v>12114</v>
      </c>
      <c r="AL47" s="1086">
        <v>12036</v>
      </c>
      <c r="AM47" s="1086">
        <v>11900</v>
      </c>
      <c r="AN47" s="1089">
        <v>11806</v>
      </c>
      <c r="AO47" s="1086">
        <v>11728</v>
      </c>
      <c r="AP47" s="290">
        <v>11652</v>
      </c>
      <c r="AQ47" s="522">
        <v>11580</v>
      </c>
      <c r="AR47" s="522">
        <v>11528</v>
      </c>
      <c r="AS47" s="522">
        <v>11517</v>
      </c>
      <c r="AT47" s="289">
        <f t="shared" si="7"/>
        <v>11391</v>
      </c>
      <c r="AU47" s="289">
        <f t="shared" si="8"/>
        <v>11265</v>
      </c>
      <c r="AW47" s="522">
        <v>11486</v>
      </c>
      <c r="AX47" s="679">
        <f t="shared" si="20"/>
        <v>-42</v>
      </c>
      <c r="AY47" s="8"/>
      <c r="AZ47" s="8"/>
      <c r="BA47" s="8"/>
    </row>
    <row r="48" spans="1:53" ht="12.75" customHeight="1">
      <c r="A48" s="14">
        <v>3</v>
      </c>
      <c r="B48" s="16">
        <v>212</v>
      </c>
      <c r="C48" s="20" t="s">
        <v>207</v>
      </c>
      <c r="D48" s="36">
        <v>10086</v>
      </c>
      <c r="E48" s="36">
        <v>11238</v>
      </c>
      <c r="F48" s="36">
        <v>12804</v>
      </c>
      <c r="G48" s="36">
        <v>13972</v>
      </c>
      <c r="H48" s="36">
        <v>15079</v>
      </c>
      <c r="I48" s="36">
        <v>14951</v>
      </c>
      <c r="J48" s="37">
        <f>世帯数2!R44</f>
        <v>15077</v>
      </c>
      <c r="K48" s="37">
        <f>世帯数2!S44</f>
        <v>15303</v>
      </c>
      <c r="L48" s="37">
        <f>世帯数2!T44</f>
        <v>15518</v>
      </c>
      <c r="M48" s="37">
        <f>世帯数2!U44</f>
        <v>15635</v>
      </c>
      <c r="N48" s="36">
        <v>15880</v>
      </c>
      <c r="O48" s="37">
        <f>世帯数2!V44</f>
        <v>16174</v>
      </c>
      <c r="P48" s="37">
        <f>世帯数2!W44</f>
        <v>16587</v>
      </c>
      <c r="Q48" s="37">
        <f>世帯数2!X44</f>
        <v>16997</v>
      </c>
      <c r="R48" s="37">
        <f>世帯数2!Y44</f>
        <v>17340</v>
      </c>
      <c r="S48" s="38">
        <v>17527</v>
      </c>
      <c r="T48" s="38">
        <f>世帯数2!AA44</f>
        <v>17712</v>
      </c>
      <c r="U48" s="38">
        <f>世帯数2!AB44</f>
        <v>17880</v>
      </c>
      <c r="V48" s="38">
        <f>世帯数2!AC44</f>
        <v>18019</v>
      </c>
      <c r="W48" s="48">
        <v>18157</v>
      </c>
      <c r="X48" s="55">
        <v>18350</v>
      </c>
      <c r="Y48" s="38">
        <v>18275</v>
      </c>
      <c r="Z48" s="45">
        <v>18559</v>
      </c>
      <c r="AA48" s="45">
        <v>18701</v>
      </c>
      <c r="AB48" s="45">
        <v>18866</v>
      </c>
      <c r="AC48" s="45">
        <v>18954</v>
      </c>
      <c r="AD48" s="290">
        <v>18826</v>
      </c>
      <c r="AE48" s="522">
        <v>18820</v>
      </c>
      <c r="AF48" s="522">
        <v>18706</v>
      </c>
      <c r="AG48" s="522">
        <v>18684</v>
      </c>
      <c r="AH48" s="522">
        <v>18724</v>
      </c>
      <c r="AI48" s="290">
        <v>18729</v>
      </c>
      <c r="AJ48" s="1085">
        <v>18802</v>
      </c>
      <c r="AK48" s="1085">
        <v>18786</v>
      </c>
      <c r="AL48" s="1086">
        <v>18739</v>
      </c>
      <c r="AM48" s="1086">
        <v>18884</v>
      </c>
      <c r="AN48" s="1089">
        <v>18911</v>
      </c>
      <c r="AO48" s="1086">
        <v>18886</v>
      </c>
      <c r="AP48" s="290">
        <v>18911</v>
      </c>
      <c r="AQ48" s="522">
        <v>18975</v>
      </c>
      <c r="AR48" s="522">
        <v>19032</v>
      </c>
      <c r="AS48" s="522">
        <v>19017</v>
      </c>
      <c r="AT48" s="289">
        <f t="shared" si="7"/>
        <v>18900</v>
      </c>
      <c r="AU48" s="289">
        <f t="shared" si="8"/>
        <v>18783</v>
      </c>
      <c r="AW48" s="522">
        <v>18993</v>
      </c>
      <c r="AX48" s="679">
        <f t="shared" si="20"/>
        <v>-39</v>
      </c>
      <c r="AY48" s="8"/>
      <c r="AZ48" s="8"/>
      <c r="BA48" s="8"/>
    </row>
    <row r="49" spans="1:53" ht="12.75" customHeight="1">
      <c r="A49" s="14">
        <v>3</v>
      </c>
      <c r="B49" s="16">
        <v>227</v>
      </c>
      <c r="C49" s="20" t="s">
        <v>219</v>
      </c>
      <c r="D49" s="39">
        <v>11454</v>
      </c>
      <c r="E49" s="39">
        <v>11538</v>
      </c>
      <c r="F49" s="39">
        <v>11922</v>
      </c>
      <c r="G49" s="39">
        <v>12168</v>
      </c>
      <c r="H49" s="39">
        <v>12228</v>
      </c>
      <c r="I49" s="39">
        <v>12415</v>
      </c>
      <c r="J49" s="37">
        <f>世帯数2!R45</f>
        <v>12489</v>
      </c>
      <c r="K49" s="37">
        <f>世帯数2!S45</f>
        <v>12564</v>
      </c>
      <c r="L49" s="37">
        <f>世帯数2!T45</f>
        <v>12659</v>
      </c>
      <c r="M49" s="37">
        <f>世帯数2!U45</f>
        <v>12801</v>
      </c>
      <c r="N49" s="39">
        <v>12784</v>
      </c>
      <c r="O49" s="37">
        <f>世帯数2!V45</f>
        <v>12833</v>
      </c>
      <c r="P49" s="37">
        <f>世帯数2!W45</f>
        <v>12857</v>
      </c>
      <c r="Q49" s="37">
        <f>世帯数2!X45</f>
        <v>12905</v>
      </c>
      <c r="R49" s="37">
        <f>世帯数2!Y45</f>
        <v>13006</v>
      </c>
      <c r="S49" s="39">
        <v>12989</v>
      </c>
      <c r="T49" s="38">
        <f>世帯数2!AA45</f>
        <v>13027</v>
      </c>
      <c r="U49" s="38">
        <f>世帯数2!AB45</f>
        <v>13026</v>
      </c>
      <c r="V49" s="38">
        <f>世帯数2!AC45</f>
        <v>13119</v>
      </c>
      <c r="W49" s="1">
        <v>13128</v>
      </c>
      <c r="X49" s="55">
        <v>13154</v>
      </c>
      <c r="Y49" s="39">
        <v>13069</v>
      </c>
      <c r="Z49" s="45">
        <v>13273</v>
      </c>
      <c r="AA49" s="45">
        <v>13281</v>
      </c>
      <c r="AB49" s="45">
        <v>13371</v>
      </c>
      <c r="AC49" s="45">
        <v>13470</v>
      </c>
      <c r="AD49" s="290">
        <v>13174</v>
      </c>
      <c r="AE49" s="522">
        <v>13127</v>
      </c>
      <c r="AF49" s="522">
        <v>13039</v>
      </c>
      <c r="AG49" s="522">
        <v>12929</v>
      </c>
      <c r="AH49" s="522">
        <v>12816</v>
      </c>
      <c r="AI49" s="290">
        <v>12723</v>
      </c>
      <c r="AJ49" s="1085">
        <v>12707</v>
      </c>
      <c r="AK49" s="1085">
        <v>12791</v>
      </c>
      <c r="AL49" s="1086">
        <v>12784</v>
      </c>
      <c r="AM49" s="1086">
        <v>12838</v>
      </c>
      <c r="AN49" s="1089">
        <v>12882</v>
      </c>
      <c r="AO49" s="1086">
        <v>12864</v>
      </c>
      <c r="AP49" s="290">
        <v>12875</v>
      </c>
      <c r="AQ49" s="522">
        <v>12814</v>
      </c>
      <c r="AR49" s="522">
        <v>12811</v>
      </c>
      <c r="AS49" s="522">
        <v>12686</v>
      </c>
      <c r="AT49" s="289">
        <f t="shared" si="7"/>
        <v>12311</v>
      </c>
      <c r="AU49" s="289">
        <f t="shared" si="8"/>
        <v>11936</v>
      </c>
      <c r="AW49" s="522">
        <v>12686</v>
      </c>
      <c r="AX49" s="679">
        <f t="shared" si="20"/>
        <v>-125</v>
      </c>
      <c r="AY49" s="8"/>
      <c r="AZ49" s="8"/>
      <c r="BA49" s="8"/>
    </row>
    <row r="50" spans="1:53" ht="12.75" customHeight="1">
      <c r="A50" s="14">
        <v>3</v>
      </c>
      <c r="B50" s="16">
        <v>229</v>
      </c>
      <c r="C50" s="20" t="s">
        <v>235</v>
      </c>
      <c r="D50" s="39">
        <v>15711</v>
      </c>
      <c r="E50" s="39">
        <v>17153</v>
      </c>
      <c r="F50" s="39">
        <v>19261</v>
      </c>
      <c r="G50" s="39">
        <v>20465</v>
      </c>
      <c r="H50" s="39">
        <v>21367</v>
      </c>
      <c r="I50" s="39">
        <v>22107</v>
      </c>
      <c r="J50" s="37">
        <f>世帯数2!R46</f>
        <v>22395</v>
      </c>
      <c r="K50" s="37">
        <f>世帯数2!S46</f>
        <v>22709</v>
      </c>
      <c r="L50" s="37">
        <f>世帯数2!T46</f>
        <v>23031</v>
      </c>
      <c r="M50" s="37">
        <f>世帯数2!U46</f>
        <v>23322</v>
      </c>
      <c r="N50" s="39">
        <v>23255</v>
      </c>
      <c r="O50" s="37">
        <f>世帯数2!V46</f>
        <v>23639</v>
      </c>
      <c r="P50" s="37">
        <f>世帯数2!W46</f>
        <v>23922</v>
      </c>
      <c r="Q50" s="37">
        <f>世帯数2!X46</f>
        <v>24292</v>
      </c>
      <c r="R50" s="37">
        <f>世帯数2!Y46</f>
        <v>24669</v>
      </c>
      <c r="S50" s="39">
        <v>24588</v>
      </c>
      <c r="T50" s="38">
        <f>世帯数2!AA46</f>
        <v>24775</v>
      </c>
      <c r="U50" s="38">
        <f>世帯数2!AB46</f>
        <v>25008</v>
      </c>
      <c r="V50" s="38">
        <f>世帯数2!AC46</f>
        <v>25225</v>
      </c>
      <c r="W50" s="1">
        <v>25556</v>
      </c>
      <c r="X50" s="55">
        <v>25795</v>
      </c>
      <c r="Y50" s="39">
        <v>25559</v>
      </c>
      <c r="Z50" s="45">
        <v>26082</v>
      </c>
      <c r="AA50" s="45">
        <v>26424</v>
      </c>
      <c r="AB50" s="45">
        <v>26611</v>
      </c>
      <c r="AC50" s="45">
        <v>26952</v>
      </c>
      <c r="AD50" s="290">
        <v>26803</v>
      </c>
      <c r="AE50" s="522">
        <v>26921</v>
      </c>
      <c r="AF50" s="522">
        <v>26947</v>
      </c>
      <c r="AG50" s="522">
        <v>27116</v>
      </c>
      <c r="AH50" s="522">
        <v>27244</v>
      </c>
      <c r="AI50" s="290">
        <v>27297</v>
      </c>
      <c r="AJ50" s="1085">
        <v>27425</v>
      </c>
      <c r="AK50" s="1085">
        <v>27539</v>
      </c>
      <c r="AL50" s="1086">
        <v>27537</v>
      </c>
      <c r="AM50" s="1086">
        <v>27664</v>
      </c>
      <c r="AN50" s="1089">
        <v>27757</v>
      </c>
      <c r="AO50" s="1086">
        <v>27857</v>
      </c>
      <c r="AP50" s="290">
        <v>28147</v>
      </c>
      <c r="AQ50" s="522">
        <v>28180</v>
      </c>
      <c r="AR50" s="522">
        <v>28193</v>
      </c>
      <c r="AS50" s="522">
        <v>28363</v>
      </c>
      <c r="AT50" s="289">
        <f t="shared" si="7"/>
        <v>29173</v>
      </c>
      <c r="AU50" s="289">
        <f t="shared" si="8"/>
        <v>29983</v>
      </c>
      <c r="AW50" s="522">
        <v>28463</v>
      </c>
      <c r="AX50" s="679">
        <f t="shared" si="20"/>
        <v>270</v>
      </c>
      <c r="AY50" s="8"/>
      <c r="AZ50" s="8"/>
      <c r="BA50" s="8"/>
    </row>
    <row r="51" spans="1:53" ht="12.75" customHeight="1">
      <c r="A51" s="14">
        <v>3</v>
      </c>
      <c r="B51" s="16">
        <v>464</v>
      </c>
      <c r="C51" s="20" t="s">
        <v>208</v>
      </c>
      <c r="D51" s="36">
        <v>3530</v>
      </c>
      <c r="E51" s="36">
        <v>4449</v>
      </c>
      <c r="F51" s="36">
        <v>6067</v>
      </c>
      <c r="G51" s="36">
        <v>7176</v>
      </c>
      <c r="H51" s="36">
        <v>8529</v>
      </c>
      <c r="I51" s="36">
        <v>8847</v>
      </c>
      <c r="J51" s="37">
        <f>世帯数2!R47</f>
        <v>9007</v>
      </c>
      <c r="K51" s="37">
        <f>世帯数2!S47</f>
        <v>9128</v>
      </c>
      <c r="L51" s="37">
        <f>世帯数2!T47</f>
        <v>9350</v>
      </c>
      <c r="M51" s="37">
        <f>世帯数2!U47</f>
        <v>9509</v>
      </c>
      <c r="N51" s="36">
        <v>9698</v>
      </c>
      <c r="O51" s="37">
        <f>世帯数2!V47</f>
        <v>9847</v>
      </c>
      <c r="P51" s="37">
        <f>世帯数2!W47</f>
        <v>10078</v>
      </c>
      <c r="Q51" s="37">
        <f>世帯数2!X47</f>
        <v>10274</v>
      </c>
      <c r="R51" s="37">
        <f>世帯数2!Y47</f>
        <v>10466</v>
      </c>
      <c r="S51" s="38">
        <v>10240</v>
      </c>
      <c r="T51" s="38">
        <f>世帯数2!AA47</f>
        <v>10407</v>
      </c>
      <c r="U51" s="38">
        <f>世帯数2!AB47</f>
        <v>10652</v>
      </c>
      <c r="V51" s="38">
        <f>世帯数2!AC47</f>
        <v>10817</v>
      </c>
      <c r="W51" s="48">
        <v>10976</v>
      </c>
      <c r="X51" s="55">
        <v>11140</v>
      </c>
      <c r="Y51" s="38">
        <v>10885</v>
      </c>
      <c r="Z51" s="45">
        <v>11104</v>
      </c>
      <c r="AA51" s="45">
        <v>11313</v>
      </c>
      <c r="AB51" s="45">
        <v>11486</v>
      </c>
      <c r="AC51" s="45">
        <v>11637</v>
      </c>
      <c r="AD51" s="290">
        <v>11640</v>
      </c>
      <c r="AE51" s="522">
        <v>11804</v>
      </c>
      <c r="AF51" s="522">
        <v>11914</v>
      </c>
      <c r="AG51" s="522">
        <v>11988</v>
      </c>
      <c r="AH51" s="522">
        <v>12028</v>
      </c>
      <c r="AI51" s="290">
        <v>12092</v>
      </c>
      <c r="AJ51" s="1085">
        <v>12230</v>
      </c>
      <c r="AK51" s="1085">
        <v>12410</v>
      </c>
      <c r="AL51" s="1086">
        <v>12524</v>
      </c>
      <c r="AM51" s="1086">
        <v>12651</v>
      </c>
      <c r="AN51" s="1089">
        <v>12757</v>
      </c>
      <c r="AO51" s="1086">
        <v>12875</v>
      </c>
      <c r="AP51" s="290">
        <v>12988</v>
      </c>
      <c r="AQ51" s="522">
        <v>13125</v>
      </c>
      <c r="AR51" s="522">
        <v>13259</v>
      </c>
      <c r="AS51" s="522">
        <v>13389</v>
      </c>
      <c r="AT51" s="289">
        <f t="shared" si="7"/>
        <v>13848</v>
      </c>
      <c r="AU51" s="289">
        <f t="shared" si="8"/>
        <v>14307</v>
      </c>
      <c r="AW51" s="522">
        <v>13412</v>
      </c>
      <c r="AX51" s="679">
        <f t="shared" si="20"/>
        <v>153</v>
      </c>
      <c r="AY51" s="8"/>
      <c r="AZ51" s="8"/>
      <c r="BA51" s="8"/>
    </row>
    <row r="52" spans="1:53" ht="12.75" customHeight="1">
      <c r="A52" s="14">
        <v>3</v>
      </c>
      <c r="B52" s="16">
        <v>481</v>
      </c>
      <c r="C52" s="20" t="s">
        <v>209</v>
      </c>
      <c r="D52" s="36">
        <v>3859</v>
      </c>
      <c r="E52" s="36">
        <v>4073</v>
      </c>
      <c r="F52" s="36">
        <v>4393</v>
      </c>
      <c r="G52" s="36">
        <v>4793</v>
      </c>
      <c r="H52" s="36">
        <v>5049</v>
      </c>
      <c r="I52" s="36">
        <v>5215</v>
      </c>
      <c r="J52" s="37">
        <f>世帯数2!R48</f>
        <v>5295</v>
      </c>
      <c r="K52" s="37">
        <f>世帯数2!S48</f>
        <v>5372</v>
      </c>
      <c r="L52" s="37">
        <f>世帯数2!T48</f>
        <v>5473</v>
      </c>
      <c r="M52" s="37">
        <f>世帯数2!U48</f>
        <v>5570</v>
      </c>
      <c r="N52" s="36">
        <v>5552</v>
      </c>
      <c r="O52" s="37">
        <f>世帯数2!V48</f>
        <v>5654</v>
      </c>
      <c r="P52" s="37">
        <f>世帯数2!W48</f>
        <v>5756</v>
      </c>
      <c r="Q52" s="37">
        <f>世帯数2!X48</f>
        <v>5817</v>
      </c>
      <c r="R52" s="37">
        <f>世帯数2!Y48</f>
        <v>5853</v>
      </c>
      <c r="S52" s="38">
        <v>5817</v>
      </c>
      <c r="T52" s="38">
        <f>世帯数2!AA48</f>
        <v>5824</v>
      </c>
      <c r="U52" s="38">
        <f>世帯数2!AB48</f>
        <v>5888</v>
      </c>
      <c r="V52" s="38">
        <f>世帯数2!AC48</f>
        <v>5906</v>
      </c>
      <c r="W52" s="48">
        <v>5933</v>
      </c>
      <c r="X52" s="55">
        <v>6001</v>
      </c>
      <c r="Y52" s="38">
        <v>5853</v>
      </c>
      <c r="Z52" s="45">
        <v>5923</v>
      </c>
      <c r="AA52" s="45">
        <v>5954</v>
      </c>
      <c r="AB52" s="45">
        <v>6024</v>
      </c>
      <c r="AC52" s="45">
        <v>6024</v>
      </c>
      <c r="AD52" s="290">
        <v>5870</v>
      </c>
      <c r="AE52" s="522">
        <v>5861</v>
      </c>
      <c r="AF52" s="522">
        <v>5812</v>
      </c>
      <c r="AG52" s="522">
        <v>5791</v>
      </c>
      <c r="AH52" s="522">
        <v>5746</v>
      </c>
      <c r="AI52" s="290">
        <v>5715</v>
      </c>
      <c r="AJ52" s="1090">
        <v>5658</v>
      </c>
      <c r="AK52" s="1085">
        <v>5596</v>
      </c>
      <c r="AL52" s="1086">
        <v>5558</v>
      </c>
      <c r="AM52" s="1086">
        <v>5568</v>
      </c>
      <c r="AN52" s="1089">
        <v>5537</v>
      </c>
      <c r="AO52" s="1086">
        <v>5516</v>
      </c>
      <c r="AP52" s="290">
        <v>5502</v>
      </c>
      <c r="AQ52" s="522">
        <v>5531</v>
      </c>
      <c r="AR52" s="522">
        <v>5475</v>
      </c>
      <c r="AS52" s="522">
        <v>5420</v>
      </c>
      <c r="AT52" s="289">
        <f t="shared" si="7"/>
        <v>5189</v>
      </c>
      <c r="AU52" s="289">
        <f t="shared" si="8"/>
        <v>4958</v>
      </c>
      <c r="AW52" s="522">
        <v>5398</v>
      </c>
      <c r="AX52" s="679">
        <f t="shared" si="20"/>
        <v>-77</v>
      </c>
      <c r="AY52" s="8"/>
      <c r="AZ52" s="8"/>
      <c r="BA52" s="8"/>
    </row>
    <row r="53" spans="1:53" ht="12.75" customHeight="1">
      <c r="A53" s="14">
        <v>3</v>
      </c>
      <c r="B53" s="16">
        <v>501</v>
      </c>
      <c r="C53" s="20" t="s">
        <v>236</v>
      </c>
      <c r="D53" s="36">
        <v>6613</v>
      </c>
      <c r="E53" s="36">
        <v>6611</v>
      </c>
      <c r="F53" s="36">
        <v>6654</v>
      </c>
      <c r="G53" s="36">
        <v>6658</v>
      </c>
      <c r="H53" s="36">
        <v>6611</v>
      </c>
      <c r="I53" s="36">
        <v>6554</v>
      </c>
      <c r="J53" s="37">
        <f>世帯数2!R49</f>
        <v>6537</v>
      </c>
      <c r="K53" s="37">
        <f>世帯数2!S49</f>
        <v>6564</v>
      </c>
      <c r="L53" s="37">
        <f>世帯数2!T49</f>
        <v>6600</v>
      </c>
      <c r="M53" s="37">
        <f>世帯数2!U49</f>
        <v>6605</v>
      </c>
      <c r="N53" s="36">
        <v>6585</v>
      </c>
      <c r="O53" s="37">
        <f>世帯数2!V49</f>
        <v>6606</v>
      </c>
      <c r="P53" s="37">
        <f>世帯数2!W49</f>
        <v>6608</v>
      </c>
      <c r="Q53" s="37">
        <f>世帯数2!X49</f>
        <v>6617</v>
      </c>
      <c r="R53" s="37">
        <f>世帯数2!Y49</f>
        <v>6672</v>
      </c>
      <c r="S53" s="36">
        <v>6611</v>
      </c>
      <c r="T53" s="38">
        <f>世帯数2!AA49</f>
        <v>6610</v>
      </c>
      <c r="U53" s="38">
        <f>世帯数2!AB49</f>
        <v>6630</v>
      </c>
      <c r="V53" s="38">
        <f>世帯数2!AC49</f>
        <v>6646</v>
      </c>
      <c r="W53" s="48">
        <v>6633</v>
      </c>
      <c r="X53" s="55">
        <v>6630</v>
      </c>
      <c r="Y53" s="38">
        <v>6515</v>
      </c>
      <c r="Z53" s="45">
        <v>6654</v>
      </c>
      <c r="AA53" s="45">
        <v>6632</v>
      </c>
      <c r="AB53" s="45">
        <v>6596</v>
      </c>
      <c r="AC53" s="45">
        <v>6529</v>
      </c>
      <c r="AD53" s="290">
        <v>6301</v>
      </c>
      <c r="AE53" s="522">
        <v>6288</v>
      </c>
      <c r="AF53" s="522">
        <v>6250</v>
      </c>
      <c r="AG53" s="522">
        <v>6203</v>
      </c>
      <c r="AH53" s="522">
        <v>6152</v>
      </c>
      <c r="AI53" s="290">
        <v>6108</v>
      </c>
      <c r="AJ53" s="1085">
        <v>6040</v>
      </c>
      <c r="AK53" s="1085">
        <v>5989</v>
      </c>
      <c r="AL53" s="1086">
        <v>5948</v>
      </c>
      <c r="AM53" s="1086">
        <v>5936</v>
      </c>
      <c r="AN53" s="1089">
        <v>5927</v>
      </c>
      <c r="AO53" s="1086">
        <v>5898</v>
      </c>
      <c r="AP53" s="290">
        <v>5890</v>
      </c>
      <c r="AQ53" s="522">
        <v>5879</v>
      </c>
      <c r="AR53" s="522">
        <v>5800</v>
      </c>
      <c r="AS53" s="522">
        <v>5735</v>
      </c>
      <c r="AT53" s="289">
        <f t="shared" si="7"/>
        <v>5477</v>
      </c>
      <c r="AU53" s="289">
        <f t="shared" si="8"/>
        <v>5219</v>
      </c>
      <c r="AW53" s="522">
        <v>5714</v>
      </c>
      <c r="AX53" s="679">
        <f t="shared" si="20"/>
        <v>-86</v>
      </c>
      <c r="AY53" s="8"/>
      <c r="AZ53" s="8"/>
      <c r="BA53" s="8"/>
    </row>
    <row r="54" spans="1:53" ht="20.25" customHeight="1">
      <c r="B54" s="16"/>
      <c r="C54" s="22" t="s">
        <v>210</v>
      </c>
      <c r="D54" s="36">
        <v>53658</v>
      </c>
      <c r="E54" s="36">
        <v>53730</v>
      </c>
      <c r="F54" s="36">
        <v>55660</v>
      </c>
      <c r="G54" s="36">
        <v>57513</v>
      </c>
      <c r="H54" s="36">
        <v>57967</v>
      </c>
      <c r="I54" s="36">
        <v>58494</v>
      </c>
      <c r="J54" s="36">
        <f t="shared" ref="J54:V54" si="27">SUM(J55:J59)</f>
        <v>58902</v>
      </c>
      <c r="K54" s="36">
        <f t="shared" si="27"/>
        <v>59243</v>
      </c>
      <c r="L54" s="36">
        <f t="shared" si="27"/>
        <v>59868</v>
      </c>
      <c r="M54" s="36">
        <f t="shared" si="27"/>
        <v>60497</v>
      </c>
      <c r="N54" s="36">
        <f t="shared" si="27"/>
        <v>61197</v>
      </c>
      <c r="O54" s="36">
        <f t="shared" si="27"/>
        <v>61911</v>
      </c>
      <c r="P54" s="36">
        <f t="shared" si="27"/>
        <v>62485</v>
      </c>
      <c r="Q54" s="36">
        <f t="shared" si="27"/>
        <v>62960</v>
      </c>
      <c r="R54" s="36">
        <f t="shared" si="27"/>
        <v>63280</v>
      </c>
      <c r="S54" s="36">
        <f t="shared" si="27"/>
        <v>62607</v>
      </c>
      <c r="T54" s="36">
        <f t="shared" si="27"/>
        <v>63001</v>
      </c>
      <c r="U54" s="36">
        <f t="shared" si="27"/>
        <v>63339</v>
      </c>
      <c r="V54" s="36">
        <f t="shared" si="27"/>
        <v>63298</v>
      </c>
      <c r="W54" s="36">
        <f t="shared" ref="W54:AB54" si="28">SUM(W55:W59)</f>
        <v>63604</v>
      </c>
      <c r="X54" s="53">
        <f t="shared" si="28"/>
        <v>63976</v>
      </c>
      <c r="Y54" s="36">
        <f t="shared" si="28"/>
        <v>62811</v>
      </c>
      <c r="Z54" s="36">
        <f t="shared" si="28"/>
        <v>63237</v>
      </c>
      <c r="AA54" s="36">
        <f t="shared" si="28"/>
        <v>63517</v>
      </c>
      <c r="AB54" s="36">
        <f t="shared" si="28"/>
        <v>63513</v>
      </c>
      <c r="AC54" s="36">
        <f>SUM(AC55:AC59)</f>
        <v>63698</v>
      </c>
      <c r="AD54" s="36">
        <v>62249</v>
      </c>
      <c r="AE54" s="36">
        <f t="shared" ref="AE54:AU54" si="29">SUM(AE55:AE59)</f>
        <v>62227</v>
      </c>
      <c r="AF54" s="36">
        <f t="shared" si="29"/>
        <v>62024</v>
      </c>
      <c r="AG54" s="36">
        <f t="shared" si="29"/>
        <v>61960</v>
      </c>
      <c r="AH54" s="36">
        <f t="shared" si="29"/>
        <v>61868</v>
      </c>
      <c r="AI54" s="36">
        <f t="shared" si="29"/>
        <v>61921</v>
      </c>
      <c r="AJ54" s="1082">
        <f t="shared" si="29"/>
        <v>61837</v>
      </c>
      <c r="AK54" s="1082">
        <f t="shared" si="29"/>
        <v>61713</v>
      </c>
      <c r="AL54" s="1083">
        <f t="shared" si="29"/>
        <v>61346</v>
      </c>
      <c r="AM54" s="1083">
        <f t="shared" si="29"/>
        <v>61122</v>
      </c>
      <c r="AN54" s="1083">
        <f t="shared" si="29"/>
        <v>60808</v>
      </c>
      <c r="AO54" s="1083">
        <f t="shared" si="29"/>
        <v>60890</v>
      </c>
      <c r="AP54" s="1083">
        <f t="shared" si="29"/>
        <v>60973</v>
      </c>
      <c r="AQ54" s="1083">
        <f t="shared" si="29"/>
        <v>60858</v>
      </c>
      <c r="AR54" s="1083">
        <f t="shared" si="29"/>
        <v>60796</v>
      </c>
      <c r="AS54" s="1083">
        <f t="shared" si="29"/>
        <v>60406</v>
      </c>
      <c r="AT54" s="1083">
        <f t="shared" si="29"/>
        <v>58531</v>
      </c>
      <c r="AU54" s="1083">
        <f t="shared" si="29"/>
        <v>56656</v>
      </c>
      <c r="AV54" s="36" t="s">
        <v>116</v>
      </c>
      <c r="AW54" s="36">
        <v>60171</v>
      </c>
      <c r="AX54" s="679">
        <f t="shared" si="20"/>
        <v>-625</v>
      </c>
      <c r="AY54" s="8"/>
      <c r="AZ54" s="8"/>
      <c r="BA54" s="8"/>
    </row>
    <row r="55" spans="1:53" ht="12.75" customHeight="1">
      <c r="A55" s="14">
        <v>4</v>
      </c>
      <c r="B55" s="16">
        <v>209</v>
      </c>
      <c r="C55" s="20" t="s">
        <v>221</v>
      </c>
      <c r="D55" s="39">
        <v>21759</v>
      </c>
      <c r="E55" s="39">
        <v>22754</v>
      </c>
      <c r="F55" s="39">
        <v>24227</v>
      </c>
      <c r="G55" s="39">
        <v>25465</v>
      </c>
      <c r="H55" s="39">
        <v>25877</v>
      </c>
      <c r="I55" s="39">
        <v>26441</v>
      </c>
      <c r="J55" s="37">
        <f>世帯数2!R51</f>
        <v>26767</v>
      </c>
      <c r="K55" s="37">
        <f>世帯数2!S51</f>
        <v>26932</v>
      </c>
      <c r="L55" s="37">
        <f>世帯数2!T51</f>
        <v>27283</v>
      </c>
      <c r="M55" s="37">
        <f>世帯数2!U51</f>
        <v>27692</v>
      </c>
      <c r="N55" s="39">
        <v>28131</v>
      </c>
      <c r="O55" s="37">
        <f>世帯数2!V51</f>
        <v>28542</v>
      </c>
      <c r="P55" s="37">
        <f>世帯数2!W51</f>
        <v>28847</v>
      </c>
      <c r="Q55" s="37">
        <f>世帯数2!X51</f>
        <v>29146</v>
      </c>
      <c r="R55" s="37">
        <f>世帯数2!Y51</f>
        <v>29397</v>
      </c>
      <c r="S55" s="39">
        <v>29181</v>
      </c>
      <c r="T55" s="38">
        <f>世帯数2!AA51</f>
        <v>29449</v>
      </c>
      <c r="U55" s="38">
        <f>世帯数2!AB51</f>
        <v>29624</v>
      </c>
      <c r="V55" s="38">
        <f>世帯数2!AC51</f>
        <v>29702</v>
      </c>
      <c r="W55" s="48">
        <f>16006+13937</f>
        <v>29943</v>
      </c>
      <c r="X55" s="55">
        <v>30098</v>
      </c>
      <c r="Y55" s="39">
        <v>29617</v>
      </c>
      <c r="Z55" s="45">
        <v>29841</v>
      </c>
      <c r="AA55" s="45">
        <v>30019</v>
      </c>
      <c r="AB55" s="45">
        <v>30095</v>
      </c>
      <c r="AC55" s="45">
        <v>30360</v>
      </c>
      <c r="AD55" s="290">
        <v>29741</v>
      </c>
      <c r="AE55" s="522">
        <v>29874</v>
      </c>
      <c r="AF55" s="522">
        <v>29818</v>
      </c>
      <c r="AG55" s="522">
        <v>29882</v>
      </c>
      <c r="AH55" s="522">
        <v>30017</v>
      </c>
      <c r="AI55" s="290">
        <v>30189</v>
      </c>
      <c r="AJ55" s="1085">
        <v>30199</v>
      </c>
      <c r="AK55" s="1085">
        <v>30296</v>
      </c>
      <c r="AL55" s="1086">
        <v>30209</v>
      </c>
      <c r="AM55" s="1086">
        <v>30264</v>
      </c>
      <c r="AN55" s="1089">
        <v>30180</v>
      </c>
      <c r="AO55" s="1086">
        <v>30416</v>
      </c>
      <c r="AP55" s="290">
        <v>30556</v>
      </c>
      <c r="AQ55" s="522">
        <v>30591</v>
      </c>
      <c r="AR55" s="522">
        <v>30675</v>
      </c>
      <c r="AS55" s="522">
        <v>30559</v>
      </c>
      <c r="AT55" s="289">
        <f t="shared" si="7"/>
        <v>29890</v>
      </c>
      <c r="AU55" s="289">
        <f t="shared" si="8"/>
        <v>29221</v>
      </c>
      <c r="AW55" s="522">
        <v>30452</v>
      </c>
      <c r="AX55" s="679">
        <f t="shared" si="20"/>
        <v>-223</v>
      </c>
      <c r="AY55" s="8"/>
      <c r="AZ55" s="8"/>
      <c r="BA55" s="8"/>
    </row>
    <row r="56" spans="1:53" ht="12.75" customHeight="1">
      <c r="A56" s="14">
        <v>4</v>
      </c>
      <c r="B56" s="16">
        <v>222</v>
      </c>
      <c r="C56" s="20" t="s">
        <v>218</v>
      </c>
      <c r="D56" s="36">
        <v>9486</v>
      </c>
      <c r="E56" s="36">
        <v>9122</v>
      </c>
      <c r="F56" s="36">
        <v>9116</v>
      </c>
      <c r="G56" s="36">
        <v>9275</v>
      </c>
      <c r="H56" s="36">
        <v>9193</v>
      </c>
      <c r="I56" s="36">
        <v>9005</v>
      </c>
      <c r="J56" s="37">
        <f>世帯数2!R52</f>
        <v>9027</v>
      </c>
      <c r="K56" s="37">
        <f>世帯数2!S52</f>
        <v>9040</v>
      </c>
      <c r="L56" s="37">
        <f>世帯数2!T52</f>
        <v>9156</v>
      </c>
      <c r="M56" s="37">
        <f>世帯数2!U52</f>
        <v>9248</v>
      </c>
      <c r="N56" s="36">
        <v>9252</v>
      </c>
      <c r="O56" s="37">
        <f>世帯数2!V52</f>
        <v>9375</v>
      </c>
      <c r="P56" s="37">
        <f>世帯数2!W52</f>
        <v>9460</v>
      </c>
      <c r="Q56" s="37">
        <f>世帯数2!X52</f>
        <v>9476</v>
      </c>
      <c r="R56" s="37">
        <f>世帯数2!Y52</f>
        <v>9504</v>
      </c>
      <c r="S56" s="36">
        <v>9298</v>
      </c>
      <c r="T56" s="38">
        <f>世帯数2!AA52</f>
        <v>9311</v>
      </c>
      <c r="U56" s="38">
        <f>世帯数2!AB52</f>
        <v>9350</v>
      </c>
      <c r="V56" s="38">
        <f>世帯数2!AC52</f>
        <v>9320</v>
      </c>
      <c r="W56" s="48">
        <v>9339</v>
      </c>
      <c r="X56" s="55">
        <v>9386</v>
      </c>
      <c r="Y56" s="36">
        <v>9212</v>
      </c>
      <c r="Z56" s="45">
        <v>9247</v>
      </c>
      <c r="AA56" s="45">
        <v>9244</v>
      </c>
      <c r="AB56" s="45">
        <v>9222</v>
      </c>
      <c r="AC56" s="45">
        <v>9211</v>
      </c>
      <c r="AD56" s="290">
        <v>9062</v>
      </c>
      <c r="AE56" s="522">
        <v>8963</v>
      </c>
      <c r="AF56" s="522">
        <v>8886</v>
      </c>
      <c r="AG56" s="522">
        <v>8825</v>
      </c>
      <c r="AH56" s="522">
        <v>8768</v>
      </c>
      <c r="AI56" s="290">
        <v>8713</v>
      </c>
      <c r="AJ56" s="1085">
        <v>8678</v>
      </c>
      <c r="AK56" s="1085">
        <v>8612</v>
      </c>
      <c r="AL56" s="1086">
        <v>8493</v>
      </c>
      <c r="AM56" s="1086">
        <v>8432</v>
      </c>
      <c r="AN56" s="1089">
        <v>8388</v>
      </c>
      <c r="AO56" s="1086">
        <v>8345</v>
      </c>
      <c r="AP56" s="290">
        <v>8295</v>
      </c>
      <c r="AQ56" s="522">
        <v>8216</v>
      </c>
      <c r="AR56" s="522">
        <v>8121</v>
      </c>
      <c r="AS56" s="522">
        <v>8049</v>
      </c>
      <c r="AT56" s="289">
        <f t="shared" si="7"/>
        <v>7689</v>
      </c>
      <c r="AU56" s="289">
        <f t="shared" si="8"/>
        <v>7329</v>
      </c>
      <c r="AW56" s="522">
        <v>8001</v>
      </c>
      <c r="AX56" s="679">
        <f t="shared" si="20"/>
        <v>-120</v>
      </c>
      <c r="AY56" s="8"/>
      <c r="AZ56" s="8"/>
      <c r="BA56" s="8"/>
    </row>
    <row r="57" spans="1:53" ht="12.75" customHeight="1">
      <c r="A57" s="14">
        <v>4</v>
      </c>
      <c r="B57" s="16">
        <v>225</v>
      </c>
      <c r="C57" s="20" t="s">
        <v>222</v>
      </c>
      <c r="D57" s="39">
        <v>9970</v>
      </c>
      <c r="E57" s="39">
        <v>9688</v>
      </c>
      <c r="F57" s="39">
        <v>9870</v>
      </c>
      <c r="G57" s="39">
        <v>10246</v>
      </c>
      <c r="H57" s="39">
        <v>10431</v>
      </c>
      <c r="I57" s="39">
        <v>10704</v>
      </c>
      <c r="J57" s="37">
        <f>世帯数2!R53</f>
        <v>10769</v>
      </c>
      <c r="K57" s="37">
        <f>世帯数2!S53</f>
        <v>10919</v>
      </c>
      <c r="L57" s="37">
        <f>世帯数2!T53</f>
        <v>11024</v>
      </c>
      <c r="M57" s="37">
        <f>世帯数2!U53</f>
        <v>11114</v>
      </c>
      <c r="N57" s="39">
        <v>11411</v>
      </c>
      <c r="O57" s="37">
        <f>世帯数2!V53</f>
        <v>11498</v>
      </c>
      <c r="P57" s="37">
        <f>世帯数2!W53</f>
        <v>11657</v>
      </c>
      <c r="Q57" s="37">
        <f>世帯数2!X53</f>
        <v>11783</v>
      </c>
      <c r="R57" s="37">
        <f>世帯数2!Y53</f>
        <v>11842</v>
      </c>
      <c r="S57" s="39">
        <v>11685</v>
      </c>
      <c r="T57" s="38">
        <f>世帯数2!AA53</f>
        <v>11786</v>
      </c>
      <c r="U57" s="38">
        <f>世帯数2!AB53</f>
        <v>11885</v>
      </c>
      <c r="V57" s="38">
        <f>世帯数2!AC53</f>
        <v>11871</v>
      </c>
      <c r="W57" s="48">
        <v>11938</v>
      </c>
      <c r="X57" s="55">
        <v>12066</v>
      </c>
      <c r="Y57" s="39">
        <v>11808</v>
      </c>
      <c r="Z57" s="45">
        <v>11961</v>
      </c>
      <c r="AA57" s="45">
        <v>12038</v>
      </c>
      <c r="AB57" s="45">
        <v>12014</v>
      </c>
      <c r="AC57" s="45">
        <v>11987</v>
      </c>
      <c r="AD57" s="290">
        <v>11655</v>
      </c>
      <c r="AE57" s="522">
        <v>11653</v>
      </c>
      <c r="AF57" s="522">
        <v>11587</v>
      </c>
      <c r="AG57" s="522">
        <v>11572</v>
      </c>
      <c r="AH57" s="522">
        <v>11532</v>
      </c>
      <c r="AI57" s="290">
        <v>11500</v>
      </c>
      <c r="AJ57" s="1085">
        <v>11566</v>
      </c>
      <c r="AK57" s="1085">
        <v>11524</v>
      </c>
      <c r="AL57" s="1086">
        <v>11512</v>
      </c>
      <c r="AM57" s="1086">
        <v>11442</v>
      </c>
      <c r="AN57" s="1089">
        <v>11399</v>
      </c>
      <c r="AO57" s="1086">
        <v>11356</v>
      </c>
      <c r="AP57" s="290">
        <v>11401</v>
      </c>
      <c r="AQ57" s="522">
        <v>11368</v>
      </c>
      <c r="AR57" s="522">
        <v>11344</v>
      </c>
      <c r="AS57" s="522">
        <v>11279</v>
      </c>
      <c r="AT57" s="289">
        <f t="shared" si="7"/>
        <v>10937</v>
      </c>
      <c r="AU57" s="289">
        <f t="shared" si="8"/>
        <v>10595</v>
      </c>
      <c r="AW57" s="522">
        <v>11230</v>
      </c>
      <c r="AX57" s="679">
        <f t="shared" si="20"/>
        <v>-114</v>
      </c>
      <c r="AY57" s="8"/>
      <c r="AZ57" s="8"/>
      <c r="BA57" s="8"/>
    </row>
    <row r="58" spans="1:53" s="5" customFormat="1" ht="12.75" customHeight="1">
      <c r="A58" s="14">
        <v>4</v>
      </c>
      <c r="B58" s="16">
        <v>585</v>
      </c>
      <c r="C58" s="20" t="s">
        <v>220</v>
      </c>
      <c r="D58" s="39">
        <v>6858</v>
      </c>
      <c r="E58" s="39">
        <v>6753</v>
      </c>
      <c r="F58" s="39">
        <v>6907</v>
      </c>
      <c r="G58" s="39">
        <v>6901</v>
      </c>
      <c r="H58" s="39">
        <v>6846</v>
      </c>
      <c r="I58" s="39">
        <v>6833</v>
      </c>
      <c r="J58" s="37">
        <f>世帯数2!R54</f>
        <v>6825</v>
      </c>
      <c r="K58" s="37">
        <f>世帯数2!S54</f>
        <v>6821</v>
      </c>
      <c r="L58" s="37">
        <f>世帯数2!T54</f>
        <v>6839</v>
      </c>
      <c r="M58" s="37">
        <f>世帯数2!U54</f>
        <v>6847</v>
      </c>
      <c r="N58" s="39">
        <v>6816</v>
      </c>
      <c r="O58" s="37">
        <f>世帯数2!V54</f>
        <v>6874</v>
      </c>
      <c r="P58" s="37">
        <f>世帯数2!W54</f>
        <v>6886</v>
      </c>
      <c r="Q58" s="37">
        <f>世帯数2!X54</f>
        <v>6904</v>
      </c>
      <c r="R58" s="37">
        <f>世帯数2!Y54</f>
        <v>6892</v>
      </c>
      <c r="S58" s="39">
        <v>6878</v>
      </c>
      <c r="T58" s="38">
        <f>世帯数2!AA54</f>
        <v>6884</v>
      </c>
      <c r="U58" s="38">
        <f>世帯数2!AB54</f>
        <v>6880</v>
      </c>
      <c r="V58" s="38">
        <f>世帯数2!AC54</f>
        <v>6841</v>
      </c>
      <c r="W58" s="1">
        <v>6800</v>
      </c>
      <c r="X58" s="55">
        <v>6783</v>
      </c>
      <c r="Y58" s="39">
        <v>6630</v>
      </c>
      <c r="Z58" s="46">
        <v>6625</v>
      </c>
      <c r="AA58" s="46">
        <v>6657</v>
      </c>
      <c r="AB58" s="47">
        <v>6627</v>
      </c>
      <c r="AC58" s="47">
        <v>6609</v>
      </c>
      <c r="AD58" s="290">
        <v>6449</v>
      </c>
      <c r="AE58" s="522">
        <v>6399</v>
      </c>
      <c r="AF58" s="522">
        <v>6365</v>
      </c>
      <c r="AG58" s="522">
        <v>6328</v>
      </c>
      <c r="AH58" s="522">
        <v>6243</v>
      </c>
      <c r="AI58" s="290">
        <v>6228</v>
      </c>
      <c r="AJ58" s="1085">
        <v>6179</v>
      </c>
      <c r="AK58" s="1085">
        <v>6127</v>
      </c>
      <c r="AL58" s="1086">
        <v>6068</v>
      </c>
      <c r="AM58" s="1086">
        <v>5968</v>
      </c>
      <c r="AN58" s="1089">
        <v>5912</v>
      </c>
      <c r="AO58" s="1086">
        <v>5872</v>
      </c>
      <c r="AP58" s="290">
        <v>5825</v>
      </c>
      <c r="AQ58" s="522">
        <v>5805</v>
      </c>
      <c r="AR58" s="522">
        <v>5783</v>
      </c>
      <c r="AS58" s="522">
        <v>5680</v>
      </c>
      <c r="AT58" s="289">
        <f t="shared" si="7"/>
        <v>5344</v>
      </c>
      <c r="AU58" s="289">
        <f t="shared" si="8"/>
        <v>5008</v>
      </c>
      <c r="AW58" s="522">
        <v>5671</v>
      </c>
      <c r="AX58" s="679">
        <f t="shared" si="20"/>
        <v>-112</v>
      </c>
      <c r="AY58" s="8"/>
      <c r="AZ58" s="8"/>
      <c r="BA58" s="8"/>
    </row>
    <row r="59" spans="1:53" s="5" customFormat="1" ht="12.75" customHeight="1">
      <c r="A59" s="14">
        <v>4</v>
      </c>
      <c r="B59" s="16">
        <v>586</v>
      </c>
      <c r="C59" s="20" t="s">
        <v>237</v>
      </c>
      <c r="D59" s="39">
        <v>5585</v>
      </c>
      <c r="E59" s="39">
        <v>5413</v>
      </c>
      <c r="F59" s="39">
        <v>5540</v>
      </c>
      <c r="G59" s="39">
        <v>5626</v>
      </c>
      <c r="H59" s="39">
        <v>5620</v>
      </c>
      <c r="I59" s="39">
        <v>5511</v>
      </c>
      <c r="J59" s="37">
        <f>世帯数2!R55</f>
        <v>5514</v>
      </c>
      <c r="K59" s="37">
        <f>世帯数2!S55</f>
        <v>5531</v>
      </c>
      <c r="L59" s="37">
        <f>世帯数2!T55</f>
        <v>5566</v>
      </c>
      <c r="M59" s="37">
        <f>世帯数2!U55</f>
        <v>5596</v>
      </c>
      <c r="N59" s="39">
        <v>5587</v>
      </c>
      <c r="O59" s="37">
        <f>世帯数2!V55</f>
        <v>5622</v>
      </c>
      <c r="P59" s="37">
        <f>世帯数2!W55</f>
        <v>5635</v>
      </c>
      <c r="Q59" s="37">
        <f>世帯数2!X55</f>
        <v>5651</v>
      </c>
      <c r="R59" s="37">
        <f>世帯数2!Y55</f>
        <v>5645</v>
      </c>
      <c r="S59" s="39">
        <v>5565</v>
      </c>
      <c r="T59" s="38">
        <f>世帯数2!AA55</f>
        <v>5571</v>
      </c>
      <c r="U59" s="38">
        <f>世帯数2!AB55</f>
        <v>5600</v>
      </c>
      <c r="V59" s="38">
        <f>世帯数2!AC55</f>
        <v>5564</v>
      </c>
      <c r="W59" s="1">
        <v>5584</v>
      </c>
      <c r="X59" s="55">
        <v>5643</v>
      </c>
      <c r="Y59" s="39">
        <v>5544</v>
      </c>
      <c r="Z59" s="46">
        <v>5563</v>
      </c>
      <c r="AA59" s="46">
        <v>5559</v>
      </c>
      <c r="AB59" s="47">
        <v>5555</v>
      </c>
      <c r="AC59" s="47">
        <v>5531</v>
      </c>
      <c r="AD59" s="290">
        <v>5342</v>
      </c>
      <c r="AE59" s="522">
        <v>5338</v>
      </c>
      <c r="AF59" s="522">
        <v>5368</v>
      </c>
      <c r="AG59" s="522">
        <v>5353</v>
      </c>
      <c r="AH59" s="522">
        <v>5308</v>
      </c>
      <c r="AI59" s="290">
        <v>5291</v>
      </c>
      <c r="AJ59" s="1085">
        <v>5215</v>
      </c>
      <c r="AK59" s="1085">
        <v>5154</v>
      </c>
      <c r="AL59" s="1086">
        <v>5064</v>
      </c>
      <c r="AM59" s="1086">
        <v>5016</v>
      </c>
      <c r="AN59" s="1089">
        <v>4929</v>
      </c>
      <c r="AO59" s="1086">
        <v>4901</v>
      </c>
      <c r="AP59" s="290">
        <v>4896</v>
      </c>
      <c r="AQ59" s="522">
        <v>4878</v>
      </c>
      <c r="AR59" s="522">
        <v>4873</v>
      </c>
      <c r="AS59" s="522">
        <v>4839</v>
      </c>
      <c r="AT59" s="289">
        <f t="shared" si="7"/>
        <v>4671</v>
      </c>
      <c r="AU59" s="289">
        <f t="shared" si="8"/>
        <v>4503</v>
      </c>
      <c r="AW59" s="522">
        <v>4817</v>
      </c>
      <c r="AX59" s="679">
        <f t="shared" si="20"/>
        <v>-56</v>
      </c>
      <c r="AY59" s="8"/>
      <c r="AZ59" s="8"/>
      <c r="BA59" s="8"/>
    </row>
    <row r="60" spans="1:53" ht="20.25" customHeight="1">
      <c r="B60" s="5"/>
      <c r="C60" s="23" t="s">
        <v>211</v>
      </c>
      <c r="D60" s="36">
        <v>28586</v>
      </c>
      <c r="E60" s="36">
        <v>28274</v>
      </c>
      <c r="F60" s="36">
        <v>29009</v>
      </c>
      <c r="G60" s="36">
        <v>29957</v>
      </c>
      <c r="H60" s="36">
        <v>30665</v>
      </c>
      <c r="I60" s="36">
        <v>31564</v>
      </c>
      <c r="J60" s="36">
        <f t="shared" ref="J60:V60" si="30">SUM(J61:J62)</f>
        <v>32161</v>
      </c>
      <c r="K60" s="36">
        <f t="shared" si="30"/>
        <v>32790</v>
      </c>
      <c r="L60" s="36">
        <f t="shared" si="30"/>
        <v>33334</v>
      </c>
      <c r="M60" s="36">
        <f t="shared" si="30"/>
        <v>33857</v>
      </c>
      <c r="N60" s="36">
        <f t="shared" si="30"/>
        <v>34261</v>
      </c>
      <c r="O60" s="36">
        <f t="shared" si="30"/>
        <v>34805</v>
      </c>
      <c r="P60" s="36">
        <f t="shared" si="30"/>
        <v>35449</v>
      </c>
      <c r="Q60" s="36">
        <f t="shared" si="30"/>
        <v>35896</v>
      </c>
      <c r="R60" s="36">
        <f t="shared" si="30"/>
        <v>36357</v>
      </c>
      <c r="S60" s="36">
        <f t="shared" si="30"/>
        <v>36354</v>
      </c>
      <c r="T60" s="36">
        <f t="shared" si="30"/>
        <v>36808</v>
      </c>
      <c r="U60" s="36">
        <f t="shared" si="30"/>
        <v>37023</v>
      </c>
      <c r="V60" s="36">
        <f t="shared" si="30"/>
        <v>37276</v>
      </c>
      <c r="W60" s="36">
        <f t="shared" ref="W60:AB60" si="31">SUM(W61:W62)</f>
        <v>37640</v>
      </c>
      <c r="X60" s="53">
        <f t="shared" si="31"/>
        <v>38061</v>
      </c>
      <c r="Y60" s="36">
        <f t="shared" si="31"/>
        <v>37364</v>
      </c>
      <c r="Z60" s="36">
        <f t="shared" si="31"/>
        <v>37806</v>
      </c>
      <c r="AA60" s="36">
        <f t="shared" si="31"/>
        <v>38001</v>
      </c>
      <c r="AB60" s="36">
        <f t="shared" si="31"/>
        <v>38277</v>
      </c>
      <c r="AC60" s="36">
        <f>SUM(AC61:AC62)</f>
        <v>38446</v>
      </c>
      <c r="AD60" s="36">
        <v>37803</v>
      </c>
      <c r="AE60" s="36">
        <f t="shared" ref="AE60:AI60" si="32">SUM(AE61:AE62)</f>
        <v>38006</v>
      </c>
      <c r="AF60" s="36">
        <f t="shared" si="32"/>
        <v>38115</v>
      </c>
      <c r="AG60" s="36">
        <f t="shared" si="32"/>
        <v>38075</v>
      </c>
      <c r="AH60" s="36">
        <f t="shared" si="32"/>
        <v>38052</v>
      </c>
      <c r="AI60" s="36">
        <f t="shared" si="32"/>
        <v>38131</v>
      </c>
      <c r="AJ60" s="1082">
        <f t="shared" ref="AJ60:AU60" si="33">AJ61+AJ62</f>
        <v>38239</v>
      </c>
      <c r="AK60" s="1082">
        <f t="shared" si="33"/>
        <v>38324</v>
      </c>
      <c r="AL60" s="1083">
        <f t="shared" si="33"/>
        <v>38476</v>
      </c>
      <c r="AM60" s="1083">
        <f t="shared" si="33"/>
        <v>38676</v>
      </c>
      <c r="AN60" s="1083">
        <f t="shared" si="33"/>
        <v>38638</v>
      </c>
      <c r="AO60" s="1083">
        <f t="shared" si="33"/>
        <v>38702</v>
      </c>
      <c r="AP60" s="1083">
        <f t="shared" si="33"/>
        <v>39074</v>
      </c>
      <c r="AQ60" s="1083">
        <f t="shared" si="33"/>
        <v>39347</v>
      </c>
      <c r="AR60" s="1083">
        <f t="shared" si="33"/>
        <v>39516</v>
      </c>
      <c r="AS60" s="1083">
        <f t="shared" si="33"/>
        <v>39562</v>
      </c>
      <c r="AT60" s="1083">
        <f t="shared" si="33"/>
        <v>39727</v>
      </c>
      <c r="AU60" s="1083">
        <f t="shared" si="33"/>
        <v>39892</v>
      </c>
      <c r="AW60" s="36">
        <v>39571</v>
      </c>
      <c r="AX60" s="679">
        <f t="shared" si="20"/>
        <v>55</v>
      </c>
      <c r="AY60" s="8"/>
      <c r="AZ60" s="8"/>
      <c r="BA60" s="8"/>
    </row>
    <row r="61" spans="1:53" ht="12.75" customHeight="1">
      <c r="A61" s="14">
        <v>4</v>
      </c>
      <c r="B61" s="16">
        <v>221</v>
      </c>
      <c r="C61" s="20" t="s">
        <v>1125</v>
      </c>
      <c r="D61" s="36">
        <v>11177</v>
      </c>
      <c r="E61" s="36">
        <v>10732</v>
      </c>
      <c r="F61" s="36">
        <v>10843</v>
      </c>
      <c r="G61" s="36">
        <v>11286</v>
      </c>
      <c r="H61" s="36">
        <v>11452</v>
      </c>
      <c r="I61" s="36">
        <v>11825</v>
      </c>
      <c r="J61" s="37">
        <f>世帯数2!R57</f>
        <v>12119</v>
      </c>
      <c r="K61" s="37">
        <f>世帯数2!S57</f>
        <v>12431</v>
      </c>
      <c r="L61" s="37">
        <f>世帯数2!T57</f>
        <v>12694</v>
      </c>
      <c r="M61" s="37">
        <f>世帯数2!U57</f>
        <v>12964</v>
      </c>
      <c r="N61" s="36">
        <v>13228</v>
      </c>
      <c r="O61" s="37">
        <f>世帯数2!V57</f>
        <v>13521</v>
      </c>
      <c r="P61" s="37">
        <f>世帯数2!W57</f>
        <v>13899</v>
      </c>
      <c r="Q61" s="37">
        <f>世帯数2!X57</f>
        <v>14194</v>
      </c>
      <c r="R61" s="37">
        <f>世帯数2!Y57</f>
        <v>14534</v>
      </c>
      <c r="S61" s="38">
        <v>14585</v>
      </c>
      <c r="T61" s="38">
        <f>世帯数2!AA57</f>
        <v>14896</v>
      </c>
      <c r="U61" s="38">
        <f>世帯数2!AB57</f>
        <v>15074</v>
      </c>
      <c r="V61" s="38">
        <f>世帯数2!AC57</f>
        <v>15228</v>
      </c>
      <c r="W61" s="48">
        <v>15367</v>
      </c>
      <c r="X61" s="55">
        <v>15544</v>
      </c>
      <c r="Y61" s="38">
        <v>14960</v>
      </c>
      <c r="Z61" s="45">
        <v>15197</v>
      </c>
      <c r="AA61" s="45">
        <v>15297</v>
      </c>
      <c r="AB61" s="45">
        <v>15374</v>
      </c>
      <c r="AC61" s="45">
        <v>15479</v>
      </c>
      <c r="AD61" s="290">
        <v>15342</v>
      </c>
      <c r="AE61" s="522">
        <v>15434</v>
      </c>
      <c r="AF61" s="522">
        <v>15537</v>
      </c>
      <c r="AG61" s="522">
        <v>15502</v>
      </c>
      <c r="AH61" s="522">
        <v>15490</v>
      </c>
      <c r="AI61" s="290">
        <v>15578</v>
      </c>
      <c r="AJ61" s="1091">
        <v>15628</v>
      </c>
      <c r="AK61" s="1091">
        <v>15577</v>
      </c>
      <c r="AL61" s="1092">
        <v>15604</v>
      </c>
      <c r="AM61" s="693">
        <v>15652</v>
      </c>
      <c r="AN61" s="1087">
        <v>15605</v>
      </c>
      <c r="AO61" s="693">
        <v>15635</v>
      </c>
      <c r="AP61" s="290">
        <v>15790</v>
      </c>
      <c r="AQ61" s="522">
        <v>15911</v>
      </c>
      <c r="AR61" s="522">
        <v>15968</v>
      </c>
      <c r="AS61" s="522">
        <v>15947</v>
      </c>
      <c r="AT61" s="289">
        <f t="shared" si="7"/>
        <v>15842</v>
      </c>
      <c r="AU61" s="289">
        <f t="shared" si="8"/>
        <v>15737</v>
      </c>
      <c r="AW61" s="522">
        <v>15933</v>
      </c>
      <c r="AX61" s="679">
        <f t="shared" si="20"/>
        <v>-35</v>
      </c>
      <c r="AY61" s="8"/>
      <c r="AZ61" s="8"/>
      <c r="BA61" s="8"/>
    </row>
    <row r="62" spans="1:53" ht="12.75" customHeight="1">
      <c r="A62" s="14">
        <v>4</v>
      </c>
      <c r="B62" s="16">
        <v>223</v>
      </c>
      <c r="C62" s="20" t="s">
        <v>223</v>
      </c>
      <c r="D62" s="39">
        <v>17409</v>
      </c>
      <c r="E62" s="39">
        <v>17542</v>
      </c>
      <c r="F62" s="39">
        <v>18166</v>
      </c>
      <c r="G62" s="39">
        <v>18671</v>
      </c>
      <c r="H62" s="39">
        <v>19213</v>
      </c>
      <c r="I62" s="39">
        <v>19739</v>
      </c>
      <c r="J62" s="37">
        <f>世帯数2!R58</f>
        <v>20042</v>
      </c>
      <c r="K62" s="37">
        <f>世帯数2!S58</f>
        <v>20359</v>
      </c>
      <c r="L62" s="37">
        <f>世帯数2!T58</f>
        <v>20640</v>
      </c>
      <c r="M62" s="37">
        <f>世帯数2!U58</f>
        <v>20893</v>
      </c>
      <c r="N62" s="39">
        <v>21033</v>
      </c>
      <c r="O62" s="37">
        <f>世帯数2!V58</f>
        <v>21284</v>
      </c>
      <c r="P62" s="37">
        <f>世帯数2!W58</f>
        <v>21550</v>
      </c>
      <c r="Q62" s="37">
        <f>世帯数2!X58</f>
        <v>21702</v>
      </c>
      <c r="R62" s="37">
        <f>世帯数2!Y58</f>
        <v>21823</v>
      </c>
      <c r="S62" s="39">
        <v>21769</v>
      </c>
      <c r="T62" s="38">
        <f>世帯数2!AA58</f>
        <v>21912</v>
      </c>
      <c r="U62" s="38">
        <f>世帯数2!AB58</f>
        <v>21949</v>
      </c>
      <c r="V62" s="38">
        <f>世帯数2!AC58</f>
        <v>22048</v>
      </c>
      <c r="W62" s="48">
        <v>22273</v>
      </c>
      <c r="X62" s="55">
        <v>22517</v>
      </c>
      <c r="Y62" s="39">
        <v>22404</v>
      </c>
      <c r="Z62" s="45">
        <v>22609</v>
      </c>
      <c r="AA62" s="45">
        <v>22704</v>
      </c>
      <c r="AB62" s="45">
        <v>22903</v>
      </c>
      <c r="AC62" s="45">
        <v>22967</v>
      </c>
      <c r="AD62" s="290">
        <v>22461</v>
      </c>
      <c r="AE62" s="522">
        <v>22572</v>
      </c>
      <c r="AF62" s="522">
        <v>22578</v>
      </c>
      <c r="AG62" s="522">
        <v>22573</v>
      </c>
      <c r="AH62" s="522">
        <v>22562</v>
      </c>
      <c r="AI62" s="290">
        <v>22553</v>
      </c>
      <c r="AJ62" s="1085">
        <v>22611</v>
      </c>
      <c r="AK62" s="1085">
        <v>22747</v>
      </c>
      <c r="AL62" s="1086">
        <v>22872</v>
      </c>
      <c r="AM62" s="693">
        <v>23024</v>
      </c>
      <c r="AN62" s="1087">
        <v>23033</v>
      </c>
      <c r="AO62" s="693">
        <v>23067</v>
      </c>
      <c r="AP62" s="290">
        <v>23284</v>
      </c>
      <c r="AQ62" s="522">
        <v>23436</v>
      </c>
      <c r="AR62" s="522">
        <v>23548</v>
      </c>
      <c r="AS62" s="522">
        <v>23615</v>
      </c>
      <c r="AT62" s="289">
        <f t="shared" si="7"/>
        <v>23885</v>
      </c>
      <c r="AU62" s="289">
        <f t="shared" si="8"/>
        <v>24155</v>
      </c>
      <c r="AW62" s="522">
        <v>23638</v>
      </c>
      <c r="AX62" s="679">
        <f t="shared" si="20"/>
        <v>90</v>
      </c>
      <c r="AY62" s="8"/>
      <c r="AZ62" s="8"/>
      <c r="BA62" s="8"/>
    </row>
    <row r="63" spans="1:53" ht="20.25" customHeight="1">
      <c r="B63" s="5"/>
      <c r="C63" s="24" t="s">
        <v>212</v>
      </c>
      <c r="D63" s="36">
        <v>45053</v>
      </c>
      <c r="E63" s="36">
        <v>45709</v>
      </c>
      <c r="F63" s="36">
        <v>47224</v>
      </c>
      <c r="G63" s="36">
        <v>48611</v>
      </c>
      <c r="H63" s="36">
        <v>48974</v>
      </c>
      <c r="I63" s="36">
        <v>50057</v>
      </c>
      <c r="J63" s="36">
        <f t="shared" ref="J63:V63" si="34">SUM(J64:J66)</f>
        <v>50312</v>
      </c>
      <c r="K63" s="36">
        <f t="shared" si="34"/>
        <v>50632</v>
      </c>
      <c r="L63" s="36">
        <f t="shared" si="34"/>
        <v>51059</v>
      </c>
      <c r="M63" s="36">
        <f t="shared" si="34"/>
        <v>51844</v>
      </c>
      <c r="N63" s="36">
        <f t="shared" si="34"/>
        <v>51992</v>
      </c>
      <c r="O63" s="36">
        <f t="shared" si="34"/>
        <v>52511</v>
      </c>
      <c r="P63" s="36">
        <f t="shared" si="34"/>
        <v>52973</v>
      </c>
      <c r="Q63" s="36">
        <f t="shared" si="34"/>
        <v>53370</v>
      </c>
      <c r="R63" s="36">
        <f t="shared" si="34"/>
        <v>54354</v>
      </c>
      <c r="S63" s="36">
        <f t="shared" si="34"/>
        <v>53644</v>
      </c>
      <c r="T63" s="36">
        <f t="shared" si="34"/>
        <v>54026</v>
      </c>
      <c r="U63" s="36">
        <f t="shared" si="34"/>
        <v>54309</v>
      </c>
      <c r="V63" s="36">
        <f t="shared" si="34"/>
        <v>54422</v>
      </c>
      <c r="W63" s="36">
        <f t="shared" ref="W63:AB63" si="35">SUM(W64:W66)</f>
        <v>54550</v>
      </c>
      <c r="X63" s="53">
        <f t="shared" si="35"/>
        <v>54587</v>
      </c>
      <c r="Y63" s="36">
        <f t="shared" si="35"/>
        <v>53075</v>
      </c>
      <c r="Z63" s="36">
        <f t="shared" si="35"/>
        <v>53410</v>
      </c>
      <c r="AA63" s="36">
        <f t="shared" si="35"/>
        <v>53446</v>
      </c>
      <c r="AB63" s="36">
        <f t="shared" si="35"/>
        <v>53699</v>
      </c>
      <c r="AC63" s="36">
        <f>SUM(AC64:AC66)</f>
        <v>54076</v>
      </c>
      <c r="AD63" s="36">
        <v>52864</v>
      </c>
      <c r="AE63" s="36">
        <f t="shared" ref="AE63:AU63" si="36">SUM(AE64:AE66)</f>
        <v>52747</v>
      </c>
      <c r="AF63" s="36">
        <f t="shared" si="36"/>
        <v>52730</v>
      </c>
      <c r="AG63" s="36">
        <f t="shared" si="36"/>
        <v>52544</v>
      </c>
      <c r="AH63" s="36">
        <f t="shared" si="36"/>
        <v>52627</v>
      </c>
      <c r="AI63" s="36">
        <f t="shared" si="36"/>
        <v>52500</v>
      </c>
      <c r="AJ63" s="1082">
        <f t="shared" si="36"/>
        <v>52483</v>
      </c>
      <c r="AK63" s="1082">
        <f t="shared" si="36"/>
        <v>52487</v>
      </c>
      <c r="AL63" s="1083">
        <f t="shared" si="36"/>
        <v>52219</v>
      </c>
      <c r="AM63" s="1083">
        <f t="shared" si="36"/>
        <v>52297</v>
      </c>
      <c r="AN63" s="1083">
        <f t="shared" si="36"/>
        <v>52333</v>
      </c>
      <c r="AO63" s="1083">
        <f t="shared" si="36"/>
        <v>52769</v>
      </c>
      <c r="AP63" s="1083">
        <f t="shared" si="36"/>
        <v>52992</v>
      </c>
      <c r="AQ63" s="1083">
        <f t="shared" si="36"/>
        <v>53202</v>
      </c>
      <c r="AR63" s="1083">
        <f t="shared" si="36"/>
        <v>53387</v>
      </c>
      <c r="AS63" s="1083">
        <f t="shared" si="36"/>
        <v>53396</v>
      </c>
      <c r="AT63" s="1083">
        <f t="shared" si="36"/>
        <v>52895</v>
      </c>
      <c r="AU63" s="1083">
        <f t="shared" si="36"/>
        <v>52394</v>
      </c>
      <c r="AW63" s="36">
        <v>53220</v>
      </c>
      <c r="AX63" s="679">
        <f t="shared" si="20"/>
        <v>-167</v>
      </c>
      <c r="AY63" s="8"/>
      <c r="AZ63" s="8"/>
      <c r="BA63" s="8"/>
    </row>
    <row r="64" spans="1:53" ht="12.75" customHeight="1">
      <c r="A64" s="14">
        <v>5</v>
      </c>
      <c r="B64" s="14">
        <v>205</v>
      </c>
      <c r="C64" s="35" t="s">
        <v>241</v>
      </c>
      <c r="D64" s="34">
        <v>14972</v>
      </c>
      <c r="E64" s="34">
        <v>15316</v>
      </c>
      <c r="F64" s="34">
        <v>15947</v>
      </c>
      <c r="G64" s="34">
        <v>16571</v>
      </c>
      <c r="H64" s="34">
        <v>17000</v>
      </c>
      <c r="I64" s="34">
        <v>17387</v>
      </c>
      <c r="J64" s="37">
        <f>世帯数2!R60</f>
        <v>17437</v>
      </c>
      <c r="K64" s="37">
        <f>世帯数2!S60</f>
        <v>17578</v>
      </c>
      <c r="L64" s="37">
        <f>世帯数2!T60</f>
        <v>17574</v>
      </c>
      <c r="M64" s="37">
        <f>世帯数2!U60</f>
        <v>17960</v>
      </c>
      <c r="N64" s="34">
        <v>17981</v>
      </c>
      <c r="O64" s="37">
        <f>世帯数2!V60</f>
        <v>18223</v>
      </c>
      <c r="P64" s="37">
        <f>世帯数2!W60</f>
        <v>18409</v>
      </c>
      <c r="Q64" s="37">
        <f>世帯数2!X60</f>
        <v>18529</v>
      </c>
      <c r="R64" s="37">
        <f>世帯数2!Y60</f>
        <v>19101</v>
      </c>
      <c r="S64" s="34">
        <v>18842</v>
      </c>
      <c r="T64" s="38">
        <f>世帯数2!AA60</f>
        <v>18989</v>
      </c>
      <c r="U64" s="38">
        <f>世帯数2!AB60</f>
        <v>19107</v>
      </c>
      <c r="V64" s="38">
        <f>世帯数2!AC60</f>
        <v>19118</v>
      </c>
      <c r="W64" s="48">
        <f>15556+3598</f>
        <v>19154</v>
      </c>
      <c r="X64" s="57">
        <v>19086</v>
      </c>
      <c r="Y64" s="34">
        <v>18702</v>
      </c>
      <c r="Z64" s="45">
        <v>18789</v>
      </c>
      <c r="AA64" s="45">
        <v>18753</v>
      </c>
      <c r="AB64" s="45">
        <v>18719</v>
      </c>
      <c r="AC64" s="45">
        <v>18835</v>
      </c>
      <c r="AD64" s="290">
        <v>18447</v>
      </c>
      <c r="AE64" s="522">
        <v>18316</v>
      </c>
      <c r="AF64" s="522">
        <v>18347</v>
      </c>
      <c r="AG64" s="522">
        <v>18180</v>
      </c>
      <c r="AH64" s="522">
        <v>18153</v>
      </c>
      <c r="AI64" s="290">
        <v>18081</v>
      </c>
      <c r="AJ64" s="1085">
        <v>18010</v>
      </c>
      <c r="AK64" s="1085">
        <v>17955</v>
      </c>
      <c r="AL64" s="1086">
        <v>17786</v>
      </c>
      <c r="AM64" s="693">
        <v>17792</v>
      </c>
      <c r="AN64" s="1087">
        <v>17792</v>
      </c>
      <c r="AO64" s="693">
        <v>17946</v>
      </c>
      <c r="AP64" s="290">
        <v>17996</v>
      </c>
      <c r="AQ64" s="522">
        <v>18024</v>
      </c>
      <c r="AR64" s="522">
        <v>18156</v>
      </c>
      <c r="AS64" s="522">
        <v>18192</v>
      </c>
      <c r="AT64" s="289">
        <f t="shared" si="7"/>
        <v>18135</v>
      </c>
      <c r="AU64" s="289">
        <f t="shared" si="8"/>
        <v>18078</v>
      </c>
      <c r="AW64" s="522">
        <v>18137</v>
      </c>
      <c r="AX64" s="679">
        <f t="shared" si="20"/>
        <v>-19</v>
      </c>
      <c r="AY64" s="8"/>
      <c r="AZ64" s="8"/>
      <c r="BA64" s="8"/>
    </row>
    <row r="65" spans="1:53" ht="12.75" customHeight="1">
      <c r="A65" s="14">
        <v>5</v>
      </c>
      <c r="B65" s="16">
        <v>224</v>
      </c>
      <c r="C65" s="20" t="s">
        <v>224</v>
      </c>
      <c r="D65" s="39">
        <v>14080</v>
      </c>
      <c r="E65" s="39">
        <v>14373</v>
      </c>
      <c r="F65" s="39">
        <v>14967</v>
      </c>
      <c r="G65" s="39">
        <v>15544</v>
      </c>
      <c r="H65" s="39">
        <v>15490</v>
      </c>
      <c r="I65" s="39">
        <v>16017</v>
      </c>
      <c r="J65" s="37">
        <f>世帯数2!R61</f>
        <v>16134</v>
      </c>
      <c r="K65" s="37">
        <f>世帯数2!S61</f>
        <v>16227</v>
      </c>
      <c r="L65" s="37">
        <f>世帯数2!T61</f>
        <v>16399</v>
      </c>
      <c r="M65" s="37">
        <f>世帯数2!U61</f>
        <v>16674</v>
      </c>
      <c r="N65" s="39">
        <v>16716</v>
      </c>
      <c r="O65" s="37">
        <f>世帯数2!V61</f>
        <v>16861</v>
      </c>
      <c r="P65" s="37">
        <f>世帯数2!W61</f>
        <v>16939</v>
      </c>
      <c r="Q65" s="37">
        <f>世帯数2!X61</f>
        <v>17026</v>
      </c>
      <c r="R65" s="37">
        <f>世帯数2!Y61</f>
        <v>17192</v>
      </c>
      <c r="S65" s="39">
        <v>17140</v>
      </c>
      <c r="T65" s="38">
        <f>世帯数2!AA61</f>
        <v>17311</v>
      </c>
      <c r="U65" s="38">
        <f>世帯数2!AB61</f>
        <v>17433</v>
      </c>
      <c r="V65" s="38">
        <f>世帯数2!AC61</f>
        <v>17479</v>
      </c>
      <c r="W65" s="48">
        <v>17513</v>
      </c>
      <c r="X65" s="55">
        <v>17623</v>
      </c>
      <c r="Y65" s="39">
        <v>17044</v>
      </c>
      <c r="Z65" s="45">
        <v>17180</v>
      </c>
      <c r="AA65" s="45">
        <v>17225</v>
      </c>
      <c r="AB65" s="45">
        <v>17365</v>
      </c>
      <c r="AC65" s="45">
        <v>17466</v>
      </c>
      <c r="AD65" s="290">
        <v>16981</v>
      </c>
      <c r="AE65" s="522">
        <v>17009</v>
      </c>
      <c r="AF65" s="522">
        <v>17001</v>
      </c>
      <c r="AG65" s="522">
        <v>16960</v>
      </c>
      <c r="AH65" s="522">
        <v>17023</v>
      </c>
      <c r="AI65" s="290">
        <v>16968</v>
      </c>
      <c r="AJ65" s="1085">
        <v>16975</v>
      </c>
      <c r="AK65" s="1085">
        <v>16954</v>
      </c>
      <c r="AL65" s="1086">
        <v>16952</v>
      </c>
      <c r="AM65" s="693">
        <v>17037</v>
      </c>
      <c r="AN65" s="1087">
        <v>17047</v>
      </c>
      <c r="AO65" s="693">
        <v>17226</v>
      </c>
      <c r="AP65" s="290">
        <v>17247</v>
      </c>
      <c r="AQ65" s="522">
        <v>17328</v>
      </c>
      <c r="AR65" s="522">
        <v>17367</v>
      </c>
      <c r="AS65" s="522">
        <v>17377</v>
      </c>
      <c r="AT65" s="289">
        <f t="shared" si="7"/>
        <v>17242</v>
      </c>
      <c r="AU65" s="289">
        <f t="shared" si="8"/>
        <v>17107</v>
      </c>
      <c r="AW65" s="522">
        <v>17322</v>
      </c>
      <c r="AX65" s="679">
        <f t="shared" si="20"/>
        <v>-45</v>
      </c>
      <c r="AY65" s="8"/>
      <c r="AZ65" s="8"/>
      <c r="BA65" s="8"/>
    </row>
    <row r="66" spans="1:53" ht="12.75" customHeight="1">
      <c r="A66" s="14">
        <v>5</v>
      </c>
      <c r="B66" s="16">
        <v>226</v>
      </c>
      <c r="C66" s="20" t="s">
        <v>225</v>
      </c>
      <c r="D66" s="39">
        <v>16001</v>
      </c>
      <c r="E66" s="39">
        <v>16020</v>
      </c>
      <c r="F66" s="39">
        <v>16310</v>
      </c>
      <c r="G66" s="39">
        <v>16496</v>
      </c>
      <c r="H66" s="39">
        <v>16484</v>
      </c>
      <c r="I66" s="39">
        <v>16653</v>
      </c>
      <c r="J66" s="37">
        <f>世帯数2!R62</f>
        <v>16741</v>
      </c>
      <c r="K66" s="37">
        <f>世帯数2!S62</f>
        <v>16827</v>
      </c>
      <c r="L66" s="37">
        <f>世帯数2!T62</f>
        <v>17086</v>
      </c>
      <c r="M66" s="37">
        <f>世帯数2!U62</f>
        <v>17210</v>
      </c>
      <c r="N66" s="39">
        <v>17295</v>
      </c>
      <c r="O66" s="37">
        <f>世帯数2!V62</f>
        <v>17427</v>
      </c>
      <c r="P66" s="37">
        <f>世帯数2!W62</f>
        <v>17625</v>
      </c>
      <c r="Q66" s="37">
        <f>世帯数2!X62</f>
        <v>17815</v>
      </c>
      <c r="R66" s="37">
        <f>世帯数2!Y62</f>
        <v>18061</v>
      </c>
      <c r="S66" s="39">
        <v>17662</v>
      </c>
      <c r="T66" s="38">
        <f>世帯数2!AA62</f>
        <v>17726</v>
      </c>
      <c r="U66" s="38">
        <f>世帯数2!AB62</f>
        <v>17769</v>
      </c>
      <c r="V66" s="38">
        <f>世帯数2!AC62</f>
        <v>17825</v>
      </c>
      <c r="W66" s="1">
        <v>17883</v>
      </c>
      <c r="X66" s="55">
        <v>17878</v>
      </c>
      <c r="Y66" s="39">
        <v>17329</v>
      </c>
      <c r="Z66" s="45">
        <v>17441</v>
      </c>
      <c r="AA66" s="45">
        <v>17468</v>
      </c>
      <c r="AB66" s="45">
        <v>17615</v>
      </c>
      <c r="AC66" s="45">
        <v>17775</v>
      </c>
      <c r="AD66" s="290">
        <v>17436</v>
      </c>
      <c r="AE66" s="522">
        <v>17422</v>
      </c>
      <c r="AF66" s="522">
        <v>17382</v>
      </c>
      <c r="AG66" s="522">
        <v>17404</v>
      </c>
      <c r="AH66" s="522">
        <v>17451</v>
      </c>
      <c r="AI66" s="290">
        <v>17451</v>
      </c>
      <c r="AJ66" s="1085">
        <v>17498</v>
      </c>
      <c r="AK66" s="1085">
        <v>17578</v>
      </c>
      <c r="AL66" s="1086">
        <v>17481</v>
      </c>
      <c r="AM66" s="693">
        <v>17468</v>
      </c>
      <c r="AN66" s="1087">
        <v>17494</v>
      </c>
      <c r="AO66" s="693">
        <v>17597</v>
      </c>
      <c r="AP66" s="290">
        <v>17749</v>
      </c>
      <c r="AQ66" s="522">
        <v>17850</v>
      </c>
      <c r="AR66" s="522">
        <v>17864</v>
      </c>
      <c r="AS66" s="522">
        <v>17827</v>
      </c>
      <c r="AT66" s="289">
        <f t="shared" si="7"/>
        <v>17518</v>
      </c>
      <c r="AU66" s="289">
        <f t="shared" si="8"/>
        <v>17209</v>
      </c>
      <c r="AW66" s="522">
        <v>17761</v>
      </c>
      <c r="AX66" s="679">
        <f t="shared" si="20"/>
        <v>-103</v>
      </c>
      <c r="AY66" s="8"/>
      <c r="AZ66" s="8"/>
      <c r="BA66" s="8"/>
    </row>
    <row r="67" spans="1:53" ht="12" customHeight="1">
      <c r="B67" s="25"/>
      <c r="C67" s="28"/>
      <c r="D67" s="27"/>
      <c r="E67" s="27"/>
      <c r="F67" s="27"/>
      <c r="G67" s="27"/>
      <c r="H67" s="27"/>
      <c r="I67" s="27"/>
      <c r="J67" s="27"/>
      <c r="K67" s="27"/>
      <c r="L67" s="27"/>
      <c r="M67" s="27"/>
      <c r="N67" s="27"/>
      <c r="O67" s="27"/>
      <c r="P67" s="27"/>
      <c r="Q67" s="27"/>
      <c r="R67" s="27"/>
      <c r="S67" s="26"/>
      <c r="T67" s="26"/>
      <c r="U67" s="26"/>
      <c r="V67" s="26"/>
      <c r="W67" s="26"/>
      <c r="X67" s="59"/>
      <c r="Y67" s="26"/>
      <c r="Z67" s="32"/>
      <c r="AA67" s="32"/>
      <c r="AB67" s="32"/>
      <c r="AC67" s="32"/>
      <c r="AD67" s="27"/>
      <c r="AE67" s="27"/>
      <c r="AF67" s="27"/>
      <c r="AG67" s="27"/>
      <c r="AH67" s="27"/>
      <c r="AI67" s="27"/>
      <c r="AJ67" s="27"/>
      <c r="AK67" s="27"/>
      <c r="AL67" s="27"/>
      <c r="AM67" s="27"/>
      <c r="AN67" s="27"/>
      <c r="AO67" s="27"/>
      <c r="AP67" s="27"/>
      <c r="AQ67" s="27"/>
      <c r="AR67" s="27"/>
      <c r="AS67" s="27"/>
      <c r="AT67" s="27"/>
      <c r="AU67" s="27"/>
      <c r="AW67" s="27"/>
      <c r="AY67" s="8"/>
      <c r="AZ67" s="8"/>
      <c r="BA67" s="8"/>
    </row>
    <row r="68" spans="1:53" ht="15" customHeight="1">
      <c r="C68" s="14" t="s">
        <v>171</v>
      </c>
      <c r="D68" s="14"/>
      <c r="E68" s="29"/>
      <c r="F68" s="29"/>
      <c r="G68" s="29"/>
      <c r="H68" s="29"/>
      <c r="I68" s="29"/>
      <c r="J68" s="29"/>
      <c r="K68" s="29"/>
      <c r="L68" s="29"/>
      <c r="M68" s="29"/>
      <c r="N68" s="29"/>
      <c r="O68" s="29"/>
      <c r="P68" s="29"/>
      <c r="Q68" s="29"/>
      <c r="R68" s="29"/>
      <c r="S68" s="29" t="s">
        <v>229</v>
      </c>
      <c r="T68" s="29"/>
      <c r="U68" s="29"/>
      <c r="V68" s="29"/>
      <c r="W68" s="29"/>
      <c r="X68" s="29"/>
      <c r="AX68" s="8"/>
      <c r="AY68" s="8"/>
      <c r="AZ68" s="8"/>
      <c r="BA68" s="8"/>
    </row>
    <row r="69" spans="1:53" ht="18" customHeight="1">
      <c r="D69" s="14"/>
      <c r="E69" s="30"/>
      <c r="F69" s="30"/>
      <c r="G69" s="30"/>
      <c r="H69" s="30"/>
      <c r="I69" s="29"/>
      <c r="J69" s="29"/>
      <c r="K69" s="29"/>
      <c r="L69" s="29"/>
      <c r="M69" s="29"/>
      <c r="N69" s="29"/>
      <c r="O69" s="29"/>
      <c r="P69" s="29"/>
      <c r="Q69" s="29"/>
      <c r="R69" s="29"/>
      <c r="S69" s="30" t="s">
        <v>252</v>
      </c>
      <c r="T69" s="30"/>
      <c r="U69" s="30"/>
      <c r="V69" s="30"/>
      <c r="W69" s="30"/>
      <c r="X69" s="30"/>
      <c r="AX69" s="8"/>
      <c r="AY69" s="8"/>
      <c r="AZ69" s="8"/>
      <c r="BA69" s="8"/>
    </row>
    <row r="70" spans="1:53" ht="12" customHeight="1">
      <c r="C70" s="6"/>
      <c r="D70" s="6"/>
      <c r="E70" s="30"/>
      <c r="F70" s="30"/>
      <c r="G70" s="30"/>
      <c r="H70" s="30"/>
      <c r="S70" s="30" t="s">
        <v>253</v>
      </c>
      <c r="T70" s="30"/>
      <c r="U70" s="30"/>
      <c r="V70" s="30"/>
      <c r="W70" s="30"/>
      <c r="X70" s="30"/>
      <c r="AX70" s="8"/>
      <c r="AY70" s="8"/>
      <c r="AZ70" s="8"/>
      <c r="BA70" s="8"/>
    </row>
    <row r="71" spans="1:53" ht="12" customHeight="1">
      <c r="D71" s="14"/>
      <c r="S71" s="30" t="s">
        <v>249</v>
      </c>
      <c r="T71" s="30"/>
      <c r="U71" s="30"/>
      <c r="V71" s="30"/>
      <c r="W71" s="30"/>
      <c r="X71" s="30"/>
      <c r="AX71" s="8"/>
      <c r="AY71" s="8"/>
      <c r="AZ71" s="8"/>
      <c r="BA71" s="8"/>
    </row>
    <row r="72" spans="1:53" ht="12" customHeight="1">
      <c r="D72" s="14"/>
      <c r="S72" s="14" t="s">
        <v>254</v>
      </c>
      <c r="T72" s="14"/>
      <c r="U72" s="14"/>
      <c r="V72" s="14"/>
      <c r="W72" s="14"/>
      <c r="X72" s="14"/>
      <c r="AX72" s="8"/>
      <c r="AY72" s="8"/>
      <c r="AZ72" s="8"/>
      <c r="BA72" s="8"/>
    </row>
    <row r="73" spans="1:53" ht="11.5" customHeight="1">
      <c r="AX73" s="8"/>
      <c r="AY73" s="8"/>
      <c r="AZ73" s="8"/>
      <c r="BA73" s="8"/>
    </row>
    <row r="74" spans="1:53">
      <c r="AX74" s="8"/>
      <c r="AY74" s="8"/>
      <c r="AZ74" s="8"/>
      <c r="BA74" s="8"/>
    </row>
    <row r="75" spans="1:53">
      <c r="AX75" s="8"/>
      <c r="AY75" s="8"/>
      <c r="AZ75" s="8"/>
      <c r="BA75" s="8"/>
    </row>
    <row r="76" spans="1:53">
      <c r="AX76" s="8"/>
      <c r="AY76" s="8"/>
      <c r="AZ76" s="8"/>
      <c r="BA76" s="8"/>
    </row>
    <row r="77" spans="1:53">
      <c r="AX77" s="8"/>
      <c r="AY77" s="8"/>
      <c r="AZ77" s="8"/>
      <c r="BA77" s="8"/>
    </row>
    <row r="78" spans="1:53">
      <c r="AX78" s="8"/>
      <c r="AY78" s="8"/>
      <c r="AZ78" s="8"/>
      <c r="BA78" s="8"/>
    </row>
    <row r="79" spans="1:53">
      <c r="AX79" s="8"/>
      <c r="AY79" s="8"/>
      <c r="AZ79" s="8"/>
      <c r="BA79" s="8"/>
    </row>
    <row r="80" spans="1:53">
      <c r="AX80" s="8"/>
      <c r="AY80" s="8"/>
      <c r="AZ80" s="8"/>
      <c r="BA80" s="8"/>
    </row>
    <row r="81" spans="50:53">
      <c r="AX81" s="8"/>
      <c r="AY81" s="8"/>
      <c r="AZ81" s="8"/>
      <c r="BA81" s="8"/>
    </row>
    <row r="82" spans="50:53">
      <c r="AX82" s="8"/>
      <c r="AY82" s="8"/>
      <c r="AZ82" s="8"/>
      <c r="BA82" s="8"/>
    </row>
    <row r="83" spans="50:53">
      <c r="AX83" s="8"/>
      <c r="AY83" s="8"/>
      <c r="AZ83" s="8"/>
      <c r="BA83" s="8"/>
    </row>
    <row r="84" spans="50:53">
      <c r="AX84" s="8"/>
      <c r="AY84" s="8"/>
      <c r="AZ84" s="8"/>
      <c r="BA84" s="8"/>
    </row>
    <row r="85" spans="50:53">
      <c r="AX85" s="8"/>
      <c r="AY85" s="8"/>
      <c r="AZ85" s="8"/>
      <c r="BA85" s="8"/>
    </row>
    <row r="86" spans="50:53">
      <c r="AX86" s="8"/>
      <c r="AY86" s="8"/>
      <c r="AZ86" s="8"/>
      <c r="BA86" s="8"/>
    </row>
    <row r="87" spans="50:53">
      <c r="AX87" s="8"/>
      <c r="AY87" s="8"/>
      <c r="AZ87" s="8"/>
      <c r="BA87" s="8"/>
    </row>
    <row r="88" spans="50:53">
      <c r="AX88" s="8"/>
      <c r="AY88" s="8"/>
      <c r="AZ88" s="8"/>
      <c r="BA88" s="8"/>
    </row>
    <row r="89" spans="50:53">
      <c r="AX89" s="8"/>
      <c r="AY89" s="8"/>
      <c r="AZ89" s="8"/>
      <c r="BA89" s="8"/>
    </row>
    <row r="90" spans="50:53">
      <c r="AX90" s="8"/>
      <c r="AY90" s="8"/>
      <c r="AZ90" s="8"/>
      <c r="BA90" s="8"/>
    </row>
    <row r="91" spans="50:53">
      <c r="AX91" s="8"/>
      <c r="AY91" s="8"/>
      <c r="AZ91" s="8"/>
      <c r="BA91" s="8"/>
    </row>
    <row r="92" spans="50:53">
      <c r="AX92" s="8"/>
      <c r="AY92" s="8"/>
      <c r="AZ92" s="8"/>
      <c r="BA92" s="8"/>
    </row>
    <row r="93" spans="50:53">
      <c r="AX93" s="8"/>
      <c r="AY93" s="8"/>
      <c r="AZ93" s="8"/>
      <c r="BA93" s="8"/>
    </row>
    <row r="94" spans="50:53">
      <c r="AX94" s="8"/>
      <c r="AY94" s="8"/>
      <c r="AZ94" s="8"/>
      <c r="BA94" s="8"/>
    </row>
    <row r="95" spans="50:53">
      <c r="AX95" s="8"/>
      <c r="AY95" s="8"/>
      <c r="AZ95" s="8"/>
      <c r="BA95" s="8"/>
    </row>
    <row r="96" spans="50:53">
      <c r="AX96" s="8"/>
      <c r="AY96" s="8"/>
      <c r="AZ96" s="8"/>
      <c r="BA96" s="8"/>
    </row>
    <row r="97" spans="50:53">
      <c r="AX97" s="8"/>
      <c r="AY97" s="8"/>
      <c r="AZ97" s="8"/>
      <c r="BA97" s="8"/>
    </row>
    <row r="98" spans="50:53">
      <c r="AX98" s="8"/>
      <c r="AY98" s="8"/>
      <c r="AZ98" s="8"/>
      <c r="BA98" s="8"/>
    </row>
    <row r="99" spans="50:53">
      <c r="AX99" s="8"/>
      <c r="AY99" s="8"/>
      <c r="AZ99" s="8"/>
      <c r="BA99" s="8"/>
    </row>
    <row r="100" spans="50:53">
      <c r="AX100" s="8"/>
      <c r="AY100" s="8"/>
      <c r="AZ100" s="8"/>
      <c r="BA100" s="8"/>
    </row>
    <row r="101" spans="50:53">
      <c r="AX101" s="8"/>
      <c r="AY101" s="8"/>
      <c r="AZ101" s="8"/>
      <c r="BA101" s="8"/>
    </row>
    <row r="102" spans="50:53">
      <c r="AX102" s="8"/>
      <c r="AY102" s="8"/>
      <c r="AZ102" s="8"/>
      <c r="BA102" s="8"/>
    </row>
    <row r="103" spans="50:53">
      <c r="AX103" s="8"/>
      <c r="AY103" s="8"/>
      <c r="AZ103" s="8"/>
      <c r="BA103" s="8"/>
    </row>
    <row r="104" spans="50:53">
      <c r="AX104" s="8"/>
      <c r="AY104" s="8"/>
      <c r="AZ104" s="8"/>
      <c r="BA104" s="8"/>
    </row>
    <row r="105" spans="50:53">
      <c r="AX105" s="8"/>
      <c r="AY105" s="8"/>
      <c r="AZ105" s="8"/>
      <c r="BA105" s="8"/>
    </row>
    <row r="106" spans="50:53">
      <c r="AX106" s="8"/>
      <c r="AY106" s="8"/>
      <c r="AZ106" s="8"/>
      <c r="BA106" s="8"/>
    </row>
    <row r="107" spans="50:53">
      <c r="AX107" s="8"/>
      <c r="AY107" s="8"/>
      <c r="AZ107" s="8"/>
      <c r="BA107" s="8"/>
    </row>
    <row r="108" spans="50:53">
      <c r="AX108" s="8"/>
      <c r="AY108" s="8"/>
      <c r="AZ108" s="8"/>
      <c r="BA108" s="8"/>
    </row>
    <row r="109" spans="50:53">
      <c r="AX109" s="8"/>
      <c r="AY109" s="8"/>
      <c r="AZ109" s="8"/>
      <c r="BA109" s="8"/>
    </row>
    <row r="110" spans="50:53">
      <c r="AX110" s="8"/>
      <c r="AY110" s="8"/>
      <c r="AZ110" s="8"/>
      <c r="BA110" s="8"/>
    </row>
    <row r="111" spans="50:53">
      <c r="AX111" s="8"/>
      <c r="AY111" s="8"/>
      <c r="AZ111" s="8"/>
      <c r="BA111" s="8"/>
    </row>
    <row r="112" spans="50:53">
      <c r="AX112" s="8"/>
      <c r="AY112" s="8"/>
      <c r="AZ112" s="8"/>
      <c r="BA112" s="8"/>
    </row>
    <row r="113" spans="50:53">
      <c r="AX113" s="8"/>
      <c r="AY113" s="8"/>
      <c r="AZ113" s="8"/>
      <c r="BA113" s="8"/>
    </row>
    <row r="114" spans="50:53">
      <c r="AX114" s="8"/>
      <c r="AY114" s="8"/>
      <c r="AZ114" s="8"/>
      <c r="BA114" s="8"/>
    </row>
    <row r="115" spans="50:53">
      <c r="AX115" s="8"/>
      <c r="AY115" s="8"/>
      <c r="AZ115" s="8"/>
      <c r="BA115" s="8"/>
    </row>
    <row r="116" spans="50:53">
      <c r="AX116" s="8"/>
      <c r="AY116" s="8"/>
      <c r="AZ116" s="8"/>
      <c r="BA116" s="8"/>
    </row>
    <row r="117" spans="50:53">
      <c r="AX117" s="8"/>
      <c r="AY117" s="8"/>
      <c r="AZ117" s="8"/>
      <c r="BA117" s="8"/>
    </row>
    <row r="118" spans="50:53">
      <c r="AX118" s="8"/>
      <c r="AY118" s="8"/>
      <c r="AZ118" s="8"/>
      <c r="BA118" s="8"/>
    </row>
    <row r="119" spans="50:53">
      <c r="AX119" s="8"/>
      <c r="AY119" s="8"/>
      <c r="AZ119" s="8"/>
      <c r="BA119" s="8"/>
    </row>
    <row r="120" spans="50:53">
      <c r="AX120" s="8"/>
      <c r="AY120" s="8"/>
      <c r="AZ120" s="8"/>
      <c r="BA120" s="8"/>
    </row>
    <row r="121" spans="50:53">
      <c r="AX121" s="8"/>
      <c r="AY121" s="8"/>
      <c r="AZ121" s="8"/>
      <c r="BA121" s="8"/>
    </row>
    <row r="122" spans="50:53">
      <c r="AX122" s="8"/>
      <c r="AY122" s="8"/>
      <c r="AZ122" s="8"/>
      <c r="BA122" s="8"/>
    </row>
    <row r="123" spans="50:53">
      <c r="AX123" s="8"/>
      <c r="AY123" s="8"/>
      <c r="AZ123" s="8"/>
      <c r="BA123" s="8"/>
    </row>
  </sheetData>
  <mergeCells count="3">
    <mergeCell ref="B3:C3"/>
    <mergeCell ref="B4:C4"/>
    <mergeCell ref="B5:C5"/>
  </mergeCells>
  <phoneticPr fontId="4"/>
  <pageMargins left="0.59055118110236227" right="0.59055118110236227" top="0.98425196850393704" bottom="0.78740157480314965" header="0.59055118110236227" footer="0.59055118110236227"/>
  <pageSetup paperSize="9" scale="20" firstPageNumber="120" orientation="portrait" r:id="rId1"/>
  <headerFooter alignWithMargins="0">
    <oddHeader>&amp;L&amp;"ＭＳ Ｐゴシック,太字"市区町ﾃﾞｰﾀ推移　人口・世帯</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5"/>
  <dimension ref="A1:AC109"/>
  <sheetViews>
    <sheetView workbookViewId="0">
      <pane xSplit="2" ySplit="2" topLeftCell="J3" activePane="bottomRight" state="frozen"/>
      <selection pane="topRight" activeCell="C1" sqref="C1"/>
      <selection pane="bottomLeft" activeCell="A3" sqref="A3"/>
      <selection pane="bottomRight" activeCell="N17" sqref="N17"/>
    </sheetView>
  </sheetViews>
  <sheetFormatPr defaultColWidth="8.7109375" defaultRowHeight="13"/>
  <cols>
    <col min="1" max="1" width="3.5" style="604" customWidth="1"/>
    <col min="2" max="14" width="8.7109375" style="604"/>
    <col min="15" max="15" width="4.92578125" style="604" customWidth="1"/>
    <col min="16" max="16" width="4.5" style="604" customWidth="1"/>
    <col min="17" max="17" width="8.7109375" style="604"/>
    <col min="18" max="18" width="7.7109375" style="604" customWidth="1"/>
    <col min="19" max="16384" width="8.7109375" style="604"/>
  </cols>
  <sheetData>
    <row r="1" spans="1:29">
      <c r="B1" s="605" t="s">
        <v>348</v>
      </c>
      <c r="J1" s="606" t="s">
        <v>455</v>
      </c>
      <c r="K1" s="604" t="s">
        <v>454</v>
      </c>
      <c r="Y1" s="606" t="s">
        <v>455</v>
      </c>
      <c r="Z1" s="604" t="s">
        <v>454</v>
      </c>
    </row>
    <row r="2" spans="1:29">
      <c r="A2" s="607"/>
      <c r="B2" s="607"/>
      <c r="C2" s="607" t="s">
        <v>442</v>
      </c>
      <c r="D2" s="607" t="s">
        <v>443</v>
      </c>
      <c r="E2" s="607" t="s">
        <v>444</v>
      </c>
      <c r="F2" s="607" t="s">
        <v>445</v>
      </c>
      <c r="G2" s="607" t="s">
        <v>446</v>
      </c>
      <c r="H2" s="607" t="s">
        <v>447</v>
      </c>
      <c r="I2" s="607" t="s">
        <v>448</v>
      </c>
      <c r="J2" s="608" t="s">
        <v>450</v>
      </c>
      <c r="K2" s="607" t="s">
        <v>450</v>
      </c>
      <c r="L2" s="607" t="s">
        <v>451</v>
      </c>
      <c r="M2" s="607" t="s">
        <v>452</v>
      </c>
      <c r="N2" s="607" t="s">
        <v>453</v>
      </c>
      <c r="P2" s="607"/>
      <c r="Q2" s="607"/>
      <c r="R2" s="607" t="s">
        <v>442</v>
      </c>
      <c r="S2" s="607" t="s">
        <v>443</v>
      </c>
      <c r="T2" s="607" t="s">
        <v>444</v>
      </c>
      <c r="U2" s="607" t="s">
        <v>445</v>
      </c>
      <c r="V2" s="607" t="s">
        <v>446</v>
      </c>
      <c r="W2" s="607" t="s">
        <v>447</v>
      </c>
      <c r="X2" s="607" t="s">
        <v>448</v>
      </c>
      <c r="Y2" s="608" t="s">
        <v>450</v>
      </c>
      <c r="Z2" s="607" t="s">
        <v>450</v>
      </c>
      <c r="AA2" s="607" t="s">
        <v>451</v>
      </c>
      <c r="AB2" s="607" t="s">
        <v>452</v>
      </c>
      <c r="AC2" s="607" t="s">
        <v>453</v>
      </c>
    </row>
    <row r="3" spans="1:29">
      <c r="A3" s="604" t="s">
        <v>321</v>
      </c>
      <c r="B3" s="604" t="s">
        <v>322</v>
      </c>
      <c r="C3" s="604">
        <f t="shared" ref="C3:N3" si="0">C4+C14+C23+C41+C67+C87+C98</f>
        <v>1825580</v>
      </c>
      <c r="D3" s="604">
        <f t="shared" si="0"/>
        <v>1858584</v>
      </c>
      <c r="E3" s="604">
        <f t="shared" si="0"/>
        <v>1890296</v>
      </c>
      <c r="F3" s="604">
        <f t="shared" si="0"/>
        <v>1921633</v>
      </c>
      <c r="G3" s="604">
        <f t="shared" si="0"/>
        <v>1898632</v>
      </c>
      <c r="H3" s="604">
        <f t="shared" si="0"/>
        <v>1934722</v>
      </c>
      <c r="I3" s="604">
        <f t="shared" si="0"/>
        <v>1972565</v>
      </c>
      <c r="J3" s="606">
        <f t="shared" si="0"/>
        <v>1983728</v>
      </c>
      <c r="K3" s="604">
        <f t="shared" si="0"/>
        <v>2006913</v>
      </c>
      <c r="L3" s="604">
        <f t="shared" si="0"/>
        <v>2073072</v>
      </c>
      <c r="M3" s="604">
        <f t="shared" si="0"/>
        <v>2100565</v>
      </c>
      <c r="N3" s="604">
        <f t="shared" si="0"/>
        <v>2126404</v>
      </c>
      <c r="P3" s="609" t="s">
        <v>170</v>
      </c>
      <c r="Q3" s="610" t="s">
        <v>166</v>
      </c>
      <c r="R3" s="611">
        <f>R4+R14+R18+R24+R30+R37+R42+R50+R56+R59</f>
        <v>1825580</v>
      </c>
      <c r="S3" s="611">
        <f t="shared" ref="S3:AC3" si="1">S4+S14+S18+S24+S30+S37+S42+S50+S56+S59</f>
        <v>1858584</v>
      </c>
      <c r="T3" s="611">
        <f t="shared" si="1"/>
        <v>1890296</v>
      </c>
      <c r="U3" s="611">
        <f t="shared" si="1"/>
        <v>1921633</v>
      </c>
      <c r="V3" s="611">
        <f t="shared" si="1"/>
        <v>1898632</v>
      </c>
      <c r="W3" s="611">
        <f t="shared" si="1"/>
        <v>1934722</v>
      </c>
      <c r="X3" s="611">
        <f t="shared" si="1"/>
        <v>1972565</v>
      </c>
      <c r="Y3" s="611">
        <f t="shared" si="1"/>
        <v>1983728</v>
      </c>
      <c r="Z3" s="611">
        <f t="shared" si="1"/>
        <v>2006913</v>
      </c>
      <c r="AA3" s="611">
        <f t="shared" si="1"/>
        <v>2073072</v>
      </c>
      <c r="AB3" s="611">
        <f t="shared" si="1"/>
        <v>2100565</v>
      </c>
      <c r="AC3" s="611">
        <f t="shared" si="1"/>
        <v>2126404</v>
      </c>
    </row>
    <row r="4" spans="1:29">
      <c r="A4" s="604" t="s">
        <v>321</v>
      </c>
      <c r="B4" s="604" t="s">
        <v>172</v>
      </c>
      <c r="C4" s="604">
        <f t="shared" ref="C4:N4" si="2">SUM(C5:C13)</f>
        <v>549086</v>
      </c>
      <c r="D4" s="604">
        <f t="shared" si="2"/>
        <v>559421</v>
      </c>
      <c r="E4" s="604">
        <f t="shared" si="2"/>
        <v>569206</v>
      </c>
      <c r="F4" s="604">
        <f t="shared" si="2"/>
        <v>578634</v>
      </c>
      <c r="G4" s="604">
        <f t="shared" si="2"/>
        <v>541046</v>
      </c>
      <c r="H4" s="604">
        <f t="shared" si="2"/>
        <v>551798</v>
      </c>
      <c r="I4" s="604">
        <f t="shared" si="2"/>
        <v>563374</v>
      </c>
      <c r="J4" s="606">
        <f t="shared" si="2"/>
        <v>574709</v>
      </c>
      <c r="K4" s="604">
        <f t="shared" si="2"/>
        <v>574272</v>
      </c>
      <c r="L4" s="604">
        <f t="shared" si="2"/>
        <v>618243</v>
      </c>
      <c r="M4" s="604">
        <f t="shared" si="2"/>
        <v>628280</v>
      </c>
      <c r="N4" s="604">
        <f t="shared" si="2"/>
        <v>637006</v>
      </c>
      <c r="P4" s="612">
        <v>100</v>
      </c>
      <c r="Q4" s="610" t="s">
        <v>172</v>
      </c>
      <c r="R4" s="613">
        <f>SUM(R5:R13)</f>
        <v>549086</v>
      </c>
      <c r="S4" s="613">
        <f t="shared" ref="S4:AC4" si="3">SUM(S5:S13)</f>
        <v>559421</v>
      </c>
      <c r="T4" s="613">
        <f t="shared" si="3"/>
        <v>569206</v>
      </c>
      <c r="U4" s="613">
        <f t="shared" si="3"/>
        <v>578634</v>
      </c>
      <c r="V4" s="613">
        <f t="shared" si="3"/>
        <v>541046</v>
      </c>
      <c r="W4" s="613">
        <f t="shared" si="3"/>
        <v>551798</v>
      </c>
      <c r="X4" s="613">
        <f t="shared" si="3"/>
        <v>563374</v>
      </c>
      <c r="Y4" s="613">
        <f t="shared" si="3"/>
        <v>574709</v>
      </c>
      <c r="Z4" s="613">
        <f t="shared" si="3"/>
        <v>574272</v>
      </c>
      <c r="AA4" s="613">
        <f t="shared" si="3"/>
        <v>618243</v>
      </c>
      <c r="AB4" s="613">
        <f t="shared" si="3"/>
        <v>628280</v>
      </c>
      <c r="AC4" s="613">
        <f t="shared" si="3"/>
        <v>637006</v>
      </c>
    </row>
    <row r="5" spans="1:29">
      <c r="B5" s="614" t="s">
        <v>173</v>
      </c>
      <c r="C5" s="604">
        <v>74737</v>
      </c>
      <c r="D5" s="604">
        <v>75767</v>
      </c>
      <c r="E5" s="604">
        <v>76542</v>
      </c>
      <c r="F5" s="604">
        <v>77077</v>
      </c>
      <c r="G5" s="604">
        <v>63373</v>
      </c>
      <c r="H5" s="604">
        <v>66783</v>
      </c>
      <c r="I5" s="604">
        <v>69759</v>
      </c>
      <c r="J5" s="606">
        <v>73728</v>
      </c>
      <c r="K5" s="604">
        <v>71507</v>
      </c>
      <c r="L5" s="604">
        <v>84424</v>
      </c>
      <c r="M5" s="604">
        <v>85976</v>
      </c>
      <c r="N5" s="604">
        <v>87162</v>
      </c>
      <c r="P5" s="615">
        <v>101</v>
      </c>
      <c r="Q5" s="614" t="s">
        <v>173</v>
      </c>
      <c r="R5" s="613">
        <f>C5</f>
        <v>74737</v>
      </c>
      <c r="S5" s="613">
        <f t="shared" ref="S5:AC13" si="4">D5</f>
        <v>75767</v>
      </c>
      <c r="T5" s="613">
        <f t="shared" si="4"/>
        <v>76542</v>
      </c>
      <c r="U5" s="613">
        <f t="shared" si="4"/>
        <v>77077</v>
      </c>
      <c r="V5" s="613">
        <f t="shared" si="4"/>
        <v>63373</v>
      </c>
      <c r="W5" s="613">
        <f t="shared" si="4"/>
        <v>66783</v>
      </c>
      <c r="X5" s="613">
        <f t="shared" si="4"/>
        <v>69759</v>
      </c>
      <c r="Y5" s="613">
        <f t="shared" si="4"/>
        <v>73728</v>
      </c>
      <c r="Z5" s="613">
        <f t="shared" si="4"/>
        <v>71507</v>
      </c>
      <c r="AA5" s="613">
        <f t="shared" si="4"/>
        <v>84424</v>
      </c>
      <c r="AB5" s="613">
        <f t="shared" si="4"/>
        <v>85976</v>
      </c>
      <c r="AC5" s="613">
        <f t="shared" si="4"/>
        <v>87162</v>
      </c>
    </row>
    <row r="6" spans="1:29">
      <c r="B6" s="614" t="s">
        <v>174</v>
      </c>
      <c r="C6" s="604">
        <v>54806</v>
      </c>
      <c r="D6" s="604">
        <v>54932</v>
      </c>
      <c r="E6" s="604">
        <v>55205</v>
      </c>
      <c r="F6" s="604">
        <v>55397</v>
      </c>
      <c r="G6" s="604">
        <v>41698</v>
      </c>
      <c r="H6" s="604">
        <v>43308</v>
      </c>
      <c r="I6" s="604">
        <v>45387</v>
      </c>
      <c r="J6" s="606">
        <v>51245</v>
      </c>
      <c r="K6" s="604">
        <v>46547</v>
      </c>
      <c r="L6" s="604">
        <v>58274</v>
      </c>
      <c r="M6" s="604">
        <v>59380</v>
      </c>
      <c r="N6" s="604">
        <v>60217</v>
      </c>
      <c r="P6" s="615">
        <v>102</v>
      </c>
      <c r="Q6" s="614" t="s">
        <v>174</v>
      </c>
      <c r="R6" s="613">
        <f t="shared" ref="R6:R13" si="5">C6</f>
        <v>54806</v>
      </c>
      <c r="S6" s="613">
        <f t="shared" si="4"/>
        <v>54932</v>
      </c>
      <c r="T6" s="613">
        <f t="shared" si="4"/>
        <v>55205</v>
      </c>
      <c r="U6" s="613">
        <f t="shared" si="4"/>
        <v>55397</v>
      </c>
      <c r="V6" s="613">
        <f t="shared" si="4"/>
        <v>41698</v>
      </c>
      <c r="W6" s="613">
        <f t="shared" si="4"/>
        <v>43308</v>
      </c>
      <c r="X6" s="613">
        <f t="shared" si="4"/>
        <v>45387</v>
      </c>
      <c r="Y6" s="613">
        <f t="shared" si="4"/>
        <v>51245</v>
      </c>
      <c r="Z6" s="613">
        <f t="shared" si="4"/>
        <v>46547</v>
      </c>
      <c r="AA6" s="613">
        <f t="shared" si="4"/>
        <v>58274</v>
      </c>
      <c r="AB6" s="613">
        <f t="shared" si="4"/>
        <v>59380</v>
      </c>
      <c r="AC6" s="613">
        <f t="shared" si="4"/>
        <v>60217</v>
      </c>
    </row>
    <row r="7" spans="1:29">
      <c r="B7" s="614" t="s">
        <v>175</v>
      </c>
      <c r="C7" s="604">
        <v>52295</v>
      </c>
      <c r="D7" s="604">
        <v>52419</v>
      </c>
      <c r="E7" s="604">
        <v>52260</v>
      </c>
      <c r="F7" s="604">
        <v>52271</v>
      </c>
      <c r="G7" s="604">
        <v>48057</v>
      </c>
      <c r="H7" s="604">
        <v>48450</v>
      </c>
      <c r="I7" s="604">
        <v>49844</v>
      </c>
      <c r="J7" s="606">
        <v>54344</v>
      </c>
      <c r="K7" s="604">
        <v>52009</v>
      </c>
      <c r="L7" s="604">
        <v>57296</v>
      </c>
      <c r="M7" s="604">
        <v>58918</v>
      </c>
      <c r="N7" s="604">
        <v>60509</v>
      </c>
      <c r="P7" s="616">
        <v>110</v>
      </c>
      <c r="Q7" s="614" t="s">
        <v>175</v>
      </c>
      <c r="R7" s="613">
        <f t="shared" si="5"/>
        <v>52295</v>
      </c>
      <c r="S7" s="613">
        <f t="shared" si="4"/>
        <v>52419</v>
      </c>
      <c r="T7" s="613">
        <f t="shared" si="4"/>
        <v>52260</v>
      </c>
      <c r="U7" s="613">
        <f t="shared" si="4"/>
        <v>52271</v>
      </c>
      <c r="V7" s="613">
        <f t="shared" si="4"/>
        <v>48057</v>
      </c>
      <c r="W7" s="613">
        <f t="shared" si="4"/>
        <v>48450</v>
      </c>
      <c r="X7" s="613">
        <f t="shared" si="4"/>
        <v>49844</v>
      </c>
      <c r="Y7" s="613">
        <f t="shared" si="4"/>
        <v>54344</v>
      </c>
      <c r="Z7" s="613">
        <f t="shared" si="4"/>
        <v>52009</v>
      </c>
      <c r="AA7" s="613">
        <f t="shared" si="4"/>
        <v>57296</v>
      </c>
      <c r="AB7" s="613">
        <f t="shared" si="4"/>
        <v>58918</v>
      </c>
      <c r="AC7" s="613">
        <f t="shared" si="4"/>
        <v>60509</v>
      </c>
    </row>
    <row r="8" spans="1:29">
      <c r="B8" s="614" t="s">
        <v>176</v>
      </c>
      <c r="C8" s="604">
        <v>52594</v>
      </c>
      <c r="D8" s="604">
        <v>52814</v>
      </c>
      <c r="E8" s="604">
        <v>53203</v>
      </c>
      <c r="F8" s="604">
        <v>53326</v>
      </c>
      <c r="G8" s="604">
        <v>43225</v>
      </c>
      <c r="H8" s="604">
        <v>43751</v>
      </c>
      <c r="I8" s="604">
        <v>44369</v>
      </c>
      <c r="J8" s="606">
        <v>47039</v>
      </c>
      <c r="K8" s="604">
        <v>45103</v>
      </c>
      <c r="L8" s="604">
        <v>51951</v>
      </c>
      <c r="M8" s="604">
        <v>52846</v>
      </c>
      <c r="N8" s="604">
        <v>53558</v>
      </c>
      <c r="P8" s="616">
        <v>105</v>
      </c>
      <c r="Q8" s="614" t="s">
        <v>176</v>
      </c>
      <c r="R8" s="613">
        <f t="shared" si="5"/>
        <v>52594</v>
      </c>
      <c r="S8" s="613">
        <f t="shared" si="4"/>
        <v>52814</v>
      </c>
      <c r="T8" s="613">
        <f t="shared" si="4"/>
        <v>53203</v>
      </c>
      <c r="U8" s="613">
        <f t="shared" si="4"/>
        <v>53326</v>
      </c>
      <c r="V8" s="613">
        <f t="shared" si="4"/>
        <v>43225</v>
      </c>
      <c r="W8" s="613">
        <f t="shared" si="4"/>
        <v>43751</v>
      </c>
      <c r="X8" s="613">
        <f t="shared" si="4"/>
        <v>44369</v>
      </c>
      <c r="Y8" s="613">
        <f t="shared" si="4"/>
        <v>47039</v>
      </c>
      <c r="Z8" s="613">
        <f t="shared" si="4"/>
        <v>45103</v>
      </c>
      <c r="AA8" s="613">
        <f t="shared" si="4"/>
        <v>51951</v>
      </c>
      <c r="AB8" s="613">
        <f t="shared" si="4"/>
        <v>52846</v>
      </c>
      <c r="AC8" s="613">
        <f t="shared" si="4"/>
        <v>53558</v>
      </c>
    </row>
    <row r="9" spans="1:29">
      <c r="B9" s="614" t="s">
        <v>177</v>
      </c>
      <c r="C9" s="604">
        <v>63811</v>
      </c>
      <c r="D9" s="604">
        <v>66120</v>
      </c>
      <c r="E9" s="604">
        <v>68221</v>
      </c>
      <c r="F9" s="604">
        <v>70766</v>
      </c>
      <c r="G9" s="604">
        <v>79153</v>
      </c>
      <c r="H9" s="604">
        <v>80443</v>
      </c>
      <c r="I9" s="604">
        <v>81603</v>
      </c>
      <c r="J9" s="606">
        <v>77395</v>
      </c>
      <c r="K9" s="604">
        <v>82380</v>
      </c>
      <c r="L9" s="604">
        <v>79520</v>
      </c>
      <c r="M9" s="604">
        <v>80526</v>
      </c>
      <c r="N9" s="604">
        <v>81612</v>
      </c>
      <c r="P9" s="616">
        <v>109</v>
      </c>
      <c r="Q9" s="614" t="s">
        <v>177</v>
      </c>
      <c r="R9" s="613">
        <f t="shared" si="5"/>
        <v>63811</v>
      </c>
      <c r="S9" s="613">
        <f t="shared" si="4"/>
        <v>66120</v>
      </c>
      <c r="T9" s="613">
        <f t="shared" si="4"/>
        <v>68221</v>
      </c>
      <c r="U9" s="613">
        <f t="shared" si="4"/>
        <v>70766</v>
      </c>
      <c r="V9" s="613">
        <f t="shared" si="4"/>
        <v>79153</v>
      </c>
      <c r="W9" s="613">
        <f t="shared" si="4"/>
        <v>80443</v>
      </c>
      <c r="X9" s="613">
        <f t="shared" si="4"/>
        <v>81603</v>
      </c>
      <c r="Y9" s="613">
        <f t="shared" si="4"/>
        <v>77395</v>
      </c>
      <c r="Z9" s="613">
        <f t="shared" si="4"/>
        <v>82380</v>
      </c>
      <c r="AA9" s="613">
        <f t="shared" si="4"/>
        <v>79520</v>
      </c>
      <c r="AB9" s="613">
        <f t="shared" si="4"/>
        <v>80526</v>
      </c>
      <c r="AC9" s="613">
        <f t="shared" si="4"/>
        <v>81612</v>
      </c>
    </row>
    <row r="10" spans="1:29">
      <c r="B10" s="614" t="s">
        <v>178</v>
      </c>
      <c r="C10" s="604">
        <v>53116</v>
      </c>
      <c r="D10" s="604">
        <v>53317</v>
      </c>
      <c r="E10" s="604">
        <v>53455</v>
      </c>
      <c r="F10" s="604">
        <v>53284</v>
      </c>
      <c r="G10" s="604">
        <v>36426</v>
      </c>
      <c r="H10" s="604">
        <v>35826</v>
      </c>
      <c r="I10" s="604">
        <v>35538</v>
      </c>
      <c r="J10" s="606">
        <v>45969</v>
      </c>
      <c r="K10" s="604">
        <v>35657</v>
      </c>
      <c r="L10" s="604">
        <v>46456</v>
      </c>
      <c r="M10" s="604">
        <v>46949</v>
      </c>
      <c r="N10" s="604">
        <v>47444</v>
      </c>
      <c r="P10" s="616">
        <v>106</v>
      </c>
      <c r="Q10" s="614" t="s">
        <v>178</v>
      </c>
      <c r="R10" s="613">
        <f t="shared" si="5"/>
        <v>53116</v>
      </c>
      <c r="S10" s="613">
        <f t="shared" si="4"/>
        <v>53317</v>
      </c>
      <c r="T10" s="613">
        <f t="shared" si="4"/>
        <v>53455</v>
      </c>
      <c r="U10" s="613">
        <f t="shared" si="4"/>
        <v>53284</v>
      </c>
      <c r="V10" s="613">
        <f t="shared" si="4"/>
        <v>36426</v>
      </c>
      <c r="W10" s="613">
        <f t="shared" si="4"/>
        <v>35826</v>
      </c>
      <c r="X10" s="613">
        <f t="shared" si="4"/>
        <v>35538</v>
      </c>
      <c r="Y10" s="613">
        <f t="shared" si="4"/>
        <v>45969</v>
      </c>
      <c r="Z10" s="613">
        <f t="shared" si="4"/>
        <v>35657</v>
      </c>
      <c r="AA10" s="613">
        <f t="shared" si="4"/>
        <v>46456</v>
      </c>
      <c r="AB10" s="613">
        <f t="shared" si="4"/>
        <v>46949</v>
      </c>
      <c r="AC10" s="613">
        <f t="shared" si="4"/>
        <v>47444</v>
      </c>
    </row>
    <row r="11" spans="1:29">
      <c r="B11" s="614" t="s">
        <v>179</v>
      </c>
      <c r="C11" s="604">
        <v>63298</v>
      </c>
      <c r="D11" s="604">
        <v>64038</v>
      </c>
      <c r="E11" s="604">
        <v>65060</v>
      </c>
      <c r="F11" s="604">
        <v>66220</v>
      </c>
      <c r="G11" s="604">
        <v>61973</v>
      </c>
      <c r="H11" s="604">
        <v>62768</v>
      </c>
      <c r="I11" s="604">
        <v>63674</v>
      </c>
      <c r="J11" s="606">
        <v>62778</v>
      </c>
      <c r="K11" s="604">
        <v>64365</v>
      </c>
      <c r="L11" s="604">
        <v>68285</v>
      </c>
      <c r="M11" s="604">
        <v>69161</v>
      </c>
      <c r="N11" s="604">
        <v>69719</v>
      </c>
      <c r="P11" s="616">
        <v>107</v>
      </c>
      <c r="Q11" s="614" t="s">
        <v>179</v>
      </c>
      <c r="R11" s="613">
        <f t="shared" si="5"/>
        <v>63298</v>
      </c>
      <c r="S11" s="613">
        <f t="shared" si="4"/>
        <v>64038</v>
      </c>
      <c r="T11" s="613">
        <f t="shared" si="4"/>
        <v>65060</v>
      </c>
      <c r="U11" s="613">
        <f t="shared" si="4"/>
        <v>66220</v>
      </c>
      <c r="V11" s="613">
        <f t="shared" si="4"/>
        <v>61973</v>
      </c>
      <c r="W11" s="613">
        <f t="shared" si="4"/>
        <v>62768</v>
      </c>
      <c r="X11" s="613">
        <f t="shared" si="4"/>
        <v>63674</v>
      </c>
      <c r="Y11" s="613">
        <f t="shared" si="4"/>
        <v>62778</v>
      </c>
      <c r="Z11" s="613">
        <f t="shared" si="4"/>
        <v>64365</v>
      </c>
      <c r="AA11" s="613">
        <f t="shared" si="4"/>
        <v>68285</v>
      </c>
      <c r="AB11" s="613">
        <f t="shared" si="4"/>
        <v>69161</v>
      </c>
      <c r="AC11" s="613">
        <f t="shared" si="4"/>
        <v>69719</v>
      </c>
    </row>
    <row r="12" spans="1:29">
      <c r="B12" s="614" t="s">
        <v>180</v>
      </c>
      <c r="C12" s="604">
        <v>83032</v>
      </c>
      <c r="D12" s="604">
        <v>85073</v>
      </c>
      <c r="E12" s="604">
        <v>86192</v>
      </c>
      <c r="F12" s="604">
        <v>87242</v>
      </c>
      <c r="G12" s="604">
        <v>89825</v>
      </c>
      <c r="H12" s="604">
        <v>89774</v>
      </c>
      <c r="I12" s="604">
        <v>90495</v>
      </c>
      <c r="J12" s="606">
        <v>84377</v>
      </c>
      <c r="K12" s="604">
        <v>91922</v>
      </c>
      <c r="L12" s="604">
        <v>90178</v>
      </c>
      <c r="M12" s="604">
        <v>91030</v>
      </c>
      <c r="N12" s="604">
        <v>91914</v>
      </c>
      <c r="P12" s="616">
        <v>108</v>
      </c>
      <c r="Q12" s="614" t="s">
        <v>180</v>
      </c>
      <c r="R12" s="613">
        <f t="shared" si="5"/>
        <v>83032</v>
      </c>
      <c r="S12" s="613">
        <f t="shared" si="4"/>
        <v>85073</v>
      </c>
      <c r="T12" s="613">
        <f t="shared" si="4"/>
        <v>86192</v>
      </c>
      <c r="U12" s="613">
        <f t="shared" si="4"/>
        <v>87242</v>
      </c>
      <c r="V12" s="613">
        <f t="shared" si="4"/>
        <v>89825</v>
      </c>
      <c r="W12" s="613">
        <f t="shared" si="4"/>
        <v>89774</v>
      </c>
      <c r="X12" s="613">
        <f t="shared" si="4"/>
        <v>90495</v>
      </c>
      <c r="Y12" s="613">
        <f t="shared" si="4"/>
        <v>84377</v>
      </c>
      <c r="Z12" s="613">
        <f t="shared" si="4"/>
        <v>91922</v>
      </c>
      <c r="AA12" s="613">
        <f t="shared" si="4"/>
        <v>90178</v>
      </c>
      <c r="AB12" s="613">
        <f t="shared" si="4"/>
        <v>91030</v>
      </c>
      <c r="AC12" s="613">
        <f t="shared" si="4"/>
        <v>91914</v>
      </c>
    </row>
    <row r="13" spans="1:29">
      <c r="B13" s="614" t="s">
        <v>181</v>
      </c>
      <c r="C13" s="604">
        <v>51397</v>
      </c>
      <c r="D13" s="604">
        <v>54941</v>
      </c>
      <c r="E13" s="604">
        <v>59068</v>
      </c>
      <c r="F13" s="604">
        <v>63051</v>
      </c>
      <c r="G13" s="604">
        <v>77316</v>
      </c>
      <c r="H13" s="604">
        <v>80695</v>
      </c>
      <c r="I13" s="604">
        <v>82705</v>
      </c>
      <c r="J13" s="606">
        <v>77834</v>
      </c>
      <c r="K13" s="604">
        <v>84782</v>
      </c>
      <c r="L13" s="604">
        <v>81859</v>
      </c>
      <c r="M13" s="604">
        <v>83494</v>
      </c>
      <c r="N13" s="604">
        <v>84871</v>
      </c>
      <c r="P13" s="616">
        <v>111</v>
      </c>
      <c r="Q13" s="614" t="s">
        <v>181</v>
      </c>
      <c r="R13" s="613">
        <f t="shared" si="5"/>
        <v>51397</v>
      </c>
      <c r="S13" s="613">
        <f t="shared" si="4"/>
        <v>54941</v>
      </c>
      <c r="T13" s="613">
        <f t="shared" si="4"/>
        <v>59068</v>
      </c>
      <c r="U13" s="613">
        <f t="shared" si="4"/>
        <v>63051</v>
      </c>
      <c r="V13" s="613">
        <f t="shared" si="4"/>
        <v>77316</v>
      </c>
      <c r="W13" s="613">
        <f t="shared" si="4"/>
        <v>80695</v>
      </c>
      <c r="X13" s="613">
        <f t="shared" si="4"/>
        <v>82705</v>
      </c>
      <c r="Y13" s="613">
        <f t="shared" si="4"/>
        <v>77834</v>
      </c>
      <c r="Z13" s="613">
        <f t="shared" si="4"/>
        <v>84782</v>
      </c>
      <c r="AA13" s="613">
        <f t="shared" si="4"/>
        <v>81859</v>
      </c>
      <c r="AB13" s="613">
        <f t="shared" si="4"/>
        <v>83494</v>
      </c>
      <c r="AC13" s="613">
        <f t="shared" si="4"/>
        <v>84871</v>
      </c>
    </row>
    <row r="14" spans="1:29">
      <c r="A14" s="604" t="s">
        <v>321</v>
      </c>
      <c r="B14" s="604" t="s">
        <v>373</v>
      </c>
      <c r="C14" s="604">
        <f t="shared" ref="C14:N14" si="6">SUM(C15:C22)</f>
        <v>584760</v>
      </c>
      <c r="D14" s="604">
        <f t="shared" si="6"/>
        <v>594446</v>
      </c>
      <c r="E14" s="604">
        <f t="shared" si="6"/>
        <v>603396</v>
      </c>
      <c r="F14" s="604">
        <f t="shared" si="6"/>
        <v>612246</v>
      </c>
      <c r="G14" s="604">
        <f t="shared" si="6"/>
        <v>602475</v>
      </c>
      <c r="H14" s="604">
        <f t="shared" si="6"/>
        <v>614943</v>
      </c>
      <c r="I14" s="604">
        <f t="shared" si="6"/>
        <v>629795</v>
      </c>
      <c r="J14" s="606">
        <f t="shared" si="6"/>
        <v>625495</v>
      </c>
      <c r="K14" s="604">
        <f t="shared" si="6"/>
        <v>642649</v>
      </c>
      <c r="L14" s="604">
        <f t="shared" si="6"/>
        <v>662417</v>
      </c>
      <c r="M14" s="604">
        <f t="shared" si="6"/>
        <v>672600</v>
      </c>
      <c r="N14" s="604">
        <f t="shared" si="6"/>
        <v>682691</v>
      </c>
      <c r="P14" s="609"/>
      <c r="Q14" s="605" t="s">
        <v>182</v>
      </c>
      <c r="R14" s="611">
        <f>SUM(R15:R17)</f>
        <v>380596</v>
      </c>
      <c r="S14" s="611">
        <f t="shared" ref="S14:AC14" si="7">SUM(S15:S17)</f>
        <v>384755</v>
      </c>
      <c r="T14" s="611">
        <f t="shared" si="7"/>
        <v>388229</v>
      </c>
      <c r="U14" s="611">
        <f t="shared" si="7"/>
        <v>390687</v>
      </c>
      <c r="V14" s="611">
        <f t="shared" si="7"/>
        <v>373255</v>
      </c>
      <c r="W14" s="611">
        <f t="shared" si="7"/>
        <v>379645</v>
      </c>
      <c r="X14" s="611">
        <f t="shared" si="7"/>
        <v>388134</v>
      </c>
      <c r="Y14" s="611">
        <f t="shared" si="7"/>
        <v>383634</v>
      </c>
      <c r="Z14" s="611">
        <f t="shared" si="7"/>
        <v>395588</v>
      </c>
      <c r="AA14" s="611">
        <f t="shared" si="7"/>
        <v>410016</v>
      </c>
      <c r="AB14" s="611">
        <f t="shared" si="7"/>
        <v>415971</v>
      </c>
      <c r="AC14" s="611">
        <f t="shared" si="7"/>
        <v>421978</v>
      </c>
    </row>
    <row r="15" spans="1:29">
      <c r="B15" s="604" t="s">
        <v>183</v>
      </c>
      <c r="C15" s="604">
        <v>188309</v>
      </c>
      <c r="D15" s="604">
        <v>190439</v>
      </c>
      <c r="E15" s="604">
        <v>192340</v>
      </c>
      <c r="F15" s="604">
        <v>193216</v>
      </c>
      <c r="G15" s="604">
        <v>192194</v>
      </c>
      <c r="H15" s="604">
        <v>193393</v>
      </c>
      <c r="I15" s="604">
        <v>194544</v>
      </c>
      <c r="J15" s="606">
        <v>184330</v>
      </c>
      <c r="K15" s="604">
        <v>195379</v>
      </c>
      <c r="L15" s="604">
        <v>192080</v>
      </c>
      <c r="M15" s="604">
        <v>193397</v>
      </c>
      <c r="N15" s="604">
        <v>195336</v>
      </c>
      <c r="P15" s="615">
        <v>202</v>
      </c>
      <c r="Q15" s="617" t="s">
        <v>183</v>
      </c>
      <c r="R15" s="611">
        <f>C15</f>
        <v>188309</v>
      </c>
      <c r="S15" s="611">
        <f t="shared" ref="S15:AC17" si="8">D15</f>
        <v>190439</v>
      </c>
      <c r="T15" s="611">
        <f t="shared" si="8"/>
        <v>192340</v>
      </c>
      <c r="U15" s="611">
        <f t="shared" si="8"/>
        <v>193216</v>
      </c>
      <c r="V15" s="611">
        <f t="shared" si="8"/>
        <v>192194</v>
      </c>
      <c r="W15" s="611">
        <f t="shared" si="8"/>
        <v>193393</v>
      </c>
      <c r="X15" s="611">
        <f t="shared" si="8"/>
        <v>194544</v>
      </c>
      <c r="Y15" s="611">
        <f t="shared" si="8"/>
        <v>184330</v>
      </c>
      <c r="Z15" s="611">
        <f t="shared" si="8"/>
        <v>195379</v>
      </c>
      <c r="AA15" s="611">
        <f t="shared" si="8"/>
        <v>192080</v>
      </c>
      <c r="AB15" s="611">
        <f t="shared" si="8"/>
        <v>193397</v>
      </c>
      <c r="AC15" s="611">
        <f t="shared" si="8"/>
        <v>195336</v>
      </c>
    </row>
    <row r="16" spans="1:29">
      <c r="B16" s="604" t="s">
        <v>184</v>
      </c>
      <c r="C16" s="604">
        <v>159361</v>
      </c>
      <c r="D16" s="604">
        <v>160935</v>
      </c>
      <c r="E16" s="604">
        <v>162246</v>
      </c>
      <c r="F16" s="604">
        <v>163776</v>
      </c>
      <c r="G16" s="604">
        <v>151933</v>
      </c>
      <c r="H16" s="604">
        <v>156625</v>
      </c>
      <c r="I16" s="604">
        <v>162782</v>
      </c>
      <c r="J16" s="606">
        <v>167443</v>
      </c>
      <c r="K16" s="604">
        <v>168422</v>
      </c>
      <c r="L16" s="604">
        <v>182844</v>
      </c>
      <c r="M16" s="604">
        <v>186257</v>
      </c>
      <c r="N16" s="604">
        <v>189307</v>
      </c>
      <c r="P16" s="615">
        <v>204</v>
      </c>
      <c r="Q16" s="617" t="s">
        <v>184</v>
      </c>
      <c r="R16" s="611">
        <f>C16</f>
        <v>159361</v>
      </c>
      <c r="S16" s="611">
        <f t="shared" si="8"/>
        <v>160935</v>
      </c>
      <c r="T16" s="611">
        <f t="shared" si="8"/>
        <v>162246</v>
      </c>
      <c r="U16" s="611">
        <f t="shared" si="8"/>
        <v>163776</v>
      </c>
      <c r="V16" s="611">
        <f t="shared" si="8"/>
        <v>151933</v>
      </c>
      <c r="W16" s="611">
        <f t="shared" si="8"/>
        <v>156625</v>
      </c>
      <c r="X16" s="611">
        <f t="shared" si="8"/>
        <v>162782</v>
      </c>
      <c r="Y16" s="611">
        <f t="shared" si="8"/>
        <v>167443</v>
      </c>
      <c r="Z16" s="611">
        <f t="shared" si="8"/>
        <v>168422</v>
      </c>
      <c r="AA16" s="611">
        <f t="shared" si="8"/>
        <v>182844</v>
      </c>
      <c r="AB16" s="611">
        <f t="shared" si="8"/>
        <v>186257</v>
      </c>
      <c r="AC16" s="611">
        <f t="shared" si="8"/>
        <v>189307</v>
      </c>
    </row>
    <row r="17" spans="1:29">
      <c r="B17" s="604" t="s">
        <v>185</v>
      </c>
      <c r="C17" s="604">
        <v>32926</v>
      </c>
      <c r="D17" s="604">
        <v>33381</v>
      </c>
      <c r="E17" s="604">
        <v>33643</v>
      </c>
      <c r="F17" s="604">
        <v>33695</v>
      </c>
      <c r="G17" s="604">
        <v>29128</v>
      </c>
      <c r="H17" s="604">
        <v>29627</v>
      </c>
      <c r="I17" s="604">
        <v>30808</v>
      </c>
      <c r="J17" s="606">
        <v>31861</v>
      </c>
      <c r="K17" s="604">
        <v>31787</v>
      </c>
      <c r="L17" s="604">
        <v>35092</v>
      </c>
      <c r="M17" s="604">
        <v>36317</v>
      </c>
      <c r="N17" s="604">
        <v>37335</v>
      </c>
      <c r="P17" s="615">
        <v>206</v>
      </c>
      <c r="Q17" s="617" t="s">
        <v>185</v>
      </c>
      <c r="R17" s="611">
        <f>C17</f>
        <v>32926</v>
      </c>
      <c r="S17" s="611">
        <f t="shared" si="8"/>
        <v>33381</v>
      </c>
      <c r="T17" s="611">
        <f t="shared" si="8"/>
        <v>33643</v>
      </c>
      <c r="U17" s="611">
        <f t="shared" si="8"/>
        <v>33695</v>
      </c>
      <c r="V17" s="611">
        <f t="shared" si="8"/>
        <v>29128</v>
      </c>
      <c r="W17" s="611">
        <f t="shared" si="8"/>
        <v>29627</v>
      </c>
      <c r="X17" s="611">
        <f t="shared" si="8"/>
        <v>30808</v>
      </c>
      <c r="Y17" s="611">
        <f t="shared" si="8"/>
        <v>31861</v>
      </c>
      <c r="Z17" s="611">
        <f t="shared" si="8"/>
        <v>31787</v>
      </c>
      <c r="AA17" s="611">
        <f t="shared" si="8"/>
        <v>35092</v>
      </c>
      <c r="AB17" s="611">
        <f t="shared" si="8"/>
        <v>36317</v>
      </c>
      <c r="AC17" s="611">
        <f t="shared" si="8"/>
        <v>37335</v>
      </c>
    </row>
    <row r="18" spans="1:29">
      <c r="B18" s="604" t="s">
        <v>187</v>
      </c>
      <c r="C18" s="604">
        <v>63463</v>
      </c>
      <c r="D18" s="604">
        <v>64539</v>
      </c>
      <c r="E18" s="604">
        <v>65690</v>
      </c>
      <c r="F18" s="604">
        <v>66799</v>
      </c>
      <c r="G18" s="604">
        <v>67875</v>
      </c>
      <c r="H18" s="604">
        <v>69038</v>
      </c>
      <c r="I18" s="604">
        <v>70479</v>
      </c>
      <c r="J18" s="606">
        <v>66887</v>
      </c>
      <c r="K18" s="604">
        <v>71299</v>
      </c>
      <c r="L18" s="604">
        <v>71323</v>
      </c>
      <c r="M18" s="604">
        <v>72025</v>
      </c>
      <c r="N18" s="604">
        <v>73022</v>
      </c>
      <c r="P18" s="609"/>
      <c r="Q18" s="605" t="s">
        <v>186</v>
      </c>
      <c r="R18" s="611">
        <f>SUM(R19:R23)</f>
        <v>204164</v>
      </c>
      <c r="S18" s="611">
        <f t="shared" ref="S18:AC18" si="9">SUM(S19:S23)</f>
        <v>209691</v>
      </c>
      <c r="T18" s="611">
        <f t="shared" si="9"/>
        <v>215167</v>
      </c>
      <c r="U18" s="611">
        <f t="shared" si="9"/>
        <v>221559</v>
      </c>
      <c r="V18" s="611">
        <f t="shared" si="9"/>
        <v>229220</v>
      </c>
      <c r="W18" s="611">
        <f t="shared" si="9"/>
        <v>235298</v>
      </c>
      <c r="X18" s="611">
        <f t="shared" si="9"/>
        <v>241661</v>
      </c>
      <c r="Y18" s="611">
        <f t="shared" si="9"/>
        <v>241861</v>
      </c>
      <c r="Z18" s="611">
        <f t="shared" si="9"/>
        <v>247061</v>
      </c>
      <c r="AA18" s="611">
        <f t="shared" si="9"/>
        <v>252401</v>
      </c>
      <c r="AB18" s="611">
        <f t="shared" si="9"/>
        <v>256629</v>
      </c>
      <c r="AC18" s="611">
        <f t="shared" si="9"/>
        <v>260713</v>
      </c>
    </row>
    <row r="19" spans="1:29">
      <c r="B19" s="604" t="s">
        <v>188</v>
      </c>
      <c r="C19" s="604">
        <v>69432</v>
      </c>
      <c r="D19" s="604">
        <v>70477</v>
      </c>
      <c r="E19" s="604">
        <v>71558</v>
      </c>
      <c r="F19" s="604">
        <v>72797</v>
      </c>
      <c r="G19" s="604">
        <v>72478</v>
      </c>
      <c r="H19" s="604">
        <v>74362</v>
      </c>
      <c r="I19" s="604">
        <v>76262</v>
      </c>
      <c r="J19" s="606">
        <v>76133</v>
      </c>
      <c r="K19" s="604">
        <v>78143</v>
      </c>
      <c r="L19" s="604">
        <v>81451</v>
      </c>
      <c r="M19" s="604">
        <v>82951</v>
      </c>
      <c r="N19" s="604">
        <v>84457</v>
      </c>
      <c r="P19" s="615">
        <v>207</v>
      </c>
      <c r="Q19" s="617" t="s">
        <v>187</v>
      </c>
      <c r="R19" s="611">
        <f>C18</f>
        <v>63463</v>
      </c>
      <c r="S19" s="611">
        <f t="shared" ref="S19:AC23" si="10">D18</f>
        <v>64539</v>
      </c>
      <c r="T19" s="611">
        <f t="shared" si="10"/>
        <v>65690</v>
      </c>
      <c r="U19" s="611">
        <f t="shared" si="10"/>
        <v>66799</v>
      </c>
      <c r="V19" s="611">
        <f t="shared" si="10"/>
        <v>67875</v>
      </c>
      <c r="W19" s="611">
        <f t="shared" si="10"/>
        <v>69038</v>
      </c>
      <c r="X19" s="611">
        <f t="shared" si="10"/>
        <v>70479</v>
      </c>
      <c r="Y19" s="611">
        <f t="shared" si="10"/>
        <v>66887</v>
      </c>
      <c r="Z19" s="611">
        <f t="shared" si="10"/>
        <v>71299</v>
      </c>
      <c r="AA19" s="611">
        <f t="shared" si="10"/>
        <v>71323</v>
      </c>
      <c r="AB19" s="611">
        <f t="shared" si="10"/>
        <v>72025</v>
      </c>
      <c r="AC19" s="611">
        <f t="shared" si="10"/>
        <v>73022</v>
      </c>
    </row>
    <row r="20" spans="1:29">
      <c r="B20" s="604" t="s">
        <v>189</v>
      </c>
      <c r="C20" s="604">
        <v>44756</v>
      </c>
      <c r="D20" s="604">
        <v>45685</v>
      </c>
      <c r="E20" s="604">
        <v>46695</v>
      </c>
      <c r="F20" s="604">
        <v>47675</v>
      </c>
      <c r="G20" s="604">
        <v>50481</v>
      </c>
      <c r="H20" s="604">
        <v>51726</v>
      </c>
      <c r="I20" s="604">
        <v>53086</v>
      </c>
      <c r="J20" s="606">
        <v>55968</v>
      </c>
      <c r="K20" s="604">
        <v>54454</v>
      </c>
      <c r="L20" s="604">
        <v>55744</v>
      </c>
      <c r="M20" s="604">
        <v>56919</v>
      </c>
      <c r="N20" s="604">
        <v>57942</v>
      </c>
      <c r="P20" s="615">
        <v>214</v>
      </c>
      <c r="Q20" s="617" t="s">
        <v>188</v>
      </c>
      <c r="R20" s="611">
        <f>C19</f>
        <v>69432</v>
      </c>
      <c r="S20" s="611">
        <f t="shared" si="10"/>
        <v>70477</v>
      </c>
      <c r="T20" s="611">
        <f t="shared" si="10"/>
        <v>71558</v>
      </c>
      <c r="U20" s="611">
        <f t="shared" si="10"/>
        <v>72797</v>
      </c>
      <c r="V20" s="611">
        <f t="shared" si="10"/>
        <v>72478</v>
      </c>
      <c r="W20" s="611">
        <f t="shared" si="10"/>
        <v>74362</v>
      </c>
      <c r="X20" s="611">
        <f t="shared" si="10"/>
        <v>76262</v>
      </c>
      <c r="Y20" s="611">
        <f t="shared" si="10"/>
        <v>76133</v>
      </c>
      <c r="Z20" s="611">
        <f t="shared" si="10"/>
        <v>78143</v>
      </c>
      <c r="AA20" s="611">
        <f t="shared" si="10"/>
        <v>81451</v>
      </c>
      <c r="AB20" s="611">
        <f t="shared" si="10"/>
        <v>82951</v>
      </c>
      <c r="AC20" s="611">
        <f t="shared" si="10"/>
        <v>84457</v>
      </c>
    </row>
    <row r="21" spans="1:29">
      <c r="B21" s="604" t="s">
        <v>190</v>
      </c>
      <c r="C21" s="604">
        <v>20309</v>
      </c>
      <c r="D21" s="604">
        <v>22427</v>
      </c>
      <c r="E21" s="604">
        <v>24218</v>
      </c>
      <c r="F21" s="604">
        <v>26824</v>
      </c>
      <c r="G21" s="604">
        <v>30472</v>
      </c>
      <c r="H21" s="604">
        <v>32015</v>
      </c>
      <c r="I21" s="604">
        <v>33411</v>
      </c>
      <c r="J21" s="606">
        <v>34219</v>
      </c>
      <c r="K21" s="604">
        <v>34463</v>
      </c>
      <c r="L21" s="604">
        <v>35070</v>
      </c>
      <c r="M21" s="604">
        <v>35754</v>
      </c>
      <c r="N21" s="604">
        <v>36229</v>
      </c>
      <c r="P21" s="615">
        <v>217</v>
      </c>
      <c r="Q21" s="617" t="s">
        <v>189</v>
      </c>
      <c r="R21" s="611">
        <f>C20</f>
        <v>44756</v>
      </c>
      <c r="S21" s="611">
        <f t="shared" si="10"/>
        <v>45685</v>
      </c>
      <c r="T21" s="611">
        <f t="shared" si="10"/>
        <v>46695</v>
      </c>
      <c r="U21" s="611">
        <f t="shared" si="10"/>
        <v>47675</v>
      </c>
      <c r="V21" s="611">
        <f t="shared" si="10"/>
        <v>50481</v>
      </c>
      <c r="W21" s="611">
        <f t="shared" si="10"/>
        <v>51726</v>
      </c>
      <c r="X21" s="611">
        <f t="shared" si="10"/>
        <v>53086</v>
      </c>
      <c r="Y21" s="611">
        <f t="shared" si="10"/>
        <v>55968</v>
      </c>
      <c r="Z21" s="611">
        <f t="shared" si="10"/>
        <v>54454</v>
      </c>
      <c r="AA21" s="611">
        <f t="shared" si="10"/>
        <v>55744</v>
      </c>
      <c r="AB21" s="611">
        <f t="shared" si="10"/>
        <v>56919</v>
      </c>
      <c r="AC21" s="611">
        <f t="shared" si="10"/>
        <v>57942</v>
      </c>
    </row>
    <row r="22" spans="1:29">
      <c r="B22" s="604" t="s">
        <v>191</v>
      </c>
      <c r="C22" s="604">
        <v>6204</v>
      </c>
      <c r="D22" s="604">
        <v>6563</v>
      </c>
      <c r="E22" s="604">
        <v>7006</v>
      </c>
      <c r="F22" s="604">
        <v>7464</v>
      </c>
      <c r="G22" s="604">
        <v>7914</v>
      </c>
      <c r="H22" s="604">
        <v>8157</v>
      </c>
      <c r="I22" s="604">
        <v>8423</v>
      </c>
      <c r="J22" s="606">
        <v>8654</v>
      </c>
      <c r="K22" s="604">
        <v>8702</v>
      </c>
      <c r="L22" s="604">
        <v>8813</v>
      </c>
      <c r="M22" s="604">
        <v>8980</v>
      </c>
      <c r="N22" s="604">
        <v>9063</v>
      </c>
      <c r="P22" s="615">
        <v>219</v>
      </c>
      <c r="Q22" s="617" t="s">
        <v>190</v>
      </c>
      <c r="R22" s="611">
        <f>C21</f>
        <v>20309</v>
      </c>
      <c r="S22" s="611">
        <f t="shared" si="10"/>
        <v>22427</v>
      </c>
      <c r="T22" s="611">
        <f t="shared" si="10"/>
        <v>24218</v>
      </c>
      <c r="U22" s="611">
        <f t="shared" si="10"/>
        <v>26824</v>
      </c>
      <c r="V22" s="611">
        <f t="shared" si="10"/>
        <v>30472</v>
      </c>
      <c r="W22" s="611">
        <f t="shared" si="10"/>
        <v>32015</v>
      </c>
      <c r="X22" s="611">
        <f t="shared" si="10"/>
        <v>33411</v>
      </c>
      <c r="Y22" s="611">
        <f t="shared" si="10"/>
        <v>34219</v>
      </c>
      <c r="Z22" s="611">
        <f t="shared" si="10"/>
        <v>34463</v>
      </c>
      <c r="AA22" s="611">
        <f t="shared" si="10"/>
        <v>35070</v>
      </c>
      <c r="AB22" s="611">
        <f t="shared" si="10"/>
        <v>35754</v>
      </c>
      <c r="AC22" s="611">
        <f t="shared" si="10"/>
        <v>36229</v>
      </c>
    </row>
    <row r="23" spans="1:29">
      <c r="A23" s="604" t="s">
        <v>321</v>
      </c>
      <c r="B23" s="604" t="s">
        <v>192</v>
      </c>
      <c r="C23" s="604">
        <f t="shared" ref="C23:N23" si="11">SUM(C24:C40)</f>
        <v>292960</v>
      </c>
      <c r="D23" s="604">
        <f t="shared" si="11"/>
        <v>300157</v>
      </c>
      <c r="E23" s="604">
        <f t="shared" si="11"/>
        <v>307040</v>
      </c>
      <c r="F23" s="604">
        <f t="shared" si="11"/>
        <v>313425</v>
      </c>
      <c r="G23" s="604">
        <f t="shared" si="11"/>
        <v>327754</v>
      </c>
      <c r="H23" s="604">
        <f t="shared" si="11"/>
        <v>334743</v>
      </c>
      <c r="I23" s="604">
        <f t="shared" si="11"/>
        <v>340997</v>
      </c>
      <c r="J23" s="606">
        <f t="shared" si="11"/>
        <v>339783</v>
      </c>
      <c r="K23" s="604">
        <f t="shared" si="11"/>
        <v>346032</v>
      </c>
      <c r="L23" s="604">
        <f t="shared" si="11"/>
        <v>344704</v>
      </c>
      <c r="M23" s="604">
        <f t="shared" si="11"/>
        <v>348038</v>
      </c>
      <c r="N23" s="604">
        <f t="shared" si="11"/>
        <v>351398</v>
      </c>
      <c r="P23" s="615">
        <v>301</v>
      </c>
      <c r="Q23" s="617" t="s">
        <v>191</v>
      </c>
      <c r="R23" s="611">
        <f>C22</f>
        <v>6204</v>
      </c>
      <c r="S23" s="611">
        <f t="shared" si="10"/>
        <v>6563</v>
      </c>
      <c r="T23" s="611">
        <f t="shared" si="10"/>
        <v>7006</v>
      </c>
      <c r="U23" s="611">
        <f t="shared" si="10"/>
        <v>7464</v>
      </c>
      <c r="V23" s="611">
        <f t="shared" si="10"/>
        <v>7914</v>
      </c>
      <c r="W23" s="611">
        <f t="shared" si="10"/>
        <v>8157</v>
      </c>
      <c r="X23" s="611">
        <f t="shared" si="10"/>
        <v>8423</v>
      </c>
      <c r="Y23" s="611">
        <f t="shared" si="10"/>
        <v>8654</v>
      </c>
      <c r="Z23" s="611">
        <f t="shared" si="10"/>
        <v>8702</v>
      </c>
      <c r="AA23" s="611">
        <f t="shared" si="10"/>
        <v>8813</v>
      </c>
      <c r="AB23" s="611">
        <f t="shared" si="10"/>
        <v>8980</v>
      </c>
      <c r="AC23" s="611">
        <f t="shared" si="10"/>
        <v>9063</v>
      </c>
    </row>
    <row r="24" spans="1:29">
      <c r="B24" s="604" t="s">
        <v>193</v>
      </c>
      <c r="C24" s="604">
        <v>92356</v>
      </c>
      <c r="D24" s="604">
        <v>94692</v>
      </c>
      <c r="E24" s="604">
        <v>96696</v>
      </c>
      <c r="F24" s="604">
        <v>98757</v>
      </c>
      <c r="G24" s="604">
        <v>102905</v>
      </c>
      <c r="H24" s="604">
        <v>105366</v>
      </c>
      <c r="I24" s="604">
        <v>107692</v>
      </c>
      <c r="J24" s="606">
        <v>105648</v>
      </c>
      <c r="K24" s="604">
        <v>109053</v>
      </c>
      <c r="L24" s="604">
        <v>108608</v>
      </c>
      <c r="M24" s="604">
        <v>109231</v>
      </c>
      <c r="N24" s="604">
        <v>110316</v>
      </c>
      <c r="P24" s="609"/>
      <c r="Q24" s="605" t="s">
        <v>192</v>
      </c>
      <c r="R24" s="611">
        <f>SUM(R25:R29)</f>
        <v>212656</v>
      </c>
      <c r="S24" s="611">
        <f t="shared" ref="S24:AC24" si="12">SUM(S25:S29)</f>
        <v>218386</v>
      </c>
      <c r="T24" s="611">
        <f t="shared" si="12"/>
        <v>223789</v>
      </c>
      <c r="U24" s="611">
        <f t="shared" si="12"/>
        <v>228787</v>
      </c>
      <c r="V24" s="611">
        <f t="shared" si="12"/>
        <v>241067</v>
      </c>
      <c r="W24" s="611">
        <f t="shared" si="12"/>
        <v>246370</v>
      </c>
      <c r="X24" s="611">
        <f t="shared" si="12"/>
        <v>251227</v>
      </c>
      <c r="Y24" s="611">
        <f t="shared" si="12"/>
        <v>249900</v>
      </c>
      <c r="Z24" s="611">
        <f t="shared" si="12"/>
        <v>254920</v>
      </c>
      <c r="AA24" s="611">
        <f t="shared" si="12"/>
        <v>253547</v>
      </c>
      <c r="AB24" s="611">
        <f t="shared" si="12"/>
        <v>256145</v>
      </c>
      <c r="AC24" s="611">
        <f t="shared" si="12"/>
        <v>258671</v>
      </c>
    </row>
    <row r="25" spans="1:29">
      <c r="B25" s="604" t="s">
        <v>194</v>
      </c>
      <c r="C25" s="604">
        <v>73709</v>
      </c>
      <c r="D25" s="604">
        <v>75991</v>
      </c>
      <c r="E25" s="604">
        <v>78091</v>
      </c>
      <c r="F25" s="604">
        <v>79956</v>
      </c>
      <c r="G25" s="604">
        <v>85941</v>
      </c>
      <c r="H25" s="604">
        <v>87818</v>
      </c>
      <c r="I25" s="604">
        <v>89630</v>
      </c>
      <c r="J25" s="606">
        <v>90208</v>
      </c>
      <c r="K25" s="604">
        <v>91339</v>
      </c>
      <c r="L25" s="604">
        <v>90785</v>
      </c>
      <c r="M25" s="604">
        <v>92016</v>
      </c>
      <c r="N25" s="604">
        <v>93082</v>
      </c>
      <c r="P25" s="615">
        <v>203</v>
      </c>
      <c r="Q25" s="617" t="s">
        <v>193</v>
      </c>
      <c r="R25" s="611">
        <f>C24</f>
        <v>92356</v>
      </c>
      <c r="S25" s="611">
        <f t="shared" ref="S25:AC26" si="13">D24</f>
        <v>94692</v>
      </c>
      <c r="T25" s="611">
        <f t="shared" si="13"/>
        <v>96696</v>
      </c>
      <c r="U25" s="611">
        <f t="shared" si="13"/>
        <v>98757</v>
      </c>
      <c r="V25" s="611">
        <f t="shared" si="13"/>
        <v>102905</v>
      </c>
      <c r="W25" s="611">
        <f t="shared" si="13"/>
        <v>105366</v>
      </c>
      <c r="X25" s="611">
        <f t="shared" si="13"/>
        <v>107692</v>
      </c>
      <c r="Y25" s="611">
        <f t="shared" si="13"/>
        <v>105648</v>
      </c>
      <c r="Z25" s="611">
        <f t="shared" si="13"/>
        <v>109053</v>
      </c>
      <c r="AA25" s="611">
        <f t="shared" si="13"/>
        <v>108608</v>
      </c>
      <c r="AB25" s="611">
        <f t="shared" si="13"/>
        <v>109231</v>
      </c>
      <c r="AC25" s="611">
        <f t="shared" si="13"/>
        <v>110316</v>
      </c>
    </row>
    <row r="26" spans="1:29">
      <c r="B26" s="604" t="s">
        <v>199</v>
      </c>
      <c r="C26" s="604">
        <v>11111</v>
      </c>
      <c r="D26" s="604">
        <v>11302</v>
      </c>
      <c r="E26" s="604">
        <v>11456</v>
      </c>
      <c r="F26" s="604">
        <v>11618</v>
      </c>
      <c r="G26" s="604">
        <v>12003</v>
      </c>
      <c r="H26" s="604">
        <v>12184</v>
      </c>
      <c r="I26" s="604">
        <v>12378</v>
      </c>
      <c r="J26" s="606">
        <v>12523</v>
      </c>
      <c r="K26" s="604">
        <v>12523</v>
      </c>
      <c r="L26" s="604">
        <v>12510</v>
      </c>
      <c r="M26" s="604">
        <v>12556</v>
      </c>
      <c r="N26" s="604">
        <v>12640</v>
      </c>
      <c r="P26" s="615">
        <v>210</v>
      </c>
      <c r="Q26" s="617" t="s">
        <v>194</v>
      </c>
      <c r="R26" s="611">
        <f>C25</f>
        <v>73709</v>
      </c>
      <c r="S26" s="611">
        <f t="shared" si="13"/>
        <v>75991</v>
      </c>
      <c r="T26" s="611">
        <f t="shared" si="13"/>
        <v>78091</v>
      </c>
      <c r="U26" s="611">
        <f t="shared" si="13"/>
        <v>79956</v>
      </c>
      <c r="V26" s="611">
        <f t="shared" si="13"/>
        <v>85941</v>
      </c>
      <c r="W26" s="611">
        <f t="shared" si="13"/>
        <v>87818</v>
      </c>
      <c r="X26" s="611">
        <f t="shared" si="13"/>
        <v>89630</v>
      </c>
      <c r="Y26" s="611">
        <f t="shared" si="13"/>
        <v>90208</v>
      </c>
      <c r="Z26" s="611">
        <f t="shared" si="13"/>
        <v>91339</v>
      </c>
      <c r="AA26" s="611">
        <f t="shared" si="13"/>
        <v>90785</v>
      </c>
      <c r="AB26" s="611">
        <f t="shared" si="13"/>
        <v>92016</v>
      </c>
      <c r="AC26" s="611">
        <f t="shared" si="13"/>
        <v>93082</v>
      </c>
    </row>
    <row r="27" spans="1:29">
      <c r="B27" s="604" t="s">
        <v>329</v>
      </c>
      <c r="C27" s="604">
        <v>21877</v>
      </c>
      <c r="D27" s="604">
        <v>22303</v>
      </c>
      <c r="E27" s="604">
        <v>22609</v>
      </c>
      <c r="F27" s="604">
        <v>22979</v>
      </c>
      <c r="G27" s="604">
        <v>23902</v>
      </c>
      <c r="H27" s="604">
        <v>24275</v>
      </c>
      <c r="I27" s="604">
        <v>24589</v>
      </c>
      <c r="J27" s="606">
        <v>23623</v>
      </c>
      <c r="K27" s="604">
        <v>24852</v>
      </c>
      <c r="L27" s="604">
        <v>24434</v>
      </c>
      <c r="M27" s="604">
        <v>24713</v>
      </c>
      <c r="N27" s="604">
        <v>24963</v>
      </c>
      <c r="P27" s="615">
        <v>216</v>
      </c>
      <c r="Q27" s="617" t="s">
        <v>195</v>
      </c>
      <c r="R27" s="611">
        <f>C28</f>
        <v>29008</v>
      </c>
      <c r="S27" s="611">
        <f t="shared" ref="S27:AC27" si="14">D28</f>
        <v>29704</v>
      </c>
      <c r="T27" s="611">
        <f t="shared" si="14"/>
        <v>30388</v>
      </c>
      <c r="U27" s="611">
        <f t="shared" si="14"/>
        <v>31102</v>
      </c>
      <c r="V27" s="611">
        <f t="shared" si="14"/>
        <v>32169</v>
      </c>
      <c r="W27" s="611">
        <f t="shared" si="14"/>
        <v>32692</v>
      </c>
      <c r="X27" s="611">
        <f t="shared" si="14"/>
        <v>33125</v>
      </c>
      <c r="Y27" s="611">
        <f t="shared" si="14"/>
        <v>32992</v>
      </c>
      <c r="Z27" s="611">
        <f t="shared" si="14"/>
        <v>33377</v>
      </c>
      <c r="AA27" s="611">
        <f t="shared" si="14"/>
        <v>32917</v>
      </c>
      <c r="AB27" s="611">
        <f t="shared" si="14"/>
        <v>33317</v>
      </c>
      <c r="AC27" s="611">
        <f t="shared" si="14"/>
        <v>33509</v>
      </c>
    </row>
    <row r="28" spans="1:29">
      <c r="B28" s="604" t="s">
        <v>195</v>
      </c>
      <c r="C28" s="604">
        <v>29008</v>
      </c>
      <c r="D28" s="604">
        <v>29704</v>
      </c>
      <c r="E28" s="604">
        <v>30388</v>
      </c>
      <c r="F28" s="604">
        <v>31102</v>
      </c>
      <c r="G28" s="604">
        <v>32169</v>
      </c>
      <c r="H28" s="604">
        <v>32692</v>
      </c>
      <c r="I28" s="604">
        <v>33125</v>
      </c>
      <c r="J28" s="606">
        <v>32992</v>
      </c>
      <c r="K28" s="604">
        <v>33377</v>
      </c>
      <c r="L28" s="604">
        <v>32917</v>
      </c>
      <c r="M28" s="604">
        <v>33317</v>
      </c>
      <c r="N28" s="604">
        <v>33509</v>
      </c>
      <c r="P28" s="615">
        <v>381</v>
      </c>
      <c r="Q28" s="617" t="s">
        <v>196</v>
      </c>
      <c r="R28" s="611">
        <f>C39</f>
        <v>8028</v>
      </c>
      <c r="S28" s="611">
        <f t="shared" ref="S28:AC28" si="15">D39</f>
        <v>8259</v>
      </c>
      <c r="T28" s="611">
        <f t="shared" si="15"/>
        <v>8448</v>
      </c>
      <c r="U28" s="611">
        <f t="shared" si="15"/>
        <v>8599</v>
      </c>
      <c r="V28" s="611">
        <f t="shared" si="15"/>
        <v>8815</v>
      </c>
      <c r="W28" s="611">
        <f t="shared" si="15"/>
        <v>9018</v>
      </c>
      <c r="X28" s="611">
        <f t="shared" si="15"/>
        <v>9167</v>
      </c>
      <c r="Y28" s="611">
        <f t="shared" si="15"/>
        <v>9353</v>
      </c>
      <c r="Z28" s="611">
        <f t="shared" si="15"/>
        <v>9391</v>
      </c>
      <c r="AA28" s="611">
        <f t="shared" si="15"/>
        <v>9660</v>
      </c>
      <c r="AB28" s="611">
        <f t="shared" si="15"/>
        <v>9817</v>
      </c>
      <c r="AC28" s="611">
        <f t="shared" si="15"/>
        <v>9909</v>
      </c>
    </row>
    <row r="29" spans="1:29">
      <c r="B29" s="604" t="s">
        <v>200</v>
      </c>
      <c r="C29" s="604">
        <v>12457</v>
      </c>
      <c r="D29" s="604">
        <v>12811</v>
      </c>
      <c r="E29" s="604">
        <v>13170</v>
      </c>
      <c r="F29" s="604">
        <v>13513</v>
      </c>
      <c r="G29" s="604">
        <v>14132</v>
      </c>
      <c r="H29" s="604">
        <v>14432</v>
      </c>
      <c r="I29" s="604">
        <v>14831</v>
      </c>
      <c r="J29" s="606">
        <v>15186</v>
      </c>
      <c r="K29" s="604">
        <v>15186</v>
      </c>
      <c r="L29" s="604">
        <v>15063</v>
      </c>
      <c r="M29" s="604">
        <v>15264</v>
      </c>
      <c r="N29" s="604">
        <v>15535</v>
      </c>
      <c r="P29" s="615">
        <v>382</v>
      </c>
      <c r="Q29" s="617" t="s">
        <v>197</v>
      </c>
      <c r="R29" s="611">
        <f>C40</f>
        <v>9555</v>
      </c>
      <c r="S29" s="611">
        <f t="shared" ref="S29:AC29" si="16">D40</f>
        <v>9740</v>
      </c>
      <c r="T29" s="611">
        <f t="shared" si="16"/>
        <v>10166</v>
      </c>
      <c r="U29" s="611">
        <f t="shared" si="16"/>
        <v>10373</v>
      </c>
      <c r="V29" s="611">
        <f t="shared" si="16"/>
        <v>11237</v>
      </c>
      <c r="W29" s="611">
        <f t="shared" si="16"/>
        <v>11476</v>
      </c>
      <c r="X29" s="611">
        <f t="shared" si="16"/>
        <v>11613</v>
      </c>
      <c r="Y29" s="611">
        <f t="shared" si="16"/>
        <v>11699</v>
      </c>
      <c r="Z29" s="611">
        <f t="shared" si="16"/>
        <v>11760</v>
      </c>
      <c r="AA29" s="611">
        <f t="shared" si="16"/>
        <v>11577</v>
      </c>
      <c r="AB29" s="611">
        <f t="shared" si="16"/>
        <v>11764</v>
      </c>
      <c r="AC29" s="611">
        <f t="shared" si="16"/>
        <v>11855</v>
      </c>
    </row>
    <row r="30" spans="1:29">
      <c r="B30" s="604" t="s">
        <v>201</v>
      </c>
      <c r="C30" s="604">
        <v>14007</v>
      </c>
      <c r="D30" s="604">
        <v>14182</v>
      </c>
      <c r="E30" s="604">
        <v>14451</v>
      </c>
      <c r="F30" s="604">
        <v>14740</v>
      </c>
      <c r="G30" s="604">
        <v>14095</v>
      </c>
      <c r="H30" s="604">
        <v>14332</v>
      </c>
      <c r="I30" s="604">
        <v>14468</v>
      </c>
      <c r="J30" s="606">
        <v>14692</v>
      </c>
      <c r="K30" s="604">
        <v>14692</v>
      </c>
      <c r="L30" s="604">
        <v>14880</v>
      </c>
      <c r="M30" s="604">
        <v>14937</v>
      </c>
      <c r="N30" s="604">
        <v>15048</v>
      </c>
      <c r="P30" s="609"/>
      <c r="Q30" s="618" t="s">
        <v>198</v>
      </c>
      <c r="R30" s="611">
        <f>SUM(R31:R36)</f>
        <v>80304</v>
      </c>
      <c r="S30" s="611">
        <f t="shared" ref="S30:AC30" si="17">SUM(S31:S36)</f>
        <v>81771</v>
      </c>
      <c r="T30" s="611">
        <f t="shared" si="17"/>
        <v>83251</v>
      </c>
      <c r="U30" s="611">
        <f t="shared" si="17"/>
        <v>84638</v>
      </c>
      <c r="V30" s="611">
        <f t="shared" si="17"/>
        <v>86687</v>
      </c>
      <c r="W30" s="611">
        <f t="shared" si="17"/>
        <v>88373</v>
      </c>
      <c r="X30" s="611">
        <f t="shared" si="17"/>
        <v>89770</v>
      </c>
      <c r="Y30" s="611">
        <f t="shared" si="17"/>
        <v>89883</v>
      </c>
      <c r="Z30" s="611">
        <f t="shared" si="17"/>
        <v>91112</v>
      </c>
      <c r="AA30" s="611">
        <f t="shared" si="17"/>
        <v>91157</v>
      </c>
      <c r="AB30" s="611">
        <f t="shared" si="17"/>
        <v>91893</v>
      </c>
      <c r="AC30" s="611">
        <f t="shared" si="17"/>
        <v>92727</v>
      </c>
    </row>
    <row r="31" spans="1:29">
      <c r="B31" s="604" t="s">
        <v>374</v>
      </c>
      <c r="C31" s="604">
        <v>1823</v>
      </c>
      <c r="D31" s="604">
        <v>1839</v>
      </c>
      <c r="E31" s="604">
        <v>1857</v>
      </c>
      <c r="F31" s="604">
        <v>1862</v>
      </c>
      <c r="G31" s="604">
        <v>2083</v>
      </c>
      <c r="H31" s="604">
        <v>2293</v>
      </c>
      <c r="I31" s="604">
        <v>2389</v>
      </c>
      <c r="J31" s="606">
        <v>2466</v>
      </c>
      <c r="K31" s="604">
        <v>2466</v>
      </c>
      <c r="L31" s="604">
        <v>2513</v>
      </c>
      <c r="M31" s="604">
        <v>2537</v>
      </c>
      <c r="N31" s="604">
        <v>2544</v>
      </c>
      <c r="P31" s="619">
        <v>213</v>
      </c>
      <c r="Q31" s="619" t="s">
        <v>231</v>
      </c>
      <c r="R31" s="620">
        <f>C26+C38</f>
        <v>13132</v>
      </c>
      <c r="S31" s="620">
        <f t="shared" ref="S31:AC31" si="18">D26+D38</f>
        <v>13353</v>
      </c>
      <c r="T31" s="620">
        <f t="shared" si="18"/>
        <v>13581</v>
      </c>
      <c r="U31" s="620">
        <f t="shared" si="18"/>
        <v>13754</v>
      </c>
      <c r="V31" s="620">
        <f t="shared" si="18"/>
        <v>14133</v>
      </c>
      <c r="W31" s="620">
        <f t="shared" si="18"/>
        <v>14353</v>
      </c>
      <c r="X31" s="620">
        <f t="shared" si="18"/>
        <v>14545</v>
      </c>
      <c r="Y31" s="620">
        <f t="shared" si="18"/>
        <v>14721</v>
      </c>
      <c r="Z31" s="620">
        <f t="shared" si="18"/>
        <v>14721</v>
      </c>
      <c r="AA31" s="620">
        <f t="shared" si="18"/>
        <v>14743</v>
      </c>
      <c r="AB31" s="620">
        <f t="shared" si="18"/>
        <v>14809</v>
      </c>
      <c r="AC31" s="620">
        <f t="shared" si="18"/>
        <v>14923</v>
      </c>
    </row>
    <row r="32" spans="1:29">
      <c r="B32" s="604" t="s">
        <v>375</v>
      </c>
      <c r="C32" s="604">
        <v>5863</v>
      </c>
      <c r="D32" s="604">
        <v>5940</v>
      </c>
      <c r="E32" s="604">
        <v>6099</v>
      </c>
      <c r="F32" s="604">
        <v>6136</v>
      </c>
      <c r="G32" s="604">
        <v>6394</v>
      </c>
      <c r="H32" s="604">
        <v>6484</v>
      </c>
      <c r="I32" s="604">
        <v>6594</v>
      </c>
      <c r="J32" s="606">
        <v>6658</v>
      </c>
      <c r="K32" s="604">
        <v>6658</v>
      </c>
      <c r="L32" s="604">
        <v>6915</v>
      </c>
      <c r="M32" s="604">
        <v>6957</v>
      </c>
      <c r="N32" s="604">
        <v>6981</v>
      </c>
      <c r="P32" s="619">
        <v>215</v>
      </c>
      <c r="Q32" s="619" t="s">
        <v>232</v>
      </c>
      <c r="R32" s="620">
        <f>C27+C31</f>
        <v>23700</v>
      </c>
      <c r="S32" s="620">
        <f t="shared" ref="S32:AC32" si="19">D27+D31</f>
        <v>24142</v>
      </c>
      <c r="T32" s="620">
        <f t="shared" si="19"/>
        <v>24466</v>
      </c>
      <c r="U32" s="620">
        <f t="shared" si="19"/>
        <v>24841</v>
      </c>
      <c r="V32" s="620">
        <f t="shared" si="19"/>
        <v>25985</v>
      </c>
      <c r="W32" s="620">
        <f t="shared" si="19"/>
        <v>26568</v>
      </c>
      <c r="X32" s="620">
        <f t="shared" si="19"/>
        <v>26978</v>
      </c>
      <c r="Y32" s="620">
        <f t="shared" si="19"/>
        <v>26089</v>
      </c>
      <c r="Z32" s="620">
        <f t="shared" si="19"/>
        <v>27318</v>
      </c>
      <c r="AA32" s="620">
        <f t="shared" si="19"/>
        <v>26947</v>
      </c>
      <c r="AB32" s="620">
        <f t="shared" si="19"/>
        <v>27250</v>
      </c>
      <c r="AC32" s="620">
        <f t="shared" si="19"/>
        <v>27507</v>
      </c>
    </row>
    <row r="33" spans="1:29">
      <c r="B33" s="604" t="s">
        <v>376</v>
      </c>
      <c r="C33" s="604">
        <v>2833</v>
      </c>
      <c r="D33" s="604">
        <v>2923</v>
      </c>
      <c r="E33" s="604">
        <v>2955</v>
      </c>
      <c r="F33" s="604">
        <v>3070</v>
      </c>
      <c r="G33" s="604">
        <v>3429</v>
      </c>
      <c r="H33" s="604">
        <v>3567</v>
      </c>
      <c r="I33" s="604">
        <v>3649</v>
      </c>
      <c r="J33" s="606">
        <v>3728</v>
      </c>
      <c r="K33" s="604">
        <v>3728</v>
      </c>
      <c r="L33" s="604">
        <v>3826</v>
      </c>
      <c r="M33" s="604">
        <v>3792</v>
      </c>
      <c r="N33" s="604">
        <v>3801</v>
      </c>
      <c r="P33" s="615">
        <v>218</v>
      </c>
      <c r="Q33" s="617" t="s">
        <v>200</v>
      </c>
      <c r="R33" s="611">
        <f>C29</f>
        <v>12457</v>
      </c>
      <c r="S33" s="611">
        <f t="shared" ref="S33:AC33" si="20">D29</f>
        <v>12811</v>
      </c>
      <c r="T33" s="611">
        <f t="shared" si="20"/>
        <v>13170</v>
      </c>
      <c r="U33" s="611">
        <f t="shared" si="20"/>
        <v>13513</v>
      </c>
      <c r="V33" s="611">
        <f t="shared" si="20"/>
        <v>14132</v>
      </c>
      <c r="W33" s="611">
        <f t="shared" si="20"/>
        <v>14432</v>
      </c>
      <c r="X33" s="611">
        <f t="shared" si="20"/>
        <v>14831</v>
      </c>
      <c r="Y33" s="611">
        <f t="shared" si="20"/>
        <v>15186</v>
      </c>
      <c r="Z33" s="611">
        <f t="shared" si="20"/>
        <v>15186</v>
      </c>
      <c r="AA33" s="611">
        <f t="shared" si="20"/>
        <v>15063</v>
      </c>
      <c r="AB33" s="611">
        <f t="shared" si="20"/>
        <v>15264</v>
      </c>
      <c r="AC33" s="611">
        <f t="shared" si="20"/>
        <v>15535</v>
      </c>
    </row>
    <row r="34" spans="1:29">
      <c r="B34" s="604" t="s">
        <v>377</v>
      </c>
      <c r="C34" s="604">
        <v>1909</v>
      </c>
      <c r="D34" s="604">
        <v>1954</v>
      </c>
      <c r="E34" s="604">
        <v>2022</v>
      </c>
      <c r="F34" s="604">
        <v>2043</v>
      </c>
      <c r="G34" s="604">
        <v>2111</v>
      </c>
      <c r="H34" s="604">
        <v>2159</v>
      </c>
      <c r="I34" s="604">
        <v>2160</v>
      </c>
      <c r="J34" s="606">
        <v>2163</v>
      </c>
      <c r="K34" s="604">
        <v>2163</v>
      </c>
      <c r="L34" s="604">
        <v>2151</v>
      </c>
      <c r="M34" s="604">
        <v>2202</v>
      </c>
      <c r="N34" s="604">
        <v>2216</v>
      </c>
      <c r="P34" s="615">
        <v>220</v>
      </c>
      <c r="Q34" s="617" t="s">
        <v>201</v>
      </c>
      <c r="R34" s="611">
        <f>C30</f>
        <v>14007</v>
      </c>
      <c r="S34" s="611">
        <f t="shared" ref="S34:AC34" si="21">D30</f>
        <v>14182</v>
      </c>
      <c r="T34" s="611">
        <f t="shared" si="21"/>
        <v>14451</v>
      </c>
      <c r="U34" s="611">
        <f t="shared" si="21"/>
        <v>14740</v>
      </c>
      <c r="V34" s="611">
        <f t="shared" si="21"/>
        <v>14095</v>
      </c>
      <c r="W34" s="611">
        <f t="shared" si="21"/>
        <v>14332</v>
      </c>
      <c r="X34" s="611">
        <f t="shared" si="21"/>
        <v>14468</v>
      </c>
      <c r="Y34" s="611">
        <f t="shared" si="21"/>
        <v>14692</v>
      </c>
      <c r="Z34" s="611">
        <f t="shared" si="21"/>
        <v>14692</v>
      </c>
      <c r="AA34" s="611">
        <f t="shared" si="21"/>
        <v>14880</v>
      </c>
      <c r="AB34" s="611">
        <f t="shared" si="21"/>
        <v>14937</v>
      </c>
      <c r="AC34" s="611">
        <f t="shared" si="21"/>
        <v>15048</v>
      </c>
    </row>
    <row r="35" spans="1:29">
      <c r="B35" s="604" t="s">
        <v>378</v>
      </c>
      <c r="C35" s="604">
        <v>3166</v>
      </c>
      <c r="D35" s="604">
        <v>3169</v>
      </c>
      <c r="E35" s="604">
        <v>3203</v>
      </c>
      <c r="F35" s="604">
        <v>3209</v>
      </c>
      <c r="G35" s="604">
        <v>3054</v>
      </c>
      <c r="H35" s="604">
        <v>3096</v>
      </c>
      <c r="I35" s="604">
        <v>3127</v>
      </c>
      <c r="J35" s="606">
        <v>3168</v>
      </c>
      <c r="K35" s="604">
        <v>3168</v>
      </c>
      <c r="L35" s="604">
        <v>3153</v>
      </c>
      <c r="M35" s="604">
        <v>3175</v>
      </c>
      <c r="N35" s="604">
        <v>3224</v>
      </c>
      <c r="P35" s="615">
        <v>228</v>
      </c>
      <c r="Q35" s="617" t="s">
        <v>239</v>
      </c>
      <c r="R35" s="611">
        <f>C32+C33+C34</f>
        <v>10605</v>
      </c>
      <c r="S35" s="611">
        <f t="shared" ref="S35:AC35" si="22">D32+D33+D34</f>
        <v>10817</v>
      </c>
      <c r="T35" s="611">
        <f t="shared" si="22"/>
        <v>11076</v>
      </c>
      <c r="U35" s="611">
        <f t="shared" si="22"/>
        <v>11249</v>
      </c>
      <c r="V35" s="611">
        <f t="shared" si="22"/>
        <v>11934</v>
      </c>
      <c r="W35" s="611">
        <f t="shared" si="22"/>
        <v>12210</v>
      </c>
      <c r="X35" s="611">
        <f t="shared" si="22"/>
        <v>12403</v>
      </c>
      <c r="Y35" s="611">
        <f t="shared" si="22"/>
        <v>12549</v>
      </c>
      <c r="Z35" s="611">
        <f t="shared" si="22"/>
        <v>12549</v>
      </c>
      <c r="AA35" s="611">
        <f t="shared" si="22"/>
        <v>12892</v>
      </c>
      <c r="AB35" s="611">
        <f t="shared" si="22"/>
        <v>12951</v>
      </c>
      <c r="AC35" s="611">
        <f t="shared" si="22"/>
        <v>12998</v>
      </c>
    </row>
    <row r="36" spans="1:29">
      <c r="B36" s="604" t="s">
        <v>379</v>
      </c>
      <c r="C36" s="604">
        <v>1783</v>
      </c>
      <c r="D36" s="604">
        <v>1841</v>
      </c>
      <c r="E36" s="604">
        <v>1843</v>
      </c>
      <c r="F36" s="604">
        <v>1855</v>
      </c>
      <c r="G36" s="604">
        <v>1830</v>
      </c>
      <c r="H36" s="604">
        <v>1847</v>
      </c>
      <c r="I36" s="604">
        <v>1866</v>
      </c>
      <c r="J36" s="606">
        <v>1907</v>
      </c>
      <c r="K36" s="604">
        <v>1907</v>
      </c>
      <c r="L36" s="604">
        <v>1893</v>
      </c>
      <c r="M36" s="604">
        <v>1889</v>
      </c>
      <c r="N36" s="604">
        <v>1882</v>
      </c>
      <c r="P36" s="615">
        <v>365</v>
      </c>
      <c r="Q36" s="617" t="s">
        <v>233</v>
      </c>
      <c r="R36" s="611">
        <f>C35+C36+C37</f>
        <v>6403</v>
      </c>
      <c r="S36" s="611">
        <f t="shared" ref="S36:AC36" si="23">D35+D36+D37</f>
        <v>6466</v>
      </c>
      <c r="T36" s="611">
        <f t="shared" si="23"/>
        <v>6507</v>
      </c>
      <c r="U36" s="611">
        <f t="shared" si="23"/>
        <v>6541</v>
      </c>
      <c r="V36" s="611">
        <f t="shared" si="23"/>
        <v>6408</v>
      </c>
      <c r="W36" s="611">
        <f t="shared" si="23"/>
        <v>6478</v>
      </c>
      <c r="X36" s="611">
        <f t="shared" si="23"/>
        <v>6545</v>
      </c>
      <c r="Y36" s="611">
        <f t="shared" si="23"/>
        <v>6646</v>
      </c>
      <c r="Z36" s="611">
        <f t="shared" si="23"/>
        <v>6646</v>
      </c>
      <c r="AA36" s="611">
        <f t="shared" si="23"/>
        <v>6632</v>
      </c>
      <c r="AB36" s="611">
        <f t="shared" si="23"/>
        <v>6682</v>
      </c>
      <c r="AC36" s="611">
        <f t="shared" si="23"/>
        <v>6716</v>
      </c>
    </row>
    <row r="37" spans="1:29">
      <c r="B37" s="604" t="s">
        <v>380</v>
      </c>
      <c r="C37" s="604">
        <v>1454</v>
      </c>
      <c r="D37" s="604">
        <v>1456</v>
      </c>
      <c r="E37" s="604">
        <v>1461</v>
      </c>
      <c r="F37" s="604">
        <v>1477</v>
      </c>
      <c r="G37" s="604">
        <v>1524</v>
      </c>
      <c r="H37" s="604">
        <v>1535</v>
      </c>
      <c r="I37" s="604">
        <v>1552</v>
      </c>
      <c r="J37" s="606">
        <v>1571</v>
      </c>
      <c r="K37" s="604">
        <v>1571</v>
      </c>
      <c r="L37" s="604">
        <v>1586</v>
      </c>
      <c r="M37" s="604">
        <v>1618</v>
      </c>
      <c r="N37" s="604">
        <v>1610</v>
      </c>
      <c r="P37" s="609"/>
      <c r="Q37" s="618" t="s">
        <v>202</v>
      </c>
      <c r="R37" s="611">
        <f>SUM(R38:R41)</f>
        <v>175061</v>
      </c>
      <c r="S37" s="611">
        <f t="shared" ref="S37:AC37" si="24">SUM(S38:S41)</f>
        <v>178608</v>
      </c>
      <c r="T37" s="611">
        <f t="shared" si="24"/>
        <v>182058</v>
      </c>
      <c r="U37" s="611">
        <f t="shared" si="24"/>
        <v>185923</v>
      </c>
      <c r="V37" s="611">
        <f t="shared" si="24"/>
        <v>191374</v>
      </c>
      <c r="W37" s="611">
        <f t="shared" si="24"/>
        <v>194443</v>
      </c>
      <c r="X37" s="611">
        <f t="shared" si="24"/>
        <v>197204</v>
      </c>
      <c r="Y37" s="611">
        <f t="shared" si="24"/>
        <v>199636</v>
      </c>
      <c r="Z37" s="611">
        <f t="shared" si="24"/>
        <v>200163</v>
      </c>
      <c r="AA37" s="611">
        <f t="shared" si="24"/>
        <v>203471</v>
      </c>
      <c r="AB37" s="611">
        <f t="shared" si="24"/>
        <v>205890</v>
      </c>
      <c r="AC37" s="611">
        <f t="shared" si="24"/>
        <v>208594</v>
      </c>
    </row>
    <row r="38" spans="1:29">
      <c r="B38" s="604" t="s">
        <v>381</v>
      </c>
      <c r="C38" s="604">
        <v>2021</v>
      </c>
      <c r="D38" s="604">
        <v>2051</v>
      </c>
      <c r="E38" s="604">
        <v>2125</v>
      </c>
      <c r="F38" s="604">
        <v>2136</v>
      </c>
      <c r="G38" s="604">
        <v>2130</v>
      </c>
      <c r="H38" s="604">
        <v>2169</v>
      </c>
      <c r="I38" s="604">
        <v>2167</v>
      </c>
      <c r="J38" s="606">
        <v>2198</v>
      </c>
      <c r="K38" s="604">
        <v>2198</v>
      </c>
      <c r="L38" s="604">
        <v>2233</v>
      </c>
      <c r="M38" s="604">
        <v>2253</v>
      </c>
      <c r="N38" s="604">
        <v>2283</v>
      </c>
      <c r="P38" s="619">
        <v>201</v>
      </c>
      <c r="Q38" s="619" t="s">
        <v>240</v>
      </c>
      <c r="R38" s="620">
        <f>C42+C46+C47+C51+C63</f>
        <v>161924</v>
      </c>
      <c r="S38" s="620">
        <f t="shared" ref="S38:AC38" si="25">D42+D46+D47+D51+D63</f>
        <v>165251</v>
      </c>
      <c r="T38" s="620">
        <f t="shared" si="25"/>
        <v>168621</v>
      </c>
      <c r="U38" s="620">
        <f t="shared" si="25"/>
        <v>172370</v>
      </c>
      <c r="V38" s="620">
        <f t="shared" si="25"/>
        <v>178164</v>
      </c>
      <c r="W38" s="620">
        <f t="shared" si="25"/>
        <v>181028</v>
      </c>
      <c r="X38" s="620">
        <f t="shared" si="25"/>
        <v>183632</v>
      </c>
      <c r="Y38" s="620">
        <f t="shared" si="25"/>
        <v>185913</v>
      </c>
      <c r="Z38" s="620">
        <f t="shared" si="25"/>
        <v>186440</v>
      </c>
      <c r="AA38" s="620">
        <f t="shared" si="25"/>
        <v>189394</v>
      </c>
      <c r="AB38" s="620">
        <f t="shared" si="25"/>
        <v>191615</v>
      </c>
      <c r="AC38" s="620">
        <f t="shared" si="25"/>
        <v>194156</v>
      </c>
    </row>
    <row r="39" spans="1:29">
      <c r="B39" s="604" t="s">
        <v>196</v>
      </c>
      <c r="C39" s="604">
        <v>8028</v>
      </c>
      <c r="D39" s="604">
        <v>8259</v>
      </c>
      <c r="E39" s="604">
        <v>8448</v>
      </c>
      <c r="F39" s="604">
        <v>8599</v>
      </c>
      <c r="G39" s="604">
        <v>8815</v>
      </c>
      <c r="H39" s="604">
        <v>9018</v>
      </c>
      <c r="I39" s="604">
        <v>9167</v>
      </c>
      <c r="J39" s="606">
        <v>9353</v>
      </c>
      <c r="K39" s="604">
        <v>9391</v>
      </c>
      <c r="L39" s="604">
        <v>9660</v>
      </c>
      <c r="M39" s="604">
        <v>9817</v>
      </c>
      <c r="N39" s="604">
        <v>9909</v>
      </c>
      <c r="P39" s="615">
        <v>442</v>
      </c>
      <c r="Q39" s="617" t="s">
        <v>203</v>
      </c>
      <c r="R39" s="611">
        <f>C49</f>
        <v>3998</v>
      </c>
      <c r="S39" s="611">
        <f t="shared" ref="S39:AC39" si="26">D49</f>
        <v>4084</v>
      </c>
      <c r="T39" s="611">
        <f t="shared" si="26"/>
        <v>4091</v>
      </c>
      <c r="U39" s="611">
        <f t="shared" si="26"/>
        <v>4154</v>
      </c>
      <c r="V39" s="611">
        <f t="shared" si="26"/>
        <v>4106</v>
      </c>
      <c r="W39" s="611">
        <f t="shared" si="26"/>
        <v>4157</v>
      </c>
      <c r="X39" s="611">
        <f t="shared" si="26"/>
        <v>4198</v>
      </c>
      <c r="Y39" s="611">
        <f t="shared" si="26"/>
        <v>4231</v>
      </c>
      <c r="Z39" s="611">
        <f t="shared" si="26"/>
        <v>4231</v>
      </c>
      <c r="AA39" s="611">
        <f t="shared" si="26"/>
        <v>4294</v>
      </c>
      <c r="AB39" s="611">
        <f t="shared" si="26"/>
        <v>4290</v>
      </c>
      <c r="AC39" s="611">
        <f t="shared" si="26"/>
        <v>4311</v>
      </c>
    </row>
    <row r="40" spans="1:29">
      <c r="B40" s="604" t="s">
        <v>197</v>
      </c>
      <c r="C40" s="604">
        <v>9555</v>
      </c>
      <c r="D40" s="604">
        <v>9740</v>
      </c>
      <c r="E40" s="604">
        <v>10166</v>
      </c>
      <c r="F40" s="604">
        <v>10373</v>
      </c>
      <c r="G40" s="604">
        <v>11237</v>
      </c>
      <c r="H40" s="604">
        <v>11476</v>
      </c>
      <c r="I40" s="604">
        <v>11613</v>
      </c>
      <c r="J40" s="606">
        <v>11699</v>
      </c>
      <c r="K40" s="604">
        <v>11760</v>
      </c>
      <c r="L40" s="604">
        <v>11577</v>
      </c>
      <c r="M40" s="604">
        <v>11764</v>
      </c>
      <c r="N40" s="604">
        <v>11855</v>
      </c>
      <c r="P40" s="615">
        <v>443</v>
      </c>
      <c r="Q40" s="617" t="s">
        <v>204</v>
      </c>
      <c r="R40" s="611">
        <f>C50</f>
        <v>5088</v>
      </c>
      <c r="S40" s="611">
        <f t="shared" ref="S40:AC40" si="27">D50</f>
        <v>5203</v>
      </c>
      <c r="T40" s="611">
        <f t="shared" si="27"/>
        <v>5237</v>
      </c>
      <c r="U40" s="611">
        <f t="shared" si="27"/>
        <v>5244</v>
      </c>
      <c r="V40" s="611">
        <f t="shared" si="27"/>
        <v>5401</v>
      </c>
      <c r="W40" s="611">
        <f t="shared" si="27"/>
        <v>5498</v>
      </c>
      <c r="X40" s="611">
        <f t="shared" si="27"/>
        <v>5588</v>
      </c>
      <c r="Y40" s="611">
        <f t="shared" si="27"/>
        <v>5653</v>
      </c>
      <c r="Z40" s="611">
        <f t="shared" si="27"/>
        <v>5653</v>
      </c>
      <c r="AA40" s="611">
        <f t="shared" si="27"/>
        <v>5879</v>
      </c>
      <c r="AB40" s="611">
        <f t="shared" si="27"/>
        <v>6069</v>
      </c>
      <c r="AC40" s="611">
        <f t="shared" si="27"/>
        <v>6165</v>
      </c>
    </row>
    <row r="41" spans="1:29">
      <c r="A41" s="604" t="s">
        <v>321</v>
      </c>
      <c r="B41" s="604" t="s">
        <v>205</v>
      </c>
      <c r="C41" s="604">
        <f t="shared" ref="C41:N41" si="28">SUM(C42:C66)</f>
        <v>257399</v>
      </c>
      <c r="D41" s="604">
        <f t="shared" si="28"/>
        <v>261895</v>
      </c>
      <c r="E41" s="604">
        <f t="shared" si="28"/>
        <v>266393</v>
      </c>
      <c r="F41" s="604">
        <f t="shared" si="28"/>
        <v>271130</v>
      </c>
      <c r="G41" s="604">
        <f t="shared" si="28"/>
        <v>278130</v>
      </c>
      <c r="H41" s="604">
        <f t="shared" si="28"/>
        <v>282331</v>
      </c>
      <c r="I41" s="604">
        <f t="shared" si="28"/>
        <v>286173</v>
      </c>
      <c r="J41" s="606">
        <f t="shared" si="28"/>
        <v>289750</v>
      </c>
      <c r="K41" s="604">
        <f t="shared" si="28"/>
        <v>290277</v>
      </c>
      <c r="L41" s="604">
        <f t="shared" si="28"/>
        <v>293873</v>
      </c>
      <c r="M41" s="604">
        <f t="shared" si="28"/>
        <v>296976</v>
      </c>
      <c r="N41" s="604">
        <f t="shared" si="28"/>
        <v>300313</v>
      </c>
      <c r="P41" s="615">
        <v>446</v>
      </c>
      <c r="Q41" s="617" t="s">
        <v>234</v>
      </c>
      <c r="R41" s="611">
        <f>C48+C52</f>
        <v>4051</v>
      </c>
      <c r="S41" s="611">
        <f t="shared" ref="S41:AC41" si="29">D48+D52</f>
        <v>4070</v>
      </c>
      <c r="T41" s="611">
        <f t="shared" si="29"/>
        <v>4109</v>
      </c>
      <c r="U41" s="611">
        <f t="shared" si="29"/>
        <v>4155</v>
      </c>
      <c r="V41" s="611">
        <f t="shared" si="29"/>
        <v>3703</v>
      </c>
      <c r="W41" s="611">
        <f t="shared" si="29"/>
        <v>3760</v>
      </c>
      <c r="X41" s="611">
        <f t="shared" si="29"/>
        <v>3786</v>
      </c>
      <c r="Y41" s="611">
        <f t="shared" si="29"/>
        <v>3839</v>
      </c>
      <c r="Z41" s="611">
        <f t="shared" si="29"/>
        <v>3839</v>
      </c>
      <c r="AA41" s="611">
        <f t="shared" si="29"/>
        <v>3904</v>
      </c>
      <c r="AB41" s="611">
        <f t="shared" si="29"/>
        <v>3916</v>
      </c>
      <c r="AC41" s="611">
        <f t="shared" si="29"/>
        <v>3962</v>
      </c>
    </row>
    <row r="42" spans="1:29">
      <c r="B42" s="604" t="s">
        <v>382</v>
      </c>
      <c r="C42" s="604">
        <v>147106</v>
      </c>
      <c r="D42" s="604">
        <v>150160</v>
      </c>
      <c r="E42" s="604">
        <v>153142</v>
      </c>
      <c r="F42" s="604">
        <v>156583</v>
      </c>
      <c r="G42" s="604">
        <v>161865</v>
      </c>
      <c r="H42" s="604">
        <v>164623</v>
      </c>
      <c r="I42" s="604">
        <v>167023</v>
      </c>
      <c r="J42" s="606">
        <v>169176</v>
      </c>
      <c r="K42" s="604">
        <v>169703</v>
      </c>
      <c r="L42" s="604">
        <v>172299</v>
      </c>
      <c r="M42" s="604">
        <v>174449</v>
      </c>
      <c r="N42" s="604">
        <v>176790</v>
      </c>
      <c r="P42" s="609"/>
      <c r="Q42" s="618" t="s">
        <v>205</v>
      </c>
      <c r="R42" s="611">
        <f>SUM(R43:R49)</f>
        <v>82338</v>
      </c>
      <c r="S42" s="611">
        <f t="shared" ref="S42:AC42" si="30">SUM(S43:S49)</f>
        <v>83287</v>
      </c>
      <c r="T42" s="611">
        <f t="shared" si="30"/>
        <v>84335</v>
      </c>
      <c r="U42" s="611">
        <f t="shared" si="30"/>
        <v>85207</v>
      </c>
      <c r="V42" s="611">
        <f t="shared" si="30"/>
        <v>86756</v>
      </c>
      <c r="W42" s="611">
        <f t="shared" si="30"/>
        <v>87888</v>
      </c>
      <c r="X42" s="611">
        <f t="shared" si="30"/>
        <v>88969</v>
      </c>
      <c r="Y42" s="611">
        <f t="shared" si="30"/>
        <v>90114</v>
      </c>
      <c r="Z42" s="611">
        <f t="shared" si="30"/>
        <v>90114</v>
      </c>
      <c r="AA42" s="611">
        <f t="shared" si="30"/>
        <v>90402</v>
      </c>
      <c r="AB42" s="611">
        <f t="shared" si="30"/>
        <v>91086</v>
      </c>
      <c r="AC42" s="611">
        <f t="shared" si="30"/>
        <v>91719</v>
      </c>
    </row>
    <row r="43" spans="1:29">
      <c r="B43" s="604" t="s">
        <v>206</v>
      </c>
      <c r="C43" s="604">
        <v>11538</v>
      </c>
      <c r="D43" s="604">
        <v>11647</v>
      </c>
      <c r="E43" s="604">
        <v>11704</v>
      </c>
      <c r="F43" s="604">
        <v>11765</v>
      </c>
      <c r="G43" s="604">
        <v>12003</v>
      </c>
      <c r="H43" s="604">
        <v>12080</v>
      </c>
      <c r="I43" s="604">
        <v>12067</v>
      </c>
      <c r="J43" s="606">
        <v>12108</v>
      </c>
      <c r="K43" s="604">
        <v>12108</v>
      </c>
      <c r="L43" s="604">
        <v>12047</v>
      </c>
      <c r="M43" s="604">
        <v>12002</v>
      </c>
      <c r="N43" s="604">
        <v>11987</v>
      </c>
      <c r="P43" s="615">
        <v>208</v>
      </c>
      <c r="Q43" s="617" t="s">
        <v>206</v>
      </c>
      <c r="R43" s="611">
        <f>C43</f>
        <v>11538</v>
      </c>
      <c r="S43" s="611">
        <f t="shared" ref="S43:AC43" si="31">D43</f>
        <v>11647</v>
      </c>
      <c r="T43" s="611">
        <f t="shared" si="31"/>
        <v>11704</v>
      </c>
      <c r="U43" s="611">
        <f t="shared" si="31"/>
        <v>11765</v>
      </c>
      <c r="V43" s="611">
        <f t="shared" si="31"/>
        <v>12003</v>
      </c>
      <c r="W43" s="611">
        <f t="shared" si="31"/>
        <v>12080</v>
      </c>
      <c r="X43" s="611">
        <f t="shared" si="31"/>
        <v>12067</v>
      </c>
      <c r="Y43" s="611">
        <f t="shared" si="31"/>
        <v>12108</v>
      </c>
      <c r="Z43" s="611">
        <f t="shared" si="31"/>
        <v>12108</v>
      </c>
      <c r="AA43" s="611">
        <f t="shared" si="31"/>
        <v>12047</v>
      </c>
      <c r="AB43" s="611">
        <f t="shared" si="31"/>
        <v>12002</v>
      </c>
      <c r="AC43" s="611">
        <f t="shared" si="31"/>
        <v>11987</v>
      </c>
    </row>
    <row r="44" spans="1:29">
      <c r="B44" s="604" t="s">
        <v>383</v>
      </c>
      <c r="C44" s="604">
        <v>11276</v>
      </c>
      <c r="D44" s="604">
        <v>11446</v>
      </c>
      <c r="E44" s="604">
        <v>11549</v>
      </c>
      <c r="F44" s="604">
        <v>11682</v>
      </c>
      <c r="G44" s="604">
        <v>12009</v>
      </c>
      <c r="H44" s="604">
        <v>12123</v>
      </c>
      <c r="I44" s="604">
        <v>12295</v>
      </c>
      <c r="J44" s="606">
        <v>12432</v>
      </c>
      <c r="K44" s="604">
        <v>12432</v>
      </c>
      <c r="L44" s="604">
        <v>12621</v>
      </c>
      <c r="M44" s="604">
        <v>12768</v>
      </c>
      <c r="N44" s="604">
        <v>12880</v>
      </c>
      <c r="P44" s="615">
        <v>212</v>
      </c>
      <c r="Q44" s="617" t="s">
        <v>207</v>
      </c>
      <c r="R44" s="611">
        <f>C45</f>
        <v>15077</v>
      </c>
      <c r="S44" s="611">
        <f t="shared" ref="S44:AC44" si="32">D45</f>
        <v>15303</v>
      </c>
      <c r="T44" s="611">
        <f t="shared" si="32"/>
        <v>15518</v>
      </c>
      <c r="U44" s="611">
        <f t="shared" si="32"/>
        <v>15635</v>
      </c>
      <c r="V44" s="611">
        <f t="shared" si="32"/>
        <v>16174</v>
      </c>
      <c r="W44" s="611">
        <f t="shared" si="32"/>
        <v>16587</v>
      </c>
      <c r="X44" s="611">
        <f t="shared" si="32"/>
        <v>16997</v>
      </c>
      <c r="Y44" s="611">
        <f t="shared" si="32"/>
        <v>17340</v>
      </c>
      <c r="Z44" s="611">
        <f t="shared" si="32"/>
        <v>17340</v>
      </c>
      <c r="AA44" s="611">
        <f t="shared" si="32"/>
        <v>17712</v>
      </c>
      <c r="AB44" s="611">
        <f t="shared" si="32"/>
        <v>17880</v>
      </c>
      <c r="AC44" s="611">
        <f t="shared" si="32"/>
        <v>18019</v>
      </c>
    </row>
    <row r="45" spans="1:29">
      <c r="B45" s="604" t="s">
        <v>207</v>
      </c>
      <c r="C45" s="604">
        <v>15077</v>
      </c>
      <c r="D45" s="604">
        <v>15303</v>
      </c>
      <c r="E45" s="604">
        <v>15518</v>
      </c>
      <c r="F45" s="604">
        <v>15635</v>
      </c>
      <c r="G45" s="604">
        <v>16174</v>
      </c>
      <c r="H45" s="604">
        <v>16587</v>
      </c>
      <c r="I45" s="604">
        <v>16997</v>
      </c>
      <c r="J45" s="606">
        <v>17340</v>
      </c>
      <c r="K45" s="604">
        <v>17340</v>
      </c>
      <c r="L45" s="604">
        <v>17712</v>
      </c>
      <c r="M45" s="604">
        <v>17880</v>
      </c>
      <c r="N45" s="604">
        <v>18019</v>
      </c>
      <c r="P45" s="615">
        <v>227</v>
      </c>
      <c r="Q45" s="617" t="s">
        <v>219</v>
      </c>
      <c r="R45" s="621">
        <f>C62+C64+C65+C66</f>
        <v>12489</v>
      </c>
      <c r="S45" s="621">
        <f t="shared" ref="S45:AC45" si="33">D62+D64+D65+D66</f>
        <v>12564</v>
      </c>
      <c r="T45" s="621">
        <f t="shared" si="33"/>
        <v>12659</v>
      </c>
      <c r="U45" s="621">
        <f t="shared" si="33"/>
        <v>12801</v>
      </c>
      <c r="V45" s="621">
        <f t="shared" si="33"/>
        <v>12833</v>
      </c>
      <c r="W45" s="621">
        <f t="shared" si="33"/>
        <v>12857</v>
      </c>
      <c r="X45" s="621">
        <f t="shared" si="33"/>
        <v>12905</v>
      </c>
      <c r="Y45" s="621">
        <f t="shared" si="33"/>
        <v>13006</v>
      </c>
      <c r="Z45" s="621">
        <f t="shared" si="33"/>
        <v>13006</v>
      </c>
      <c r="AA45" s="621">
        <f t="shared" si="33"/>
        <v>13027</v>
      </c>
      <c r="AB45" s="621">
        <f t="shared" si="33"/>
        <v>13026</v>
      </c>
      <c r="AC45" s="621">
        <f t="shared" si="33"/>
        <v>13119</v>
      </c>
    </row>
    <row r="46" spans="1:29">
      <c r="B46" s="604" t="s">
        <v>384</v>
      </c>
      <c r="C46" s="604">
        <v>2581</v>
      </c>
      <c r="D46" s="604">
        <v>2602</v>
      </c>
      <c r="E46" s="604">
        <v>2634</v>
      </c>
      <c r="F46" s="604">
        <v>2658</v>
      </c>
      <c r="G46" s="604">
        <v>2692</v>
      </c>
      <c r="H46" s="604">
        <v>2682</v>
      </c>
      <c r="I46" s="604">
        <v>2676</v>
      </c>
      <c r="J46" s="606">
        <v>2685</v>
      </c>
      <c r="K46" s="604">
        <f>J46</f>
        <v>2685</v>
      </c>
      <c r="L46" s="604">
        <v>2698</v>
      </c>
      <c r="M46" s="604">
        <v>2707</v>
      </c>
      <c r="N46" s="604">
        <v>2726</v>
      </c>
      <c r="P46" s="615">
        <v>229</v>
      </c>
      <c r="Q46" s="617" t="s">
        <v>235</v>
      </c>
      <c r="R46" s="621">
        <f>C44+C53+C54+C55</f>
        <v>22395</v>
      </c>
      <c r="S46" s="621">
        <f t="shared" ref="S46:AC46" si="34">D44+D53+D54+D55</f>
        <v>22709</v>
      </c>
      <c r="T46" s="621">
        <f t="shared" si="34"/>
        <v>23031</v>
      </c>
      <c r="U46" s="621">
        <f t="shared" si="34"/>
        <v>23322</v>
      </c>
      <c r="V46" s="621">
        <f t="shared" si="34"/>
        <v>23639</v>
      </c>
      <c r="W46" s="621">
        <f t="shared" si="34"/>
        <v>23922</v>
      </c>
      <c r="X46" s="621">
        <f t="shared" si="34"/>
        <v>24292</v>
      </c>
      <c r="Y46" s="621">
        <f t="shared" si="34"/>
        <v>24669</v>
      </c>
      <c r="Z46" s="621">
        <f t="shared" si="34"/>
        <v>24669</v>
      </c>
      <c r="AA46" s="621">
        <f t="shared" si="34"/>
        <v>24775</v>
      </c>
      <c r="AB46" s="621">
        <f t="shared" si="34"/>
        <v>25008</v>
      </c>
      <c r="AC46" s="621">
        <f t="shared" si="34"/>
        <v>25225</v>
      </c>
    </row>
    <row r="47" spans="1:29">
      <c r="B47" s="604" t="s">
        <v>385</v>
      </c>
      <c r="C47" s="604">
        <v>5336</v>
      </c>
      <c r="D47" s="604">
        <v>5435</v>
      </c>
      <c r="E47" s="604">
        <v>5661</v>
      </c>
      <c r="F47" s="604">
        <v>5735</v>
      </c>
      <c r="G47" s="604">
        <v>6007</v>
      </c>
      <c r="H47" s="604">
        <v>5949</v>
      </c>
      <c r="I47" s="604">
        <v>5989</v>
      </c>
      <c r="J47" s="606">
        <v>5994</v>
      </c>
      <c r="K47" s="604">
        <f t="shared" ref="K47:K66" si="35">J47</f>
        <v>5994</v>
      </c>
      <c r="L47" s="604">
        <v>6357</v>
      </c>
      <c r="M47" s="604">
        <v>6373</v>
      </c>
      <c r="N47" s="604">
        <v>6492</v>
      </c>
      <c r="P47" s="615">
        <v>464</v>
      </c>
      <c r="Q47" s="617" t="s">
        <v>208</v>
      </c>
      <c r="R47" s="611">
        <f>C56</f>
        <v>9007</v>
      </c>
      <c r="S47" s="611">
        <f t="shared" ref="S47:AC47" si="36">D56</f>
        <v>9128</v>
      </c>
      <c r="T47" s="611">
        <f t="shared" si="36"/>
        <v>9350</v>
      </c>
      <c r="U47" s="611">
        <f t="shared" si="36"/>
        <v>9509</v>
      </c>
      <c r="V47" s="611">
        <f t="shared" si="36"/>
        <v>9847</v>
      </c>
      <c r="W47" s="611">
        <f t="shared" si="36"/>
        <v>10078</v>
      </c>
      <c r="X47" s="611">
        <f t="shared" si="36"/>
        <v>10274</v>
      </c>
      <c r="Y47" s="611">
        <f t="shared" si="36"/>
        <v>10466</v>
      </c>
      <c r="Z47" s="611">
        <f t="shared" si="36"/>
        <v>10466</v>
      </c>
      <c r="AA47" s="611">
        <f t="shared" si="36"/>
        <v>10407</v>
      </c>
      <c r="AB47" s="611">
        <f t="shared" si="36"/>
        <v>10652</v>
      </c>
      <c r="AC47" s="611">
        <f t="shared" si="36"/>
        <v>10817</v>
      </c>
    </row>
    <row r="48" spans="1:29">
      <c r="B48" s="604" t="s">
        <v>386</v>
      </c>
      <c r="C48" s="604">
        <v>2052</v>
      </c>
      <c r="D48" s="604">
        <v>2074</v>
      </c>
      <c r="E48" s="604">
        <v>2108</v>
      </c>
      <c r="F48" s="604">
        <v>2149</v>
      </c>
      <c r="G48" s="604">
        <v>2151</v>
      </c>
      <c r="H48" s="604">
        <v>2164</v>
      </c>
      <c r="I48" s="604">
        <v>2197</v>
      </c>
      <c r="J48" s="606">
        <v>2220</v>
      </c>
      <c r="K48" s="604">
        <f t="shared" si="35"/>
        <v>2220</v>
      </c>
      <c r="L48" s="604">
        <v>2289</v>
      </c>
      <c r="M48" s="604">
        <v>2301</v>
      </c>
      <c r="N48" s="604">
        <v>2308</v>
      </c>
      <c r="P48" s="615">
        <v>481</v>
      </c>
      <c r="Q48" s="617" t="s">
        <v>209</v>
      </c>
      <c r="R48" s="611">
        <f>C57</f>
        <v>5295</v>
      </c>
      <c r="S48" s="611">
        <f t="shared" ref="S48:AC48" si="37">D57</f>
        <v>5372</v>
      </c>
      <c r="T48" s="611">
        <f t="shared" si="37"/>
        <v>5473</v>
      </c>
      <c r="U48" s="611">
        <f t="shared" si="37"/>
        <v>5570</v>
      </c>
      <c r="V48" s="611">
        <f t="shared" si="37"/>
        <v>5654</v>
      </c>
      <c r="W48" s="611">
        <f t="shared" si="37"/>
        <v>5756</v>
      </c>
      <c r="X48" s="611">
        <f t="shared" si="37"/>
        <v>5817</v>
      </c>
      <c r="Y48" s="611">
        <f t="shared" si="37"/>
        <v>5853</v>
      </c>
      <c r="Z48" s="611">
        <f t="shared" si="37"/>
        <v>5853</v>
      </c>
      <c r="AA48" s="611">
        <f t="shared" si="37"/>
        <v>5824</v>
      </c>
      <c r="AB48" s="611">
        <f t="shared" si="37"/>
        <v>5888</v>
      </c>
      <c r="AC48" s="611">
        <f t="shared" si="37"/>
        <v>5906</v>
      </c>
    </row>
    <row r="49" spans="2:29">
      <c r="B49" s="604" t="s">
        <v>203</v>
      </c>
      <c r="C49" s="604">
        <v>3998</v>
      </c>
      <c r="D49" s="604">
        <v>4084</v>
      </c>
      <c r="E49" s="604">
        <v>4091</v>
      </c>
      <c r="F49" s="604">
        <v>4154</v>
      </c>
      <c r="G49" s="604">
        <v>4106</v>
      </c>
      <c r="H49" s="604">
        <v>4157</v>
      </c>
      <c r="I49" s="604">
        <v>4198</v>
      </c>
      <c r="J49" s="606">
        <v>4231</v>
      </c>
      <c r="K49" s="604">
        <f t="shared" si="35"/>
        <v>4231</v>
      </c>
      <c r="L49" s="604">
        <v>4294</v>
      </c>
      <c r="M49" s="604">
        <v>4290</v>
      </c>
      <c r="N49" s="604">
        <v>4311</v>
      </c>
      <c r="P49" s="615">
        <v>501</v>
      </c>
      <c r="Q49" s="617" t="s">
        <v>236</v>
      </c>
      <c r="R49" s="611">
        <f>C58+C59+C60+C61</f>
        <v>6537</v>
      </c>
      <c r="S49" s="611">
        <f t="shared" ref="S49:AC49" si="38">D58+D59+D60+D61</f>
        <v>6564</v>
      </c>
      <c r="T49" s="611">
        <f t="shared" si="38"/>
        <v>6600</v>
      </c>
      <c r="U49" s="611">
        <f t="shared" si="38"/>
        <v>6605</v>
      </c>
      <c r="V49" s="611">
        <f t="shared" si="38"/>
        <v>6606</v>
      </c>
      <c r="W49" s="611">
        <f t="shared" si="38"/>
        <v>6608</v>
      </c>
      <c r="X49" s="611">
        <f t="shared" si="38"/>
        <v>6617</v>
      </c>
      <c r="Y49" s="611">
        <f t="shared" si="38"/>
        <v>6672</v>
      </c>
      <c r="Z49" s="611">
        <f t="shared" si="38"/>
        <v>6672</v>
      </c>
      <c r="AA49" s="611">
        <f t="shared" si="38"/>
        <v>6610</v>
      </c>
      <c r="AB49" s="611">
        <f t="shared" si="38"/>
        <v>6630</v>
      </c>
      <c r="AC49" s="611">
        <f t="shared" si="38"/>
        <v>6646</v>
      </c>
    </row>
    <row r="50" spans="2:29">
      <c r="B50" s="604" t="s">
        <v>204</v>
      </c>
      <c r="C50" s="604">
        <v>5088</v>
      </c>
      <c r="D50" s="604">
        <v>5203</v>
      </c>
      <c r="E50" s="604">
        <v>5237</v>
      </c>
      <c r="F50" s="604">
        <v>5244</v>
      </c>
      <c r="G50" s="604">
        <v>5401</v>
      </c>
      <c r="H50" s="604">
        <v>5498</v>
      </c>
      <c r="I50" s="604">
        <v>5588</v>
      </c>
      <c r="J50" s="606">
        <v>5653</v>
      </c>
      <c r="K50" s="604">
        <f t="shared" si="35"/>
        <v>5653</v>
      </c>
      <c r="L50" s="604">
        <v>5879</v>
      </c>
      <c r="M50" s="604">
        <v>6069</v>
      </c>
      <c r="N50" s="604">
        <v>6165</v>
      </c>
      <c r="P50" s="615"/>
      <c r="Q50" s="622" t="s">
        <v>210</v>
      </c>
      <c r="R50" s="611">
        <f>SUM(R51:R55)</f>
        <v>58902</v>
      </c>
      <c r="S50" s="611">
        <f t="shared" ref="S50:AC50" si="39">SUM(S51:S55)</f>
        <v>59243</v>
      </c>
      <c r="T50" s="611">
        <f t="shared" si="39"/>
        <v>59868</v>
      </c>
      <c r="U50" s="611">
        <f t="shared" si="39"/>
        <v>60497</v>
      </c>
      <c r="V50" s="611">
        <f t="shared" si="39"/>
        <v>61911</v>
      </c>
      <c r="W50" s="611">
        <f t="shared" si="39"/>
        <v>62485</v>
      </c>
      <c r="X50" s="611">
        <f t="shared" si="39"/>
        <v>62960</v>
      </c>
      <c r="Y50" s="611">
        <f t="shared" si="39"/>
        <v>63280</v>
      </c>
      <c r="Z50" s="611">
        <f t="shared" si="39"/>
        <v>63280</v>
      </c>
      <c r="AA50" s="611">
        <f t="shared" si="39"/>
        <v>63001</v>
      </c>
      <c r="AB50" s="611">
        <f t="shared" si="39"/>
        <v>63339</v>
      </c>
      <c r="AC50" s="611">
        <f t="shared" si="39"/>
        <v>63298</v>
      </c>
    </row>
    <row r="51" spans="2:29">
      <c r="B51" s="604" t="s">
        <v>387</v>
      </c>
      <c r="C51" s="604">
        <v>5488</v>
      </c>
      <c r="D51" s="604">
        <v>5612</v>
      </c>
      <c r="E51" s="604">
        <v>5707</v>
      </c>
      <c r="F51" s="604">
        <v>5849</v>
      </c>
      <c r="G51" s="604">
        <v>5961</v>
      </c>
      <c r="H51" s="604">
        <v>6089</v>
      </c>
      <c r="I51" s="604">
        <v>6205</v>
      </c>
      <c r="J51" s="606">
        <v>6293</v>
      </c>
      <c r="K51" s="604">
        <f t="shared" si="35"/>
        <v>6293</v>
      </c>
      <c r="L51" s="604">
        <v>6248</v>
      </c>
      <c r="M51" s="604">
        <v>6290</v>
      </c>
      <c r="N51" s="604">
        <v>6324</v>
      </c>
      <c r="P51" s="615">
        <v>209</v>
      </c>
      <c r="Q51" s="617" t="s">
        <v>221</v>
      </c>
      <c r="R51" s="621">
        <f>C68+C69+C70+C72+C73+C74</f>
        <v>26767</v>
      </c>
      <c r="S51" s="621">
        <f t="shared" ref="S51:AC51" si="40">D68+D69+D70+D72+D73+D74</f>
        <v>26932</v>
      </c>
      <c r="T51" s="621">
        <f t="shared" si="40"/>
        <v>27283</v>
      </c>
      <c r="U51" s="621">
        <f t="shared" si="40"/>
        <v>27692</v>
      </c>
      <c r="V51" s="621">
        <f t="shared" si="40"/>
        <v>28542</v>
      </c>
      <c r="W51" s="621">
        <f t="shared" si="40"/>
        <v>28847</v>
      </c>
      <c r="X51" s="621">
        <f t="shared" si="40"/>
        <v>29146</v>
      </c>
      <c r="Y51" s="621">
        <f t="shared" si="40"/>
        <v>29397</v>
      </c>
      <c r="Z51" s="621">
        <f t="shared" si="40"/>
        <v>29397</v>
      </c>
      <c r="AA51" s="621">
        <f t="shared" si="40"/>
        <v>29449</v>
      </c>
      <c r="AB51" s="621">
        <f t="shared" si="40"/>
        <v>29624</v>
      </c>
      <c r="AC51" s="621">
        <f t="shared" si="40"/>
        <v>29702</v>
      </c>
    </row>
    <row r="52" spans="2:29">
      <c r="B52" s="604" t="s">
        <v>388</v>
      </c>
      <c r="C52" s="604">
        <v>1999</v>
      </c>
      <c r="D52" s="604">
        <v>1996</v>
      </c>
      <c r="E52" s="604">
        <v>2001</v>
      </c>
      <c r="F52" s="604">
        <v>2006</v>
      </c>
      <c r="G52" s="604">
        <v>1552</v>
      </c>
      <c r="H52" s="604">
        <v>1596</v>
      </c>
      <c r="I52" s="604">
        <v>1589</v>
      </c>
      <c r="J52" s="606">
        <v>1619</v>
      </c>
      <c r="K52" s="604">
        <f t="shared" si="35"/>
        <v>1619</v>
      </c>
      <c r="L52" s="604">
        <v>1615</v>
      </c>
      <c r="M52" s="604">
        <v>1615</v>
      </c>
      <c r="N52" s="604">
        <v>1654</v>
      </c>
      <c r="P52" s="615">
        <v>222</v>
      </c>
      <c r="Q52" s="617" t="s">
        <v>218</v>
      </c>
      <c r="R52" s="611">
        <f>C79+C80+C81+C82</f>
        <v>9027</v>
      </c>
      <c r="S52" s="611">
        <f t="shared" ref="S52:AC52" si="41">D79+D80+D81+D82</f>
        <v>9040</v>
      </c>
      <c r="T52" s="611">
        <f t="shared" si="41"/>
        <v>9156</v>
      </c>
      <c r="U52" s="611">
        <f t="shared" si="41"/>
        <v>9248</v>
      </c>
      <c r="V52" s="611">
        <f t="shared" si="41"/>
        <v>9375</v>
      </c>
      <c r="W52" s="611">
        <f t="shared" si="41"/>
        <v>9460</v>
      </c>
      <c r="X52" s="611">
        <f t="shared" si="41"/>
        <v>9476</v>
      </c>
      <c r="Y52" s="611">
        <f t="shared" si="41"/>
        <v>9504</v>
      </c>
      <c r="Z52" s="611">
        <f t="shared" si="41"/>
        <v>9504</v>
      </c>
      <c r="AA52" s="611">
        <f t="shared" si="41"/>
        <v>9311</v>
      </c>
      <c r="AB52" s="611">
        <f t="shared" si="41"/>
        <v>9350</v>
      </c>
      <c r="AC52" s="611">
        <f t="shared" si="41"/>
        <v>9320</v>
      </c>
    </row>
    <row r="53" spans="2:29">
      <c r="B53" s="604" t="s">
        <v>389</v>
      </c>
      <c r="C53" s="604">
        <v>4505</v>
      </c>
      <c r="D53" s="604">
        <v>4570</v>
      </c>
      <c r="E53" s="604">
        <v>4586</v>
      </c>
      <c r="F53" s="604">
        <v>4652</v>
      </c>
      <c r="G53" s="604">
        <v>4537</v>
      </c>
      <c r="H53" s="604">
        <v>4612</v>
      </c>
      <c r="I53" s="604">
        <v>4653</v>
      </c>
      <c r="J53" s="606">
        <v>4735</v>
      </c>
      <c r="K53" s="604">
        <f t="shared" si="35"/>
        <v>4735</v>
      </c>
      <c r="L53" s="604">
        <v>4667</v>
      </c>
      <c r="M53" s="604">
        <v>4685</v>
      </c>
      <c r="N53" s="604">
        <v>4713</v>
      </c>
      <c r="P53" s="615">
        <v>225</v>
      </c>
      <c r="Q53" s="617" t="s">
        <v>222</v>
      </c>
      <c r="R53" s="621">
        <f>C83+C84+C85+C86</f>
        <v>10769</v>
      </c>
      <c r="S53" s="621">
        <f t="shared" ref="S53:AC53" si="42">D83+D84+D85+D86</f>
        <v>10919</v>
      </c>
      <c r="T53" s="621">
        <f t="shared" si="42"/>
        <v>11024</v>
      </c>
      <c r="U53" s="621">
        <f t="shared" si="42"/>
        <v>11114</v>
      </c>
      <c r="V53" s="621">
        <f t="shared" si="42"/>
        <v>11498</v>
      </c>
      <c r="W53" s="621">
        <f t="shared" si="42"/>
        <v>11657</v>
      </c>
      <c r="X53" s="621">
        <f t="shared" si="42"/>
        <v>11783</v>
      </c>
      <c r="Y53" s="621">
        <f t="shared" si="42"/>
        <v>11842</v>
      </c>
      <c r="Z53" s="621">
        <f t="shared" si="42"/>
        <v>11842</v>
      </c>
      <c r="AA53" s="621">
        <f t="shared" si="42"/>
        <v>11786</v>
      </c>
      <c r="AB53" s="621">
        <f t="shared" si="42"/>
        <v>11885</v>
      </c>
      <c r="AC53" s="621">
        <f t="shared" si="42"/>
        <v>11871</v>
      </c>
    </row>
    <row r="54" spans="2:29">
      <c r="B54" s="604" t="s">
        <v>390</v>
      </c>
      <c r="C54" s="604">
        <v>3278</v>
      </c>
      <c r="D54" s="604">
        <v>3323</v>
      </c>
      <c r="E54" s="604">
        <v>3470</v>
      </c>
      <c r="F54" s="604">
        <v>3535</v>
      </c>
      <c r="G54" s="604">
        <v>3553</v>
      </c>
      <c r="H54" s="604">
        <v>3627</v>
      </c>
      <c r="I54" s="604">
        <v>3705</v>
      </c>
      <c r="J54" s="606">
        <v>3831</v>
      </c>
      <c r="K54" s="604">
        <f t="shared" si="35"/>
        <v>3831</v>
      </c>
      <c r="L54" s="604">
        <v>3872</v>
      </c>
      <c r="M54" s="604">
        <v>3900</v>
      </c>
      <c r="N54" s="604">
        <v>3937</v>
      </c>
      <c r="P54" s="615">
        <v>585</v>
      </c>
      <c r="Q54" s="617" t="s">
        <v>220</v>
      </c>
      <c r="R54" s="621">
        <f>C71+C75+C77</f>
        <v>6825</v>
      </c>
      <c r="S54" s="621">
        <f t="shared" ref="S54:AC54" si="43">D71+D75+D77</f>
        <v>6821</v>
      </c>
      <c r="T54" s="621">
        <f t="shared" si="43"/>
        <v>6839</v>
      </c>
      <c r="U54" s="621">
        <f t="shared" si="43"/>
        <v>6847</v>
      </c>
      <c r="V54" s="621">
        <f t="shared" si="43"/>
        <v>6874</v>
      </c>
      <c r="W54" s="621">
        <f t="shared" si="43"/>
        <v>6886</v>
      </c>
      <c r="X54" s="621">
        <f t="shared" si="43"/>
        <v>6904</v>
      </c>
      <c r="Y54" s="621">
        <f t="shared" si="43"/>
        <v>6892</v>
      </c>
      <c r="Z54" s="621">
        <f t="shared" si="43"/>
        <v>6892</v>
      </c>
      <c r="AA54" s="621">
        <f t="shared" si="43"/>
        <v>6884</v>
      </c>
      <c r="AB54" s="621">
        <f t="shared" si="43"/>
        <v>6880</v>
      </c>
      <c r="AC54" s="621">
        <f t="shared" si="43"/>
        <v>6841</v>
      </c>
    </row>
    <row r="55" spans="2:29">
      <c r="B55" s="604" t="s">
        <v>391</v>
      </c>
      <c r="C55" s="604">
        <v>3336</v>
      </c>
      <c r="D55" s="604">
        <v>3370</v>
      </c>
      <c r="E55" s="604">
        <v>3426</v>
      </c>
      <c r="F55" s="604">
        <v>3453</v>
      </c>
      <c r="G55" s="604">
        <v>3540</v>
      </c>
      <c r="H55" s="604">
        <v>3560</v>
      </c>
      <c r="I55" s="604">
        <v>3639</v>
      </c>
      <c r="J55" s="606">
        <v>3671</v>
      </c>
      <c r="K55" s="604">
        <f t="shared" si="35"/>
        <v>3671</v>
      </c>
      <c r="L55" s="604">
        <v>3615</v>
      </c>
      <c r="M55" s="604">
        <v>3655</v>
      </c>
      <c r="N55" s="604">
        <v>3695</v>
      </c>
      <c r="P55" s="615">
        <v>586</v>
      </c>
      <c r="Q55" s="617" t="s">
        <v>237</v>
      </c>
      <c r="R55" s="621">
        <f>C76+C78</f>
        <v>5514</v>
      </c>
      <c r="S55" s="621">
        <f t="shared" ref="S55:AC55" si="44">D76+D78</f>
        <v>5531</v>
      </c>
      <c r="T55" s="621">
        <f t="shared" si="44"/>
        <v>5566</v>
      </c>
      <c r="U55" s="621">
        <f t="shared" si="44"/>
        <v>5596</v>
      </c>
      <c r="V55" s="621">
        <f t="shared" si="44"/>
        <v>5622</v>
      </c>
      <c r="W55" s="621">
        <f t="shared" si="44"/>
        <v>5635</v>
      </c>
      <c r="X55" s="621">
        <f t="shared" si="44"/>
        <v>5651</v>
      </c>
      <c r="Y55" s="621">
        <f t="shared" si="44"/>
        <v>5645</v>
      </c>
      <c r="Z55" s="621">
        <f t="shared" si="44"/>
        <v>5645</v>
      </c>
      <c r="AA55" s="621">
        <f t="shared" si="44"/>
        <v>5571</v>
      </c>
      <c r="AB55" s="621">
        <f t="shared" si="44"/>
        <v>5600</v>
      </c>
      <c r="AC55" s="621">
        <f t="shared" si="44"/>
        <v>5564</v>
      </c>
    </row>
    <row r="56" spans="2:29">
      <c r="B56" s="604" t="s">
        <v>208</v>
      </c>
      <c r="C56" s="604">
        <v>9007</v>
      </c>
      <c r="D56" s="604">
        <v>9128</v>
      </c>
      <c r="E56" s="604">
        <v>9350</v>
      </c>
      <c r="F56" s="604">
        <v>9509</v>
      </c>
      <c r="G56" s="604">
        <v>9847</v>
      </c>
      <c r="H56" s="604">
        <v>10078</v>
      </c>
      <c r="I56" s="604">
        <v>10274</v>
      </c>
      <c r="J56" s="606">
        <v>10466</v>
      </c>
      <c r="K56" s="604">
        <f t="shared" si="35"/>
        <v>10466</v>
      </c>
      <c r="L56" s="604">
        <v>10407</v>
      </c>
      <c r="M56" s="604">
        <v>10652</v>
      </c>
      <c r="N56" s="604">
        <v>10817</v>
      </c>
      <c r="P56" s="609"/>
      <c r="Q56" s="609" t="s">
        <v>211</v>
      </c>
      <c r="R56" s="611">
        <f>SUM(R57:R58)</f>
        <v>32161</v>
      </c>
      <c r="S56" s="611">
        <f t="shared" ref="S56:AC56" si="45">SUM(S57:S58)</f>
        <v>32790</v>
      </c>
      <c r="T56" s="611">
        <f t="shared" si="45"/>
        <v>33334</v>
      </c>
      <c r="U56" s="611">
        <f t="shared" si="45"/>
        <v>33857</v>
      </c>
      <c r="V56" s="611">
        <f t="shared" si="45"/>
        <v>34805</v>
      </c>
      <c r="W56" s="611">
        <f t="shared" si="45"/>
        <v>35449</v>
      </c>
      <c r="X56" s="611">
        <f t="shared" si="45"/>
        <v>35896</v>
      </c>
      <c r="Y56" s="611">
        <f t="shared" si="45"/>
        <v>36357</v>
      </c>
      <c r="Z56" s="611">
        <f t="shared" si="45"/>
        <v>36357</v>
      </c>
      <c r="AA56" s="611">
        <f t="shared" si="45"/>
        <v>36808</v>
      </c>
      <c r="AB56" s="611">
        <f t="shared" si="45"/>
        <v>37023</v>
      </c>
      <c r="AC56" s="611">
        <f t="shared" si="45"/>
        <v>37276</v>
      </c>
    </row>
    <row r="57" spans="2:29">
      <c r="B57" s="604" t="s">
        <v>209</v>
      </c>
      <c r="C57" s="604">
        <v>5295</v>
      </c>
      <c r="D57" s="604">
        <v>5372</v>
      </c>
      <c r="E57" s="604">
        <v>5473</v>
      </c>
      <c r="F57" s="604">
        <v>5570</v>
      </c>
      <c r="G57" s="604">
        <v>5654</v>
      </c>
      <c r="H57" s="604">
        <v>5756</v>
      </c>
      <c r="I57" s="604">
        <v>5817</v>
      </c>
      <c r="J57" s="606">
        <v>5853</v>
      </c>
      <c r="K57" s="604">
        <f t="shared" si="35"/>
        <v>5853</v>
      </c>
      <c r="L57" s="604">
        <v>5824</v>
      </c>
      <c r="M57" s="604">
        <v>5888</v>
      </c>
      <c r="N57" s="604">
        <v>5906</v>
      </c>
      <c r="P57" s="615">
        <v>221</v>
      </c>
      <c r="Q57" s="617" t="s">
        <v>1144</v>
      </c>
      <c r="R57" s="611">
        <f>C94+C95+C96+C97</f>
        <v>12119</v>
      </c>
      <c r="S57" s="611">
        <f t="shared" ref="S57:AC57" si="46">D94+D95+D96+D97</f>
        <v>12431</v>
      </c>
      <c r="T57" s="611">
        <f t="shared" si="46"/>
        <v>12694</v>
      </c>
      <c r="U57" s="611">
        <f t="shared" si="46"/>
        <v>12964</v>
      </c>
      <c r="V57" s="611">
        <f t="shared" si="46"/>
        <v>13521</v>
      </c>
      <c r="W57" s="611">
        <f t="shared" si="46"/>
        <v>13899</v>
      </c>
      <c r="X57" s="611">
        <f t="shared" si="46"/>
        <v>14194</v>
      </c>
      <c r="Y57" s="611">
        <f t="shared" si="46"/>
        <v>14534</v>
      </c>
      <c r="Z57" s="611">
        <f t="shared" si="46"/>
        <v>14534</v>
      </c>
      <c r="AA57" s="611">
        <f t="shared" si="46"/>
        <v>14896</v>
      </c>
      <c r="AB57" s="611">
        <f t="shared" si="46"/>
        <v>15074</v>
      </c>
      <c r="AC57" s="611">
        <f t="shared" si="46"/>
        <v>15228</v>
      </c>
    </row>
    <row r="58" spans="2:29">
      <c r="B58" s="604" t="s">
        <v>335</v>
      </c>
      <c r="C58" s="604">
        <v>2548</v>
      </c>
      <c r="D58" s="604">
        <v>2546</v>
      </c>
      <c r="E58" s="604">
        <v>2561</v>
      </c>
      <c r="F58" s="604">
        <v>2587</v>
      </c>
      <c r="G58" s="604">
        <v>2605</v>
      </c>
      <c r="H58" s="604">
        <v>2594</v>
      </c>
      <c r="I58" s="604">
        <v>2604</v>
      </c>
      <c r="J58" s="606">
        <v>2636</v>
      </c>
      <c r="K58" s="604">
        <f t="shared" si="35"/>
        <v>2636</v>
      </c>
      <c r="L58" s="604">
        <v>2650</v>
      </c>
      <c r="M58" s="604">
        <v>2655</v>
      </c>
      <c r="N58" s="604">
        <v>2677</v>
      </c>
      <c r="P58" s="615">
        <v>223</v>
      </c>
      <c r="Q58" s="617" t="s">
        <v>223</v>
      </c>
      <c r="R58" s="621">
        <f>C88+C89+C90+C91+C92+C93</f>
        <v>20042</v>
      </c>
      <c r="S58" s="621">
        <f t="shared" ref="S58:AC58" si="47">D88+D89+D90+D91+D92+D93</f>
        <v>20359</v>
      </c>
      <c r="T58" s="621">
        <f t="shared" si="47"/>
        <v>20640</v>
      </c>
      <c r="U58" s="621">
        <f t="shared" si="47"/>
        <v>20893</v>
      </c>
      <c r="V58" s="621">
        <f t="shared" si="47"/>
        <v>21284</v>
      </c>
      <c r="W58" s="621">
        <f t="shared" si="47"/>
        <v>21550</v>
      </c>
      <c r="X58" s="621">
        <f t="shared" si="47"/>
        <v>21702</v>
      </c>
      <c r="Y58" s="621">
        <f t="shared" si="47"/>
        <v>21823</v>
      </c>
      <c r="Z58" s="621">
        <f t="shared" si="47"/>
        <v>21823</v>
      </c>
      <c r="AA58" s="621">
        <f t="shared" si="47"/>
        <v>21912</v>
      </c>
      <c r="AB58" s="621">
        <f t="shared" si="47"/>
        <v>21949</v>
      </c>
      <c r="AC58" s="621">
        <f t="shared" si="47"/>
        <v>22048</v>
      </c>
    </row>
    <row r="59" spans="2:29">
      <c r="B59" s="604" t="s">
        <v>392</v>
      </c>
      <c r="C59" s="604">
        <v>1723</v>
      </c>
      <c r="D59" s="604">
        <v>1735</v>
      </c>
      <c r="E59" s="604">
        <v>1763</v>
      </c>
      <c r="F59" s="604">
        <v>1732</v>
      </c>
      <c r="G59" s="604">
        <v>1740</v>
      </c>
      <c r="H59" s="604">
        <v>1788</v>
      </c>
      <c r="I59" s="604">
        <v>1779</v>
      </c>
      <c r="J59" s="606">
        <v>1785</v>
      </c>
      <c r="K59" s="604">
        <f t="shared" si="35"/>
        <v>1785</v>
      </c>
      <c r="L59" s="604">
        <v>1706</v>
      </c>
      <c r="M59" s="604">
        <v>1689</v>
      </c>
      <c r="N59" s="604">
        <v>1688</v>
      </c>
      <c r="P59" s="609"/>
      <c r="Q59" s="623" t="s">
        <v>212</v>
      </c>
      <c r="R59" s="611">
        <f>SUM(R60:R62)</f>
        <v>50312</v>
      </c>
      <c r="S59" s="611">
        <f t="shared" ref="S59:AC59" si="48">SUM(S60:S62)</f>
        <v>50632</v>
      </c>
      <c r="T59" s="611">
        <f t="shared" si="48"/>
        <v>51059</v>
      </c>
      <c r="U59" s="611">
        <f t="shared" si="48"/>
        <v>51844</v>
      </c>
      <c r="V59" s="611">
        <f t="shared" si="48"/>
        <v>52511</v>
      </c>
      <c r="W59" s="611">
        <f t="shared" si="48"/>
        <v>52973</v>
      </c>
      <c r="X59" s="611">
        <f t="shared" si="48"/>
        <v>53370</v>
      </c>
      <c r="Y59" s="611">
        <f t="shared" si="48"/>
        <v>54354</v>
      </c>
      <c r="Z59" s="611">
        <f t="shared" si="48"/>
        <v>54046</v>
      </c>
      <c r="AA59" s="611">
        <f t="shared" si="48"/>
        <v>54026</v>
      </c>
      <c r="AB59" s="611">
        <f t="shared" si="48"/>
        <v>54309</v>
      </c>
      <c r="AC59" s="611">
        <f t="shared" si="48"/>
        <v>54422</v>
      </c>
    </row>
    <row r="60" spans="2:29">
      <c r="B60" s="604" t="s">
        <v>393</v>
      </c>
      <c r="C60" s="604">
        <v>1229</v>
      </c>
      <c r="D60" s="604">
        <v>1238</v>
      </c>
      <c r="E60" s="604">
        <v>1229</v>
      </c>
      <c r="F60" s="604">
        <v>1233</v>
      </c>
      <c r="G60" s="604">
        <v>1238</v>
      </c>
      <c r="H60" s="604">
        <v>1221</v>
      </c>
      <c r="I60" s="604">
        <v>1224</v>
      </c>
      <c r="J60" s="606">
        <v>1225</v>
      </c>
      <c r="K60" s="604">
        <f t="shared" si="35"/>
        <v>1225</v>
      </c>
      <c r="L60" s="604">
        <v>1228</v>
      </c>
      <c r="M60" s="604">
        <v>1235</v>
      </c>
      <c r="N60" s="604">
        <v>1237</v>
      </c>
      <c r="P60" s="619">
        <v>205</v>
      </c>
      <c r="Q60" s="619" t="s">
        <v>241</v>
      </c>
      <c r="R60" s="620">
        <f>C99+C104</f>
        <v>17437</v>
      </c>
      <c r="S60" s="620">
        <f t="shared" ref="S60:AC60" si="49">D99+D104</f>
        <v>17578</v>
      </c>
      <c r="T60" s="620">
        <f t="shared" si="49"/>
        <v>17574</v>
      </c>
      <c r="U60" s="620">
        <f t="shared" si="49"/>
        <v>17960</v>
      </c>
      <c r="V60" s="620">
        <f t="shared" si="49"/>
        <v>18223</v>
      </c>
      <c r="W60" s="620">
        <f t="shared" si="49"/>
        <v>18409</v>
      </c>
      <c r="X60" s="620">
        <f t="shared" si="49"/>
        <v>18529</v>
      </c>
      <c r="Y60" s="620">
        <f t="shared" si="49"/>
        <v>19101</v>
      </c>
      <c r="Z60" s="620">
        <f t="shared" si="49"/>
        <v>18793</v>
      </c>
      <c r="AA60" s="620">
        <f t="shared" si="49"/>
        <v>18989</v>
      </c>
      <c r="AB60" s="620">
        <f t="shared" si="49"/>
        <v>19107</v>
      </c>
      <c r="AC60" s="620">
        <f t="shared" si="49"/>
        <v>19118</v>
      </c>
    </row>
    <row r="61" spans="2:29">
      <c r="B61" s="604" t="s">
        <v>394</v>
      </c>
      <c r="C61" s="604">
        <v>1037</v>
      </c>
      <c r="D61" s="604">
        <v>1045</v>
      </c>
      <c r="E61" s="604">
        <v>1047</v>
      </c>
      <c r="F61" s="604">
        <v>1053</v>
      </c>
      <c r="G61" s="604">
        <v>1023</v>
      </c>
      <c r="H61" s="604">
        <v>1005</v>
      </c>
      <c r="I61" s="604">
        <v>1010</v>
      </c>
      <c r="J61" s="606">
        <v>1026</v>
      </c>
      <c r="K61" s="604">
        <f t="shared" si="35"/>
        <v>1026</v>
      </c>
      <c r="L61" s="604">
        <v>1026</v>
      </c>
      <c r="M61" s="604">
        <v>1051</v>
      </c>
      <c r="N61" s="604">
        <v>1044</v>
      </c>
      <c r="P61" s="615">
        <v>224</v>
      </c>
      <c r="Q61" s="617" t="s">
        <v>224</v>
      </c>
      <c r="R61" s="621">
        <f>C106+C107+C108+C109</f>
        <v>16134</v>
      </c>
      <c r="S61" s="621">
        <f t="shared" ref="S61:AC61" si="50">D106+D107+D108+D109</f>
        <v>16227</v>
      </c>
      <c r="T61" s="621">
        <f t="shared" si="50"/>
        <v>16399</v>
      </c>
      <c r="U61" s="621">
        <f t="shared" si="50"/>
        <v>16674</v>
      </c>
      <c r="V61" s="621">
        <f t="shared" si="50"/>
        <v>16861</v>
      </c>
      <c r="W61" s="621">
        <f t="shared" si="50"/>
        <v>16939</v>
      </c>
      <c r="X61" s="621">
        <f t="shared" si="50"/>
        <v>17026</v>
      </c>
      <c r="Y61" s="621">
        <f t="shared" si="50"/>
        <v>17192</v>
      </c>
      <c r="Z61" s="621">
        <f t="shared" si="50"/>
        <v>17192</v>
      </c>
      <c r="AA61" s="621">
        <f t="shared" si="50"/>
        <v>17311</v>
      </c>
      <c r="AB61" s="621">
        <f t="shared" si="50"/>
        <v>17433</v>
      </c>
      <c r="AC61" s="621">
        <f t="shared" si="50"/>
        <v>17479</v>
      </c>
    </row>
    <row r="62" spans="2:29">
      <c r="B62" s="604" t="s">
        <v>395</v>
      </c>
      <c r="C62" s="604">
        <v>7167</v>
      </c>
      <c r="D62" s="604">
        <v>7230</v>
      </c>
      <c r="E62" s="604">
        <v>7324</v>
      </c>
      <c r="F62" s="604">
        <v>7465</v>
      </c>
      <c r="G62" s="604">
        <v>7506</v>
      </c>
      <c r="H62" s="604">
        <v>7549</v>
      </c>
      <c r="I62" s="604">
        <v>7613</v>
      </c>
      <c r="J62" s="606">
        <v>7680</v>
      </c>
      <c r="K62" s="604">
        <f t="shared" si="35"/>
        <v>7680</v>
      </c>
      <c r="L62" s="604">
        <v>7795</v>
      </c>
      <c r="M62" s="604">
        <v>7822</v>
      </c>
      <c r="N62" s="604">
        <v>7935</v>
      </c>
      <c r="P62" s="615">
        <v>226</v>
      </c>
      <c r="Q62" s="617" t="s">
        <v>225</v>
      </c>
      <c r="R62" s="621">
        <f>C100+C101+C102+C103+C105</f>
        <v>16741</v>
      </c>
      <c r="S62" s="621">
        <f t="shared" ref="S62:AC62" si="51">D100+D101+D102+D103+D105</f>
        <v>16827</v>
      </c>
      <c r="T62" s="621">
        <f t="shared" si="51"/>
        <v>17086</v>
      </c>
      <c r="U62" s="621">
        <f t="shared" si="51"/>
        <v>17210</v>
      </c>
      <c r="V62" s="621">
        <f t="shared" si="51"/>
        <v>17427</v>
      </c>
      <c r="W62" s="621">
        <f t="shared" si="51"/>
        <v>17625</v>
      </c>
      <c r="X62" s="621">
        <f t="shared" si="51"/>
        <v>17815</v>
      </c>
      <c r="Y62" s="621">
        <f t="shared" si="51"/>
        <v>18061</v>
      </c>
      <c r="Z62" s="621">
        <f t="shared" si="51"/>
        <v>18061</v>
      </c>
      <c r="AA62" s="621">
        <f t="shared" si="51"/>
        <v>17726</v>
      </c>
      <c r="AB62" s="621">
        <f t="shared" si="51"/>
        <v>17769</v>
      </c>
      <c r="AC62" s="621">
        <f t="shared" si="51"/>
        <v>17825</v>
      </c>
    </row>
    <row r="63" spans="2:29">
      <c r="B63" s="604" t="s">
        <v>396</v>
      </c>
      <c r="C63" s="604">
        <v>1413</v>
      </c>
      <c r="D63" s="604">
        <v>1442</v>
      </c>
      <c r="E63" s="604">
        <v>1477</v>
      </c>
      <c r="F63" s="604">
        <v>1545</v>
      </c>
      <c r="G63" s="604">
        <v>1639</v>
      </c>
      <c r="H63" s="604">
        <v>1685</v>
      </c>
      <c r="I63" s="604">
        <v>1739</v>
      </c>
      <c r="J63" s="606">
        <v>1765</v>
      </c>
      <c r="K63" s="604">
        <f t="shared" si="35"/>
        <v>1765</v>
      </c>
      <c r="L63" s="604">
        <v>1792</v>
      </c>
      <c r="M63" s="604">
        <v>1796</v>
      </c>
      <c r="N63" s="604">
        <v>1824</v>
      </c>
    </row>
    <row r="64" spans="2:29">
      <c r="B64" s="604" t="s">
        <v>397</v>
      </c>
      <c r="C64" s="604">
        <v>2820</v>
      </c>
      <c r="D64" s="604">
        <v>2825</v>
      </c>
      <c r="E64" s="604">
        <v>2830</v>
      </c>
      <c r="F64" s="604">
        <v>2845</v>
      </c>
      <c r="G64" s="604">
        <v>2808</v>
      </c>
      <c r="H64" s="604">
        <v>2799</v>
      </c>
      <c r="I64" s="604">
        <v>2786</v>
      </c>
      <c r="J64" s="606">
        <v>2784</v>
      </c>
      <c r="K64" s="604">
        <f t="shared" si="35"/>
        <v>2784</v>
      </c>
      <c r="L64" s="604">
        <v>2785</v>
      </c>
      <c r="M64" s="604">
        <v>2776</v>
      </c>
      <c r="N64" s="604">
        <v>2769</v>
      </c>
    </row>
    <row r="65" spans="1:14">
      <c r="B65" s="604" t="s">
        <v>398</v>
      </c>
      <c r="C65" s="604">
        <v>1305</v>
      </c>
      <c r="D65" s="604">
        <v>1314</v>
      </c>
      <c r="E65" s="604">
        <v>1315</v>
      </c>
      <c r="F65" s="604">
        <v>1300</v>
      </c>
      <c r="G65" s="604">
        <v>1360</v>
      </c>
      <c r="H65" s="604">
        <v>1365</v>
      </c>
      <c r="I65" s="604">
        <v>1365</v>
      </c>
      <c r="J65" s="606">
        <v>1393</v>
      </c>
      <c r="K65" s="604">
        <f t="shared" si="35"/>
        <v>1393</v>
      </c>
      <c r="L65" s="604">
        <v>1315</v>
      </c>
      <c r="M65" s="604">
        <v>1300</v>
      </c>
      <c r="N65" s="604">
        <v>1296</v>
      </c>
    </row>
    <row r="66" spans="1:14">
      <c r="B66" s="604" t="s">
        <v>399</v>
      </c>
      <c r="C66" s="604">
        <v>1197</v>
      </c>
      <c r="D66" s="604">
        <v>1195</v>
      </c>
      <c r="E66" s="604">
        <v>1190</v>
      </c>
      <c r="F66" s="604">
        <v>1191</v>
      </c>
      <c r="G66" s="604">
        <v>1159</v>
      </c>
      <c r="H66" s="604">
        <v>1144</v>
      </c>
      <c r="I66" s="604">
        <v>1141</v>
      </c>
      <c r="J66" s="606">
        <v>1149</v>
      </c>
      <c r="K66" s="604">
        <f t="shared" si="35"/>
        <v>1149</v>
      </c>
      <c r="L66" s="604">
        <v>1132</v>
      </c>
      <c r="M66" s="604">
        <v>1128</v>
      </c>
      <c r="N66" s="604">
        <v>1119</v>
      </c>
    </row>
    <row r="67" spans="1:14">
      <c r="A67" s="604" t="s">
        <v>321</v>
      </c>
      <c r="B67" s="604" t="s">
        <v>210</v>
      </c>
      <c r="C67" s="604">
        <f t="shared" ref="C67:N67" si="52">SUM(C68:C86)</f>
        <v>58902</v>
      </c>
      <c r="D67" s="604">
        <f t="shared" si="52"/>
        <v>59243</v>
      </c>
      <c r="E67" s="604">
        <f t="shared" si="52"/>
        <v>59868</v>
      </c>
      <c r="F67" s="604">
        <f t="shared" si="52"/>
        <v>60497</v>
      </c>
      <c r="G67" s="604">
        <f t="shared" si="52"/>
        <v>61911</v>
      </c>
      <c r="H67" s="604">
        <f t="shared" si="52"/>
        <v>62485</v>
      </c>
      <c r="I67" s="604">
        <f t="shared" si="52"/>
        <v>62960</v>
      </c>
      <c r="J67" s="606">
        <f t="shared" si="52"/>
        <v>63280</v>
      </c>
      <c r="K67" s="604">
        <f t="shared" si="52"/>
        <v>63280</v>
      </c>
      <c r="L67" s="604">
        <f t="shared" si="52"/>
        <v>63001</v>
      </c>
      <c r="M67" s="604">
        <f t="shared" si="52"/>
        <v>63339</v>
      </c>
      <c r="N67" s="604">
        <f t="shared" si="52"/>
        <v>63298</v>
      </c>
    </row>
    <row r="68" spans="1:14">
      <c r="B68" s="604" t="s">
        <v>336</v>
      </c>
      <c r="C68" s="604">
        <v>14092</v>
      </c>
      <c r="D68" s="604">
        <v>14187</v>
      </c>
      <c r="E68" s="604">
        <v>14453</v>
      </c>
      <c r="F68" s="604">
        <v>14751</v>
      </c>
      <c r="G68" s="604">
        <v>15214</v>
      </c>
      <c r="H68" s="604">
        <v>15407</v>
      </c>
      <c r="I68" s="604">
        <v>15580</v>
      </c>
      <c r="J68" s="606">
        <v>15686</v>
      </c>
      <c r="K68" s="604">
        <v>15686</v>
      </c>
      <c r="L68" s="604">
        <v>15695</v>
      </c>
      <c r="M68" s="604">
        <v>15813</v>
      </c>
      <c r="N68" s="604">
        <v>15866</v>
      </c>
    </row>
    <row r="69" spans="1:14">
      <c r="B69" s="604" t="s">
        <v>400</v>
      </c>
      <c r="C69" s="604">
        <v>1536</v>
      </c>
      <c r="D69" s="604">
        <v>1517</v>
      </c>
      <c r="E69" s="604">
        <v>1519</v>
      </c>
      <c r="F69" s="604">
        <v>1531</v>
      </c>
      <c r="G69" s="604">
        <v>1582</v>
      </c>
      <c r="H69" s="604">
        <v>1561</v>
      </c>
      <c r="I69" s="604">
        <v>1575</v>
      </c>
      <c r="J69" s="606">
        <v>1577</v>
      </c>
      <c r="K69" s="604">
        <f>J69</f>
        <v>1577</v>
      </c>
      <c r="L69" s="604">
        <v>1581</v>
      </c>
      <c r="M69" s="604">
        <v>1570</v>
      </c>
      <c r="N69" s="604">
        <v>1567</v>
      </c>
    </row>
    <row r="70" spans="1:14">
      <c r="B70" s="604" t="s">
        <v>401</v>
      </c>
      <c r="C70" s="604">
        <v>1605</v>
      </c>
      <c r="D70" s="604">
        <v>1612</v>
      </c>
      <c r="E70" s="604">
        <v>1617</v>
      </c>
      <c r="F70" s="604">
        <v>1635</v>
      </c>
      <c r="G70" s="604">
        <v>1676</v>
      </c>
      <c r="H70" s="604">
        <v>1707</v>
      </c>
      <c r="I70" s="604">
        <v>1720</v>
      </c>
      <c r="J70" s="606">
        <v>1735</v>
      </c>
      <c r="K70" s="604">
        <f t="shared" ref="K70:K86" si="53">J70</f>
        <v>1735</v>
      </c>
      <c r="L70" s="604">
        <v>1644</v>
      </c>
      <c r="M70" s="604">
        <v>1649</v>
      </c>
      <c r="N70" s="604">
        <v>1669</v>
      </c>
    </row>
    <row r="71" spans="1:14">
      <c r="B71" s="604" t="s">
        <v>402</v>
      </c>
      <c r="C71" s="604">
        <v>3842</v>
      </c>
      <c r="D71" s="604">
        <v>3837</v>
      </c>
      <c r="E71" s="604">
        <v>3857</v>
      </c>
      <c r="F71" s="604">
        <v>3868</v>
      </c>
      <c r="G71" s="604">
        <v>3919</v>
      </c>
      <c r="H71" s="604">
        <v>3928</v>
      </c>
      <c r="I71" s="604">
        <v>3938</v>
      </c>
      <c r="J71" s="606">
        <v>3954</v>
      </c>
      <c r="K71" s="604">
        <f t="shared" si="53"/>
        <v>3954</v>
      </c>
      <c r="L71" s="604">
        <v>3998</v>
      </c>
      <c r="M71" s="604">
        <v>4001</v>
      </c>
      <c r="N71" s="604">
        <v>3963</v>
      </c>
    </row>
    <row r="72" spans="1:14">
      <c r="B72" s="604" t="s">
        <v>403</v>
      </c>
      <c r="C72" s="604">
        <v>4973</v>
      </c>
      <c r="D72" s="604">
        <v>5038</v>
      </c>
      <c r="E72" s="604">
        <v>5077</v>
      </c>
      <c r="F72" s="604">
        <v>5146</v>
      </c>
      <c r="G72" s="604">
        <v>5255</v>
      </c>
      <c r="H72" s="604">
        <v>5280</v>
      </c>
      <c r="I72" s="604">
        <v>5317</v>
      </c>
      <c r="J72" s="606">
        <v>5361</v>
      </c>
      <c r="K72" s="604">
        <f t="shared" si="53"/>
        <v>5361</v>
      </c>
      <c r="L72" s="604">
        <v>5471</v>
      </c>
      <c r="M72" s="604">
        <v>5502</v>
      </c>
      <c r="N72" s="604">
        <v>5507</v>
      </c>
    </row>
    <row r="73" spans="1:14">
      <c r="B73" s="604" t="s">
        <v>404</v>
      </c>
      <c r="C73" s="604">
        <v>2890</v>
      </c>
      <c r="D73" s="604">
        <v>2905</v>
      </c>
      <c r="E73" s="604">
        <v>2938</v>
      </c>
      <c r="F73" s="604">
        <v>2942</v>
      </c>
      <c r="G73" s="604">
        <v>3103</v>
      </c>
      <c r="H73" s="604">
        <v>3177</v>
      </c>
      <c r="I73" s="604">
        <v>3229</v>
      </c>
      <c r="J73" s="606">
        <v>3294</v>
      </c>
      <c r="K73" s="604">
        <f t="shared" si="53"/>
        <v>3294</v>
      </c>
      <c r="L73" s="604">
        <v>3382</v>
      </c>
      <c r="M73" s="604">
        <v>3404</v>
      </c>
      <c r="N73" s="604">
        <v>3412</v>
      </c>
    </row>
    <row r="74" spans="1:14">
      <c r="B74" s="604" t="s">
        <v>405</v>
      </c>
      <c r="C74" s="604">
        <v>1671</v>
      </c>
      <c r="D74" s="604">
        <v>1673</v>
      </c>
      <c r="E74" s="604">
        <v>1679</v>
      </c>
      <c r="F74" s="604">
        <v>1687</v>
      </c>
      <c r="G74" s="604">
        <v>1712</v>
      </c>
      <c r="H74" s="604">
        <v>1715</v>
      </c>
      <c r="I74" s="604">
        <v>1725</v>
      </c>
      <c r="J74" s="606">
        <v>1744</v>
      </c>
      <c r="K74" s="604">
        <f t="shared" si="53"/>
        <v>1744</v>
      </c>
      <c r="L74" s="604">
        <v>1676</v>
      </c>
      <c r="M74" s="604">
        <v>1686</v>
      </c>
      <c r="N74" s="604">
        <v>1681</v>
      </c>
    </row>
    <row r="75" spans="1:14">
      <c r="B75" s="604" t="s">
        <v>406</v>
      </c>
      <c r="C75" s="604">
        <v>2131</v>
      </c>
      <c r="D75" s="604">
        <v>2135</v>
      </c>
      <c r="E75" s="604">
        <v>2128</v>
      </c>
      <c r="F75" s="604">
        <v>2133</v>
      </c>
      <c r="G75" s="604">
        <v>2089</v>
      </c>
      <c r="H75" s="604">
        <v>2071</v>
      </c>
      <c r="I75" s="604">
        <v>2073</v>
      </c>
      <c r="J75" s="606">
        <v>2047</v>
      </c>
      <c r="K75" s="604">
        <f t="shared" si="53"/>
        <v>2047</v>
      </c>
      <c r="L75" s="604">
        <v>2063</v>
      </c>
      <c r="M75" s="604">
        <v>2058</v>
      </c>
      <c r="N75" s="604">
        <v>2055</v>
      </c>
    </row>
    <row r="76" spans="1:14">
      <c r="B76" s="604" t="s">
        <v>407</v>
      </c>
      <c r="C76" s="604">
        <v>3315</v>
      </c>
      <c r="D76" s="604">
        <v>3329</v>
      </c>
      <c r="E76" s="604">
        <v>3328</v>
      </c>
      <c r="F76" s="604">
        <v>3342</v>
      </c>
      <c r="G76" s="604">
        <v>3347</v>
      </c>
      <c r="H76" s="604">
        <v>3369</v>
      </c>
      <c r="I76" s="604">
        <v>3377</v>
      </c>
      <c r="J76" s="606">
        <v>3384</v>
      </c>
      <c r="K76" s="604">
        <f t="shared" si="53"/>
        <v>3384</v>
      </c>
      <c r="L76" s="604">
        <v>3404</v>
      </c>
      <c r="M76" s="604">
        <v>3427</v>
      </c>
      <c r="N76" s="604">
        <v>3407</v>
      </c>
    </row>
    <row r="77" spans="1:14">
      <c r="B77" s="604" t="s">
        <v>408</v>
      </c>
      <c r="C77" s="604">
        <v>852</v>
      </c>
      <c r="D77" s="604">
        <v>849</v>
      </c>
      <c r="E77" s="604">
        <v>854</v>
      </c>
      <c r="F77" s="604">
        <v>846</v>
      </c>
      <c r="G77" s="604">
        <v>866</v>
      </c>
      <c r="H77" s="604">
        <v>887</v>
      </c>
      <c r="I77" s="604">
        <v>893</v>
      </c>
      <c r="J77" s="606">
        <v>891</v>
      </c>
      <c r="K77" s="604">
        <f t="shared" si="53"/>
        <v>891</v>
      </c>
      <c r="L77" s="604">
        <v>823</v>
      </c>
      <c r="M77" s="604">
        <v>821</v>
      </c>
      <c r="N77" s="604">
        <v>823</v>
      </c>
    </row>
    <row r="78" spans="1:14">
      <c r="B78" s="604" t="s">
        <v>409</v>
      </c>
      <c r="C78" s="604">
        <v>2199</v>
      </c>
      <c r="D78" s="604">
        <v>2202</v>
      </c>
      <c r="E78" s="604">
        <v>2238</v>
      </c>
      <c r="F78" s="604">
        <v>2254</v>
      </c>
      <c r="G78" s="604">
        <v>2275</v>
      </c>
      <c r="H78" s="604">
        <v>2266</v>
      </c>
      <c r="I78" s="604">
        <v>2274</v>
      </c>
      <c r="J78" s="606">
        <v>2261</v>
      </c>
      <c r="K78" s="604">
        <f t="shared" si="53"/>
        <v>2261</v>
      </c>
      <c r="L78" s="604">
        <v>2167</v>
      </c>
      <c r="M78" s="604">
        <v>2173</v>
      </c>
      <c r="N78" s="604">
        <v>2157</v>
      </c>
    </row>
    <row r="79" spans="1:14">
      <c r="B79" s="604" t="s">
        <v>410</v>
      </c>
      <c r="C79" s="604">
        <v>3609</v>
      </c>
      <c r="D79" s="604">
        <v>3624</v>
      </c>
      <c r="E79" s="604">
        <v>3700</v>
      </c>
      <c r="F79" s="604">
        <v>3720</v>
      </c>
      <c r="G79" s="604">
        <v>3778</v>
      </c>
      <c r="H79" s="604">
        <v>3815</v>
      </c>
      <c r="I79" s="604">
        <v>3814</v>
      </c>
      <c r="J79" s="606">
        <v>3818</v>
      </c>
      <c r="K79" s="604">
        <f t="shared" si="53"/>
        <v>3818</v>
      </c>
      <c r="L79" s="604">
        <v>3729</v>
      </c>
      <c r="M79" s="604">
        <v>3773</v>
      </c>
      <c r="N79" s="604">
        <v>3750</v>
      </c>
    </row>
    <row r="80" spans="1:14">
      <c r="B80" s="604" t="s">
        <v>411</v>
      </c>
      <c r="C80" s="604">
        <v>2502</v>
      </c>
      <c r="D80" s="604">
        <v>2493</v>
      </c>
      <c r="E80" s="604">
        <v>2522</v>
      </c>
      <c r="F80" s="604">
        <v>2594</v>
      </c>
      <c r="G80" s="604">
        <v>2654</v>
      </c>
      <c r="H80" s="604">
        <v>2687</v>
      </c>
      <c r="I80" s="604">
        <v>2695</v>
      </c>
      <c r="J80" s="606">
        <v>2687</v>
      </c>
      <c r="K80" s="604">
        <f t="shared" si="53"/>
        <v>2687</v>
      </c>
      <c r="L80" s="604">
        <v>2643</v>
      </c>
      <c r="M80" s="604">
        <v>2673</v>
      </c>
      <c r="N80" s="604">
        <v>2680</v>
      </c>
    </row>
    <row r="81" spans="1:14">
      <c r="B81" s="604" t="s">
        <v>412</v>
      </c>
      <c r="C81" s="604">
        <v>1573</v>
      </c>
      <c r="D81" s="604">
        <v>1562</v>
      </c>
      <c r="E81" s="604">
        <v>1570</v>
      </c>
      <c r="F81" s="604">
        <v>1559</v>
      </c>
      <c r="G81" s="604">
        <v>1587</v>
      </c>
      <c r="H81" s="604">
        <v>1602</v>
      </c>
      <c r="I81" s="604">
        <v>1592</v>
      </c>
      <c r="J81" s="606">
        <v>1607</v>
      </c>
      <c r="K81" s="604">
        <f t="shared" si="53"/>
        <v>1607</v>
      </c>
      <c r="L81" s="604">
        <v>1542</v>
      </c>
      <c r="M81" s="604">
        <v>1521</v>
      </c>
      <c r="N81" s="604">
        <v>1501</v>
      </c>
    </row>
    <row r="82" spans="1:14">
      <c r="B82" s="604" t="s">
        <v>416</v>
      </c>
      <c r="C82" s="604">
        <v>1343</v>
      </c>
      <c r="D82" s="604">
        <v>1361</v>
      </c>
      <c r="E82" s="604">
        <v>1364</v>
      </c>
      <c r="F82" s="604">
        <v>1375</v>
      </c>
      <c r="G82" s="604">
        <v>1356</v>
      </c>
      <c r="H82" s="604">
        <v>1356</v>
      </c>
      <c r="I82" s="604">
        <v>1375</v>
      </c>
      <c r="J82" s="606">
        <v>1392</v>
      </c>
      <c r="K82" s="604">
        <f t="shared" si="53"/>
        <v>1392</v>
      </c>
      <c r="L82" s="604">
        <v>1397</v>
      </c>
      <c r="M82" s="604">
        <v>1383</v>
      </c>
      <c r="N82" s="604">
        <v>1389</v>
      </c>
    </row>
    <row r="83" spans="1:14">
      <c r="B83" s="604" t="s">
        <v>418</v>
      </c>
      <c r="C83" s="604">
        <v>1889</v>
      </c>
      <c r="D83" s="604">
        <v>1903</v>
      </c>
      <c r="E83" s="604">
        <v>1947</v>
      </c>
      <c r="F83" s="604">
        <v>1944</v>
      </c>
      <c r="G83" s="604">
        <v>1966</v>
      </c>
      <c r="H83" s="604">
        <v>1955</v>
      </c>
      <c r="I83" s="604">
        <v>1947</v>
      </c>
      <c r="J83" s="606">
        <v>1928</v>
      </c>
      <c r="K83" s="604">
        <f t="shared" si="53"/>
        <v>1928</v>
      </c>
      <c r="L83" s="604">
        <v>1799</v>
      </c>
      <c r="M83" s="604">
        <v>1795</v>
      </c>
      <c r="N83" s="604">
        <v>1781</v>
      </c>
    </row>
    <row r="84" spans="1:14">
      <c r="B84" s="604" t="s">
        <v>419</v>
      </c>
      <c r="C84" s="604">
        <v>4823</v>
      </c>
      <c r="D84" s="604">
        <v>4917</v>
      </c>
      <c r="E84" s="604">
        <v>4924</v>
      </c>
      <c r="F84" s="604">
        <v>4958</v>
      </c>
      <c r="G84" s="604">
        <v>5037</v>
      </c>
      <c r="H84" s="604">
        <v>5158</v>
      </c>
      <c r="I84" s="604">
        <v>5270</v>
      </c>
      <c r="J84" s="606">
        <v>5343</v>
      </c>
      <c r="K84" s="604">
        <f t="shared" si="53"/>
        <v>5343</v>
      </c>
      <c r="L84" s="604">
        <v>5633</v>
      </c>
      <c r="M84" s="604">
        <v>5710</v>
      </c>
      <c r="N84" s="604">
        <v>5703</v>
      </c>
    </row>
    <row r="85" spans="1:14">
      <c r="B85" s="604" t="s">
        <v>420</v>
      </c>
      <c r="C85" s="604">
        <v>1912</v>
      </c>
      <c r="D85" s="604">
        <v>1944</v>
      </c>
      <c r="E85" s="604">
        <v>1984</v>
      </c>
      <c r="F85" s="604">
        <v>1997</v>
      </c>
      <c r="G85" s="604">
        <v>2016</v>
      </c>
      <c r="H85" s="604">
        <v>2031</v>
      </c>
      <c r="I85" s="604">
        <v>2035</v>
      </c>
      <c r="J85" s="606">
        <v>2042</v>
      </c>
      <c r="K85" s="604">
        <f t="shared" si="53"/>
        <v>2042</v>
      </c>
      <c r="L85" s="604">
        <v>2054</v>
      </c>
      <c r="M85" s="604">
        <v>2050</v>
      </c>
      <c r="N85" s="604">
        <v>2049</v>
      </c>
    </row>
    <row r="86" spans="1:14">
      <c r="B86" s="604" t="s">
        <v>421</v>
      </c>
      <c r="C86" s="604">
        <v>2145</v>
      </c>
      <c r="D86" s="604">
        <v>2155</v>
      </c>
      <c r="E86" s="604">
        <v>2169</v>
      </c>
      <c r="F86" s="604">
        <v>2215</v>
      </c>
      <c r="G86" s="604">
        <v>2479</v>
      </c>
      <c r="H86" s="604">
        <v>2513</v>
      </c>
      <c r="I86" s="604">
        <v>2531</v>
      </c>
      <c r="J86" s="606">
        <v>2529</v>
      </c>
      <c r="K86" s="604">
        <f t="shared" si="53"/>
        <v>2529</v>
      </c>
      <c r="L86" s="604">
        <v>2300</v>
      </c>
      <c r="M86" s="604">
        <v>2330</v>
      </c>
      <c r="N86" s="604">
        <v>2338</v>
      </c>
    </row>
    <row r="87" spans="1:14">
      <c r="A87" s="604" t="s">
        <v>321</v>
      </c>
      <c r="B87" s="604" t="s">
        <v>211</v>
      </c>
      <c r="C87" s="604">
        <f t="shared" ref="C87:N87" si="54">SUM(C88:C97)</f>
        <v>32161</v>
      </c>
      <c r="D87" s="604">
        <f t="shared" si="54"/>
        <v>32790</v>
      </c>
      <c r="E87" s="604">
        <f t="shared" si="54"/>
        <v>33334</v>
      </c>
      <c r="F87" s="604">
        <f t="shared" si="54"/>
        <v>33857</v>
      </c>
      <c r="G87" s="604">
        <f t="shared" si="54"/>
        <v>34805</v>
      </c>
      <c r="H87" s="604">
        <f t="shared" si="54"/>
        <v>35449</v>
      </c>
      <c r="I87" s="604">
        <f t="shared" si="54"/>
        <v>35896</v>
      </c>
      <c r="J87" s="606">
        <f t="shared" si="54"/>
        <v>36357</v>
      </c>
      <c r="K87" s="604">
        <f t="shared" si="54"/>
        <v>36357</v>
      </c>
      <c r="L87" s="604">
        <f t="shared" si="54"/>
        <v>36808</v>
      </c>
      <c r="M87" s="604">
        <f t="shared" si="54"/>
        <v>37023</v>
      </c>
      <c r="N87" s="604">
        <f t="shared" si="54"/>
        <v>37276</v>
      </c>
    </row>
    <row r="88" spans="1:14">
      <c r="B88" s="604" t="s">
        <v>422</v>
      </c>
      <c r="C88" s="604">
        <v>2996</v>
      </c>
      <c r="D88" s="604">
        <v>3050</v>
      </c>
      <c r="E88" s="604">
        <v>3141</v>
      </c>
      <c r="F88" s="604">
        <v>3227</v>
      </c>
      <c r="G88" s="604">
        <v>3315</v>
      </c>
      <c r="H88" s="604">
        <v>3376</v>
      </c>
      <c r="I88" s="604">
        <v>3394</v>
      </c>
      <c r="J88" s="606">
        <v>3422</v>
      </c>
      <c r="K88" s="604">
        <f t="shared" ref="K88:K93" si="55">J88</f>
        <v>3422</v>
      </c>
      <c r="L88" s="604">
        <v>3599</v>
      </c>
      <c r="M88" s="604">
        <v>3571</v>
      </c>
      <c r="N88" s="604">
        <v>3615</v>
      </c>
    </row>
    <row r="89" spans="1:14">
      <c r="B89" s="604" t="s">
        <v>423</v>
      </c>
      <c r="C89" s="604">
        <v>4979</v>
      </c>
      <c r="D89" s="604">
        <v>5100</v>
      </c>
      <c r="E89" s="604">
        <v>5197</v>
      </c>
      <c r="F89" s="604">
        <v>5227</v>
      </c>
      <c r="G89" s="604">
        <v>5267</v>
      </c>
      <c r="H89" s="604">
        <v>5381</v>
      </c>
      <c r="I89" s="604">
        <v>5448</v>
      </c>
      <c r="J89" s="606">
        <v>5502</v>
      </c>
      <c r="K89" s="604">
        <f t="shared" si="55"/>
        <v>5502</v>
      </c>
      <c r="L89" s="604">
        <v>5521</v>
      </c>
      <c r="M89" s="604">
        <v>5512</v>
      </c>
      <c r="N89" s="604">
        <v>5556</v>
      </c>
    </row>
    <row r="90" spans="1:14">
      <c r="B90" s="604" t="s">
        <v>424</v>
      </c>
      <c r="C90" s="604">
        <v>2153</v>
      </c>
      <c r="D90" s="604">
        <v>2178</v>
      </c>
      <c r="E90" s="604">
        <v>2193</v>
      </c>
      <c r="F90" s="604">
        <v>2205</v>
      </c>
      <c r="G90" s="604">
        <v>2244</v>
      </c>
      <c r="H90" s="604">
        <v>2259</v>
      </c>
      <c r="I90" s="604">
        <v>2256</v>
      </c>
      <c r="J90" s="606">
        <v>2249</v>
      </c>
      <c r="K90" s="604">
        <f t="shared" si="55"/>
        <v>2249</v>
      </c>
      <c r="L90" s="604">
        <v>2159</v>
      </c>
      <c r="M90" s="604">
        <v>2174</v>
      </c>
      <c r="N90" s="604">
        <v>2179</v>
      </c>
    </row>
    <row r="91" spans="1:14">
      <c r="B91" s="604" t="s">
        <v>425</v>
      </c>
      <c r="C91" s="604">
        <v>3464</v>
      </c>
      <c r="D91" s="604">
        <v>3486</v>
      </c>
      <c r="E91" s="604">
        <v>3520</v>
      </c>
      <c r="F91" s="604">
        <v>3545</v>
      </c>
      <c r="G91" s="604">
        <v>3612</v>
      </c>
      <c r="H91" s="604">
        <v>3612</v>
      </c>
      <c r="I91" s="604">
        <v>3600</v>
      </c>
      <c r="J91" s="606">
        <v>3614</v>
      </c>
      <c r="K91" s="604">
        <f t="shared" si="55"/>
        <v>3614</v>
      </c>
      <c r="L91" s="604">
        <v>3613</v>
      </c>
      <c r="M91" s="604">
        <v>3632</v>
      </c>
      <c r="N91" s="604">
        <v>3654</v>
      </c>
    </row>
    <row r="92" spans="1:14">
      <c r="B92" s="604" t="s">
        <v>426</v>
      </c>
      <c r="C92" s="604">
        <v>3727</v>
      </c>
      <c r="D92" s="604">
        <v>3774</v>
      </c>
      <c r="E92" s="604">
        <v>3792</v>
      </c>
      <c r="F92" s="604">
        <v>3811</v>
      </c>
      <c r="G92" s="604">
        <v>3865</v>
      </c>
      <c r="H92" s="604">
        <v>3915</v>
      </c>
      <c r="I92" s="604">
        <v>3961</v>
      </c>
      <c r="J92" s="606">
        <v>3969</v>
      </c>
      <c r="K92" s="604">
        <f t="shared" si="55"/>
        <v>3969</v>
      </c>
      <c r="L92" s="604">
        <v>3911</v>
      </c>
      <c r="M92" s="604">
        <v>3929</v>
      </c>
      <c r="N92" s="604">
        <v>3910</v>
      </c>
    </row>
    <row r="93" spans="1:14">
      <c r="B93" s="604" t="s">
        <v>427</v>
      </c>
      <c r="C93" s="604">
        <v>2723</v>
      </c>
      <c r="D93" s="604">
        <v>2771</v>
      </c>
      <c r="E93" s="604">
        <v>2797</v>
      </c>
      <c r="F93" s="604">
        <v>2878</v>
      </c>
      <c r="G93" s="604">
        <v>2981</v>
      </c>
      <c r="H93" s="604">
        <v>3007</v>
      </c>
      <c r="I93" s="604">
        <v>3043</v>
      </c>
      <c r="J93" s="606">
        <v>3067</v>
      </c>
      <c r="K93" s="604">
        <f t="shared" si="55"/>
        <v>3067</v>
      </c>
      <c r="L93" s="604">
        <v>3109</v>
      </c>
      <c r="M93" s="604">
        <v>3131</v>
      </c>
      <c r="N93" s="604">
        <v>3134</v>
      </c>
    </row>
    <row r="94" spans="1:14">
      <c r="B94" s="604" t="s">
        <v>429</v>
      </c>
      <c r="C94" s="604">
        <v>6559</v>
      </c>
      <c r="D94" s="604">
        <v>6674</v>
      </c>
      <c r="E94" s="604">
        <v>6730</v>
      </c>
      <c r="F94" s="604">
        <v>6822</v>
      </c>
      <c r="G94" s="604">
        <v>6955</v>
      </c>
      <c r="H94" s="604">
        <v>7076</v>
      </c>
      <c r="I94" s="604">
        <v>7184</v>
      </c>
      <c r="J94" s="606">
        <v>14534</v>
      </c>
      <c r="K94" s="604">
        <v>14534</v>
      </c>
      <c r="L94" s="604">
        <v>14896</v>
      </c>
      <c r="M94" s="604">
        <v>15074</v>
      </c>
      <c r="N94" s="604">
        <v>15228</v>
      </c>
    </row>
    <row r="95" spans="1:14">
      <c r="B95" s="604" t="s">
        <v>430</v>
      </c>
      <c r="C95" s="604">
        <v>1128</v>
      </c>
      <c r="D95" s="604">
        <v>1136</v>
      </c>
      <c r="E95" s="604">
        <v>1144</v>
      </c>
      <c r="F95" s="604">
        <v>1168</v>
      </c>
      <c r="G95" s="604">
        <v>1196</v>
      </c>
      <c r="H95" s="604">
        <v>1249</v>
      </c>
      <c r="I95" s="604">
        <v>1306</v>
      </c>
      <c r="J95" s="606">
        <v>0</v>
      </c>
      <c r="K95" s="604">
        <v>0</v>
      </c>
      <c r="L95" s="604">
        <v>0</v>
      </c>
      <c r="M95" s="604">
        <v>0</v>
      </c>
      <c r="N95" s="604">
        <v>0</v>
      </c>
    </row>
    <row r="96" spans="1:14">
      <c r="B96" s="604" t="s">
        <v>431</v>
      </c>
      <c r="C96" s="604">
        <v>3551</v>
      </c>
      <c r="D96" s="604">
        <v>3725</v>
      </c>
      <c r="E96" s="604">
        <v>3881</v>
      </c>
      <c r="F96" s="604">
        <v>3999</v>
      </c>
      <c r="G96" s="604">
        <v>4331</v>
      </c>
      <c r="H96" s="604">
        <v>4493</v>
      </c>
      <c r="I96" s="604">
        <v>4610</v>
      </c>
      <c r="J96" s="606">
        <v>0</v>
      </c>
      <c r="K96" s="604">
        <v>0</v>
      </c>
      <c r="L96" s="604">
        <v>0</v>
      </c>
      <c r="M96" s="604">
        <v>0</v>
      </c>
      <c r="N96" s="604">
        <v>0</v>
      </c>
    </row>
    <row r="97" spans="1:14">
      <c r="B97" s="604" t="s">
        <v>432</v>
      </c>
      <c r="C97" s="604">
        <v>881</v>
      </c>
      <c r="D97" s="604">
        <v>896</v>
      </c>
      <c r="E97" s="604">
        <v>939</v>
      </c>
      <c r="F97" s="604">
        <v>975</v>
      </c>
      <c r="G97" s="604">
        <v>1039</v>
      </c>
      <c r="H97" s="604">
        <v>1081</v>
      </c>
      <c r="I97" s="604">
        <v>1094</v>
      </c>
      <c r="J97" s="606">
        <v>0</v>
      </c>
      <c r="K97" s="604">
        <v>0</v>
      </c>
      <c r="L97" s="604">
        <v>0</v>
      </c>
      <c r="M97" s="604">
        <v>0</v>
      </c>
      <c r="N97" s="604">
        <v>0</v>
      </c>
    </row>
    <row r="98" spans="1:14">
      <c r="A98" s="604" t="s">
        <v>321</v>
      </c>
      <c r="B98" s="604" t="s">
        <v>212</v>
      </c>
      <c r="C98" s="604">
        <f t="shared" ref="C98:N98" si="56">SUM(C99:C109)</f>
        <v>50312</v>
      </c>
      <c r="D98" s="604">
        <f t="shared" si="56"/>
        <v>50632</v>
      </c>
      <c r="E98" s="604">
        <f t="shared" si="56"/>
        <v>51059</v>
      </c>
      <c r="F98" s="604">
        <f t="shared" si="56"/>
        <v>51844</v>
      </c>
      <c r="G98" s="604">
        <f t="shared" si="56"/>
        <v>52511</v>
      </c>
      <c r="H98" s="604">
        <f t="shared" si="56"/>
        <v>52973</v>
      </c>
      <c r="I98" s="604">
        <f t="shared" si="56"/>
        <v>53370</v>
      </c>
      <c r="J98" s="606">
        <f t="shared" si="56"/>
        <v>54354</v>
      </c>
      <c r="K98" s="604">
        <f t="shared" si="56"/>
        <v>54046</v>
      </c>
      <c r="L98" s="604">
        <f t="shared" si="56"/>
        <v>54026</v>
      </c>
      <c r="M98" s="604">
        <f t="shared" si="56"/>
        <v>54309</v>
      </c>
      <c r="N98" s="604">
        <f t="shared" si="56"/>
        <v>54422</v>
      </c>
    </row>
    <row r="99" spans="1:14">
      <c r="B99" s="604" t="s">
        <v>339</v>
      </c>
      <c r="C99" s="604">
        <v>14593</v>
      </c>
      <c r="D99" s="604">
        <v>14650</v>
      </c>
      <c r="E99" s="604">
        <v>14601</v>
      </c>
      <c r="F99" s="604">
        <v>14885</v>
      </c>
      <c r="G99" s="604">
        <v>15083</v>
      </c>
      <c r="H99" s="604">
        <v>15185</v>
      </c>
      <c r="I99" s="604">
        <v>15191</v>
      </c>
      <c r="J99" s="606">
        <v>15674</v>
      </c>
      <c r="K99" s="604">
        <v>15366</v>
      </c>
      <c r="L99" s="604">
        <v>15522</v>
      </c>
      <c r="M99" s="604">
        <v>15595</v>
      </c>
      <c r="N99" s="604">
        <v>15564</v>
      </c>
    </row>
    <row r="100" spans="1:14">
      <c r="B100" s="604" t="s">
        <v>433</v>
      </c>
      <c r="C100" s="604">
        <v>5332</v>
      </c>
      <c r="D100" s="604">
        <v>5451</v>
      </c>
      <c r="E100" s="604">
        <v>5566</v>
      </c>
      <c r="F100" s="604">
        <v>5623</v>
      </c>
      <c r="G100" s="604">
        <v>5747</v>
      </c>
      <c r="H100" s="604">
        <v>5853</v>
      </c>
      <c r="I100" s="604">
        <v>5868</v>
      </c>
      <c r="J100" s="606">
        <v>5952</v>
      </c>
      <c r="K100" s="604">
        <f>J100</f>
        <v>5952</v>
      </c>
      <c r="L100" s="604">
        <v>5907</v>
      </c>
      <c r="M100" s="604">
        <v>5908</v>
      </c>
      <c r="N100" s="604">
        <v>5899</v>
      </c>
    </row>
    <row r="101" spans="1:14">
      <c r="B101" s="604" t="s">
        <v>434</v>
      </c>
      <c r="C101" s="604">
        <v>2556</v>
      </c>
      <c r="D101" s="604">
        <v>2535</v>
      </c>
      <c r="E101" s="604">
        <v>2560</v>
      </c>
      <c r="F101" s="604">
        <v>2543</v>
      </c>
      <c r="G101" s="604">
        <v>2603</v>
      </c>
      <c r="H101" s="604">
        <v>2606</v>
      </c>
      <c r="I101" s="604">
        <v>2621</v>
      </c>
      <c r="J101" s="606">
        <v>2693</v>
      </c>
      <c r="K101" s="604">
        <f t="shared" ref="K101:K109" si="57">J101</f>
        <v>2693</v>
      </c>
      <c r="L101" s="604">
        <v>2492</v>
      </c>
      <c r="M101" s="604">
        <v>2491</v>
      </c>
      <c r="N101" s="604">
        <v>2506</v>
      </c>
    </row>
    <row r="102" spans="1:14">
      <c r="B102" s="604" t="s">
        <v>435</v>
      </c>
      <c r="C102" s="604">
        <v>3295</v>
      </c>
      <c r="D102" s="604">
        <v>3279</v>
      </c>
      <c r="E102" s="604">
        <v>3277</v>
      </c>
      <c r="F102" s="604">
        <v>3290</v>
      </c>
      <c r="G102" s="604">
        <v>3241</v>
      </c>
      <c r="H102" s="604">
        <v>3233</v>
      </c>
      <c r="I102" s="604">
        <v>3268</v>
      </c>
      <c r="J102" s="606">
        <v>3289</v>
      </c>
      <c r="K102" s="604">
        <f t="shared" si="57"/>
        <v>3289</v>
      </c>
      <c r="L102" s="604">
        <v>3228</v>
      </c>
      <c r="M102" s="604">
        <v>3224</v>
      </c>
      <c r="N102" s="604">
        <v>3214</v>
      </c>
    </row>
    <row r="103" spans="1:14">
      <c r="B103" s="604" t="s">
        <v>397</v>
      </c>
      <c r="C103" s="604">
        <v>2950</v>
      </c>
      <c r="D103" s="604">
        <v>2963</v>
      </c>
      <c r="E103" s="604">
        <v>2981</v>
      </c>
      <c r="F103" s="604">
        <v>3000</v>
      </c>
      <c r="G103" s="604">
        <v>2975</v>
      </c>
      <c r="H103" s="604">
        <v>3060</v>
      </c>
      <c r="I103" s="604">
        <v>3106</v>
      </c>
      <c r="J103" s="606">
        <v>3111</v>
      </c>
      <c r="K103" s="604">
        <f t="shared" si="57"/>
        <v>3111</v>
      </c>
      <c r="L103" s="604">
        <v>2999</v>
      </c>
      <c r="M103" s="604">
        <v>3013</v>
      </c>
      <c r="N103" s="604">
        <v>3014</v>
      </c>
    </row>
    <row r="104" spans="1:14">
      <c r="B104" s="604" t="s">
        <v>436</v>
      </c>
      <c r="C104" s="604">
        <v>2844</v>
      </c>
      <c r="D104" s="604">
        <v>2928</v>
      </c>
      <c r="E104" s="604">
        <v>2973</v>
      </c>
      <c r="F104" s="604">
        <v>3075</v>
      </c>
      <c r="G104" s="604">
        <v>3140</v>
      </c>
      <c r="H104" s="604">
        <v>3224</v>
      </c>
      <c r="I104" s="604">
        <v>3338</v>
      </c>
      <c r="J104" s="606">
        <v>3427</v>
      </c>
      <c r="K104" s="604">
        <f t="shared" si="57"/>
        <v>3427</v>
      </c>
      <c r="L104" s="604">
        <v>3467</v>
      </c>
      <c r="M104" s="604">
        <v>3512</v>
      </c>
      <c r="N104" s="604">
        <v>3554</v>
      </c>
    </row>
    <row r="105" spans="1:14">
      <c r="B105" s="604" t="s">
        <v>437</v>
      </c>
      <c r="C105" s="604">
        <v>2608</v>
      </c>
      <c r="D105" s="604">
        <v>2599</v>
      </c>
      <c r="E105" s="604">
        <v>2702</v>
      </c>
      <c r="F105" s="604">
        <v>2754</v>
      </c>
      <c r="G105" s="604">
        <v>2861</v>
      </c>
      <c r="H105" s="604">
        <v>2873</v>
      </c>
      <c r="I105" s="604">
        <v>2952</v>
      </c>
      <c r="J105" s="606">
        <v>3016</v>
      </c>
      <c r="K105" s="604">
        <f t="shared" si="57"/>
        <v>3016</v>
      </c>
      <c r="L105" s="604">
        <v>3100</v>
      </c>
      <c r="M105" s="604">
        <v>3133</v>
      </c>
      <c r="N105" s="604">
        <v>3192</v>
      </c>
    </row>
    <row r="106" spans="1:14">
      <c r="B106" s="604" t="s">
        <v>438</v>
      </c>
      <c r="C106" s="604">
        <v>1559</v>
      </c>
      <c r="D106" s="604">
        <v>1573</v>
      </c>
      <c r="E106" s="604">
        <v>1708</v>
      </c>
      <c r="F106" s="604">
        <v>1793</v>
      </c>
      <c r="G106" s="604">
        <v>1866</v>
      </c>
      <c r="H106" s="604">
        <v>1885</v>
      </c>
      <c r="I106" s="604">
        <v>1912</v>
      </c>
      <c r="J106" s="606">
        <v>1954</v>
      </c>
      <c r="K106" s="604">
        <f t="shared" si="57"/>
        <v>1954</v>
      </c>
      <c r="L106" s="604">
        <v>2003</v>
      </c>
      <c r="M106" s="604">
        <v>2017</v>
      </c>
      <c r="N106" s="604">
        <v>2042</v>
      </c>
    </row>
    <row r="107" spans="1:14">
      <c r="B107" s="604" t="s">
        <v>439</v>
      </c>
      <c r="C107" s="604">
        <v>3661</v>
      </c>
      <c r="D107" s="604">
        <v>3668</v>
      </c>
      <c r="E107" s="604">
        <v>3711</v>
      </c>
      <c r="F107" s="604">
        <v>3767</v>
      </c>
      <c r="G107" s="604">
        <v>3668</v>
      </c>
      <c r="H107" s="604">
        <v>3675</v>
      </c>
      <c r="I107" s="604">
        <v>3687</v>
      </c>
      <c r="J107" s="606">
        <v>3701</v>
      </c>
      <c r="K107" s="604">
        <f t="shared" si="57"/>
        <v>3701</v>
      </c>
      <c r="L107" s="604">
        <v>3769</v>
      </c>
      <c r="M107" s="604">
        <v>3763</v>
      </c>
      <c r="N107" s="604">
        <v>3742</v>
      </c>
    </row>
    <row r="108" spans="1:14">
      <c r="B108" s="604" t="s">
        <v>440</v>
      </c>
      <c r="C108" s="604">
        <v>4464</v>
      </c>
      <c r="D108" s="604">
        <v>4516</v>
      </c>
      <c r="E108" s="604">
        <v>4524</v>
      </c>
      <c r="F108" s="604">
        <v>4602</v>
      </c>
      <c r="G108" s="604">
        <v>4759</v>
      </c>
      <c r="H108" s="604">
        <v>4789</v>
      </c>
      <c r="I108" s="604">
        <v>4822</v>
      </c>
      <c r="J108" s="606">
        <v>4876</v>
      </c>
      <c r="K108" s="604">
        <f t="shared" si="57"/>
        <v>4876</v>
      </c>
      <c r="L108" s="604">
        <v>4982</v>
      </c>
      <c r="M108" s="604">
        <v>5065</v>
      </c>
      <c r="N108" s="604">
        <v>5105</v>
      </c>
    </row>
    <row r="109" spans="1:14">
      <c r="A109" s="624"/>
      <c r="B109" s="624" t="s">
        <v>441</v>
      </c>
      <c r="C109" s="624">
        <v>6450</v>
      </c>
      <c r="D109" s="624">
        <v>6470</v>
      </c>
      <c r="E109" s="624">
        <v>6456</v>
      </c>
      <c r="F109" s="624">
        <v>6512</v>
      </c>
      <c r="G109" s="624">
        <v>6568</v>
      </c>
      <c r="H109" s="624">
        <v>6590</v>
      </c>
      <c r="I109" s="624">
        <v>6605</v>
      </c>
      <c r="J109" s="625">
        <v>6661</v>
      </c>
      <c r="K109" s="624">
        <f t="shared" si="57"/>
        <v>6661</v>
      </c>
      <c r="L109" s="624">
        <v>6557</v>
      </c>
      <c r="M109" s="624">
        <v>6588</v>
      </c>
      <c r="N109" s="624">
        <v>6590</v>
      </c>
    </row>
  </sheetData>
  <phoneticPr fontId="13"/>
  <pageMargins left="0.75" right="0.75" top="1" bottom="1" header="0.51200000000000001" footer="0.5120000000000000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6">
    <tabColor indexed="43"/>
  </sheetPr>
  <dimension ref="A1:Z67"/>
  <sheetViews>
    <sheetView workbookViewId="0">
      <pane xSplit="2" ySplit="4" topLeftCell="O53" activePane="bottomRight" state="frozen"/>
      <selection pane="topRight" activeCell="C1" sqref="C1"/>
      <selection pane="bottomLeft" activeCell="A5" sqref="A5"/>
      <selection pane="bottomRight" activeCell="R55" sqref="R55"/>
    </sheetView>
  </sheetViews>
  <sheetFormatPr defaultColWidth="8.7109375" defaultRowHeight="13"/>
  <cols>
    <col min="1" max="1" width="3.2109375" style="604" customWidth="1"/>
    <col min="2" max="2" width="8.7109375" style="604"/>
    <col min="3" max="4" width="8.42578125" style="604" customWidth="1"/>
    <col min="5" max="16384" width="8.7109375" style="604"/>
  </cols>
  <sheetData>
    <row r="1" spans="1:25">
      <c r="B1" s="605" t="s">
        <v>1310</v>
      </c>
      <c r="F1" s="604" t="s">
        <v>627</v>
      </c>
      <c r="G1" s="604" t="s">
        <v>347</v>
      </c>
      <c r="H1" s="604" t="s">
        <v>347</v>
      </c>
      <c r="I1" s="604" t="s">
        <v>1002</v>
      </c>
      <c r="J1" s="604" t="s">
        <v>11</v>
      </c>
      <c r="K1" s="604" t="s">
        <v>11</v>
      </c>
      <c r="L1" s="604" t="s">
        <v>11</v>
      </c>
      <c r="M1" s="604" t="s">
        <v>627</v>
      </c>
      <c r="N1" s="604" t="s">
        <v>627</v>
      </c>
      <c r="O1" s="604" t="s">
        <v>11</v>
      </c>
      <c r="P1" s="604" t="s">
        <v>11</v>
      </c>
      <c r="R1" s="1229"/>
      <c r="S1" s="935"/>
      <c r="U1" s="935" t="s">
        <v>948</v>
      </c>
      <c r="V1" s="604" t="s">
        <v>14</v>
      </c>
      <c r="W1" s="75" t="s">
        <v>14</v>
      </c>
      <c r="X1" s="75" t="s">
        <v>14</v>
      </c>
    </row>
    <row r="2" spans="1:25">
      <c r="A2" s="1230"/>
      <c r="B2" s="1231" t="s">
        <v>319</v>
      </c>
      <c r="C2" s="1381">
        <v>2006</v>
      </c>
      <c r="D2" s="1381">
        <v>2007</v>
      </c>
      <c r="E2" s="1381">
        <v>2008</v>
      </c>
      <c r="F2" s="1381">
        <v>2009</v>
      </c>
      <c r="G2" s="1381">
        <v>2010</v>
      </c>
      <c r="H2" s="1382">
        <v>2011</v>
      </c>
      <c r="I2" s="1383">
        <v>2012</v>
      </c>
      <c r="J2" s="1383">
        <v>2013</v>
      </c>
      <c r="K2" s="1383">
        <v>2014</v>
      </c>
      <c r="L2" s="1383">
        <v>2015</v>
      </c>
      <c r="M2" s="1383">
        <v>2016</v>
      </c>
      <c r="N2" s="1383">
        <v>2017</v>
      </c>
      <c r="O2" s="1383">
        <v>2018</v>
      </c>
      <c r="P2" s="1383">
        <v>2019</v>
      </c>
      <c r="Q2" s="1383">
        <v>2020</v>
      </c>
      <c r="R2" s="1383">
        <v>2021</v>
      </c>
      <c r="S2" s="1383">
        <v>2022</v>
      </c>
      <c r="T2" s="1383">
        <v>2023</v>
      </c>
      <c r="U2" s="1383">
        <v>2024</v>
      </c>
      <c r="V2" s="804">
        <v>2025</v>
      </c>
      <c r="W2" s="804">
        <v>2026</v>
      </c>
      <c r="X2" s="476">
        <v>2027</v>
      </c>
    </row>
    <row r="3" spans="1:25">
      <c r="A3" s="1232"/>
      <c r="B3" s="1232"/>
      <c r="C3" s="1233" t="s">
        <v>369</v>
      </c>
      <c r="D3" s="1233" t="s">
        <v>370</v>
      </c>
      <c r="E3" s="1233" t="s">
        <v>858</v>
      </c>
      <c r="F3" s="1233" t="s">
        <v>859</v>
      </c>
      <c r="G3" s="1233" t="s">
        <v>912</v>
      </c>
      <c r="H3" s="1229" t="s">
        <v>96</v>
      </c>
      <c r="I3" s="1229" t="s">
        <v>118</v>
      </c>
      <c r="J3" s="1229" t="s">
        <v>119</v>
      </c>
      <c r="K3" s="1229" t="s">
        <v>67</v>
      </c>
      <c r="L3" s="1229" t="s">
        <v>157</v>
      </c>
      <c r="M3" s="1229" t="s">
        <v>1000</v>
      </c>
      <c r="N3" s="1229" t="s">
        <v>1036</v>
      </c>
      <c r="O3" s="1229" t="s">
        <v>1062</v>
      </c>
      <c r="P3" s="1229" t="s">
        <v>1161</v>
      </c>
      <c r="Q3" s="1229" t="s">
        <v>1129</v>
      </c>
      <c r="R3" s="1229" t="s">
        <v>1160</v>
      </c>
      <c r="S3" s="1229" t="s">
        <v>1200</v>
      </c>
      <c r="T3" s="1229" t="s">
        <v>1234</v>
      </c>
      <c r="U3" s="1229" t="s">
        <v>1561</v>
      </c>
      <c r="V3" s="75" t="s">
        <v>1603</v>
      </c>
      <c r="W3" s="75" t="s">
        <v>1745</v>
      </c>
      <c r="X3" s="491" t="s">
        <v>1783</v>
      </c>
    </row>
    <row r="4" spans="1:25">
      <c r="A4" s="1232"/>
      <c r="B4" s="1232" t="s">
        <v>320</v>
      </c>
      <c r="C4" s="1234"/>
      <c r="D4" s="1234" t="s">
        <v>672</v>
      </c>
      <c r="E4" s="1234" t="s">
        <v>672</v>
      </c>
      <c r="F4" s="1234" t="s">
        <v>672</v>
      </c>
      <c r="G4" s="1234" t="s">
        <v>672</v>
      </c>
      <c r="V4" s="75"/>
      <c r="W4" s="75"/>
      <c r="X4" s="477"/>
    </row>
    <row r="5" spans="1:25">
      <c r="A5" s="1235" t="s">
        <v>1353</v>
      </c>
      <c r="B5" s="1236"/>
      <c r="C5" s="1237">
        <f>名目県内総支出!H61</f>
        <v>1976091.6379963746</v>
      </c>
      <c r="D5" s="1237">
        <f>名目県内総支出!I61</f>
        <v>2008206.5496911928</v>
      </c>
      <c r="E5" s="1237">
        <f>名目県内総支出!J61</f>
        <v>2118619.8702144846</v>
      </c>
      <c r="F5" s="1237">
        <f>名目県内総支出!K61</f>
        <v>2219145.343405799</v>
      </c>
      <c r="G5" s="1237">
        <f>名目県内総支出!L61</f>
        <v>2205142.1543817148</v>
      </c>
      <c r="H5" s="1237">
        <f>名目県内総支出!M61</f>
        <v>2291991</v>
      </c>
      <c r="I5" s="1237">
        <f>名目県内総支出!N61</f>
        <v>2321386</v>
      </c>
      <c r="J5" s="1237">
        <f>名目県内総支出!O61</f>
        <v>2384989</v>
      </c>
      <c r="K5" s="1237">
        <f>名目県内総支出!P61</f>
        <v>2450102</v>
      </c>
      <c r="L5" s="1237">
        <f>名目県内総支出!Q61</f>
        <v>2518395</v>
      </c>
      <c r="M5" s="1237">
        <f>名目県内総支出!R61</f>
        <v>2535493</v>
      </c>
      <c r="N5" s="1237">
        <f>名目県内総支出!S61</f>
        <v>2664104</v>
      </c>
      <c r="O5" s="1237">
        <f>名目県内総支出!T61</f>
        <v>2674566</v>
      </c>
      <c r="P5" s="1237">
        <f>名目県内総支出!U61</f>
        <v>2787989</v>
      </c>
      <c r="Q5" s="1237">
        <f>名目県内総支出!V61</f>
        <v>2777965</v>
      </c>
      <c r="R5" s="1238">
        <f>名目県内総支出!W61</f>
        <v>2978623</v>
      </c>
      <c r="S5" s="1238">
        <f>名目県内総支出!X61</f>
        <v>3013270</v>
      </c>
      <c r="T5" s="1238">
        <f>名目県内総支出!Y61</f>
        <v>2996589</v>
      </c>
      <c r="U5" s="1238">
        <f>名目県内総支出!Z61</f>
        <v>3137399</v>
      </c>
      <c r="V5" s="1238">
        <f>名目県内総支出!AA61</f>
        <v>3277424</v>
      </c>
      <c r="W5" s="1238">
        <f>名目県内総支出!AB61</f>
        <v>3300383</v>
      </c>
      <c r="X5" s="1238">
        <f>名目県内総支出!AC61</f>
        <v>3323342</v>
      </c>
      <c r="Y5" s="1239" t="s">
        <v>1354</v>
      </c>
    </row>
    <row r="6" spans="1:25">
      <c r="A6" s="1232"/>
      <c r="B6" s="1232" t="s">
        <v>322</v>
      </c>
      <c r="C6" s="1240">
        <f>SUM(C7:C16)</f>
        <v>1976091.6379963746</v>
      </c>
      <c r="D6" s="1240">
        <f>SUM(D7:D16)</f>
        <v>2008206.5496911928</v>
      </c>
      <c r="E6" s="1240">
        <f t="shared" ref="E6:J6" si="0">SUM(E7:E16)</f>
        <v>2118619.8702144846</v>
      </c>
      <c r="F6" s="1240">
        <f t="shared" si="0"/>
        <v>2219145.343405799</v>
      </c>
      <c r="G6" s="1240">
        <f t="shared" si="0"/>
        <v>2205142.1543817148</v>
      </c>
      <c r="H6" s="1240">
        <f t="shared" si="0"/>
        <v>2291991</v>
      </c>
      <c r="I6" s="1240">
        <f t="shared" si="0"/>
        <v>2321386</v>
      </c>
      <c r="J6" s="1240">
        <f t="shared" si="0"/>
        <v>2384989</v>
      </c>
      <c r="K6" s="1240">
        <f t="shared" ref="K6:P6" si="1">SUM(K7:K16)</f>
        <v>2450102</v>
      </c>
      <c r="L6" s="1240">
        <f t="shared" si="1"/>
        <v>2518395</v>
      </c>
      <c r="M6" s="1240">
        <f t="shared" si="1"/>
        <v>2535493</v>
      </c>
      <c r="N6" s="1240">
        <f t="shared" si="1"/>
        <v>2664104</v>
      </c>
      <c r="O6" s="1240">
        <f t="shared" si="1"/>
        <v>2674566</v>
      </c>
      <c r="P6" s="1240">
        <f t="shared" si="1"/>
        <v>2787989</v>
      </c>
      <c r="Q6" s="1240">
        <f t="shared" ref="Q6:V6" si="2">SUM(Q7:Q16)</f>
        <v>2777965</v>
      </c>
      <c r="R6" s="1240">
        <f t="shared" si="2"/>
        <v>2978623</v>
      </c>
      <c r="S6" s="1240">
        <f t="shared" si="2"/>
        <v>3013270</v>
      </c>
      <c r="T6" s="1240">
        <f t="shared" si="2"/>
        <v>2996589</v>
      </c>
      <c r="U6" s="1240">
        <f t="shared" si="2"/>
        <v>3137399</v>
      </c>
      <c r="V6" s="1240">
        <f t="shared" si="2"/>
        <v>3277424</v>
      </c>
      <c r="W6" s="1240">
        <f t="shared" ref="W6:X6" si="3">SUM(W7:W16)</f>
        <v>3300383</v>
      </c>
      <c r="X6" s="1240">
        <f t="shared" si="3"/>
        <v>3323342</v>
      </c>
    </row>
    <row r="7" spans="1:25">
      <c r="A7" s="1230">
        <v>100</v>
      </c>
      <c r="B7" s="1230" t="s">
        <v>172</v>
      </c>
      <c r="C7" s="1241">
        <f>C18</f>
        <v>575527.63799637463</v>
      </c>
      <c r="D7" s="1241">
        <f>D18</f>
        <v>582213.54969119281</v>
      </c>
      <c r="E7" s="1241">
        <f t="shared" ref="E7:G8" si="4">E18</f>
        <v>609780.87021448463</v>
      </c>
      <c r="F7" s="1241">
        <f t="shared" si="4"/>
        <v>649150.34340579901</v>
      </c>
      <c r="G7" s="1241">
        <f t="shared" si="4"/>
        <v>640539.15438171476</v>
      </c>
      <c r="H7" s="1241">
        <f t="shared" ref="H7:J8" si="5">H18</f>
        <v>667146</v>
      </c>
      <c r="I7" s="1241">
        <f t="shared" si="5"/>
        <v>675624</v>
      </c>
      <c r="J7" s="1241">
        <f t="shared" si="5"/>
        <v>685267</v>
      </c>
      <c r="K7" s="1241">
        <f t="shared" ref="K7:M8" si="6">K18</f>
        <v>708260</v>
      </c>
      <c r="L7" s="1241">
        <f t="shared" si="6"/>
        <v>721533</v>
      </c>
      <c r="M7" s="1241">
        <f t="shared" si="6"/>
        <v>718365</v>
      </c>
      <c r="N7" s="1241">
        <f t="shared" ref="N7:P8" si="7">N18</f>
        <v>932698</v>
      </c>
      <c r="O7" s="1241">
        <f t="shared" si="7"/>
        <v>942361</v>
      </c>
      <c r="P7" s="1241">
        <f t="shared" si="7"/>
        <v>982784</v>
      </c>
      <c r="Q7" s="1241">
        <f t="shared" ref="Q7:S8" si="8">Q18</f>
        <v>958986</v>
      </c>
      <c r="R7" s="1241">
        <f t="shared" si="8"/>
        <v>1055243</v>
      </c>
      <c r="S7" s="1241">
        <f t="shared" si="8"/>
        <v>1064443</v>
      </c>
      <c r="T7" s="1241">
        <f t="shared" ref="T7:U7" si="9">T18</f>
        <v>1009028</v>
      </c>
      <c r="U7" s="1241">
        <f t="shared" si="9"/>
        <v>1067351</v>
      </c>
      <c r="V7" s="1241">
        <f t="shared" ref="V7:W7" si="10">V18</f>
        <v>1125791</v>
      </c>
      <c r="W7" s="1241">
        <f t="shared" si="10"/>
        <v>1122755</v>
      </c>
      <c r="X7" s="1241">
        <f t="shared" ref="X7" si="11">X18</f>
        <v>1134219</v>
      </c>
    </row>
    <row r="8" spans="1:25">
      <c r="A8" s="1232">
        <v>1</v>
      </c>
      <c r="B8" s="1232" t="s">
        <v>323</v>
      </c>
      <c r="C8" s="1240">
        <f>C19</f>
        <v>348992</v>
      </c>
      <c r="D8" s="1240">
        <f>D19</f>
        <v>355898</v>
      </c>
      <c r="E8" s="1240">
        <f t="shared" si="4"/>
        <v>384109</v>
      </c>
      <c r="F8" s="1240">
        <f t="shared" si="4"/>
        <v>402243</v>
      </c>
      <c r="G8" s="1240">
        <f t="shared" si="4"/>
        <v>392549</v>
      </c>
      <c r="H8" s="1240">
        <f t="shared" si="5"/>
        <v>400120</v>
      </c>
      <c r="I8" s="1240">
        <f t="shared" si="5"/>
        <v>406607</v>
      </c>
      <c r="J8" s="1240">
        <f t="shared" si="5"/>
        <v>429681</v>
      </c>
      <c r="K8" s="1240">
        <f t="shared" si="6"/>
        <v>437135</v>
      </c>
      <c r="L8" s="1240">
        <f t="shared" si="6"/>
        <v>451050</v>
      </c>
      <c r="M8" s="1240">
        <f t="shared" si="6"/>
        <v>456960</v>
      </c>
      <c r="N8" s="1240">
        <f t="shared" si="7"/>
        <v>437031</v>
      </c>
      <c r="O8" s="1240">
        <f t="shared" si="7"/>
        <v>438078</v>
      </c>
      <c r="P8" s="1240">
        <f t="shared" si="7"/>
        <v>455008</v>
      </c>
      <c r="Q8" s="1240">
        <f t="shared" si="8"/>
        <v>450039</v>
      </c>
      <c r="R8" s="1240">
        <f t="shared" si="8"/>
        <v>476372</v>
      </c>
      <c r="S8" s="1240">
        <f t="shared" si="8"/>
        <v>483896</v>
      </c>
      <c r="T8" s="1240">
        <f t="shared" ref="T8:U8" si="12">T19</f>
        <v>492474</v>
      </c>
      <c r="U8" s="1240">
        <f t="shared" si="12"/>
        <v>505394</v>
      </c>
      <c r="V8" s="1240">
        <f t="shared" ref="V8:W8" si="13">V19</f>
        <v>530814</v>
      </c>
      <c r="W8" s="1240">
        <f t="shared" si="13"/>
        <v>536069</v>
      </c>
      <c r="X8" s="1240">
        <f t="shared" ref="X8" si="14">X19</f>
        <v>537775</v>
      </c>
    </row>
    <row r="9" spans="1:25">
      <c r="A9" s="1232">
        <v>2</v>
      </c>
      <c r="B9" s="1232" t="s">
        <v>324</v>
      </c>
      <c r="C9" s="1240">
        <f>C23</f>
        <v>234773</v>
      </c>
      <c r="D9" s="1240">
        <f>D23</f>
        <v>242577</v>
      </c>
      <c r="E9" s="1240">
        <f t="shared" ref="E9:J9" si="15">E23</f>
        <v>252570</v>
      </c>
      <c r="F9" s="1240">
        <f t="shared" si="15"/>
        <v>254490</v>
      </c>
      <c r="G9" s="1240">
        <f t="shared" si="15"/>
        <v>256372</v>
      </c>
      <c r="H9" s="1240">
        <f t="shared" si="15"/>
        <v>267129</v>
      </c>
      <c r="I9" s="1240">
        <f t="shared" si="15"/>
        <v>272920</v>
      </c>
      <c r="J9" s="1240">
        <f t="shared" si="15"/>
        <v>281281</v>
      </c>
      <c r="K9" s="1240">
        <f t="shared" ref="K9:P9" si="16">K23</f>
        <v>287424</v>
      </c>
      <c r="L9" s="1240">
        <f t="shared" si="16"/>
        <v>298556</v>
      </c>
      <c r="M9" s="1240">
        <f t="shared" si="16"/>
        <v>305510</v>
      </c>
      <c r="N9" s="1240">
        <f t="shared" si="16"/>
        <v>290415</v>
      </c>
      <c r="O9" s="1240">
        <f t="shared" si="16"/>
        <v>287876</v>
      </c>
      <c r="P9" s="1240">
        <f t="shared" si="16"/>
        <v>301484</v>
      </c>
      <c r="Q9" s="1240">
        <f t="shared" ref="Q9:V9" si="17">Q23</f>
        <v>301527</v>
      </c>
      <c r="R9" s="1240">
        <f t="shared" si="17"/>
        <v>315253</v>
      </c>
      <c r="S9" s="1240">
        <f t="shared" si="17"/>
        <v>319106</v>
      </c>
      <c r="T9" s="1240">
        <f t="shared" si="17"/>
        <v>328471</v>
      </c>
      <c r="U9" s="1240">
        <f t="shared" si="17"/>
        <v>339629</v>
      </c>
      <c r="V9" s="1240">
        <f t="shared" si="17"/>
        <v>353613</v>
      </c>
      <c r="W9" s="1240">
        <f t="shared" ref="W9:X9" si="18">W23</f>
        <v>358322</v>
      </c>
      <c r="X9" s="1240">
        <f t="shared" si="18"/>
        <v>359711</v>
      </c>
    </row>
    <row r="10" spans="1:25">
      <c r="A10" s="1232">
        <v>3</v>
      </c>
      <c r="B10" s="1232" t="s">
        <v>192</v>
      </c>
      <c r="C10" s="1240">
        <f>C29</f>
        <v>211175</v>
      </c>
      <c r="D10" s="1240">
        <f>D29</f>
        <v>215383</v>
      </c>
      <c r="E10" s="1240">
        <f t="shared" ref="E10:J10" si="19">E29</f>
        <v>232393</v>
      </c>
      <c r="F10" s="1240">
        <f t="shared" si="19"/>
        <v>241396</v>
      </c>
      <c r="G10" s="1240">
        <f t="shared" si="19"/>
        <v>240191</v>
      </c>
      <c r="H10" s="1240">
        <f t="shared" si="19"/>
        <v>251571</v>
      </c>
      <c r="I10" s="1240">
        <f t="shared" si="19"/>
        <v>257117</v>
      </c>
      <c r="J10" s="1240">
        <f t="shared" si="19"/>
        <v>268662</v>
      </c>
      <c r="K10" s="1240">
        <f t="shared" ref="K10:P10" si="20">K29</f>
        <v>271632</v>
      </c>
      <c r="L10" s="1240">
        <f t="shared" si="20"/>
        <v>275896</v>
      </c>
      <c r="M10" s="1240">
        <f t="shared" si="20"/>
        <v>279016</v>
      </c>
      <c r="N10" s="1240">
        <f t="shared" si="20"/>
        <v>265938</v>
      </c>
      <c r="O10" s="1240">
        <f t="shared" si="20"/>
        <v>270067</v>
      </c>
      <c r="P10" s="1240">
        <f t="shared" si="20"/>
        <v>283068</v>
      </c>
      <c r="Q10" s="1240">
        <f t="shared" ref="Q10:V10" si="21">Q29</f>
        <v>282384</v>
      </c>
      <c r="R10" s="1240">
        <f t="shared" si="21"/>
        <v>308976</v>
      </c>
      <c r="S10" s="1240">
        <f t="shared" si="21"/>
        <v>307507</v>
      </c>
      <c r="T10" s="1240">
        <f t="shared" si="21"/>
        <v>311956</v>
      </c>
      <c r="U10" s="1240">
        <f t="shared" si="21"/>
        <v>328970</v>
      </c>
      <c r="V10" s="1240">
        <f t="shared" si="21"/>
        <v>339761</v>
      </c>
      <c r="W10" s="1240">
        <f t="shared" ref="W10:X10" si="22">W29</f>
        <v>343952</v>
      </c>
      <c r="X10" s="1240">
        <f t="shared" si="22"/>
        <v>346463</v>
      </c>
    </row>
    <row r="11" spans="1:25">
      <c r="A11" s="1232">
        <v>4</v>
      </c>
      <c r="B11" s="1232" t="s">
        <v>325</v>
      </c>
      <c r="C11" s="1240">
        <f>C35</f>
        <v>102911</v>
      </c>
      <c r="D11" s="1240">
        <f>D35</f>
        <v>104482</v>
      </c>
      <c r="E11" s="1240">
        <f t="shared" ref="E11:J11" si="23">E35</f>
        <v>108058</v>
      </c>
      <c r="F11" s="1240">
        <f t="shared" si="23"/>
        <v>110842</v>
      </c>
      <c r="G11" s="1240">
        <f t="shared" si="23"/>
        <v>112295</v>
      </c>
      <c r="H11" s="1240">
        <f t="shared" si="23"/>
        <v>114279</v>
      </c>
      <c r="I11" s="1240">
        <f t="shared" si="23"/>
        <v>114918</v>
      </c>
      <c r="J11" s="1240">
        <f t="shared" si="23"/>
        <v>119405</v>
      </c>
      <c r="K11" s="1240">
        <f t="shared" ref="K11:P11" si="24">K35</f>
        <v>123940</v>
      </c>
      <c r="L11" s="1240">
        <f t="shared" si="24"/>
        <v>127210</v>
      </c>
      <c r="M11" s="1240">
        <f t="shared" si="24"/>
        <v>128588</v>
      </c>
      <c r="N11" s="1240">
        <f t="shared" si="24"/>
        <v>121941</v>
      </c>
      <c r="O11" s="1240">
        <f t="shared" si="24"/>
        <v>121985</v>
      </c>
      <c r="P11" s="1240">
        <f t="shared" si="24"/>
        <v>127560</v>
      </c>
      <c r="Q11" s="1240">
        <f t="shared" ref="Q11:V11" si="25">Q35</f>
        <v>137246</v>
      </c>
      <c r="R11" s="1240">
        <f t="shared" si="25"/>
        <v>141690</v>
      </c>
      <c r="S11" s="1240">
        <f t="shared" si="25"/>
        <v>142959</v>
      </c>
      <c r="T11" s="1240">
        <f t="shared" si="25"/>
        <v>146835</v>
      </c>
      <c r="U11" s="1240">
        <f t="shared" si="25"/>
        <v>154744</v>
      </c>
      <c r="V11" s="1240">
        <f t="shared" si="25"/>
        <v>159233</v>
      </c>
      <c r="W11" s="1240">
        <f t="shared" ref="W11:X11" si="26">W35</f>
        <v>161627</v>
      </c>
      <c r="X11" s="1240">
        <f t="shared" si="26"/>
        <v>162721</v>
      </c>
    </row>
    <row r="12" spans="1:25">
      <c r="A12" s="1232">
        <v>5</v>
      </c>
      <c r="B12" s="1232" t="s">
        <v>326</v>
      </c>
      <c r="C12" s="1240">
        <f>C42</f>
        <v>178756</v>
      </c>
      <c r="D12" s="1240">
        <f>D42</f>
        <v>184400</v>
      </c>
      <c r="E12" s="1240">
        <f t="shared" ref="E12:J12" si="27">E42</f>
        <v>194003</v>
      </c>
      <c r="F12" s="1240">
        <f t="shared" si="27"/>
        <v>199780</v>
      </c>
      <c r="G12" s="1240">
        <f t="shared" si="27"/>
        <v>205107</v>
      </c>
      <c r="H12" s="1240">
        <f t="shared" si="27"/>
        <v>214315</v>
      </c>
      <c r="I12" s="1240">
        <f t="shared" si="27"/>
        <v>216067</v>
      </c>
      <c r="J12" s="1240">
        <f t="shared" si="27"/>
        <v>220835</v>
      </c>
      <c r="K12" s="1240">
        <f t="shared" ref="K12:P12" si="28">K42</f>
        <v>234997</v>
      </c>
      <c r="L12" s="1240">
        <f t="shared" si="28"/>
        <v>247406</v>
      </c>
      <c r="M12" s="1240">
        <f t="shared" si="28"/>
        <v>249127</v>
      </c>
      <c r="N12" s="1240">
        <f t="shared" si="28"/>
        <v>239676</v>
      </c>
      <c r="O12" s="1240">
        <f t="shared" si="28"/>
        <v>239164</v>
      </c>
      <c r="P12" s="1240">
        <f t="shared" si="28"/>
        <v>249183</v>
      </c>
      <c r="Q12" s="1240">
        <f t="shared" ref="Q12:V12" si="29">Q42</f>
        <v>239887</v>
      </c>
      <c r="R12" s="1240">
        <f t="shared" si="29"/>
        <v>257067</v>
      </c>
      <c r="S12" s="1240">
        <f t="shared" si="29"/>
        <v>269614</v>
      </c>
      <c r="T12" s="1240">
        <f t="shared" si="29"/>
        <v>272757</v>
      </c>
      <c r="U12" s="1240">
        <f t="shared" si="29"/>
        <v>285419</v>
      </c>
      <c r="V12" s="1240">
        <f t="shared" si="29"/>
        <v>296552</v>
      </c>
      <c r="W12" s="1240">
        <f t="shared" ref="W12:X12" si="30">W42</f>
        <v>299756</v>
      </c>
      <c r="X12" s="1240">
        <f t="shared" si="30"/>
        <v>301635</v>
      </c>
    </row>
    <row r="13" spans="1:25">
      <c r="A13" s="1232">
        <v>6</v>
      </c>
      <c r="B13" s="1232" t="s">
        <v>327</v>
      </c>
      <c r="C13" s="1240">
        <f>C47</f>
        <v>110748</v>
      </c>
      <c r="D13" s="1240">
        <f>D47</f>
        <v>110055</v>
      </c>
      <c r="E13" s="1240">
        <f t="shared" ref="E13:J13" si="31">E47</f>
        <v>115176</v>
      </c>
      <c r="F13" s="1240">
        <f t="shared" si="31"/>
        <v>123481</v>
      </c>
      <c r="G13" s="1240">
        <f t="shared" si="31"/>
        <v>121627</v>
      </c>
      <c r="H13" s="1240">
        <f t="shared" si="31"/>
        <v>128492</v>
      </c>
      <c r="I13" s="1240">
        <f t="shared" si="31"/>
        <v>127810</v>
      </c>
      <c r="J13" s="1240">
        <f t="shared" si="31"/>
        <v>122655</v>
      </c>
      <c r="K13" s="1240">
        <f t="shared" ref="K13:P13" si="32">K47</f>
        <v>124401</v>
      </c>
      <c r="L13" s="1240">
        <f t="shared" si="32"/>
        <v>126909</v>
      </c>
      <c r="M13" s="1240">
        <f t="shared" si="32"/>
        <v>126892</v>
      </c>
      <c r="N13" s="1240">
        <f t="shared" si="32"/>
        <v>119194</v>
      </c>
      <c r="O13" s="1240">
        <f t="shared" si="32"/>
        <v>119714</v>
      </c>
      <c r="P13" s="1240">
        <f t="shared" si="32"/>
        <v>121849</v>
      </c>
      <c r="Q13" s="1240">
        <f t="shared" ref="Q13:V13" si="33">Q47</f>
        <v>126398</v>
      </c>
      <c r="R13" s="1240">
        <f t="shared" si="33"/>
        <v>127230</v>
      </c>
      <c r="S13" s="1240">
        <f t="shared" si="33"/>
        <v>131189</v>
      </c>
      <c r="T13" s="1240">
        <f t="shared" si="33"/>
        <v>134294</v>
      </c>
      <c r="U13" s="1240">
        <f t="shared" si="33"/>
        <v>140457</v>
      </c>
      <c r="V13" s="1240">
        <f t="shared" si="33"/>
        <v>145410</v>
      </c>
      <c r="W13" s="1240">
        <f t="shared" ref="W13:X13" si="34">W47</f>
        <v>147360</v>
      </c>
      <c r="X13" s="1240">
        <f t="shared" si="34"/>
        <v>148209</v>
      </c>
    </row>
    <row r="14" spans="1:25">
      <c r="A14" s="1232">
        <v>7</v>
      </c>
      <c r="B14" s="1232" t="s">
        <v>210</v>
      </c>
      <c r="C14" s="1240">
        <f>C55</f>
        <v>95750</v>
      </c>
      <c r="D14" s="1240">
        <f>D55</f>
        <v>96050</v>
      </c>
      <c r="E14" s="1240">
        <f t="shared" ref="E14:J14" si="35">E55</f>
        <v>101384</v>
      </c>
      <c r="F14" s="1240">
        <f t="shared" si="35"/>
        <v>108595</v>
      </c>
      <c r="G14" s="1240">
        <f t="shared" si="35"/>
        <v>110251</v>
      </c>
      <c r="H14" s="1240">
        <f t="shared" si="35"/>
        <v>116256</v>
      </c>
      <c r="I14" s="1240">
        <f t="shared" si="35"/>
        <v>118115</v>
      </c>
      <c r="J14" s="1240">
        <f t="shared" si="35"/>
        <v>117333</v>
      </c>
      <c r="K14" s="1240">
        <f t="shared" ref="K14:P14" si="36">K55</f>
        <v>118645</v>
      </c>
      <c r="L14" s="1240">
        <f t="shared" si="36"/>
        <v>118975</v>
      </c>
      <c r="M14" s="1240">
        <f t="shared" si="36"/>
        <v>120849</v>
      </c>
      <c r="N14" s="1240">
        <f t="shared" si="36"/>
        <v>113762</v>
      </c>
      <c r="O14" s="1240">
        <f t="shared" si="36"/>
        <v>110352</v>
      </c>
      <c r="P14" s="1240">
        <f t="shared" si="36"/>
        <v>113728</v>
      </c>
      <c r="Q14" s="1240">
        <f t="shared" ref="Q14:V14" si="37">Q55</f>
        <v>119833</v>
      </c>
      <c r="R14" s="1240">
        <f t="shared" si="37"/>
        <v>122677</v>
      </c>
      <c r="S14" s="1240">
        <f t="shared" si="37"/>
        <v>127567</v>
      </c>
      <c r="T14" s="1240">
        <f t="shared" si="37"/>
        <v>126039</v>
      </c>
      <c r="U14" s="1240">
        <f t="shared" si="37"/>
        <v>135377</v>
      </c>
      <c r="V14" s="1240">
        <f t="shared" si="37"/>
        <v>139375</v>
      </c>
      <c r="W14" s="1240">
        <f t="shared" ref="W14:X14" si="38">W55</f>
        <v>140565</v>
      </c>
      <c r="X14" s="1240">
        <f t="shared" si="38"/>
        <v>142102</v>
      </c>
    </row>
    <row r="15" spans="1:25">
      <c r="A15" s="1232">
        <v>8</v>
      </c>
      <c r="B15" s="1232" t="s">
        <v>211</v>
      </c>
      <c r="C15" s="1240">
        <f>C61</f>
        <v>50898</v>
      </c>
      <c r="D15" s="1240">
        <f>D61</f>
        <v>51927</v>
      </c>
      <c r="E15" s="1240">
        <f t="shared" ref="E15:J15" si="39">E61</f>
        <v>53738</v>
      </c>
      <c r="F15" s="1240">
        <f t="shared" si="39"/>
        <v>55955</v>
      </c>
      <c r="G15" s="1240">
        <f t="shared" si="39"/>
        <v>55940</v>
      </c>
      <c r="H15" s="1240">
        <f t="shared" si="39"/>
        <v>58301</v>
      </c>
      <c r="I15" s="1240">
        <f t="shared" si="39"/>
        <v>57862</v>
      </c>
      <c r="J15" s="1240">
        <f t="shared" si="39"/>
        <v>59829</v>
      </c>
      <c r="K15" s="1240">
        <f t="shared" ref="K15:P15" si="40">K61</f>
        <v>63283</v>
      </c>
      <c r="L15" s="1240">
        <f t="shared" si="40"/>
        <v>65260</v>
      </c>
      <c r="M15" s="1240">
        <f t="shared" si="40"/>
        <v>66014</v>
      </c>
      <c r="N15" s="1240">
        <f t="shared" si="40"/>
        <v>62781</v>
      </c>
      <c r="O15" s="1240">
        <f t="shared" si="40"/>
        <v>62754</v>
      </c>
      <c r="P15" s="1240">
        <f t="shared" si="40"/>
        <v>65246</v>
      </c>
      <c r="Q15" s="1240">
        <f t="shared" ref="Q15:V15" si="41">Q61</f>
        <v>66058</v>
      </c>
      <c r="R15" s="1240">
        <f t="shared" si="41"/>
        <v>67683</v>
      </c>
      <c r="S15" s="1240">
        <f t="shared" si="41"/>
        <v>68592</v>
      </c>
      <c r="T15" s="1240">
        <f t="shared" si="41"/>
        <v>73245</v>
      </c>
      <c r="U15" s="1240">
        <f t="shared" si="41"/>
        <v>76937</v>
      </c>
      <c r="V15" s="1240">
        <f t="shared" si="41"/>
        <v>78339</v>
      </c>
      <c r="W15" s="1240">
        <f t="shared" ref="W15:X15" si="42">W61</f>
        <v>80164</v>
      </c>
      <c r="X15" s="1240">
        <f t="shared" si="42"/>
        <v>80560</v>
      </c>
    </row>
    <row r="16" spans="1:25">
      <c r="A16" s="1242">
        <v>9</v>
      </c>
      <c r="B16" s="1242" t="s">
        <v>212</v>
      </c>
      <c r="C16" s="1243">
        <f>C64</f>
        <v>66561</v>
      </c>
      <c r="D16" s="1243">
        <f>D64</f>
        <v>65221</v>
      </c>
      <c r="E16" s="1243">
        <f t="shared" ref="E16:J16" si="43">E64</f>
        <v>67408</v>
      </c>
      <c r="F16" s="1243">
        <f t="shared" si="43"/>
        <v>73213</v>
      </c>
      <c r="G16" s="1243">
        <f t="shared" si="43"/>
        <v>70271</v>
      </c>
      <c r="H16" s="1243">
        <f t="shared" si="43"/>
        <v>74382</v>
      </c>
      <c r="I16" s="1243">
        <f t="shared" si="43"/>
        <v>74346</v>
      </c>
      <c r="J16" s="1243">
        <f t="shared" si="43"/>
        <v>80041</v>
      </c>
      <c r="K16" s="1243">
        <f t="shared" ref="K16:P16" si="44">K64</f>
        <v>80385</v>
      </c>
      <c r="L16" s="1243">
        <f t="shared" si="44"/>
        <v>85600</v>
      </c>
      <c r="M16" s="1243">
        <f t="shared" si="44"/>
        <v>84172</v>
      </c>
      <c r="N16" s="1243">
        <f t="shared" si="44"/>
        <v>80668</v>
      </c>
      <c r="O16" s="1243">
        <f t="shared" si="44"/>
        <v>82215</v>
      </c>
      <c r="P16" s="1243">
        <f t="shared" si="44"/>
        <v>88079</v>
      </c>
      <c r="Q16" s="1243">
        <f t="shared" ref="Q16:V16" si="45">Q64</f>
        <v>95607</v>
      </c>
      <c r="R16" s="1243">
        <f t="shared" si="45"/>
        <v>106432</v>
      </c>
      <c r="S16" s="1243">
        <f t="shared" si="45"/>
        <v>98397</v>
      </c>
      <c r="T16" s="1243">
        <f t="shared" si="45"/>
        <v>101490</v>
      </c>
      <c r="U16" s="1243">
        <f t="shared" si="45"/>
        <v>103121</v>
      </c>
      <c r="V16" s="1243">
        <f t="shared" si="45"/>
        <v>108536</v>
      </c>
      <c r="W16" s="1243">
        <f t="shared" ref="W16:X16" si="46">W64</f>
        <v>109813</v>
      </c>
      <c r="X16" s="1243">
        <f t="shared" si="46"/>
        <v>109947</v>
      </c>
    </row>
    <row r="17" spans="1:25">
      <c r="A17" s="1244" t="s">
        <v>1352</v>
      </c>
      <c r="B17" s="1232"/>
      <c r="C17" s="1240">
        <f>ROUND(C$5*市町人件費物件費歳出!S5/市町人件費物件費歳出!S$4,0)-C18</f>
        <v>2.3620036253705621</v>
      </c>
      <c r="D17" s="1240">
        <f>ROUND(D$5*市町人件費物件費歳出!T5/市町人件費物件費歳出!T$4,0)-D18</f>
        <v>-1.5496911928057671</v>
      </c>
      <c r="E17" s="1240">
        <f>ROUND(E$5*市町人件費物件費歳出!U5/市町人件費物件費歳出!U$4,0)-E18</f>
        <v>0.12978551536798477</v>
      </c>
      <c r="F17" s="1240">
        <f>ROUND(F$5*市町人件費物件費歳出!V5/市町人件費物件費歳出!V$4,0)-F18</f>
        <v>-1.3434057990089059</v>
      </c>
      <c r="G17" s="1240">
        <f>ROUND(G$5*市町人件費物件費歳出!W5/市町人件費物件費歳出!W$4,0)-G18</f>
        <v>-0.15438171476125717</v>
      </c>
      <c r="H17" s="1240">
        <f>ROUND(H$5*市町人件費物件費歳出!X5/市町人件費物件費歳出!X$4,0)-H18</f>
        <v>0</v>
      </c>
      <c r="I17" s="1240">
        <f>ROUND(I$5*市町人件費物件費歳出!Y5/市町人件費物件費歳出!Y$4,0)-I18</f>
        <v>0</v>
      </c>
      <c r="J17" s="1240">
        <f>ROUND(J$5*市町人件費物件費歳出!Z5/市町人件費物件費歳出!Z$4,0)-J18</f>
        <v>1</v>
      </c>
      <c r="K17" s="1240">
        <f>ROUND(K$5*市町人件費物件費歳出!AA5/市町人件費物件費歳出!AA$4,0)-K18</f>
        <v>2</v>
      </c>
      <c r="L17" s="1240">
        <f>ROUND(L$5*市町人件費物件費歳出!AB5/市町人件費物件費歳出!AB$4,0)-L18</f>
        <v>-2</v>
      </c>
      <c r="M17" s="1240">
        <f>ROUND(M$5*市町人件費物件費歳出!AC5/市町人件費物件費歳出!AC$4,0)-M18</f>
        <v>2</v>
      </c>
      <c r="N17" s="1240">
        <f>ROUND(N$5*市町人件費物件費歳出!AD5/市町人件費物件費歳出!AD$4,0)-N18</f>
        <v>-2</v>
      </c>
      <c r="O17" s="1240">
        <f>ROUND(O$5*市町人件費物件費歳出!AE5/市町人件費物件費歳出!AE$4,0)-O18</f>
        <v>-1</v>
      </c>
      <c r="P17" s="1240">
        <f>ROUND(P$5*市町人件費物件費歳出!AF5/市町人件費物件費歳出!AF$4,0)-P18</f>
        <v>0</v>
      </c>
      <c r="Q17" s="1240">
        <f>ROUND(Q$5*市町人件費物件費歳出!AG5/市町人件費物件費歳出!AG$4,0)-Q18</f>
        <v>-4</v>
      </c>
      <c r="R17" s="1240">
        <f>ROUND(R$5*市町人件費物件費歳出!AH5/市町人件費物件費歳出!AH$4,0)-R18</f>
        <v>-3</v>
      </c>
      <c r="S17" s="1240">
        <f>ROUND(S$5*市町人件費物件費歳出!AI5/市町人件費物件費歳出!AI$4,0)-S18</f>
        <v>-1</v>
      </c>
      <c r="T17" s="1240">
        <f>ROUND(T$5*市町人件費物件費歳出!AJ5/市町人件費物件費歳出!AJ$4,0)-T18</f>
        <v>3</v>
      </c>
      <c r="U17" s="1240">
        <f>ROUND(U$5*市町人件費物件費歳出!AK5/市町人件費物件費歳出!AK$4,0)-U18</f>
        <v>-1</v>
      </c>
      <c r="V17" s="1240">
        <f>ROUND(V$5*市町人件費物件費歳出!AL5/市町人件費物件費歳出!AL$4,0)-V18</f>
        <v>1</v>
      </c>
      <c r="W17" s="1240">
        <f>ROUND(W$5*市町人件費物件費歳出!AM5/市町人件費物件費歳出!AM$4,0)-W18</f>
        <v>0</v>
      </c>
      <c r="X17" s="1240">
        <f>ROUND(X$5*市町人件費物件費歳出!AN5/市町人件費物件費歳出!AN$4,0)-X18</f>
        <v>0</v>
      </c>
      <c r="Y17" s="1245" t="s">
        <v>1335</v>
      </c>
    </row>
    <row r="18" spans="1:25">
      <c r="A18" s="1236">
        <v>100</v>
      </c>
      <c r="B18" s="1236" t="s">
        <v>172</v>
      </c>
      <c r="C18" s="1237">
        <f>C5-SUM(C8:C16)</f>
        <v>575527.63799637463</v>
      </c>
      <c r="D18" s="1237">
        <f>D5-SUM(D8:D16)</f>
        <v>582213.54969119281</v>
      </c>
      <c r="E18" s="1237">
        <f t="shared" ref="E18:J18" si="47">E5-SUM(E8:E16)</f>
        <v>609780.87021448463</v>
      </c>
      <c r="F18" s="1237">
        <f t="shared" si="47"/>
        <v>649150.34340579901</v>
      </c>
      <c r="G18" s="1237">
        <f t="shared" si="47"/>
        <v>640539.15438171476</v>
      </c>
      <c r="H18" s="1237">
        <f t="shared" si="47"/>
        <v>667146</v>
      </c>
      <c r="I18" s="1237">
        <f t="shared" si="47"/>
        <v>675624</v>
      </c>
      <c r="J18" s="1237">
        <f t="shared" si="47"/>
        <v>685267</v>
      </c>
      <c r="K18" s="1237">
        <f t="shared" ref="K18:P18" si="48">K5-SUM(K8:K16)</f>
        <v>708260</v>
      </c>
      <c r="L18" s="1237">
        <f t="shared" si="48"/>
        <v>721533</v>
      </c>
      <c r="M18" s="1237">
        <f t="shared" si="48"/>
        <v>718365</v>
      </c>
      <c r="N18" s="1237">
        <f t="shared" si="48"/>
        <v>932698</v>
      </c>
      <c r="O18" s="1237">
        <f t="shared" si="48"/>
        <v>942361</v>
      </c>
      <c r="P18" s="1237">
        <f t="shared" si="48"/>
        <v>982784</v>
      </c>
      <c r="Q18" s="1237">
        <f t="shared" ref="Q18:V18" si="49">Q5-SUM(Q8:Q16)</f>
        <v>958986</v>
      </c>
      <c r="R18" s="1237">
        <f t="shared" si="49"/>
        <v>1055243</v>
      </c>
      <c r="S18" s="1237">
        <f t="shared" si="49"/>
        <v>1064443</v>
      </c>
      <c r="T18" s="1237">
        <f t="shared" si="49"/>
        <v>1009028</v>
      </c>
      <c r="U18" s="1237">
        <f t="shared" si="49"/>
        <v>1067351</v>
      </c>
      <c r="V18" s="1237">
        <f t="shared" si="49"/>
        <v>1125791</v>
      </c>
      <c r="W18" s="1237">
        <f t="shared" ref="W18:X18" si="50">W5-SUM(W8:W16)</f>
        <v>1122755</v>
      </c>
      <c r="X18" s="1237">
        <f t="shared" si="50"/>
        <v>1134219</v>
      </c>
    </row>
    <row r="19" spans="1:25">
      <c r="A19" s="1232">
        <v>1</v>
      </c>
      <c r="B19" s="1232" t="s">
        <v>328</v>
      </c>
      <c r="C19" s="1240">
        <f>SUM(C20:C22)</f>
        <v>348992</v>
      </c>
      <c r="D19" s="1240">
        <f>SUM(D20:D22)</f>
        <v>355898</v>
      </c>
      <c r="E19" s="1240">
        <f t="shared" ref="E19:J19" si="51">SUM(E20:E22)</f>
        <v>384109</v>
      </c>
      <c r="F19" s="1240">
        <f t="shared" si="51"/>
        <v>402243</v>
      </c>
      <c r="G19" s="1240">
        <f t="shared" si="51"/>
        <v>392549</v>
      </c>
      <c r="H19" s="1240">
        <f t="shared" si="51"/>
        <v>400120</v>
      </c>
      <c r="I19" s="1240">
        <f t="shared" si="51"/>
        <v>406607</v>
      </c>
      <c r="J19" s="1240">
        <f t="shared" si="51"/>
        <v>429681</v>
      </c>
      <c r="K19" s="1240">
        <f t="shared" ref="K19:P19" si="52">SUM(K20:K22)</f>
        <v>437135</v>
      </c>
      <c r="L19" s="1240">
        <f t="shared" si="52"/>
        <v>451050</v>
      </c>
      <c r="M19" s="1240">
        <f t="shared" si="52"/>
        <v>456960</v>
      </c>
      <c r="N19" s="1240">
        <f t="shared" si="52"/>
        <v>437031</v>
      </c>
      <c r="O19" s="1240">
        <f t="shared" si="52"/>
        <v>438078</v>
      </c>
      <c r="P19" s="1240">
        <f t="shared" si="52"/>
        <v>455008</v>
      </c>
      <c r="Q19" s="1240">
        <f t="shared" ref="Q19:V19" si="53">SUM(Q20:Q22)</f>
        <v>450039</v>
      </c>
      <c r="R19" s="1240">
        <f t="shared" si="53"/>
        <v>476372</v>
      </c>
      <c r="S19" s="1240">
        <f t="shared" si="53"/>
        <v>483896</v>
      </c>
      <c r="T19" s="1240">
        <f t="shared" si="53"/>
        <v>492474</v>
      </c>
      <c r="U19" s="1240">
        <f t="shared" si="53"/>
        <v>505394</v>
      </c>
      <c r="V19" s="1240">
        <f t="shared" si="53"/>
        <v>530814</v>
      </c>
      <c r="W19" s="1240">
        <f t="shared" ref="W19:X19" si="54">SUM(W20:W22)</f>
        <v>536069</v>
      </c>
      <c r="X19" s="1240">
        <f t="shared" si="54"/>
        <v>537775</v>
      </c>
    </row>
    <row r="20" spans="1:25">
      <c r="A20" s="1232">
        <v>202</v>
      </c>
      <c r="B20" s="1232" t="s">
        <v>183</v>
      </c>
      <c r="C20" s="1240">
        <f>ROUND(C$5*市町人件費物件費歳出!S7/市町人件費物件費歳出!S$4,0)</f>
        <v>160046</v>
      </c>
      <c r="D20" s="1240">
        <f>ROUND(D$5*市町人件費物件費歳出!T7/市町人件費物件費歳出!T$4,0)</f>
        <v>163048</v>
      </c>
      <c r="E20" s="1240">
        <f>ROUND(E$5*市町人件費物件費歳出!U7/市町人件費物件費歳出!U$4,0)</f>
        <v>167936</v>
      </c>
      <c r="F20" s="1240">
        <f>ROUND(F$5*市町人件費物件費歳出!V7/市町人件費物件費歳出!V$4,0)</f>
        <v>171612</v>
      </c>
      <c r="G20" s="1240">
        <f>ROUND(G$5*市町人件費物件費歳出!W7/市町人件費物件費歳出!W$4,0)</f>
        <v>163218</v>
      </c>
      <c r="H20" s="1240">
        <f>ROUND(H$5*市町人件費物件費歳出!X7/市町人件費物件費歳出!X$4,0)</f>
        <v>164015</v>
      </c>
      <c r="I20" s="1240">
        <f>ROUND(I$5*市町人件費物件費歳出!Y7/市町人件費物件費歳出!Y$4,0)</f>
        <v>163053</v>
      </c>
      <c r="J20" s="1240">
        <f>ROUND(J$5*市町人件費物件費歳出!Z7/市町人件費物件費歳出!Z$4,0)</f>
        <v>167136</v>
      </c>
      <c r="K20" s="1240">
        <f>ROUND(K$5*市町人件費物件費歳出!AA7/市町人件費物件費歳出!AA$4,0)</f>
        <v>170768</v>
      </c>
      <c r="L20" s="1240">
        <f>ROUND(L$5*市町人件費物件費歳出!AB7/市町人件費物件費歳出!AB$4,0)</f>
        <v>175056</v>
      </c>
      <c r="M20" s="1240">
        <f>ROUND(M$5*市町人件費物件費歳出!AC7/市町人件費物件費歳出!AC$4,0)</f>
        <v>177952</v>
      </c>
      <c r="N20" s="1240">
        <f>ROUND(N$5*市町人件費物件費歳出!AD7/市町人件費物件費歳出!AD$4,0)</f>
        <v>165823</v>
      </c>
      <c r="O20" s="1240">
        <f>ROUND(O$5*市町人件費物件費歳出!AE7/市町人件費物件費歳出!AE$4,0)</f>
        <v>168869</v>
      </c>
      <c r="P20" s="1240">
        <f>ROUND(P$5*市町人件費物件費歳出!AF7/市町人件費物件費歳出!AF$4,0)</f>
        <v>175674</v>
      </c>
      <c r="Q20" s="1240">
        <f>ROUND(Q$5*市町人件費物件費歳出!AG7/市町人件費物件費歳出!AG$4,0)</f>
        <v>177023</v>
      </c>
      <c r="R20" s="1240">
        <f>ROUND(R$5*市町人件費物件費歳出!AH7/市町人件費物件費歳出!AH$4,0)</f>
        <v>184034</v>
      </c>
      <c r="S20" s="1240">
        <f>ROUND(S$5*市町人件費物件費歳出!AI7/市町人件費物件費歳出!AI$4,0)</f>
        <v>189046</v>
      </c>
      <c r="T20" s="1240">
        <f>ROUND(T$5*市町人件費物件費歳出!AJ7/市町人件費物件費歳出!AJ$4,0)</f>
        <v>191128</v>
      </c>
      <c r="U20" s="1240">
        <f>ROUND(U$5*市町人件費物件費歳出!AK7/市町人件費物件費歳出!AK$4,0)</f>
        <v>198500</v>
      </c>
      <c r="V20" s="1240">
        <f>ROUND(V$5*市町人件費物件費歳出!AL7/市町人件費物件費歳出!AL$4,0)</f>
        <v>207308</v>
      </c>
      <c r="W20" s="1240">
        <f>ROUND(W$5*市町人件費物件費歳出!AM7/市町人件費物件費歳出!AM$4,0)</f>
        <v>209338</v>
      </c>
      <c r="X20" s="1240">
        <f>ROUND(X$5*市町人件費物件費歳出!AN7/市町人件費物件費歳出!AN$4,0)</f>
        <v>210422</v>
      </c>
    </row>
    <row r="21" spans="1:25">
      <c r="A21" s="1232">
        <v>204</v>
      </c>
      <c r="B21" s="1232" t="s">
        <v>184</v>
      </c>
      <c r="C21" s="1240">
        <f>ROUND(C$5*市町人件費物件費歳出!S8/市町人件費物件費歳出!S$4,0)</f>
        <v>152211</v>
      </c>
      <c r="D21" s="1240">
        <f>ROUND(D$5*市町人件費物件費歳出!T8/市町人件費物件費歳出!T$4,0)</f>
        <v>155545</v>
      </c>
      <c r="E21" s="1240">
        <f>ROUND(E$5*市町人件費物件費歳出!U8/市町人件費物件費歳出!U$4,0)</f>
        <v>175665</v>
      </c>
      <c r="F21" s="1240">
        <f>ROUND(F$5*市町人件費物件費歳出!V8/市町人件費物件費歳出!V$4,0)</f>
        <v>187673</v>
      </c>
      <c r="G21" s="1240">
        <f>ROUND(G$5*市町人件費物件費歳出!W8/市町人件費物件費歳出!W$4,0)</f>
        <v>185922</v>
      </c>
      <c r="H21" s="1240">
        <f>ROUND(H$5*市町人件費物件費歳出!X8/市町人件費物件費歳出!X$4,0)</f>
        <v>189512</v>
      </c>
      <c r="I21" s="1240">
        <f>ROUND(I$5*市町人件費物件費歳出!Y8/市町人件費物件費歳出!Y$4,0)</f>
        <v>195137</v>
      </c>
      <c r="J21" s="1240">
        <f>ROUND(J$5*市町人件費物件費歳出!Z8/市町人件費物件費歳出!Z$4,0)</f>
        <v>210472</v>
      </c>
      <c r="K21" s="1240">
        <f>ROUND(K$5*市町人件費物件費歳出!AA8/市町人件費物件費歳出!AA$4,0)</f>
        <v>216036</v>
      </c>
      <c r="L21" s="1240">
        <f>ROUND(L$5*市町人件費物件費歳出!AB8/市町人件費物件費歳出!AB$4,0)</f>
        <v>222491</v>
      </c>
      <c r="M21" s="1240">
        <f>ROUND(M$5*市町人件費物件費歳出!AC8/市町人件費物件費歳出!AC$4,0)</f>
        <v>224660</v>
      </c>
      <c r="N21" s="1240">
        <f>ROUND(N$5*市町人件費物件費歳出!AD8/市町人件費物件費歳出!AD$4,0)</f>
        <v>218894</v>
      </c>
      <c r="O21" s="1240">
        <f>ROUND(O$5*市町人件費物件費歳出!AE8/市町人件費物件費歳出!AE$4,0)</f>
        <v>217024</v>
      </c>
      <c r="P21" s="1240">
        <f>ROUND(P$5*市町人件費物件費歳出!AF8/市町人件費物件費歳出!AF$4,0)</f>
        <v>226130</v>
      </c>
      <c r="Q21" s="1240">
        <f>ROUND(Q$5*市町人件費物件費歳出!AG8/市町人件費物件費歳出!AG$4,0)</f>
        <v>221030</v>
      </c>
      <c r="R21" s="1240">
        <f>ROUND(R$5*市町人件費物件費歳出!AH8/市町人件費物件費歳出!AH$4,0)</f>
        <v>238377</v>
      </c>
      <c r="S21" s="1240">
        <f>ROUND(S$5*市町人件費物件費歳出!AI8/市町人件費物件費歳出!AI$4,0)</f>
        <v>240171</v>
      </c>
      <c r="T21" s="1240">
        <f>ROUND(T$5*市町人件費物件費歳出!AJ8/市町人件費物件費歳出!AJ$4,0)</f>
        <v>246952</v>
      </c>
      <c r="U21" s="1240">
        <f>ROUND(U$5*市町人件費物件費歳出!AK8/市町人件費物件費歳出!AK$4,0)</f>
        <v>247191</v>
      </c>
      <c r="V21" s="1240">
        <f>ROUND(V$5*市町人件費物件費歳出!AL8/市町人件費物件費歳出!AL$4,0)</f>
        <v>263036</v>
      </c>
      <c r="W21" s="1240">
        <f>ROUND(W$5*市町人件費物件費歳出!AM8/市町人件費物件費歳出!AM$4,0)</f>
        <v>265497</v>
      </c>
      <c r="X21" s="1240">
        <f>ROUND(X$5*市町人件費物件費歳出!AN8/市町人件費物件費歳出!AN$4,0)</f>
        <v>265269</v>
      </c>
    </row>
    <row r="22" spans="1:25">
      <c r="A22" s="1232">
        <v>206</v>
      </c>
      <c r="B22" s="1232" t="s">
        <v>185</v>
      </c>
      <c r="C22" s="1240">
        <f>ROUND(C$5*市町人件費物件費歳出!S9/市町人件費物件費歳出!S$4,0)</f>
        <v>36735</v>
      </c>
      <c r="D22" s="1240">
        <f>ROUND(D$5*市町人件費物件費歳出!T9/市町人件費物件費歳出!T$4,0)</f>
        <v>37305</v>
      </c>
      <c r="E22" s="1240">
        <f>ROUND(E$5*市町人件費物件費歳出!U9/市町人件費物件費歳出!U$4,0)</f>
        <v>40508</v>
      </c>
      <c r="F22" s="1240">
        <f>ROUND(F$5*市町人件費物件費歳出!V9/市町人件費物件費歳出!V$4,0)</f>
        <v>42958</v>
      </c>
      <c r="G22" s="1240">
        <f>ROUND(G$5*市町人件費物件費歳出!W9/市町人件費物件費歳出!W$4,0)</f>
        <v>43409</v>
      </c>
      <c r="H22" s="1240">
        <f>ROUND(H$5*市町人件費物件費歳出!X9/市町人件費物件費歳出!X$4,0)</f>
        <v>46593</v>
      </c>
      <c r="I22" s="1240">
        <f>ROUND(I$5*市町人件費物件費歳出!Y9/市町人件費物件費歳出!Y$4,0)</f>
        <v>48417</v>
      </c>
      <c r="J22" s="1240">
        <f>ROUND(J$5*市町人件費物件費歳出!Z9/市町人件費物件費歳出!Z$4,0)</f>
        <v>52073</v>
      </c>
      <c r="K22" s="1240">
        <f>ROUND(K$5*市町人件費物件費歳出!AA9/市町人件費物件費歳出!AA$4,0)</f>
        <v>50331</v>
      </c>
      <c r="L22" s="1240">
        <f>ROUND(L$5*市町人件費物件費歳出!AB9/市町人件費物件費歳出!AB$4,0)</f>
        <v>53503</v>
      </c>
      <c r="M22" s="1240">
        <f>ROUND(M$5*市町人件費物件費歳出!AC9/市町人件費物件費歳出!AC$4,0)</f>
        <v>54348</v>
      </c>
      <c r="N22" s="1240">
        <f>ROUND(N$5*市町人件費物件費歳出!AD9/市町人件費物件費歳出!AD$4,0)</f>
        <v>52314</v>
      </c>
      <c r="O22" s="1240">
        <f>ROUND(O$5*市町人件費物件費歳出!AE9/市町人件費物件費歳出!AE$4,0)</f>
        <v>52185</v>
      </c>
      <c r="P22" s="1240">
        <f>ROUND(P$5*市町人件費物件費歳出!AF9/市町人件費物件費歳出!AF$4,0)</f>
        <v>53204</v>
      </c>
      <c r="Q22" s="1240">
        <f>ROUND(Q$5*市町人件費物件費歳出!AG9/市町人件費物件費歳出!AG$4,0)</f>
        <v>51986</v>
      </c>
      <c r="R22" s="1240">
        <f>ROUND(R$5*市町人件費物件費歳出!AH9/市町人件費物件費歳出!AH$4,0)</f>
        <v>53961</v>
      </c>
      <c r="S22" s="1240">
        <f>ROUND(S$5*市町人件費物件費歳出!AI9/市町人件費物件費歳出!AI$4,0)</f>
        <v>54679</v>
      </c>
      <c r="T22" s="1240">
        <f>ROUND(T$5*市町人件費物件費歳出!AJ9/市町人件費物件費歳出!AJ$4,0)</f>
        <v>54394</v>
      </c>
      <c r="U22" s="1240">
        <f>ROUND(U$5*市町人件費物件費歳出!AK9/市町人件費物件費歳出!AK$4,0)</f>
        <v>59703</v>
      </c>
      <c r="V22" s="1240">
        <f>ROUND(V$5*市町人件費物件費歳出!AL9/市町人件費物件費歳出!AL$4,0)</f>
        <v>60470</v>
      </c>
      <c r="W22" s="1240">
        <f>ROUND(W$5*市町人件費物件費歳出!AM9/市町人件費物件費歳出!AM$4,0)</f>
        <v>61234</v>
      </c>
      <c r="X22" s="1240">
        <f>ROUND(X$5*市町人件費物件費歳出!AN9/市町人件費物件費歳出!AN$4,0)</f>
        <v>62084</v>
      </c>
    </row>
    <row r="23" spans="1:25">
      <c r="A23" s="1230">
        <v>2</v>
      </c>
      <c r="B23" s="1230" t="s">
        <v>324</v>
      </c>
      <c r="C23" s="1241">
        <f>SUM(C24:C28)</f>
        <v>234773</v>
      </c>
      <c r="D23" s="1241">
        <f>SUM(D24:D28)</f>
        <v>242577</v>
      </c>
      <c r="E23" s="1241">
        <f t="shared" ref="E23:J23" si="55">SUM(E24:E28)</f>
        <v>252570</v>
      </c>
      <c r="F23" s="1241">
        <f t="shared" si="55"/>
        <v>254490</v>
      </c>
      <c r="G23" s="1241">
        <f t="shared" si="55"/>
        <v>256372</v>
      </c>
      <c r="H23" s="1241">
        <f t="shared" si="55"/>
        <v>267129</v>
      </c>
      <c r="I23" s="1241">
        <f t="shared" si="55"/>
        <v>272920</v>
      </c>
      <c r="J23" s="1241">
        <f t="shared" si="55"/>
        <v>281281</v>
      </c>
      <c r="K23" s="1241">
        <f t="shared" ref="K23:P23" si="56">SUM(K24:K28)</f>
        <v>287424</v>
      </c>
      <c r="L23" s="1241">
        <f t="shared" si="56"/>
        <v>298556</v>
      </c>
      <c r="M23" s="1241">
        <f t="shared" si="56"/>
        <v>305510</v>
      </c>
      <c r="N23" s="1241">
        <f t="shared" si="56"/>
        <v>290415</v>
      </c>
      <c r="O23" s="1241">
        <f t="shared" si="56"/>
        <v>287876</v>
      </c>
      <c r="P23" s="1241">
        <f t="shared" si="56"/>
        <v>301484</v>
      </c>
      <c r="Q23" s="1241">
        <f t="shared" ref="Q23:V23" si="57">SUM(Q24:Q28)</f>
        <v>301527</v>
      </c>
      <c r="R23" s="1241">
        <f t="shared" si="57"/>
        <v>315253</v>
      </c>
      <c r="S23" s="1241">
        <f t="shared" si="57"/>
        <v>319106</v>
      </c>
      <c r="T23" s="1241">
        <f t="shared" si="57"/>
        <v>328471</v>
      </c>
      <c r="U23" s="1241">
        <f t="shared" si="57"/>
        <v>339629</v>
      </c>
      <c r="V23" s="1241">
        <f t="shared" si="57"/>
        <v>353613</v>
      </c>
      <c r="W23" s="1241">
        <f t="shared" ref="W23:X23" si="58">SUM(W24:W28)</f>
        <v>358322</v>
      </c>
      <c r="X23" s="1241">
        <f t="shared" si="58"/>
        <v>359711</v>
      </c>
    </row>
    <row r="24" spans="1:25">
      <c r="A24" s="1232">
        <v>207</v>
      </c>
      <c r="B24" s="1232" t="s">
        <v>187</v>
      </c>
      <c r="C24" s="1240">
        <f>ROUND(C$5*市町人件費物件費歳出!S11/市町人件費物件費歳出!S$4,0)</f>
        <v>63033</v>
      </c>
      <c r="D24" s="1240">
        <f>ROUND(D$5*市町人件費物件費歳出!T11/市町人件費物件費歳出!T$4,0)</f>
        <v>66794</v>
      </c>
      <c r="E24" s="1240">
        <f>ROUND(E$5*市町人件費物件費歳出!U11/市町人件費物件費歳出!U$4,0)</f>
        <v>68548</v>
      </c>
      <c r="F24" s="1240">
        <f>ROUND(F$5*市町人件費物件費歳出!V11/市町人件費物件費歳出!V$4,0)</f>
        <v>68006</v>
      </c>
      <c r="G24" s="1240">
        <f>ROUND(G$5*市町人件費物件費歳出!W11/市町人件費物件費歳出!W$4,0)</f>
        <v>68766</v>
      </c>
      <c r="H24" s="1240">
        <f>ROUND(H$5*市町人件費物件費歳出!X11/市町人件費物件費歳出!X$4,0)</f>
        <v>70429</v>
      </c>
      <c r="I24" s="1240">
        <f>ROUND(I$5*市町人件費物件費歳出!Y11/市町人件費物件費歳出!Y$4,0)</f>
        <v>71021</v>
      </c>
      <c r="J24" s="1240">
        <f>ROUND(J$5*市町人件費物件費歳出!Z11/市町人件費物件費歳出!Z$4,0)</f>
        <v>73363</v>
      </c>
      <c r="K24" s="1240">
        <f>ROUND(K$5*市町人件費物件費歳出!AA11/市町人件費物件費歳出!AA$4,0)</f>
        <v>73595</v>
      </c>
      <c r="L24" s="1240">
        <f>ROUND(L$5*市町人件費物件費歳出!AB11/市町人件費物件費歳出!AB$4,0)</f>
        <v>77044</v>
      </c>
      <c r="M24" s="1240">
        <f>ROUND(M$5*市町人件費物件費歳出!AC11/市町人件費物件費歳出!AC$4,0)</f>
        <v>78247</v>
      </c>
      <c r="N24" s="1240">
        <f>ROUND(N$5*市町人件費物件費歳出!AD11/市町人件費物件費歳出!AD$4,0)</f>
        <v>76445</v>
      </c>
      <c r="O24" s="1240">
        <f>ROUND(O$5*市町人件費物件費歳出!AE11/市町人件費物件費歳出!AE$4,0)</f>
        <v>75898</v>
      </c>
      <c r="P24" s="1240">
        <f>ROUND(P$5*市町人件費物件費歳出!AF11/市町人件費物件費歳出!AF$4,0)</f>
        <v>80368</v>
      </c>
      <c r="Q24" s="1240">
        <f>ROUND(Q$5*市町人件費物件費歳出!AG11/市町人件費物件費歳出!AG$4,0)</f>
        <v>80886</v>
      </c>
      <c r="R24" s="1240">
        <f>ROUND(R$5*市町人件費物件費歳出!AH11/市町人件費物件費歳出!AH$4,0)</f>
        <v>83934</v>
      </c>
      <c r="S24" s="1240">
        <f>ROUND(S$5*市町人件費物件費歳出!AI11/市町人件費物件費歳出!AI$4,0)</f>
        <v>85697</v>
      </c>
      <c r="T24" s="1240">
        <f>ROUND(T$5*市町人件費物件費歳出!AJ11/市町人件費物件費歳出!AJ$4,0)</f>
        <v>84943</v>
      </c>
      <c r="U24" s="1240">
        <f>ROUND(U$5*市町人件費物件費歳出!AK11/市町人件費物件費歳出!AK$4,0)</f>
        <v>90179</v>
      </c>
      <c r="V24" s="1240">
        <f>ROUND(V$5*市町人件費物件費歳出!AL11/市町人件費物件費歳出!AL$4,0)</f>
        <v>93452</v>
      </c>
      <c r="W24" s="1240">
        <f>ROUND(W$5*市町人件費物件費歳出!AM11/市町人件費物件費歳出!AM$4,0)</f>
        <v>94189</v>
      </c>
      <c r="X24" s="1240">
        <f>ROUND(X$5*市町人件費物件費歳出!AN11/市町人件費物件費歳出!AN$4,0)</f>
        <v>95047</v>
      </c>
    </row>
    <row r="25" spans="1:25">
      <c r="A25" s="1232">
        <v>214</v>
      </c>
      <c r="B25" s="1232" t="s">
        <v>188</v>
      </c>
      <c r="C25" s="1240">
        <f>ROUND(C$5*市町人件費物件費歳出!S12/市町人件費物件費歳出!S$4,0)</f>
        <v>71418</v>
      </c>
      <c r="D25" s="1240">
        <f>ROUND(D$5*市町人件費物件費歳出!T12/市町人件費物件費歳出!T$4,0)</f>
        <v>72489</v>
      </c>
      <c r="E25" s="1240">
        <f>ROUND(E$5*市町人件費物件費歳出!U12/市町人件費物件費歳出!U$4,0)</f>
        <v>75548</v>
      </c>
      <c r="F25" s="1240">
        <f>ROUND(F$5*市町人件費物件費歳出!V12/市町人件費物件費歳出!V$4,0)</f>
        <v>77353</v>
      </c>
      <c r="G25" s="1240">
        <f>ROUND(G$5*市町人件費物件費歳出!W12/市町人件費物件費歳出!W$4,0)</f>
        <v>76938</v>
      </c>
      <c r="H25" s="1240">
        <f>ROUND(H$5*市町人件費物件費歳出!X12/市町人件費物件費歳出!X$4,0)</f>
        <v>81805</v>
      </c>
      <c r="I25" s="1240">
        <f>ROUND(I$5*市町人件費物件費歳出!Y12/市町人件費物件費歳出!Y$4,0)</f>
        <v>84323</v>
      </c>
      <c r="J25" s="1240">
        <f>ROUND(J$5*市町人件費物件費歳出!Z12/市町人件費物件費歳出!Z$4,0)</f>
        <v>87613</v>
      </c>
      <c r="K25" s="1240">
        <f>ROUND(K$5*市町人件費物件費歳出!AA12/市町人件費物件費歳出!AA$4,0)</f>
        <v>89869</v>
      </c>
      <c r="L25" s="1240">
        <f>ROUND(L$5*市町人件費物件費歳出!AB12/市町人件費物件費歳出!AB$4,0)</f>
        <v>92694</v>
      </c>
      <c r="M25" s="1240">
        <f>ROUND(M$5*市町人件費物件費歳出!AC12/市町人件費物件費歳出!AC$4,0)</f>
        <v>96176</v>
      </c>
      <c r="N25" s="1240">
        <f>ROUND(N$5*市町人件費物件費歳出!AD12/市町人件費物件費歳出!AD$4,0)</f>
        <v>91683</v>
      </c>
      <c r="O25" s="1240">
        <f>ROUND(O$5*市町人件費物件費歳出!AE12/市町人件費物件費歳出!AE$4,0)</f>
        <v>92598</v>
      </c>
      <c r="P25" s="1240">
        <f>ROUND(P$5*市町人件費物件費歳出!AF12/市町人件費物件費歳出!AF$4,0)</f>
        <v>97461</v>
      </c>
      <c r="Q25" s="1240">
        <f>ROUND(Q$5*市町人件費物件費歳出!AG12/市町人件費物件費歳出!AG$4,0)</f>
        <v>95256</v>
      </c>
      <c r="R25" s="1240">
        <f>ROUND(R$5*市町人件費物件費歳出!AH12/市町人件費物件費歳出!AH$4,0)</f>
        <v>100123</v>
      </c>
      <c r="S25" s="1240">
        <f>ROUND(S$5*市町人件費物件費歳出!AI12/市町人件費物件費歳出!AI$4,0)</f>
        <v>98235</v>
      </c>
      <c r="T25" s="1240">
        <f>ROUND(T$5*市町人件費物件費歳出!AJ12/市町人件費物件費歳出!AJ$4,0)</f>
        <v>101181</v>
      </c>
      <c r="U25" s="1240">
        <f>ROUND(U$5*市町人件費物件費歳出!AK12/市町人件費物件費歳出!AK$4,0)</f>
        <v>104945</v>
      </c>
      <c r="V25" s="1240">
        <f>ROUND(V$5*市町人件費物件費歳出!AL12/市町人件費物件費歳出!AL$4,0)</f>
        <v>109020</v>
      </c>
      <c r="W25" s="1240">
        <f>ROUND(W$5*市町人件費物件費歳出!AM12/市町人件費物件費歳出!AM$4,0)</f>
        <v>110526</v>
      </c>
      <c r="X25" s="1240">
        <f>ROUND(X$5*市町人件費物件費歳出!AN12/市町人件費物件費歳出!AN$4,0)</f>
        <v>111003</v>
      </c>
    </row>
    <row r="26" spans="1:25">
      <c r="A26" s="1232">
        <v>217</v>
      </c>
      <c r="B26" s="1232" t="s">
        <v>189</v>
      </c>
      <c r="C26" s="1240">
        <f>ROUND(C$5*市町人件費物件費歳出!S13/市町人件費物件費歳出!S$4,0)</f>
        <v>50972</v>
      </c>
      <c r="D26" s="1240">
        <f>ROUND(D$5*市町人件費物件費歳出!T13/市町人件費物件費歳出!T$4,0)</f>
        <v>52353</v>
      </c>
      <c r="E26" s="1240">
        <f>ROUND(E$5*市町人件費物件費歳出!U13/市町人件費物件費歳出!U$4,0)</f>
        <v>54961</v>
      </c>
      <c r="F26" s="1240">
        <f>ROUND(F$5*市町人件費物件費歳出!V13/市町人件費物件費歳出!V$4,0)</f>
        <v>54102</v>
      </c>
      <c r="G26" s="1240">
        <f>ROUND(G$5*市町人件費物件費歳出!W13/市町人件費物件費歳出!W$4,0)</f>
        <v>54158</v>
      </c>
      <c r="H26" s="1240">
        <f>ROUND(H$5*市町人件費物件費歳出!X13/市町人件費物件費歳出!X$4,0)</f>
        <v>55557</v>
      </c>
      <c r="I26" s="1240">
        <f>ROUND(I$5*市町人件費物件費歳出!Y13/市町人件費物件費歳出!Y$4,0)</f>
        <v>55666</v>
      </c>
      <c r="J26" s="1240">
        <f>ROUND(J$5*市町人件費物件費歳出!Z13/市町人件費物件費歳出!Z$4,0)</f>
        <v>57132</v>
      </c>
      <c r="K26" s="1240">
        <f>ROUND(K$5*市町人件費物件費歳出!AA13/市町人件費物件費歳出!AA$4,0)</f>
        <v>57613</v>
      </c>
      <c r="L26" s="1240">
        <f>ROUND(L$5*市町人件費物件費歳出!AB13/市町人件費物件費歳出!AB$4,0)</f>
        <v>60042</v>
      </c>
      <c r="M26" s="1240">
        <f>ROUND(M$5*市町人件費物件費歳出!AC13/市町人件費物件費歳出!AC$4,0)</f>
        <v>61812</v>
      </c>
      <c r="N26" s="1240">
        <f>ROUND(N$5*市町人件費物件費歳出!AD13/市町人件費物件費歳出!AD$4,0)</f>
        <v>58790</v>
      </c>
      <c r="O26" s="1240">
        <f>ROUND(O$5*市町人件費物件費歳出!AE13/市町人件費物件費歳出!AE$4,0)</f>
        <v>57377</v>
      </c>
      <c r="P26" s="1240">
        <f>ROUND(P$5*市町人件費物件費歳出!AF13/市町人件費物件費歳出!AF$4,0)</f>
        <v>59530</v>
      </c>
      <c r="Q26" s="1240">
        <f>ROUND(Q$5*市町人件費物件費歳出!AG13/市町人件費物件費歳出!AG$4,0)</f>
        <v>60865</v>
      </c>
      <c r="R26" s="1240">
        <f>ROUND(R$5*市町人件費物件費歳出!AH13/市町人件費物件費歳出!AH$4,0)</f>
        <v>62910</v>
      </c>
      <c r="S26" s="1240">
        <f>ROUND(S$5*市町人件費物件費歳出!AI13/市町人件費物件費歳出!AI$4,0)</f>
        <v>64512</v>
      </c>
      <c r="T26" s="1240">
        <f>ROUND(T$5*市町人件費物件費歳出!AJ13/市町人件費物件費歳出!AJ$4,0)</f>
        <v>68925</v>
      </c>
      <c r="U26" s="1240">
        <f>ROUND(U$5*市町人件費物件費歳出!AK13/市町人件費物件費歳出!AK$4,0)</f>
        <v>69445</v>
      </c>
      <c r="V26" s="1240">
        <f>ROUND(V$5*市町人件費物件費歳出!AL13/市町人件費物件費歳出!AL$4,0)</f>
        <v>72650</v>
      </c>
      <c r="W26" s="1240">
        <f>ROUND(W$5*市町人件費物件費歳出!AM13/市町人件費物件費歳出!AM$4,0)</f>
        <v>74007</v>
      </c>
      <c r="X26" s="1240">
        <f>ROUND(X$5*市町人件費物件費歳出!AN13/市町人件費物件費歳出!AN$4,0)</f>
        <v>73913</v>
      </c>
    </row>
    <row r="27" spans="1:25">
      <c r="A27" s="1232">
        <v>219</v>
      </c>
      <c r="B27" s="1232" t="s">
        <v>190</v>
      </c>
      <c r="C27" s="1240">
        <f>ROUND(C$5*市町人件費物件費歳出!S14/市町人件費物件費歳出!S$4,0)</f>
        <v>36845</v>
      </c>
      <c r="D27" s="1240">
        <f>ROUND(D$5*市町人件費物件費歳出!T14/市町人件費物件費歳出!T$4,0)</f>
        <v>38278</v>
      </c>
      <c r="E27" s="1240">
        <f>ROUND(E$5*市町人件費物件費歳出!U14/市町人件費物件費歳出!U$4,0)</f>
        <v>39902</v>
      </c>
      <c r="F27" s="1240">
        <f>ROUND(F$5*市町人件費物件費歳出!V14/市町人件費物件費歳出!V$4,0)</f>
        <v>40877</v>
      </c>
      <c r="G27" s="1240">
        <f>ROUND(G$5*市町人件費物件費歳出!W14/市町人件費物件費歳出!W$4,0)</f>
        <v>42215</v>
      </c>
      <c r="H27" s="1240">
        <f>ROUND(H$5*市町人件費物件費歳出!X14/市町人件費物件費歳出!X$4,0)</f>
        <v>44344</v>
      </c>
      <c r="I27" s="1240">
        <f>ROUND(I$5*市町人件費物件費歳出!Y14/市町人件費物件費歳出!Y$4,0)</f>
        <v>46716</v>
      </c>
      <c r="J27" s="1240">
        <f>ROUND(J$5*市町人件費物件費歳出!Z14/市町人件費物件費歳出!Z$4,0)</f>
        <v>47735</v>
      </c>
      <c r="K27" s="1240">
        <f>ROUND(K$5*市町人件費物件費歳出!AA14/市町人件費物件費歳出!AA$4,0)</f>
        <v>50461</v>
      </c>
      <c r="L27" s="1240">
        <f>ROUND(L$5*市町人件費物件費歳出!AB14/市町人件費物件費歳出!AB$4,0)</f>
        <v>52225</v>
      </c>
      <c r="M27" s="1240">
        <f>ROUND(M$5*市町人件費物件費歳出!AC14/市町人件費物件費歳出!AC$4,0)</f>
        <v>52632</v>
      </c>
      <c r="N27" s="1240">
        <f>ROUND(N$5*市町人件費物件費歳出!AD14/市町人件費物件費歳出!AD$4,0)</f>
        <v>48092</v>
      </c>
      <c r="O27" s="1240">
        <f>ROUND(O$5*市町人件費物件費歳出!AE14/市町人件費物件費歳出!AE$4,0)</f>
        <v>46746</v>
      </c>
      <c r="P27" s="1240">
        <f>ROUND(P$5*市町人件費物件費歳出!AF14/市町人件費物件費歳出!AF$4,0)</f>
        <v>48262</v>
      </c>
      <c r="Q27" s="1240">
        <f>ROUND(Q$5*市町人件費物件費歳出!AG14/市町人件費物件費歳出!AG$4,0)</f>
        <v>48364</v>
      </c>
      <c r="R27" s="1240">
        <f>ROUND(R$5*市町人件費物件費歳出!AH14/市町人件費物件費歳出!AH$4,0)</f>
        <v>50528</v>
      </c>
      <c r="S27" s="1240">
        <f>ROUND(S$5*市町人件費物件費歳出!AI14/市町人件費物件費歳出!AI$4,0)</f>
        <v>52404</v>
      </c>
      <c r="T27" s="1240">
        <f>ROUND(T$5*市町人件費物件費歳出!AJ14/市町人件費物件費歳出!AJ$4,0)</f>
        <v>55255</v>
      </c>
      <c r="U27" s="1240">
        <f>ROUND(U$5*市町人件費物件費歳出!AK14/市町人件費物件費歳出!AK$4,0)</f>
        <v>56171</v>
      </c>
      <c r="V27" s="1240">
        <f>ROUND(V$5*市町人件費物件費歳出!AL14/市町人件費物件費歳出!AL$4,0)</f>
        <v>58672</v>
      </c>
      <c r="W27" s="1240">
        <f>ROUND(W$5*市町人件費物件費歳出!AM14/市町人件費物件費歳出!AM$4,0)</f>
        <v>59656</v>
      </c>
      <c r="X27" s="1240">
        <f>ROUND(X$5*市町人件費物件費歳出!AN14/市町人件費物件費歳出!AN$4,0)</f>
        <v>59686</v>
      </c>
    </row>
    <row r="28" spans="1:25">
      <c r="A28" s="1242">
        <v>301</v>
      </c>
      <c r="B28" s="1242" t="s">
        <v>191</v>
      </c>
      <c r="C28" s="1243">
        <f>ROUND(C$5*市町人件費物件費歳出!S15/市町人件費物件費歳出!S$4,0)</f>
        <v>12505</v>
      </c>
      <c r="D28" s="1243">
        <f>ROUND(D$5*市町人件費物件費歳出!T15/市町人件費物件費歳出!T$4,0)</f>
        <v>12663</v>
      </c>
      <c r="E28" s="1243">
        <f>ROUND(E$5*市町人件費物件費歳出!U15/市町人件費物件費歳出!U$4,0)</f>
        <v>13611</v>
      </c>
      <c r="F28" s="1243">
        <f>ROUND(F$5*市町人件費物件費歳出!V15/市町人件費物件費歳出!V$4,0)</f>
        <v>14152</v>
      </c>
      <c r="G28" s="1243">
        <f>ROUND(G$5*市町人件費物件費歳出!W15/市町人件費物件費歳出!W$4,0)</f>
        <v>14295</v>
      </c>
      <c r="H28" s="1243">
        <f>ROUND(H$5*市町人件費物件費歳出!X15/市町人件費物件費歳出!X$4,0)</f>
        <v>14994</v>
      </c>
      <c r="I28" s="1243">
        <f>ROUND(I$5*市町人件費物件費歳出!Y15/市町人件費物件費歳出!Y$4,0)</f>
        <v>15194</v>
      </c>
      <c r="J28" s="1243">
        <f>ROUND(J$5*市町人件費物件費歳出!Z15/市町人件費物件費歳出!Z$4,0)</f>
        <v>15438</v>
      </c>
      <c r="K28" s="1243">
        <f>ROUND(K$5*市町人件費物件費歳出!AA15/市町人件費物件費歳出!AA$4,0)</f>
        <v>15886</v>
      </c>
      <c r="L28" s="1243">
        <f>ROUND(L$5*市町人件費物件費歳出!AB15/市町人件費物件費歳出!AB$4,0)</f>
        <v>16551</v>
      </c>
      <c r="M28" s="1243">
        <f>ROUND(M$5*市町人件費物件費歳出!AC15/市町人件費物件費歳出!AC$4,0)</f>
        <v>16643</v>
      </c>
      <c r="N28" s="1243">
        <f>ROUND(N$5*市町人件費物件費歳出!AD15/市町人件費物件費歳出!AD$4,0)</f>
        <v>15405</v>
      </c>
      <c r="O28" s="1243">
        <f>ROUND(O$5*市町人件費物件費歳出!AE15/市町人件費物件費歳出!AE$4,0)</f>
        <v>15257</v>
      </c>
      <c r="P28" s="1243">
        <f>ROUND(P$5*市町人件費物件費歳出!AF15/市町人件費物件費歳出!AF$4,0)</f>
        <v>15863</v>
      </c>
      <c r="Q28" s="1243">
        <f>ROUND(Q$5*市町人件費物件費歳出!AG15/市町人件費物件費歳出!AG$4,0)</f>
        <v>16156</v>
      </c>
      <c r="R28" s="1243">
        <f>ROUND(R$5*市町人件費物件費歳出!AH15/市町人件費物件費歳出!AH$4,0)</f>
        <v>17758</v>
      </c>
      <c r="S28" s="1243">
        <f>ROUND(S$5*市町人件費物件費歳出!AI15/市町人件費物件費歳出!AI$4,0)</f>
        <v>18258</v>
      </c>
      <c r="T28" s="1243">
        <f>ROUND(T$5*市町人件費物件費歳出!AJ15/市町人件費物件費歳出!AJ$4,0)</f>
        <v>18167</v>
      </c>
      <c r="U28" s="1243">
        <f>ROUND(U$5*市町人件費物件費歳出!AK15/市町人件費物件費歳出!AK$4,0)</f>
        <v>18889</v>
      </c>
      <c r="V28" s="1243">
        <f>ROUND(V$5*市町人件費物件費歳出!AL15/市町人件費物件費歳出!AL$4,0)</f>
        <v>19819</v>
      </c>
      <c r="W28" s="1243">
        <f>ROUND(W$5*市町人件費物件費歳出!AM15/市町人件費物件費歳出!AM$4,0)</f>
        <v>19944</v>
      </c>
      <c r="X28" s="1243">
        <f>ROUND(X$5*市町人件費物件費歳出!AN15/市町人件費物件費歳出!AN$4,0)</f>
        <v>20062</v>
      </c>
    </row>
    <row r="29" spans="1:25">
      <c r="A29" s="1232">
        <v>3</v>
      </c>
      <c r="B29" s="1232" t="s">
        <v>192</v>
      </c>
      <c r="C29" s="1240">
        <f>SUM(C30:C34)</f>
        <v>211175</v>
      </c>
      <c r="D29" s="1240">
        <f>SUM(D30:D34)</f>
        <v>215383</v>
      </c>
      <c r="E29" s="1240">
        <f t="shared" ref="E29:J29" si="59">SUM(E30:E34)</f>
        <v>232393</v>
      </c>
      <c r="F29" s="1240">
        <f t="shared" si="59"/>
        <v>241396</v>
      </c>
      <c r="G29" s="1240">
        <f t="shared" si="59"/>
        <v>240191</v>
      </c>
      <c r="H29" s="1240">
        <f t="shared" si="59"/>
        <v>251571</v>
      </c>
      <c r="I29" s="1240">
        <f t="shared" si="59"/>
        <v>257117</v>
      </c>
      <c r="J29" s="1240">
        <f t="shared" si="59"/>
        <v>268662</v>
      </c>
      <c r="K29" s="1240">
        <f t="shared" ref="K29:P29" si="60">SUM(K30:K34)</f>
        <v>271632</v>
      </c>
      <c r="L29" s="1240">
        <f t="shared" si="60"/>
        <v>275896</v>
      </c>
      <c r="M29" s="1240">
        <f t="shared" si="60"/>
        <v>279016</v>
      </c>
      <c r="N29" s="1240">
        <f t="shared" si="60"/>
        <v>265938</v>
      </c>
      <c r="O29" s="1240">
        <f t="shared" si="60"/>
        <v>270067</v>
      </c>
      <c r="P29" s="1240">
        <f t="shared" si="60"/>
        <v>283068</v>
      </c>
      <c r="Q29" s="1240">
        <f t="shared" ref="Q29:V29" si="61">SUM(Q30:Q34)</f>
        <v>282384</v>
      </c>
      <c r="R29" s="1240">
        <f t="shared" si="61"/>
        <v>308976</v>
      </c>
      <c r="S29" s="1240">
        <f t="shared" si="61"/>
        <v>307507</v>
      </c>
      <c r="T29" s="1240">
        <f t="shared" si="61"/>
        <v>311956</v>
      </c>
      <c r="U29" s="1240">
        <f t="shared" si="61"/>
        <v>328970</v>
      </c>
      <c r="V29" s="1240">
        <f t="shared" si="61"/>
        <v>339761</v>
      </c>
      <c r="W29" s="1240">
        <f t="shared" ref="W29:X29" si="62">SUM(W30:W34)</f>
        <v>343952</v>
      </c>
      <c r="X29" s="1240">
        <f t="shared" si="62"/>
        <v>346463</v>
      </c>
    </row>
    <row r="30" spans="1:25">
      <c r="A30" s="1232">
        <v>203</v>
      </c>
      <c r="B30" s="1232" t="s">
        <v>193</v>
      </c>
      <c r="C30" s="1240">
        <f>ROUND(C$5*市町人件費物件費歳出!S17/市町人件費物件費歳出!S$4,0)</f>
        <v>84580</v>
      </c>
      <c r="D30" s="1240">
        <f>ROUND(D$5*市町人件費物件費歳出!T17/市町人件費物件費歳出!T$4,0)</f>
        <v>85007</v>
      </c>
      <c r="E30" s="1240">
        <f>ROUND(E$5*市町人件費物件費歳出!U17/市町人件費物件費歳出!U$4,0)</f>
        <v>94769</v>
      </c>
      <c r="F30" s="1240">
        <f>ROUND(F$5*市町人件費物件費歳出!V17/市町人件費物件費歳出!V$4,0)</f>
        <v>101988</v>
      </c>
      <c r="G30" s="1240">
        <f>ROUND(G$5*市町人件費物件費歳出!W17/市町人件費物件費歳出!W$4,0)</f>
        <v>101333</v>
      </c>
      <c r="H30" s="1240">
        <f>ROUND(H$5*市町人件費物件費歳出!X17/市町人件費物件費歳出!X$4,0)</f>
        <v>106372</v>
      </c>
      <c r="I30" s="1240">
        <f>ROUND(I$5*市町人件費物件費歳出!Y17/市町人件費物件費歳出!Y$4,0)</f>
        <v>109262</v>
      </c>
      <c r="J30" s="1240">
        <f>ROUND(J$5*市町人件費物件費歳出!Z17/市町人件費物件費歳出!Z$4,0)</f>
        <v>114964</v>
      </c>
      <c r="K30" s="1240">
        <f>ROUND(K$5*市町人件費物件費歳出!AA17/市町人件費物件費歳出!AA$4,0)</f>
        <v>115270</v>
      </c>
      <c r="L30" s="1240">
        <f>ROUND(L$5*市町人件費物件費歳出!AB17/市町人件費物件費歳出!AB$4,0)</f>
        <v>118198</v>
      </c>
      <c r="M30" s="1240">
        <f>ROUND(M$5*市町人件費物件費歳出!AC17/市町人件費物件費歳出!AC$4,0)</f>
        <v>118907</v>
      </c>
      <c r="N30" s="1240">
        <f>ROUND(N$5*市町人件費物件費歳出!AD17/市町人件費物件費歳出!AD$4,0)</f>
        <v>114213</v>
      </c>
      <c r="O30" s="1240">
        <f>ROUND(O$5*市町人件費物件費歳出!AE17/市町人件費物件費歳出!AE$4,0)</f>
        <v>117789</v>
      </c>
      <c r="P30" s="1240">
        <f>ROUND(P$5*市町人件費物件費歳出!AF17/市町人件費物件費歳出!AF$4,0)</f>
        <v>123312</v>
      </c>
      <c r="Q30" s="1240">
        <f>ROUND(Q$5*市町人件費物件費歳出!AG17/市町人件費物件費歳出!AG$4,0)</f>
        <v>123495</v>
      </c>
      <c r="R30" s="1240">
        <f>ROUND(R$5*市町人件費物件費歳出!AH17/市町人件費物件費歳出!AH$4,0)</f>
        <v>135264</v>
      </c>
      <c r="S30" s="1240">
        <f>ROUND(S$5*市町人件費物件費歳出!AI17/市町人件費物件費歳出!AI$4,0)</f>
        <v>136628</v>
      </c>
      <c r="T30" s="1240">
        <f>ROUND(T$5*市町人件費物件費歳出!AJ17/市町人件費物件費歳出!AJ$4,0)</f>
        <v>135344</v>
      </c>
      <c r="U30" s="1240">
        <f>ROUND(U$5*市町人件費物件費歳出!AK17/市町人件費物件費歳出!AK$4,0)</f>
        <v>139794</v>
      </c>
      <c r="V30" s="1240">
        <f>ROUND(V$5*市町人件費物件費歳出!AL17/市町人件費物件費歳出!AL$4,0)</f>
        <v>147540</v>
      </c>
      <c r="W30" s="1240">
        <f>ROUND(W$5*市町人件費物件費歳出!AM17/市町人件費物件費歳出!AM$4,0)</f>
        <v>148210</v>
      </c>
      <c r="X30" s="1240">
        <f>ROUND(X$5*市町人件費物件費歳出!AN17/市町人件費物件費歳出!AN$4,0)</f>
        <v>148968</v>
      </c>
    </row>
    <row r="31" spans="1:25">
      <c r="A31" s="1232">
        <v>210</v>
      </c>
      <c r="B31" s="1232" t="s">
        <v>194</v>
      </c>
      <c r="C31" s="1240">
        <f>ROUND(C$5*市町人件費物件費歳出!S18/市町人件費物件費歳出!S$4,0)</f>
        <v>77113</v>
      </c>
      <c r="D31" s="1240">
        <f>ROUND(D$5*市町人件費物件費歳出!T18/市町人件費物件費歳出!T$4,0)</f>
        <v>80780</v>
      </c>
      <c r="E31" s="1240">
        <f>ROUND(E$5*市町人件費物件費歳出!U18/市町人件費物件費歳出!U$4,0)</f>
        <v>86019</v>
      </c>
      <c r="F31" s="1240">
        <f>ROUND(F$5*市町人件費物件費歳出!V18/市町人件費物件費歳出!V$4,0)</f>
        <v>87343</v>
      </c>
      <c r="G31" s="1240">
        <f>ROUND(G$5*市町人件費物件費歳出!W18/市町人件費物件費歳出!W$4,0)</f>
        <v>86391</v>
      </c>
      <c r="H31" s="1240">
        <f>ROUND(H$5*市町人件費物件費歳出!X18/市町人件費物件費歳出!X$4,0)</f>
        <v>88703</v>
      </c>
      <c r="I31" s="1240">
        <f>ROUND(I$5*市町人件費物件費歳出!Y18/市町人件費物件費歳出!Y$4,0)</f>
        <v>89080</v>
      </c>
      <c r="J31" s="1240">
        <f>ROUND(J$5*市町人件費物件費歳出!Z18/市町人件費物件費歳出!Z$4,0)</f>
        <v>93872</v>
      </c>
      <c r="K31" s="1240">
        <f>ROUND(K$5*市町人件費物件費歳出!AA18/市町人件費物件費歳出!AA$4,0)</f>
        <v>94411</v>
      </c>
      <c r="L31" s="1240">
        <f>ROUND(L$5*市町人件費物件費歳出!AB18/市町人件費物件費歳出!AB$4,0)</f>
        <v>95147</v>
      </c>
      <c r="M31" s="1240">
        <f>ROUND(M$5*市町人件費物件費歳出!AC18/市町人件費物件費歳出!AC$4,0)</f>
        <v>97454</v>
      </c>
      <c r="N31" s="1240">
        <f>ROUND(N$5*市町人件費物件費歳出!AD18/市町人件費物件費歳出!AD$4,0)</f>
        <v>94073</v>
      </c>
      <c r="O31" s="1240">
        <f>ROUND(O$5*市町人件費物件費歳出!AE18/市町人件費物件費歳出!AE$4,0)</f>
        <v>95143</v>
      </c>
      <c r="P31" s="1240">
        <f>ROUND(P$5*市町人件費物件費歳出!AF18/市町人件費物件費歳出!AF$4,0)</f>
        <v>99592</v>
      </c>
      <c r="Q31" s="1240">
        <f>ROUND(Q$5*市町人件費物件費歳出!AG18/市町人件費物件費歳出!AG$4,0)</f>
        <v>98440</v>
      </c>
      <c r="R31" s="1240">
        <f>ROUND(R$5*市町人件費物件費歳出!AH18/市町人件費物件費歳出!AH$4,0)</f>
        <v>107611</v>
      </c>
      <c r="S31" s="1240">
        <f>ROUND(S$5*市町人件費物件費歳出!AI18/市町人件費物件費歳出!AI$4,0)</f>
        <v>103941</v>
      </c>
      <c r="T31" s="1240">
        <f>ROUND(T$5*市町人件費物件費歳出!AJ18/市町人件費物件費歳出!AJ$4,0)</f>
        <v>105347</v>
      </c>
      <c r="U31" s="1240">
        <f>ROUND(U$5*市町人件費物件費歳出!AK18/市町人件費物件費歳出!AK$4,0)</f>
        <v>113661</v>
      </c>
      <c r="V31" s="1240">
        <f>ROUND(V$5*市町人件費物件費歳出!AL18/市町人件費物件費歳出!AL$4,0)</f>
        <v>115690</v>
      </c>
      <c r="W31" s="1240">
        <f>ROUND(W$5*市町人件費物件費歳出!AM18/市町人件費物件費歳出!AM$4,0)</f>
        <v>117402</v>
      </c>
      <c r="X31" s="1240">
        <f>ROUND(X$5*市町人件費物件費歳出!AN18/市町人件費物件費歳出!AN$4,0)</f>
        <v>118659</v>
      </c>
    </row>
    <row r="32" spans="1:25">
      <c r="A32" s="1232">
        <v>216</v>
      </c>
      <c r="B32" s="1232" t="s">
        <v>195</v>
      </c>
      <c r="C32" s="1240">
        <f>ROUND(C$5*市町人件費物件費歳出!S19/市町人件費物件費歳出!S$4,0)</f>
        <v>31595</v>
      </c>
      <c r="D32" s="1240">
        <f>ROUND(D$5*市町人件費物件費歳出!T19/市町人件費物件費歳出!T$4,0)</f>
        <v>31011</v>
      </c>
      <c r="E32" s="1240">
        <f>ROUND(E$5*市町人件費物件費歳出!U19/市町人件費物件費歳出!U$4,0)</f>
        <v>33017</v>
      </c>
      <c r="F32" s="1240">
        <f>ROUND(F$5*市町人件費物件費歳出!V19/市町人件費物件費歳出!V$4,0)</f>
        <v>32708</v>
      </c>
      <c r="G32" s="1240">
        <f>ROUND(G$5*市町人件費物件費歳出!W19/市町人件費物件費歳出!W$4,0)</f>
        <v>33322</v>
      </c>
      <c r="H32" s="1240">
        <f>ROUND(H$5*市町人件費物件費歳出!X19/市町人件費物件費歳出!X$4,0)</f>
        <v>36097</v>
      </c>
      <c r="I32" s="1240">
        <f>ROUND(I$5*市町人件費物件費歳出!Y19/市町人件費物件費歳出!Y$4,0)</f>
        <v>37828</v>
      </c>
      <c r="J32" s="1240">
        <f>ROUND(J$5*市町人件費物件費歳出!Z19/市町人件費物件費歳出!Z$4,0)</f>
        <v>38146</v>
      </c>
      <c r="K32" s="1240">
        <f>ROUND(K$5*市町人件費物件費歳出!AA19/市町人件費物件費歳出!AA$4,0)</f>
        <v>39807</v>
      </c>
      <c r="L32" s="1240">
        <f>ROUND(L$5*市町人件費物件費歳出!AB19/市町人件費物件費歳出!AB$4,0)</f>
        <v>39346</v>
      </c>
      <c r="M32" s="1240">
        <f>ROUND(M$5*市町人件費物件費歳出!AC19/市町人件費物件費歳出!AC$4,0)</f>
        <v>39437</v>
      </c>
      <c r="N32" s="1240">
        <f>ROUND(N$5*市町人件費物件費歳出!AD19/市町人件費物件費歳出!AD$4,0)</f>
        <v>35552</v>
      </c>
      <c r="O32" s="1240">
        <f>ROUND(O$5*市町人件費物件費歳出!AE19/市町人件費物件費歳出!AE$4,0)</f>
        <v>34540</v>
      </c>
      <c r="P32" s="1240">
        <f>ROUND(P$5*市町人件費物件費歳出!AF19/市町人件費物件費歳出!AF$4,0)</f>
        <v>35949</v>
      </c>
      <c r="Q32" s="1240">
        <f>ROUND(Q$5*市町人件費物件費歳出!AG19/市町人件費物件費歳出!AG$4,0)</f>
        <v>36383</v>
      </c>
      <c r="R32" s="1240">
        <f>ROUND(R$5*市町人件費物件費歳出!AH19/市町人件費物件費歳出!AH$4,0)</f>
        <v>38877</v>
      </c>
      <c r="S32" s="1240">
        <f>ROUND(S$5*市町人件費物件費歳出!AI19/市町人件費物件費歳出!AI$4,0)</f>
        <v>40728</v>
      </c>
      <c r="T32" s="1240">
        <f>ROUND(T$5*市町人件費物件費歳出!AJ19/市町人件費物件費歳出!AJ$4,0)</f>
        <v>43840</v>
      </c>
      <c r="U32" s="1240">
        <f>ROUND(U$5*市町人件費物件費歳出!AK19/市町人件費物件費歳出!AK$4,0)</f>
        <v>46214</v>
      </c>
      <c r="V32" s="1240">
        <f>ROUND(V$5*市町人件費物件費歳出!AL19/市町人件費物件費歳出!AL$4,0)</f>
        <v>46828</v>
      </c>
      <c r="W32" s="1240">
        <f>ROUND(W$5*市町人件費物件費歳出!AM19/市町人件費物件費歳出!AM$4,0)</f>
        <v>48020</v>
      </c>
      <c r="X32" s="1240">
        <f>ROUND(X$5*市町人件費物件費歳出!AN19/市町人件費物件費歳出!AN$4,0)</f>
        <v>48270</v>
      </c>
    </row>
    <row r="33" spans="1:26">
      <c r="A33" s="1232">
        <v>381</v>
      </c>
      <c r="B33" s="1232" t="s">
        <v>196</v>
      </c>
      <c r="C33" s="1240">
        <f>ROUND(C$5*市町人件費物件費歳出!S20/市町人件費物件費歳出!S$4,0)</f>
        <v>8685</v>
      </c>
      <c r="D33" s="1240">
        <f>ROUND(D$5*市町人件費物件費歳出!T20/市町人件費物件費歳出!T$4,0)</f>
        <v>8733</v>
      </c>
      <c r="E33" s="1240">
        <f>ROUND(E$5*市町人件費物件費歳出!U20/市町人件費物件費歳出!U$4,0)</f>
        <v>8677</v>
      </c>
      <c r="F33" s="1240">
        <f>ROUND(F$5*市町人件費物件費歳出!V20/市町人件費物件費歳出!V$4,0)</f>
        <v>8902</v>
      </c>
      <c r="G33" s="1240">
        <f>ROUND(G$5*市町人件費物件費歳出!W20/市町人件費物件費歳出!W$4,0)</f>
        <v>8953</v>
      </c>
      <c r="H33" s="1240">
        <f>ROUND(H$5*市町人件費物件費歳出!X20/市町人件費物件費歳出!X$4,0)</f>
        <v>9590</v>
      </c>
      <c r="I33" s="1240">
        <f>ROUND(I$5*市町人件費物件費歳出!Y20/市町人件費物件費歳出!Y$4,0)</f>
        <v>9668</v>
      </c>
      <c r="J33" s="1240">
        <f>ROUND(J$5*市町人件費物件費歳出!Z20/市町人件費物件費歳出!Z$4,0)</f>
        <v>10157</v>
      </c>
      <c r="K33" s="1240">
        <f>ROUND(K$5*市町人件費物件費歳出!AA20/市町人件費物件費歳出!AA$4,0)</f>
        <v>10391</v>
      </c>
      <c r="L33" s="1240">
        <f>ROUND(L$5*市町人件費物件費歳出!AB20/市町人件費物件費歳出!AB$4,0)</f>
        <v>10773</v>
      </c>
      <c r="M33" s="1240">
        <f>ROUND(M$5*市町人件費物件費歳出!AC20/市町人件費物件費歳出!AC$4,0)</f>
        <v>10627</v>
      </c>
      <c r="N33" s="1240">
        <f>ROUND(N$5*市町人件費物件費歳出!AD20/市町人件費物件費歳出!AD$4,0)</f>
        <v>10212</v>
      </c>
      <c r="O33" s="1240">
        <f>ROUND(O$5*市町人件費物件費歳出!AE20/市町人件費物件費歳出!AE$4,0)</f>
        <v>10163</v>
      </c>
      <c r="P33" s="1240">
        <f>ROUND(P$5*市町人件費物件費歳出!AF20/市町人件費物件費歳出!AF$4,0)</f>
        <v>10649</v>
      </c>
      <c r="Q33" s="1240">
        <f>ROUND(Q$5*市町人件費物件費歳出!AG20/市町人件費物件費歳出!AG$4,0)</f>
        <v>10595</v>
      </c>
      <c r="R33" s="1240">
        <f>ROUND(R$5*市町人件費物件費歳出!AH20/市町人件費物件費歳出!AH$4,0)</f>
        <v>12095</v>
      </c>
      <c r="S33" s="1240">
        <f>ROUND(S$5*市町人件費物件費歳出!AI20/市町人件費物件費歳出!AI$4,0)</f>
        <v>12087</v>
      </c>
      <c r="T33" s="1240">
        <f>ROUND(T$5*市町人件費物件費歳出!AJ20/市町人件費物件費歳出!AJ$4,0)</f>
        <v>11877</v>
      </c>
      <c r="U33" s="1240">
        <f>ROUND(U$5*市町人件費物件費歳出!AK20/市町人件費物件費歳出!AK$4,0)</f>
        <v>12847</v>
      </c>
      <c r="V33" s="1240">
        <f>ROUND(V$5*市町人件費物件費歳出!AL20/市町人件費物件費歳出!AL$4,0)</f>
        <v>13190</v>
      </c>
      <c r="W33" s="1240">
        <f>ROUND(W$5*市町人件費物件費歳出!AM20/市町人件費物件費歳出!AM$4,0)</f>
        <v>13298</v>
      </c>
      <c r="X33" s="1240">
        <f>ROUND(X$5*市町人件費物件費歳出!AN20/市町人件費物件費歳出!AN$4,0)</f>
        <v>13459</v>
      </c>
    </row>
    <row r="34" spans="1:26">
      <c r="A34" s="1232">
        <v>382</v>
      </c>
      <c r="B34" s="1232" t="s">
        <v>197</v>
      </c>
      <c r="C34" s="1240">
        <f>ROUND(C$5*市町人件費物件費歳出!S21/市町人件費物件費歳出!S$4,0)</f>
        <v>9202</v>
      </c>
      <c r="D34" s="1240">
        <f>ROUND(D$5*市町人件費物件費歳出!T21/市町人件費物件費歳出!T$4,0)</f>
        <v>9852</v>
      </c>
      <c r="E34" s="1240">
        <f>ROUND(E$5*市町人件費物件費歳出!U21/市町人件費物件費歳出!U$4,0)</f>
        <v>9911</v>
      </c>
      <c r="F34" s="1240">
        <f>ROUND(F$5*市町人件費物件費歳出!V21/市町人件費物件費歳出!V$4,0)</f>
        <v>10455</v>
      </c>
      <c r="G34" s="1240">
        <f>ROUND(G$5*市町人件費物件費歳出!W21/市町人件費物件費歳出!W$4,0)</f>
        <v>10192</v>
      </c>
      <c r="H34" s="1240">
        <f>ROUND(H$5*市町人件費物件費歳出!X21/市町人件費物件費歳出!X$4,0)</f>
        <v>10809</v>
      </c>
      <c r="I34" s="1240">
        <f>ROUND(I$5*市町人件費物件費歳出!Y21/市町人件費物件費歳出!Y$4,0)</f>
        <v>11279</v>
      </c>
      <c r="J34" s="1240">
        <f>ROUND(J$5*市町人件費物件費歳出!Z21/市町人件費物件費歳出!Z$4,0)</f>
        <v>11523</v>
      </c>
      <c r="K34" s="1240">
        <f>ROUND(K$5*市町人件費物件費歳出!AA21/市町人件費物件費歳出!AA$4,0)</f>
        <v>11753</v>
      </c>
      <c r="L34" s="1240">
        <f>ROUND(L$5*市町人件費物件費歳出!AB21/市町人件費物件費歳出!AB$4,0)</f>
        <v>12432</v>
      </c>
      <c r="M34" s="1240">
        <f>ROUND(M$5*市町人件費物件費歳出!AC21/市町人件費物件費歳出!AC$4,0)</f>
        <v>12591</v>
      </c>
      <c r="N34" s="1240">
        <f>ROUND(N$5*市町人件費物件費歳出!AD21/市町人件費物件費歳出!AD$4,0)</f>
        <v>11888</v>
      </c>
      <c r="O34" s="1240">
        <f>ROUND(O$5*市町人件費物件費歳出!AE21/市町人件費物件費歳出!AE$4,0)</f>
        <v>12432</v>
      </c>
      <c r="P34" s="1240">
        <f>ROUND(P$5*市町人件費物件費歳出!AF21/市町人件費物件費歳出!AF$4,0)</f>
        <v>13566</v>
      </c>
      <c r="Q34" s="1240">
        <f>ROUND(Q$5*市町人件費物件費歳出!AG21/市町人件費物件費歳出!AG$4,0)</f>
        <v>13471</v>
      </c>
      <c r="R34" s="1240">
        <f>ROUND(R$5*市町人件費物件費歳出!AH21/市町人件費物件費歳出!AH$4,0)</f>
        <v>15129</v>
      </c>
      <c r="S34" s="1240">
        <f>ROUND(S$5*市町人件費物件費歳出!AI21/市町人件費物件費歳出!AI$4,0)</f>
        <v>14123</v>
      </c>
      <c r="T34" s="1240">
        <f>ROUND(T$5*市町人件費物件費歳出!AJ21/市町人件費物件費歳出!AJ$4,0)</f>
        <v>15548</v>
      </c>
      <c r="U34" s="1240">
        <f>ROUND(U$5*市町人件費物件費歳出!AK21/市町人件費物件費歳出!AK$4,0)</f>
        <v>16454</v>
      </c>
      <c r="V34" s="1240">
        <f>ROUND(V$5*市町人件費物件費歳出!AL21/市町人件費物件費歳出!AL$4,0)</f>
        <v>16513</v>
      </c>
      <c r="W34" s="1240">
        <f>ROUND(W$5*市町人件費物件費歳出!AM21/市町人件費物件費歳出!AM$4,0)</f>
        <v>17022</v>
      </c>
      <c r="X34" s="1240">
        <f>ROUND(X$5*市町人件費物件費歳出!AN21/市町人件費物件費歳出!AN$4,0)</f>
        <v>17107</v>
      </c>
    </row>
    <row r="35" spans="1:26">
      <c r="A35" s="1230">
        <v>4</v>
      </c>
      <c r="B35" s="1230" t="s">
        <v>325</v>
      </c>
      <c r="C35" s="1241">
        <f>SUM(C36:C41)</f>
        <v>102911</v>
      </c>
      <c r="D35" s="1241">
        <f>SUM(D36:D41)</f>
        <v>104482</v>
      </c>
      <c r="E35" s="1241">
        <f t="shared" ref="E35:J35" si="63">SUM(E36:E41)</f>
        <v>108058</v>
      </c>
      <c r="F35" s="1241">
        <f t="shared" si="63"/>
        <v>110842</v>
      </c>
      <c r="G35" s="1241">
        <f t="shared" si="63"/>
        <v>112295</v>
      </c>
      <c r="H35" s="1241">
        <f t="shared" si="63"/>
        <v>114279</v>
      </c>
      <c r="I35" s="1241">
        <f t="shared" si="63"/>
        <v>114918</v>
      </c>
      <c r="J35" s="1241">
        <f t="shared" si="63"/>
        <v>119405</v>
      </c>
      <c r="K35" s="1241">
        <f t="shared" ref="K35:P35" si="64">SUM(K36:K41)</f>
        <v>123940</v>
      </c>
      <c r="L35" s="1241">
        <f t="shared" si="64"/>
        <v>127210</v>
      </c>
      <c r="M35" s="1241">
        <f t="shared" si="64"/>
        <v>128588</v>
      </c>
      <c r="N35" s="1241">
        <f t="shared" si="64"/>
        <v>121941</v>
      </c>
      <c r="O35" s="1241">
        <f t="shared" si="64"/>
        <v>121985</v>
      </c>
      <c r="P35" s="1241">
        <f t="shared" si="64"/>
        <v>127560</v>
      </c>
      <c r="Q35" s="1241">
        <f t="shared" ref="Q35:V35" si="65">SUM(Q36:Q41)</f>
        <v>137246</v>
      </c>
      <c r="R35" s="1241">
        <f t="shared" si="65"/>
        <v>141690</v>
      </c>
      <c r="S35" s="1241">
        <f t="shared" si="65"/>
        <v>142959</v>
      </c>
      <c r="T35" s="1241">
        <f t="shared" si="65"/>
        <v>146835</v>
      </c>
      <c r="U35" s="1241">
        <f t="shared" si="65"/>
        <v>154744</v>
      </c>
      <c r="V35" s="1241">
        <f t="shared" si="65"/>
        <v>159233</v>
      </c>
      <c r="W35" s="1241">
        <f t="shared" ref="W35:X35" si="66">SUM(W36:W41)</f>
        <v>161627</v>
      </c>
      <c r="X35" s="1241">
        <f t="shared" si="66"/>
        <v>162721</v>
      </c>
    </row>
    <row r="36" spans="1:26">
      <c r="A36" s="1232">
        <v>213</v>
      </c>
      <c r="B36" s="1232" t="s">
        <v>199</v>
      </c>
      <c r="C36" s="1240">
        <f>ROUND(C$5*市町人件費物件費歳出!S23/市町人件費物件費歳出!S$4,0)</f>
        <v>13920</v>
      </c>
      <c r="D36" s="1240">
        <f>ROUND(D$5*市町人件費物件費歳出!T23/市町人件費物件費歳出!T$4,0)</f>
        <v>13668</v>
      </c>
      <c r="E36" s="1240">
        <f>ROUND(E$5*市町人件費物件費歳出!U23/市町人件費物件費歳出!U$4,0)</f>
        <v>13835</v>
      </c>
      <c r="F36" s="1240">
        <f>ROUND(F$5*市町人件費物件費歳出!V23/市町人件費物件費歳出!V$4,0)</f>
        <v>14075</v>
      </c>
      <c r="G36" s="1240">
        <f>ROUND(G$5*市町人件費物件費歳出!W23/市町人件費物件費歳出!W$4,0)</f>
        <v>14663</v>
      </c>
      <c r="H36" s="1240">
        <f>ROUND(H$5*市町人件費物件費歳出!X23/市町人件費物件費歳出!X$4,0)</f>
        <v>14945</v>
      </c>
      <c r="I36" s="1240">
        <f>ROUND(I$5*市町人件費物件費歳出!Y23/市町人件費物件費歳出!Y$4,0)</f>
        <v>15020</v>
      </c>
      <c r="J36" s="1240">
        <f>ROUND(J$5*市町人件費物件費歳出!Z23/市町人件費物件費歳出!Z$4,0)</f>
        <v>15160</v>
      </c>
      <c r="K36" s="1240">
        <f>ROUND(K$5*市町人件費物件費歳出!AA23/市町人件費物件費歳出!AA$4,0)</f>
        <v>15835</v>
      </c>
      <c r="L36" s="1240">
        <f>ROUND(L$5*市町人件費物件費歳出!AB23/市町人件費物件費歳出!AB$4,0)</f>
        <v>16455</v>
      </c>
      <c r="M36" s="1240">
        <f>ROUND(M$5*市町人件費物件費歳出!AC23/市町人件費物件費歳出!AC$4,0)</f>
        <v>16562</v>
      </c>
      <c r="N36" s="1240">
        <f>ROUND(N$5*市町人件費物件費歳出!AD23/市町人件費物件費歳出!AD$4,0)</f>
        <v>15623</v>
      </c>
      <c r="O36" s="1240">
        <f>ROUND(O$5*市町人件費物件費歳出!AE23/市町人件費物件費歳出!AE$4,0)</f>
        <v>15556</v>
      </c>
      <c r="P36" s="1240">
        <f>ROUND(P$5*市町人件費物件費歳出!AF23/市町人件費物件費歳出!AF$4,0)</f>
        <v>16151</v>
      </c>
      <c r="Q36" s="1240">
        <f>ROUND(Q$5*市町人件費物件費歳出!AG23/市町人件費物件費歳出!AG$4,0)</f>
        <v>16706</v>
      </c>
      <c r="R36" s="1240">
        <f>ROUND(R$5*市町人件費物件費歳出!AH23/市町人件費物件費歳出!AH$4,0)</f>
        <v>18300</v>
      </c>
      <c r="S36" s="1240">
        <f>ROUND(S$5*市町人件費物件費歳出!AI23/市町人件費物件費歳出!AI$4,0)</f>
        <v>17605</v>
      </c>
      <c r="T36" s="1240">
        <f>ROUND(T$5*市町人件費物件費歳出!AJ23/市町人件費物件費歳出!AJ$4,0)</f>
        <v>18507</v>
      </c>
      <c r="U36" s="1240">
        <f>ROUND(U$5*市町人件費物件費歳出!AK23/市町人件費物件費歳出!AK$4,0)</f>
        <v>20110</v>
      </c>
      <c r="V36" s="1240">
        <f>ROUND(V$5*市町人件費物件費歳出!AL23/市町人件費物件費歳出!AL$4,0)</f>
        <v>20134</v>
      </c>
      <c r="W36" s="1240">
        <f>ROUND(W$5*市町人件費物件費歳出!AM23/市町人件費物件費歳出!AM$4,0)</f>
        <v>20613</v>
      </c>
      <c r="X36" s="1240">
        <f>ROUND(X$5*市町人件費物件費歳出!AN23/市町人件費物件費歳出!AN$4,0)</f>
        <v>20829</v>
      </c>
    </row>
    <row r="37" spans="1:26">
      <c r="A37" s="1232">
        <v>215</v>
      </c>
      <c r="B37" s="1232" t="s">
        <v>329</v>
      </c>
      <c r="C37" s="1240">
        <f>ROUND(C$5*市町人件費物件費歳出!S24/市町人件費物件費歳出!S$4,0)</f>
        <v>29148</v>
      </c>
      <c r="D37" s="1240">
        <f>ROUND(D$5*市町人件費物件費歳出!T24/市町人件費物件費歳出!T$4,0)</f>
        <v>29520</v>
      </c>
      <c r="E37" s="1240">
        <f>ROUND(E$5*市町人件費物件費歳出!U24/市町人件費物件費歳出!U$4,0)</f>
        <v>31007</v>
      </c>
      <c r="F37" s="1240">
        <f>ROUND(F$5*市町人件費物件費歳出!V24/市町人件費物件費歳出!V$4,0)</f>
        <v>30858</v>
      </c>
      <c r="G37" s="1240">
        <f>ROUND(G$5*市町人件費物件費歳出!W24/市町人件費物件費歳出!W$4,0)</f>
        <v>31337</v>
      </c>
      <c r="H37" s="1240">
        <f>ROUND(H$5*市町人件費物件費歳出!X24/市町人件費物件費歳出!X$4,0)</f>
        <v>32973</v>
      </c>
      <c r="I37" s="1240">
        <f>ROUND(I$5*市町人件費物件費歳出!Y24/市町人件費物件費歳出!Y$4,0)</f>
        <v>32888</v>
      </c>
      <c r="J37" s="1240">
        <f>ROUND(J$5*市町人件費物件費歳出!Z24/市町人件費物件費歳出!Z$4,0)</f>
        <v>33894</v>
      </c>
      <c r="K37" s="1240">
        <f>ROUND(K$5*市町人件費物件費歳出!AA24/市町人件費物件費歳出!AA$4,0)</f>
        <v>35034</v>
      </c>
      <c r="L37" s="1240">
        <f>ROUND(L$5*市町人件費物件費歳出!AB24/市町人件費物件費歳出!AB$4,0)</f>
        <v>35675</v>
      </c>
      <c r="M37" s="1240">
        <f>ROUND(M$5*市町人件費物件費歳出!AC24/市町人件費物件費歳出!AC$4,0)</f>
        <v>37045</v>
      </c>
      <c r="N37" s="1240">
        <f>ROUND(N$5*市町人件費物件費歳出!AD24/市町人件費物件費歳出!AD$4,0)</f>
        <v>35253</v>
      </c>
      <c r="O37" s="1240">
        <f>ROUND(O$5*市町人件費物件費歳出!AE24/市町人件費物件費歳出!AE$4,0)</f>
        <v>35592</v>
      </c>
      <c r="P37" s="1240">
        <f>ROUND(P$5*市町人件費物件費歳出!AF24/市町人件費物件費歳出!AF$4,0)</f>
        <v>38047</v>
      </c>
      <c r="Q37" s="1240">
        <f>ROUND(Q$5*市町人件費物件費歳出!AG24/市町人件費物件費歳出!AG$4,0)</f>
        <v>39364</v>
      </c>
      <c r="R37" s="1240">
        <f>ROUND(R$5*市町人件費物件費歳出!AH24/市町人件費物件費歳出!AH$4,0)</f>
        <v>39445</v>
      </c>
      <c r="S37" s="1240">
        <f>ROUND(S$5*市町人件費物件費歳出!AI24/市町人件費物件費歳出!AI$4,0)</f>
        <v>40093</v>
      </c>
      <c r="T37" s="1240">
        <f>ROUND(T$5*市町人件費物件費歳出!AJ24/市町人件費物件費歳出!AJ$4,0)</f>
        <v>40501</v>
      </c>
      <c r="U37" s="1240">
        <f>ROUND(U$5*市町人件費物件費歳出!AK24/市町人件費物件費歳出!AK$4,0)</f>
        <v>43010</v>
      </c>
      <c r="V37" s="1240">
        <f>ROUND(V$5*市町人件費物件費歳出!AL24/市町人件費物件費歳出!AL$4,0)</f>
        <v>44281</v>
      </c>
      <c r="W37" s="1240">
        <f>ROUND(W$5*市町人件費物件費歳出!AM24/市町人件費物件費歳出!AM$4,0)</f>
        <v>44821</v>
      </c>
      <c r="X37" s="1240">
        <f>ROUND(X$5*市町人件費物件費歳出!AN24/市町人件費物件費歳出!AN$4,0)</f>
        <v>45201</v>
      </c>
    </row>
    <row r="38" spans="1:26">
      <c r="A38" s="1232">
        <v>218</v>
      </c>
      <c r="B38" s="1232" t="s">
        <v>200</v>
      </c>
      <c r="C38" s="1240">
        <f>ROUND(C$5*市町人件費物件費歳出!S25/市町人件費物件費歳出!S$4,0)</f>
        <v>15554</v>
      </c>
      <c r="D38" s="1240">
        <f>ROUND(D$5*市町人件費物件費歳出!T25/市町人件費物件費歳出!T$4,0)</f>
        <v>16100</v>
      </c>
      <c r="E38" s="1240">
        <f>ROUND(E$5*市町人件費物件費歳出!U25/市町人件費物件費歳出!U$4,0)</f>
        <v>16808</v>
      </c>
      <c r="F38" s="1240">
        <f>ROUND(F$5*市町人件費物件費歳出!V25/市町人件費物件費歳出!V$4,0)</f>
        <v>17318</v>
      </c>
      <c r="G38" s="1240">
        <f>ROUND(G$5*市町人件費物件費歳出!W25/市町人件費物件費歳出!W$4,0)</f>
        <v>17572</v>
      </c>
      <c r="H38" s="1240">
        <f>ROUND(H$5*市町人件費物件費歳出!X25/市町人件費物件費歳出!X$4,0)</f>
        <v>18256</v>
      </c>
      <c r="I38" s="1240">
        <f>ROUND(I$5*市町人件費物件費歳出!Y25/市町人件費物件費歳出!Y$4,0)</f>
        <v>18281</v>
      </c>
      <c r="J38" s="1240">
        <f>ROUND(J$5*市町人件費物件費歳出!Z25/市町人件費物件費歳出!Z$4,0)</f>
        <v>19109</v>
      </c>
      <c r="K38" s="1240">
        <f>ROUND(K$5*市町人件費物件費歳出!AA25/市町人件費物件費歳出!AA$4,0)</f>
        <v>20372</v>
      </c>
      <c r="L38" s="1240">
        <f>ROUND(L$5*市町人件費物件費歳出!AB25/市町人件費物件費歳出!AB$4,0)</f>
        <v>20950</v>
      </c>
      <c r="M38" s="1240">
        <f>ROUND(M$5*市町人件費物件費歳出!AC25/市町人件費物件費歳出!AC$4,0)</f>
        <v>21024</v>
      </c>
      <c r="N38" s="1240">
        <f>ROUND(N$5*市町人件費物件費歳出!AD25/市町人件費物件費歳出!AD$4,0)</f>
        <v>20555</v>
      </c>
      <c r="O38" s="1240">
        <f>ROUND(O$5*市町人件費物件費歳出!AE25/市町人件費物件費歳出!AE$4,0)</f>
        <v>20116</v>
      </c>
      <c r="P38" s="1240">
        <f>ROUND(P$5*市町人件費物件費歳出!AF25/市町人件費物件費歳出!AF$4,0)</f>
        <v>21076</v>
      </c>
      <c r="Q38" s="1240">
        <f>ROUND(Q$5*市町人件費物件費歳出!AG25/市町人件費物件費歳出!AG$4,0)</f>
        <v>21653</v>
      </c>
      <c r="R38" s="1240">
        <f>ROUND(R$5*市町人件費物件費歳出!AH25/市町人件費物件費歳出!AH$4,0)</f>
        <v>21098</v>
      </c>
      <c r="S38" s="1240">
        <f>ROUND(S$5*市町人件費物件費歳出!AI25/市町人件費物件費歳出!AI$4,0)</f>
        <v>22467</v>
      </c>
      <c r="T38" s="1240">
        <f>ROUND(T$5*市町人件費物件費歳出!AJ25/市町人件費物件費歳出!AJ$4,0)</f>
        <v>23180</v>
      </c>
      <c r="U38" s="1240">
        <f>ROUND(U$5*市町人件費物件費歳出!AK25/市町人件費物件費歳出!AK$4,0)</f>
        <v>23940</v>
      </c>
      <c r="V38" s="1240">
        <f>ROUND(V$5*市町人件費物件費歳出!AL25/市町人件費物件費歳出!AL$4,0)</f>
        <v>24925</v>
      </c>
      <c r="W38" s="1240">
        <f>ROUND(W$5*市町人件費物件費歳出!AM25/市町人件費物件費歳出!AM$4,0)</f>
        <v>25267</v>
      </c>
      <c r="X38" s="1240">
        <f>ROUND(X$5*市町人件費物件費歳出!AN25/市町人件費物件費歳出!AN$4,0)</f>
        <v>25359</v>
      </c>
    </row>
    <row r="39" spans="1:26">
      <c r="A39" s="1232">
        <v>220</v>
      </c>
      <c r="B39" s="1232" t="s">
        <v>201</v>
      </c>
      <c r="C39" s="1240">
        <f>ROUND(C$5*市町人件費物件費歳出!S26/市町人件費物件費歳出!S$4,0)</f>
        <v>16072</v>
      </c>
      <c r="D39" s="1240">
        <f>ROUND(D$5*市町人件費物件費歳出!T26/市町人件費物件費歳出!T$4,0)</f>
        <v>16596</v>
      </c>
      <c r="E39" s="1240">
        <f>ROUND(E$5*市町人件費物件費歳出!U26/市町人件費物件費歳出!U$4,0)</f>
        <v>17193</v>
      </c>
      <c r="F39" s="1240">
        <f>ROUND(F$5*市町人件費物件費歳出!V26/市町人件費物件費歳出!V$4,0)</f>
        <v>17738</v>
      </c>
      <c r="G39" s="1240">
        <f>ROUND(G$5*市町人件費物件費歳出!W26/市町人件費物件費歳出!W$4,0)</f>
        <v>18154</v>
      </c>
      <c r="H39" s="1240">
        <f>ROUND(H$5*市町人件費物件費歳出!X26/市町人件費物件費歳出!X$4,0)</f>
        <v>17527</v>
      </c>
      <c r="I39" s="1240">
        <f>ROUND(I$5*市町人件費物件費歳出!Y26/市町人件費物件費歳出!Y$4,0)</f>
        <v>17657</v>
      </c>
      <c r="J39" s="1240">
        <f>ROUND(J$5*市町人件費物件費歳出!Z26/市町人件費物件費歳出!Z$4,0)</f>
        <v>18329</v>
      </c>
      <c r="K39" s="1240">
        <f>ROUND(K$5*市町人件費物件費歳出!AA26/市町人件費物件費歳出!AA$4,0)</f>
        <v>19049</v>
      </c>
      <c r="L39" s="1240">
        <f>ROUND(L$5*市町人件費物件費歳出!AB26/市町人件費物件費歳出!AB$4,0)</f>
        <v>19515</v>
      </c>
      <c r="M39" s="1240">
        <f>ROUND(M$5*市町人件費物件費歳出!AC26/市町人件費物件費歳出!AC$4,0)</f>
        <v>19984</v>
      </c>
      <c r="N39" s="1240">
        <f>ROUND(N$5*市町人件費物件費歳出!AD26/市町人件費物件費歳出!AD$4,0)</f>
        <v>18983</v>
      </c>
      <c r="O39" s="1240">
        <f>ROUND(O$5*市町人件費物件費歳出!AE26/市町人件費物件費歳出!AE$4,0)</f>
        <v>18818</v>
      </c>
      <c r="P39" s="1240">
        <f>ROUND(P$5*市町人件費物件費歳出!AF26/市町人件費物件費歳出!AF$4,0)</f>
        <v>20528</v>
      </c>
      <c r="Q39" s="1240">
        <f>ROUND(Q$5*市町人件費物件費歳出!AG26/市町人件費物件費歳出!AG$4,0)</f>
        <v>24293</v>
      </c>
      <c r="R39" s="1240">
        <f>ROUND(R$5*市町人件費物件費歳出!AH26/市町人件費物件費歳出!AH$4,0)</f>
        <v>26000</v>
      </c>
      <c r="S39" s="1240">
        <f>ROUND(S$5*市町人件費物件費歳出!AI26/市町人件費物件費歳出!AI$4,0)</f>
        <v>27809</v>
      </c>
      <c r="T39" s="1240">
        <f>ROUND(T$5*市町人件費物件費歳出!AJ26/市町人件費物件費歳出!AJ$4,0)</f>
        <v>29295</v>
      </c>
      <c r="U39" s="1240">
        <f>ROUND(U$5*市町人件費物件費歳出!AK26/市町人件費物件費歳出!AK$4,0)</f>
        <v>29200</v>
      </c>
      <c r="V39" s="1240">
        <f>ROUND(V$5*市町人件費物件費歳出!AL26/市町人件費物件費歳出!AL$4,0)</f>
        <v>30909</v>
      </c>
      <c r="W39" s="1240">
        <f>ROUND(W$5*市町人件費物件費歳出!AM26/市町人件費物件費歳出!AM$4,0)</f>
        <v>31351</v>
      </c>
      <c r="X39" s="1240">
        <f>ROUND(X$5*市町人件費物件費歳出!AN26/市町人件費物件費歳出!AN$4,0)</f>
        <v>31277</v>
      </c>
    </row>
    <row r="40" spans="1:26">
      <c r="A40" s="1232">
        <v>228</v>
      </c>
      <c r="B40" s="1232" t="s">
        <v>330</v>
      </c>
      <c r="C40" s="1240">
        <f>ROUND(C$5*市町人件費物件費歳出!S27/市町人件費物件費歳出!S$4,0)</f>
        <v>16903</v>
      </c>
      <c r="D40" s="1240">
        <f>ROUND(D$5*市町人件費物件費歳出!T27/市町人件費物件費歳出!T$4,0)</f>
        <v>16776</v>
      </c>
      <c r="E40" s="1240">
        <f>ROUND(E$5*市町人件費物件費歳出!U27/市町人件費物件費歳出!U$4,0)</f>
        <v>17161</v>
      </c>
      <c r="F40" s="1240">
        <f>ROUND(F$5*市町人件費物件費歳出!V27/市町人件費物件費歳出!V$4,0)</f>
        <v>18411</v>
      </c>
      <c r="G40" s="1240">
        <f>ROUND(G$5*市町人件費物件費歳出!W27/市町人件費物件費歳出!W$4,0)</f>
        <v>18032</v>
      </c>
      <c r="H40" s="1240">
        <f>ROUND(H$5*市町人件費物件費歳出!X27/市町人件費物件費歳出!X$4,0)</f>
        <v>17020</v>
      </c>
      <c r="I40" s="1240">
        <f>ROUND(I$5*市町人件費物件費歳出!Y27/市町人件費物件費歳出!Y$4,0)</f>
        <v>17584</v>
      </c>
      <c r="J40" s="1240">
        <f>ROUND(J$5*市町人件費物件費歳出!Z27/市町人件費物件費歳出!Z$4,0)</f>
        <v>18515</v>
      </c>
      <c r="K40" s="1240">
        <f>ROUND(K$5*市町人件費物件費歳出!AA27/市町人件費物件費歳出!AA$4,0)</f>
        <v>19397</v>
      </c>
      <c r="L40" s="1240">
        <f>ROUND(L$5*市町人件費物件費歳出!AB27/市町人件費物件費歳出!AB$4,0)</f>
        <v>20222</v>
      </c>
      <c r="M40" s="1240">
        <f>ROUND(M$5*市町人件費物件費歳出!AC27/市町人件費物件費歳出!AC$4,0)</f>
        <v>19813</v>
      </c>
      <c r="N40" s="1240">
        <f>ROUND(N$5*市町人件費物件費歳出!AD27/市町人件費物件費歳出!AD$4,0)</f>
        <v>18339</v>
      </c>
      <c r="O40" s="1240">
        <f>ROUND(O$5*市町人件費物件費歳出!AE27/市町人件費物件費歳出!AE$4,0)</f>
        <v>18842</v>
      </c>
      <c r="P40" s="1240">
        <f>ROUND(P$5*市町人件費物件費歳出!AF27/市町人件費物件費歳出!AF$4,0)</f>
        <v>19502</v>
      </c>
      <c r="Q40" s="1240">
        <f>ROUND(Q$5*市町人件費物件費歳出!AG27/市町人件費物件費歳出!AG$4,0)</f>
        <v>22448</v>
      </c>
      <c r="R40" s="1240">
        <f>ROUND(R$5*市町人件費物件費歳出!AH27/市町人件費物件費歳出!AH$4,0)</f>
        <v>23328</v>
      </c>
      <c r="S40" s="1240">
        <f>ROUND(S$5*市町人件費物件費歳出!AI27/市町人件費物件費歳出!AI$4,0)</f>
        <v>22700</v>
      </c>
      <c r="T40" s="1240">
        <f>ROUND(T$5*市町人件費物件費歳出!AJ27/市町人件費物件費歳出!AJ$4,0)</f>
        <v>23135</v>
      </c>
      <c r="U40" s="1240">
        <f>ROUND(U$5*市町人件費物件費歳出!AK27/市町人件費物件費歳出!AK$4,0)</f>
        <v>25848</v>
      </c>
      <c r="V40" s="1240">
        <f>ROUND(V$5*市町人件費物件費歳出!AL27/市町人件費物件費歳出!AL$4,0)</f>
        <v>25677</v>
      </c>
      <c r="W40" s="1240">
        <f>ROUND(W$5*市町人件費物件費歳出!AM27/市町人件費物件費歳出!AM$4,0)</f>
        <v>26194</v>
      </c>
      <c r="X40" s="1240">
        <f>ROUND(X$5*市町人件費物件費歳出!AN27/市町人件費物件費歳出!AN$4,0)</f>
        <v>26605</v>
      </c>
    </row>
    <row r="41" spans="1:26">
      <c r="A41" s="1242">
        <v>365</v>
      </c>
      <c r="B41" s="1242" t="s">
        <v>331</v>
      </c>
      <c r="C41" s="1243">
        <f>ROUND(C$5*市町人件費物件費歳出!S28/市町人件費物件費歳出!S$4,0)</f>
        <v>11314</v>
      </c>
      <c r="D41" s="1243">
        <f>ROUND(D$5*市町人件費物件費歳出!T28/市町人件費物件費歳出!T$4,0)</f>
        <v>11822</v>
      </c>
      <c r="E41" s="1243">
        <f>ROUND(E$5*市町人件費物件費歳出!U28/市町人件費物件費歳出!U$4,0)</f>
        <v>12054</v>
      </c>
      <c r="F41" s="1243">
        <f>ROUND(F$5*市町人件費物件費歳出!V28/市町人件費物件費歳出!V$4,0)</f>
        <v>12442</v>
      </c>
      <c r="G41" s="1243">
        <f>ROUND(G$5*市町人件費物件費歳出!W28/市町人件費物件費歳出!W$4,0)</f>
        <v>12537</v>
      </c>
      <c r="H41" s="1243">
        <f>ROUND(H$5*市町人件費物件費歳出!X28/市町人件費物件費歳出!X$4,0)</f>
        <v>13558</v>
      </c>
      <c r="I41" s="1243">
        <f>ROUND(I$5*市町人件費物件費歳出!Y28/市町人件費物件費歳出!Y$4,0)</f>
        <v>13488</v>
      </c>
      <c r="J41" s="1243">
        <f>ROUND(J$5*市町人件費物件費歳出!Z28/市町人件費物件費歳出!Z$4,0)</f>
        <v>14398</v>
      </c>
      <c r="K41" s="1243">
        <f>ROUND(K$5*市町人件費物件費歳出!AA28/市町人件費物件費歳出!AA$4,0)</f>
        <v>14253</v>
      </c>
      <c r="L41" s="1243">
        <f>ROUND(L$5*市町人件費物件費歳出!AB28/市町人件費物件費歳出!AB$4,0)</f>
        <v>14393</v>
      </c>
      <c r="M41" s="1243">
        <f>ROUND(M$5*市町人件費物件費歳出!AC28/市町人件費物件費歳出!AC$4,0)</f>
        <v>14160</v>
      </c>
      <c r="N41" s="1243">
        <f>ROUND(N$5*市町人件費物件費歳出!AD28/市町人件費物件費歳出!AD$4,0)</f>
        <v>13188</v>
      </c>
      <c r="O41" s="1243">
        <f>ROUND(O$5*市町人件費物件費歳出!AE28/市町人件費物件費歳出!AE$4,0)</f>
        <v>13061</v>
      </c>
      <c r="P41" s="1243">
        <f>ROUND(P$5*市町人件費物件費歳出!AF28/市町人件費物件費歳出!AF$4,0)</f>
        <v>12256</v>
      </c>
      <c r="Q41" s="1243">
        <f>ROUND(Q$5*市町人件費物件費歳出!AG28/市町人件費物件費歳出!AG$4,0)</f>
        <v>12782</v>
      </c>
      <c r="R41" s="1243">
        <f>ROUND(R$5*市町人件費物件費歳出!AH28/市町人件費物件費歳出!AH$4,0)</f>
        <v>13519</v>
      </c>
      <c r="S41" s="1243">
        <f>ROUND(S$5*市町人件費物件費歳出!AI28/市町人件費物件費歳出!AI$4,0)</f>
        <v>12285</v>
      </c>
      <c r="T41" s="1243">
        <f>ROUND(T$5*市町人件費物件費歳出!AJ28/市町人件費物件費歳出!AJ$4,0)</f>
        <v>12217</v>
      </c>
      <c r="U41" s="1243">
        <f>ROUND(U$5*市町人件費物件費歳出!AK28/市町人件費物件費歳出!AK$4,0)</f>
        <v>12636</v>
      </c>
      <c r="V41" s="1243">
        <f>ROUND(V$5*市町人件費物件費歳出!AL28/市町人件費物件費歳出!AL$4,0)</f>
        <v>13307</v>
      </c>
      <c r="W41" s="1243">
        <f>ROUND(W$5*市町人件費物件費歳出!AM28/市町人件費物件費歳出!AM$4,0)</f>
        <v>13381</v>
      </c>
      <c r="X41" s="1243">
        <f>ROUND(X$5*市町人件費物件費歳出!AN28/市町人件費物件費歳出!AN$4,0)</f>
        <v>13450</v>
      </c>
    </row>
    <row r="42" spans="1:26">
      <c r="A42" s="1232">
        <v>5</v>
      </c>
      <c r="B42" s="1232" t="s">
        <v>326</v>
      </c>
      <c r="C42" s="1240">
        <f>SUM(C43:C46)</f>
        <v>178756</v>
      </c>
      <c r="D42" s="1240">
        <f>SUM(D43:D46)</f>
        <v>184400</v>
      </c>
      <c r="E42" s="1240">
        <f t="shared" ref="E42:J42" si="67">SUM(E43:E46)</f>
        <v>194003</v>
      </c>
      <c r="F42" s="1240">
        <f t="shared" si="67"/>
        <v>199780</v>
      </c>
      <c r="G42" s="1240">
        <f t="shared" si="67"/>
        <v>205107</v>
      </c>
      <c r="H42" s="1240">
        <f t="shared" si="67"/>
        <v>214315</v>
      </c>
      <c r="I42" s="1240">
        <f t="shared" si="67"/>
        <v>216067</v>
      </c>
      <c r="J42" s="1240">
        <f t="shared" si="67"/>
        <v>220835</v>
      </c>
      <c r="K42" s="1240">
        <f t="shared" ref="K42:P42" si="68">SUM(K43:K46)</f>
        <v>234997</v>
      </c>
      <c r="L42" s="1240">
        <f t="shared" si="68"/>
        <v>247406</v>
      </c>
      <c r="M42" s="1240">
        <f t="shared" si="68"/>
        <v>249127</v>
      </c>
      <c r="N42" s="1240">
        <f t="shared" si="68"/>
        <v>239676</v>
      </c>
      <c r="O42" s="1240">
        <f t="shared" si="68"/>
        <v>239164</v>
      </c>
      <c r="P42" s="1240">
        <f t="shared" si="68"/>
        <v>249183</v>
      </c>
      <c r="Q42" s="1240">
        <f t="shared" ref="Q42:V42" si="69">SUM(Q43:Q46)</f>
        <v>239887</v>
      </c>
      <c r="R42" s="1240">
        <f t="shared" si="69"/>
        <v>257067</v>
      </c>
      <c r="S42" s="1240">
        <f t="shared" si="69"/>
        <v>269614</v>
      </c>
      <c r="T42" s="1240">
        <f t="shared" si="69"/>
        <v>272757</v>
      </c>
      <c r="U42" s="1240">
        <f t="shared" si="69"/>
        <v>285419</v>
      </c>
      <c r="V42" s="1240">
        <f t="shared" si="69"/>
        <v>296552</v>
      </c>
      <c r="W42" s="1240">
        <f t="shared" ref="W42:X42" si="70">SUM(W43:W46)</f>
        <v>299756</v>
      </c>
      <c r="X42" s="1240">
        <f t="shared" si="70"/>
        <v>301635</v>
      </c>
    </row>
    <row r="43" spans="1:26">
      <c r="A43" s="1232">
        <v>201</v>
      </c>
      <c r="B43" s="1232" t="s">
        <v>332</v>
      </c>
      <c r="C43" s="1240">
        <f>ROUND(C$5*市町人件費物件費歳出!S30/市町人件費物件費歳出!S$4,0)</f>
        <v>158677</v>
      </c>
      <c r="D43" s="1240">
        <f>ROUND(D$5*市町人件費物件費歳出!T30/市町人件費物件費歳出!T$4,0)</f>
        <v>164496</v>
      </c>
      <c r="E43" s="1240">
        <f>ROUND(E$5*市町人件費物件費歳出!U30/市町人件費物件費歳出!U$4,0)</f>
        <v>173091</v>
      </c>
      <c r="F43" s="1240">
        <f>ROUND(F$5*市町人件費物件費歳出!V30/市町人件費物件費歳出!V$4,0)</f>
        <v>177411</v>
      </c>
      <c r="G43" s="1240">
        <f>ROUND(G$5*市町人件費物件費歳出!W30/市町人件費物件費歳出!W$4,0)</f>
        <v>183252</v>
      </c>
      <c r="H43" s="1240">
        <f>ROUND(H$5*市町人件費物件費歳出!X30/市町人件費物件費歳出!X$4,0)</f>
        <v>190672</v>
      </c>
      <c r="I43" s="1240">
        <f>ROUND(I$5*市町人件費物件費歳出!Y30/市町人件費物件費歳出!Y$4,0)</f>
        <v>192628</v>
      </c>
      <c r="J43" s="1240">
        <f>ROUND(J$5*市町人件費物件費歳出!Z30/市町人件費物件費歳出!Z$4,0)</f>
        <v>197169</v>
      </c>
      <c r="K43" s="1240">
        <f>ROUND(K$5*市町人件費物件費歳出!AA30/市町人件費物件費歳出!AA$4,0)</f>
        <v>209305</v>
      </c>
      <c r="L43" s="1240">
        <f>ROUND(L$5*市町人件費物件費歳出!AB30/市町人件費物件費歳出!AB$4,0)</f>
        <v>220020</v>
      </c>
      <c r="M43" s="1240">
        <f>ROUND(M$5*市町人件費物件費歳出!AC30/市町人件費物件費歳出!AC$4,0)</f>
        <v>221641</v>
      </c>
      <c r="N43" s="1240">
        <f>ROUND(N$5*市町人件費物件費歳出!AD30/市町人件費物件費歳出!AD$4,0)</f>
        <v>212994</v>
      </c>
      <c r="O43" s="1240">
        <f>ROUND(O$5*市町人件費物件費歳出!AE30/市町人件費物件費歳出!AE$4,0)</f>
        <v>212645</v>
      </c>
      <c r="P43" s="1240">
        <f>ROUND(P$5*市町人件費物件費歳出!AF30/市町人件費物件費歳出!AF$4,0)</f>
        <v>221373</v>
      </c>
      <c r="Q43" s="1240">
        <f>ROUND(Q$5*市町人件費物件費歳出!AG30/市町人件費物件費歳出!AG$4,0)</f>
        <v>212082</v>
      </c>
      <c r="R43" s="1240">
        <f>ROUND(R$5*市町人件費物件費歳出!AH30/市町人件費物件費歳出!AH$4,0)</f>
        <v>228582</v>
      </c>
      <c r="S43" s="1240">
        <f>ROUND(S$5*市町人件費物件費歳出!AI30/市町人件費物件費歳出!AI$4,0)</f>
        <v>241380</v>
      </c>
      <c r="T43" s="1240">
        <f>ROUND(T$5*市町人件費物件費歳出!AJ30/市町人件費物件費歳出!AJ$4,0)</f>
        <v>243098</v>
      </c>
      <c r="U43" s="1240">
        <f>ROUND(U$5*市町人件費物件費歳出!AK30/市町人件費物件費歳出!AK$4,0)</f>
        <v>253516</v>
      </c>
      <c r="V43" s="1240">
        <f>ROUND(V$5*市町人件費物件費歳出!AL30/市町人件費物件費歳出!AL$4,0)</f>
        <v>264393</v>
      </c>
      <c r="W43" s="1240">
        <f>ROUND(W$5*市町人件費物件費歳出!AM30/市町人件費物件費歳出!AM$4,0)</f>
        <v>266878</v>
      </c>
      <c r="X43" s="1240">
        <f>ROUND(X$5*市町人件費物件費歳出!AN30/市町人件費物件費歳出!AN$4,0)</f>
        <v>268458</v>
      </c>
    </row>
    <row r="44" spans="1:26">
      <c r="A44" s="1232">
        <v>442</v>
      </c>
      <c r="B44" s="1232" t="s">
        <v>203</v>
      </c>
      <c r="C44" s="1240">
        <f>ROUND(C$5*市町人件費物件費歳出!S31/市町人件費物件費歳出!S$4,0)</f>
        <v>5530</v>
      </c>
      <c r="D44" s="1240">
        <f>ROUND(D$5*市町人件費物件費歳出!T31/市町人件費物件費歳出!T$4,0)</f>
        <v>5657</v>
      </c>
      <c r="E44" s="1240">
        <f>ROUND(E$5*市町人件費物件費歳出!U31/市町人件費物件費歳出!U$4,0)</f>
        <v>5961</v>
      </c>
      <c r="F44" s="1240">
        <f>ROUND(F$5*市町人件費物件費歳出!V31/市町人件費物件費歳出!V$4,0)</f>
        <v>6224</v>
      </c>
      <c r="G44" s="1240">
        <f>ROUND(G$5*市町人件費物件費歳出!W31/市町人件費物件費歳出!W$4,0)</f>
        <v>6180</v>
      </c>
      <c r="H44" s="1240">
        <f>ROUND(H$5*市町人件費物件費歳出!X31/市町人件費物件費歳出!X$4,0)</f>
        <v>6796</v>
      </c>
      <c r="I44" s="1240">
        <f>ROUND(I$5*市町人件費物件費歳出!Y31/市町人件費物件費歳出!Y$4,0)</f>
        <v>6217</v>
      </c>
      <c r="J44" s="1240">
        <f>ROUND(J$5*市町人件費物件費歳出!Z31/市町人件費物件費歳出!Z$4,0)</f>
        <v>6332</v>
      </c>
      <c r="K44" s="1240">
        <f>ROUND(K$5*市町人件費物件費歳出!AA31/市町人件費物件費歳出!AA$4,0)</f>
        <v>7115</v>
      </c>
      <c r="L44" s="1240">
        <f>ROUND(L$5*市町人件費物件費歳出!AB31/市町人件費物件費歳出!AB$4,0)</f>
        <v>7895</v>
      </c>
      <c r="M44" s="1240">
        <f>ROUND(M$5*市町人件費物件費歳出!AC31/市町人件費物件費歳出!AC$4,0)</f>
        <v>7639</v>
      </c>
      <c r="N44" s="1240">
        <f>ROUND(N$5*市町人件費物件費歳出!AD31/市町人件費物件費歳出!AD$4,0)</f>
        <v>7448</v>
      </c>
      <c r="O44" s="1240">
        <f>ROUND(O$5*市町人件費物件費歳出!AE31/市町人件費物件費歳出!AE$4,0)</f>
        <v>7210</v>
      </c>
      <c r="P44" s="1240">
        <f>ROUND(P$5*市町人件費物件費歳出!AF31/市町人件費物件費歳出!AF$4,0)</f>
        <v>7968</v>
      </c>
      <c r="Q44" s="1240">
        <f>ROUND(Q$5*市町人件費物件費歳出!AG31/市町人件費物件費歳出!AG$4,0)</f>
        <v>8063</v>
      </c>
      <c r="R44" s="1240">
        <f>ROUND(R$5*市町人件費物件費歳出!AH31/市町人件費物件費歳出!AH$4,0)</f>
        <v>8395</v>
      </c>
      <c r="S44" s="1240">
        <f>ROUND(S$5*市町人件費物件費歳出!AI31/市町人件費物件費歳出!AI$4,0)</f>
        <v>8048</v>
      </c>
      <c r="T44" s="1240">
        <f>ROUND(T$5*市町人件費物件費歳出!AJ31/市町人件費物件費歳出!AJ$4,0)</f>
        <v>8435</v>
      </c>
      <c r="U44" s="1240">
        <f>ROUND(U$5*市町人件費物件費歳出!AK31/市町人件費物件費歳出!AK$4,0)</f>
        <v>8897</v>
      </c>
      <c r="V44" s="1240">
        <f>ROUND(V$5*市町人件費物件費歳出!AL31/市町人件費物件費歳出!AL$4,0)</f>
        <v>9090</v>
      </c>
      <c r="W44" s="1240">
        <f>ROUND(W$5*市町人件費物件費歳出!AM31/市町人件費物件費歳出!AM$4,0)</f>
        <v>9268</v>
      </c>
      <c r="X44" s="1240">
        <f>ROUND(X$5*市町人件費物件費歳出!AN31/市町人件費物件費歳出!AN$4,0)</f>
        <v>9326</v>
      </c>
    </row>
    <row r="45" spans="1:26">
      <c r="A45" s="1232">
        <v>443</v>
      </c>
      <c r="B45" s="1232" t="s">
        <v>204</v>
      </c>
      <c r="C45" s="1240">
        <f>ROUND(C$5*市町人件費物件費歳出!S32/市町人件費物件費歳出!S$4,0)</f>
        <v>6898</v>
      </c>
      <c r="D45" s="1240">
        <f>ROUND(D$5*市町人件費物件費歳出!T32/市町人件費物件費歳出!T$4,0)</f>
        <v>6774</v>
      </c>
      <c r="E45" s="1240">
        <f>ROUND(E$5*市町人件費物件費歳出!U32/市町人件費物件費歳出!U$4,0)</f>
        <v>7293</v>
      </c>
      <c r="F45" s="1240">
        <f>ROUND(F$5*市町人件費物件費歳出!V32/市町人件費物件費歳出!V$4,0)</f>
        <v>8022</v>
      </c>
      <c r="G45" s="1240">
        <f>ROUND(G$5*市町人件費物件費歳出!W32/市町人件費物件費歳出!W$4,0)</f>
        <v>7766</v>
      </c>
      <c r="H45" s="1240">
        <f>ROUND(H$5*市町人件費物件費歳出!X32/市町人件費物件費歳出!X$4,0)</f>
        <v>8298</v>
      </c>
      <c r="I45" s="1240">
        <f>ROUND(I$5*市町人件費物件費歳出!Y32/市町人件費物件費歳出!Y$4,0)</f>
        <v>8538</v>
      </c>
      <c r="J45" s="1240">
        <f>ROUND(J$5*市町人件費物件費歳出!Z32/市町人件費物件費歳出!Z$4,0)</f>
        <v>8700</v>
      </c>
      <c r="K45" s="1240">
        <f>ROUND(K$5*市町人件費物件費歳出!AA32/市町人件費物件費歳出!AA$4,0)</f>
        <v>9556</v>
      </c>
      <c r="L45" s="1240">
        <f>ROUND(L$5*市町人件費物件費歳出!AB32/市町人件費物件費歳出!AB$4,0)</f>
        <v>9532</v>
      </c>
      <c r="M45" s="1240">
        <f>ROUND(M$5*市町人件費物件費歳出!AC32/市町人件費物件費歳出!AC$4,0)</f>
        <v>9694</v>
      </c>
      <c r="N45" s="1240">
        <f>ROUND(N$5*市町人件費物件費歳出!AD32/市町人件費物件費歳出!AD$4,0)</f>
        <v>9221</v>
      </c>
      <c r="O45" s="1240">
        <f>ROUND(O$5*市町人件費物件費歳出!AE32/市町人件費物件費歳出!AE$4,0)</f>
        <v>9387</v>
      </c>
      <c r="P45" s="1240">
        <f>ROUND(P$5*市町人件費物件費歳出!AF32/市町人件費物件費歳出!AF$4,0)</f>
        <v>9780</v>
      </c>
      <c r="Q45" s="1240">
        <f>ROUND(Q$5*市町人件費物件費歳出!AG32/市町人件費物件費歳出!AG$4,0)</f>
        <v>10040</v>
      </c>
      <c r="R45" s="1240">
        <f>ROUND(R$5*市町人件費物件費歳出!AH32/市町人件費物件費歳出!AH$4,0)</f>
        <v>10563</v>
      </c>
      <c r="S45" s="1240">
        <f>ROUND(S$5*市町人件費物件費歳出!AI32/市町人件費物件費歳出!AI$4,0)</f>
        <v>10357</v>
      </c>
      <c r="T45" s="1240">
        <f>ROUND(T$5*市町人件費物件費歳出!AJ32/市町人件費物件費歳出!AJ$4,0)</f>
        <v>10873</v>
      </c>
      <c r="U45" s="1240">
        <f>ROUND(U$5*市町人件費物件費歳出!AK32/市町人件費物件費歳出!AK$4,0)</f>
        <v>11887</v>
      </c>
      <c r="V45" s="1240">
        <f>ROUND(V$5*市町人件費物件費歳出!AL32/市町人件費物件費歳出!AL$4,0)</f>
        <v>11860</v>
      </c>
      <c r="W45" s="1240">
        <f>ROUND(W$5*市町人件費物件費歳出!AM32/市町人件費物件費歳出!AM$4,0)</f>
        <v>12146</v>
      </c>
      <c r="X45" s="1240">
        <f>ROUND(X$5*市町人件費物件費歳出!AN32/市町人件費物件費歳出!AN$4,0)</f>
        <v>12286</v>
      </c>
    </row>
    <row r="46" spans="1:26">
      <c r="A46" s="1232">
        <v>446</v>
      </c>
      <c r="B46" s="1232" t="s">
        <v>333</v>
      </c>
      <c r="C46" s="1240">
        <f>ROUND(C$5*市町人件費物件費歳出!S33/市町人件費物件費歳出!S$4,0)</f>
        <v>7651</v>
      </c>
      <c r="D46" s="1240">
        <f>ROUND(D$5*市町人件費物件費歳出!T33/市町人件費物件費歳出!T$4,0)</f>
        <v>7473</v>
      </c>
      <c r="E46" s="1240">
        <f>ROUND(E$5*市町人件費物件費歳出!U33/市町人件費物件費歳出!U$4,0)</f>
        <v>7658</v>
      </c>
      <c r="F46" s="1240">
        <f>ROUND(F$5*市町人件費物件費歳出!V33/市町人件費物件費歳出!V$4,0)</f>
        <v>8123</v>
      </c>
      <c r="G46" s="1240">
        <f>ROUND(G$5*市町人件費物件費歳出!W33/市町人件費物件費歳出!W$4,0)</f>
        <v>7909</v>
      </c>
      <c r="H46" s="1240">
        <f>ROUND(H$5*市町人件費物件費歳出!X33/市町人件費物件費歳出!X$4,0)</f>
        <v>8549</v>
      </c>
      <c r="I46" s="1240">
        <f>ROUND(I$5*市町人件費物件費歳出!Y33/市町人件費物件費歳出!Y$4,0)</f>
        <v>8684</v>
      </c>
      <c r="J46" s="1240">
        <f>ROUND(J$5*市町人件費物件費歳出!Z33/市町人件費物件費歳出!Z$4,0)</f>
        <v>8634</v>
      </c>
      <c r="K46" s="1240">
        <f>ROUND(K$5*市町人件費物件費歳出!AA33/市町人件費物件費歳出!AA$4,0)</f>
        <v>9021</v>
      </c>
      <c r="L46" s="1240">
        <f>ROUND(L$5*市町人件費物件費歳出!AB33/市町人件費物件費歳出!AB$4,0)</f>
        <v>9959</v>
      </c>
      <c r="M46" s="1240">
        <f>ROUND(M$5*市町人件費物件費歳出!AC33/市町人件費物件費歳出!AC$4,0)</f>
        <v>10153</v>
      </c>
      <c r="N46" s="1240">
        <f>ROUND(N$5*市町人件費物件費歳出!AD33/市町人件費物件費歳出!AD$4,0)</f>
        <v>10013</v>
      </c>
      <c r="O46" s="1240">
        <f>ROUND(O$5*市町人件費物件費歳出!AE33/市町人件費物件費歳出!AE$4,0)</f>
        <v>9922</v>
      </c>
      <c r="P46" s="1240">
        <f>ROUND(P$5*市町人件費物件費歳出!AF33/市町人件費物件費歳出!AF$4,0)</f>
        <v>10062</v>
      </c>
      <c r="Q46" s="1240">
        <f>ROUND(Q$5*市町人件費物件費歳出!AG33/市町人件費物件費歳出!AG$4,0)</f>
        <v>9702</v>
      </c>
      <c r="R46" s="1240">
        <f>ROUND(R$5*市町人件費物件費歳出!AH33/市町人件費物件費歳出!AH$4,0)</f>
        <v>9527</v>
      </c>
      <c r="S46" s="1240">
        <f>ROUND(S$5*市町人件費物件費歳出!AI33/市町人件費物件費歳出!AI$4,0)</f>
        <v>9829</v>
      </c>
      <c r="T46" s="1240">
        <f>ROUND(T$5*市町人件費物件費歳出!AJ33/市町人件費物件費歳出!AJ$4,0)</f>
        <v>10351</v>
      </c>
      <c r="U46" s="1240">
        <f>ROUND(U$5*市町人件費物件費歳出!AK33/市町人件費物件費歳出!AK$4,0)</f>
        <v>11119</v>
      </c>
      <c r="V46" s="1240">
        <f>ROUND(V$5*市町人件費物件費歳出!AL33/市町人件費物件費歳出!AL$4,0)</f>
        <v>11209</v>
      </c>
      <c r="W46" s="1240">
        <f>ROUND(W$5*市町人件費物件費歳出!AM33/市町人件費物件費歳出!AM$4,0)</f>
        <v>11464</v>
      </c>
      <c r="X46" s="1240">
        <f>ROUND(X$5*市町人件費物件費歳出!AN33/市町人件費物件費歳出!AN$4,0)</f>
        <v>11565</v>
      </c>
    </row>
    <row r="47" spans="1:26">
      <c r="A47" s="1230">
        <v>6</v>
      </c>
      <c r="B47" s="1230" t="s">
        <v>327</v>
      </c>
      <c r="C47" s="1241">
        <f>SUM(C48:C54)</f>
        <v>110748</v>
      </c>
      <c r="D47" s="1241">
        <f>SUM(D48:D54)</f>
        <v>110055</v>
      </c>
      <c r="E47" s="1241">
        <f t="shared" ref="E47:J47" si="71">SUM(E48:E54)</f>
        <v>115176</v>
      </c>
      <c r="F47" s="1241">
        <f t="shared" si="71"/>
        <v>123481</v>
      </c>
      <c r="G47" s="1241">
        <f t="shared" si="71"/>
        <v>121627</v>
      </c>
      <c r="H47" s="1241">
        <f t="shared" si="71"/>
        <v>128492</v>
      </c>
      <c r="I47" s="1241">
        <f t="shared" si="71"/>
        <v>127810</v>
      </c>
      <c r="J47" s="1241">
        <f t="shared" si="71"/>
        <v>122655</v>
      </c>
      <c r="K47" s="1241">
        <f t="shared" ref="K47:P47" si="72">SUM(K48:K54)</f>
        <v>124401</v>
      </c>
      <c r="L47" s="1241">
        <f t="shared" si="72"/>
        <v>126909</v>
      </c>
      <c r="M47" s="1241">
        <f t="shared" si="72"/>
        <v>126892</v>
      </c>
      <c r="N47" s="1241">
        <f t="shared" si="72"/>
        <v>119194</v>
      </c>
      <c r="O47" s="1241">
        <f t="shared" si="72"/>
        <v>119714</v>
      </c>
      <c r="P47" s="1241">
        <f t="shared" si="72"/>
        <v>121849</v>
      </c>
      <c r="Q47" s="1241">
        <f t="shared" ref="Q47:V47" si="73">SUM(Q48:Q54)</f>
        <v>126398</v>
      </c>
      <c r="R47" s="1241">
        <f t="shared" si="73"/>
        <v>127230</v>
      </c>
      <c r="S47" s="1241">
        <f t="shared" si="73"/>
        <v>131189</v>
      </c>
      <c r="T47" s="1241">
        <f t="shared" si="73"/>
        <v>134294</v>
      </c>
      <c r="U47" s="1241">
        <f t="shared" si="73"/>
        <v>140457</v>
      </c>
      <c r="V47" s="1241">
        <f t="shared" si="73"/>
        <v>145410</v>
      </c>
      <c r="W47" s="1241">
        <f t="shared" ref="W47:X47" si="74">SUM(W48:W54)</f>
        <v>147360</v>
      </c>
      <c r="X47" s="1241">
        <f t="shared" si="74"/>
        <v>148209</v>
      </c>
    </row>
    <row r="48" spans="1:26">
      <c r="A48" s="1232">
        <v>208</v>
      </c>
      <c r="B48" s="1232" t="s">
        <v>206</v>
      </c>
      <c r="C48" s="1240">
        <f>ROUND(C$5*市町人件費物件費歳出!S35/市町人件費物件費歳出!S$4,0)</f>
        <v>11811</v>
      </c>
      <c r="D48" s="1240">
        <f>ROUND(D$5*市町人件費物件費歳出!T35/市町人件費物件費歳出!T$4,0)</f>
        <v>11657</v>
      </c>
      <c r="E48" s="1240">
        <f>ROUND(E$5*市町人件費物件費歳出!U35/市町人件費物件費歳出!U$4,0)</f>
        <v>12473</v>
      </c>
      <c r="F48" s="1240">
        <f>ROUND(F$5*市町人件費物件費歳出!V35/市町人件費物件費歳出!V$4,0)</f>
        <v>12547</v>
      </c>
      <c r="G48" s="1240">
        <f>ROUND(G$5*市町人件費物件費歳出!W35/市町人件費物件費歳出!W$4,0)</f>
        <v>12773</v>
      </c>
      <c r="H48" s="1240">
        <f>ROUND(H$5*市町人件費物件費歳出!X35/市町人件費物件費歳出!X$4,0)</f>
        <v>13176</v>
      </c>
      <c r="I48" s="1240">
        <f>ROUND(I$5*市町人件費物件費歳出!Y35/市町人件費物件費歳出!Y$4,0)</f>
        <v>13547</v>
      </c>
      <c r="J48" s="1240">
        <f>ROUND(J$5*市町人件費物件費歳出!Z35/市町人件費物件費歳出!Z$4,0)</f>
        <v>13011</v>
      </c>
      <c r="K48" s="1240">
        <f>ROUND(K$5*市町人件費物件費歳出!AA35/市町人件費物件費歳出!AA$4,0)</f>
        <v>13607</v>
      </c>
      <c r="L48" s="1240">
        <f>ROUND(L$5*市町人件費物件費歳出!AB35/市町人件費物件費歳出!AB$4,0)</f>
        <v>13399</v>
      </c>
      <c r="M48" s="1240">
        <f>ROUND(M$5*市町人件費物件費歳出!AC35/市町人件費物件費歳出!AC$4,0)</f>
        <v>13565</v>
      </c>
      <c r="N48" s="1240">
        <f>ROUND(N$5*市町人件費物件費歳出!AD35/市町人件費物件費歳出!AD$4,0)</f>
        <v>12665</v>
      </c>
      <c r="O48" s="1240">
        <f>ROUND(O$5*市町人件費物件費歳出!AE35/市町人件費物件費歳出!AE$4,0)</f>
        <v>13154</v>
      </c>
      <c r="P48" s="1240">
        <f>ROUND(P$5*市町人件費物件費歳出!AF35/市町人件費物件費歳出!AF$4,0)</f>
        <v>13090</v>
      </c>
      <c r="Q48" s="1240">
        <f>ROUND(Q$5*市町人件費物件費歳出!AG35/市町人件費物件費歳出!AG$4,0)</f>
        <v>13813</v>
      </c>
      <c r="R48" s="1240">
        <f>ROUND(R$5*市町人件費物件費歳出!AH35/市町人件費物件費歳出!AH$4,0)</f>
        <v>14036</v>
      </c>
      <c r="S48" s="1240">
        <f>ROUND(S$5*市町人件費物件費歳出!AI35/市町人件費物件費歳出!AI$4,0)</f>
        <v>14761</v>
      </c>
      <c r="T48" s="1240">
        <f>ROUND(T$5*市町人件費物件費歳出!AJ35/市町人件費物件費歳出!AJ$4,0)</f>
        <v>14717</v>
      </c>
      <c r="U48" s="1240">
        <f>ROUND(U$5*市町人件費物件費歳出!AK35/市町人件費物件費歳出!AK$4,0)</f>
        <v>14875</v>
      </c>
      <c r="V48" s="1240">
        <f>ROUND(V$5*市町人件費物件費歳出!AL35/市町人件費物件費歳出!AL$4,0)</f>
        <v>15891</v>
      </c>
      <c r="W48" s="1240">
        <f>ROUND(W$5*市町人件費物件費歳出!AM35/市町人件費物件費歳出!AM$4,0)</f>
        <v>15947</v>
      </c>
      <c r="X48" s="1240">
        <f>ROUND(X$5*市町人件費物件費歳出!AN35/市町人件費物件費歳出!AN$4,0)</f>
        <v>15974</v>
      </c>
      <c r="Z48" s="1387"/>
    </row>
    <row r="49" spans="1:25">
      <c r="A49" s="1232">
        <v>212</v>
      </c>
      <c r="B49" s="1232" t="s">
        <v>207</v>
      </c>
      <c r="C49" s="1240">
        <f>ROUND(C$5*市町人件費物件費歳出!S36/市町人件費物件費歳出!S$4,0)</f>
        <v>19808</v>
      </c>
      <c r="D49" s="1240">
        <f>ROUND(D$5*市町人件費物件費歳出!T36/市町人件費物件費歳出!T$4,0)</f>
        <v>19075</v>
      </c>
      <c r="E49" s="1240">
        <f>ROUND(E$5*市町人件費物件費歳出!U36/市町人件費物件費歳出!U$4,0)</f>
        <v>20874</v>
      </c>
      <c r="F49" s="1240">
        <f>ROUND(F$5*市町人件費物件費歳出!V36/市町人件費物件費歳出!V$4,0)</f>
        <v>20315</v>
      </c>
      <c r="G49" s="1240">
        <f>ROUND(G$5*市町人件費物件費歳出!W36/市町人件費物件費歳出!W$4,0)</f>
        <v>21564</v>
      </c>
      <c r="H49" s="1240">
        <f>ROUND(H$5*市町人件費物件費歳出!X36/市町人件費物件費歳出!X$4,0)</f>
        <v>23832</v>
      </c>
      <c r="I49" s="1240">
        <f>ROUND(I$5*市町人件費物件費歳出!Y36/市町人件費物件費歳出!Y$4,0)</f>
        <v>22078</v>
      </c>
      <c r="J49" s="1240">
        <f>ROUND(J$5*市町人件費物件費歳出!Z36/市町人件費物件費歳出!Z$4,0)</f>
        <v>24262</v>
      </c>
      <c r="K49" s="1240">
        <f>ROUND(K$5*市町人件費物件費歳出!AA36/市町人件費物件費歳出!AA$4,0)</f>
        <v>24201</v>
      </c>
      <c r="L49" s="1240">
        <f>ROUND(L$5*市町人件費物件費歳出!AB36/市町人件費物件費歳出!AB$4,0)</f>
        <v>25256</v>
      </c>
      <c r="M49" s="1240">
        <f>ROUND(M$5*市町人件費物件費歳出!AC36/市町人件費物件費歳出!AC$4,0)</f>
        <v>25274</v>
      </c>
      <c r="N49" s="1240">
        <f>ROUND(N$5*市町人件費物件費歳出!AD36/市町人件費物件費歳出!AD$4,0)</f>
        <v>23616</v>
      </c>
      <c r="O49" s="1240">
        <f>ROUND(O$5*市町人件費物件費歳出!AE36/市町人件費物件費歳出!AE$4,0)</f>
        <v>24005</v>
      </c>
      <c r="P49" s="1240">
        <f>ROUND(P$5*市町人件費物件費歳出!AF36/市町人件費物件費歳出!AF$4,0)</f>
        <v>24102</v>
      </c>
      <c r="Q49" s="1240">
        <f>ROUND(Q$5*市町人件費物件費歳出!AG36/市町人件費物件費歳出!AG$4,0)</f>
        <v>24448</v>
      </c>
      <c r="R49" s="1240">
        <f>ROUND(R$5*市町人件費物件費歳出!AH36/市町人件費物件費歳出!AH$4,0)</f>
        <v>25561</v>
      </c>
      <c r="S49" s="1240">
        <f>ROUND(S$5*市町人件費物件費歳出!AI36/市町人件費物件費歳出!AI$4,0)</f>
        <v>26218</v>
      </c>
      <c r="T49" s="1240">
        <f>ROUND(T$5*市町人件費物件費歳出!AJ36/市町人件費物件費歳出!AJ$4,0)</f>
        <v>25302</v>
      </c>
      <c r="U49" s="1240">
        <f>ROUND(U$5*市町人件費物件費歳出!AK36/市町人件費物件費歳出!AK$4,0)</f>
        <v>26830</v>
      </c>
      <c r="V49" s="1240">
        <f>ROUND(V$5*市町人件費物件費歳出!AL36/市町人件費物件費歳出!AL$4,0)</f>
        <v>28079</v>
      </c>
      <c r="W49" s="1240">
        <f>ROUND(W$5*市町人件費物件費歳出!AM36/市町人件費物件費歳出!AM$4,0)</f>
        <v>28127</v>
      </c>
      <c r="X49" s="1240">
        <f>ROUND(X$5*市町人件費物件費歳出!AN36/市町人件費物件費歳出!AN$4,0)</f>
        <v>28405</v>
      </c>
    </row>
    <row r="50" spans="1:25">
      <c r="A50" s="1232">
        <v>227</v>
      </c>
      <c r="B50" s="1232" t="s">
        <v>219</v>
      </c>
      <c r="C50" s="1240">
        <f>ROUND(C$5*市町人件費物件費歳出!S37/市町人件費物件費歳出!S$4,0)</f>
        <v>20854</v>
      </c>
      <c r="D50" s="1240">
        <f>ROUND(D$5*市町人件費物件費歳出!T37/市町人件費物件費歳出!T$4,0)</f>
        <v>20744</v>
      </c>
      <c r="E50" s="1240">
        <f>ROUND(E$5*市町人件費物件費歳出!U37/市町人件費物件費歳出!U$4,0)</f>
        <v>21199</v>
      </c>
      <c r="F50" s="1240">
        <f>ROUND(F$5*市町人件費物件費歳出!V37/市町人件費物件費歳出!V$4,0)</f>
        <v>22582</v>
      </c>
      <c r="G50" s="1240">
        <f>ROUND(G$5*市町人件費物件費歳出!W37/市町人件費物件費歳出!W$4,0)</f>
        <v>21882</v>
      </c>
      <c r="H50" s="1240">
        <f>ROUND(H$5*市町人件費物件費歳出!X37/市町人件費物件費歳出!X$4,0)</f>
        <v>23726</v>
      </c>
      <c r="I50" s="1240">
        <f>ROUND(I$5*市町人件費物件費歳出!Y37/市町人件費物件費歳出!Y$4,0)</f>
        <v>24271</v>
      </c>
      <c r="J50" s="1240">
        <f>ROUND(J$5*市町人件費物件費歳出!Z37/市町人件費物件費歳出!Z$4,0)</f>
        <v>22431</v>
      </c>
      <c r="K50" s="1240">
        <f>ROUND(K$5*市町人件費物件費歳出!AA37/市町人件費物件費歳出!AA$4,0)</f>
        <v>23454</v>
      </c>
      <c r="L50" s="1240">
        <f>ROUND(L$5*市町人件費物件費歳出!AB37/市町人件費物件費歳出!AB$4,0)</f>
        <v>24436</v>
      </c>
      <c r="M50" s="1240">
        <f>ROUND(M$5*市町人件費物件費歳出!AC37/市町人件費物件費歳出!AC$4,0)</f>
        <v>24114</v>
      </c>
      <c r="N50" s="1240">
        <f>ROUND(N$5*市町人件費物件費歳出!AD37/市町人件費物件費歳出!AD$4,0)</f>
        <v>22710</v>
      </c>
      <c r="O50" s="1240">
        <f>ROUND(O$5*市町人件費物件費歳出!AE37/市町人件費物件費歳出!AE$4,0)</f>
        <v>22716</v>
      </c>
      <c r="P50" s="1240">
        <f>ROUND(P$5*市町人件費物件費歳出!AF37/市町人件費物件費歳出!AF$4,0)</f>
        <v>23619</v>
      </c>
      <c r="Q50" s="1240">
        <f>ROUND(Q$5*市町人件費物件費歳出!AG37/市町人件費物件費歳出!AG$4,0)</f>
        <v>23734</v>
      </c>
      <c r="R50" s="1240">
        <f>ROUND(R$5*市町人件費物件費歳出!AH37/市町人件費物件費歳出!AH$4,0)</f>
        <v>24450</v>
      </c>
      <c r="S50" s="1240">
        <f>ROUND(S$5*市町人件費物件費歳出!AI37/市町人件費物件費歳出!AI$4,0)</f>
        <v>24753</v>
      </c>
      <c r="T50" s="1240">
        <f>ROUND(T$5*市町人件費物件費歳出!AJ37/市町人件費物件費歳出!AJ$4,0)</f>
        <v>26000</v>
      </c>
      <c r="U50" s="1240">
        <f>ROUND(U$5*市町人件費物件費歳出!AK37/市町人件費物件費歳出!AK$4,0)</f>
        <v>26343</v>
      </c>
      <c r="V50" s="1240">
        <f>ROUND(V$5*市町人件費物件費歳出!AL37/市町人件費物件費歳出!AL$4,0)</f>
        <v>27611</v>
      </c>
      <c r="W50" s="1240">
        <f>ROUND(W$5*市町人件費物件費歳出!AM37/市町人件費物件費歳出!AM$4,0)</f>
        <v>28039</v>
      </c>
      <c r="X50" s="1240">
        <f>ROUND(X$5*市町人件費物件費歳出!AN37/市町人件費物件費歳出!AN$4,0)</f>
        <v>28044</v>
      </c>
    </row>
    <row r="51" spans="1:25">
      <c r="A51" s="1232">
        <v>229</v>
      </c>
      <c r="B51" s="1232" t="s">
        <v>334</v>
      </c>
      <c r="C51" s="1240">
        <f>ROUND(C$5*市町人件費物件費歳出!S38/市町人件費物件費歳出!S$4,0)</f>
        <v>29955</v>
      </c>
      <c r="D51" s="1240">
        <f>ROUND(D$5*市町人件費物件費歳出!T38/市町人件費物件費歳出!T$4,0)</f>
        <v>30268</v>
      </c>
      <c r="E51" s="1240">
        <f>ROUND(E$5*市町人件費物件費歳出!U38/市町人件費物件費歳出!U$4,0)</f>
        <v>30554</v>
      </c>
      <c r="F51" s="1240">
        <f>ROUND(F$5*市町人件費物件費歳出!V38/市町人件費物件費歳出!V$4,0)</f>
        <v>32214</v>
      </c>
      <c r="G51" s="1240">
        <f>ROUND(G$5*市町人件費物件費歳出!W38/市町人件費物件費歳出!W$4,0)</f>
        <v>32592</v>
      </c>
      <c r="H51" s="1240">
        <f>ROUND(H$5*市町人件費物件費歳出!X38/市町人件費物件費歳出!X$4,0)</f>
        <v>33564</v>
      </c>
      <c r="I51" s="1240">
        <f>ROUND(I$5*市町人件費物件費歳出!Y38/市町人件費物件費歳出!Y$4,0)</f>
        <v>33643</v>
      </c>
      <c r="J51" s="1240">
        <f>ROUND(J$5*市町人件費物件費歳出!Z38/市町人件費物件費歳出!Z$4,0)</f>
        <v>30212</v>
      </c>
      <c r="K51" s="1240">
        <f>ROUND(K$5*市町人件費物件費歳出!AA38/市町人件費物件費歳出!AA$4,0)</f>
        <v>30072</v>
      </c>
      <c r="L51" s="1240">
        <f>ROUND(L$5*市町人件費物件費歳出!AB38/市町人件費物件費歳出!AB$4,0)</f>
        <v>29717</v>
      </c>
      <c r="M51" s="1240">
        <f>ROUND(M$5*市町人件費物件費歳出!AC38/市町人件費物件費歳出!AC$4,0)</f>
        <v>30029</v>
      </c>
      <c r="N51" s="1240">
        <f>ROUND(N$5*市町人件費物件費歳出!AD38/市町人件費物件費歳出!AD$4,0)</f>
        <v>28482</v>
      </c>
      <c r="O51" s="1240">
        <f>ROUND(O$5*市町人件費物件費歳出!AE38/市町人件費物件費歳出!AE$4,0)</f>
        <v>28432</v>
      </c>
      <c r="P51" s="1240">
        <f>ROUND(P$5*市町人件費物件費歳出!AF38/市町人件費物件費歳出!AF$4,0)</f>
        <v>29168</v>
      </c>
      <c r="Q51" s="1240">
        <f>ROUND(Q$5*市町人件費物件費歳出!AG38/市町人件費物件費歳出!AG$4,0)</f>
        <v>30708</v>
      </c>
      <c r="R51" s="1240">
        <f>ROUND(R$5*市町人件費物件費歳出!AH38/市町人件費物件費歳出!AH$4,0)</f>
        <v>30133</v>
      </c>
      <c r="S51" s="1240">
        <f>ROUND(S$5*市町人件費物件費歳出!AI38/市町人件費物件費歳出!AI$4,0)</f>
        <v>30570</v>
      </c>
      <c r="T51" s="1240">
        <f>ROUND(T$5*市町人件費物件費歳出!AJ38/市町人件費物件費歳出!AJ$4,0)</f>
        <v>31995</v>
      </c>
      <c r="U51" s="1240">
        <f>ROUND(U$5*市町人件費物件費歳出!AK38/市町人件費物件費歳出!AK$4,0)</f>
        <v>34350</v>
      </c>
      <c r="V51" s="1240">
        <f>ROUND(V$5*市町人件費物件費歳出!AL38/市町人件費物件費歳出!AL$4,0)</f>
        <v>34709</v>
      </c>
      <c r="W51" s="1240">
        <f>ROUND(W$5*市町人件費物件費歳出!AM38/市町人件費物件費歳出!AM$4,0)</f>
        <v>35451</v>
      </c>
      <c r="X51" s="1240">
        <f>ROUND(X$5*市町人件費物件費歳出!AN38/市町人件費物件費歳出!AN$4,0)</f>
        <v>35765</v>
      </c>
    </row>
    <row r="52" spans="1:25">
      <c r="A52" s="1232">
        <v>464</v>
      </c>
      <c r="B52" s="1232" t="s">
        <v>208</v>
      </c>
      <c r="C52" s="1240">
        <f>ROUND(C$5*市町人件費物件費歳出!S39/市町人件費物件費歳出!S$4,0)</f>
        <v>7533</v>
      </c>
      <c r="D52" s="1240">
        <f>ROUND(D$5*市町人件費物件費歳出!T39/市町人件費物件費歳出!T$4,0)</f>
        <v>7675</v>
      </c>
      <c r="E52" s="1240">
        <f>ROUND(E$5*市町人件費物件費歳出!U39/市町人件費物件費歳出!U$4,0)</f>
        <v>8304</v>
      </c>
      <c r="F52" s="1240">
        <f>ROUND(F$5*市町人件費物件費歳出!V39/市町人件費物件費歳出!V$4,0)</f>
        <v>8933</v>
      </c>
      <c r="G52" s="1240">
        <f>ROUND(G$5*市町人件費物件費歳出!W39/市町人件費物件費歳出!W$4,0)</f>
        <v>8821</v>
      </c>
      <c r="H52" s="1240">
        <f>ROUND(H$5*市町人件費物件費歳出!X39/市町人件費物件費歳出!X$4,0)</f>
        <v>9553</v>
      </c>
      <c r="I52" s="1240">
        <f>ROUND(I$5*市町人件費物件費歳出!Y39/市町人件費物件費歳出!Y$4,0)</f>
        <v>9549</v>
      </c>
      <c r="J52" s="1240">
        <f>ROUND(J$5*市町人件費物件費歳出!Z39/市町人件費物件費歳出!Z$4,0)</f>
        <v>9738</v>
      </c>
      <c r="K52" s="1240">
        <f>ROUND(K$5*市町人件費物件費歳出!AA39/市町人件費物件費歳出!AA$4,0)</f>
        <v>9709</v>
      </c>
      <c r="L52" s="1240">
        <f>ROUND(L$5*市町人件費物件費歳出!AB39/市町人件費物件費歳出!AB$4,0)</f>
        <v>10162</v>
      </c>
      <c r="M52" s="1240">
        <f>ROUND(M$5*市町人件費物件費歳出!AC39/市町人件費物件費歳出!AC$4,0)</f>
        <v>10585</v>
      </c>
      <c r="N52" s="1240">
        <f>ROUND(N$5*市町人件費物件費歳出!AD39/市町人件費物件費歳出!AD$4,0)</f>
        <v>10092</v>
      </c>
      <c r="O52" s="1240">
        <f>ROUND(O$5*市町人件費物件費歳出!AE39/市町人件費物件費歳出!AE$4,0)</f>
        <v>9853</v>
      </c>
      <c r="P52" s="1240">
        <f>ROUND(P$5*市町人件費物件費歳出!AF39/市町人件費物件費歳出!AF$4,0)</f>
        <v>10177</v>
      </c>
      <c r="Q52" s="1240">
        <f>ROUND(Q$5*市町人件費物件費歳出!AG39/市町人件費物件費歳出!AG$4,0)</f>
        <v>10943</v>
      </c>
      <c r="R52" s="1240">
        <f>ROUND(R$5*市町人件費物件費歳出!AH39/市町人件費物件費歳出!AH$4,0)</f>
        <v>10761</v>
      </c>
      <c r="S52" s="1240">
        <f>ROUND(S$5*市町人件費物件費歳出!AI39/市町人件費物件費歳出!AI$4,0)</f>
        <v>11748</v>
      </c>
      <c r="T52" s="1240">
        <f>ROUND(T$5*市町人件費物件費歳出!AJ39/市町人件費物件費歳出!AJ$4,0)</f>
        <v>12327</v>
      </c>
      <c r="U52" s="1240">
        <f>ROUND(U$5*市町人件費物件費歳出!AK39/市町人件費物件費歳出!AK$4,0)</f>
        <v>13392</v>
      </c>
      <c r="V52" s="1240">
        <f>ROUND(V$5*市町人件費物件費歳出!AL39/市町人件費物件費歳出!AL$4,0)</f>
        <v>13418</v>
      </c>
      <c r="W52" s="1240">
        <f>ROUND(W$5*市町人件費物件費歳出!AM39/市町人件費物件費歳出!AM$4,0)</f>
        <v>13731</v>
      </c>
      <c r="X52" s="1240">
        <f>ROUND(X$5*市町人件費物件費歳出!AN39/市町人件費物件費歳出!AN$4,0)</f>
        <v>13876</v>
      </c>
    </row>
    <row r="53" spans="1:25">
      <c r="A53" s="1232">
        <v>481</v>
      </c>
      <c r="B53" s="1232" t="s">
        <v>209</v>
      </c>
      <c r="C53" s="1240">
        <f>ROUND(C$5*市町人件費物件費歳出!S40/市町人件費物件費歳出!S$4,0)</f>
        <v>6647</v>
      </c>
      <c r="D53" s="1240">
        <f>ROUND(D$5*市町人件費物件費歳出!T40/市町人件費物件費歳出!T$4,0)</f>
        <v>6690</v>
      </c>
      <c r="E53" s="1240">
        <f>ROUND(E$5*市町人件費物件費歳出!U40/市町人件費物件費歳出!U$4,0)</f>
        <v>6794</v>
      </c>
      <c r="F53" s="1240">
        <f>ROUND(F$5*市町人件費物件費歳出!V40/市町人件費物件費歳出!V$4,0)</f>
        <v>7761</v>
      </c>
      <c r="G53" s="1240">
        <f>ROUND(G$5*市町人件費物件費歳出!W40/市町人件費物件費歳出!W$4,0)</f>
        <v>8069</v>
      </c>
      <c r="H53" s="1240">
        <f>ROUND(H$5*市町人件費物件費歳出!X40/市町人件費物件費歳出!X$4,0)</f>
        <v>8595</v>
      </c>
      <c r="I53" s="1240">
        <f>ROUND(I$5*市町人件費物件費歳出!Y40/市町人件費物件費歳出!Y$4,0)</f>
        <v>8647</v>
      </c>
      <c r="J53" s="1240">
        <f>ROUND(J$5*市町人件費物件費歳出!Z40/市町人件費物件費歳出!Z$4,0)</f>
        <v>8643</v>
      </c>
      <c r="K53" s="1240">
        <f>ROUND(K$5*市町人件費物件費歳出!AA40/市町人件費物件費歳出!AA$4,0)</f>
        <v>9036</v>
      </c>
      <c r="L53" s="1240">
        <f>ROUND(L$5*市町人件費物件費歳出!AB40/市町人件費物件費歳出!AB$4,0)</f>
        <v>8876</v>
      </c>
      <c r="M53" s="1240">
        <f>ROUND(M$5*市町人件費物件費歳出!AC40/市町人件費物件費歳出!AC$4,0)</f>
        <v>8884</v>
      </c>
      <c r="N53" s="1240">
        <f>ROUND(N$5*市町人件費物件費歳出!AD40/市町人件費物件費歳出!AD$4,0)</f>
        <v>8065</v>
      </c>
      <c r="O53" s="1240">
        <f>ROUND(O$5*市町人件費物件費歳出!AE40/市町人件費物件費歳出!AE$4,0)</f>
        <v>8223</v>
      </c>
      <c r="P53" s="1240">
        <f>ROUND(P$5*市町人件費物件費歳出!AF40/市町人件費物件費歳出!AF$4,0)</f>
        <v>8610</v>
      </c>
      <c r="Q53" s="1240">
        <f>ROUND(Q$5*市町人件費物件費歳出!AG40/市町人件費物件費歳出!AG$4,0)</f>
        <v>8459</v>
      </c>
      <c r="R53" s="1240">
        <f>ROUND(R$5*市町人件費物件費歳出!AH40/市町人件費物件費歳出!AH$4,0)</f>
        <v>8986</v>
      </c>
      <c r="S53" s="1240">
        <f>ROUND(S$5*市町人件費物件費歳出!AI40/市町人件費物件費歳出!AI$4,0)</f>
        <v>8701</v>
      </c>
      <c r="T53" s="1240">
        <f>ROUND(T$5*市町人件費物件費歳出!AJ40/市町人件費物件費歳出!AJ$4,0)</f>
        <v>10220</v>
      </c>
      <c r="U53" s="1240">
        <f>ROUND(U$5*市町人件費物件費歳出!AK40/市町人件費物件費歳出!AK$4,0)</f>
        <v>9644</v>
      </c>
      <c r="V53" s="1240">
        <f>ROUND(V$5*市町人件費物件費歳出!AL40/市町人件費物件費歳出!AL$4,0)</f>
        <v>10221</v>
      </c>
      <c r="W53" s="1240">
        <f>ROUND(W$5*市町人件費物件費歳出!AM40/市町人件費物件費歳出!AM$4,0)</f>
        <v>10551</v>
      </c>
      <c r="X53" s="1240">
        <f>ROUND(X$5*市町人件費物件費歳出!AN40/市町人件費物件費歳出!AN$4,0)</f>
        <v>10399</v>
      </c>
    </row>
    <row r="54" spans="1:25">
      <c r="A54" s="1242">
        <v>501</v>
      </c>
      <c r="B54" s="1242" t="s">
        <v>335</v>
      </c>
      <c r="C54" s="1243">
        <f>ROUND(C$5*市町人件費物件費歳出!S41/市町人件費物件費歳出!S$4,0)</f>
        <v>14140</v>
      </c>
      <c r="D54" s="1243">
        <f>ROUND(D$5*市町人件費物件費歳出!T41/市町人件費物件費歳出!T$4,0)</f>
        <v>13946</v>
      </c>
      <c r="E54" s="1243">
        <f>ROUND(E$5*市町人件費物件費歳出!U41/市町人件費物件費歳出!U$4,0)</f>
        <v>14978</v>
      </c>
      <c r="F54" s="1243">
        <f>ROUND(F$5*市町人件費物件費歳出!V41/市町人件費物件費歳出!V$4,0)</f>
        <v>19129</v>
      </c>
      <c r="G54" s="1243">
        <f>ROUND(G$5*市町人件費物件費歳出!W41/市町人件費物件費歳出!W$4,0)</f>
        <v>15926</v>
      </c>
      <c r="H54" s="1243">
        <f>ROUND(H$5*市町人件費物件費歳出!X41/市町人件費物件費歳出!X$4,0)</f>
        <v>16046</v>
      </c>
      <c r="I54" s="1243">
        <f>ROUND(I$5*市町人件費物件費歳出!Y41/市町人件費物件費歳出!Y$4,0)</f>
        <v>16075</v>
      </c>
      <c r="J54" s="1243">
        <f>ROUND(J$5*市町人件費物件費歳出!Z41/市町人件費物件費歳出!Z$4,0)</f>
        <v>14358</v>
      </c>
      <c r="K54" s="1243">
        <f>ROUND(K$5*市町人件費物件費歳出!AA41/市町人件費物件費歳出!AA$4,0)</f>
        <v>14322</v>
      </c>
      <c r="L54" s="1243">
        <f>ROUND(L$5*市町人件費物件費歳出!AB41/市町人件費物件費歳出!AB$4,0)</f>
        <v>15063</v>
      </c>
      <c r="M54" s="1243">
        <f>ROUND(M$5*市町人件費物件費歳出!AC41/市町人件費物件費歳出!AC$4,0)</f>
        <v>14441</v>
      </c>
      <c r="N54" s="1243">
        <f>ROUND(N$5*市町人件費物件費歳出!AD41/市町人件費物件費歳出!AD$4,0)</f>
        <v>13564</v>
      </c>
      <c r="O54" s="1243">
        <f>ROUND(O$5*市町人件費物件費歳出!AE41/市町人件費物件費歳出!AE$4,0)</f>
        <v>13331</v>
      </c>
      <c r="P54" s="1243">
        <f>ROUND(P$5*市町人件費物件費歳出!AF41/市町人件費物件費歳出!AF$4,0)</f>
        <v>13083</v>
      </c>
      <c r="Q54" s="1243">
        <f>ROUND(Q$5*市町人件費物件費歳出!AG41/市町人件費物件費歳出!AG$4,0)</f>
        <v>14293</v>
      </c>
      <c r="R54" s="1243">
        <f>ROUND(R$5*市町人件費物件費歳出!AH41/市町人件費物件費歳出!AH$4,0)</f>
        <v>13303</v>
      </c>
      <c r="S54" s="1243">
        <f>ROUND(S$5*市町人件費物件費歳出!AI41/市町人件費物件費歳出!AI$4,0)</f>
        <v>14438</v>
      </c>
      <c r="T54" s="1243">
        <f>ROUND(T$5*市町人件費物件費歳出!AJ41/市町人件費物件費歳出!AJ$4,0)</f>
        <v>13733</v>
      </c>
      <c r="U54" s="1243">
        <f>ROUND(U$5*市町人件費物件費歳出!AK41/市町人件費物件費歳出!AK$4,0)</f>
        <v>15023</v>
      </c>
      <c r="V54" s="1243">
        <f>ROUND(V$5*市町人件費物件費歳出!AL41/市町人件費物件費歳出!AL$4,0)</f>
        <v>15481</v>
      </c>
      <c r="W54" s="1243">
        <f>ROUND(W$5*市町人件費物件費歳出!AM41/市町人件費物件費歳出!AM$4,0)</f>
        <v>15514</v>
      </c>
      <c r="X54" s="1243">
        <f>ROUND(X$5*市町人件費物件費歳出!AN41/市町人件費物件費歳出!AN$4,0)</f>
        <v>15746</v>
      </c>
    </row>
    <row r="55" spans="1:25">
      <c r="A55" s="1232">
        <v>7</v>
      </c>
      <c r="B55" s="1232" t="s">
        <v>210</v>
      </c>
      <c r="C55" s="1240">
        <f>SUM(C56:C60)</f>
        <v>95750</v>
      </c>
      <c r="D55" s="1240">
        <f>SUM(D56:D60)</f>
        <v>96050</v>
      </c>
      <c r="E55" s="1240">
        <f t="shared" ref="E55:J55" si="75">SUM(E56:E60)</f>
        <v>101384</v>
      </c>
      <c r="F55" s="1240">
        <f t="shared" si="75"/>
        <v>108595</v>
      </c>
      <c r="G55" s="1240">
        <f t="shared" si="75"/>
        <v>110251</v>
      </c>
      <c r="H55" s="1240">
        <f t="shared" si="75"/>
        <v>116256</v>
      </c>
      <c r="I55" s="1240">
        <f t="shared" si="75"/>
        <v>118115</v>
      </c>
      <c r="J55" s="1240">
        <f t="shared" si="75"/>
        <v>117333</v>
      </c>
      <c r="K55" s="1240">
        <f t="shared" ref="K55:P55" si="76">SUM(K56:K60)</f>
        <v>118645</v>
      </c>
      <c r="L55" s="1240">
        <f t="shared" si="76"/>
        <v>118975</v>
      </c>
      <c r="M55" s="1240">
        <f t="shared" si="76"/>
        <v>120849</v>
      </c>
      <c r="N55" s="1240">
        <f t="shared" si="76"/>
        <v>113762</v>
      </c>
      <c r="O55" s="1240">
        <f t="shared" si="76"/>
        <v>110352</v>
      </c>
      <c r="P55" s="1240">
        <f t="shared" si="76"/>
        <v>113728</v>
      </c>
      <c r="Q55" s="1240">
        <f t="shared" ref="Q55:V55" si="77">SUM(Q56:Q60)</f>
        <v>119833</v>
      </c>
      <c r="R55" s="1240">
        <f t="shared" si="77"/>
        <v>122677</v>
      </c>
      <c r="S55" s="1240">
        <f t="shared" si="77"/>
        <v>127567</v>
      </c>
      <c r="T55" s="1240">
        <f t="shared" si="77"/>
        <v>126039</v>
      </c>
      <c r="U55" s="1240">
        <f t="shared" si="77"/>
        <v>135377</v>
      </c>
      <c r="V55" s="1240">
        <f t="shared" si="77"/>
        <v>139375</v>
      </c>
      <c r="W55" s="1240">
        <f t="shared" ref="W55:X55" si="78">SUM(W56:W60)</f>
        <v>140565</v>
      </c>
      <c r="X55" s="1240">
        <f t="shared" si="78"/>
        <v>142102</v>
      </c>
    </row>
    <row r="56" spans="1:25">
      <c r="A56" s="1232">
        <v>209</v>
      </c>
      <c r="B56" s="1232" t="s">
        <v>336</v>
      </c>
      <c r="C56" s="1240">
        <f>ROUND(C$5*市町人件費物件費歳出!S43/市町人件費物件費歳出!S$4,0)</f>
        <v>39532</v>
      </c>
      <c r="D56" s="1240">
        <f>ROUND(D$5*市町人件費物件費歳出!T43/市町人件費物件費歳出!T$4,0)</f>
        <v>40554</v>
      </c>
      <c r="E56" s="1240">
        <f>ROUND(E$5*市町人件費物件費歳出!U43/市町人件費物件費歳出!U$4,0)</f>
        <v>43470</v>
      </c>
      <c r="F56" s="1240">
        <f>ROUND(F$5*市町人件費物件費歳出!V43/市町人件費物件費歳出!V$4,0)</f>
        <v>46646</v>
      </c>
      <c r="G56" s="1240">
        <f>ROUND(G$5*市町人件費物件費歳出!W43/市町人件費物件費歳出!W$4,0)</f>
        <v>46223</v>
      </c>
      <c r="H56" s="1240">
        <f>ROUND(H$5*市町人件費物件費歳出!X43/市町人件費物件費歳出!X$4,0)</f>
        <v>48849</v>
      </c>
      <c r="I56" s="1240">
        <f>ROUND(I$5*市町人件費物件費歳出!Y43/市町人件費物件費歳出!Y$4,0)</f>
        <v>49554</v>
      </c>
      <c r="J56" s="1240">
        <f>ROUND(J$5*市町人件費物件費歳出!Z43/市町人件費物件費歳出!Z$4,0)</f>
        <v>51106</v>
      </c>
      <c r="K56" s="1240">
        <f>ROUND(K$5*市町人件費物件費歳出!AA43/市町人件費物件費歳出!AA$4,0)</f>
        <v>51606</v>
      </c>
      <c r="L56" s="1240">
        <f>ROUND(L$5*市町人件費物件費歳出!AB43/市町人件費物件費歳出!AB$4,0)</f>
        <v>51641</v>
      </c>
      <c r="M56" s="1240">
        <f>ROUND(M$5*市町人件費物件費歳出!AC43/市町人件費物件費歳出!AC$4,0)</f>
        <v>52012</v>
      </c>
      <c r="N56" s="1240">
        <f>ROUND(N$5*市町人件費物件費歳出!AD43/市町人件費物件費歳出!AD$4,0)</f>
        <v>48621</v>
      </c>
      <c r="O56" s="1240">
        <f>ROUND(O$5*市町人件費物件費歳出!AE43/市町人件費物件費歳出!AE$4,0)</f>
        <v>47345</v>
      </c>
      <c r="P56" s="1240">
        <f>ROUND(P$5*市町人件費物件費歳出!AF43/市町人件費物件費歳出!AF$4,0)</f>
        <v>48816</v>
      </c>
      <c r="Q56" s="1240">
        <f>ROUND(Q$5*市町人件費物件費歳出!AG43/市町人件費物件費歳出!AG$4,0)</f>
        <v>51020</v>
      </c>
      <c r="R56" s="1240">
        <f>ROUND(R$5*市町人件費物件費歳出!AH43/市町人件費物件費歳出!AH$4,0)</f>
        <v>52427</v>
      </c>
      <c r="S56" s="1240">
        <f>ROUND(S$5*市町人件費物件費歳出!AI43/市町人件費物件費歳出!AI$4,0)</f>
        <v>56176</v>
      </c>
      <c r="T56" s="1240">
        <f>ROUND(T$5*市町人件費物件費歳出!AJ43/市町人件費物件費歳出!AJ$4,0)</f>
        <v>52131</v>
      </c>
      <c r="U56" s="1240">
        <f>ROUND(U$5*市町人件費物件費歳出!AK43/市町人件費物件費歳出!AK$4,0)</f>
        <v>55534</v>
      </c>
      <c r="V56" s="1240">
        <f>ROUND(V$5*市町人件費物件費歳出!AL43/市町人件費物件費歳出!AL$4,0)</f>
        <v>58737</v>
      </c>
      <c r="W56" s="1240">
        <f>ROUND(W$5*市町人件費物件費歳出!AM43/市町人件費物件費歳出!AM$4,0)</f>
        <v>58341</v>
      </c>
      <c r="X56" s="1240">
        <f>ROUND(X$5*市町人件費物件費歳出!AN43/市町人件費物件費歳出!AN$4,0)</f>
        <v>59042</v>
      </c>
    </row>
    <row r="57" spans="1:25">
      <c r="A57" s="1232">
        <v>222</v>
      </c>
      <c r="B57" s="1232" t="s">
        <v>337</v>
      </c>
      <c r="C57" s="1240">
        <f>ROUND(C$5*市町人件費物件費歳出!S44/市町人件費物件費歳出!S$4,0)</f>
        <v>15600</v>
      </c>
      <c r="D57" s="1240">
        <f>ROUND(D$5*市町人件費物件費歳出!T44/市町人件費物件費歳出!T$4,0)</f>
        <v>15046</v>
      </c>
      <c r="E57" s="1240">
        <f>ROUND(E$5*市町人件費物件費歳出!U44/市町人件費物件費歳出!U$4,0)</f>
        <v>15811</v>
      </c>
      <c r="F57" s="1240">
        <f>ROUND(F$5*市町人件費物件費歳出!V44/市町人件費物件費歳出!V$4,0)</f>
        <v>17844</v>
      </c>
      <c r="G57" s="1240">
        <f>ROUND(G$5*市町人件費物件費歳出!W44/市町人件費物件費歳出!W$4,0)</f>
        <v>17694</v>
      </c>
      <c r="H57" s="1240">
        <f>ROUND(H$5*市町人件費物件費歳出!X44/市町人件費物件費歳出!X$4,0)</f>
        <v>18748</v>
      </c>
      <c r="I57" s="1240">
        <f>ROUND(I$5*市町人件費物件費歳出!Y44/市町人件費物件費歳出!Y$4,0)</f>
        <v>19320</v>
      </c>
      <c r="J57" s="1240">
        <f>ROUND(J$5*市町人件費物件費歳出!Z44/市町人件費物件費歳出!Z$4,0)</f>
        <v>18116</v>
      </c>
      <c r="K57" s="1240">
        <f>ROUND(K$5*市町人件費物件費歳出!AA44/市町人件費物件費歳出!AA$4,0)</f>
        <v>18442</v>
      </c>
      <c r="L57" s="1240">
        <f>ROUND(L$5*市町人件費物件費歳出!AB44/市町人件費物件費歳出!AB$4,0)</f>
        <v>17619</v>
      </c>
      <c r="M57" s="1240">
        <f>ROUND(M$5*市町人件費物件費歳出!AC44/市町人件費物件費歳出!AC$4,0)</f>
        <v>18593</v>
      </c>
      <c r="N57" s="1240">
        <f>ROUND(N$5*市町人件費物件費歳出!AD44/市町人件費物件費歳出!AD$4,0)</f>
        <v>17421</v>
      </c>
      <c r="O57" s="1240">
        <f>ROUND(O$5*市町人件費物件費歳出!AE44/市町人件費物件費歳出!AE$4,0)</f>
        <v>17067</v>
      </c>
      <c r="P57" s="1240">
        <f>ROUND(P$5*市町人件費物件費歳出!AF44/市町人件費物件費歳出!AF$4,0)</f>
        <v>16866</v>
      </c>
      <c r="Q57" s="1240">
        <f>ROUND(Q$5*市町人件費物件費歳出!AG44/市町人件費物件費歳出!AG$4,0)</f>
        <v>18910</v>
      </c>
      <c r="R57" s="1240">
        <f>ROUND(R$5*市町人件費物件費歳出!AH44/市町人件費物件費歳出!AH$4,0)</f>
        <v>19796</v>
      </c>
      <c r="S57" s="1240">
        <f>ROUND(S$5*市町人件費物件費歳出!AI44/市町人件費物件費歳出!AI$4,0)</f>
        <v>19357</v>
      </c>
      <c r="T57" s="1240">
        <f>ROUND(T$5*市町人件費物件費歳出!AJ44/市町人件費物件費歳出!AJ$4,0)</f>
        <v>20765</v>
      </c>
      <c r="U57" s="1240">
        <f>ROUND(U$5*市町人件費物件費歳出!AK44/市町人件費物件費歳出!AK$4,0)</f>
        <v>22421</v>
      </c>
      <c r="V57" s="1240">
        <f>ROUND(V$5*市町人件費物件費歳出!AL44/市町人件費物件費歳出!AL$4,0)</f>
        <v>22394</v>
      </c>
      <c r="W57" s="1240">
        <f>ROUND(W$5*市町人件費物件費歳出!AM44/市町人件費物件費歳出!AM$4,0)</f>
        <v>23009</v>
      </c>
      <c r="X57" s="1240">
        <f>ROUND(X$5*市町人件費物件費歳出!AN44/市町人件費物件費歳出!AN$4,0)</f>
        <v>23214</v>
      </c>
    </row>
    <row r="58" spans="1:25">
      <c r="A58" s="1232">
        <v>225</v>
      </c>
      <c r="B58" s="1232" t="s">
        <v>222</v>
      </c>
      <c r="C58" s="1240">
        <f>ROUND(C$5*市町人件費物件費歳出!S45/市町人件費物件費歳出!S$4,0)</f>
        <v>20496</v>
      </c>
      <c r="D58" s="1240">
        <f>ROUND(D$5*市町人件費物件費歳出!T45/市町人件費物件費歳出!T$4,0)</f>
        <v>20649</v>
      </c>
      <c r="E58" s="1240">
        <f>ROUND(E$5*市町人件費物件費歳出!U45/市町人件費物件費歳出!U$4,0)</f>
        <v>21304</v>
      </c>
      <c r="F58" s="1240">
        <f>ROUND(F$5*市町人件費物件費歳出!V45/市町人件費物件費歳出!V$4,0)</f>
        <v>22226</v>
      </c>
      <c r="G58" s="1240">
        <f>ROUND(G$5*市町人件費物件費歳出!W45/市町人件費物件費歳出!W$4,0)</f>
        <v>23376</v>
      </c>
      <c r="H58" s="1240">
        <f>ROUND(H$5*市町人件費物件費歳出!X45/市町人件費物件費歳出!X$4,0)</f>
        <v>24186</v>
      </c>
      <c r="I58" s="1240">
        <f>ROUND(I$5*市町人件費物件費歳出!Y45/市町人件費物件費歳出!Y$4,0)</f>
        <v>24705</v>
      </c>
      <c r="J58" s="1240">
        <f>ROUND(J$5*市町人件費物件費歳出!Z45/市町人件費物件費歳出!Z$4,0)</f>
        <v>22754</v>
      </c>
      <c r="K58" s="1240">
        <f>ROUND(K$5*市町人件費物件費歳出!AA45/市町人件費物件費歳出!AA$4,0)</f>
        <v>22738</v>
      </c>
      <c r="L58" s="1240">
        <f>ROUND(L$5*市町人件費物件費歳出!AB45/市町人件費物件費歳出!AB$4,0)</f>
        <v>22881</v>
      </c>
      <c r="M58" s="1240">
        <f>ROUND(M$5*市町人件費物件費歳出!AC45/市町人件費物件費歳出!AC$4,0)</f>
        <v>23202</v>
      </c>
      <c r="N58" s="1240">
        <f>ROUND(N$5*市町人件費物件費歳出!AD45/市町人件費物件費歳出!AD$4,0)</f>
        <v>21532</v>
      </c>
      <c r="O58" s="1240">
        <f>ROUND(O$5*市町人件費物件費歳出!AE45/市町人件費物件費歳出!AE$4,0)</f>
        <v>21193</v>
      </c>
      <c r="P58" s="1240">
        <f>ROUND(P$5*市町人件費物件費歳出!AF45/市町人件費物件費歳出!AF$4,0)</f>
        <v>22140</v>
      </c>
      <c r="Q58" s="1240">
        <f>ROUND(Q$5*市町人件費物件費歳出!AG45/市町人件費物件費歳出!AG$4,0)</f>
        <v>21418</v>
      </c>
      <c r="R58" s="1240">
        <f>ROUND(R$5*市町人件費物件費歳出!AH45/市町人件費物件費歳出!AH$4,0)</f>
        <v>21906</v>
      </c>
      <c r="S58" s="1240">
        <f>ROUND(S$5*市町人件費物件費歳出!AI45/市町人件費物件費歳出!AI$4,0)</f>
        <v>23262</v>
      </c>
      <c r="T58" s="1240">
        <f>ROUND(T$5*市町人件費物件費歳出!AJ45/市町人件費物件費歳出!AJ$4,0)</f>
        <v>23020</v>
      </c>
      <c r="U58" s="1240">
        <f>ROUND(U$5*市町人件費物件費歳出!AK45/市町人件費物件費歳出!AK$4,0)</f>
        <v>24267</v>
      </c>
      <c r="V58" s="1240">
        <f>ROUND(V$5*市町人件費物件費歳出!AL45/市町人件費物件費歳出!AL$4,0)</f>
        <v>25278</v>
      </c>
      <c r="W58" s="1240">
        <f>ROUND(W$5*市町人件費物件費歳出!AM45/市町人件費物件費歳出!AM$4,0)</f>
        <v>25447</v>
      </c>
      <c r="X58" s="1240">
        <f>ROUND(X$5*市町人件費物件費歳出!AN45/市町人件費物件費歳出!AN$4,0)</f>
        <v>25654</v>
      </c>
    </row>
    <row r="59" spans="1:25">
      <c r="A59" s="1232">
        <v>585</v>
      </c>
      <c r="B59" s="1232" t="s">
        <v>220</v>
      </c>
      <c r="C59" s="1240">
        <f>ROUND(C$5*市町人件費物件費歳出!S46/市町人件費物件費歳出!S$4,0)</f>
        <v>10832</v>
      </c>
      <c r="D59" s="1240">
        <f>ROUND(D$5*市町人件費物件費歳出!T46/市町人件費物件費歳出!T$4,0)</f>
        <v>10478</v>
      </c>
      <c r="E59" s="1240">
        <f>ROUND(E$5*市町人件費物件費歳出!U46/市町人件費物件費歳出!U$4,0)</f>
        <v>11069</v>
      </c>
      <c r="F59" s="1240">
        <f>ROUND(F$5*市町人件費物件費歳出!V46/市町人件費物件費歳出!V$4,0)</f>
        <v>11546</v>
      </c>
      <c r="G59" s="1240">
        <f>ROUND(G$5*市町人件費物件費歳出!W46/市町人件費物件費歳出!W$4,0)</f>
        <v>12465</v>
      </c>
      <c r="H59" s="1240">
        <f>ROUND(H$5*市町人件費物件費歳出!X46/市町人件費物件費歳出!X$4,0)</f>
        <v>13263</v>
      </c>
      <c r="I59" s="1240">
        <f>ROUND(I$5*市町人件費物件費歳出!Y46/市町人件費物件費歳出!Y$4,0)</f>
        <v>13354</v>
      </c>
      <c r="J59" s="1240">
        <f>ROUND(J$5*市町人件費物件費歳出!Z46/市町人件費物件費歳出!Z$4,0)</f>
        <v>13914</v>
      </c>
      <c r="K59" s="1240">
        <f>ROUND(K$5*市町人件費物件費歳出!AA46/市町人件費物件費歳出!AA$4,0)</f>
        <v>14214</v>
      </c>
      <c r="L59" s="1240">
        <f>ROUND(L$5*市町人件費物件費歳出!AB46/市町人件費物件費歳出!AB$4,0)</f>
        <v>14806</v>
      </c>
      <c r="M59" s="1240">
        <f>ROUND(M$5*市町人件費物件費歳出!AC46/市町人件費物件費歳出!AC$4,0)</f>
        <v>15015</v>
      </c>
      <c r="N59" s="1240">
        <f>ROUND(N$5*市町人件費物件費歳出!AD46/市町人件費物件費歳出!AD$4,0)</f>
        <v>14655</v>
      </c>
      <c r="O59" s="1240">
        <f>ROUND(O$5*市町人件費物件費歳出!AE46/市町人件費物件費歳出!AE$4,0)</f>
        <v>13729</v>
      </c>
      <c r="P59" s="1240">
        <f>ROUND(P$5*市町人件費物件費歳出!AF46/市町人件費物件費歳出!AF$4,0)</f>
        <v>14447</v>
      </c>
      <c r="Q59" s="1240">
        <f>ROUND(Q$5*市町人件費物件費歳出!AG46/市町人件費物件費歳出!AG$4,0)</f>
        <v>16032</v>
      </c>
      <c r="R59" s="1240">
        <f>ROUND(R$5*市町人件費物件費歳出!AH46/市町人件費物件費歳出!AH$4,0)</f>
        <v>15553</v>
      </c>
      <c r="S59" s="1240">
        <f>ROUND(S$5*市町人件費物件費歳出!AI46/市町人件費物件費歳出!AI$4,0)</f>
        <v>15181</v>
      </c>
      <c r="T59" s="1240">
        <f>ROUND(T$5*市町人件費物件費歳出!AJ46/市町人件費物件費歳出!AJ$4,0)</f>
        <v>16003</v>
      </c>
      <c r="U59" s="1240">
        <f>ROUND(U$5*市町人件費物件費歳出!AK46/市町人件費物件費歳出!AK$4,0)</f>
        <v>17678</v>
      </c>
      <c r="V59" s="1240">
        <f>ROUND(V$5*市町人件費物件費歳出!AL46/市町人件費物件費歳出!AL$4,0)</f>
        <v>17498</v>
      </c>
      <c r="W59" s="1240">
        <f>ROUND(W$5*市町人件費物件費歳出!AM46/市町人件費物件費歳出!AM$4,0)</f>
        <v>17957</v>
      </c>
      <c r="X59" s="1240">
        <f>ROUND(X$5*市町人件費物件費歳出!AN46/市町人件費物件費歳出!AN$4,0)</f>
        <v>18188</v>
      </c>
    </row>
    <row r="60" spans="1:25">
      <c r="A60" s="1232">
        <v>586</v>
      </c>
      <c r="B60" s="1232" t="s">
        <v>338</v>
      </c>
      <c r="C60" s="1243">
        <f>ROUND(C$5*市町人件費物件費歳出!S47/市町人件費物件費歳出!S$4,0)</f>
        <v>9290</v>
      </c>
      <c r="D60" s="1243">
        <f>ROUND(D$5*市町人件費物件費歳出!T47/市町人件費物件費歳出!T$4,0)</f>
        <v>9323</v>
      </c>
      <c r="E60" s="1243">
        <f>ROUND(E$5*市町人件費物件費歳出!U47/市町人件費物件費歳出!U$4,0)</f>
        <v>9730</v>
      </c>
      <c r="F60" s="1243">
        <f>ROUND(F$5*市町人件費物件費歳出!V47/市町人件費物件費歳出!V$4,0)</f>
        <v>10333</v>
      </c>
      <c r="G60" s="1243">
        <f>ROUND(G$5*市町人件費物件費歳出!W47/市町人件費物件費歳出!W$4,0)</f>
        <v>10493</v>
      </c>
      <c r="H60" s="1243">
        <f>ROUND(H$5*市町人件費物件費歳出!X47/市町人件費物件費歳出!X$4,0)</f>
        <v>11210</v>
      </c>
      <c r="I60" s="1243">
        <f>ROUND(I$5*市町人件費物件費歳出!Y47/市町人件費物件費歳出!Y$4,0)</f>
        <v>11182</v>
      </c>
      <c r="J60" s="1240">
        <f>ROUND(J$5*市町人件費物件費歳出!Z47/市町人件費物件費歳出!Z$4,0)</f>
        <v>11443</v>
      </c>
      <c r="K60" s="1240">
        <f>ROUND(K$5*市町人件費物件費歳出!AA47/市町人件費物件費歳出!AA$4,0)</f>
        <v>11645</v>
      </c>
      <c r="L60" s="1240">
        <f>ROUND(L$5*市町人件費物件費歳出!AB47/市町人件費物件費歳出!AB$4,0)</f>
        <v>12028</v>
      </c>
      <c r="M60" s="1240">
        <f>ROUND(M$5*市町人件費物件費歳出!AC47/市町人件費物件費歳出!AC$4,0)</f>
        <v>12027</v>
      </c>
      <c r="N60" s="1240">
        <f>ROUND(N$5*市町人件費物件費歳出!AD47/市町人件費物件費歳出!AD$4,0)</f>
        <v>11533</v>
      </c>
      <c r="O60" s="1240">
        <f>ROUND(O$5*市町人件費物件費歳出!AE47/市町人件費物件費歳出!AE$4,0)</f>
        <v>11018</v>
      </c>
      <c r="P60" s="1240">
        <f>ROUND(P$5*市町人件費物件費歳出!AF47/市町人件費物件費歳出!AF$4,0)</f>
        <v>11459</v>
      </c>
      <c r="Q60" s="1240">
        <f>ROUND(Q$5*市町人件費物件費歳出!AG47/市町人件費物件費歳出!AG$4,0)</f>
        <v>12453</v>
      </c>
      <c r="R60" s="1240">
        <f>ROUND(R$5*市町人件費物件費歳出!AH47/市町人件費物件費歳出!AH$4,0)</f>
        <v>12995</v>
      </c>
      <c r="S60" s="1240">
        <f>ROUND(S$5*市町人件費物件費歳出!AI47/市町人件費物件費歳出!AI$4,0)</f>
        <v>13591</v>
      </c>
      <c r="T60" s="1240">
        <f>ROUND(T$5*市町人件費物件費歳出!AJ47/市町人件費物件費歳出!AJ$4,0)</f>
        <v>14120</v>
      </c>
      <c r="U60" s="1240">
        <f>ROUND(U$5*市町人件費物件費歳出!AK47/市町人件費物件費歳出!AK$4,0)</f>
        <v>15477</v>
      </c>
      <c r="V60" s="1240">
        <f>ROUND(V$5*市町人件費物件費歳出!AL47/市町人件費物件費歳出!AL$4,0)</f>
        <v>15468</v>
      </c>
      <c r="W60" s="1240">
        <f>ROUND(W$5*市町人件費物件費歳出!AM47/市町人件費物件費歳出!AM$4,0)</f>
        <v>15811</v>
      </c>
      <c r="X60" s="1240">
        <f>ROUND(X$5*市町人件費物件費歳出!AN47/市町人件費物件費歳出!AN$4,0)</f>
        <v>16004</v>
      </c>
    </row>
    <row r="61" spans="1:25">
      <c r="A61" s="1230">
        <v>8</v>
      </c>
      <c r="B61" s="1230" t="s">
        <v>211</v>
      </c>
      <c r="C61" s="1241">
        <f>SUM(C62:C63)</f>
        <v>50898</v>
      </c>
      <c r="D61" s="1241">
        <f>SUM(D62:D63)</f>
        <v>51927</v>
      </c>
      <c r="E61" s="1241">
        <f t="shared" ref="E61:J61" si="79">SUM(E62:E63)</f>
        <v>53738</v>
      </c>
      <c r="F61" s="1241">
        <f t="shared" si="79"/>
        <v>55955</v>
      </c>
      <c r="G61" s="1241">
        <f t="shared" si="79"/>
        <v>55940</v>
      </c>
      <c r="H61" s="1241">
        <f t="shared" si="79"/>
        <v>58301</v>
      </c>
      <c r="I61" s="1241">
        <f t="shared" si="79"/>
        <v>57862</v>
      </c>
      <c r="J61" s="1241">
        <f t="shared" si="79"/>
        <v>59829</v>
      </c>
      <c r="K61" s="1241">
        <f t="shared" ref="K61:P61" si="80">SUM(K62:K63)</f>
        <v>63283</v>
      </c>
      <c r="L61" s="1241">
        <f t="shared" si="80"/>
        <v>65260</v>
      </c>
      <c r="M61" s="1241">
        <f t="shared" si="80"/>
        <v>66014</v>
      </c>
      <c r="N61" s="1241">
        <f t="shared" si="80"/>
        <v>62781</v>
      </c>
      <c r="O61" s="1241">
        <f t="shared" si="80"/>
        <v>62754</v>
      </c>
      <c r="P61" s="1241">
        <f t="shared" si="80"/>
        <v>65246</v>
      </c>
      <c r="Q61" s="1241">
        <f t="shared" ref="Q61:V61" si="81">SUM(Q62:Q63)</f>
        <v>66058</v>
      </c>
      <c r="R61" s="1241">
        <f t="shared" si="81"/>
        <v>67683</v>
      </c>
      <c r="S61" s="1241">
        <f t="shared" si="81"/>
        <v>68592</v>
      </c>
      <c r="T61" s="1241">
        <f t="shared" si="81"/>
        <v>73245</v>
      </c>
      <c r="U61" s="1241">
        <f t="shared" si="81"/>
        <v>76937</v>
      </c>
      <c r="V61" s="1241">
        <f t="shared" si="81"/>
        <v>78339</v>
      </c>
      <c r="W61" s="1241">
        <f t="shared" ref="W61:X61" si="82">SUM(W62:W63)</f>
        <v>80164</v>
      </c>
      <c r="X61" s="1241">
        <f t="shared" si="82"/>
        <v>80560</v>
      </c>
    </row>
    <row r="62" spans="1:25">
      <c r="A62" s="1232">
        <v>221</v>
      </c>
      <c r="B62" s="1232" t="s">
        <v>1145</v>
      </c>
      <c r="C62" s="1240">
        <f>ROUND(C$5*市町人件費物件費歳出!S49/市町人件費物件費歳出!S$4,0)</f>
        <v>22513</v>
      </c>
      <c r="D62" s="1240">
        <f>ROUND(D$5*市町人件費物件費歳出!T49/市町人件費物件費歳出!T$4,0)</f>
        <v>22570</v>
      </c>
      <c r="E62" s="1240">
        <f>ROUND(E$5*市町人件費物件費歳出!U49/市町人件費物件費歳出!U$4,0)</f>
        <v>22010</v>
      </c>
      <c r="F62" s="1240">
        <f>ROUND(F$5*市町人件費物件費歳出!V49/市町人件費物件費歳出!V$4,0)</f>
        <v>21947</v>
      </c>
      <c r="G62" s="1240">
        <f>ROUND(G$5*市町人件費物件費歳出!W49/市町人件費物件費歳出!W$4,0)</f>
        <v>22455</v>
      </c>
      <c r="H62" s="1240">
        <f>ROUND(H$5*市町人件費物件費歳出!X49/市町人件費物件費歳出!X$4,0)</f>
        <v>23612</v>
      </c>
      <c r="I62" s="1240">
        <f>ROUND(I$5*市町人件費物件費歳出!Y49/市町人件費物件費歳出!Y$4,0)</f>
        <v>24068</v>
      </c>
      <c r="J62" s="1240">
        <f>ROUND(J$5*市町人件費物件費歳出!Z49/市町人件費物件費歳出!Z$4,0)</f>
        <v>25212</v>
      </c>
      <c r="K62" s="1240">
        <f>ROUND(K$5*市町人件費物件費歳出!AA49/市町人件費物件費歳出!AA$4,0)</f>
        <v>26117</v>
      </c>
      <c r="L62" s="1240">
        <f>ROUND(L$5*市町人件費物件費歳出!AB49/市町人件費物件費歳出!AB$4,0)</f>
        <v>26801</v>
      </c>
      <c r="M62" s="1240">
        <f>ROUND(M$5*市町人件費物件費歳出!AC49/市町人件費物件費歳出!AC$4,0)</f>
        <v>26863</v>
      </c>
      <c r="N62" s="1240">
        <f>ROUND(N$5*市町人件費物件費歳出!AD49/市町人件費物件費歳出!AD$4,0)</f>
        <v>25834</v>
      </c>
      <c r="O62" s="1240">
        <f>ROUND(O$5*市町人件費物件費歳出!AE49/市町人件費物件費歳出!AE$4,0)</f>
        <v>25924</v>
      </c>
      <c r="P62" s="1240">
        <f>ROUND(P$5*市町人件費物件費歳出!AF49/市町人件費物件費歳出!AF$4,0)</f>
        <v>27400</v>
      </c>
      <c r="Q62" s="1240">
        <f>ROUND(Q$5*市町人件費物件費歳出!AG49/市町人件費物件費歳出!AG$4,0)</f>
        <v>28495</v>
      </c>
      <c r="R62" s="1240">
        <f>ROUND(R$5*市町人件費物件費歳出!AH49/市町人件費物件費歳出!AH$4,0)</f>
        <v>29808</v>
      </c>
      <c r="S62" s="1240">
        <f>ROUND(S$5*市町人件費物件費歳出!AI49/市町人件費物件費歳出!AI$4,0)</f>
        <v>30972</v>
      </c>
      <c r="T62" s="1240">
        <f>ROUND(T$5*市町人件費物件費歳出!AJ49/市町人件費物件費歳出!AJ$4,0)</f>
        <v>32322</v>
      </c>
      <c r="U62" s="1240">
        <f>ROUND(U$5*市町人件費物件費歳出!AK49/市町人件費物件費歳出!AK$4,0)</f>
        <v>34062</v>
      </c>
      <c r="V62" s="1240">
        <f>ROUND(V$5*市町人件費物件費歳出!AL49/市町人件費物件費歳出!AL$4,0)</f>
        <v>34868</v>
      </c>
      <c r="W62" s="1240">
        <f>ROUND(W$5*市町人件費物件費歳出!AM49/市町人件費物件費歳出!AM$4,0)</f>
        <v>35516</v>
      </c>
      <c r="X62" s="1240">
        <f>ROUND(X$5*市町人件費物件費歳出!AN49/市町人件費物件費歳出!AN$4,0)</f>
        <v>35737</v>
      </c>
    </row>
    <row r="63" spans="1:25">
      <c r="A63" s="1242">
        <v>223</v>
      </c>
      <c r="B63" s="1242" t="s">
        <v>223</v>
      </c>
      <c r="C63" s="1243">
        <f>ROUND(C$5*市町人件費物件費歳出!S50/市町人件費物件費歳出!S$4,0)</f>
        <v>28385</v>
      </c>
      <c r="D63" s="1243">
        <f>ROUND(D$5*市町人件費物件費歳出!T50/市町人件費物件費歳出!T$4,0)</f>
        <v>29357</v>
      </c>
      <c r="E63" s="1243">
        <f>ROUND(E$5*市町人件費物件費歳出!U50/市町人件費物件費歳出!U$4,0)</f>
        <v>31728</v>
      </c>
      <c r="F63" s="1243">
        <f>ROUND(F$5*市町人件費物件費歳出!V50/市町人件費物件費歳出!V$4,0)</f>
        <v>34008</v>
      </c>
      <c r="G63" s="1243">
        <f>ROUND(G$5*市町人件費物件費歳出!W50/市町人件費物件費歳出!W$4,0)</f>
        <v>33485</v>
      </c>
      <c r="H63" s="1243">
        <f>ROUND(H$5*市町人件費物件費歳出!X50/市町人件費物件費歳出!X$4,0)</f>
        <v>34689</v>
      </c>
      <c r="I63" s="1243">
        <f>ROUND(I$5*市町人件費物件費歳出!Y50/市町人件費物件費歳出!Y$4,0)</f>
        <v>33794</v>
      </c>
      <c r="J63" s="1243">
        <f>ROUND(J$5*市町人件費物件費歳出!Z50/市町人件費物件費歳出!Z$4,0)</f>
        <v>34617</v>
      </c>
      <c r="K63" s="1243">
        <f>ROUND(K$5*市町人件費物件費歳出!AA50/市町人件費物件費歳出!AA$4,0)</f>
        <v>37166</v>
      </c>
      <c r="L63" s="1243">
        <f>ROUND(L$5*市町人件費物件費歳出!AB50/市町人件費物件費歳出!AB$4,0)</f>
        <v>38459</v>
      </c>
      <c r="M63" s="1243">
        <f>ROUND(M$5*市町人件費物件費歳出!AC50/市町人件費物件費歳出!AC$4,0)</f>
        <v>39151</v>
      </c>
      <c r="N63" s="1243">
        <f>ROUND(N$5*市町人件費物件費歳出!AD50/市町人件費物件費歳出!AD$4,0)</f>
        <v>36947</v>
      </c>
      <c r="O63" s="1243">
        <f>ROUND(O$5*市町人件費物件費歳出!AE50/市町人件費物件費歳出!AE$4,0)</f>
        <v>36830</v>
      </c>
      <c r="P63" s="1243">
        <f>ROUND(P$5*市町人件費物件費歳出!AF50/市町人件費物件費歳出!AF$4,0)</f>
        <v>37846</v>
      </c>
      <c r="Q63" s="1243">
        <f>ROUND(Q$5*市町人件費物件費歳出!AG50/市町人件費物件費歳出!AG$4,0)</f>
        <v>37563</v>
      </c>
      <c r="R63" s="1243">
        <f>ROUND(R$5*市町人件費物件費歳出!AH50/市町人件費物件費歳出!AH$4,0)</f>
        <v>37875</v>
      </c>
      <c r="S63" s="1243">
        <f>ROUND(S$5*市町人件費物件費歳出!AI50/市町人件費物件費歳出!AI$4,0)</f>
        <v>37620</v>
      </c>
      <c r="T63" s="1243">
        <f>ROUND(T$5*市町人件費物件費歳出!AJ50/市町人件費物件費歳出!AJ$4,0)</f>
        <v>40923</v>
      </c>
      <c r="U63" s="1243">
        <f>ROUND(U$5*市町人件費物件費歳出!AK50/市町人件費物件費歳出!AK$4,0)</f>
        <v>42875</v>
      </c>
      <c r="V63" s="1243">
        <f>ROUND(V$5*市町人件費物件費歳出!AL50/市町人件費物件費歳出!AL$4,0)</f>
        <v>43471</v>
      </c>
      <c r="W63" s="1243">
        <f>ROUND(W$5*市町人件費物件費歳出!AM50/市町人件費物件費歳出!AM$4,0)</f>
        <v>44648</v>
      </c>
      <c r="X63" s="1243">
        <f>ROUND(X$5*市町人件費物件費歳出!AN50/市町人件費物件費歳出!AN$4,0)</f>
        <v>44823</v>
      </c>
      <c r="Y63" s="604" t="s">
        <v>1228</v>
      </c>
    </row>
    <row r="64" spans="1:25">
      <c r="A64" s="1232">
        <v>9</v>
      </c>
      <c r="B64" s="1232" t="s">
        <v>212</v>
      </c>
      <c r="C64" s="1240">
        <f>SUM(C65:C67)</f>
        <v>66561</v>
      </c>
      <c r="D64" s="1240">
        <f>SUM(D65:D67)</f>
        <v>65221</v>
      </c>
      <c r="E64" s="1240">
        <f t="shared" ref="E64:J64" si="83">SUM(E65:E67)</f>
        <v>67408</v>
      </c>
      <c r="F64" s="1240">
        <f t="shared" si="83"/>
        <v>73213</v>
      </c>
      <c r="G64" s="1240">
        <f t="shared" si="83"/>
        <v>70271</v>
      </c>
      <c r="H64" s="1240">
        <f t="shared" si="83"/>
        <v>74382</v>
      </c>
      <c r="I64" s="1240">
        <f t="shared" si="83"/>
        <v>74346</v>
      </c>
      <c r="J64" s="1240">
        <f t="shared" si="83"/>
        <v>80041</v>
      </c>
      <c r="K64" s="1240">
        <f t="shared" ref="K64:P64" si="84">SUM(K65:K67)</f>
        <v>80385</v>
      </c>
      <c r="L64" s="1240">
        <f t="shared" si="84"/>
        <v>85600</v>
      </c>
      <c r="M64" s="1240">
        <f t="shared" si="84"/>
        <v>84172</v>
      </c>
      <c r="N64" s="1240">
        <f t="shared" si="84"/>
        <v>80668</v>
      </c>
      <c r="O64" s="1240">
        <f t="shared" si="84"/>
        <v>82215</v>
      </c>
      <c r="P64" s="1240">
        <f t="shared" si="84"/>
        <v>88079</v>
      </c>
      <c r="Q64" s="1240">
        <f t="shared" ref="Q64:V64" si="85">SUM(Q65:Q67)</f>
        <v>95607</v>
      </c>
      <c r="R64" s="1240">
        <f t="shared" si="85"/>
        <v>106432</v>
      </c>
      <c r="S64" s="1240">
        <f t="shared" si="85"/>
        <v>98397</v>
      </c>
      <c r="T64" s="1240">
        <f t="shared" si="85"/>
        <v>101490</v>
      </c>
      <c r="U64" s="1240">
        <f t="shared" si="85"/>
        <v>103121</v>
      </c>
      <c r="V64" s="1240">
        <f t="shared" si="85"/>
        <v>108536</v>
      </c>
      <c r="W64" s="1240">
        <f t="shared" ref="W64:X64" si="86">SUM(W65:W67)</f>
        <v>109813</v>
      </c>
      <c r="X64" s="1240">
        <f t="shared" si="86"/>
        <v>109947</v>
      </c>
    </row>
    <row r="65" spans="1:24">
      <c r="A65" s="1232">
        <v>205</v>
      </c>
      <c r="B65" s="1232" t="s">
        <v>339</v>
      </c>
      <c r="C65" s="1240">
        <f>ROUND(C$5*市町人件費物件費歳出!S52/市町人件費物件費歳出!S$4,0)</f>
        <v>19899</v>
      </c>
      <c r="D65" s="1240">
        <f>ROUND(D$5*市町人件費物件費歳出!T52/市町人件費物件費歳出!T$4,0)</f>
        <v>19252</v>
      </c>
      <c r="E65" s="1240">
        <f>ROUND(E$5*市町人件費物件費歳出!U52/市町人件費物件費歳出!U$4,0)</f>
        <v>20041</v>
      </c>
      <c r="F65" s="1240">
        <f>ROUND(F$5*市町人件費物件費歳出!V52/市町人件費物件費歳出!V$4,0)</f>
        <v>21618</v>
      </c>
      <c r="G65" s="1240">
        <f>ROUND(G$5*市町人件費物件費歳出!W52/市町人件費物件費歳出!W$4,0)</f>
        <v>21095</v>
      </c>
      <c r="H65" s="1240">
        <f>ROUND(H$5*市町人件費物件費歳出!X52/市町人件費物件費歳出!X$4,0)</f>
        <v>22251</v>
      </c>
      <c r="I65" s="1240">
        <f>ROUND(I$5*市町人件費物件費歳出!Y52/市町人件費物件費歳出!Y$4,0)</f>
        <v>22785</v>
      </c>
      <c r="J65" s="1240">
        <f>ROUND(J$5*市町人件費物件費歳出!Z52/市町人件費物件費歳出!Z$4,0)</f>
        <v>24875</v>
      </c>
      <c r="K65" s="1240">
        <f>ROUND(K$5*市町人件費物件費歳出!AA52/市町人件費物件費歳出!AA$4,0)</f>
        <v>24048</v>
      </c>
      <c r="L65" s="1240">
        <f>ROUND(L$5*市町人件費物件費歳出!AB52/市町人件費物件費歳出!AB$4,0)</f>
        <v>25313</v>
      </c>
      <c r="M65" s="1240">
        <f>ROUND(M$5*市町人件費物件費歳出!AC52/市町人件費物件費歳出!AC$4,0)</f>
        <v>25793</v>
      </c>
      <c r="N65" s="1240">
        <f>ROUND(N$5*市町人件費物件費歳出!AD52/市町人件費物件費歳出!AD$4,0)</f>
        <v>25696</v>
      </c>
      <c r="O65" s="1240">
        <f>ROUND(O$5*市町人件費物件費歳出!AE52/市町人件費物件費歳出!AE$4,0)</f>
        <v>25913</v>
      </c>
      <c r="P65" s="1240">
        <f>ROUND(P$5*市町人件費物件費歳出!AF52/市町人件費物件費歳出!AF$4,0)</f>
        <v>28414</v>
      </c>
      <c r="Q65" s="1240">
        <f>ROUND(Q$5*市町人件費物件費歳出!AG52/市町人件費物件費歳出!AG$4,0)</f>
        <v>34321</v>
      </c>
      <c r="R65" s="1240">
        <f>ROUND(R$5*市町人件費物件費歳出!AH52/市町人件費物件費歳出!AH$4,0)</f>
        <v>43418</v>
      </c>
      <c r="S65" s="1240">
        <f>ROUND(S$5*市町人件費物件費歳出!AI52/市町人件費物件費歳出!AI$4,0)</f>
        <v>31459</v>
      </c>
      <c r="T65" s="1240">
        <f>ROUND(T$5*市町人件費物件費歳出!AJ52/市町人件費物件費歳出!AJ$4,0)</f>
        <v>28695</v>
      </c>
      <c r="U65" s="1240">
        <f>ROUND(U$5*市町人件費物件費歳出!AK52/市町人件費物件費歳出!AK$4,0)</f>
        <v>27955</v>
      </c>
      <c r="V65" s="1240">
        <f>ROUND(V$5*市町人件費物件費歳出!AL52/市町人件費物件費歳出!AL$4,0)</f>
        <v>31595</v>
      </c>
      <c r="W65" s="1240">
        <f>ROUND(W$5*市町人件費物件費歳出!AM52/市町人件費物件費歳出!AM$4,0)</f>
        <v>30920</v>
      </c>
      <c r="X65" s="1240">
        <f>ROUND(X$5*市町人件費物件費歳出!AN52/市町人件費物件費歳出!AN$4,0)</f>
        <v>30916</v>
      </c>
    </row>
    <row r="66" spans="1:24">
      <c r="A66" s="1232">
        <v>224</v>
      </c>
      <c r="B66" s="1232" t="s">
        <v>224</v>
      </c>
      <c r="C66" s="1240">
        <f>ROUND(C$5*市町人件費物件費歳出!S53/市町人件費物件費歳出!S$4,0)</f>
        <v>23037</v>
      </c>
      <c r="D66" s="1240">
        <f>ROUND(D$5*市町人件費物件費歳出!T53/市町人件費物件費歳出!T$4,0)</f>
        <v>23037</v>
      </c>
      <c r="E66" s="1240">
        <f>ROUND(E$5*市町人件費物件費歳出!U53/市町人件費物件費歳出!U$4,0)</f>
        <v>24334</v>
      </c>
      <c r="F66" s="1240">
        <f>ROUND(F$5*市町人件費物件費歳出!V53/市町人件費物件費歳出!V$4,0)</f>
        <v>26320</v>
      </c>
      <c r="G66" s="1240">
        <f>ROUND(G$5*市町人件費物件費歳出!W53/市町人件費物件費歳出!W$4,0)</f>
        <v>25539</v>
      </c>
      <c r="H66" s="1240">
        <f>ROUND(H$5*市町人件費物件費歳出!X53/市町人件費物件費歳出!X$4,0)</f>
        <v>26691</v>
      </c>
      <c r="I66" s="1240">
        <f>ROUND(I$5*市町人件費物件費歳出!Y53/市町人件費物件費歳出!Y$4,0)</f>
        <v>25302</v>
      </c>
      <c r="J66" s="1240">
        <f>ROUND(J$5*市町人件費物件費歳出!Z53/市町人件費物件費歳出!Z$4,0)</f>
        <v>27373</v>
      </c>
      <c r="K66" s="1240">
        <f>ROUND(K$5*市町人件費物件費歳出!AA53/市町人件費物件費歳出!AA$4,0)</f>
        <v>26948</v>
      </c>
      <c r="L66" s="1240">
        <f>ROUND(L$5*市町人件費物件費歳出!AB53/市町人件費物件費歳出!AB$4,0)</f>
        <v>30254</v>
      </c>
      <c r="M66" s="1240">
        <f>ROUND(M$5*市町人件費物件費歳出!AC53/市町人件費物件費歳出!AC$4,0)</f>
        <v>28852</v>
      </c>
      <c r="N66" s="1240">
        <f>ROUND(N$5*市町人件費物件費歳出!AD53/市町人件費物件費歳出!AD$4,0)</f>
        <v>27087</v>
      </c>
      <c r="O66" s="1240">
        <f>ROUND(O$5*市町人件費物件費歳出!AE53/市町人件費物件費歳出!AE$4,0)</f>
        <v>28474</v>
      </c>
      <c r="P66" s="1240">
        <f>ROUND(P$5*市町人件費物件費歳出!AF53/市町人件費物件費歳出!AF$4,0)</f>
        <v>29480</v>
      </c>
      <c r="Q66" s="1240">
        <f>ROUND(Q$5*市町人件費物件費歳出!AG53/市町人件費物件費歳出!AG$4,0)</f>
        <v>30217</v>
      </c>
      <c r="R66" s="1240">
        <f>ROUND(R$5*市町人件費物件費歳出!AH53/市町人件費物件費歳出!AH$4,0)</f>
        <v>31303</v>
      </c>
      <c r="S66" s="1240">
        <f>ROUND(S$5*市町人件費物件費歳出!AI53/市町人件費物件費歳出!AI$4,0)</f>
        <v>32671</v>
      </c>
      <c r="T66" s="1240">
        <f>ROUND(T$5*市町人件費物件費歳出!AJ53/市町人件費物件費歳出!AJ$4,0)</f>
        <v>34480</v>
      </c>
      <c r="U66" s="1240">
        <f>ROUND(U$5*市町人件費物件費歳出!AK53/市町人件費物件費歳出!AK$4,0)</f>
        <v>34901</v>
      </c>
      <c r="V66" s="1240">
        <f>ROUND(V$5*市町人件費物件費歳出!AL53/市町人件費物件費歳出!AL$4,0)</f>
        <v>36547</v>
      </c>
      <c r="W66" s="1240">
        <f>ROUND(W$5*市町人件費物件費歳出!AM53/市町人件費物件費歳出!AM$4,0)</f>
        <v>37149</v>
      </c>
      <c r="X66" s="1240">
        <f>ROUND(X$5*市町人件費物件費歳出!AN53/市町人件費物件費歳出!AN$4,0)</f>
        <v>37143</v>
      </c>
    </row>
    <row r="67" spans="1:24">
      <c r="A67" s="1242">
        <v>226</v>
      </c>
      <c r="B67" s="1242" t="s">
        <v>225</v>
      </c>
      <c r="C67" s="1243">
        <f>ROUND(C$5*市町人件費物件費歳出!S54/市町人件費物件費歳出!S$4,0)</f>
        <v>23625</v>
      </c>
      <c r="D67" s="1243">
        <f>ROUND(D$5*市町人件費物件費歳出!T54/市町人件費物件費歳出!T$4,0)</f>
        <v>22932</v>
      </c>
      <c r="E67" s="1243">
        <f>ROUND(E$5*市町人件費物件費歳出!U54/市町人件費物件費歳出!U$4,0)</f>
        <v>23033</v>
      </c>
      <c r="F67" s="1243">
        <f>ROUND(F$5*市町人件費物件費歳出!V54/市町人件費物件費歳出!V$4,0)</f>
        <v>25275</v>
      </c>
      <c r="G67" s="1243">
        <f>ROUND(G$5*市町人件費物件費歳出!W54/市町人件費物件費歳出!W$4,0)</f>
        <v>23637</v>
      </c>
      <c r="H67" s="1243">
        <f>ROUND(H$5*市町人件費物件費歳出!X54/市町人件費物件費歳出!X$4,0)</f>
        <v>25440</v>
      </c>
      <c r="I67" s="1243">
        <f>ROUND(I$5*市町人件費物件費歳出!Y54/市町人件費物件費歳出!Y$4,0)</f>
        <v>26259</v>
      </c>
      <c r="J67" s="1243">
        <f>ROUND(J$5*市町人件費物件費歳出!Z54/市町人件費物件費歳出!Z$4,0)</f>
        <v>27793</v>
      </c>
      <c r="K67" s="1243">
        <f>ROUND(K$5*市町人件費物件費歳出!AA54/市町人件費物件費歳出!AA$4,0)</f>
        <v>29389</v>
      </c>
      <c r="L67" s="1243">
        <f>ROUND(L$5*市町人件費物件費歳出!AB54/市町人件費物件費歳出!AB$4,0)</f>
        <v>30033</v>
      </c>
      <c r="M67" s="1243">
        <f>ROUND(M$5*市町人件費物件費歳出!AC54/市町人件費物件費歳出!AC$4,0)</f>
        <v>29527</v>
      </c>
      <c r="N67" s="1243">
        <f>ROUND(N$5*市町人件費物件費歳出!AD54/市町人件費物件費歳出!AD$4,0)</f>
        <v>27885</v>
      </c>
      <c r="O67" s="1243">
        <f>ROUND(O$5*市町人件費物件費歳出!AE54/市町人件費物件費歳出!AE$4,0)</f>
        <v>27828</v>
      </c>
      <c r="P67" s="1243">
        <f>ROUND(P$5*市町人件費物件費歳出!AF54/市町人件費物件費歳出!AF$4,0)</f>
        <v>30185</v>
      </c>
      <c r="Q67" s="1243">
        <f>ROUND(Q$5*市町人件費物件費歳出!AG54/市町人件費物件費歳出!AG$4,0)</f>
        <v>31069</v>
      </c>
      <c r="R67" s="1243">
        <f>ROUND(R$5*市町人件費物件費歳出!AH54/市町人件費物件費歳出!AH$4,0)</f>
        <v>31711</v>
      </c>
      <c r="S67" s="1243">
        <f>ROUND(S$5*市町人件費物件費歳出!AI54/市町人件費物件費歳出!AI$4,0)</f>
        <v>34267</v>
      </c>
      <c r="T67" s="1243">
        <f>ROUND(T$5*市町人件費物件費歳出!AJ54/市町人件費物件費歳出!AJ$4,0)</f>
        <v>38315</v>
      </c>
      <c r="U67" s="1243">
        <f>ROUND(U$5*市町人件費物件費歳出!AK54/市町人件費物件費歳出!AK$4,0)</f>
        <v>40265</v>
      </c>
      <c r="V67" s="1243">
        <f>ROUND(V$5*市町人件費物件費歳出!AL54/市町人件費物件費歳出!AL$4,0)</f>
        <v>40394</v>
      </c>
      <c r="W67" s="1243">
        <f>ROUND(W$5*市町人件費物件費歳出!AM54/市町人件費物件費歳出!AM$4,0)</f>
        <v>41744</v>
      </c>
      <c r="X67" s="1243">
        <f>ROUND(X$5*市町人件費物件費歳出!AN54/市町人件費物件費歳出!AN$4,0)</f>
        <v>41888</v>
      </c>
    </row>
  </sheetData>
  <phoneticPr fontId="13"/>
  <pageMargins left="0.75" right="0.75" top="1" bottom="1" header="0.51200000000000001" footer="0.51200000000000001"/>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dimension ref="A1:AS155"/>
  <sheetViews>
    <sheetView workbookViewId="0">
      <pane xSplit="18" ySplit="3" topLeftCell="AD40" activePane="bottomRight" state="frozen"/>
      <selection pane="topRight" activeCell="S1" sqref="S1"/>
      <selection pane="bottomLeft" activeCell="A4" sqref="A4"/>
      <selection pane="bottomRight" activeCell="AF45" sqref="AF45"/>
    </sheetView>
  </sheetViews>
  <sheetFormatPr defaultColWidth="8.7109375" defaultRowHeight="13"/>
  <cols>
    <col min="1" max="1" width="4.2109375" style="92" customWidth="1"/>
    <col min="2" max="2" width="9" style="92" customWidth="1"/>
    <col min="3" max="11" width="9.42578125" style="92" hidden="1" customWidth="1"/>
    <col min="12" max="12" width="9.42578125" style="75" hidden="1" customWidth="1"/>
    <col min="13" max="13" width="9.7109375" style="75" hidden="1" customWidth="1"/>
    <col min="14" max="16" width="0" style="75" hidden="1" customWidth="1"/>
    <col min="17" max="17" width="9" style="75" hidden="1" customWidth="1"/>
    <col min="18" max="18" width="9.42578125" style="75" hidden="1" customWidth="1"/>
    <col min="19" max="20" width="8.7109375" style="75"/>
    <col min="21" max="33" width="9" style="75" bestFit="1" customWidth="1"/>
    <col min="34" max="34" width="8.7109375" style="75"/>
    <col min="35" max="35" width="9" style="75" bestFit="1" customWidth="1"/>
    <col min="36" max="40" width="8.7109375" style="75"/>
    <col min="41" max="41" width="4.2109375" style="75" customWidth="1"/>
    <col min="42" max="42" width="9" style="75" bestFit="1" customWidth="1"/>
    <col min="43" max="44" width="8.7109375" style="75"/>
    <col min="45" max="45" width="7.2109375" style="75" customWidth="1"/>
    <col min="46" max="16384" width="8.7109375" style="75"/>
  </cols>
  <sheetData>
    <row r="1" spans="1:45">
      <c r="A1" s="86"/>
      <c r="B1" s="65" t="s">
        <v>1348</v>
      </c>
      <c r="C1" s="75"/>
      <c r="D1" s="75"/>
      <c r="E1" s="75"/>
      <c r="F1" s="75"/>
      <c r="G1" s="75"/>
      <c r="H1" s="65"/>
      <c r="I1" s="65"/>
      <c r="J1" s="65"/>
      <c r="K1" s="65"/>
      <c r="M1" s="740" t="s">
        <v>347</v>
      </c>
      <c r="N1" s="740" t="s">
        <v>347</v>
      </c>
      <c r="O1" s="740" t="s">
        <v>347</v>
      </c>
      <c r="P1" s="740" t="s">
        <v>347</v>
      </c>
      <c r="Q1" s="75" t="s">
        <v>347</v>
      </c>
      <c r="W1" s="75" t="s">
        <v>620</v>
      </c>
      <c r="X1" s="75" t="s">
        <v>11</v>
      </c>
      <c r="Y1" s="75" t="s">
        <v>11</v>
      </c>
      <c r="Z1" s="75" t="s">
        <v>11</v>
      </c>
      <c r="AA1" s="75" t="s">
        <v>11</v>
      </c>
      <c r="AB1" s="75" t="s">
        <v>11</v>
      </c>
      <c r="AC1" s="75" t="s">
        <v>11</v>
      </c>
      <c r="AD1" s="75" t="s">
        <v>11</v>
      </c>
      <c r="AE1" s="75" t="s">
        <v>11</v>
      </c>
      <c r="AF1" s="75" t="s">
        <v>11</v>
      </c>
      <c r="AG1" s="75" t="s">
        <v>11</v>
      </c>
      <c r="AH1" s="75" t="s">
        <v>11</v>
      </c>
      <c r="AL1" s="75" t="s">
        <v>1288</v>
      </c>
      <c r="AM1" s="75" t="s">
        <v>14</v>
      </c>
      <c r="AR1" s="891" t="s">
        <v>1072</v>
      </c>
    </row>
    <row r="2" spans="1:45">
      <c r="A2" s="127"/>
      <c r="B2" s="128"/>
      <c r="C2" s="130" t="s">
        <v>622</v>
      </c>
      <c r="D2" s="130" t="s">
        <v>623</v>
      </c>
      <c r="E2" s="130" t="s">
        <v>624</v>
      </c>
      <c r="F2" s="130" t="s">
        <v>625</v>
      </c>
      <c r="G2" s="130" t="s">
        <v>626</v>
      </c>
      <c r="H2" s="129" t="s">
        <v>610</v>
      </c>
      <c r="I2" s="129" t="s">
        <v>611</v>
      </c>
      <c r="J2" s="130" t="s">
        <v>612</v>
      </c>
      <c r="K2" s="130" t="s">
        <v>613</v>
      </c>
      <c r="L2" s="130" t="s">
        <v>614</v>
      </c>
      <c r="M2" s="130" t="s">
        <v>615</v>
      </c>
      <c r="N2" s="130" t="s">
        <v>616</v>
      </c>
      <c r="O2" s="130" t="s">
        <v>617</v>
      </c>
      <c r="P2" s="130" t="s">
        <v>618</v>
      </c>
      <c r="Q2" s="130" t="s">
        <v>619</v>
      </c>
      <c r="R2" s="130" t="s">
        <v>460</v>
      </c>
      <c r="S2" s="130" t="s">
        <v>459</v>
      </c>
      <c r="T2" s="130" t="s">
        <v>456</v>
      </c>
      <c r="U2" s="130" t="s">
        <v>750</v>
      </c>
      <c r="V2" s="130" t="s">
        <v>856</v>
      </c>
      <c r="W2" s="130" t="s">
        <v>911</v>
      </c>
      <c r="X2" s="130" t="s">
        <v>96</v>
      </c>
      <c r="Y2" s="130" t="s">
        <v>118</v>
      </c>
      <c r="Z2" s="130" t="s">
        <v>119</v>
      </c>
      <c r="AA2" s="130" t="s">
        <v>67</v>
      </c>
      <c r="AB2" s="130" t="s">
        <v>157</v>
      </c>
      <c r="AC2" s="130" t="s">
        <v>1000</v>
      </c>
      <c r="AD2" s="130" t="s">
        <v>1036</v>
      </c>
      <c r="AE2" s="130" t="s">
        <v>1062</v>
      </c>
      <c r="AF2" s="130" t="s">
        <v>1161</v>
      </c>
      <c r="AG2" s="915" t="s">
        <v>1129</v>
      </c>
      <c r="AH2" s="2275" t="s">
        <v>1160</v>
      </c>
      <c r="AI2" s="2275" t="s">
        <v>1200</v>
      </c>
      <c r="AJ2" s="2275" t="s">
        <v>1234</v>
      </c>
      <c r="AK2" s="2275" t="s">
        <v>1561</v>
      </c>
      <c r="AL2" s="1699" t="s">
        <v>1603</v>
      </c>
      <c r="AM2" s="1699" t="s">
        <v>1745</v>
      </c>
      <c r="AN2" s="476">
        <v>2027</v>
      </c>
      <c r="AP2" s="130" t="s">
        <v>1075</v>
      </c>
      <c r="AQ2" s="130" t="s">
        <v>125</v>
      </c>
      <c r="AR2" s="130" t="s">
        <v>1023</v>
      </c>
      <c r="AS2" s="130" t="s">
        <v>1074</v>
      </c>
    </row>
    <row r="3" spans="1:45">
      <c r="A3" s="131"/>
      <c r="B3" s="131"/>
      <c r="C3" s="194" t="s">
        <v>347</v>
      </c>
      <c r="D3" s="131"/>
      <c r="E3" s="131"/>
      <c r="F3" s="131"/>
      <c r="G3" s="131"/>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491" t="s">
        <v>1783</v>
      </c>
      <c r="AP3" s="132" t="s">
        <v>752</v>
      </c>
      <c r="AQ3" s="132" t="s">
        <v>1071</v>
      </c>
      <c r="AR3" s="132" t="s">
        <v>1071</v>
      </c>
      <c r="AS3" s="132"/>
    </row>
    <row r="4" spans="1:45">
      <c r="A4" s="86" t="s">
        <v>170</v>
      </c>
      <c r="B4" s="205" t="s">
        <v>166</v>
      </c>
      <c r="C4" s="739">
        <f>C5+C6+C10+C16+C22+C29+C34+C42+C48+C51</f>
        <v>553099010</v>
      </c>
      <c r="D4" s="739">
        <f t="shared" ref="D4:K4" si="0">D5+D6+D10+D16+D22+D29+D34+D42+D48+D51</f>
        <v>586931830</v>
      </c>
      <c r="E4" s="739">
        <f t="shared" si="0"/>
        <v>621726987</v>
      </c>
      <c r="F4" s="739">
        <f t="shared" si="0"/>
        <v>651219237</v>
      </c>
      <c r="G4" s="739">
        <f t="shared" si="0"/>
        <v>702059352</v>
      </c>
      <c r="H4" s="739">
        <f t="shared" si="0"/>
        <v>902338472</v>
      </c>
      <c r="I4" s="739">
        <f t="shared" si="0"/>
        <v>721976852</v>
      </c>
      <c r="J4" s="739">
        <f t="shared" si="0"/>
        <v>729892804</v>
      </c>
      <c r="K4" s="739">
        <f t="shared" si="0"/>
        <v>742739864</v>
      </c>
      <c r="L4" s="739">
        <f t="shared" ref="L4:T4" si="1">L5+L6+L10+L16+L22+L29+L34+L42+L48+L51</f>
        <v>761827700</v>
      </c>
      <c r="M4" s="739">
        <f t="shared" si="1"/>
        <v>725996134</v>
      </c>
      <c r="N4" s="739">
        <f t="shared" si="1"/>
        <v>734946335</v>
      </c>
      <c r="O4" s="739">
        <f t="shared" si="1"/>
        <v>719165800</v>
      </c>
      <c r="P4" s="739">
        <f t="shared" si="1"/>
        <v>696243437</v>
      </c>
      <c r="Q4" s="739">
        <f t="shared" si="1"/>
        <v>698693642</v>
      </c>
      <c r="R4" s="739">
        <f t="shared" si="1"/>
        <v>697401730</v>
      </c>
      <c r="S4" s="739">
        <f t="shared" si="1"/>
        <v>677664137</v>
      </c>
      <c r="T4" s="739">
        <f t="shared" si="1"/>
        <v>679237254</v>
      </c>
      <c r="U4" s="739">
        <f t="shared" ref="U4:Z4" si="2">U5+U6+U10+U16+U22+U29+U34+U42+U48+U51</f>
        <v>662113872</v>
      </c>
      <c r="V4" s="739">
        <f t="shared" si="2"/>
        <v>686616680</v>
      </c>
      <c r="W4" s="739">
        <f t="shared" si="2"/>
        <v>668263054</v>
      </c>
      <c r="X4" s="739">
        <f t="shared" si="2"/>
        <v>672623077</v>
      </c>
      <c r="Y4" s="739">
        <f t="shared" si="2"/>
        <v>655620337</v>
      </c>
      <c r="Z4" s="739">
        <f t="shared" si="2"/>
        <v>646278587</v>
      </c>
      <c r="AA4" s="739">
        <f t="shared" ref="AA4:AG4" si="3">AA5+AA6+AA10+AA16+AA22+AA29+AA34+AA42+AA48+AA51</f>
        <v>663684950</v>
      </c>
      <c r="AB4" s="739">
        <f t="shared" si="3"/>
        <v>675659294</v>
      </c>
      <c r="AC4" s="739">
        <f t="shared" si="3"/>
        <v>675893821</v>
      </c>
      <c r="AD4" s="739">
        <f t="shared" si="3"/>
        <v>752797090</v>
      </c>
      <c r="AE4" s="739">
        <f t="shared" si="3"/>
        <v>755892924</v>
      </c>
      <c r="AF4" s="739">
        <f t="shared" si="3"/>
        <v>772049377</v>
      </c>
      <c r="AG4" s="739">
        <f t="shared" si="3"/>
        <v>808893854</v>
      </c>
      <c r="AH4" s="739">
        <f t="shared" ref="AH4:AM4" si="4">AH5+AH6+AH10+AH16+AH22+AH29+AH34+AH42+AH48+AH51</f>
        <v>881142669</v>
      </c>
      <c r="AI4" s="739">
        <f t="shared" si="4"/>
        <v>894509938</v>
      </c>
      <c r="AJ4" s="739">
        <f t="shared" si="4"/>
        <v>847018017</v>
      </c>
      <c r="AK4" s="739">
        <f t="shared" si="4"/>
        <v>906148714</v>
      </c>
      <c r="AL4" s="739">
        <f t="shared" si="4"/>
        <v>882558889.66666675</v>
      </c>
      <c r="AM4" s="739">
        <f t="shared" si="4"/>
        <v>878575206.88888896</v>
      </c>
      <c r="AN4" s="739">
        <f t="shared" ref="AN4" si="5">AN5+AN6+AN10+AN16+AN22+AN29+AN34+AN42+AN48+AN51</f>
        <v>889094270.18518519</v>
      </c>
      <c r="AP4" s="739">
        <f>AP5+AP6+AP10+AP16+AP22+AP29+AP34+AP42+AP48+AP51</f>
        <v>671763841.15328622</v>
      </c>
      <c r="AQ4" s="737">
        <f>AQ5+AQ6+AQ10+AQ16+AQ22+AQ29+AQ34+AQ42+AQ48+AQ51</f>
        <v>2432593</v>
      </c>
      <c r="AR4" s="737">
        <f>AR5+AR6+AR10+AR16+AR22+AR29+AR34+AR42+AR48+AR51</f>
        <v>2449688</v>
      </c>
      <c r="AS4" s="892">
        <f>AR4/AQ4</f>
        <v>1.0070274805526449</v>
      </c>
    </row>
    <row r="5" spans="1:45">
      <c r="A5" s="88">
        <v>100</v>
      </c>
      <c r="B5" s="96" t="s">
        <v>172</v>
      </c>
      <c r="C5" s="737">
        <f>人件物件費ﾃﾞｰﾀ!D6</f>
        <v>172273258</v>
      </c>
      <c r="D5" s="737">
        <f>人件物件費ﾃﾞｰﾀ!G6</f>
        <v>182863012</v>
      </c>
      <c r="E5" s="737">
        <f>人件物件費ﾃﾞｰﾀ!J6</f>
        <v>193878355</v>
      </c>
      <c r="F5" s="737">
        <f>人件物件費ﾃﾞｰﾀ!M6</f>
        <v>204327052</v>
      </c>
      <c r="G5" s="737">
        <f>人件物件費ﾃﾞｰﾀ!P6</f>
        <v>224725866</v>
      </c>
      <c r="H5" s="737">
        <f>人件物件費ﾃﾞｰﾀ!S6</f>
        <v>342876380</v>
      </c>
      <c r="I5" s="737">
        <f>人件物件費ﾃﾞｰﾀ!V6</f>
        <v>234734738</v>
      </c>
      <c r="J5" s="737">
        <f>人件物件費ﾃﾞｰﾀ!Y6</f>
        <v>226213369</v>
      </c>
      <c r="K5" s="737">
        <f>人件物件費ﾃﾞｰﾀ!AB6</f>
        <v>222871381</v>
      </c>
      <c r="L5" s="737">
        <f>人件物件費ﾃﾞｰﾀ!AG6</f>
        <v>238596881</v>
      </c>
      <c r="M5" s="737">
        <f>人件物件費ﾃﾞｰﾀ!AL7</f>
        <v>213324201</v>
      </c>
      <c r="N5" s="737">
        <f>人件物件費ﾃﾞｰﾀ!AO7</f>
        <v>219153028</v>
      </c>
      <c r="O5" s="737">
        <f>人件物件費ﾃﾞｰﾀ!AT7</f>
        <v>212669407</v>
      </c>
      <c r="P5" s="737">
        <f>人件物件費ﾃﾞｰﾀ!AY7</f>
        <v>202086302</v>
      </c>
      <c r="Q5" s="737">
        <f>人件物件費ﾃﾞｰﾀ2!E7</f>
        <v>198123895</v>
      </c>
      <c r="R5" s="737">
        <f>人件物件費ﾃﾞｰﾀ2!H7</f>
        <v>196024017</v>
      </c>
      <c r="S5" s="737">
        <f>人件物件費ﾃﾞｰﾀ2!K7</f>
        <v>197367265</v>
      </c>
      <c r="T5" s="737">
        <f>人件物件費ﾃﾞｰﾀ2!N7</f>
        <v>196922116</v>
      </c>
      <c r="U5" s="737">
        <f>人件物件費ﾃﾞｰﾀ2!Q7</f>
        <v>190569512</v>
      </c>
      <c r="V5" s="737">
        <f>人件物件費ﾃﾞｰﾀ2!U7</f>
        <v>200850458</v>
      </c>
      <c r="W5" s="737">
        <f>人件物件費ﾃﾞｰﾀ2!Y7</f>
        <v>194113879</v>
      </c>
      <c r="X5" s="740">
        <f>人件物件費ﾃﾞｰﾀ2!AC7</f>
        <v>195785226</v>
      </c>
      <c r="Y5" s="740">
        <f>人件物件費ﾃﾞｰﾀ2!AG7</f>
        <v>190813814</v>
      </c>
      <c r="Z5" s="75">
        <f>人件物件費ﾃﾞｰﾀ2!AK7</f>
        <v>185692167</v>
      </c>
      <c r="AA5" s="75">
        <f>人件物件費ﾃﾞｰﾀ2!AO7</f>
        <v>191854355</v>
      </c>
      <c r="AB5" s="75">
        <f>人件物件費ﾃﾞｰﾀ2!AS7</f>
        <v>193579395</v>
      </c>
      <c r="AC5" s="75">
        <f>人件物件費ﾃﾞｰﾀ2!AW7</f>
        <v>191497120</v>
      </c>
      <c r="AD5" s="75">
        <f>人件物件費ﾃﾞｰﾀ2!BA7</f>
        <v>263552392</v>
      </c>
      <c r="AE5" s="75">
        <f>人件物件費ﾃﾞｰﾀ2!BE7</f>
        <v>266332279</v>
      </c>
      <c r="AF5" s="75">
        <f>人件物件費ﾃﾞｰﾀ2!BI7</f>
        <v>272152360</v>
      </c>
      <c r="AG5" s="75">
        <f>人件物件費ﾃﾞｰﾀ2!BM7</f>
        <v>279238585</v>
      </c>
      <c r="AH5" s="75">
        <f>人件物件費ﾃﾞｰﾀ2!BQ7</f>
        <v>312163476</v>
      </c>
      <c r="AI5" s="75">
        <f>人件物件費ﾃﾞｰﾀ2!BU7</f>
        <v>315986962</v>
      </c>
      <c r="AJ5" s="456">
        <f>人件物件費ﾃﾞｰﾀ2!BY7</f>
        <v>285213473</v>
      </c>
      <c r="AK5" s="456">
        <f>人件物件費ﾃﾞｰﾀ2!CC7</f>
        <v>308273796</v>
      </c>
      <c r="AL5" s="75">
        <f>SUM(AI5:AK5)/3</f>
        <v>303158077</v>
      </c>
      <c r="AM5" s="75">
        <f>SUM(AJ5:AL5)/3</f>
        <v>298881782</v>
      </c>
      <c r="AN5" s="75">
        <f>SUM(AK5:AM5)/3</f>
        <v>303437885</v>
      </c>
      <c r="AP5" s="75">
        <f>SUM(Z5:AB5)/3*0.5+AB5*AS5*0.5</f>
        <v>192692435.54807532</v>
      </c>
      <c r="AQ5" s="737">
        <v>765698</v>
      </c>
      <c r="AR5" s="737">
        <v>771355</v>
      </c>
      <c r="AS5" s="893">
        <f t="shared" ref="AS5:AS54" si="6">AR5/AQ5</f>
        <v>1.007388030267808</v>
      </c>
    </row>
    <row r="6" spans="1:45">
      <c r="A6" s="86"/>
      <c r="B6" s="97" t="s">
        <v>182</v>
      </c>
      <c r="C6" s="737">
        <f>SUM(C7:C9)</f>
        <v>112696836</v>
      </c>
      <c r="D6" s="737">
        <f t="shared" ref="D6:K6" si="7">SUM(D7:D9)</f>
        <v>119121293</v>
      </c>
      <c r="E6" s="737">
        <f t="shared" si="7"/>
        <v>123290549</v>
      </c>
      <c r="F6" s="737">
        <f t="shared" si="7"/>
        <v>127172945</v>
      </c>
      <c r="G6" s="737">
        <f t="shared" si="7"/>
        <v>135937011</v>
      </c>
      <c r="H6" s="737">
        <f t="shared" si="7"/>
        <v>187121505</v>
      </c>
      <c r="I6" s="737">
        <f t="shared" si="7"/>
        <v>150028964</v>
      </c>
      <c r="J6" s="737">
        <f t="shared" si="7"/>
        <v>138346433</v>
      </c>
      <c r="K6" s="737">
        <f t="shared" si="7"/>
        <v>140373811</v>
      </c>
      <c r="L6" s="737">
        <f t="shared" ref="L6:T6" si="8">SUM(L7:L9)</f>
        <v>142068467</v>
      </c>
      <c r="M6" s="737">
        <f t="shared" si="8"/>
        <v>138903822</v>
      </c>
      <c r="N6" s="737">
        <f t="shared" si="8"/>
        <v>137040554</v>
      </c>
      <c r="O6" s="737">
        <f t="shared" si="8"/>
        <v>133201361</v>
      </c>
      <c r="P6" s="737">
        <f t="shared" si="8"/>
        <v>126720360</v>
      </c>
      <c r="Q6" s="737">
        <f t="shared" si="8"/>
        <v>125393385</v>
      </c>
      <c r="R6" s="737">
        <f t="shared" si="8"/>
        <v>123098306</v>
      </c>
      <c r="S6" s="737">
        <f t="shared" si="8"/>
        <v>119680248</v>
      </c>
      <c r="T6" s="737">
        <f t="shared" si="8"/>
        <v>120375594</v>
      </c>
      <c r="U6" s="737">
        <f t="shared" ref="U6:AH6" si="9">SUM(U7:U9)</f>
        <v>120042332</v>
      </c>
      <c r="V6" s="737">
        <f t="shared" si="9"/>
        <v>124456247</v>
      </c>
      <c r="W6" s="737">
        <f t="shared" si="9"/>
        <v>118960907</v>
      </c>
      <c r="X6" s="737">
        <f t="shared" si="9"/>
        <v>117422068</v>
      </c>
      <c r="Y6" s="737">
        <f t="shared" si="9"/>
        <v>114836584</v>
      </c>
      <c r="Z6" s="737">
        <f t="shared" si="9"/>
        <v>116433718</v>
      </c>
      <c r="AA6" s="737">
        <f t="shared" si="9"/>
        <v>118411332</v>
      </c>
      <c r="AB6" s="737">
        <f t="shared" si="9"/>
        <v>121012135</v>
      </c>
      <c r="AC6" s="737">
        <f t="shared" si="9"/>
        <v>121813222</v>
      </c>
      <c r="AD6" s="737">
        <f t="shared" si="9"/>
        <v>123492216</v>
      </c>
      <c r="AE6" s="737">
        <f t="shared" si="9"/>
        <v>123810764</v>
      </c>
      <c r="AF6" s="737">
        <f t="shared" si="9"/>
        <v>126000552</v>
      </c>
      <c r="AG6" s="737">
        <f t="shared" si="9"/>
        <v>131043220</v>
      </c>
      <c r="AH6" s="737">
        <f t="shared" si="9"/>
        <v>140921523</v>
      </c>
      <c r="AI6" s="75">
        <f>人件物件費ﾃﾞｰﾀ2!BU8</f>
        <v>143647852</v>
      </c>
      <c r="AJ6" s="456">
        <f>人件物件費ﾃﾞｰﾀ2!BY8</f>
        <v>139202905</v>
      </c>
      <c r="AK6" s="456">
        <f>人件物件費ﾃﾞｰﾀ2!CC8</f>
        <v>145968805</v>
      </c>
      <c r="AL6" s="737">
        <f>SUM(AL7:AL9)</f>
        <v>142939854</v>
      </c>
      <c r="AM6" s="737">
        <f>SUM(AM7:AM9)</f>
        <v>142703854.66666666</v>
      </c>
      <c r="AN6" s="737">
        <f>SUM(AN7:AN9)</f>
        <v>143870837.88888887</v>
      </c>
      <c r="AP6" s="737">
        <f>SUM(AP7:AP9)</f>
        <v>120271306.26854552</v>
      </c>
      <c r="AQ6" s="737">
        <f>SUM(AQ7:AQ9)</f>
        <v>425857</v>
      </c>
      <c r="AR6" s="737">
        <f>SUM(AR7:AR9)</f>
        <v>429354</v>
      </c>
      <c r="AS6" s="893">
        <f t="shared" si="6"/>
        <v>1.008211676689593</v>
      </c>
    </row>
    <row r="7" spans="1:45">
      <c r="A7" s="89">
        <v>202</v>
      </c>
      <c r="B7" s="98" t="s">
        <v>183</v>
      </c>
      <c r="C7" s="737">
        <f>人件物件費ﾃﾞｰﾀ!D8</f>
        <v>56530861</v>
      </c>
      <c r="D7" s="737">
        <f>人件物件費ﾃﾞｰﾀ!G8</f>
        <v>58434530</v>
      </c>
      <c r="E7" s="737">
        <f>人件物件費ﾃﾞｰﾀ!J8</f>
        <v>59695006</v>
      </c>
      <c r="F7" s="737">
        <f>人件物件費ﾃﾞｰﾀ!M8</f>
        <v>62116249</v>
      </c>
      <c r="G7" s="737">
        <f>人件物件費ﾃﾞｰﾀ!P8</f>
        <v>65013177</v>
      </c>
      <c r="H7" s="737">
        <f>人件物件費ﾃﾞｰﾀ!S8</f>
        <v>74182922</v>
      </c>
      <c r="I7" s="737">
        <f>人件物件費ﾃﾞｰﾀ!V8</f>
        <v>66578915</v>
      </c>
      <c r="J7" s="737">
        <f>人件物件費ﾃﾞｰﾀ!Y8</f>
        <v>66223706</v>
      </c>
      <c r="K7" s="737">
        <f>人件物件費ﾃﾞｰﾀ!AB8</f>
        <v>66149554</v>
      </c>
      <c r="L7" s="737">
        <f>人件物件費ﾃﾞｰﾀ!AG8</f>
        <v>66555942</v>
      </c>
      <c r="M7" s="737">
        <f>人件物件費ﾃﾞｰﾀ!AL9</f>
        <v>66324610</v>
      </c>
      <c r="N7" s="737">
        <f>人件物件費ﾃﾞｰﾀ!AO9</f>
        <v>66103520</v>
      </c>
      <c r="O7" s="737">
        <f>人件物件費ﾃﾞｰﾀ!AT9</f>
        <v>62653307</v>
      </c>
      <c r="P7" s="737">
        <f>人件物件費ﾃﾞｰﾀ!AY9</f>
        <v>58924989</v>
      </c>
      <c r="Q7" s="737">
        <f>人件物件費ﾃﾞｰﾀ2!E9</f>
        <v>56986302</v>
      </c>
      <c r="R7" s="737">
        <f>人件物件費ﾃﾞｰﾀ2!H9</f>
        <v>56599370</v>
      </c>
      <c r="S7" s="737">
        <f>人件物件費ﾃﾞｰﾀ2!K9</f>
        <v>54884742</v>
      </c>
      <c r="T7" s="737">
        <f>人件物件費ﾃﾞｰﾀ2!N9</f>
        <v>55147789</v>
      </c>
      <c r="U7" s="737">
        <f>人件物件費ﾃﾞｰﾀ2!Q9</f>
        <v>52483477</v>
      </c>
      <c r="V7" s="737">
        <f>人件物件費ﾃﾞｰﾀ2!U9</f>
        <v>53097784</v>
      </c>
      <c r="W7" s="737">
        <f>人件物件費ﾃﾞｰﾀ2!Y9</f>
        <v>49462764</v>
      </c>
      <c r="X7" s="740">
        <f>人件物件費ﾃﾞｰﾀ2!AC9</f>
        <v>48133007</v>
      </c>
      <c r="Y7" s="740">
        <f>人件物件費ﾃﾞｰﾀ2!AG9</f>
        <v>46050482</v>
      </c>
      <c r="Z7" s="75">
        <f>人件物件費ﾃﾞｰﾀ2!AK9</f>
        <v>45289992</v>
      </c>
      <c r="AA7" s="75">
        <f>人件物件費ﾃﾞｰﾀ2!AO9</f>
        <v>46257698</v>
      </c>
      <c r="AB7" s="75">
        <f>人件物件費ﾃﾞｰﾀ2!AS9</f>
        <v>46965622</v>
      </c>
      <c r="AC7" s="75">
        <f>人件物件費ﾃﾞｰﾀ2!AW9</f>
        <v>47437232</v>
      </c>
      <c r="AD7" s="75">
        <f>人件物件費ﾃﾞｰﾀ2!BA9</f>
        <v>46856820</v>
      </c>
      <c r="AE7" s="75">
        <f>人件物件費ﾃﾞｰﾀ2!BE9</f>
        <v>47726139</v>
      </c>
      <c r="AF7" s="75">
        <f>人件物件費ﾃﾞｰﾀ2!BI9</f>
        <v>48647588</v>
      </c>
      <c r="AG7" s="75">
        <f>人件物件費ﾃﾞｰﾀ2!BM9</f>
        <v>51545953</v>
      </c>
      <c r="AH7" s="75">
        <f>人件物件費ﾃﾞｰﾀ2!BQ9</f>
        <v>54441450</v>
      </c>
      <c r="AI7" s="75">
        <f>人件物件費ﾃﾞｰﾀ2!BU9</f>
        <v>56119466</v>
      </c>
      <c r="AJ7" s="456">
        <f>人件物件費ﾃﾞｰﾀ2!BY9</f>
        <v>54024278</v>
      </c>
      <c r="AK7" s="456">
        <f>人件物件費ﾃﾞｰﾀ2!CC9</f>
        <v>57330977</v>
      </c>
      <c r="AL7" s="75">
        <f t="shared" ref="AL7:AN9" si="10">SUM(AI7:AK7)/3</f>
        <v>55824907</v>
      </c>
      <c r="AM7" s="75">
        <f t="shared" si="10"/>
        <v>55726720.666666664</v>
      </c>
      <c r="AN7" s="75">
        <f t="shared" si="10"/>
        <v>56294201.555555552</v>
      </c>
      <c r="AP7" s="75">
        <f>SUM(Z7:AB7)/3*0.5+AB7*AS7*0.5</f>
        <v>46793467.295300201</v>
      </c>
      <c r="AQ7" s="737">
        <v>203945</v>
      </c>
      <c r="AR7" s="737">
        <v>205900</v>
      </c>
      <c r="AS7" s="893">
        <f t="shared" si="6"/>
        <v>1.0095859177719484</v>
      </c>
    </row>
    <row r="8" spans="1:45">
      <c r="A8" s="89">
        <v>204</v>
      </c>
      <c r="B8" s="98" t="s">
        <v>184</v>
      </c>
      <c r="C8" s="737">
        <f>人件物件費ﾃﾞｰﾀ!D9</f>
        <v>44501751</v>
      </c>
      <c r="D8" s="737">
        <f>人件物件費ﾃﾞｰﾀ!G9</f>
        <v>47767647</v>
      </c>
      <c r="E8" s="737">
        <f>人件物件費ﾃﾞｰﾀ!J9</f>
        <v>49882972</v>
      </c>
      <c r="F8" s="737">
        <f>人件物件費ﾃﾞｰﾀ!M9</f>
        <v>50912166</v>
      </c>
      <c r="G8" s="737">
        <f>人件物件費ﾃﾞｰﾀ!P9</f>
        <v>55539585</v>
      </c>
      <c r="H8" s="737">
        <f>人件物件費ﾃﾞｰﾀ!S9</f>
        <v>82643658</v>
      </c>
      <c r="I8" s="737">
        <f>人件物件費ﾃﾞｰﾀ!V9</f>
        <v>67833479</v>
      </c>
      <c r="J8" s="737">
        <f>人件物件費ﾃﾞｰﾀ!Y9</f>
        <v>56936826</v>
      </c>
      <c r="K8" s="737">
        <f>人件物件費ﾃﾞｰﾀ!AB9</f>
        <v>58942233</v>
      </c>
      <c r="L8" s="737">
        <f>人件物件費ﾃﾞｰﾀ!AG9</f>
        <v>60836913</v>
      </c>
      <c r="M8" s="737">
        <f>人件物件費ﾃﾞｰﾀ!AL10</f>
        <v>57919617</v>
      </c>
      <c r="N8" s="737">
        <f>人件物件費ﾃﾞｰﾀ!AO10</f>
        <v>56836396</v>
      </c>
      <c r="O8" s="737">
        <f>人件物件費ﾃﾞｰﾀ!AT10</f>
        <v>56190342</v>
      </c>
      <c r="P8" s="737">
        <f>人件物件費ﾃﾞｰﾀ!AY10</f>
        <v>54345167</v>
      </c>
      <c r="Q8" s="737">
        <f>人件物件費ﾃﾞｰﾀ2!E10</f>
        <v>54991456</v>
      </c>
      <c r="R8" s="737">
        <f>人件物件費ﾃﾞｰﾀ2!H10</f>
        <v>54112414</v>
      </c>
      <c r="S8" s="737">
        <f>人件物件費ﾃﾞｰﾀ2!K10</f>
        <v>52197986</v>
      </c>
      <c r="T8" s="737">
        <f>人件物件費ﾃﾞｰﾀ2!N10</f>
        <v>52609965</v>
      </c>
      <c r="U8" s="737">
        <f>人件物件費ﾃﾞｰﾀ2!Q10</f>
        <v>54899166</v>
      </c>
      <c r="V8" s="737">
        <f>人件物件費ﾃﾞｰﾀ2!U10</f>
        <v>58066981</v>
      </c>
      <c r="W8" s="737">
        <f>人件物件費ﾃﾞｰﾀ2!Y10</f>
        <v>56343230</v>
      </c>
      <c r="X8" s="740">
        <f>人件物件費ﾃﾞｰﾀ2!AC10</f>
        <v>55615440</v>
      </c>
      <c r="Y8" s="740">
        <f>人件物件費ﾃﾞｰﾀ2!AG10</f>
        <v>55111927</v>
      </c>
      <c r="Z8" s="75">
        <f>人件物件費ﾃﾞｰﾀ2!AK10</f>
        <v>57033150</v>
      </c>
      <c r="AA8" s="75">
        <f>人件物件費ﾃﾞｰﾀ2!AO10</f>
        <v>58519830</v>
      </c>
      <c r="AB8" s="75">
        <f>人件物件費ﾃﾞｰﾀ2!AS10</f>
        <v>59692150</v>
      </c>
      <c r="AC8" s="75">
        <f>人件物件費ﾃﾞｰﾀ2!AW10</f>
        <v>59888371</v>
      </c>
      <c r="AD8" s="75">
        <f>人件物件費ﾃﾞｰﾀ2!BA10</f>
        <v>61852893</v>
      </c>
      <c r="AE8" s="75">
        <f>人件物件費ﾃﾞｰﾀ2!BE10</f>
        <v>61335878</v>
      </c>
      <c r="AF8" s="75">
        <f>人件物件費ﾃﾞｰﾀ2!BI10</f>
        <v>62619741</v>
      </c>
      <c r="AG8" s="75">
        <f>人件物件費ﾃﾞｰﾀ2!BM10</f>
        <v>64359952</v>
      </c>
      <c r="AH8" s="75">
        <f>人件物件費ﾃﾞｰﾀ2!BQ10</f>
        <v>70517125</v>
      </c>
      <c r="AI8" s="75">
        <f>人件物件費ﾃﾞｰﾀ2!BU10</f>
        <v>71296466</v>
      </c>
      <c r="AJ8" s="456">
        <f>人件物件費ﾃﾞｰﾀ2!BY10</f>
        <v>69803653</v>
      </c>
      <c r="AK8" s="456">
        <f>人件物件費ﾃﾞｰﾀ2!CC10</f>
        <v>71394217</v>
      </c>
      <c r="AL8" s="75">
        <f t="shared" si="10"/>
        <v>70831445.333333328</v>
      </c>
      <c r="AM8" s="75">
        <f t="shared" si="10"/>
        <v>70676438.444444433</v>
      </c>
      <c r="AN8" s="75">
        <f t="shared" si="10"/>
        <v>70967366.92592591</v>
      </c>
      <c r="AP8" s="75">
        <f>SUM(Z8:AB8)/3*0.5+AB8*AS8*0.5</f>
        <v>59024535.582825482</v>
      </c>
      <c r="AQ8" s="737">
        <v>174592</v>
      </c>
      <c r="AR8" s="737">
        <v>174422</v>
      </c>
      <c r="AS8" s="893">
        <f t="shared" si="6"/>
        <v>0.99902630131964809</v>
      </c>
    </row>
    <row r="9" spans="1:45">
      <c r="A9" s="89">
        <v>206</v>
      </c>
      <c r="B9" s="98" t="s">
        <v>185</v>
      </c>
      <c r="C9" s="737">
        <f>人件物件費ﾃﾞｰﾀ!D10</f>
        <v>11664224</v>
      </c>
      <c r="D9" s="737">
        <f>人件物件費ﾃﾞｰﾀ!G10</f>
        <v>12919116</v>
      </c>
      <c r="E9" s="737">
        <f>人件物件費ﾃﾞｰﾀ!J10</f>
        <v>13712571</v>
      </c>
      <c r="F9" s="737">
        <f>人件物件費ﾃﾞｰﾀ!M10</f>
        <v>14144530</v>
      </c>
      <c r="G9" s="737">
        <f>人件物件費ﾃﾞｰﾀ!P10</f>
        <v>15384249</v>
      </c>
      <c r="H9" s="737">
        <f>人件物件費ﾃﾞｰﾀ!S10</f>
        <v>30294925</v>
      </c>
      <c r="I9" s="737">
        <f>人件物件費ﾃﾞｰﾀ!V10</f>
        <v>15616570</v>
      </c>
      <c r="J9" s="737">
        <f>人件物件費ﾃﾞｰﾀ!Y10</f>
        <v>15185901</v>
      </c>
      <c r="K9" s="737">
        <f>人件物件費ﾃﾞｰﾀ!AB10</f>
        <v>15282024</v>
      </c>
      <c r="L9" s="737">
        <f>人件物件費ﾃﾞｰﾀ!AG10</f>
        <v>14675612</v>
      </c>
      <c r="M9" s="737">
        <f>人件物件費ﾃﾞｰﾀ!AL11</f>
        <v>14659595</v>
      </c>
      <c r="N9" s="737">
        <f>人件物件費ﾃﾞｰﾀ!AO11</f>
        <v>14100638</v>
      </c>
      <c r="O9" s="737">
        <f>人件物件費ﾃﾞｰﾀ!AT11</f>
        <v>14357712</v>
      </c>
      <c r="P9" s="737">
        <f>人件物件費ﾃﾞｰﾀ!AY11</f>
        <v>13450204</v>
      </c>
      <c r="Q9" s="737">
        <f>人件物件費ﾃﾞｰﾀ2!E11</f>
        <v>13415627</v>
      </c>
      <c r="R9" s="737">
        <f>人件物件費ﾃﾞｰﾀ2!H11</f>
        <v>12386522</v>
      </c>
      <c r="S9" s="737">
        <f>人件物件費ﾃﾞｰﾀ2!K11</f>
        <v>12597520</v>
      </c>
      <c r="T9" s="737">
        <f>人件物件費ﾃﾞｰﾀ2!N11</f>
        <v>12617840</v>
      </c>
      <c r="U9" s="737">
        <f>人件物件費ﾃﾞｰﾀ2!Q11</f>
        <v>12659689</v>
      </c>
      <c r="V9" s="737">
        <f>人件物件費ﾃﾞｰﾀ2!U11</f>
        <v>13291482</v>
      </c>
      <c r="W9" s="737">
        <f>人件物件費ﾃﾞｰﾀ2!Y11</f>
        <v>13154913</v>
      </c>
      <c r="X9" s="740">
        <f>人件物件費ﾃﾞｰﾀ2!AC11</f>
        <v>13673621</v>
      </c>
      <c r="Y9" s="740">
        <f>人件物件費ﾃﾞｰﾀ2!AG11</f>
        <v>13674175</v>
      </c>
      <c r="Z9" s="75">
        <f>人件物件費ﾃﾞｰﾀ2!AK11</f>
        <v>14110576</v>
      </c>
      <c r="AA9" s="75">
        <f>人件物件費ﾃﾞｰﾀ2!AO11</f>
        <v>13633804</v>
      </c>
      <c r="AB9" s="75">
        <f>人件物件費ﾃﾞｰﾀ2!AS11</f>
        <v>14354363</v>
      </c>
      <c r="AC9" s="75">
        <f>人件物件費ﾃﾞｰﾀ2!AW11</f>
        <v>14487619</v>
      </c>
      <c r="AD9" s="75">
        <f>人件物件費ﾃﾞｰﾀ2!BA11</f>
        <v>14782503</v>
      </c>
      <c r="AE9" s="75">
        <f>人件物件費ﾃﾞｰﾀ2!BE11</f>
        <v>14748747</v>
      </c>
      <c r="AF9" s="75">
        <f>人件物件費ﾃﾞｰﾀ2!BI11</f>
        <v>14733223</v>
      </c>
      <c r="AG9" s="75">
        <f>人件物件費ﾃﾞｰﾀ2!BM11</f>
        <v>15137315</v>
      </c>
      <c r="AH9" s="75">
        <f>人件物件費ﾃﾞｰﾀ2!BQ11</f>
        <v>15962948</v>
      </c>
      <c r="AI9" s="75">
        <f>人件物件費ﾃﾞｰﾀ2!BU11</f>
        <v>16231920</v>
      </c>
      <c r="AJ9" s="456">
        <f>人件物件費ﾃﾞｰﾀ2!BY11</f>
        <v>15374974</v>
      </c>
      <c r="AK9" s="456">
        <f>人件物件費ﾃﾞｰﾀ2!CC11</f>
        <v>17243611</v>
      </c>
      <c r="AL9" s="75">
        <f t="shared" si="10"/>
        <v>16283501.666666666</v>
      </c>
      <c r="AM9" s="75">
        <f t="shared" si="10"/>
        <v>16300695.555555554</v>
      </c>
      <c r="AN9" s="75">
        <f t="shared" si="10"/>
        <v>16609269.407407405</v>
      </c>
      <c r="AP9" s="75">
        <f>SUM(Z9:AB9)/3*0.5+AB9*AS9*0.5</f>
        <v>14453303.390419837</v>
      </c>
      <c r="AQ9" s="737">
        <v>47320</v>
      </c>
      <c r="AR9" s="737">
        <v>49032</v>
      </c>
      <c r="AS9" s="893">
        <f t="shared" si="6"/>
        <v>1.0361792054099745</v>
      </c>
    </row>
    <row r="10" spans="1:45">
      <c r="A10" s="86"/>
      <c r="B10" s="97" t="s">
        <v>186</v>
      </c>
      <c r="C10" s="737">
        <f>SUM(C11:C15)</f>
        <v>54141558</v>
      </c>
      <c r="D10" s="737">
        <f t="shared" ref="D10:K10" si="11">SUM(D11:D15)</f>
        <v>58451640</v>
      </c>
      <c r="E10" s="737">
        <f t="shared" si="11"/>
        <v>63577531</v>
      </c>
      <c r="F10" s="737">
        <f t="shared" si="11"/>
        <v>67404316</v>
      </c>
      <c r="G10" s="737">
        <f t="shared" si="11"/>
        <v>74323934</v>
      </c>
      <c r="H10" s="737">
        <f t="shared" si="11"/>
        <v>92137003</v>
      </c>
      <c r="I10" s="737">
        <f t="shared" si="11"/>
        <v>77610062</v>
      </c>
      <c r="J10" s="737">
        <f t="shared" si="11"/>
        <v>80277788</v>
      </c>
      <c r="K10" s="737">
        <f t="shared" si="11"/>
        <v>82888043</v>
      </c>
      <c r="L10" s="737">
        <f t="shared" ref="L10:T10" si="12">SUM(L11:L15)</f>
        <v>82694735</v>
      </c>
      <c r="M10" s="737">
        <f t="shared" si="12"/>
        <v>81556254</v>
      </c>
      <c r="N10" s="737">
        <f t="shared" si="12"/>
        <v>83832543</v>
      </c>
      <c r="O10" s="737">
        <f t="shared" si="12"/>
        <v>83727711</v>
      </c>
      <c r="P10" s="737">
        <f t="shared" si="12"/>
        <v>81588712</v>
      </c>
      <c r="Q10" s="737">
        <f t="shared" si="12"/>
        <v>81694317</v>
      </c>
      <c r="R10" s="737">
        <f t="shared" si="12"/>
        <v>81406915</v>
      </c>
      <c r="S10" s="737">
        <f t="shared" si="12"/>
        <v>80510858</v>
      </c>
      <c r="T10" s="737">
        <f t="shared" si="12"/>
        <v>82047222</v>
      </c>
      <c r="U10" s="737">
        <f t="shared" ref="U10:AH10" si="13">SUM(U11:U15)</f>
        <v>78933756</v>
      </c>
      <c r="V10" s="737">
        <f t="shared" si="13"/>
        <v>78740844</v>
      </c>
      <c r="W10" s="737">
        <f t="shared" si="13"/>
        <v>77692778</v>
      </c>
      <c r="X10" s="737">
        <f t="shared" si="13"/>
        <v>78393206</v>
      </c>
      <c r="Y10" s="737">
        <f t="shared" si="13"/>
        <v>77080019</v>
      </c>
      <c r="Z10" s="737">
        <f t="shared" si="13"/>
        <v>76220725</v>
      </c>
      <c r="AA10" s="737">
        <f t="shared" si="13"/>
        <v>77857507</v>
      </c>
      <c r="AB10" s="737">
        <f t="shared" si="13"/>
        <v>80099402</v>
      </c>
      <c r="AC10" s="737">
        <f t="shared" si="13"/>
        <v>81440779</v>
      </c>
      <c r="AD10" s="737">
        <f t="shared" si="13"/>
        <v>82062767</v>
      </c>
      <c r="AE10" s="737">
        <f t="shared" si="13"/>
        <v>81360228</v>
      </c>
      <c r="AF10" s="737">
        <f t="shared" si="13"/>
        <v>83486772</v>
      </c>
      <c r="AG10" s="737">
        <f t="shared" si="13"/>
        <v>87799523</v>
      </c>
      <c r="AH10" s="737">
        <f t="shared" si="13"/>
        <v>93258653</v>
      </c>
      <c r="AI10" s="75">
        <f>人件物件費ﾃﾞｰﾀ2!BU12</f>
        <v>94728936</v>
      </c>
      <c r="AJ10" s="456">
        <f>人件物件費ﾃﾞｰﾀ2!BY12</f>
        <v>92845970</v>
      </c>
      <c r="AK10" s="456">
        <f>人件物件費ﾃﾞｰﾀ2!CC12</f>
        <v>98092082</v>
      </c>
      <c r="AL10" s="737">
        <f>SUM(AL11:AL15)</f>
        <v>95222329.333333343</v>
      </c>
      <c r="AM10" s="737">
        <f>SUM(AM11:AM15)</f>
        <v>95386793.777777776</v>
      </c>
      <c r="AN10" s="737">
        <f>SUM(AN11:AN15)</f>
        <v>96233735.037037045</v>
      </c>
      <c r="AP10" s="737">
        <f>SUM(AP11:AP15)</f>
        <v>79814453.303640574</v>
      </c>
      <c r="AQ10" s="737">
        <f>SUM(AQ11:AQ15)</f>
        <v>247675</v>
      </c>
      <c r="AR10" s="737">
        <f>SUM(AR11:AR15)</f>
        <v>251699</v>
      </c>
      <c r="AS10" s="893">
        <f t="shared" si="6"/>
        <v>1.016247098011507</v>
      </c>
    </row>
    <row r="11" spans="1:45">
      <c r="A11" s="89">
        <v>207</v>
      </c>
      <c r="B11" s="98" t="s">
        <v>187</v>
      </c>
      <c r="C11" s="737">
        <f>人件物件費ﾃﾞｰﾀ!D11</f>
        <v>16916941</v>
      </c>
      <c r="D11" s="737">
        <f>人件物件費ﾃﾞｰﾀ!G11</f>
        <v>18185469</v>
      </c>
      <c r="E11" s="737">
        <f>人件物件費ﾃﾞｰﾀ!J11</f>
        <v>19541110</v>
      </c>
      <c r="F11" s="737">
        <f>人件物件費ﾃﾞｰﾀ!M11</f>
        <v>20208062</v>
      </c>
      <c r="G11" s="737">
        <f>人件物件費ﾃﾞｰﾀ!P11</f>
        <v>22174713</v>
      </c>
      <c r="H11" s="737">
        <f>人件物件費ﾃﾞｰﾀ!S11</f>
        <v>28166659</v>
      </c>
      <c r="I11" s="737">
        <f>人件物件費ﾃﾞｰﾀ!V11</f>
        <v>22097841</v>
      </c>
      <c r="J11" s="737">
        <f>人件物件費ﾃﾞｰﾀ!Y11</f>
        <v>23233978</v>
      </c>
      <c r="K11" s="737">
        <f>人件物件費ﾃﾞｰﾀ!AB11</f>
        <v>23147398</v>
      </c>
      <c r="L11" s="737">
        <f>人件物件費ﾃﾞｰﾀ!AG12</f>
        <v>22538654</v>
      </c>
      <c r="M11" s="737">
        <f>人件物件費ﾃﾞｰﾀ!AL13</f>
        <v>22155523</v>
      </c>
      <c r="N11" s="737">
        <f>人件物件費ﾃﾞｰﾀ!AO13</f>
        <v>23000803</v>
      </c>
      <c r="O11" s="737">
        <f>人件物件費ﾃﾞｰﾀ!AT13</f>
        <v>22366192</v>
      </c>
      <c r="P11" s="737">
        <f>人件物件費ﾃﾞｰﾀ!AY13</f>
        <v>21853431</v>
      </c>
      <c r="Q11" s="737">
        <f>人件物件費ﾃﾞｰﾀ2!E13</f>
        <v>21528116</v>
      </c>
      <c r="R11" s="737">
        <f>人件物件費ﾃﾞｰﾀ2!H13</f>
        <v>21273294</v>
      </c>
      <c r="S11" s="737">
        <f>人件物件費ﾃﾞｰﾀ2!K13</f>
        <v>21616111</v>
      </c>
      <c r="T11" s="737">
        <f>人件物件費ﾃﾞｰﾀ2!N13</f>
        <v>22591857</v>
      </c>
      <c r="U11" s="737">
        <f>人件物件費ﾃﾞｰﾀ2!Q13</f>
        <v>21422738</v>
      </c>
      <c r="V11" s="737">
        <f>人件物件費ﾃﾞｰﾀ2!U13</f>
        <v>21041363</v>
      </c>
      <c r="W11" s="737">
        <f>人件物件費ﾃﾞｰﾀ2!Y13</f>
        <v>20839257</v>
      </c>
      <c r="X11" s="740">
        <f>人件物件費ﾃﾞｰﾀ2!AC13</f>
        <v>20668532</v>
      </c>
      <c r="Y11" s="740">
        <f>人件物件費ﾃﾞｰﾀ2!AG13</f>
        <v>20058300</v>
      </c>
      <c r="Z11" s="75">
        <f>人件物件費ﾃﾞｰﾀ2!AK13</f>
        <v>19879771</v>
      </c>
      <c r="AA11" s="75">
        <f>人件物件費ﾃﾞｰﾀ2!AO13</f>
        <v>19935495</v>
      </c>
      <c r="AB11" s="75">
        <f>人件物件費ﾃﾞｰﾀ2!AS13</f>
        <v>20670125</v>
      </c>
      <c r="AC11" s="75">
        <f>人件物件費ﾃﾞｰﾀ2!AW13</f>
        <v>20858571</v>
      </c>
      <c r="AD11" s="75">
        <f>人件物件費ﾃﾞｰﾀ2!BA13</f>
        <v>21601152</v>
      </c>
      <c r="AE11" s="75">
        <f>人件物件費ﾃﾞｰﾀ2!BE13</f>
        <v>21450355</v>
      </c>
      <c r="AF11" s="75">
        <f>人件物件費ﾃﾞｰﾀ2!BI13</f>
        <v>22255385</v>
      </c>
      <c r="AG11" s="75">
        <f>人件物件費ﾃﾞｰﾀ2!BM13</f>
        <v>23552702</v>
      </c>
      <c r="AH11" s="75">
        <f>人件物件費ﾃﾞｰﾀ2!BQ13</f>
        <v>24829442</v>
      </c>
      <c r="AI11" s="75">
        <f>人件物件費ﾃﾞｰﾀ2!BU13</f>
        <v>25439615</v>
      </c>
      <c r="AJ11" s="456">
        <f>人件物件費ﾃﾞｰﾀ2!BY13</f>
        <v>24010113</v>
      </c>
      <c r="AK11" s="456">
        <f>人件物件費ﾃﾞｰﾀ2!CC13</f>
        <v>26045526</v>
      </c>
      <c r="AL11" s="75">
        <f t="shared" ref="AL11:AN15" si="14">SUM(AI11:AK11)/3</f>
        <v>25165084.666666668</v>
      </c>
      <c r="AM11" s="75">
        <f t="shared" si="14"/>
        <v>25073574.555555556</v>
      </c>
      <c r="AN11" s="75">
        <f t="shared" si="14"/>
        <v>25428061.740740743</v>
      </c>
      <c r="AP11" s="75">
        <f>SUM(Z11:AB11)/3*0.5+AB11*AS11*0.5</f>
        <v>20432126.139973063</v>
      </c>
      <c r="AQ11" s="737">
        <v>69049</v>
      </c>
      <c r="AR11" s="737">
        <v>69157</v>
      </c>
      <c r="AS11" s="893">
        <f t="shared" si="6"/>
        <v>1.0015641066489016</v>
      </c>
    </row>
    <row r="12" spans="1:45">
      <c r="A12" s="89">
        <v>214</v>
      </c>
      <c r="B12" s="98" t="s">
        <v>188</v>
      </c>
      <c r="C12" s="737">
        <f>人件物件費ﾃﾞｰﾀ!D12</f>
        <v>17539140</v>
      </c>
      <c r="D12" s="737">
        <f>人件物件費ﾃﾞｰﾀ!G12</f>
        <v>18723796</v>
      </c>
      <c r="E12" s="737">
        <f>人件物件費ﾃﾞｰﾀ!J12</f>
        <v>20082021</v>
      </c>
      <c r="F12" s="737">
        <f>人件物件費ﾃﾞｰﾀ!M12</f>
        <v>21859762</v>
      </c>
      <c r="G12" s="737">
        <f>人件物件費ﾃﾞｰﾀ!P12</f>
        <v>24938649</v>
      </c>
      <c r="H12" s="737">
        <f>人件物件費ﾃﾞｰﾀ!S12</f>
        <v>33744021</v>
      </c>
      <c r="I12" s="737">
        <f>人件物件費ﾃﾞｰﾀ!V12</f>
        <v>25060978</v>
      </c>
      <c r="J12" s="737">
        <f>人件物件費ﾃﾞｰﾀ!Y12</f>
        <v>25085785</v>
      </c>
      <c r="K12" s="737">
        <f>人件物件費ﾃﾞｰﾀ!AB12</f>
        <v>25755422</v>
      </c>
      <c r="L12" s="737">
        <f>人件物件費ﾃﾞｰﾀ!AG13</f>
        <v>26158416</v>
      </c>
      <c r="M12" s="737">
        <f>人件物件費ﾃﾞｰﾀ!AL14</f>
        <v>25464665</v>
      </c>
      <c r="N12" s="737">
        <f>人件物件費ﾃﾞｰﾀ!AO14</f>
        <v>25888020</v>
      </c>
      <c r="O12" s="737">
        <f>人件物件費ﾃﾞｰﾀ!AT14</f>
        <v>26188999</v>
      </c>
      <c r="P12" s="737">
        <f>人件物件費ﾃﾞｰﾀ!AY14</f>
        <v>25341991</v>
      </c>
      <c r="Q12" s="737">
        <f>人件物件費ﾃﾞｰﾀ2!E14</f>
        <v>25215043</v>
      </c>
      <c r="R12" s="737">
        <f>人件物件費ﾃﾞｰﾀ2!H14</f>
        <v>25412166</v>
      </c>
      <c r="S12" s="737">
        <f>人件物件費ﾃﾞｰﾀ2!K14</f>
        <v>24491508</v>
      </c>
      <c r="T12" s="737">
        <f>人件物件費ﾃﾞｰﾀ2!N14</f>
        <v>24518154</v>
      </c>
      <c r="U12" s="737">
        <f>人件物件費ﾃﾞｰﾀ2!Q14</f>
        <v>23610508</v>
      </c>
      <c r="V12" s="737">
        <f>人件物件費ﾃﾞｰﾀ2!U14</f>
        <v>23933556</v>
      </c>
      <c r="W12" s="737">
        <f>人件物件費ﾃﾞｰﾀ2!Y14</f>
        <v>23315866</v>
      </c>
      <c r="X12" s="740">
        <f>人件物件費ﾃﾞｰﾀ2!AC14</f>
        <v>24006968</v>
      </c>
      <c r="Y12" s="740">
        <f>人件物件費ﾃﾞｰﾀ2!AG14</f>
        <v>23815114</v>
      </c>
      <c r="Z12" s="75">
        <f>人件物件費ﾃﾞｰﾀ2!AK14</f>
        <v>23741088</v>
      </c>
      <c r="AA12" s="75">
        <f>人件物件費ﾃﾞｰﾀ2!AO14</f>
        <v>24343752</v>
      </c>
      <c r="AB12" s="75">
        <f>人件物件費ﾃﾞｰﾀ2!AS14</f>
        <v>24868755</v>
      </c>
      <c r="AC12" s="75">
        <f>人件物件費ﾃﾞｰﾀ2!AW14</f>
        <v>25637940</v>
      </c>
      <c r="AD12" s="75">
        <f>人件物件費ﾃﾞｰﾀ2!BA14</f>
        <v>25906974</v>
      </c>
      <c r="AE12" s="75">
        <f>人件物件費ﾃﾞｰﾀ2!BE14</f>
        <v>26170242</v>
      </c>
      <c r="AF12" s="75">
        <f>人件物件費ﾃﾞｰﾀ2!BI14</f>
        <v>26988892</v>
      </c>
      <c r="AG12" s="75">
        <f>人件物件費ﾃﾞｰﾀ2!BM14</f>
        <v>27736978</v>
      </c>
      <c r="AH12" s="75">
        <f>人件物件費ﾃﾞｰﾀ2!BQ14</f>
        <v>29618488</v>
      </c>
      <c r="AI12" s="75">
        <f>人件物件費ﾃﾞｰﾀ2!BU14</f>
        <v>29161801</v>
      </c>
      <c r="AJ12" s="456">
        <f>人件物件費ﾃﾞｰﾀ2!BY14</f>
        <v>28599845</v>
      </c>
      <c r="AK12" s="456">
        <f>人件物件費ﾃﾞｰﾀ2!CC14</f>
        <v>30310400</v>
      </c>
      <c r="AL12" s="75">
        <f t="shared" si="14"/>
        <v>29357348.666666668</v>
      </c>
      <c r="AM12" s="75">
        <f t="shared" si="14"/>
        <v>29422531.222222224</v>
      </c>
      <c r="AN12" s="75">
        <f t="shared" si="14"/>
        <v>29696759.962962966</v>
      </c>
      <c r="AP12" s="75">
        <f>SUM(Z12:AB12)/3*0.5+AB12*AS12*0.5</f>
        <v>25350014.280376825</v>
      </c>
      <c r="AQ12" s="737">
        <v>73403</v>
      </c>
      <c r="AR12" s="737">
        <v>77870</v>
      </c>
      <c r="AS12" s="893">
        <f t="shared" si="6"/>
        <v>1.0608558233314715</v>
      </c>
    </row>
    <row r="13" spans="1:45">
      <c r="A13" s="89">
        <v>217</v>
      </c>
      <c r="B13" s="98" t="s">
        <v>189</v>
      </c>
      <c r="C13" s="737">
        <f>人件物件費ﾃﾞｰﾀ!D13</f>
        <v>12233606</v>
      </c>
      <c r="D13" s="737">
        <f>人件物件費ﾃﾞｰﾀ!G13</f>
        <v>13055737</v>
      </c>
      <c r="E13" s="737">
        <f>人件物件費ﾃﾞｰﾀ!J13</f>
        <v>14269464</v>
      </c>
      <c r="F13" s="737">
        <f>人件物件費ﾃﾞｰﾀ!M13</f>
        <v>14931678</v>
      </c>
      <c r="G13" s="737">
        <f>人件物件費ﾃﾞｰﾀ!P13</f>
        <v>16113769</v>
      </c>
      <c r="H13" s="737">
        <f>人件物件費ﾃﾞｰﾀ!S13</f>
        <v>18352982</v>
      </c>
      <c r="I13" s="737">
        <f>人件物件費ﾃﾞｰﾀ!V13</f>
        <v>17290848</v>
      </c>
      <c r="J13" s="737">
        <f>人件物件費ﾃﾞｰﾀ!Y13</f>
        <v>17803672</v>
      </c>
      <c r="K13" s="737">
        <f>人件物件費ﾃﾞｰﾀ!AB13</f>
        <v>18735824</v>
      </c>
      <c r="L13" s="737">
        <f>人件物件費ﾃﾞｰﾀ!AG14</f>
        <v>18425950</v>
      </c>
      <c r="M13" s="737">
        <f>人件物件費ﾃﾞｰﾀ!AL15</f>
        <v>18148851</v>
      </c>
      <c r="N13" s="737">
        <f>人件物件費ﾃﾞｰﾀ!AO15</f>
        <v>18490574</v>
      </c>
      <c r="O13" s="737">
        <f>人件物件費ﾃﾞｰﾀ!AT15</f>
        <v>18733492</v>
      </c>
      <c r="P13" s="737">
        <f>人件物件費ﾃﾞｰﾀ!AY15</f>
        <v>17919124</v>
      </c>
      <c r="Q13" s="737">
        <f>人件物件費ﾃﾞｰﾀ2!E15</f>
        <v>18011364</v>
      </c>
      <c r="R13" s="737">
        <f>人件物件費ﾃﾞｰﾀ2!H15</f>
        <v>17611295</v>
      </c>
      <c r="S13" s="737">
        <f>人件物件費ﾃﾞｰﾀ2!K15</f>
        <v>17479761</v>
      </c>
      <c r="T13" s="737">
        <f>人件物件費ﾃﾞｰﾀ2!N15</f>
        <v>17707526</v>
      </c>
      <c r="U13" s="737">
        <f>人件物件費ﾃﾞｰﾀ2!Q15</f>
        <v>17176471</v>
      </c>
      <c r="V13" s="737">
        <f>人件物件費ﾃﾞｰﾀ2!U15</f>
        <v>16739497</v>
      </c>
      <c r="W13" s="737">
        <f>人件物件費ﾃﾞｰﾀ2!Y15</f>
        <v>16412444</v>
      </c>
      <c r="X13" s="740">
        <f>人件物件費ﾃﾞｰﾀ2!AC15</f>
        <v>16304083</v>
      </c>
      <c r="Y13" s="740">
        <f>人件物件費ﾃﾞｰﾀ2!AG15</f>
        <v>15721488</v>
      </c>
      <c r="Z13" s="75">
        <f>人件物件費ﾃﾞｰﾀ2!AK15</f>
        <v>15481612</v>
      </c>
      <c r="AA13" s="75">
        <f>人件物件費ﾃﾞｰﾀ2!AO15</f>
        <v>15606237</v>
      </c>
      <c r="AB13" s="75">
        <f>人件物件費ﾃﾞｰﾀ2!AS15</f>
        <v>16108586</v>
      </c>
      <c r="AC13" s="75">
        <f>人件物件費ﾃﾞｰﾀ2!AW15</f>
        <v>16477494</v>
      </c>
      <c r="AD13" s="75">
        <f>人件物件費ﾃﾞｰﾀ2!BA15</f>
        <v>16612435</v>
      </c>
      <c r="AE13" s="75">
        <f>人件物件費ﾃﾞｰﾀ2!BE15</f>
        <v>16216174</v>
      </c>
      <c r="AF13" s="75">
        <f>人件物件費ﾃﾞｰﾀ2!BI15</f>
        <v>16485053</v>
      </c>
      <c r="AG13" s="75">
        <f>人件物件費ﾃﾞｰﾀ2!BM15</f>
        <v>17722861</v>
      </c>
      <c r="AH13" s="75">
        <f>人件物件費ﾃﾞｰﾀ2!BQ15</f>
        <v>18610048</v>
      </c>
      <c r="AI13" s="75">
        <f>人件物件費ﾃﾞｰﾀ2!BU15</f>
        <v>19150954</v>
      </c>
      <c r="AJ13" s="456">
        <f>人件物件費ﾃﾞｰﾀ2!BY15</f>
        <v>19482267</v>
      </c>
      <c r="AK13" s="456">
        <f>人件物件費ﾃﾞｰﾀ2!CC15</f>
        <v>20057186</v>
      </c>
      <c r="AL13" s="75">
        <f t="shared" si="14"/>
        <v>19563469</v>
      </c>
      <c r="AM13" s="75">
        <f t="shared" si="14"/>
        <v>19700974</v>
      </c>
      <c r="AN13" s="75">
        <f t="shared" si="14"/>
        <v>19773876.333333332</v>
      </c>
      <c r="AP13" s="75">
        <f>SUM(Z13:AB13)/3*0.5+AB13*AS13*0.5</f>
        <v>15724663.298697507</v>
      </c>
      <c r="AQ13" s="737">
        <v>56507</v>
      </c>
      <c r="AR13" s="737">
        <v>55134</v>
      </c>
      <c r="AS13" s="893">
        <f t="shared" si="6"/>
        <v>0.97570212540039292</v>
      </c>
    </row>
    <row r="14" spans="1:45">
      <c r="A14" s="89">
        <v>219</v>
      </c>
      <c r="B14" s="98" t="s">
        <v>190</v>
      </c>
      <c r="C14" s="737">
        <f>人件物件費ﾃﾞｰﾀ!D14</f>
        <v>5336267</v>
      </c>
      <c r="D14" s="737">
        <f>人件物件費ﾃﾞｰﾀ!G14</f>
        <v>6118785</v>
      </c>
      <c r="E14" s="737">
        <f>人件物件費ﾃﾞｰﾀ!J14</f>
        <v>6909074</v>
      </c>
      <c r="F14" s="737">
        <f>人件物件費ﾃﾞｰﾀ!M14</f>
        <v>7418609</v>
      </c>
      <c r="G14" s="737">
        <f>人件物件費ﾃﾞｰﾀ!P14</f>
        <v>7960018</v>
      </c>
      <c r="H14" s="737">
        <f>人件物件費ﾃﾞｰﾀ!S14</f>
        <v>8522430</v>
      </c>
      <c r="I14" s="737">
        <f>人件物件費ﾃﾞｰﾀ!V14</f>
        <v>9458710</v>
      </c>
      <c r="J14" s="737">
        <f>人件物件費ﾃﾞｰﾀ!Y14</f>
        <v>10312260</v>
      </c>
      <c r="K14" s="737">
        <f>人件物件費ﾃﾞｰﾀ!AB14</f>
        <v>11072414</v>
      </c>
      <c r="L14" s="737">
        <f>人件物件費ﾃﾞｰﾀ!AG15</f>
        <v>11455739</v>
      </c>
      <c r="M14" s="737">
        <f>人件物件費ﾃﾞｰﾀ!AL16</f>
        <v>11726225</v>
      </c>
      <c r="N14" s="737">
        <f>人件物件費ﾃﾞｰﾀ!AO16</f>
        <v>12162790</v>
      </c>
      <c r="O14" s="737">
        <f>人件物件費ﾃﾞｰﾀ!AT16</f>
        <v>12161520</v>
      </c>
      <c r="P14" s="737">
        <f>人件物件費ﾃﾞｰﾀ!AY16</f>
        <v>12237062</v>
      </c>
      <c r="Q14" s="737">
        <f>人件物件費ﾃﾞｰﾀ2!E16</f>
        <v>12618124</v>
      </c>
      <c r="R14" s="737">
        <f>人件物件費ﾃﾞｰﾀ2!H16</f>
        <v>12813903</v>
      </c>
      <c r="S14" s="737">
        <f>人件物件費ﾃﾞｰﾀ2!K16</f>
        <v>12635258</v>
      </c>
      <c r="T14" s="737">
        <f>人件物件費ﾃﾞｰﾀ2!N16</f>
        <v>12946747</v>
      </c>
      <c r="U14" s="737">
        <f>人件物件費ﾃﾞｰﾀ2!Q16</f>
        <v>12470266</v>
      </c>
      <c r="V14" s="737">
        <f>人件物件費ﾃﾞｰﾀ2!U16</f>
        <v>12647636</v>
      </c>
      <c r="W14" s="737">
        <f>人件物件費ﾃﾞｰﾀ2!Y16</f>
        <v>12793065</v>
      </c>
      <c r="X14" s="740">
        <f>人件物件費ﾃﾞｰﾀ2!AC16</f>
        <v>13013446</v>
      </c>
      <c r="Y14" s="740">
        <f>人件物件費ﾃﾞｰﾀ2!AG16</f>
        <v>13193848</v>
      </c>
      <c r="Z14" s="75">
        <f>人件物件費ﾃﾞｰﾀ2!AK16</f>
        <v>12935022</v>
      </c>
      <c r="AA14" s="75">
        <f>人件物件費ﾃﾞｰﾀ2!AO16</f>
        <v>13668867</v>
      </c>
      <c r="AB14" s="75">
        <f>人件物件費ﾃﾞｰﾀ2!AS16</f>
        <v>14011468</v>
      </c>
      <c r="AC14" s="75">
        <f>人件物件費ﾃﾞｰﾀ2!AW16</f>
        <v>14030228</v>
      </c>
      <c r="AD14" s="75">
        <f>人件物件費ﾃﾞｰﾀ2!BA16</f>
        <v>13589242</v>
      </c>
      <c r="AE14" s="75">
        <f>人件物件費ﾃﾞｰﾀ2!BE16</f>
        <v>13211596</v>
      </c>
      <c r="AF14" s="75">
        <f>人件物件費ﾃﾞｰﾀ2!BI16</f>
        <v>13364651</v>
      </c>
      <c r="AG14" s="75">
        <f>人件物件費ﾃﾞｰﾀ2!BM16</f>
        <v>14082616</v>
      </c>
      <c r="AH14" s="75">
        <f>人件物件費ﾃﾞｰﾀ2!BQ16</f>
        <v>14947426</v>
      </c>
      <c r="AI14" s="75">
        <f>人件物件費ﾃﾞｰﾀ2!BU16</f>
        <v>15556621</v>
      </c>
      <c r="AJ14" s="456">
        <f>人件物件費ﾃﾞｰﾀ2!BY16</f>
        <v>15618523</v>
      </c>
      <c r="AK14" s="456">
        <f>人件物件費ﾃﾞｰﾀ2!CC16</f>
        <v>16223527</v>
      </c>
      <c r="AL14" s="75">
        <f t="shared" si="14"/>
        <v>15799557</v>
      </c>
      <c r="AM14" s="75">
        <f t="shared" si="14"/>
        <v>15880535.666666666</v>
      </c>
      <c r="AN14" s="75">
        <f t="shared" si="14"/>
        <v>15967873.222222222</v>
      </c>
      <c r="AP14" s="75">
        <f>SUM(Z14:AB14)/3*0.5+AB14*AS14*0.5</f>
        <v>13884823.058277389</v>
      </c>
      <c r="AQ14" s="737">
        <v>39026</v>
      </c>
      <c r="AR14" s="737">
        <v>39638</v>
      </c>
      <c r="AS14" s="893">
        <f t="shared" si="6"/>
        <v>1.0156818531235587</v>
      </c>
    </row>
    <row r="15" spans="1:45">
      <c r="A15" s="89">
        <v>301</v>
      </c>
      <c r="B15" s="98" t="s">
        <v>191</v>
      </c>
      <c r="C15" s="737">
        <f>人件物件費ﾃﾞｰﾀ!D15</f>
        <v>2115604</v>
      </c>
      <c r="D15" s="737">
        <f>人件物件費ﾃﾞｰﾀ!G15</f>
        <v>2367853</v>
      </c>
      <c r="E15" s="737">
        <f>人件物件費ﾃﾞｰﾀ!J15</f>
        <v>2775862</v>
      </c>
      <c r="F15" s="737">
        <f>人件物件費ﾃﾞｰﾀ!M15</f>
        <v>2986205</v>
      </c>
      <c r="G15" s="737">
        <f>人件物件費ﾃﾞｰﾀ!P15</f>
        <v>3136785</v>
      </c>
      <c r="H15" s="737">
        <f>人件物件費ﾃﾞｰﾀ!S15</f>
        <v>3350911</v>
      </c>
      <c r="I15" s="737">
        <f>人件物件費ﾃﾞｰﾀ!V15</f>
        <v>3701685</v>
      </c>
      <c r="J15" s="737">
        <f>人件物件費ﾃﾞｰﾀ!Y15</f>
        <v>3842093</v>
      </c>
      <c r="K15" s="737">
        <f>人件物件費ﾃﾞｰﾀ!AB15</f>
        <v>4176985</v>
      </c>
      <c r="L15" s="737">
        <f>人件物件費ﾃﾞｰﾀ!AG16</f>
        <v>4115976</v>
      </c>
      <c r="M15" s="737">
        <f>人件物件費ﾃﾞｰﾀ!AL17</f>
        <v>4060990</v>
      </c>
      <c r="N15" s="737">
        <f>人件物件費ﾃﾞｰﾀ!AO17</f>
        <v>4290356</v>
      </c>
      <c r="O15" s="737">
        <f>人件物件費ﾃﾞｰﾀ!AT17</f>
        <v>4277508</v>
      </c>
      <c r="P15" s="737">
        <f>人件物件費ﾃﾞｰﾀ!AY17</f>
        <v>4237104</v>
      </c>
      <c r="Q15" s="737">
        <f>人件物件費ﾃﾞｰﾀ2!E17</f>
        <v>4321670</v>
      </c>
      <c r="R15" s="737">
        <f>人件物件費ﾃﾞｰﾀ2!H17</f>
        <v>4296257</v>
      </c>
      <c r="S15" s="737">
        <f>人件物件費ﾃﾞｰﾀ2!K17</f>
        <v>4288220</v>
      </c>
      <c r="T15" s="737">
        <f>人件物件費ﾃﾞｰﾀ2!N17</f>
        <v>4282938</v>
      </c>
      <c r="U15" s="737">
        <f>人件物件費ﾃﾞｰﾀ2!Q17</f>
        <v>4253773</v>
      </c>
      <c r="V15" s="737">
        <f>人件物件費ﾃﾞｰﾀ2!U17</f>
        <v>4378792</v>
      </c>
      <c r="W15" s="737">
        <f>人件物件費ﾃﾞｰﾀ2!Y17</f>
        <v>4332146</v>
      </c>
      <c r="X15" s="740">
        <f>人件物件費ﾃﾞｰﾀ2!AC17</f>
        <v>4400177</v>
      </c>
      <c r="Y15" s="740">
        <f>人件物件費ﾃﾞｰﾀ2!AG17</f>
        <v>4291269</v>
      </c>
      <c r="Z15" s="75">
        <f>人件物件費ﾃﾞｰﾀ2!AK17</f>
        <v>4183232</v>
      </c>
      <c r="AA15" s="75">
        <f>人件物件費ﾃﾞｰﾀ2!AO17</f>
        <v>4303156</v>
      </c>
      <c r="AB15" s="75">
        <f>人件物件費ﾃﾞｰﾀ2!AS17</f>
        <v>4440468</v>
      </c>
      <c r="AC15" s="75">
        <f>人件物件費ﾃﾞｰﾀ2!AW17</f>
        <v>4436546</v>
      </c>
      <c r="AD15" s="75">
        <f>人件物件費ﾃﾞｰﾀ2!BA17</f>
        <v>4352964</v>
      </c>
      <c r="AE15" s="75">
        <f>人件物件費ﾃﾞｰﾀ2!BE17</f>
        <v>4311861</v>
      </c>
      <c r="AF15" s="75">
        <f>人件物件費ﾃﾞｰﾀ2!BI17</f>
        <v>4392791</v>
      </c>
      <c r="AG15" s="75">
        <f>人件物件費ﾃﾞｰﾀ2!BM17</f>
        <v>4704366</v>
      </c>
      <c r="AH15" s="75">
        <f>人件物件費ﾃﾞｰﾀ2!BQ17</f>
        <v>5253249</v>
      </c>
      <c r="AI15" s="75">
        <f>人件物件費ﾃﾞｰﾀ2!BU17</f>
        <v>5419945</v>
      </c>
      <c r="AJ15" s="456">
        <f>人件物件費ﾃﾞｰﾀ2!BY17</f>
        <v>5135222</v>
      </c>
      <c r="AK15" s="456">
        <f>人件物件費ﾃﾞｰﾀ2!CC17</f>
        <v>5455443</v>
      </c>
      <c r="AL15" s="75">
        <f t="shared" si="14"/>
        <v>5336870</v>
      </c>
      <c r="AM15" s="75">
        <f t="shared" si="14"/>
        <v>5309178.333333333</v>
      </c>
      <c r="AN15" s="75">
        <f t="shared" si="14"/>
        <v>5367163.7777777771</v>
      </c>
      <c r="AP15" s="75">
        <f>SUM(Z15:AB15)/3*0.5+AB15*AS15*0.5</f>
        <v>4422826.5263157897</v>
      </c>
      <c r="AQ15" s="737">
        <v>9690</v>
      </c>
      <c r="AR15" s="737">
        <v>9900</v>
      </c>
      <c r="AS15" s="893">
        <f t="shared" si="6"/>
        <v>1.021671826625387</v>
      </c>
    </row>
    <row r="16" spans="1:45">
      <c r="A16" s="86"/>
      <c r="B16" s="97" t="s">
        <v>192</v>
      </c>
      <c r="C16" s="737">
        <f>SUM(C17:C21)</f>
        <v>55099169</v>
      </c>
      <c r="D16" s="737">
        <f t="shared" ref="D16:K16" si="15">SUM(D17:D21)</f>
        <v>57782011</v>
      </c>
      <c r="E16" s="737">
        <f t="shared" si="15"/>
        <v>60582793</v>
      </c>
      <c r="F16" s="737">
        <f t="shared" si="15"/>
        <v>63052848</v>
      </c>
      <c r="G16" s="737">
        <f t="shared" si="15"/>
        <v>66353699</v>
      </c>
      <c r="H16" s="737">
        <f t="shared" si="15"/>
        <v>72647898</v>
      </c>
      <c r="I16" s="737">
        <f t="shared" si="15"/>
        <v>52581587</v>
      </c>
      <c r="J16" s="737">
        <f t="shared" si="15"/>
        <v>72417596</v>
      </c>
      <c r="K16" s="737">
        <f t="shared" si="15"/>
        <v>76241819</v>
      </c>
      <c r="L16" s="737">
        <f t="shared" ref="L16:T16" si="16">SUM(L17:L21)</f>
        <v>76604713</v>
      </c>
      <c r="M16" s="737">
        <f t="shared" si="16"/>
        <v>76314474</v>
      </c>
      <c r="N16" s="737">
        <f t="shared" si="16"/>
        <v>76907770</v>
      </c>
      <c r="O16" s="737">
        <f t="shared" si="16"/>
        <v>74710498</v>
      </c>
      <c r="P16" s="737">
        <f t="shared" si="16"/>
        <v>73181694</v>
      </c>
      <c r="Q16" s="737">
        <f t="shared" si="16"/>
        <v>74361894</v>
      </c>
      <c r="R16" s="737">
        <f t="shared" si="16"/>
        <v>72941711</v>
      </c>
      <c r="S16" s="737">
        <f t="shared" si="16"/>
        <v>72418643</v>
      </c>
      <c r="T16" s="737">
        <f t="shared" si="16"/>
        <v>72849485</v>
      </c>
      <c r="U16" s="737">
        <f t="shared" ref="U16:AH16" si="17">SUM(U17:U21)</f>
        <v>72627807</v>
      </c>
      <c r="V16" s="737">
        <f t="shared" si="17"/>
        <v>74689158</v>
      </c>
      <c r="W16" s="737">
        <f t="shared" si="17"/>
        <v>72789516</v>
      </c>
      <c r="X16" s="737">
        <f t="shared" si="17"/>
        <v>73827667</v>
      </c>
      <c r="Y16" s="737">
        <f t="shared" si="17"/>
        <v>72616219</v>
      </c>
      <c r="Z16" s="737">
        <f t="shared" si="17"/>
        <v>72801556</v>
      </c>
      <c r="AA16" s="737">
        <f t="shared" si="17"/>
        <v>73579953</v>
      </c>
      <c r="AB16" s="737">
        <f t="shared" si="17"/>
        <v>74020295</v>
      </c>
      <c r="AC16" s="737">
        <f t="shared" si="17"/>
        <v>74377945</v>
      </c>
      <c r="AD16" s="737">
        <f t="shared" si="17"/>
        <v>75146363</v>
      </c>
      <c r="AE16" s="737">
        <f t="shared" si="17"/>
        <v>76327196</v>
      </c>
      <c r="AF16" s="737">
        <f t="shared" si="17"/>
        <v>78386978</v>
      </c>
      <c r="AG16" s="737">
        <f t="shared" si="17"/>
        <v>82225399</v>
      </c>
      <c r="AH16" s="737">
        <f t="shared" si="17"/>
        <v>91402306</v>
      </c>
      <c r="AI16" s="75">
        <f>人件物件費ﾃﾞｰﾀ2!BU18</f>
        <v>91285817</v>
      </c>
      <c r="AJ16" s="456">
        <f>人件物件費ﾃﾞｰﾀ2!BY18</f>
        <v>88177550</v>
      </c>
      <c r="AK16" s="456">
        <f>人件物件費ﾃﾞｰﾀ2!CC18</f>
        <v>95013869</v>
      </c>
      <c r="AL16" s="737">
        <f>SUM(AL17:AL21)</f>
        <v>91492412</v>
      </c>
      <c r="AM16" s="737">
        <f>SUM(AM17:AM21)</f>
        <v>91561277.000000015</v>
      </c>
      <c r="AN16" s="737">
        <f>SUM(AN17:AN21)</f>
        <v>92689186.000000015</v>
      </c>
      <c r="AP16" s="737">
        <f>SUM(AP17:AP21)</f>
        <v>75563753.224970207</v>
      </c>
      <c r="AQ16" s="737">
        <f>SUM(AQ17:AQ21)</f>
        <v>234415</v>
      </c>
      <c r="AR16" s="737">
        <f>SUM(AR17:AR21)</f>
        <v>245549</v>
      </c>
      <c r="AS16" s="893">
        <f t="shared" si="6"/>
        <v>1.0474969605187381</v>
      </c>
    </row>
    <row r="17" spans="1:45">
      <c r="A17" s="89">
        <v>203</v>
      </c>
      <c r="B17" s="98" t="s">
        <v>193</v>
      </c>
      <c r="C17" s="737">
        <f>人件物件費ﾃﾞｰﾀ!D17</f>
        <v>21203214</v>
      </c>
      <c r="D17" s="737">
        <f>人件物件費ﾃﾞｰﾀ!G17</f>
        <v>22879020</v>
      </c>
      <c r="E17" s="737">
        <f>人件物件費ﾃﾞｰﾀ!J17</f>
        <v>24104688</v>
      </c>
      <c r="F17" s="737">
        <f>人件物件費ﾃﾞｰﾀ!M17</f>
        <v>24908816</v>
      </c>
      <c r="G17" s="737">
        <f>人件物件費ﾃﾞｰﾀ!P17</f>
        <v>26500720</v>
      </c>
      <c r="H17" s="737">
        <f>人件物件費ﾃﾞｰﾀ!S17</f>
        <v>31448036</v>
      </c>
      <c r="I17" s="737">
        <f>人件物件費ﾃﾞｰﾀ!V17</f>
        <v>10273936</v>
      </c>
      <c r="J17" s="737">
        <f>人件物件費ﾃﾞｰﾀ!Y17</f>
        <v>28513074</v>
      </c>
      <c r="K17" s="737">
        <f>人件物件費ﾃﾞｰﾀ!AB17</f>
        <v>29851462</v>
      </c>
      <c r="L17" s="737">
        <f>人件物件費ﾃﾞｰﾀ!AG18</f>
        <v>30049226</v>
      </c>
      <c r="M17" s="737">
        <f>人件物件費ﾃﾞｰﾀ!AL19</f>
        <v>29405576</v>
      </c>
      <c r="N17" s="737">
        <f>人件物件費ﾃﾞｰﾀ!AO19</f>
        <v>29732941</v>
      </c>
      <c r="O17" s="737">
        <f>人件物件費ﾃﾞｰﾀ!AT19</f>
        <v>28937004</v>
      </c>
      <c r="P17" s="737">
        <f>人件物件費ﾃﾞｰﾀ!AY19</f>
        <v>29125650</v>
      </c>
      <c r="Q17" s="737">
        <f>人件物件費ﾃﾞｰﾀ2!E19</f>
        <v>29655994</v>
      </c>
      <c r="R17" s="737">
        <f>人件物件費ﾃﾞｰﾀ2!H19</f>
        <v>29015603</v>
      </c>
      <c r="S17" s="737">
        <f>人件物件費ﾃﾞｰﾀ2!K19</f>
        <v>29005238</v>
      </c>
      <c r="T17" s="737">
        <f>人件物件費ﾃﾞｰﾀ2!N19</f>
        <v>28752028</v>
      </c>
      <c r="U17" s="737">
        <f>人件物件費ﾃﾞｰﾀ2!Q19</f>
        <v>29617408</v>
      </c>
      <c r="V17" s="737">
        <f>人件物件費ﾃﾞｰﾀ2!U19</f>
        <v>31555717</v>
      </c>
      <c r="W17" s="737">
        <f>人件物件費ﾃﾞｰﾀ2!Y19</f>
        <v>30708600</v>
      </c>
      <c r="X17" s="740">
        <f>人件物件費ﾃﾞｰﾀ2!AC19</f>
        <v>31216613</v>
      </c>
      <c r="Y17" s="740">
        <f>人件物件費ﾃﾞｰﾀ2!AG19</f>
        <v>30858391</v>
      </c>
      <c r="Z17" s="75">
        <f>人件物件費ﾃﾞｰﾀ2!AK19</f>
        <v>31152714</v>
      </c>
      <c r="AA17" s="75">
        <f>人件物件費ﾃﾞｰﾀ2!AO19</f>
        <v>31224512</v>
      </c>
      <c r="AB17" s="75">
        <f>人件物件費ﾃﾞｰﾀ2!AS19</f>
        <v>31711336</v>
      </c>
      <c r="AC17" s="75">
        <f>人件物件費ﾃﾞｰﾀ2!AW19</f>
        <v>31697379</v>
      </c>
      <c r="AD17" s="75">
        <f>人件物件費ﾃﾞｰﾀ2!BA19</f>
        <v>32273148</v>
      </c>
      <c r="AE17" s="75">
        <f>人件物件費ﾃﾞｰﾀ2!BE19</f>
        <v>33289780</v>
      </c>
      <c r="AF17" s="75">
        <f>人件物件費ﾃﾞｰﾀ2!BI19</f>
        <v>34147501</v>
      </c>
      <c r="AG17" s="75">
        <f>人件物件費ﾃﾞｰﾀ2!BM19</f>
        <v>35959635</v>
      </c>
      <c r="AH17" s="75">
        <f>人件物件費ﾃﾞｰﾀ2!BQ19</f>
        <v>40014186</v>
      </c>
      <c r="AI17" s="75">
        <f>人件物件費ﾃﾞｰﾀ2!BU19</f>
        <v>40558837</v>
      </c>
      <c r="AJ17" s="456">
        <f>人件物件費ﾃﾞｰﾀ2!BY19</f>
        <v>38256408</v>
      </c>
      <c r="AK17" s="456">
        <f>人件物件費ﾃﾞｰﾀ2!CC19</f>
        <v>40375625</v>
      </c>
      <c r="AL17" s="75">
        <f t="shared" ref="AL17:AN21" si="18">SUM(AI17:AK17)/3</f>
        <v>39730290</v>
      </c>
      <c r="AM17" s="75">
        <f t="shared" si="18"/>
        <v>39454107.666666664</v>
      </c>
      <c r="AN17" s="75">
        <f t="shared" si="18"/>
        <v>39853340.888888888</v>
      </c>
      <c r="AP17" s="75">
        <f>SUM(Z17:AB17)/3*0.5+AB17*AS17*0.5</f>
        <v>31588633.992915802</v>
      </c>
      <c r="AQ17" s="737">
        <v>104599</v>
      </c>
      <c r="AR17" s="737">
        <v>104939</v>
      </c>
      <c r="AS17" s="893">
        <f t="shared" si="6"/>
        <v>1.0032505090870849</v>
      </c>
    </row>
    <row r="18" spans="1:45">
      <c r="A18" s="89">
        <v>210</v>
      </c>
      <c r="B18" s="98" t="s">
        <v>194</v>
      </c>
      <c r="C18" s="737">
        <f>人件物件費ﾃﾞｰﾀ!D18</f>
        <v>20408200</v>
      </c>
      <c r="D18" s="737">
        <f>人件物件費ﾃﾞｰﾀ!G18</f>
        <v>20517832</v>
      </c>
      <c r="E18" s="737">
        <f>人件物件費ﾃﾞｰﾀ!J18</f>
        <v>21354834</v>
      </c>
      <c r="F18" s="737">
        <f>人件物件費ﾃﾞｰﾀ!M18</f>
        <v>22285742</v>
      </c>
      <c r="G18" s="737">
        <f>人件物件費ﾃﾞｰﾀ!P18</f>
        <v>23478435</v>
      </c>
      <c r="H18" s="737">
        <f>人件物件費ﾃﾞｰﾀ!S18</f>
        <v>24119255</v>
      </c>
      <c r="I18" s="737">
        <f>人件物件費ﾃﾞｰﾀ!V18</f>
        <v>24883798</v>
      </c>
      <c r="J18" s="737">
        <f>人件物件費ﾃﾞｰﾀ!Y18</f>
        <v>25911591</v>
      </c>
      <c r="K18" s="737">
        <f>人件物件費ﾃﾞｰﾀ!AB18</f>
        <v>27599364</v>
      </c>
      <c r="L18" s="737">
        <f>人件物件費ﾃﾞｰﾀ!AG19</f>
        <v>27678288</v>
      </c>
      <c r="M18" s="737">
        <f>人件物件費ﾃﾞｰﾀ!AL20</f>
        <v>27934803</v>
      </c>
      <c r="N18" s="737">
        <f>人件物件費ﾃﾞｰﾀ!AO20</f>
        <v>27867463</v>
      </c>
      <c r="O18" s="737">
        <f>人件物件費ﾃﾞｰﾀ!AT20</f>
        <v>27017618</v>
      </c>
      <c r="P18" s="737">
        <f>人件物件費ﾃﾞｰﾀ!AY20</f>
        <v>26093609</v>
      </c>
      <c r="Q18" s="737">
        <f>人件物件費ﾃﾞｰﾀ2!E20</f>
        <v>27156731</v>
      </c>
      <c r="R18" s="737">
        <f>人件物件費ﾃﾞｰﾀ2!H20</f>
        <v>26417940</v>
      </c>
      <c r="S18" s="737">
        <f>人件物件費ﾃﾞｰﾀ2!K20</f>
        <v>26444312</v>
      </c>
      <c r="T18" s="737">
        <f>人件物件費ﾃﾞｰﾀ2!N20</f>
        <v>27322443</v>
      </c>
      <c r="U18" s="737">
        <f>人件物件費ﾃﾞｰﾀ2!Q20</f>
        <v>26882888</v>
      </c>
      <c r="V18" s="737">
        <f>人件物件費ﾃﾞｰﾀ2!U20</f>
        <v>27024386</v>
      </c>
      <c r="W18" s="737">
        <f>人件物件費ﾃﾞｰﾀ2!Y20</f>
        <v>26180736</v>
      </c>
      <c r="X18" s="740">
        <f>人件物件費ﾃﾞｰﾀ2!AC20</f>
        <v>26031285</v>
      </c>
      <c r="Y18" s="740">
        <f>人件物件費ﾃﾞｰﾀ2!AG20</f>
        <v>25158543</v>
      </c>
      <c r="Z18" s="75">
        <f>人件物件費ﾃﾞｰﾀ2!AK20</f>
        <v>25437280</v>
      </c>
      <c r="AA18" s="75">
        <f>人件物件費ﾃﾞｰﾀ2!AO20</f>
        <v>25574108</v>
      </c>
      <c r="AB18" s="75">
        <f>人件物件費ﾃﾞｰﾀ2!AS20</f>
        <v>25527066</v>
      </c>
      <c r="AC18" s="75">
        <f>人件物件費ﾃﾞｰﾀ2!AW20</f>
        <v>25978581</v>
      </c>
      <c r="AD18" s="75">
        <f>人件物件費ﾃﾞｰﾀ2!BA20</f>
        <v>26582326</v>
      </c>
      <c r="AE18" s="75">
        <f>人件物件費ﾃﾞｰﾀ2!BE20</f>
        <v>26889617</v>
      </c>
      <c r="AF18" s="75">
        <f>人件物件費ﾃﾞｰﾀ2!BI20</f>
        <v>27578970</v>
      </c>
      <c r="AG18" s="75">
        <f>人件物件費ﾃﾞｰﾀ2!BM20</f>
        <v>28664032</v>
      </c>
      <c r="AH18" s="75">
        <f>人件物件費ﾃﾞｰﾀ2!BQ20</f>
        <v>31833699</v>
      </c>
      <c r="AI18" s="75">
        <f>人件物件費ﾃﾞｰﾀ2!BU20</f>
        <v>30855698</v>
      </c>
      <c r="AJ18" s="456">
        <f>人件物件費ﾃﾞｰﾀ2!BY20</f>
        <v>29777318</v>
      </c>
      <c r="AK18" s="456">
        <f>人件物件費ﾃﾞｰﾀ2!CC20</f>
        <v>32827819</v>
      </c>
      <c r="AL18" s="75">
        <f t="shared" si="18"/>
        <v>31153611.666666668</v>
      </c>
      <c r="AM18" s="75">
        <f t="shared" si="18"/>
        <v>31252916.222222224</v>
      </c>
      <c r="AN18" s="75">
        <f t="shared" si="18"/>
        <v>31744782.296296299</v>
      </c>
      <c r="AP18" s="75">
        <f>SUM(Z18:AB18)/3*0.5+AB18*AS18*0.5</f>
        <v>26776707.393979039</v>
      </c>
      <c r="AQ18" s="737">
        <v>76433</v>
      </c>
      <c r="AR18" s="737">
        <v>83959</v>
      </c>
      <c r="AS18" s="893">
        <f t="shared" si="6"/>
        <v>1.098465322570094</v>
      </c>
    </row>
    <row r="19" spans="1:45">
      <c r="A19" s="89">
        <v>216</v>
      </c>
      <c r="B19" s="98" t="s">
        <v>195</v>
      </c>
      <c r="C19" s="737">
        <f>人件物件費ﾃﾞｰﾀ!D21</f>
        <v>9309595</v>
      </c>
      <c r="D19" s="737">
        <f>人件物件費ﾃﾞｰﾀ!G21</f>
        <v>9874658</v>
      </c>
      <c r="E19" s="737">
        <f>人件物件費ﾃﾞｰﾀ!J21</f>
        <v>10185243</v>
      </c>
      <c r="F19" s="737">
        <f>人件物件費ﾃﾞｰﾀ!M21</f>
        <v>10770317</v>
      </c>
      <c r="G19" s="737">
        <f>人件物件費ﾃﾞｰﾀ!P21</f>
        <v>10973869</v>
      </c>
      <c r="H19" s="737">
        <f>人件物件費ﾃﾞｰﾀ!S21</f>
        <v>11283051</v>
      </c>
      <c r="I19" s="737">
        <f>人件物件費ﾃﾞｰﾀ!V21</f>
        <v>11508126</v>
      </c>
      <c r="J19" s="737">
        <f>人件物件費ﾃﾞｰﾀ!Y21</f>
        <v>11779984</v>
      </c>
      <c r="K19" s="737">
        <f>人件物件費ﾃﾞｰﾀ!AB21</f>
        <v>12155379</v>
      </c>
      <c r="L19" s="737">
        <f>人件物件費ﾃﾞｰﾀ!AG20</f>
        <v>12140589</v>
      </c>
      <c r="M19" s="737">
        <f>人件物件費ﾃﾞｰﾀ!AL21</f>
        <v>12267221</v>
      </c>
      <c r="N19" s="737">
        <f>人件物件費ﾃﾞｰﾀ!AO21</f>
        <v>12451608</v>
      </c>
      <c r="O19" s="737">
        <f>人件物件費ﾃﾞｰﾀ!AT21</f>
        <v>12060426</v>
      </c>
      <c r="P19" s="737">
        <f>人件物件費ﾃﾞｰﾀ!AY21</f>
        <v>11400422</v>
      </c>
      <c r="Q19" s="737">
        <f>人件物件費ﾃﾞｰﾀ2!E21</f>
        <v>11138476</v>
      </c>
      <c r="R19" s="737">
        <f>人件物件費ﾃﾞｰﾀ2!H21</f>
        <v>11119820</v>
      </c>
      <c r="S19" s="737">
        <f>人件物件費ﾃﾞｰﾀ2!K21</f>
        <v>10835007</v>
      </c>
      <c r="T19" s="737">
        <f>人件物件費ﾃﾞｰﾀ2!N21</f>
        <v>10488902</v>
      </c>
      <c r="U19" s="737">
        <f>人件物件費ﾃﾞｰﾀ2!Q21</f>
        <v>10318509</v>
      </c>
      <c r="V19" s="737">
        <f>人件物件費ﾃﾞｰﾀ2!U21</f>
        <v>10119953</v>
      </c>
      <c r="W19" s="737">
        <f>人件物件費ﾃﾞｰﾀ2!Y21</f>
        <v>10098300</v>
      </c>
      <c r="X19" s="740">
        <f>人件物件費ﾃﾞｰﾀ2!AC21</f>
        <v>10593172</v>
      </c>
      <c r="Y19" s="740">
        <f>人件物件費ﾃﾞｰﾀ2!AG21</f>
        <v>10683510</v>
      </c>
      <c r="Z19" s="75">
        <f>人件物件費ﾃﾞｰﾀ2!AK21</f>
        <v>10336827</v>
      </c>
      <c r="AA19" s="75">
        <f>人件物件費ﾃﾞｰﾀ2!AO21</f>
        <v>10783010</v>
      </c>
      <c r="AB19" s="75">
        <f>人件物件費ﾃﾞｰﾀ2!AS21</f>
        <v>10556142</v>
      </c>
      <c r="AC19" s="75">
        <f>人件物件費ﾃﾞｰﾀ2!AW21</f>
        <v>10512848</v>
      </c>
      <c r="AD19" s="75">
        <f>人件物件費ﾃﾞｰﾀ2!BA21</f>
        <v>10046027</v>
      </c>
      <c r="AE19" s="75">
        <f>人件物件費ﾃﾞｰﾀ2!BE21</f>
        <v>9761838</v>
      </c>
      <c r="AF19" s="75">
        <f>人件物件費ﾃﾞｰﾀ2!BI21</f>
        <v>9954971</v>
      </c>
      <c r="AG19" s="75">
        <f>人件物件費ﾃﾞｰﾀ2!BM21</f>
        <v>10594152</v>
      </c>
      <c r="AH19" s="75">
        <f>人件物件費ﾃﾞｰﾀ2!BQ21</f>
        <v>11500821</v>
      </c>
      <c r="AI19" s="75">
        <f>人件物件費ﾃﾞｰﾀ2!BU21</f>
        <v>12090477</v>
      </c>
      <c r="AJ19" s="456">
        <f>人件物件費ﾃﾞｰﾀ2!BY21</f>
        <v>12391720</v>
      </c>
      <c r="AK19" s="456">
        <f>人件物件費ﾃﾞｰﾀ2!CC21</f>
        <v>13347711</v>
      </c>
      <c r="AL19" s="75">
        <f t="shared" si="18"/>
        <v>12609969.333333334</v>
      </c>
      <c r="AM19" s="75">
        <f t="shared" si="18"/>
        <v>12783133.444444446</v>
      </c>
      <c r="AN19" s="75">
        <f t="shared" si="18"/>
        <v>12913604.592592595</v>
      </c>
      <c r="AP19" s="75">
        <f>SUM(Z19:AB19)/3*0.5+AB19*AS19*0.5</f>
        <v>10865123.961147308</v>
      </c>
      <c r="AQ19" s="737">
        <v>32383</v>
      </c>
      <c r="AR19" s="737">
        <v>34271</v>
      </c>
      <c r="AS19" s="893">
        <f t="shared" si="6"/>
        <v>1.0583021955964549</v>
      </c>
    </row>
    <row r="20" spans="1:45">
      <c r="A20" s="89">
        <v>381</v>
      </c>
      <c r="B20" s="98" t="s">
        <v>196</v>
      </c>
      <c r="C20" s="737">
        <f>人件物件費ﾃﾞｰﾀ!D32</f>
        <v>2123252</v>
      </c>
      <c r="D20" s="737">
        <f>人件物件費ﾃﾞｰﾀ!G32</f>
        <v>2303475</v>
      </c>
      <c r="E20" s="737">
        <f>人件物件費ﾃﾞｰﾀ!J32</f>
        <v>2498754</v>
      </c>
      <c r="F20" s="737">
        <f>人件物件費ﾃﾞｰﾀ!M32</f>
        <v>2564062</v>
      </c>
      <c r="G20" s="737">
        <f>人件物件費ﾃﾞｰﾀ!P32</f>
        <v>2678580</v>
      </c>
      <c r="H20" s="737">
        <f>人件物件費ﾃﾞｰﾀ!S32</f>
        <v>2846001</v>
      </c>
      <c r="I20" s="737">
        <f>人件物件費ﾃﾞｰﾀ!V32</f>
        <v>2897175</v>
      </c>
      <c r="J20" s="737">
        <f>人件物件費ﾃﾞｰﾀ!Y32</f>
        <v>3058341</v>
      </c>
      <c r="K20" s="737">
        <f>人件物件費ﾃﾞｰﾀ!AB32</f>
        <v>3289805</v>
      </c>
      <c r="L20" s="737">
        <f>人件物件費ﾃﾞｰﾀ!AG21</f>
        <v>3340872</v>
      </c>
      <c r="M20" s="737">
        <f>人件物件費ﾃﾞｰﾀ!AL22</f>
        <v>3239462</v>
      </c>
      <c r="N20" s="737">
        <f>人件物件費ﾃﾞｰﾀ!AO22</f>
        <v>3309061</v>
      </c>
      <c r="O20" s="737">
        <f>人件物件費ﾃﾞｰﾀ!AT22</f>
        <v>3253611</v>
      </c>
      <c r="P20" s="737">
        <f>人件物件費ﾃﾞｰﾀ!AY22</f>
        <v>3177096</v>
      </c>
      <c r="Q20" s="737">
        <f>人件物件費ﾃﾞｰﾀ2!E22</f>
        <v>3088668</v>
      </c>
      <c r="R20" s="737">
        <f>人件物件費ﾃﾞｰﾀ2!H22</f>
        <v>3093411</v>
      </c>
      <c r="S20" s="737">
        <f>人件物件費ﾃﾞｰﾀ2!K22</f>
        <v>2978314</v>
      </c>
      <c r="T20" s="737">
        <f>人件物件費ﾃﾞｰﾀ2!N22</f>
        <v>2953766</v>
      </c>
      <c r="U20" s="737">
        <f>人件物件費ﾃﾞｰﾀ2!Q22</f>
        <v>2711643</v>
      </c>
      <c r="V20" s="737">
        <f>人件物件費ﾃﾞｰﾀ2!U22</f>
        <v>2754382</v>
      </c>
      <c r="W20" s="737">
        <f>人件物件費ﾃﾞｰﾀ2!Y22</f>
        <v>2713079</v>
      </c>
      <c r="X20" s="740">
        <f>人件物件費ﾃﾞｰﾀ2!AC22</f>
        <v>2814384</v>
      </c>
      <c r="Y20" s="740">
        <f>人件物件費ﾃﾞｰﾀ2!AG22</f>
        <v>2730393</v>
      </c>
      <c r="Z20" s="75">
        <f>人件物件費ﾃﾞｰﾀ2!AK22</f>
        <v>2752255</v>
      </c>
      <c r="AA20" s="75">
        <f>人件物件費ﾃﾞｰﾀ2!AO22</f>
        <v>2814706</v>
      </c>
      <c r="AB20" s="75">
        <f>人件物件費ﾃﾞｰﾀ2!AS22</f>
        <v>2890338</v>
      </c>
      <c r="AC20" s="75">
        <f>人件物件費ﾃﾞｰﾀ2!AW22</f>
        <v>2832774</v>
      </c>
      <c r="AD20" s="75">
        <f>人件物件費ﾃﾞｰﾀ2!BA22</f>
        <v>2885672</v>
      </c>
      <c r="AE20" s="75">
        <f>人件物件費ﾃﾞｰﾀ2!BE22</f>
        <v>2872256</v>
      </c>
      <c r="AF20" s="75">
        <f>人件物件費ﾃﾞｰﾀ2!BI22</f>
        <v>2948844</v>
      </c>
      <c r="AG20" s="75">
        <f>人件物件費ﾃﾞｰﾀ2!BM22</f>
        <v>3085134</v>
      </c>
      <c r="AH20" s="75">
        <f>人件物件費ﾃﾞｰﾀ2!BQ22</f>
        <v>3577995</v>
      </c>
      <c r="AI20" s="75">
        <f>人件物件費ﾃﾞｰﾀ2!BU22</f>
        <v>3588179</v>
      </c>
      <c r="AJ20" s="456">
        <f>人件物件費ﾃﾞｰﾀ2!BY22</f>
        <v>3357270</v>
      </c>
      <c r="AK20" s="456">
        <f>人件物件費ﾃﾞｰﾀ2!CC22</f>
        <v>3710450</v>
      </c>
      <c r="AL20" s="75">
        <f t="shared" si="18"/>
        <v>3551966.3333333335</v>
      </c>
      <c r="AM20" s="75">
        <f t="shared" si="18"/>
        <v>3539895.4444444445</v>
      </c>
      <c r="AN20" s="75">
        <f t="shared" si="18"/>
        <v>3600770.5925925928</v>
      </c>
      <c r="AP20" s="75">
        <f>SUM(Z20:AB20)/3*0.5+AB20*AS20*0.5</f>
        <v>2967217.8904330311</v>
      </c>
      <c r="AQ20" s="737">
        <v>9930</v>
      </c>
      <c r="AR20" s="737">
        <v>10703</v>
      </c>
      <c r="AS20" s="893">
        <f t="shared" si="6"/>
        <v>1.0778449144008055</v>
      </c>
    </row>
    <row r="21" spans="1:45">
      <c r="A21" s="89">
        <v>382</v>
      </c>
      <c r="B21" s="98" t="s">
        <v>197</v>
      </c>
      <c r="C21" s="737">
        <f>人件物件費ﾃﾞｰﾀ!D33</f>
        <v>2054908</v>
      </c>
      <c r="D21" s="737">
        <f>人件物件費ﾃﾞｰﾀ!G33</f>
        <v>2207026</v>
      </c>
      <c r="E21" s="737">
        <f>人件物件費ﾃﾞｰﾀ!J33</f>
        <v>2439274</v>
      </c>
      <c r="F21" s="737">
        <f>人件物件費ﾃﾞｰﾀ!M33</f>
        <v>2523911</v>
      </c>
      <c r="G21" s="737">
        <f>人件物件費ﾃﾞｰﾀ!P33</f>
        <v>2722095</v>
      </c>
      <c r="H21" s="737">
        <f>人件物件費ﾃﾞｰﾀ!S33</f>
        <v>2951555</v>
      </c>
      <c r="I21" s="737">
        <f>人件物件費ﾃﾞｰﾀ!V33</f>
        <v>3018552</v>
      </c>
      <c r="J21" s="737">
        <f>人件物件費ﾃﾞｰﾀ!Y33</f>
        <v>3154606</v>
      </c>
      <c r="K21" s="737">
        <f>人件物件費ﾃﾞｰﾀ!AB33</f>
        <v>3345809</v>
      </c>
      <c r="L21" s="737">
        <f>人件物件費ﾃﾞｰﾀ!AG22</f>
        <v>3395738</v>
      </c>
      <c r="M21" s="737">
        <f>人件物件費ﾃﾞｰﾀ!AL23</f>
        <v>3467412</v>
      </c>
      <c r="N21" s="737">
        <f>人件物件費ﾃﾞｰﾀ!AO23</f>
        <v>3546697</v>
      </c>
      <c r="O21" s="737">
        <f>人件物件費ﾃﾞｰﾀ!AT23</f>
        <v>3441839</v>
      </c>
      <c r="P21" s="737">
        <f>人件物件費ﾃﾞｰﾀ!AY23</f>
        <v>3384917</v>
      </c>
      <c r="Q21" s="737">
        <f>人件物件費ﾃﾞｰﾀ2!E23</f>
        <v>3322025</v>
      </c>
      <c r="R21" s="737">
        <f>人件物件費ﾃﾞｰﾀ2!H23</f>
        <v>3294937</v>
      </c>
      <c r="S21" s="737">
        <f>人件物件費ﾃﾞｰﾀ2!K23</f>
        <v>3155772</v>
      </c>
      <c r="T21" s="737">
        <f>人件物件費ﾃﾞｰﾀ2!N23</f>
        <v>3332346</v>
      </c>
      <c r="U21" s="737">
        <f>人件物件費ﾃﾞｰﾀ2!Q23</f>
        <v>3097359</v>
      </c>
      <c r="V21" s="737">
        <f>人件物件費ﾃﾞｰﾀ2!U23</f>
        <v>3234720</v>
      </c>
      <c r="W21" s="737">
        <f>人件物件費ﾃﾞｰﾀ2!Y23</f>
        <v>3088801</v>
      </c>
      <c r="X21" s="740">
        <f>人件物件費ﾃﾞｰﾀ2!AC23</f>
        <v>3172213</v>
      </c>
      <c r="Y21" s="740">
        <f>人件物件費ﾃﾞｰﾀ2!AG23</f>
        <v>3185382</v>
      </c>
      <c r="Z21" s="75">
        <f>人件物件費ﾃﾞｰﾀ2!AK23</f>
        <v>3122480</v>
      </c>
      <c r="AA21" s="75">
        <f>人件物件費ﾃﾞｰﾀ2!AO23</f>
        <v>3183617</v>
      </c>
      <c r="AB21" s="75">
        <f>人件物件費ﾃﾞｰﾀ2!AS23</f>
        <v>3335413</v>
      </c>
      <c r="AC21" s="75">
        <f>人件物件費ﾃﾞｰﾀ2!AW23</f>
        <v>3356363</v>
      </c>
      <c r="AD21" s="75">
        <f>人件物件費ﾃﾞｰﾀ2!BA23</f>
        <v>3359190</v>
      </c>
      <c r="AE21" s="75">
        <f>人件物件費ﾃﾞｰﾀ2!BE23</f>
        <v>3513705</v>
      </c>
      <c r="AF21" s="75">
        <f>人件物件費ﾃﾞｰﾀ2!BI23</f>
        <v>3756692</v>
      </c>
      <c r="AG21" s="75">
        <f>人件物件費ﾃﾞｰﾀ2!BM23</f>
        <v>3922446</v>
      </c>
      <c r="AH21" s="75">
        <f>人件物件費ﾃﾞｰﾀ2!BQ23</f>
        <v>4475605</v>
      </c>
      <c r="AI21" s="75">
        <f>人件物件費ﾃﾞｰﾀ2!BU23</f>
        <v>4192626</v>
      </c>
      <c r="AJ21" s="456">
        <f>人件物件費ﾃﾞｰﾀ2!BY23</f>
        <v>4394834</v>
      </c>
      <c r="AK21" s="456">
        <f>人件物件費ﾃﾞｰﾀ2!CC23</f>
        <v>4752264</v>
      </c>
      <c r="AL21" s="75">
        <f t="shared" si="18"/>
        <v>4446574.666666667</v>
      </c>
      <c r="AM21" s="75">
        <f t="shared" si="18"/>
        <v>4531224.2222222229</v>
      </c>
      <c r="AN21" s="75">
        <f t="shared" si="18"/>
        <v>4576687.6296296306</v>
      </c>
      <c r="AP21" s="75">
        <f>SUM(Z21:AB21)/3*0.5+AB21*AS21*0.5</f>
        <v>3366069.9864950315</v>
      </c>
      <c r="AQ21" s="737">
        <v>11070</v>
      </c>
      <c r="AR21" s="737">
        <v>11677</v>
      </c>
      <c r="AS21" s="893">
        <f t="shared" si="6"/>
        <v>1.0548328816621499</v>
      </c>
    </row>
    <row r="22" spans="1:45">
      <c r="A22" s="86"/>
      <c r="B22" s="99" t="s">
        <v>198</v>
      </c>
      <c r="C22" s="737">
        <f>SUM(C23:C28)</f>
        <v>26558342</v>
      </c>
      <c r="D22" s="737">
        <f t="shared" ref="D22:K22" si="19">SUM(D23:D28)</f>
        <v>28164683</v>
      </c>
      <c r="E22" s="737">
        <f t="shared" si="19"/>
        <v>30220639</v>
      </c>
      <c r="F22" s="737">
        <f t="shared" si="19"/>
        <v>32626641</v>
      </c>
      <c r="G22" s="737">
        <f t="shared" si="19"/>
        <v>34225102</v>
      </c>
      <c r="H22" s="737">
        <f t="shared" si="19"/>
        <v>35419065</v>
      </c>
      <c r="I22" s="737">
        <f t="shared" si="19"/>
        <v>36817279</v>
      </c>
      <c r="J22" s="737">
        <f t="shared" si="19"/>
        <v>37916977</v>
      </c>
      <c r="K22" s="737">
        <f t="shared" si="19"/>
        <v>39122626</v>
      </c>
      <c r="L22" s="737">
        <f t="shared" ref="L22:T22" si="20">SUM(L23:L28)</f>
        <v>39062242</v>
      </c>
      <c r="M22" s="737">
        <f t="shared" si="20"/>
        <v>37803770</v>
      </c>
      <c r="N22" s="737">
        <f t="shared" si="20"/>
        <v>38451908</v>
      </c>
      <c r="O22" s="737">
        <f t="shared" si="20"/>
        <v>37917001</v>
      </c>
      <c r="P22" s="737">
        <f t="shared" si="20"/>
        <v>37206035</v>
      </c>
      <c r="Q22" s="737">
        <f t="shared" si="20"/>
        <v>38184654</v>
      </c>
      <c r="R22" s="737">
        <f t="shared" si="20"/>
        <v>37932374</v>
      </c>
      <c r="S22" s="737">
        <f t="shared" si="20"/>
        <v>35291708</v>
      </c>
      <c r="T22" s="737">
        <f t="shared" si="20"/>
        <v>35338682</v>
      </c>
      <c r="U22" s="737">
        <f t="shared" ref="U22:AH22" si="21">SUM(U23:U28)</f>
        <v>33770275</v>
      </c>
      <c r="V22" s="737">
        <f t="shared" si="21"/>
        <v>34295073</v>
      </c>
      <c r="W22" s="737">
        <f t="shared" si="21"/>
        <v>34030650</v>
      </c>
      <c r="X22" s="737">
        <f t="shared" si="21"/>
        <v>33536721</v>
      </c>
      <c r="Y22" s="737">
        <f t="shared" si="21"/>
        <v>32455747</v>
      </c>
      <c r="Z22" s="737">
        <f t="shared" si="21"/>
        <v>32356245</v>
      </c>
      <c r="AA22" s="737">
        <f t="shared" si="21"/>
        <v>33572902</v>
      </c>
      <c r="AB22" s="737">
        <f t="shared" si="21"/>
        <v>34129019</v>
      </c>
      <c r="AC22" s="737">
        <f t="shared" si="21"/>
        <v>34277874</v>
      </c>
      <c r="AD22" s="737">
        <f t="shared" si="21"/>
        <v>34457225</v>
      </c>
      <c r="AE22" s="737">
        <f t="shared" si="21"/>
        <v>34476045</v>
      </c>
      <c r="AF22" s="737">
        <f t="shared" si="21"/>
        <v>35324331</v>
      </c>
      <c r="AG22" s="737">
        <f t="shared" si="21"/>
        <v>39963739</v>
      </c>
      <c r="AH22" s="737">
        <f t="shared" si="21"/>
        <v>41915106</v>
      </c>
      <c r="AI22" s="75">
        <f>人件物件費ﾃﾞｰﾀ2!BU24</f>
        <v>42438276</v>
      </c>
      <c r="AJ22" s="456">
        <f>人件物件費ﾃﾞｰﾀ2!BY24</f>
        <v>41504426</v>
      </c>
      <c r="AK22" s="456">
        <f>人件物件費ﾃﾞｰﾀ2!CC24</f>
        <v>44693752</v>
      </c>
      <c r="AL22" s="737">
        <f>SUM(AL23:AL28)</f>
        <v>42878817.999999993</v>
      </c>
      <c r="AM22" s="737">
        <f>SUM(AM23:AM28)</f>
        <v>43025665.333333336</v>
      </c>
      <c r="AN22" s="737">
        <f>SUM(AN23:AN28)</f>
        <v>43532745.111111112</v>
      </c>
      <c r="AP22" s="737">
        <f>SUM(AP23:AP28)</f>
        <v>34436909.815264776</v>
      </c>
      <c r="AQ22" s="737">
        <f>SUM(AQ23:AQ28)</f>
        <v>121020</v>
      </c>
      <c r="AR22" s="737">
        <f>SUM(AR23:AR28)</f>
        <v>126177</v>
      </c>
      <c r="AS22" s="893">
        <f t="shared" si="6"/>
        <v>1.0426127912741696</v>
      </c>
    </row>
    <row r="23" spans="1:45">
      <c r="A23" s="92">
        <v>213</v>
      </c>
      <c r="B23" s="100" t="s">
        <v>231</v>
      </c>
      <c r="C23" s="737">
        <f>人件物件費ﾃﾞｰﾀ!D19+人件物件費ﾃﾞｰﾀ!D31</f>
        <v>4112103</v>
      </c>
      <c r="D23" s="737">
        <f>人件物件費ﾃﾞｰﾀ!G19+人件物件費ﾃﾞｰﾀ!G31</f>
        <v>4445462</v>
      </c>
      <c r="E23" s="737">
        <f>人件物件費ﾃﾞｰﾀ!J19+人件物件費ﾃﾞｰﾀ!J31</f>
        <v>4669006</v>
      </c>
      <c r="F23" s="737">
        <f>人件物件費ﾃﾞｰﾀ!M19+人件物件費ﾃﾞｰﾀ!M31</f>
        <v>4938002</v>
      </c>
      <c r="G23" s="737">
        <f>人件物件費ﾃﾞｰﾀ!P19+人件物件費ﾃﾞｰﾀ!P31</f>
        <v>5107758</v>
      </c>
      <c r="H23" s="737">
        <f>人件物件費ﾃﾞｰﾀ!S19+人件物件費ﾃﾞｰﾀ!S31</f>
        <v>5452415</v>
      </c>
      <c r="I23" s="737">
        <f>人件物件費ﾃﾞｰﾀ!V19+人件物件費ﾃﾞｰﾀ!V31</f>
        <v>5648637</v>
      </c>
      <c r="J23" s="737">
        <f>人件物件費ﾃﾞｰﾀ!Y19+人件物件費ﾃﾞｰﾀ!Y31</f>
        <v>5690527</v>
      </c>
      <c r="K23" s="737">
        <f>人件物件費ﾃﾞｰﾀ!AB19+人件物件費ﾃﾞｰﾀ!AB31</f>
        <v>5914279</v>
      </c>
      <c r="L23" s="737">
        <f>人件物件費ﾃﾞｰﾀ!AG24+人件物件費ﾃﾞｰﾀ!AG35</f>
        <v>5882994</v>
      </c>
      <c r="M23" s="737">
        <f>人件物件費ﾃﾞｰﾀ!AL25+人件物件費ﾃﾞｰﾀ!AL36</f>
        <v>5514215</v>
      </c>
      <c r="N23" s="737">
        <f>人件物件費ﾃﾞｰﾀ!AO25+人件物件費ﾃﾞｰﾀ!AO36</f>
        <v>5505183</v>
      </c>
      <c r="O23" s="737">
        <f>人件物件費ﾃﾞｰﾀ!AT25+人件物件費ﾃﾞｰﾀ!AT36</f>
        <v>5387016</v>
      </c>
      <c r="P23" s="737">
        <f>人件物件費ﾃﾞｰﾀ!AY25+人件物件費ﾃﾞｰﾀ!AY36</f>
        <v>5325449</v>
      </c>
      <c r="Q23" s="737">
        <f>人件物件費ﾃﾞｰﾀ2!E25</f>
        <v>5608253</v>
      </c>
      <c r="R23" s="737">
        <f>人件物件費ﾃﾞｰﾀ2!H25</f>
        <v>5400311</v>
      </c>
      <c r="S23" s="737">
        <f>人件物件費ﾃﾞｰﾀ2!K25</f>
        <v>4773626</v>
      </c>
      <c r="T23" s="737">
        <f>人件物件費ﾃﾞｰﾀ2!N25</f>
        <v>4623014</v>
      </c>
      <c r="U23" s="737">
        <f>人件物件費ﾃﾞｰﾀ2!Q25</f>
        <v>4323757</v>
      </c>
      <c r="V23" s="737">
        <f>人件物件費ﾃﾞｰﾀ2!U25</f>
        <v>4354903</v>
      </c>
      <c r="W23" s="737">
        <f>人件物件費ﾃﾞｰﾀ2!Y25</f>
        <v>4443470</v>
      </c>
      <c r="X23" s="740">
        <f>人件物件費ﾃﾞｰﾀ2!AC25</f>
        <v>4385737</v>
      </c>
      <c r="Y23" s="740">
        <f>人件物件費ﾃﾞｰﾀ2!AG25</f>
        <v>4242016</v>
      </c>
      <c r="Z23" s="75">
        <f>人件物件費ﾃﾞｰﾀ2!AK25</f>
        <v>4108137</v>
      </c>
      <c r="AA23" s="75">
        <f>人件物件費ﾃﾞｰﾀ2!AO25</f>
        <v>4289506</v>
      </c>
      <c r="AB23" s="75">
        <f>人件物件費ﾃﾞｰﾀ2!AS25</f>
        <v>4414644</v>
      </c>
      <c r="AC23" s="75">
        <f>人件物件費ﾃﾞｰﾀ2!AW25</f>
        <v>4414921</v>
      </c>
      <c r="AD23" s="75">
        <f>人件物件費ﾃﾞｰﾀ2!BA25</f>
        <v>4414653</v>
      </c>
      <c r="AE23" s="75">
        <f>人件物件費ﾃﾞｰﾀ2!BE25</f>
        <v>4396511</v>
      </c>
      <c r="AF23" s="75">
        <f>人件物件費ﾃﾞｰﾀ2!BI25</f>
        <v>4472647</v>
      </c>
      <c r="AG23" s="75">
        <f>人件物件費ﾃﾞｰﾀ2!BM25</f>
        <v>4864489</v>
      </c>
      <c r="AH23" s="75">
        <f>人件物件費ﾃﾞｰﾀ2!BQ25</f>
        <v>5413489</v>
      </c>
      <c r="AI23" s="75">
        <f>人件物件費ﾃﾞｰﾀ2!BU25</f>
        <v>5226136</v>
      </c>
      <c r="AJ23" s="456">
        <f>人件物件費ﾃﾞｰﾀ2!BY25</f>
        <v>5231231</v>
      </c>
      <c r="AK23" s="456">
        <f>人件物件費ﾃﾞｰﾀ2!CC25</f>
        <v>5808311</v>
      </c>
      <c r="AL23" s="75">
        <f t="shared" ref="AL23:AN28" si="22">SUM(AI23:AK23)/3</f>
        <v>5421892.666666667</v>
      </c>
      <c r="AM23" s="75">
        <f t="shared" si="22"/>
        <v>5487144.888888889</v>
      </c>
      <c r="AN23" s="75">
        <f t="shared" si="22"/>
        <v>5572449.5185185187</v>
      </c>
      <c r="AP23" s="75">
        <f t="shared" ref="AP23:AP28" si="23">SUM(Z23:AB23)/3*0.5+AB23*AS23*0.5</f>
        <v>4602471.0786960609</v>
      </c>
      <c r="AQ23" s="737">
        <v>18779</v>
      </c>
      <c r="AR23" s="737">
        <v>20989</v>
      </c>
      <c r="AS23" s="893">
        <f t="shared" si="6"/>
        <v>1.1176846477448212</v>
      </c>
    </row>
    <row r="24" spans="1:45">
      <c r="A24" s="92">
        <v>215</v>
      </c>
      <c r="B24" s="100" t="s">
        <v>232</v>
      </c>
      <c r="C24" s="737">
        <f>人件物件費ﾃﾞｰﾀ!D20+人件物件費ﾃﾞｰﾀ!D24</f>
        <v>7061961</v>
      </c>
      <c r="D24" s="737">
        <f>人件物件費ﾃﾞｰﾀ!G20+人件物件費ﾃﾞｰﾀ!G24</f>
        <v>7175490</v>
      </c>
      <c r="E24" s="737">
        <f>人件物件費ﾃﾞｰﾀ!J20+人件物件費ﾃﾞｰﾀ!J24</f>
        <v>7763554</v>
      </c>
      <c r="F24" s="737">
        <f>人件物件費ﾃﾞｰﾀ!M20+人件物件費ﾃﾞｰﾀ!M24</f>
        <v>8407201</v>
      </c>
      <c r="G24" s="737">
        <f>人件物件費ﾃﾞｰﾀ!P20+人件物件費ﾃﾞｰﾀ!P24</f>
        <v>8915506</v>
      </c>
      <c r="H24" s="737">
        <f>人件物件費ﾃﾞｰﾀ!S20+人件物件費ﾃﾞｰﾀ!S24</f>
        <v>9287992</v>
      </c>
      <c r="I24" s="737">
        <f>人件物件費ﾃﾞｰﾀ!V20+人件物件費ﾃﾞｰﾀ!V24</f>
        <v>9829833</v>
      </c>
      <c r="J24" s="737">
        <f>人件物件費ﾃﾞｰﾀ!Y20+人件物件費ﾃﾞｰﾀ!Y24</f>
        <v>10201100</v>
      </c>
      <c r="K24" s="737">
        <f>人件物件費ﾃﾞｰﾀ!AB20+人件物件費ﾃﾞｰﾀ!AB24</f>
        <v>11052401</v>
      </c>
      <c r="L24" s="737">
        <f>人件物件費ﾃﾞｰﾀ!AG25+人件物件費ﾃﾞｰﾀ!AG28</f>
        <v>11128801</v>
      </c>
      <c r="M24" s="737">
        <f>人件物件費ﾃﾞｰﾀ!AL26+人件物件費ﾃﾞｰﾀ!AL29</f>
        <v>10800372</v>
      </c>
      <c r="N24" s="737">
        <f>人件物件費ﾃﾞｰﾀ!AO26+人件物件費ﾃﾞｰﾀ!AO29</f>
        <v>11067139</v>
      </c>
      <c r="O24" s="737">
        <f>人件物件費ﾃﾞｰﾀ!AT26+人件物件費ﾃﾞｰﾀ!AT29</f>
        <v>10726341</v>
      </c>
      <c r="P24" s="737">
        <f>人件物件費ﾃﾞｰﾀ!AY26+人件物件費ﾃﾞｰﾀ!AY29</f>
        <v>10418106</v>
      </c>
      <c r="Q24" s="737">
        <f>人件物件費ﾃﾞｰﾀ2!E26</f>
        <v>10816242</v>
      </c>
      <c r="R24" s="737">
        <f>人件物件費ﾃﾞｰﾀ2!H26</f>
        <v>10679712</v>
      </c>
      <c r="S24" s="737">
        <f>人件物件費ﾃﾞｰﾀ2!K26</f>
        <v>9995888</v>
      </c>
      <c r="T24" s="737">
        <f>人件物件費ﾃﾞｰﾀ2!N26</f>
        <v>9984562</v>
      </c>
      <c r="U24" s="737">
        <f>人件物件費ﾃﾞｰﾀ2!Q26</f>
        <v>9690286</v>
      </c>
      <c r="V24" s="737">
        <f>人件物件費ﾃﾞｰﾀ2!U26</f>
        <v>9547604</v>
      </c>
      <c r="W24" s="737">
        <f>人件物件費ﾃﾞｰﾀ2!Y26</f>
        <v>9496551</v>
      </c>
      <c r="X24" s="740">
        <f>人件物件費ﾃﾞｰﾀ2!AC26</f>
        <v>9676414</v>
      </c>
      <c r="Y24" s="740">
        <f>人件物件費ﾃﾞｰﾀ2!AG26</f>
        <v>9288480</v>
      </c>
      <c r="Z24" s="75">
        <f>人件物件費ﾃﾞｰﾀ2!AK26</f>
        <v>9184611</v>
      </c>
      <c r="AA24" s="75">
        <f>人件物件費ﾃﾞｰﾀ2!AO26</f>
        <v>9490068</v>
      </c>
      <c r="AB24" s="75">
        <f>人件物件費ﾃﾞｰﾀ2!AS26</f>
        <v>9571320</v>
      </c>
      <c r="AC24" s="75">
        <f>人件物件費ﾃﾞｰﾀ2!AW26</f>
        <v>9875083</v>
      </c>
      <c r="AD24" s="75">
        <f>人件物件費ﾃﾞｰﾀ2!BA26</f>
        <v>9961529</v>
      </c>
      <c r="AE24" s="75">
        <f>人件物件費ﾃﾞｰﾀ2!BE26</f>
        <v>10059226</v>
      </c>
      <c r="AF24" s="75">
        <f>人件物件費ﾃﾞｰﾀ2!BI26</f>
        <v>10535935</v>
      </c>
      <c r="AG24" s="75">
        <f>人件物件費ﾃﾞｰﾀ2!BM26</f>
        <v>11462220</v>
      </c>
      <c r="AH24" s="75">
        <f>人件物件費ﾃﾞｰﾀ2!BQ26</f>
        <v>11668711</v>
      </c>
      <c r="AI24" s="75">
        <f>人件物件費ﾃﾞｰﾀ2!BU26</f>
        <v>11901873</v>
      </c>
      <c r="AJ24" s="456">
        <f>人件物件費ﾃﾞｰﾀ2!BY26</f>
        <v>11448015</v>
      </c>
      <c r="AK24" s="456">
        <f>人件物件費ﾃﾞｰﾀ2!CC26</f>
        <v>12422299</v>
      </c>
      <c r="AL24" s="75">
        <f t="shared" si="22"/>
        <v>11924062.333333334</v>
      </c>
      <c r="AM24" s="75">
        <f t="shared" si="22"/>
        <v>11931458.777777778</v>
      </c>
      <c r="AN24" s="75">
        <f t="shared" si="22"/>
        <v>12092606.703703703</v>
      </c>
      <c r="AP24" s="75">
        <f t="shared" si="23"/>
        <v>9581620.5074320361</v>
      </c>
      <c r="AQ24" s="737">
        <v>30678</v>
      </c>
      <c r="AR24" s="737">
        <v>31244</v>
      </c>
      <c r="AS24" s="893">
        <f t="shared" si="6"/>
        <v>1.0184497033704936</v>
      </c>
    </row>
    <row r="25" spans="1:45">
      <c r="A25" s="89">
        <v>218</v>
      </c>
      <c r="B25" s="98" t="s">
        <v>200</v>
      </c>
      <c r="C25" s="737">
        <f>人件物件費ﾃﾞｰﾀ!D22</f>
        <v>3715102</v>
      </c>
      <c r="D25" s="737">
        <f>人件物件費ﾃﾞｰﾀ!G22</f>
        <v>3874486</v>
      </c>
      <c r="E25" s="737">
        <f>人件物件費ﾃﾞｰﾀ!J22</f>
        <v>4373925</v>
      </c>
      <c r="F25" s="737">
        <f>人件物件費ﾃﾞｰﾀ!M22</f>
        <v>4716994</v>
      </c>
      <c r="G25" s="737">
        <f>人件物件費ﾃﾞｰﾀ!P22</f>
        <v>4840551</v>
      </c>
      <c r="H25" s="737">
        <f>人件物件費ﾃﾞｰﾀ!S22</f>
        <v>4864690</v>
      </c>
      <c r="I25" s="737">
        <f>人件物件費ﾃﾞｰﾀ!V22</f>
        <v>5115731</v>
      </c>
      <c r="J25" s="737">
        <f>人件物件費ﾃﾞｰﾀ!Y22</f>
        <v>5239823</v>
      </c>
      <c r="K25" s="737">
        <f>人件物件費ﾃﾞｰﾀ!AB22</f>
        <v>5501460</v>
      </c>
      <c r="L25" s="737">
        <f>人件物件費ﾃﾞｰﾀ!AG26</f>
        <v>5522771</v>
      </c>
      <c r="M25" s="737">
        <f>人件物件費ﾃﾞｰﾀ!AL27</f>
        <v>5478054</v>
      </c>
      <c r="N25" s="737">
        <f>人件物件費ﾃﾞｰﾀ!AO27</f>
        <v>5473441</v>
      </c>
      <c r="O25" s="737">
        <f>人件物件費ﾃﾞｰﾀ!AT27</f>
        <v>5371673</v>
      </c>
      <c r="P25" s="737">
        <f>人件物件費ﾃﾞｰﾀ!AY27</f>
        <v>5284048</v>
      </c>
      <c r="Q25" s="737">
        <f>人件物件費ﾃﾞｰﾀ2!E27</f>
        <v>5497724</v>
      </c>
      <c r="R25" s="737">
        <f>人件物件費ﾃﾞｰﾀ2!H27</f>
        <v>5474090</v>
      </c>
      <c r="S25" s="737">
        <f>人件物件費ﾃﾞｰﾀ2!K27</f>
        <v>5334026</v>
      </c>
      <c r="T25" s="737">
        <f>人件物件費ﾃﾞｰﾀ2!N27</f>
        <v>5445424</v>
      </c>
      <c r="U25" s="737">
        <f>人件物件費ﾃﾞｰﾀ2!Q27</f>
        <v>5252927</v>
      </c>
      <c r="V25" s="737">
        <f>人件物件費ﾃﾞｰﾀ2!U27</f>
        <v>5358265</v>
      </c>
      <c r="W25" s="737">
        <f>人件物件費ﾃﾞｰﾀ2!Y27</f>
        <v>5325027</v>
      </c>
      <c r="X25" s="740">
        <f>人件物件費ﾃﾞｰﾀ2!AC27</f>
        <v>5357446</v>
      </c>
      <c r="Y25" s="740">
        <f>人件物件費ﾃﾞｰﾀ2!AG27</f>
        <v>5163011</v>
      </c>
      <c r="Z25" s="75">
        <f>人件物件費ﾃﾞｰﾀ2!AK27</f>
        <v>5178094</v>
      </c>
      <c r="AA25" s="75">
        <f>人件物件費ﾃﾞｰﾀ2!AO27</f>
        <v>5518357</v>
      </c>
      <c r="AB25" s="75">
        <f>人件物件費ﾃﾞｰﾀ2!AS27</f>
        <v>5620580</v>
      </c>
      <c r="AC25" s="75">
        <f>人件物件費ﾃﾞｰﾀ2!AW27</f>
        <v>5604303</v>
      </c>
      <c r="AD25" s="75">
        <f>人件物件費ﾃﾞｰﾀ2!BA27</f>
        <v>5808306</v>
      </c>
      <c r="AE25" s="75">
        <f>人件物件費ﾃﾞｰﾀ2!BE27</f>
        <v>5685310</v>
      </c>
      <c r="AF25" s="75">
        <f>人件物件費ﾃﾞｰﾀ2!BI27</f>
        <v>5836403</v>
      </c>
      <c r="AG25" s="75">
        <f>人件物件費ﾃﾞｰﾀ2!BM27</f>
        <v>6305047</v>
      </c>
      <c r="AH25" s="75">
        <f>人件物件費ﾃﾞｰﾀ2!BQ27</f>
        <v>6241264</v>
      </c>
      <c r="AI25" s="75">
        <f>人件物件費ﾃﾞｰﾀ2!BU27</f>
        <v>6669465</v>
      </c>
      <c r="AJ25" s="456">
        <f>人件物件費ﾃﾞｰﾀ2!BY27</f>
        <v>6551942</v>
      </c>
      <c r="AK25" s="456">
        <f>人件物件費ﾃﾞｰﾀ2!CC27</f>
        <v>6914468</v>
      </c>
      <c r="AL25" s="75">
        <f t="shared" si="22"/>
        <v>6711958.333333333</v>
      </c>
      <c r="AM25" s="75">
        <f t="shared" si="22"/>
        <v>6726122.7777777771</v>
      </c>
      <c r="AN25" s="75">
        <f t="shared" si="22"/>
        <v>6784183.0370370364</v>
      </c>
      <c r="AP25" s="75">
        <f t="shared" si="23"/>
        <v>5637714.9694689494</v>
      </c>
      <c r="AQ25" s="737">
        <v>19270</v>
      </c>
      <c r="AR25" s="737">
        <v>20010</v>
      </c>
      <c r="AS25" s="893">
        <f t="shared" si="6"/>
        <v>1.0384016606123507</v>
      </c>
    </row>
    <row r="26" spans="1:45">
      <c r="A26" s="89">
        <v>220</v>
      </c>
      <c r="B26" s="98" t="s">
        <v>201</v>
      </c>
      <c r="C26" s="737">
        <f>人件物件費ﾃﾞｰﾀ!D23</f>
        <v>4778844</v>
      </c>
      <c r="D26" s="737">
        <f>人件物件費ﾃﾞｰﾀ!G23</f>
        <v>5238501</v>
      </c>
      <c r="E26" s="737">
        <f>人件物件費ﾃﾞｰﾀ!J23</f>
        <v>5580888</v>
      </c>
      <c r="F26" s="737">
        <f>人件物件費ﾃﾞｰﾀ!M23</f>
        <v>6055821</v>
      </c>
      <c r="G26" s="737">
        <f>人件物件費ﾃﾞｰﾀ!P23</f>
        <v>6231901</v>
      </c>
      <c r="H26" s="737">
        <f>人件物件費ﾃﾞｰﾀ!S23</f>
        <v>6368988</v>
      </c>
      <c r="I26" s="737">
        <f>人件物件費ﾃﾞｰﾀ!V23</f>
        <v>6500696</v>
      </c>
      <c r="J26" s="737">
        <f>人件物件費ﾃﾞｰﾀ!Y23</f>
        <v>6755894</v>
      </c>
      <c r="K26" s="737">
        <f>人件物件費ﾃﾞｰﾀ!AB23</f>
        <v>6377152</v>
      </c>
      <c r="L26" s="737">
        <f>人件物件費ﾃﾞｰﾀ!AG27</f>
        <v>6278026</v>
      </c>
      <c r="M26" s="737">
        <f>人件物件費ﾃﾞｰﾀ!AL28</f>
        <v>6253062</v>
      </c>
      <c r="N26" s="737">
        <f>人件物件費ﾃﾞｰﾀ!AO28</f>
        <v>6533638</v>
      </c>
      <c r="O26" s="737">
        <f>人件物件費ﾃﾞｰﾀ!AT28</f>
        <v>6551594</v>
      </c>
      <c r="P26" s="737">
        <f>人件物件費ﾃﾞｰﾀ!AY28</f>
        <v>6276906</v>
      </c>
      <c r="Q26" s="737">
        <f>人件物件費ﾃﾞｰﾀ2!E28</f>
        <v>6259291</v>
      </c>
      <c r="R26" s="737">
        <f>人件物件費ﾃﾞｰﾀ2!H28</f>
        <v>5977565</v>
      </c>
      <c r="S26" s="737">
        <f>人件物件費ﾃﾞｰﾀ2!K28</f>
        <v>5511585</v>
      </c>
      <c r="T26" s="737">
        <f>人件物件費ﾃﾞｰﾀ2!N28</f>
        <v>5613222</v>
      </c>
      <c r="U26" s="737">
        <f>人件物件費ﾃﾞｰﾀ2!Q28</f>
        <v>5373107</v>
      </c>
      <c r="V26" s="737">
        <f>人件物件費ﾃﾞｰﾀ2!U28</f>
        <v>5488393</v>
      </c>
      <c r="W26" s="737">
        <f>人件物件費ﾃﾞｰﾀ2!Y28</f>
        <v>5501580</v>
      </c>
      <c r="X26" s="740">
        <f>人件物件費ﾃﾞｰﾀ2!AC28</f>
        <v>5143612</v>
      </c>
      <c r="Y26" s="740">
        <f>人件物件費ﾃﾞｰﾀ2!AG28</f>
        <v>4986708</v>
      </c>
      <c r="Z26" s="75">
        <f>人件物件費ﾃﾞｰﾀ2!AK28</f>
        <v>4966661</v>
      </c>
      <c r="AA26" s="75">
        <f>人件物件費ﾃﾞｰﾀ2!AO28</f>
        <v>5159908</v>
      </c>
      <c r="AB26" s="75">
        <f>人件物件費ﾃﾞｰﾀ2!AS28</f>
        <v>5235609</v>
      </c>
      <c r="AC26" s="75">
        <f>人件物件費ﾃﾞｰﾀ2!AW28</f>
        <v>5327212</v>
      </c>
      <c r="AD26" s="75">
        <f>人件物件費ﾃﾞｰﾀ2!BA28</f>
        <v>5363941</v>
      </c>
      <c r="AE26" s="75">
        <f>人件物件費ﾃﾞｰﾀ2!BE28</f>
        <v>5318427</v>
      </c>
      <c r="AF26" s="75">
        <f>人件物件費ﾃﾞｰﾀ2!BI28</f>
        <v>5684672</v>
      </c>
      <c r="AG26" s="75">
        <f>人件物件費ﾃﾞｰﾀ2!BM28</f>
        <v>7073610</v>
      </c>
      <c r="AH26" s="75">
        <f>人件物件費ﾃﾞｰﾀ2!BQ28</f>
        <v>7691312</v>
      </c>
      <c r="AI26" s="75">
        <f>人件物件費ﾃﾞｰﾀ2!BU28</f>
        <v>8255315</v>
      </c>
      <c r="AJ26" s="456">
        <f>人件物件費ﾃﾞｰﾀ2!BY28</f>
        <v>8280653</v>
      </c>
      <c r="AK26" s="456">
        <f>人件物件費ﾃﾞｰﾀ2!CC28</f>
        <v>8433729</v>
      </c>
      <c r="AL26" s="75">
        <f t="shared" si="22"/>
        <v>8323232.333333333</v>
      </c>
      <c r="AM26" s="75">
        <f t="shared" si="22"/>
        <v>8345871.444444444</v>
      </c>
      <c r="AN26" s="75">
        <f t="shared" si="22"/>
        <v>8367610.9259259254</v>
      </c>
      <c r="AP26" s="75">
        <f t="shared" si="23"/>
        <v>5117502.1764160609</v>
      </c>
      <c r="AQ26" s="737">
        <v>20497</v>
      </c>
      <c r="AR26" s="737">
        <v>20022</v>
      </c>
      <c r="AS26" s="893">
        <f t="shared" si="6"/>
        <v>0.97682587695760359</v>
      </c>
    </row>
    <row r="27" spans="1:45">
      <c r="A27" s="89">
        <v>228</v>
      </c>
      <c r="B27" s="98" t="s">
        <v>239</v>
      </c>
      <c r="C27" s="737">
        <f>人件物件費ﾃﾞｰﾀ!D25+人件物件費ﾃﾞｰﾀ!D26+人件物件費ﾃﾞｰﾀ!D27</f>
        <v>3758407</v>
      </c>
      <c r="D27" s="737">
        <f>人件物件費ﾃﾞｰﾀ!G25+人件物件費ﾃﾞｰﾀ!G26+人件物件費ﾃﾞｰﾀ!G27</f>
        <v>4067520</v>
      </c>
      <c r="E27" s="737">
        <f>人件物件費ﾃﾞｰﾀ!J25+人件物件費ﾃﾞｰﾀ!J26+人件物件費ﾃﾞｰﾀ!J27</f>
        <v>4286265</v>
      </c>
      <c r="F27" s="737">
        <f>人件物件費ﾃﾞｰﾀ!M25+人件物件費ﾃﾞｰﾀ!M26+人件物件費ﾃﾞｰﾀ!M27</f>
        <v>4729764</v>
      </c>
      <c r="G27" s="737">
        <f>人件物件費ﾃﾞｰﾀ!P25+人件物件費ﾃﾞｰﾀ!P26+人件物件費ﾃﾞｰﾀ!P27</f>
        <v>5155430</v>
      </c>
      <c r="H27" s="737">
        <f>人件物件費ﾃﾞｰﾀ!S25+人件物件費ﾃﾞｰﾀ!S26+人件物件費ﾃﾞｰﾀ!S27</f>
        <v>5287168</v>
      </c>
      <c r="I27" s="737">
        <f>人件物件費ﾃﾞｰﾀ!V25+人件物件費ﾃﾞｰﾀ!V26+人件物件費ﾃﾞｰﾀ!V27</f>
        <v>5495978</v>
      </c>
      <c r="J27" s="737">
        <f>人件物件費ﾃﾞｰﾀ!Y25+人件物件費ﾃﾞｰﾀ!Y26+人件物件費ﾃﾞｰﾀ!Y27</f>
        <v>5634038</v>
      </c>
      <c r="K27" s="737">
        <f>人件物件費ﾃﾞｰﾀ!AB25+人件物件費ﾃﾞｰﾀ!AB26+人件物件費ﾃﾞｰﾀ!AB27</f>
        <v>5753607</v>
      </c>
      <c r="L27" s="737">
        <f>人件物件費ﾃﾞｰﾀ!AG29+人件物件費ﾃﾞｰﾀ!AG30+人件物件費ﾃﾞｰﾀ!AG31</f>
        <v>5682623</v>
      </c>
      <c r="M27" s="737">
        <f>人件物件費ﾃﾞｰﾀ!AL30+人件物件費ﾃﾞｰﾀ!AL31+人件物件費ﾃﾞｰﾀ!AL32</f>
        <v>5329270</v>
      </c>
      <c r="N27" s="737">
        <f>人件物件費ﾃﾞｰﾀ!AO30+人件物件費ﾃﾞｰﾀ!AO31+人件物件費ﾃﾞｰﾀ!AO32</f>
        <v>5345361</v>
      </c>
      <c r="O27" s="737">
        <f>人件物件費ﾃﾞｰﾀ!AT30+人件物件費ﾃﾞｰﾀ!AT31+人件物件費ﾃﾞｰﾀ!AT32</f>
        <v>5373646</v>
      </c>
      <c r="P27" s="737">
        <f>人件物件費ﾃﾞｰﾀ!AY30+人件物件費ﾃﾞｰﾀ!AY31+人件物件費ﾃﾞｰﾀ!AY32</f>
        <v>5325687</v>
      </c>
      <c r="Q27" s="737">
        <f>人件物件費ﾃﾞｰﾀ2!E29</f>
        <v>5426697</v>
      </c>
      <c r="R27" s="737">
        <f>人件物件費ﾃﾞｰﾀ2!H29</f>
        <v>6124634</v>
      </c>
      <c r="S27" s="737">
        <f>人件物件費ﾃﾞｰﾀ2!K29</f>
        <v>5796523</v>
      </c>
      <c r="T27" s="737">
        <f>人件物件費ﾃﾞｰﾀ2!N29</f>
        <v>5674017</v>
      </c>
      <c r="U27" s="737">
        <f>人件物件費ﾃﾞｰﾀ2!Q29</f>
        <v>5363128</v>
      </c>
      <c r="V27" s="737">
        <f>人件物件費ﾃﾞｰﾀ2!U29</f>
        <v>5696337</v>
      </c>
      <c r="W27" s="737">
        <f>人件物件費ﾃﾞｰﾀ2!Y29</f>
        <v>5464695</v>
      </c>
      <c r="X27" s="740">
        <f>人件物件費ﾃﾞｰﾀ2!AC29</f>
        <v>4994819</v>
      </c>
      <c r="Y27" s="740">
        <f>人件物件費ﾃﾞｰﾀ2!AG29</f>
        <v>4966054</v>
      </c>
      <c r="Z27" s="75">
        <f>人件物件費ﾃﾞｰﾀ2!AK29</f>
        <v>5017151</v>
      </c>
      <c r="AA27" s="75">
        <f>人件物件費ﾃﾞｰﾀ2!AO29</f>
        <v>5254250</v>
      </c>
      <c r="AB27" s="75">
        <f>人件物件費ﾃﾞｰﾀ2!AS29</f>
        <v>5425461</v>
      </c>
      <c r="AC27" s="75">
        <f>人件物件費ﾃﾞｰﾀ2!AW29</f>
        <v>5281687</v>
      </c>
      <c r="AD27" s="75">
        <f>人件物件費ﾃﾞｰﾀ2!BA29</f>
        <v>5182179</v>
      </c>
      <c r="AE27" s="75">
        <f>人件物件費ﾃﾞｰﾀ2!BE29</f>
        <v>5325210</v>
      </c>
      <c r="AF27" s="75">
        <f>人件物件費ﾃﾞｰﾀ2!BI29</f>
        <v>5400625</v>
      </c>
      <c r="AG27" s="75">
        <f>人件物件費ﾃﾞｰﾀ2!BM29</f>
        <v>6536348</v>
      </c>
      <c r="AH27" s="75">
        <f>人件物件費ﾃﾞｰﾀ2!BQ29</f>
        <v>6901010</v>
      </c>
      <c r="AI27" s="75">
        <f>人件物件費ﾃﾞｰﾀ2!BU29</f>
        <v>6738551</v>
      </c>
      <c r="AJ27" s="456">
        <f>人件物件費ﾃﾞｰﾀ2!BY29</f>
        <v>6539219</v>
      </c>
      <c r="AK27" s="456">
        <f>人件物件費ﾃﾞｰﾀ2!CC29</f>
        <v>7465462</v>
      </c>
      <c r="AL27" s="75">
        <f t="shared" si="22"/>
        <v>6914410.666666667</v>
      </c>
      <c r="AM27" s="75">
        <f t="shared" si="22"/>
        <v>6973030.555555556</v>
      </c>
      <c r="AN27" s="75">
        <f t="shared" si="22"/>
        <v>7117634.4074074076</v>
      </c>
      <c r="AP27" s="75">
        <f t="shared" si="23"/>
        <v>5654047.8184768111</v>
      </c>
      <c r="AQ27" s="737">
        <v>19004</v>
      </c>
      <c r="AR27" s="737">
        <v>21282</v>
      </c>
      <c r="AS27" s="893">
        <f t="shared" si="6"/>
        <v>1.1198695011576509</v>
      </c>
    </row>
    <row r="28" spans="1:45">
      <c r="A28" s="89">
        <v>365</v>
      </c>
      <c r="B28" s="98" t="s">
        <v>233</v>
      </c>
      <c r="C28" s="737">
        <f>人件物件費ﾃﾞｰﾀ!D28+人件物件費ﾃﾞｰﾀ!D29+人件物件費ﾃﾞｰﾀ!D30</f>
        <v>3131925</v>
      </c>
      <c r="D28" s="737">
        <f>人件物件費ﾃﾞｰﾀ!G28+人件物件費ﾃﾞｰﾀ!G29+人件物件費ﾃﾞｰﾀ!G30</f>
        <v>3363224</v>
      </c>
      <c r="E28" s="737">
        <f>人件物件費ﾃﾞｰﾀ!J28+人件物件費ﾃﾞｰﾀ!J29+人件物件費ﾃﾞｰﾀ!J30</f>
        <v>3547001</v>
      </c>
      <c r="F28" s="737">
        <f>人件物件費ﾃﾞｰﾀ!M28+人件物件費ﾃﾞｰﾀ!M29+人件物件費ﾃﾞｰﾀ!M30</f>
        <v>3778859</v>
      </c>
      <c r="G28" s="737">
        <f>人件物件費ﾃﾞｰﾀ!P28+人件物件費ﾃﾞｰﾀ!P29+人件物件費ﾃﾞｰﾀ!P30</f>
        <v>3973956</v>
      </c>
      <c r="H28" s="737">
        <f>人件物件費ﾃﾞｰﾀ!S28+人件物件費ﾃﾞｰﾀ!S29+人件物件費ﾃﾞｰﾀ!S30</f>
        <v>4157812</v>
      </c>
      <c r="I28" s="737">
        <f>人件物件費ﾃﾞｰﾀ!V28+人件物件費ﾃﾞｰﾀ!V29+人件物件費ﾃﾞｰﾀ!V30</f>
        <v>4226404</v>
      </c>
      <c r="J28" s="737">
        <f>人件物件費ﾃﾞｰﾀ!Y28+人件物件費ﾃﾞｰﾀ!Y29+人件物件費ﾃﾞｰﾀ!Y30</f>
        <v>4395595</v>
      </c>
      <c r="K28" s="737">
        <f>人件物件費ﾃﾞｰﾀ!AB28+人件物件費ﾃﾞｰﾀ!AB29+人件物件費ﾃﾞｰﾀ!AB30</f>
        <v>4523727</v>
      </c>
      <c r="L28" s="737">
        <f>人件物件費ﾃﾞｰﾀ!AG32+人件物件費ﾃﾞｰﾀ!AG33+人件物件費ﾃﾞｰﾀ!AG34</f>
        <v>4567027</v>
      </c>
      <c r="M28" s="737">
        <f>人件物件費ﾃﾞｰﾀ!AL33+人件物件費ﾃﾞｰﾀ!AL34+人件物件費ﾃﾞｰﾀ!AL35</f>
        <v>4428797</v>
      </c>
      <c r="N28" s="737">
        <f>人件物件費ﾃﾞｰﾀ!AO33+人件物件費ﾃﾞｰﾀ!AO34+人件物件費ﾃﾞｰﾀ!AO35</f>
        <v>4527146</v>
      </c>
      <c r="O28" s="737">
        <f>人件物件費ﾃﾞｰﾀ!AT33+人件物件費ﾃﾞｰﾀ!AT34+人件物件費ﾃﾞｰﾀ!AT35</f>
        <v>4506731</v>
      </c>
      <c r="P28" s="737">
        <f>人件物件費ﾃﾞｰﾀ!AY33+人件物件費ﾃﾞｰﾀ!AY34+人件物件費ﾃﾞｰﾀ!AY35</f>
        <v>4575839</v>
      </c>
      <c r="Q28" s="737">
        <f>人件物件費ﾃﾞｰﾀ2!E30</f>
        <v>4576447</v>
      </c>
      <c r="R28" s="737">
        <f>人件物件費ﾃﾞｰﾀ2!H30</f>
        <v>4276062</v>
      </c>
      <c r="S28" s="737">
        <f>人件物件費ﾃﾞｰﾀ2!K30</f>
        <v>3880060</v>
      </c>
      <c r="T28" s="737">
        <f>人件物件費ﾃﾞｰﾀ2!N30</f>
        <v>3998443</v>
      </c>
      <c r="U28" s="737">
        <f>人件物件費ﾃﾞｰﾀ2!Q30</f>
        <v>3767070</v>
      </c>
      <c r="V28" s="737">
        <f>人件物件費ﾃﾞｰﾀ2!U30</f>
        <v>3849571</v>
      </c>
      <c r="W28" s="737">
        <f>人件物件費ﾃﾞｰﾀ2!Y30</f>
        <v>3799327</v>
      </c>
      <c r="X28" s="740">
        <f>人件物件費ﾃﾞｰﾀ2!AC30</f>
        <v>3978693</v>
      </c>
      <c r="Y28" s="740">
        <f>人件物件費ﾃﾞｰﾀ2!AG30</f>
        <v>3809478</v>
      </c>
      <c r="Z28" s="75">
        <f>人件物件費ﾃﾞｰﾀ2!AK30</f>
        <v>3901591</v>
      </c>
      <c r="AA28" s="75">
        <f>人件物件費ﾃﾞｰﾀ2!AO30</f>
        <v>3860813</v>
      </c>
      <c r="AB28" s="75">
        <f>人件物件費ﾃﾞｰﾀ2!AS30</f>
        <v>3861405</v>
      </c>
      <c r="AC28" s="75">
        <f>人件物件費ﾃﾞｰﾀ2!AW30</f>
        <v>3774668</v>
      </c>
      <c r="AD28" s="75">
        <f>人件物件費ﾃﾞｰﾀ2!BA30</f>
        <v>3726617</v>
      </c>
      <c r="AE28" s="75">
        <f>人件物件費ﾃﾞｰﾀ2!BE30</f>
        <v>3691361</v>
      </c>
      <c r="AF28" s="75">
        <f>人件物件費ﾃﾞｰﾀ2!BI30</f>
        <v>3394049</v>
      </c>
      <c r="AG28" s="75">
        <f>人件物件費ﾃﾞｰﾀ2!BM30</f>
        <v>3722025</v>
      </c>
      <c r="AH28" s="75">
        <f>人件物件費ﾃﾞｰﾀ2!BQ30</f>
        <v>3999320</v>
      </c>
      <c r="AI28" s="75">
        <f>人件物件費ﾃﾞｰﾀ2!BU30</f>
        <v>3646936</v>
      </c>
      <c r="AJ28" s="456">
        <f>人件物件費ﾃﾞｰﾀ2!BY30</f>
        <v>3453366</v>
      </c>
      <c r="AK28" s="456">
        <f>人件物件費ﾃﾞｰﾀ2!CC30</f>
        <v>3649483</v>
      </c>
      <c r="AL28" s="75">
        <f t="shared" si="22"/>
        <v>3583261.6666666665</v>
      </c>
      <c r="AM28" s="75">
        <f t="shared" si="22"/>
        <v>3562036.8888888885</v>
      </c>
      <c r="AN28" s="75">
        <f t="shared" si="22"/>
        <v>3598260.5185185182</v>
      </c>
      <c r="AP28" s="75">
        <f t="shared" si="23"/>
        <v>3843553.2647748594</v>
      </c>
      <c r="AQ28" s="737">
        <v>12792</v>
      </c>
      <c r="AR28" s="737">
        <v>12630</v>
      </c>
      <c r="AS28" s="893">
        <f t="shared" si="6"/>
        <v>0.98733583489681054</v>
      </c>
    </row>
    <row r="29" spans="1:45">
      <c r="A29" s="86"/>
      <c r="B29" s="99" t="s">
        <v>202</v>
      </c>
      <c r="C29" s="737">
        <f>SUM(C30:C33)</f>
        <v>49453651</v>
      </c>
      <c r="D29" s="737">
        <f t="shared" ref="D29:K29" si="24">SUM(D30:D33)</f>
        <v>52355352</v>
      </c>
      <c r="E29" s="737">
        <f t="shared" si="24"/>
        <v>55530472</v>
      </c>
      <c r="F29" s="737">
        <f t="shared" si="24"/>
        <v>57649301</v>
      </c>
      <c r="G29" s="737">
        <f t="shared" si="24"/>
        <v>59668109</v>
      </c>
      <c r="H29" s="737">
        <f t="shared" si="24"/>
        <v>61237171</v>
      </c>
      <c r="I29" s="737">
        <f t="shared" si="24"/>
        <v>62561649</v>
      </c>
      <c r="J29" s="737">
        <f t="shared" si="24"/>
        <v>64974220</v>
      </c>
      <c r="K29" s="737">
        <f t="shared" si="24"/>
        <v>66595760</v>
      </c>
      <c r="L29" s="737">
        <f t="shared" ref="L29:T29" si="25">SUM(L30:L33)</f>
        <v>67108791</v>
      </c>
      <c r="M29" s="737">
        <f t="shared" si="25"/>
        <v>66368712</v>
      </c>
      <c r="N29" s="737">
        <f t="shared" si="25"/>
        <v>65823566</v>
      </c>
      <c r="O29" s="737">
        <f t="shared" si="25"/>
        <v>64507897</v>
      </c>
      <c r="P29" s="737">
        <f t="shared" si="25"/>
        <v>63667457</v>
      </c>
      <c r="Q29" s="737">
        <f t="shared" si="25"/>
        <v>63325704</v>
      </c>
      <c r="R29" s="737">
        <f t="shared" si="25"/>
        <v>63883838</v>
      </c>
      <c r="S29" s="737">
        <f t="shared" si="25"/>
        <v>61301020</v>
      </c>
      <c r="T29" s="737">
        <f t="shared" si="25"/>
        <v>62369881</v>
      </c>
      <c r="U29" s="737">
        <f t="shared" ref="U29:AH29" si="26">SUM(U30:U33)</f>
        <v>60629976</v>
      </c>
      <c r="V29" s="737">
        <f t="shared" si="26"/>
        <v>61813236</v>
      </c>
      <c r="W29" s="737">
        <f t="shared" si="26"/>
        <v>62157339</v>
      </c>
      <c r="X29" s="737">
        <f t="shared" si="26"/>
        <v>62894456</v>
      </c>
      <c r="Y29" s="737">
        <f t="shared" si="26"/>
        <v>61022992</v>
      </c>
      <c r="Z29" s="737">
        <f t="shared" si="26"/>
        <v>59841412</v>
      </c>
      <c r="AA29" s="737">
        <f t="shared" si="26"/>
        <v>63655823</v>
      </c>
      <c r="AB29" s="737">
        <f t="shared" si="26"/>
        <v>66376389</v>
      </c>
      <c r="AC29" s="737">
        <f t="shared" si="26"/>
        <v>66410381</v>
      </c>
      <c r="AD29" s="737">
        <f t="shared" si="26"/>
        <v>67725412</v>
      </c>
      <c r="AE29" s="737">
        <f t="shared" si="26"/>
        <v>67593039</v>
      </c>
      <c r="AF29" s="737">
        <f t="shared" si="26"/>
        <v>69003899</v>
      </c>
      <c r="AG29" s="737">
        <f t="shared" si="26"/>
        <v>69850703</v>
      </c>
      <c r="AH29" s="737">
        <f t="shared" si="26"/>
        <v>76046154</v>
      </c>
      <c r="AI29" s="75">
        <f>人件物件費ﾃﾞｰﾀ2!BU31</f>
        <v>80036927</v>
      </c>
      <c r="AJ29" s="456">
        <f>人件物件費ﾃﾞｰﾀ2!BY31</f>
        <v>77097207</v>
      </c>
      <c r="AK29" s="456">
        <f>人件物件費ﾃﾞｰﾀ2!CC31</f>
        <v>82435388</v>
      </c>
      <c r="AL29" s="737">
        <f>SUM(AL30:AL33)</f>
        <v>79856507.333333328</v>
      </c>
      <c r="AM29" s="737">
        <f>SUM(AM30:AM33)</f>
        <v>79796367.444444433</v>
      </c>
      <c r="AN29" s="737">
        <f>SUM(AN30:AN33)</f>
        <v>80696087.592592597</v>
      </c>
      <c r="AP29" s="737">
        <f>SUM(AP30:AP33)</f>
        <v>64901758.312997818</v>
      </c>
      <c r="AQ29" s="737">
        <f>SUM(AQ30:AQ33)</f>
        <v>241195</v>
      </c>
      <c r="AR29" s="737">
        <f>SUM(AR30:AR33)</f>
        <v>241615</v>
      </c>
      <c r="AS29" s="893">
        <f t="shared" si="6"/>
        <v>1.0017413296295528</v>
      </c>
    </row>
    <row r="30" spans="1:45">
      <c r="A30" s="92">
        <v>201</v>
      </c>
      <c r="B30" s="100" t="s">
        <v>240</v>
      </c>
      <c r="C30" s="737">
        <f>人件物件費ﾃﾞｰﾀ!D35+人件物件費ﾃﾞｰﾀ!D39+人件物件費ﾃﾞｰﾀ!D40+人件物件費ﾃﾞｰﾀ!D44+人件物件費ﾃﾞｰﾀ!D56</f>
        <v>44086764</v>
      </c>
      <c r="D30" s="737">
        <f>人件物件費ﾃﾞｰﾀ!G35+人件物件費ﾃﾞｰﾀ!G39+人件物件費ﾃﾞｰﾀ!G40+人件物件費ﾃﾞｰﾀ!G44+人件物件費ﾃﾞｰﾀ!G56</f>
        <v>46618335</v>
      </c>
      <c r="E30" s="737">
        <f>人件物件費ﾃﾞｰﾀ!J35+人件物件費ﾃﾞｰﾀ!J39+人件物件費ﾃﾞｰﾀ!J40+人件物件費ﾃﾞｰﾀ!J44+人件物件費ﾃﾞｰﾀ!J56</f>
        <v>49462102</v>
      </c>
      <c r="F30" s="737">
        <f>人件物件費ﾃﾞｰﾀ!M35+人件物件費ﾃﾞｰﾀ!M39+人件物件費ﾃﾞｰﾀ!M40+人件物件費ﾃﾞｰﾀ!M44+人件物件費ﾃﾞｰﾀ!M56</f>
        <v>51229426</v>
      </c>
      <c r="G30" s="737">
        <f>人件物件費ﾃﾞｰﾀ!P35+人件物件費ﾃﾞｰﾀ!P39+人件物件費ﾃﾞｰﾀ!P40+人件物件費ﾃﾞｰﾀ!P44+人件物件費ﾃﾞｰﾀ!P56</f>
        <v>52973608</v>
      </c>
      <c r="H30" s="737">
        <f>人件物件費ﾃﾞｰﾀ!S35+人件物件費ﾃﾞｰﾀ!S39+人件物件費ﾃﾞｰﾀ!S40+人件物件費ﾃﾞｰﾀ!S44+人件物件費ﾃﾞｰﾀ!S56</f>
        <v>54065159</v>
      </c>
      <c r="I30" s="737">
        <f>人件物件費ﾃﾞｰﾀ!V35+人件物件費ﾃﾞｰﾀ!V39+人件物件費ﾃﾞｰﾀ!V40+人件物件費ﾃﾞｰﾀ!V44+人件物件費ﾃﾞｰﾀ!V56</f>
        <v>55043089</v>
      </c>
      <c r="J30" s="737">
        <f>人件物件費ﾃﾞｰﾀ!Y35+人件物件費ﾃﾞｰﾀ!Y39+人件物件費ﾃﾞｰﾀ!Y40+人件物件費ﾃﾞｰﾀ!Y44+人件物件費ﾃﾞｰﾀ!Y56</f>
        <v>57037452</v>
      </c>
      <c r="K30" s="737">
        <f>人件物件費ﾃﾞｰﾀ!AB35+人件物件費ﾃﾞｰﾀ!AB39+人件物件費ﾃﾞｰﾀ!AB40+人件物件費ﾃﾞｰﾀ!AB44+人件物件費ﾃﾞｰﾀ!AB56</f>
        <v>58601202</v>
      </c>
      <c r="L30" s="737">
        <f>人件物件費ﾃﾞｰﾀ!AG37+人件物件費ﾃﾞｰﾀ!AG38+人件物件費ﾃﾞｰﾀ!AG39+人件物件費ﾃﾞｰﾀ!AG43+人件物件費ﾃﾞｰﾀ!AG59</f>
        <v>59117865</v>
      </c>
      <c r="M30" s="737">
        <f>人件物件費ﾃﾞｰﾀ!AL38+人件物件費ﾃﾞｰﾀ!AL39+人件物件費ﾃﾞｰﾀ!AL40+人件物件費ﾃﾞｰﾀ!AL44+人件物件費ﾃﾞｰﾀ!AL60</f>
        <v>58522533</v>
      </c>
      <c r="N30" s="737">
        <f>人件物件費ﾃﾞｰﾀ!AO38+人件物件費ﾃﾞｰﾀ!AO39+人件物件費ﾃﾞｰﾀ!AO40+人件物件費ﾃﾞｰﾀ!AO44+人件物件費ﾃﾞｰﾀ!AO60</f>
        <v>57837040</v>
      </c>
      <c r="O30" s="737">
        <f>人件物件費ﾃﾞｰﾀ!AT38+人件物件費ﾃﾞｰﾀ!AT39+人件物件費ﾃﾞｰﾀ!AT40+人件物件費ﾃﾞｰﾀ!AT44+人件物件費ﾃﾞｰﾀ!AT60</f>
        <v>56527777</v>
      </c>
      <c r="P30" s="737">
        <f>人件物件費ﾃﾞｰﾀ!AY38+人件物件費ﾃﾞｰﾀ!AY39+人件物件費ﾃﾞｰﾀ!AY40+人件物件費ﾃﾞｰﾀ!AY44+人件物件費ﾃﾞｰﾀ!AY60</f>
        <v>55837770</v>
      </c>
      <c r="Q30" s="737">
        <f>人件物件費ﾃﾞｰﾀ2!E32</f>
        <v>55716028</v>
      </c>
      <c r="R30" s="737">
        <f>人件物件費ﾃﾞｰﾀ2!H32</f>
        <v>56232620</v>
      </c>
      <c r="S30" s="737">
        <f>人件物件費ﾃﾞｰﾀ2!K32</f>
        <v>54415203</v>
      </c>
      <c r="T30" s="737">
        <f>人件物件費ﾃﾞｰﾀ2!N32</f>
        <v>55637585</v>
      </c>
      <c r="U30" s="737">
        <f>人件物件費ﾃﾞｰﾀ2!Q32</f>
        <v>54094623</v>
      </c>
      <c r="V30" s="737">
        <f>人件物件費ﾃﾞｰﾀ2!U32</f>
        <v>54891990</v>
      </c>
      <c r="W30" s="737">
        <f>人件物件費ﾃﾞｰﾀ2!Y32</f>
        <v>55534011</v>
      </c>
      <c r="X30" s="740">
        <f>人件物件費ﾃﾞｰﾀ2!AC32</f>
        <v>55955906</v>
      </c>
      <c r="Y30" s="740">
        <f>人件物件費ﾃﾞｰﾀ2!AG32</f>
        <v>54403255</v>
      </c>
      <c r="Z30" s="75">
        <f>人件物件費ﾃﾞｰﾀ2!AK32</f>
        <v>53428456</v>
      </c>
      <c r="AA30" s="75">
        <f>人件物件費ﾃﾞｰﾀ2!AO32</f>
        <v>56696571</v>
      </c>
      <c r="AB30" s="75">
        <f>人件物件費ﾃﾞｰﾀ2!AS32</f>
        <v>59029100</v>
      </c>
      <c r="AC30" s="75">
        <f>人件物件費ﾃﾞｰﾀ2!AW32</f>
        <v>59083578</v>
      </c>
      <c r="AD30" s="75">
        <f>人件物件費ﾃﾞｰﾀ2!BA32</f>
        <v>60185915</v>
      </c>
      <c r="AE30" s="75">
        <f>人件物件費ﾃﾞｰﾀ2!BE32</f>
        <v>60098323</v>
      </c>
      <c r="AF30" s="75">
        <f>人件物件費ﾃﾞｰﾀ2!BI32</f>
        <v>61302663</v>
      </c>
      <c r="AG30" s="75">
        <f>人件物件費ﾃﾞｰﾀ2!BM32</f>
        <v>61754388</v>
      </c>
      <c r="AH30" s="75">
        <f>人件物件費ﾃﾞｰﾀ2!BQ32</f>
        <v>67619553</v>
      </c>
      <c r="AI30" s="75">
        <f>人件物件費ﾃﾞｰﾀ2!BU32</f>
        <v>71655364</v>
      </c>
      <c r="AJ30" s="456">
        <f>人件物件費ﾃﾞｰﾀ2!BY32</f>
        <v>68714133</v>
      </c>
      <c r="AK30" s="456">
        <f>人件物件費ﾃﾞｰﾀ2!CC32</f>
        <v>73220940</v>
      </c>
      <c r="AL30" s="75">
        <f t="shared" ref="AL30:AN33" si="27">SUM(AI30:AK30)/3</f>
        <v>71196812.333333328</v>
      </c>
      <c r="AM30" s="75">
        <f t="shared" si="27"/>
        <v>71043961.777777776</v>
      </c>
      <c r="AN30" s="75">
        <f t="shared" si="27"/>
        <v>71820571.370370373</v>
      </c>
      <c r="AP30" s="75">
        <f>SUM(Z30:AB30)/3*0.5+AB30*AS30*0.5</f>
        <v>57701059.065573841</v>
      </c>
      <c r="AQ30" s="737">
        <v>217114</v>
      </c>
      <c r="AR30" s="737">
        <v>217071</v>
      </c>
      <c r="AS30" s="893">
        <f t="shared" si="6"/>
        <v>0.99980194736405759</v>
      </c>
    </row>
    <row r="31" spans="1:45">
      <c r="A31" s="89">
        <v>442</v>
      </c>
      <c r="B31" s="98" t="s">
        <v>203</v>
      </c>
      <c r="C31" s="737">
        <f>人件物件費ﾃﾞｰﾀ!D42</f>
        <v>1652120</v>
      </c>
      <c r="D31" s="737">
        <f>人件物件費ﾃﾞｰﾀ!G42</f>
        <v>1759411</v>
      </c>
      <c r="E31" s="737">
        <f>人件物件費ﾃﾞｰﾀ!J42</f>
        <v>1897527</v>
      </c>
      <c r="F31" s="737">
        <f>人件物件費ﾃﾞｰﾀ!M42</f>
        <v>2025670</v>
      </c>
      <c r="G31" s="737">
        <f>人件物件費ﾃﾞｰﾀ!P42</f>
        <v>2068695</v>
      </c>
      <c r="H31" s="737">
        <f>人件物件費ﾃﾞｰﾀ!S42</f>
        <v>2249801</v>
      </c>
      <c r="I31" s="737">
        <f>人件物件費ﾃﾞｰﾀ!V42</f>
        <v>2430143</v>
      </c>
      <c r="J31" s="737">
        <f>人件物件費ﾃﾞｰﾀ!Y42</f>
        <v>2629187</v>
      </c>
      <c r="K31" s="737">
        <f>人件物件費ﾃﾞｰﾀ!AB42</f>
        <v>2674438</v>
      </c>
      <c r="L31" s="737">
        <f>人件物件費ﾃﾞｰﾀ!AG41</f>
        <v>2695339</v>
      </c>
      <c r="M31" s="737">
        <f>人件物件費ﾃﾞｰﾀ!AL42</f>
        <v>2675020</v>
      </c>
      <c r="N31" s="737">
        <f>人件物件費ﾃﾞｰﾀ!AO42</f>
        <v>2640552</v>
      </c>
      <c r="O31" s="737">
        <f>人件物件費ﾃﾞｰﾀ!AT42</f>
        <v>2583450</v>
      </c>
      <c r="P31" s="737">
        <f>人件物件費ﾃﾞｰﾀ!AY42</f>
        <v>2493259</v>
      </c>
      <c r="Q31" s="737">
        <f>人件物件費ﾃﾞｰﾀ2!E33</f>
        <v>2319598</v>
      </c>
      <c r="R31" s="737">
        <f>人件物件費ﾃﾞｰﾀ2!H33</f>
        <v>2179237</v>
      </c>
      <c r="S31" s="737">
        <f>人件物件費ﾃﾞｰﾀ2!K33</f>
        <v>1896525</v>
      </c>
      <c r="T31" s="737">
        <f>人件物件費ﾃﾞｰﾀ2!N33</f>
        <v>1913522</v>
      </c>
      <c r="U31" s="737">
        <f>人件物件費ﾃﾞｰﾀ2!Q33</f>
        <v>1862931</v>
      </c>
      <c r="V31" s="737">
        <f>人件物件費ﾃﾞｰﾀ2!U33</f>
        <v>1925823</v>
      </c>
      <c r="W31" s="737">
        <f>人件物件費ﾃﾞｰﾀ2!Y33</f>
        <v>1872898</v>
      </c>
      <c r="X31" s="740">
        <f>人件物件費ﾃﾞｰﾀ2!AC33</f>
        <v>1994488</v>
      </c>
      <c r="Y31" s="740">
        <f>人件物件費ﾃﾞｰﾀ2!AG33</f>
        <v>1755944</v>
      </c>
      <c r="Z31" s="75">
        <f>人件物件費ﾃﾞｰﾀ2!AK33</f>
        <v>1715836</v>
      </c>
      <c r="AA31" s="75">
        <f>人件物件費ﾃﾞｰﾀ2!AO33</f>
        <v>1927274</v>
      </c>
      <c r="AB31" s="75">
        <f>人件物件費ﾃﾞｰﾀ2!AS33</f>
        <v>2118110</v>
      </c>
      <c r="AC31" s="75">
        <f>人件物件費ﾃﾞｰﾀ2!AW33</f>
        <v>2036343</v>
      </c>
      <c r="AD31" s="75">
        <f>人件物件費ﾃﾞｰﾀ2!BA33</f>
        <v>2104626</v>
      </c>
      <c r="AE31" s="75">
        <f>人件物件費ﾃﾞｰﾀ2!BE33</f>
        <v>2037746</v>
      </c>
      <c r="AF31" s="75">
        <f>人件物件費ﾃﾞｰﾀ2!BI33</f>
        <v>2206442</v>
      </c>
      <c r="AG31" s="75">
        <f>人件物件費ﾃﾞｰﾀ2!BM33</f>
        <v>2347910</v>
      </c>
      <c r="AH31" s="75">
        <f>人件物件費ﾃﾞｰﾀ2!BQ33</f>
        <v>2483378</v>
      </c>
      <c r="AI31" s="75">
        <f>人件物件費ﾃﾞｰﾀ2!BU33</f>
        <v>2389250</v>
      </c>
      <c r="AJ31" s="456">
        <f>人件物件費ﾃﾞｰﾀ2!BY33</f>
        <v>2384110</v>
      </c>
      <c r="AK31" s="456">
        <f>人件物件費ﾃﾞｰﾀ2!CC33</f>
        <v>2569715</v>
      </c>
      <c r="AL31" s="75">
        <f t="shared" si="27"/>
        <v>2447691.6666666665</v>
      </c>
      <c r="AM31" s="75">
        <f t="shared" si="27"/>
        <v>2467172.222222222</v>
      </c>
      <c r="AN31" s="75">
        <f t="shared" si="27"/>
        <v>2494859.6296296292</v>
      </c>
      <c r="AP31" s="75">
        <f>SUM(Z31:AB31)/3*0.5+AB31*AS31*0.5</f>
        <v>2026018.2588652484</v>
      </c>
      <c r="AQ31" s="737">
        <v>5640</v>
      </c>
      <c r="AR31" s="737">
        <v>5676</v>
      </c>
      <c r="AS31" s="893">
        <f t="shared" si="6"/>
        <v>1.0063829787234042</v>
      </c>
    </row>
    <row r="32" spans="1:45">
      <c r="A32" s="89">
        <v>443</v>
      </c>
      <c r="B32" s="98" t="s">
        <v>204</v>
      </c>
      <c r="C32" s="737">
        <f>人件物件費ﾃﾞｰﾀ!D43</f>
        <v>1813616</v>
      </c>
      <c r="D32" s="737">
        <f>人件物件費ﾃﾞｰﾀ!G43</f>
        <v>1969561</v>
      </c>
      <c r="E32" s="737">
        <f>人件物件費ﾃﾞｰﾀ!J43</f>
        <v>2072366</v>
      </c>
      <c r="F32" s="737">
        <f>人件物件費ﾃﾞｰﾀ!M43</f>
        <v>2230288</v>
      </c>
      <c r="G32" s="737">
        <f>人件物件費ﾃﾞｰﾀ!P43</f>
        <v>2258034</v>
      </c>
      <c r="H32" s="737">
        <f>人件物件費ﾃﾞｰﾀ!S43</f>
        <v>2356958</v>
      </c>
      <c r="I32" s="737">
        <f>人件物件費ﾃﾞｰﾀ!V43</f>
        <v>2380606</v>
      </c>
      <c r="J32" s="737">
        <f>人件物件費ﾃﾞｰﾀ!Y43</f>
        <v>2550435</v>
      </c>
      <c r="K32" s="737">
        <f>人件物件費ﾃﾞｰﾀ!AB43</f>
        <v>2581388</v>
      </c>
      <c r="L32" s="737">
        <f>人件物件費ﾃﾞｰﾀ!AG42</f>
        <v>2555063</v>
      </c>
      <c r="M32" s="737">
        <f>人件物件費ﾃﾞｰﾀ!AL43</f>
        <v>2497232</v>
      </c>
      <c r="N32" s="737">
        <f>人件物件費ﾃﾞｰﾀ!AO43</f>
        <v>2546284</v>
      </c>
      <c r="O32" s="737">
        <f>人件物件費ﾃﾞｰﾀ!AT43</f>
        <v>2530888</v>
      </c>
      <c r="P32" s="737">
        <f>人件物件費ﾃﾞｰﾀ!AY43</f>
        <v>2471982</v>
      </c>
      <c r="Q32" s="737">
        <f>人件物件費ﾃﾞｰﾀ2!E34</f>
        <v>2461653</v>
      </c>
      <c r="R32" s="737">
        <f>人件物件費ﾃﾞｰﾀ2!H34</f>
        <v>2477920</v>
      </c>
      <c r="S32" s="737">
        <f>人件物件費ﾃﾞｰﾀ2!K34</f>
        <v>2365675</v>
      </c>
      <c r="T32" s="737">
        <f>人件物件費ﾃﾞｰﾀ2!N34</f>
        <v>2291274</v>
      </c>
      <c r="U32" s="737">
        <f>人件物件費ﾃﾞｰﾀ2!Q34</f>
        <v>2279094</v>
      </c>
      <c r="V32" s="737">
        <f>人件物件費ﾃﾞｰﾀ2!U34</f>
        <v>2482049</v>
      </c>
      <c r="W32" s="737">
        <f>人件物件費ﾃﾞｰﾀ2!Y34</f>
        <v>2353542</v>
      </c>
      <c r="X32" s="740">
        <f>人件物件費ﾃﾞｰﾀ2!AC34</f>
        <v>2435328</v>
      </c>
      <c r="Y32" s="740">
        <f>人件物件費ﾃﾞｰﾀ2!AG34</f>
        <v>2411218</v>
      </c>
      <c r="Z32" s="75">
        <f>人件物件費ﾃﾞｰﾀ2!AK34</f>
        <v>2357595</v>
      </c>
      <c r="AA32" s="75">
        <f>人件物件費ﾃﾞｰﾀ2!AO34</f>
        <v>2588419</v>
      </c>
      <c r="AB32" s="75">
        <f>人件物件費ﾃﾞｰﾀ2!AS34</f>
        <v>2557243</v>
      </c>
      <c r="AC32" s="75">
        <f>人件物件費ﾃﾞｰﾀ2!AW34</f>
        <v>2584032</v>
      </c>
      <c r="AD32" s="75">
        <f>人件物件費ﾃﾞｰﾀ2!BA34</f>
        <v>2605621</v>
      </c>
      <c r="AE32" s="75">
        <f>人件物件費ﾃﾞｰﾀ2!BE34</f>
        <v>2652924</v>
      </c>
      <c r="AF32" s="75">
        <f>人件物件費ﾃﾞｰﾀ2!BI34</f>
        <v>2708343</v>
      </c>
      <c r="AG32" s="75">
        <f>人件物件費ﾃﾞｰﾀ2!BM34</f>
        <v>2923485</v>
      </c>
      <c r="AH32" s="75">
        <f>人件物件費ﾃﾞｰﾀ2!BQ34</f>
        <v>3124883</v>
      </c>
      <c r="AI32" s="75">
        <f>人件物件費ﾃﾞｰﾀ2!BU34</f>
        <v>3074628</v>
      </c>
      <c r="AJ32" s="456">
        <f>人件物件費ﾃﾞｰﾀ2!BY34</f>
        <v>3073261</v>
      </c>
      <c r="AK32" s="456">
        <f>人件物件費ﾃﾞｰﾀ2!CC34</f>
        <v>3433239</v>
      </c>
      <c r="AL32" s="75">
        <f t="shared" si="27"/>
        <v>3193709.3333333335</v>
      </c>
      <c r="AM32" s="75">
        <f t="shared" si="27"/>
        <v>3233403.1111111115</v>
      </c>
      <c r="AN32" s="75">
        <f t="shared" si="27"/>
        <v>3286783.8148148153</v>
      </c>
      <c r="AP32" s="75">
        <f>SUM(Z32:AB32)/3*0.5+AB32*AS32*0.5</f>
        <v>2514049.977153325</v>
      </c>
      <c r="AQ32" s="737">
        <v>9644</v>
      </c>
      <c r="AR32" s="737">
        <v>9530</v>
      </c>
      <c r="AS32" s="893">
        <f t="shared" si="6"/>
        <v>0.9881791787639983</v>
      </c>
    </row>
    <row r="33" spans="1:45">
      <c r="A33" s="89">
        <v>446</v>
      </c>
      <c r="B33" s="98" t="s">
        <v>234</v>
      </c>
      <c r="C33" s="737">
        <f>人件物件費ﾃﾞｰﾀ!D41+人件物件費ﾃﾞｰﾀ!D45</f>
        <v>1901151</v>
      </c>
      <c r="D33" s="737">
        <f>人件物件費ﾃﾞｰﾀ!G41+人件物件費ﾃﾞｰﾀ!G45</f>
        <v>2008045</v>
      </c>
      <c r="E33" s="737">
        <f>人件物件費ﾃﾞｰﾀ!J41+人件物件費ﾃﾞｰﾀ!J45</f>
        <v>2098477</v>
      </c>
      <c r="F33" s="737">
        <f>人件物件費ﾃﾞｰﾀ!M41+人件物件費ﾃﾞｰﾀ!M45</f>
        <v>2163917</v>
      </c>
      <c r="G33" s="737">
        <f>人件物件費ﾃﾞｰﾀ!P41+人件物件費ﾃﾞｰﾀ!P45</f>
        <v>2367772</v>
      </c>
      <c r="H33" s="737">
        <f>人件物件費ﾃﾞｰﾀ!S41+人件物件費ﾃﾞｰﾀ!S45</f>
        <v>2565253</v>
      </c>
      <c r="I33" s="737">
        <f>人件物件費ﾃﾞｰﾀ!V41+人件物件費ﾃﾞｰﾀ!V45</f>
        <v>2707811</v>
      </c>
      <c r="J33" s="737">
        <f>人件物件費ﾃﾞｰﾀ!Y41+人件物件費ﾃﾞｰﾀ!Y45</f>
        <v>2757146</v>
      </c>
      <c r="K33" s="737">
        <f>人件物件費ﾃﾞｰﾀ!AB41+人件物件費ﾃﾞｰﾀ!AB45</f>
        <v>2738732</v>
      </c>
      <c r="L33" s="737">
        <f>人件物件費ﾃﾞｰﾀ!AG40+人件物件費ﾃﾞｰﾀ!AG44</f>
        <v>2740524</v>
      </c>
      <c r="M33" s="737">
        <f>人件物件費ﾃﾞｰﾀ!AL41+人件物件費ﾃﾞｰﾀ!AL45</f>
        <v>2673927</v>
      </c>
      <c r="N33" s="737">
        <f>人件物件費ﾃﾞｰﾀ!AO41+人件物件費ﾃﾞｰﾀ!AO45</f>
        <v>2799690</v>
      </c>
      <c r="O33" s="737">
        <f>人件物件費ﾃﾞｰﾀ!AT41+人件物件費ﾃﾞｰﾀ!AT45</f>
        <v>2865782</v>
      </c>
      <c r="P33" s="737">
        <f>人件物件費ﾃﾞｰﾀ!AY41+人件物件費ﾃﾞｰﾀ!AY45</f>
        <v>2864446</v>
      </c>
      <c r="Q33" s="737">
        <f>人件物件費ﾃﾞｰﾀ2!E35</f>
        <v>2828425</v>
      </c>
      <c r="R33" s="737">
        <f>人件物件費ﾃﾞｰﾀ2!H35</f>
        <v>2994061</v>
      </c>
      <c r="S33" s="737">
        <f>人件物件費ﾃﾞｰﾀ2!K35</f>
        <v>2623617</v>
      </c>
      <c r="T33" s="737">
        <f>人件物件費ﾃﾞｰﾀ2!N35</f>
        <v>2527500</v>
      </c>
      <c r="U33" s="737">
        <f>人件物件費ﾃﾞｰﾀ2!Q35</f>
        <v>2393328</v>
      </c>
      <c r="V33" s="737">
        <f>人件物件費ﾃﾞｰﾀ2!U35</f>
        <v>2513374</v>
      </c>
      <c r="W33" s="737">
        <f>人件物件費ﾃﾞｰﾀ2!Y35</f>
        <v>2396888</v>
      </c>
      <c r="X33" s="740">
        <f>人件物件費ﾃﾞｰﾀ2!AC35</f>
        <v>2508734</v>
      </c>
      <c r="Y33" s="740">
        <f>人件物件費ﾃﾞｰﾀ2!AG35</f>
        <v>2452575</v>
      </c>
      <c r="Z33" s="75">
        <f>人件物件費ﾃﾞｰﾀ2!AK35</f>
        <v>2339525</v>
      </c>
      <c r="AA33" s="75">
        <f>人件物件費ﾃﾞｰﾀ2!AO35</f>
        <v>2443559</v>
      </c>
      <c r="AB33" s="75">
        <f>人件物件費ﾃﾞｰﾀ2!AS35</f>
        <v>2671936</v>
      </c>
      <c r="AC33" s="75">
        <f>人件物件費ﾃﾞｰﾀ2!AW35</f>
        <v>2706428</v>
      </c>
      <c r="AD33" s="75">
        <f>人件物件費ﾃﾞｰﾀ2!BA35</f>
        <v>2829250</v>
      </c>
      <c r="AE33" s="75">
        <f>人件物件費ﾃﾞｰﾀ2!BE35</f>
        <v>2804046</v>
      </c>
      <c r="AF33" s="75">
        <f>人件物件費ﾃﾞｰﾀ2!BI35</f>
        <v>2786451</v>
      </c>
      <c r="AG33" s="75">
        <f>人件物件費ﾃﾞｰﾀ2!BM35</f>
        <v>2824920</v>
      </c>
      <c r="AH33" s="75">
        <f>人件物件費ﾃﾞｰﾀ2!BQ35</f>
        <v>2818340</v>
      </c>
      <c r="AI33" s="75">
        <f>人件物件費ﾃﾞｰﾀ2!BU35</f>
        <v>2917685</v>
      </c>
      <c r="AJ33" s="456">
        <f>人件物件費ﾃﾞｰﾀ2!BY35</f>
        <v>2925703</v>
      </c>
      <c r="AK33" s="456">
        <f>人件物件費ﾃﾞｰﾀ2!CC35</f>
        <v>3211494</v>
      </c>
      <c r="AL33" s="75">
        <f t="shared" si="27"/>
        <v>3018294</v>
      </c>
      <c r="AM33" s="75">
        <f t="shared" si="27"/>
        <v>3051830.3333333335</v>
      </c>
      <c r="AN33" s="75">
        <f t="shared" si="27"/>
        <v>3093872.777777778</v>
      </c>
      <c r="AP33" s="75">
        <f>SUM(Z33:AB33)/3*0.5+AB33*AS33*0.5</f>
        <v>2660631.0114054037</v>
      </c>
      <c r="AQ33" s="737">
        <v>8797</v>
      </c>
      <c r="AR33" s="737">
        <v>9338</v>
      </c>
      <c r="AS33" s="893">
        <f t="shared" si="6"/>
        <v>1.0614982380356941</v>
      </c>
    </row>
    <row r="34" spans="1:45">
      <c r="A34" s="86"/>
      <c r="B34" s="99" t="s">
        <v>205</v>
      </c>
      <c r="C34" s="737">
        <f>SUM(C35:C41)</f>
        <v>28776925</v>
      </c>
      <c r="D34" s="737">
        <f t="shared" ref="D34:K34" si="28">SUM(D35:D41)</f>
        <v>30511483</v>
      </c>
      <c r="E34" s="737">
        <f t="shared" si="28"/>
        <v>32301284</v>
      </c>
      <c r="F34" s="737">
        <f t="shared" si="28"/>
        <v>33898133</v>
      </c>
      <c r="G34" s="737">
        <f t="shared" si="28"/>
        <v>34364788</v>
      </c>
      <c r="H34" s="737">
        <f t="shared" si="28"/>
        <v>36231535</v>
      </c>
      <c r="I34" s="737">
        <f t="shared" si="28"/>
        <v>37162101</v>
      </c>
      <c r="J34" s="737">
        <f t="shared" si="28"/>
        <v>37838488</v>
      </c>
      <c r="K34" s="737">
        <f t="shared" si="28"/>
        <v>39567508</v>
      </c>
      <c r="L34" s="737">
        <f t="shared" ref="L34:T34" si="29">SUM(L35:L41)</f>
        <v>39509842</v>
      </c>
      <c r="M34" s="737">
        <f t="shared" si="29"/>
        <v>37805033</v>
      </c>
      <c r="N34" s="737">
        <f t="shared" si="29"/>
        <v>38557327</v>
      </c>
      <c r="O34" s="737">
        <f t="shared" si="29"/>
        <v>38529333</v>
      </c>
      <c r="P34" s="737">
        <f t="shared" si="29"/>
        <v>38177629</v>
      </c>
      <c r="Q34" s="737">
        <f t="shared" si="29"/>
        <v>38163220</v>
      </c>
      <c r="R34" s="737">
        <f t="shared" si="29"/>
        <v>41536370</v>
      </c>
      <c r="S34" s="737">
        <f t="shared" si="29"/>
        <v>37978666</v>
      </c>
      <c r="T34" s="737">
        <f t="shared" si="29"/>
        <v>37224090</v>
      </c>
      <c r="U34" s="737">
        <f t="shared" ref="U34:AH34" si="30">SUM(U35:U41)</f>
        <v>35994863</v>
      </c>
      <c r="V34" s="737">
        <f t="shared" si="30"/>
        <v>38205973</v>
      </c>
      <c r="W34" s="737">
        <f t="shared" si="30"/>
        <v>36858959</v>
      </c>
      <c r="X34" s="737">
        <f t="shared" si="30"/>
        <v>37708508</v>
      </c>
      <c r="Y34" s="737">
        <f t="shared" si="30"/>
        <v>36097037</v>
      </c>
      <c r="Z34" s="737">
        <f t="shared" si="30"/>
        <v>33236552</v>
      </c>
      <c r="AA34" s="737">
        <f t="shared" si="30"/>
        <v>33697781</v>
      </c>
      <c r="AB34" s="737">
        <f t="shared" si="30"/>
        <v>34048234</v>
      </c>
      <c r="AC34" s="737">
        <f t="shared" si="30"/>
        <v>33825965</v>
      </c>
      <c r="AD34" s="737">
        <f t="shared" si="30"/>
        <v>33680700</v>
      </c>
      <c r="AE34" s="737">
        <f t="shared" si="30"/>
        <v>33833819</v>
      </c>
      <c r="AF34" s="737">
        <f t="shared" si="30"/>
        <v>33742660</v>
      </c>
      <c r="AG34" s="737">
        <f t="shared" si="30"/>
        <v>36804890</v>
      </c>
      <c r="AH34" s="737">
        <f t="shared" si="30"/>
        <v>37637534</v>
      </c>
      <c r="AI34" s="75">
        <f>人件物件費ﾃﾞｰﾀ2!BU36</f>
        <v>38944400</v>
      </c>
      <c r="AJ34" s="456">
        <f>人件物件費ﾃﾞｰﾀ2!BY36</f>
        <v>37959310</v>
      </c>
      <c r="AK34" s="456">
        <f>人件物件費ﾃﾞｰﾀ2!CC36</f>
        <v>40566788</v>
      </c>
      <c r="AL34" s="737">
        <f>SUM(AL35:AL41)</f>
        <v>39156832.666666664</v>
      </c>
      <c r="AM34" s="737">
        <f>SUM(AM35:AM41)</f>
        <v>39227643.555555552</v>
      </c>
      <c r="AN34" s="737">
        <f>SUM(AN35:AN41)</f>
        <v>39650421.407407403</v>
      </c>
      <c r="AP34" s="737">
        <f>SUM(AP35:AP41)</f>
        <v>33058558.150315333</v>
      </c>
      <c r="AQ34" s="737">
        <f>SUM(AQ35:AQ41)</f>
        <v>132698</v>
      </c>
      <c r="AR34" s="737">
        <f>SUM(AR35:AR41)</f>
        <v>126072</v>
      </c>
      <c r="AS34" s="893">
        <f t="shared" si="6"/>
        <v>0.95006706958658005</v>
      </c>
    </row>
    <row r="35" spans="1:45">
      <c r="A35" s="89">
        <v>208</v>
      </c>
      <c r="B35" s="98" t="s">
        <v>206</v>
      </c>
      <c r="C35" s="737">
        <f>人件物件費ﾃﾞｰﾀ!D36</f>
        <v>3828270</v>
      </c>
      <c r="D35" s="737">
        <f>人件物件費ﾃﾞｰﾀ!G36</f>
        <v>3993743</v>
      </c>
      <c r="E35" s="737">
        <f>人件物件費ﾃﾞｰﾀ!J36</f>
        <v>4351161</v>
      </c>
      <c r="F35" s="737">
        <f>人件物件費ﾃﾞｰﾀ!M36</f>
        <v>4367454</v>
      </c>
      <c r="G35" s="737">
        <f>人件物件費ﾃﾞｰﾀ!P36</f>
        <v>4501044</v>
      </c>
      <c r="H35" s="737">
        <f>人件物件費ﾃﾞｰﾀ!S36</f>
        <v>4571514</v>
      </c>
      <c r="I35" s="737">
        <f>人件物件費ﾃﾞｰﾀ!V36</f>
        <v>4596161</v>
      </c>
      <c r="J35" s="737">
        <f>人件物件費ﾃﾞｰﾀ!Y36</f>
        <v>4503956</v>
      </c>
      <c r="K35" s="737">
        <f>人件物件費ﾃﾞｰﾀ!AB36</f>
        <v>4946484</v>
      </c>
      <c r="L35" s="737">
        <f>人件物件費ﾃﾞｰﾀ!AG46</f>
        <v>4949411</v>
      </c>
      <c r="M35" s="737">
        <f>人件物件費ﾃﾞｰﾀ!AL47</f>
        <v>4323304</v>
      </c>
      <c r="N35" s="737">
        <f>人件物件費ﾃﾞｰﾀ!AO47</f>
        <v>4404773</v>
      </c>
      <c r="O35" s="737">
        <f>人件物件費ﾃﾞｰﾀ!AT47</f>
        <v>4563013</v>
      </c>
      <c r="P35" s="737">
        <f>人件物件費ﾃﾞｰﾀ!AY47</f>
        <v>4582805</v>
      </c>
      <c r="Q35" s="737">
        <f>人件物件費ﾃﾞｰﾀ2!E37</f>
        <v>4563389</v>
      </c>
      <c r="R35" s="737">
        <f>人件物件費ﾃﾞｰﾀ2!H37</f>
        <v>4150523</v>
      </c>
      <c r="S35" s="737">
        <f>人件物件費ﾃﾞｰﾀ2!K37</f>
        <v>4050267</v>
      </c>
      <c r="T35" s="737">
        <f>人件物件費ﾃﾞｰﾀ2!N37</f>
        <v>3942833</v>
      </c>
      <c r="U35" s="737">
        <f>人件物件費ﾃﾞｰﾀ2!Q37</f>
        <v>3897928</v>
      </c>
      <c r="V35" s="737">
        <f>人件物件費ﾃﾞｰﾀ2!U37</f>
        <v>3882087</v>
      </c>
      <c r="W35" s="737">
        <f>人件物件費ﾃﾞｰﾀ2!Y37</f>
        <v>3870881</v>
      </c>
      <c r="X35" s="740">
        <f>人件物件費ﾃﾞｰﾀ2!AC37</f>
        <v>3866817</v>
      </c>
      <c r="Y35" s="740">
        <f>人件物件費ﾃﾞｰﾀ2!AG37</f>
        <v>3826169</v>
      </c>
      <c r="Z35" s="75">
        <f>人件物件費ﾃﾞｰﾀ2!AK37</f>
        <v>3525677</v>
      </c>
      <c r="AA35" s="75">
        <f>人件物件費ﾃﾞｰﾀ2!AO37</f>
        <v>3685853</v>
      </c>
      <c r="AB35" s="75">
        <f>人件物件費ﾃﾞｰﾀ2!AS37</f>
        <v>3594771</v>
      </c>
      <c r="AC35" s="75">
        <f>人件物件費ﾃﾞｰﾀ2!AW37</f>
        <v>3615993</v>
      </c>
      <c r="AD35" s="75">
        <f>人件物件費ﾃﾞｰﾀ2!BA37</f>
        <v>3578822</v>
      </c>
      <c r="AE35" s="75">
        <f>人件物件費ﾃﾞｰﾀ2!BE37</f>
        <v>3717510</v>
      </c>
      <c r="AF35" s="75">
        <f>人件物件費ﾃﾞｰﾀ2!BI37</f>
        <v>3624934</v>
      </c>
      <c r="AG35" s="75">
        <f>人件物件費ﾃﾞｰﾀ2!BM37</f>
        <v>4022028</v>
      </c>
      <c r="AH35" s="75">
        <f>人件物件費ﾃﾞｰﾀ2!BQ37</f>
        <v>4152197</v>
      </c>
      <c r="AI35" s="75">
        <f>人件物件費ﾃﾞｰﾀ2!BU37</f>
        <v>4381767</v>
      </c>
      <c r="AJ35" s="456">
        <f>人件物件費ﾃﾞｰﾀ2!BY37</f>
        <v>4159800</v>
      </c>
      <c r="AK35" s="456">
        <f>人件物件費ﾃﾞｰﾀ2!CC37</f>
        <v>4296273</v>
      </c>
      <c r="AL35" s="75">
        <f>SUM(AI35:AK35)/3</f>
        <v>4279280</v>
      </c>
      <c r="AM35" s="75">
        <f>SUM(AJ35:AL35)/3</f>
        <v>4245117.666666667</v>
      </c>
      <c r="AN35" s="75">
        <f>SUM(AK35:AM35)/3</f>
        <v>4273556.888888889</v>
      </c>
      <c r="AP35" s="75">
        <f t="shared" ref="AP35:AP41" si="31">SUM(Z35:AB35)/3*0.5+AB35*AS35*0.5</f>
        <v>3292514.7165713683</v>
      </c>
      <c r="AQ35" s="737">
        <v>15740</v>
      </c>
      <c r="AR35" s="737">
        <v>13061</v>
      </c>
      <c r="AS35" s="893">
        <f t="shared" si="6"/>
        <v>0.82979669631512076</v>
      </c>
    </row>
    <row r="36" spans="1:45">
      <c r="A36" s="89">
        <v>212</v>
      </c>
      <c r="B36" s="98" t="s">
        <v>207</v>
      </c>
      <c r="C36" s="737">
        <f>人件物件費ﾃﾞｰﾀ!D38</f>
        <v>4943306</v>
      </c>
      <c r="D36" s="737">
        <f>人件物件費ﾃﾞｰﾀ!G38</f>
        <v>5266423</v>
      </c>
      <c r="E36" s="737">
        <f>人件物件費ﾃﾞｰﾀ!J38</f>
        <v>5616236</v>
      </c>
      <c r="F36" s="737">
        <f>人件物件費ﾃﾞｰﾀ!M38</f>
        <v>5811899</v>
      </c>
      <c r="G36" s="737">
        <f>人件物件費ﾃﾞｰﾀ!P38</f>
        <v>5966650</v>
      </c>
      <c r="H36" s="737">
        <f>人件物件費ﾃﾞｰﾀ!S38</f>
        <v>6120224</v>
      </c>
      <c r="I36" s="737">
        <f>人件物件費ﾃﾞｰﾀ!V38</f>
        <v>6310515</v>
      </c>
      <c r="J36" s="737">
        <f>人件物件費ﾃﾞｰﾀ!Y38</f>
        <v>6509223</v>
      </c>
      <c r="K36" s="737">
        <f>人件物件費ﾃﾞｰﾀ!AB38</f>
        <v>6988146</v>
      </c>
      <c r="L36" s="737">
        <f>人件物件費ﾃﾞｰﾀ!AG48</f>
        <v>7087061</v>
      </c>
      <c r="M36" s="737">
        <f>人件物件費ﾃﾞｰﾀ!AL49</f>
        <v>6843295</v>
      </c>
      <c r="N36" s="737">
        <f>人件物件費ﾃﾞｰﾀ!AO49</f>
        <v>6988365</v>
      </c>
      <c r="O36" s="737">
        <f>人件物件費ﾃﾞｰﾀ!AT49</f>
        <v>6901098</v>
      </c>
      <c r="P36" s="737">
        <f>人件物件費ﾃﾞｰﾀ!AY49</f>
        <v>6748777</v>
      </c>
      <c r="Q36" s="737">
        <f>人件物件費ﾃﾞｰﾀ2!E38</f>
        <v>6751621</v>
      </c>
      <c r="R36" s="737">
        <f>人件物件費ﾃﾞｰﾀ2!H38</f>
        <v>6711280</v>
      </c>
      <c r="S36" s="737">
        <f>人件物件費ﾃﾞｰﾀ2!K38</f>
        <v>6792654</v>
      </c>
      <c r="T36" s="737">
        <f>人件物件費ﾃﾞｰﾀ2!N38</f>
        <v>6451710</v>
      </c>
      <c r="U36" s="737">
        <f>人件物件費ﾃﾞｰﾀ2!Q38</f>
        <v>6523484</v>
      </c>
      <c r="V36" s="737">
        <f>人件物件費ﾃﾞｰﾀ2!U38</f>
        <v>6285646</v>
      </c>
      <c r="W36" s="737">
        <f>人件物件費ﾃﾞｰﾀ2!Y38</f>
        <v>6535069</v>
      </c>
      <c r="X36" s="740">
        <f>人件物件費ﾃﾞｰﾀ2!AC38</f>
        <v>6994027</v>
      </c>
      <c r="Y36" s="740">
        <f>人件物件費ﾃﾞｰﾀ2!AG38</f>
        <v>6235395</v>
      </c>
      <c r="Z36" s="75">
        <f>人件物件費ﾃﾞｰﾀ2!AK38</f>
        <v>6574324</v>
      </c>
      <c r="AA36" s="75">
        <f>人件物件費ﾃﾞｰﾀ2!AO38</f>
        <v>6555613</v>
      </c>
      <c r="AB36" s="75">
        <f>人件物件費ﾃﾞｰﾀ2!AS38</f>
        <v>6775866</v>
      </c>
      <c r="AC36" s="75">
        <f>人件物件費ﾃﾞｰﾀ2!AW38</f>
        <v>6737365</v>
      </c>
      <c r="AD36" s="75">
        <f>人件物件費ﾃﾞｰﾀ2!BA38</f>
        <v>6673200</v>
      </c>
      <c r="AE36" s="75">
        <f>人件物件費ﾃﾞｰﾀ2!BE38</f>
        <v>6784420</v>
      </c>
      <c r="AF36" s="75">
        <f>人件物件費ﾃﾞｰﾀ2!BI38</f>
        <v>6674424</v>
      </c>
      <c r="AG36" s="75">
        <f>人件物件費ﾃﾞｰﾀ2!BM38</f>
        <v>7118915</v>
      </c>
      <c r="AH36" s="75">
        <f>人件物件費ﾃﾞｰﾀ2!BQ38</f>
        <v>7561656</v>
      </c>
      <c r="AI36" s="75">
        <f>人件物件費ﾃﾞｰﾀ2!BU38</f>
        <v>7782995</v>
      </c>
      <c r="AJ36" s="456">
        <f>人件物件費ﾃﾞｰﾀ2!BY38</f>
        <v>7151922</v>
      </c>
      <c r="AK36" s="456">
        <f>人件物件費ﾃﾞｰﾀ2!CC38</f>
        <v>7748981</v>
      </c>
      <c r="AL36" s="75">
        <f t="shared" ref="AL36:AN41" si="32">SUM(AI36:AK36)/3</f>
        <v>7561299.333333333</v>
      </c>
      <c r="AM36" s="75">
        <f t="shared" si="32"/>
        <v>7487400.7777777771</v>
      </c>
      <c r="AN36" s="75">
        <f t="shared" si="32"/>
        <v>7599227.0370370364</v>
      </c>
      <c r="AP36" s="75">
        <f t="shared" si="31"/>
        <v>6280326.3547358112</v>
      </c>
      <c r="AQ36" s="737">
        <v>25184</v>
      </c>
      <c r="AR36" s="737">
        <v>22023</v>
      </c>
      <c r="AS36" s="893">
        <f t="shared" si="6"/>
        <v>0.87448379923761121</v>
      </c>
    </row>
    <row r="37" spans="1:45">
      <c r="A37" s="89">
        <v>227</v>
      </c>
      <c r="B37" s="98" t="s">
        <v>219</v>
      </c>
      <c r="C37" s="737">
        <f>人件物件費ﾃﾞｰﾀ!D55+人件物件費ﾃﾞｰﾀ!D57+人件物件費ﾃﾞｰﾀ!D58+人件物件費ﾃﾞｰﾀ!D59</f>
        <v>5341569</v>
      </c>
      <c r="D37" s="737">
        <f>人件物件費ﾃﾞｰﾀ!G55+人件物件費ﾃﾞｰﾀ!G57+人件物件費ﾃﾞｰﾀ!G58+人件物件費ﾃﾞｰﾀ!G59</f>
        <v>5407227</v>
      </c>
      <c r="E37" s="737">
        <f>人件物件費ﾃﾞｰﾀ!J55+人件物件費ﾃﾞｰﾀ!J57+人件物件費ﾃﾞｰﾀ!J58+人件物件費ﾃﾞｰﾀ!J59</f>
        <v>5861463</v>
      </c>
      <c r="F37" s="737">
        <f>人件物件費ﾃﾞｰﾀ!M55+人件物件費ﾃﾞｰﾀ!M57+人件物件費ﾃﾞｰﾀ!M58+人件物件費ﾃﾞｰﾀ!M59</f>
        <v>6261853</v>
      </c>
      <c r="G37" s="737">
        <f>人件物件費ﾃﾞｰﾀ!P55+人件物件費ﾃﾞｰﾀ!P57+人件物件費ﾃﾞｰﾀ!P58+人件物件費ﾃﾞｰﾀ!P59</f>
        <v>6120056</v>
      </c>
      <c r="H37" s="737">
        <f>人件物件費ﾃﾞｰﾀ!S55+人件物件費ﾃﾞｰﾀ!S57+人件物件費ﾃﾞｰﾀ!S58+人件物件費ﾃﾞｰﾀ!S59</f>
        <v>6468281</v>
      </c>
      <c r="I37" s="737">
        <f>人件物件費ﾃﾞｰﾀ!V55+人件物件費ﾃﾞｰﾀ!V57+人件物件費ﾃﾞｰﾀ!V58+人件物件費ﾃﾞｰﾀ!V59</f>
        <v>6651820</v>
      </c>
      <c r="J37" s="737">
        <f>人件物件費ﾃﾞｰﾀ!Y55+人件物件費ﾃﾞｰﾀ!Y57+人件物件費ﾃﾞｰﾀ!Y58+人件物件費ﾃﾞｰﾀ!Y59</f>
        <v>6637649</v>
      </c>
      <c r="K37" s="737">
        <f>人件物件費ﾃﾞｰﾀ!AB55+人件物件費ﾃﾞｰﾀ!AB57+人件物件費ﾃﾞｰﾀ!AB58+人件物件費ﾃﾞｰﾀ!AB59</f>
        <v>6767242</v>
      </c>
      <c r="L37" s="737">
        <f>人件物件費ﾃﾞｰﾀ!AG58+人件物件費ﾃﾞｰﾀ!AG60+人件物件費ﾃﾞｰﾀ!AG61+人件物件費ﾃﾞｰﾀ!AG62</f>
        <v>6739259</v>
      </c>
      <c r="M37" s="737">
        <f>人件物件費ﾃﾞｰﾀ!AL59+人件物件費ﾃﾞｰﾀ!AL61+人件物件費ﾃﾞｰﾀ!AL62+人件物件費ﾃﾞｰﾀ!AL63</f>
        <v>6407725</v>
      </c>
      <c r="N37" s="737">
        <f>人件物件費ﾃﾞｰﾀ!AO59+人件物件費ﾃﾞｰﾀ!AO61+人件物件費ﾃﾞｰﾀ!AO62+人件物件費ﾃﾞｰﾀ!AO63</f>
        <v>6529576</v>
      </c>
      <c r="O37" s="737">
        <f>人件物件費ﾃﾞｰﾀ!AT59+人件物件費ﾃﾞｰﾀ!AT61+人件物件費ﾃﾞｰﾀ!AT62+人件物件費ﾃﾞｰﾀ!AT63</f>
        <v>6588208</v>
      </c>
      <c r="P37" s="737">
        <f>人件物件費ﾃﾞｰﾀ!AY50</f>
        <v>6635252</v>
      </c>
      <c r="Q37" s="737">
        <f>人件物件費ﾃﾞｰﾀ2!E39</f>
        <v>6711095</v>
      </c>
      <c r="R37" s="737">
        <f>人件物件費ﾃﾞｰﾀ2!H39</f>
        <v>7945669</v>
      </c>
      <c r="S37" s="737">
        <f>人件物件費ﾃﾞｰﾀ2!K39</f>
        <v>7151400</v>
      </c>
      <c r="T37" s="737">
        <f>人件物件費ﾃﾞｰﾀ2!N39</f>
        <v>7016126</v>
      </c>
      <c r="U37" s="737">
        <f>人件物件費ﾃﾞｰﾀ2!Q39</f>
        <v>6625067</v>
      </c>
      <c r="V37" s="737">
        <f>人件物件費ﾃﾞｰﾀ2!U39</f>
        <v>6986997</v>
      </c>
      <c r="W37" s="737">
        <f>人件物件費ﾃﾞｰﾀ2!Y39</f>
        <v>6631210</v>
      </c>
      <c r="X37" s="740">
        <f>人件物件費ﾃﾞｰﾀ2!AC39</f>
        <v>6962871</v>
      </c>
      <c r="Y37" s="740">
        <f>人件物件費ﾃﾞｰﾀ2!AG39</f>
        <v>6854666</v>
      </c>
      <c r="Z37" s="75">
        <f>人件物件費ﾃﾞｰﾀ2!AK39</f>
        <v>6078409</v>
      </c>
      <c r="AA37" s="75">
        <f>人件物件費ﾃﾞｰﾀ2!AO39</f>
        <v>6353119</v>
      </c>
      <c r="AB37" s="75">
        <f>人件物件費ﾃﾞｰﾀ2!AS39</f>
        <v>6555935</v>
      </c>
      <c r="AC37" s="75">
        <f>人件物件費ﾃﾞｰﾀ2!AW39</f>
        <v>6428231</v>
      </c>
      <c r="AD37" s="75">
        <f>人件物件費ﾃﾞｰﾀ2!BA39</f>
        <v>6417172</v>
      </c>
      <c r="AE37" s="75">
        <f>人件物件費ﾃﾞｰﾀ2!BE39</f>
        <v>6419933</v>
      </c>
      <c r="AF37" s="75">
        <f>人件物件費ﾃﾞｰﾀ2!BI39</f>
        <v>6540667</v>
      </c>
      <c r="AG37" s="75">
        <f>人件物件費ﾃﾞｰﾀ2!BM39</f>
        <v>6911012</v>
      </c>
      <c r="AH37" s="75">
        <f>人件物件費ﾃﾞｰﾀ2!BQ39</f>
        <v>7232757</v>
      </c>
      <c r="AI37" s="75">
        <f>人件物件費ﾃﾞｰﾀ2!BU39</f>
        <v>7348035</v>
      </c>
      <c r="AJ37" s="456">
        <f>人件物件費ﾃﾞｰﾀ2!BY39</f>
        <v>7349143</v>
      </c>
      <c r="AK37" s="456">
        <f>人件物件費ﾃﾞｰﾀ2!CC39</f>
        <v>7608302</v>
      </c>
      <c r="AL37" s="75">
        <f t="shared" si="32"/>
        <v>7435160</v>
      </c>
      <c r="AM37" s="75">
        <f t="shared" si="32"/>
        <v>7464201.666666667</v>
      </c>
      <c r="AN37" s="75">
        <f t="shared" si="32"/>
        <v>7502554.555555556</v>
      </c>
      <c r="AP37" s="75">
        <f t="shared" si="31"/>
        <v>6255656.3817206472</v>
      </c>
      <c r="AQ37" s="737">
        <v>24731</v>
      </c>
      <c r="AR37" s="737">
        <v>23321</v>
      </c>
      <c r="AS37" s="893">
        <f t="shared" si="6"/>
        <v>0.94298653511786823</v>
      </c>
    </row>
    <row r="38" spans="1:45">
      <c r="A38" s="89">
        <v>229</v>
      </c>
      <c r="B38" s="98" t="s">
        <v>235</v>
      </c>
      <c r="C38" s="737">
        <f>人件物件費ﾃﾞｰﾀ!D37+人件物件費ﾃﾞｰﾀ!D46+人件物件費ﾃﾞｰﾀ!D47+人件物件費ﾃﾞｰﾀ!D48</f>
        <v>7462938</v>
      </c>
      <c r="D38" s="737">
        <f>人件物件費ﾃﾞｰﾀ!G37+人件物件費ﾃﾞｰﾀ!G46+人件物件費ﾃﾞｰﾀ!G47+人件物件費ﾃﾞｰﾀ!G48</f>
        <v>8166290</v>
      </c>
      <c r="E38" s="737">
        <f>人件物件費ﾃﾞｰﾀ!J37+人件物件費ﾃﾞｰﾀ!J46+人件物件費ﾃﾞｰﾀ!J47+人件物件費ﾃﾞｰﾀ!J48</f>
        <v>8426738</v>
      </c>
      <c r="F38" s="737">
        <f>人件物件費ﾃﾞｰﾀ!M37+人件物件費ﾃﾞｰﾀ!M46+人件物件費ﾃﾞｰﾀ!M47+人件物件費ﾃﾞｰﾀ!M48</f>
        <v>8959001</v>
      </c>
      <c r="G38" s="737">
        <f>人件物件費ﾃﾞｰﾀ!P37+人件物件費ﾃﾞｰﾀ!P46+人件物件費ﾃﾞｰﾀ!P47+人件物件費ﾃﾞｰﾀ!P48</f>
        <v>9079108</v>
      </c>
      <c r="H38" s="737">
        <f>人件物件費ﾃﾞｰﾀ!S37+人件物件費ﾃﾞｰﾀ!S46+人件物件費ﾃﾞｰﾀ!S47+人件物件費ﾃﾞｰﾀ!S48</f>
        <v>9435840</v>
      </c>
      <c r="I38" s="737">
        <f>人件物件費ﾃﾞｰﾀ!V37+人件物件費ﾃﾞｰﾀ!V46+人件物件費ﾃﾞｰﾀ!V47+人件物件費ﾃﾞｰﾀ!V48</f>
        <v>9755078</v>
      </c>
      <c r="J38" s="737">
        <f>人件物件費ﾃﾞｰﾀ!Y37+人件物件費ﾃﾞｰﾀ!Y46+人件物件費ﾃﾞｰﾀ!Y47+人件物件費ﾃﾞｰﾀ!Y48</f>
        <v>10011856</v>
      </c>
      <c r="K38" s="737">
        <f>人件物件費ﾃﾞｰﾀ!AB37+人件物件費ﾃﾞｰﾀ!AB46+人件物件費ﾃﾞｰﾀ!AB47+人件物件費ﾃﾞｰﾀ!AB48</f>
        <v>10293381</v>
      </c>
      <c r="L38" s="737">
        <f>人件物件費ﾃﾞｰﾀ!AG47+人件物件費ﾃﾞｰﾀ!AG49+人件物件費ﾃﾞｰﾀ!AG50+人件物件費ﾃﾞｰﾀ!AG51</f>
        <v>10231256</v>
      </c>
      <c r="M38" s="737">
        <f>人件物件費ﾃﾞｰﾀ!AL48+人件物件費ﾃﾞｰﾀ!AL50+人件物件費ﾃﾞｰﾀ!AL51+人件物件費ﾃﾞｰﾀ!AL52</f>
        <v>9985514</v>
      </c>
      <c r="N38" s="737">
        <f>人件物件費ﾃﾞｰﾀ!AO48+人件物件費ﾃﾞｰﾀ!AO50+人件物件費ﾃﾞｰﾀ!AO51+人件物件費ﾃﾞｰﾀ!AO52</f>
        <v>10457137</v>
      </c>
      <c r="O38" s="737">
        <f>人件物件費ﾃﾞｰﾀ!AT48+人件物件費ﾃﾞｰﾀ!AT50+人件物件費ﾃﾞｰﾀ!AT51+人件物件費ﾃﾞｰﾀ!AT52</f>
        <v>10289123</v>
      </c>
      <c r="P38" s="737">
        <f>人件物件費ﾃﾞｰﾀ!AY48+人件物件費ﾃﾞｰﾀ!AY51+人件物件費ﾃﾞｰﾀ!AY52+人件物件費ﾃﾞｰﾀ!AY53</f>
        <v>10113545</v>
      </c>
      <c r="Q38" s="737">
        <f>人件物件費ﾃﾞｰﾀ2!E40</f>
        <v>10221445</v>
      </c>
      <c r="R38" s="737">
        <f>人件物件費ﾃﾞｰﾀ2!H40</f>
        <v>11860738</v>
      </c>
      <c r="S38" s="737">
        <f>人件物件費ﾃﾞｰﾀ2!K40</f>
        <v>10272532</v>
      </c>
      <c r="T38" s="737">
        <f>人件物件費ﾃﾞｰﾀ2!N40</f>
        <v>10237708</v>
      </c>
      <c r="U38" s="737">
        <f>人件物件費ﾃﾞｰﾀ2!Q40</f>
        <v>9548858</v>
      </c>
      <c r="V38" s="737">
        <f>人件物件費ﾃﾞｰﾀ2!U40</f>
        <v>9967223</v>
      </c>
      <c r="W38" s="737">
        <f>人件物件費ﾃﾞｰﾀ2!Y40</f>
        <v>9876897</v>
      </c>
      <c r="X38" s="740">
        <f>人件物件費ﾃﾞｰﾀ2!AC40</f>
        <v>9849950</v>
      </c>
      <c r="Y38" s="740">
        <f>人件物件費ﾃﾞｰﾀ2!AG40</f>
        <v>9501759</v>
      </c>
      <c r="Z38" s="75">
        <f>人件物件費ﾃﾞｰﾀ2!AK40</f>
        <v>8186683</v>
      </c>
      <c r="AA38" s="75">
        <f>人件物件費ﾃﾞｰﾀ2!AO40</f>
        <v>8146006</v>
      </c>
      <c r="AB38" s="75">
        <f>人件物件費ﾃﾞｰﾀ2!AS40</f>
        <v>7972716</v>
      </c>
      <c r="AC38" s="75">
        <f>人件物件費ﾃﾞｰﾀ2!AW40</f>
        <v>8004998</v>
      </c>
      <c r="AD38" s="75">
        <f>人件物件費ﾃﾞｰﾀ2!BA40</f>
        <v>8048073</v>
      </c>
      <c r="AE38" s="75">
        <f>人件物件費ﾃﾞｰﾀ2!BE40</f>
        <v>8035519</v>
      </c>
      <c r="AF38" s="75">
        <f>人件物件費ﾃﾞｰﾀ2!BI40</f>
        <v>8077273</v>
      </c>
      <c r="AG38" s="75">
        <f>人件物件費ﾃﾞｰﾀ2!BM40</f>
        <v>8941607</v>
      </c>
      <c r="AH38" s="75">
        <f>人件物件費ﾃﾞｰﾀ2!BQ40</f>
        <v>8914073</v>
      </c>
      <c r="AI38" s="75">
        <f>人件物件費ﾃﾞｰﾀ2!BU40</f>
        <v>9075005</v>
      </c>
      <c r="AJ38" s="456">
        <f>人件物件費ﾃﾞｰﾀ2!BY40</f>
        <v>9043734</v>
      </c>
      <c r="AK38" s="456">
        <f>人件物件費ﾃﾞｰﾀ2!CC40</f>
        <v>9921043</v>
      </c>
      <c r="AL38" s="75">
        <f t="shared" si="32"/>
        <v>9346594</v>
      </c>
      <c r="AM38" s="75">
        <f t="shared" si="32"/>
        <v>9437123.666666666</v>
      </c>
      <c r="AN38" s="75">
        <f t="shared" si="32"/>
        <v>9568253.5555555541</v>
      </c>
      <c r="AP38" s="75">
        <f t="shared" si="31"/>
        <v>8323787.1726317462</v>
      </c>
      <c r="AQ38" s="737">
        <v>33752</v>
      </c>
      <c r="AR38" s="737">
        <v>36178</v>
      </c>
      <c r="AS38" s="893">
        <f t="shared" si="6"/>
        <v>1.0718772220905428</v>
      </c>
    </row>
    <row r="39" spans="1:45">
      <c r="A39" s="89">
        <v>464</v>
      </c>
      <c r="B39" s="98" t="s">
        <v>208</v>
      </c>
      <c r="C39" s="737">
        <f>人件物件費ﾃﾞｰﾀ!D49</f>
        <v>2109143</v>
      </c>
      <c r="D39" s="737">
        <f>人件物件費ﾃﾞｰﾀ!G49</f>
        <v>2310786</v>
      </c>
      <c r="E39" s="737">
        <f>人件物件費ﾃﾞｰﾀ!J49</f>
        <v>2392340</v>
      </c>
      <c r="F39" s="737">
        <f>人件物件費ﾃﾞｰﾀ!M49</f>
        <v>2536643</v>
      </c>
      <c r="G39" s="737">
        <f>人件物件費ﾃﾞｰﾀ!P49</f>
        <v>2565407</v>
      </c>
      <c r="H39" s="737">
        <f>人件物件費ﾃﾞｰﾀ!S49</f>
        <v>2775072</v>
      </c>
      <c r="I39" s="737">
        <f>人件物件費ﾃﾞｰﾀ!V49</f>
        <v>2858835</v>
      </c>
      <c r="J39" s="737">
        <f>人件物件費ﾃﾞｰﾀ!Y49</f>
        <v>3030532</v>
      </c>
      <c r="K39" s="737">
        <f>人件物件費ﾃﾞｰﾀ!AB49</f>
        <v>3093799</v>
      </c>
      <c r="L39" s="737">
        <f>人件物件費ﾃﾞｰﾀ!AG52</f>
        <v>3084443</v>
      </c>
      <c r="M39" s="737">
        <f>人件物件費ﾃﾞｰﾀ!AL53</f>
        <v>3031117</v>
      </c>
      <c r="N39" s="737">
        <f>人件物件費ﾃﾞｰﾀ!AO53</f>
        <v>2993633</v>
      </c>
      <c r="O39" s="737">
        <f>人件物件費ﾃﾞｰﾀ!AT53</f>
        <v>2950686</v>
      </c>
      <c r="P39" s="737">
        <f>人件物件費ﾃﾞｰﾀ!AY54</f>
        <v>2955194</v>
      </c>
      <c r="Q39" s="737">
        <f>人件物件費ﾃﾞｰﾀ2!E41</f>
        <v>2805650</v>
      </c>
      <c r="R39" s="737">
        <f>人件物件費ﾃﾞｰﾀ2!H41</f>
        <v>2654144</v>
      </c>
      <c r="S39" s="737">
        <f>人件物件費ﾃﾞｰﾀ2!K41</f>
        <v>2583347</v>
      </c>
      <c r="T39" s="737">
        <f>人件物件費ﾃﾞｰﾀ2!N41</f>
        <v>2595885</v>
      </c>
      <c r="U39" s="737">
        <f>人件物件費ﾃﾞｰﾀ2!Q41</f>
        <v>2595309</v>
      </c>
      <c r="V39" s="737">
        <f>人件物件費ﾃﾞｰﾀ2!U41</f>
        <v>2763921</v>
      </c>
      <c r="W39" s="737">
        <f>人件物件費ﾃﾞｰﾀ2!Y41</f>
        <v>2673275</v>
      </c>
      <c r="X39" s="740">
        <f>人件物件費ﾃﾞｰﾀ2!AC41</f>
        <v>2803563</v>
      </c>
      <c r="Y39" s="740">
        <f>人件物件費ﾃﾞｰﾀ2!AG41</f>
        <v>2696840</v>
      </c>
      <c r="Z39" s="75">
        <f>人件物件費ﾃﾞｰﾀ2!AK41</f>
        <v>2638733</v>
      </c>
      <c r="AA39" s="75">
        <f>人件物件費ﾃﾞｰﾀ2!AO41</f>
        <v>2630081</v>
      </c>
      <c r="AB39" s="75">
        <f>人件物件費ﾃﾞｰﾀ2!AS41</f>
        <v>2726451</v>
      </c>
      <c r="AC39" s="75">
        <f>人件物件費ﾃﾞｰﾀ2!AW41</f>
        <v>2821668</v>
      </c>
      <c r="AD39" s="75">
        <f>人件物件費ﾃﾞｰﾀ2!BA41</f>
        <v>2851784</v>
      </c>
      <c r="AE39" s="75">
        <f>人件物件費ﾃﾞｰﾀ2!BE41</f>
        <v>2784632</v>
      </c>
      <c r="AF39" s="75">
        <f>人件物件費ﾃﾞｰﾀ2!BI41</f>
        <v>2818196</v>
      </c>
      <c r="AG39" s="75">
        <f>人件物件費ﾃﾞｰﾀ2!BM41</f>
        <v>3186262</v>
      </c>
      <c r="AH39" s="75">
        <f>人件物件費ﾃﾞｰﾀ2!BQ41</f>
        <v>3183369</v>
      </c>
      <c r="AI39" s="75">
        <f>人件物件費ﾃﾞｰﾀ2!BU41</f>
        <v>3487606</v>
      </c>
      <c r="AJ39" s="456">
        <f>人件物件費ﾃﾞｰﾀ2!BY41</f>
        <v>3484276</v>
      </c>
      <c r="AK39" s="456">
        <f>人件物件費ﾃﾞｰﾀ2!CC41</f>
        <v>3868004</v>
      </c>
      <c r="AL39" s="75">
        <f t="shared" si="32"/>
        <v>3613295.3333333335</v>
      </c>
      <c r="AM39" s="75">
        <f t="shared" si="32"/>
        <v>3655191.777777778</v>
      </c>
      <c r="AN39" s="75">
        <f t="shared" si="32"/>
        <v>3712163.7037037038</v>
      </c>
      <c r="AP39" s="75">
        <f t="shared" si="31"/>
        <v>2469776.4706064118</v>
      </c>
      <c r="AQ39" s="737">
        <v>12945</v>
      </c>
      <c r="AR39" s="737">
        <v>10799</v>
      </c>
      <c r="AS39" s="893">
        <f t="shared" si="6"/>
        <v>0.83422170722286593</v>
      </c>
    </row>
    <row r="40" spans="1:45">
      <c r="A40" s="89">
        <v>481</v>
      </c>
      <c r="B40" s="98" t="s">
        <v>209</v>
      </c>
      <c r="C40" s="737">
        <f>人件物件費ﾃﾞｰﾀ!D50</f>
        <v>1851641</v>
      </c>
      <c r="D40" s="737">
        <f>人件物件費ﾃﾞｰﾀ!G50</f>
        <v>1954590</v>
      </c>
      <c r="E40" s="737">
        <f>人件物件費ﾃﾞｰﾀ!J50</f>
        <v>2039390</v>
      </c>
      <c r="F40" s="737">
        <f>人件物件費ﾃﾞｰﾀ!M50</f>
        <v>2119708</v>
      </c>
      <c r="G40" s="737">
        <f>人件物件費ﾃﾞｰﾀ!P50</f>
        <v>2213441</v>
      </c>
      <c r="H40" s="737">
        <f>人件物件費ﾃﾞｰﾀ!S50</f>
        <v>2646530</v>
      </c>
      <c r="I40" s="737">
        <f>人件物件費ﾃﾞｰﾀ!V50</f>
        <v>2737737</v>
      </c>
      <c r="J40" s="737">
        <f>人件物件費ﾃﾞｰﾀ!Y50</f>
        <v>2791471</v>
      </c>
      <c r="K40" s="737">
        <f>人件物件費ﾃﾞｰﾀ!AB50</f>
        <v>2870801</v>
      </c>
      <c r="L40" s="737">
        <f>人件物件費ﾃﾞｰﾀ!AG53</f>
        <v>2833978</v>
      </c>
      <c r="M40" s="737">
        <f>人件物件費ﾃﾞｰﾀ!AL54</f>
        <v>2729761</v>
      </c>
      <c r="N40" s="737">
        <f>人件物件費ﾃﾞｰﾀ!AO54</f>
        <v>2733531</v>
      </c>
      <c r="O40" s="737">
        <f>人件物件費ﾃﾞｰﾀ!AT54</f>
        <v>2772664</v>
      </c>
      <c r="P40" s="737">
        <f>人件物件費ﾃﾞｰﾀ!AY55</f>
        <v>2732000</v>
      </c>
      <c r="Q40" s="737">
        <f>人件物件費ﾃﾞｰﾀ2!E42</f>
        <v>2729933</v>
      </c>
      <c r="R40" s="737">
        <f>人件物件費ﾃﾞｰﾀ2!H42</f>
        <v>2624094</v>
      </c>
      <c r="S40" s="737">
        <f>人件物件費ﾃﾞｰﾀ2!K42</f>
        <v>2279362</v>
      </c>
      <c r="T40" s="737">
        <f>人件物件費ﾃﾞｰﾀ2!N42</f>
        <v>2262724</v>
      </c>
      <c r="U40" s="737">
        <f>人件物件費ﾃﾞｰﾀ2!Q42</f>
        <v>2123245</v>
      </c>
      <c r="V40" s="737">
        <f>人件物件費ﾃﾞｰﾀ2!U42</f>
        <v>2401332</v>
      </c>
      <c r="W40" s="737">
        <f>人件物件費ﾃﾞｰﾀ2!Y42</f>
        <v>2445334</v>
      </c>
      <c r="X40" s="740">
        <f>人件物件費ﾃﾞｰﾀ2!AC42</f>
        <v>2522236</v>
      </c>
      <c r="Y40" s="740">
        <f>人件物件費ﾃﾞｰﾀ2!AG42</f>
        <v>2442248</v>
      </c>
      <c r="Z40" s="75">
        <f>人件物件費ﾃﾞｰﾀ2!AK42</f>
        <v>2342062</v>
      </c>
      <c r="AA40" s="75">
        <f>人件物件費ﾃﾞｰﾀ2!AO42</f>
        <v>2447548</v>
      </c>
      <c r="AB40" s="75">
        <f>人件物件費ﾃﾞｰﾀ2!AS42</f>
        <v>2381228</v>
      </c>
      <c r="AC40" s="75">
        <f>人件物件費ﾃﾞｰﾀ2!AW42</f>
        <v>2368237</v>
      </c>
      <c r="AD40" s="75">
        <f>人件物件費ﾃﾞｰﾀ2!BA42</f>
        <v>2278929</v>
      </c>
      <c r="AE40" s="75">
        <f>人件物件費ﾃﾞｰﾀ2!BE42</f>
        <v>2324145</v>
      </c>
      <c r="AF40" s="75">
        <f>人件物件費ﾃﾞｰﾀ2!BI42</f>
        <v>2384222</v>
      </c>
      <c r="AG40" s="75">
        <f>人件物件費ﾃﾞｰﾀ2!BM42</f>
        <v>2463122</v>
      </c>
      <c r="AH40" s="75">
        <f>人件物件費ﾃﾞｰﾀ2!BQ42</f>
        <v>2658200</v>
      </c>
      <c r="AI40" s="75">
        <f>人件物件費ﾃﾞｰﾀ2!BU42</f>
        <v>2583054</v>
      </c>
      <c r="AJ40" s="456">
        <f>人件物件費ﾃﾞｰﾀ2!BY42</f>
        <v>2888728</v>
      </c>
      <c r="AK40" s="456">
        <f>人件物件費ﾃﾞｰﾀ2!CC42</f>
        <v>2785345</v>
      </c>
      <c r="AL40" s="75">
        <f t="shared" si="32"/>
        <v>2752375.6666666665</v>
      </c>
      <c r="AM40" s="75">
        <f t="shared" si="32"/>
        <v>2808816.222222222</v>
      </c>
      <c r="AN40" s="75">
        <f t="shared" si="32"/>
        <v>2782178.9629629627</v>
      </c>
      <c r="AP40" s="75">
        <f t="shared" si="31"/>
        <v>2484943.5276759705</v>
      </c>
      <c r="AQ40" s="737">
        <v>7094</v>
      </c>
      <c r="AR40" s="737">
        <v>7685</v>
      </c>
      <c r="AS40" s="893">
        <f t="shared" si="6"/>
        <v>1.0833098393008176</v>
      </c>
    </row>
    <row r="41" spans="1:45">
      <c r="A41" s="89">
        <v>501</v>
      </c>
      <c r="B41" s="98" t="s">
        <v>236</v>
      </c>
      <c r="C41" s="737">
        <f>人件物件費ﾃﾞｰﾀ!D51+人件物件費ﾃﾞｰﾀ!D52+人件物件費ﾃﾞｰﾀ!D53+人件物件費ﾃﾞｰﾀ!D54</f>
        <v>3240058</v>
      </c>
      <c r="D41" s="737">
        <f>人件物件費ﾃﾞｰﾀ!G51+人件物件費ﾃﾞｰﾀ!G52+人件物件費ﾃﾞｰﾀ!G53+人件物件費ﾃﾞｰﾀ!G54</f>
        <v>3412424</v>
      </c>
      <c r="E41" s="737">
        <f>人件物件費ﾃﾞｰﾀ!J51+人件物件費ﾃﾞｰﾀ!J52+人件物件費ﾃﾞｰﾀ!J53+人件物件費ﾃﾞｰﾀ!J54</f>
        <v>3613956</v>
      </c>
      <c r="F41" s="737">
        <f>人件物件費ﾃﾞｰﾀ!M51+人件物件費ﾃﾞｰﾀ!M52+人件物件費ﾃﾞｰﾀ!M53+人件物件費ﾃﾞｰﾀ!M54</f>
        <v>3841575</v>
      </c>
      <c r="G41" s="737">
        <f>人件物件費ﾃﾞｰﾀ!P51+人件物件費ﾃﾞｰﾀ!P52+人件物件費ﾃﾞｰﾀ!P53+人件物件費ﾃﾞｰﾀ!P54</f>
        <v>3919082</v>
      </c>
      <c r="H41" s="737">
        <f>人件物件費ﾃﾞｰﾀ!S51+人件物件費ﾃﾞｰﾀ!S52+人件物件費ﾃﾞｰﾀ!S53+人件物件費ﾃﾞｰﾀ!S54</f>
        <v>4214074</v>
      </c>
      <c r="I41" s="737">
        <f>人件物件費ﾃﾞｰﾀ!V51+人件物件費ﾃﾞｰﾀ!V52+人件物件費ﾃﾞｰﾀ!V53+人件物件費ﾃﾞｰﾀ!V54</f>
        <v>4251955</v>
      </c>
      <c r="J41" s="737">
        <f>人件物件費ﾃﾞｰﾀ!Y51+人件物件費ﾃﾞｰﾀ!Y52+人件物件費ﾃﾞｰﾀ!Y53+人件物件費ﾃﾞｰﾀ!Y54</f>
        <v>4353801</v>
      </c>
      <c r="K41" s="737">
        <f>人件物件費ﾃﾞｰﾀ!AB51+人件物件費ﾃﾞｰﾀ!AB52+人件物件費ﾃﾞｰﾀ!AB53+人件物件費ﾃﾞｰﾀ!AB54</f>
        <v>4607655</v>
      </c>
      <c r="L41" s="737">
        <f>人件物件費ﾃﾞｰﾀ!AG54+人件物件費ﾃﾞｰﾀ!AG55+人件物件費ﾃﾞｰﾀ!AG56+人件物件費ﾃﾞｰﾀ!AG57</f>
        <v>4584434</v>
      </c>
      <c r="M41" s="737">
        <f>人件物件費ﾃﾞｰﾀ!AL55+人件物件費ﾃﾞｰﾀ!AL56+人件物件費ﾃﾞｰﾀ!AL57+人件物件費ﾃﾞｰﾀ!AL58</f>
        <v>4484317</v>
      </c>
      <c r="N41" s="737">
        <f>人件物件費ﾃﾞｰﾀ!AO55+人件物件費ﾃﾞｰﾀ!AO56+人件物件費ﾃﾞｰﾀ!AO57+人件物件費ﾃﾞｰﾀ!AO58</f>
        <v>4450312</v>
      </c>
      <c r="O41" s="737">
        <f>人件物件費ﾃﾞｰﾀ!AT55+人件物件費ﾃﾞｰﾀ!AT56+人件物件費ﾃﾞｰﾀ!AT57+人件物件費ﾃﾞｰﾀ!AT58</f>
        <v>4464541</v>
      </c>
      <c r="P41" s="737">
        <f>人件物件費ﾃﾞｰﾀ!AY56+人件物件費ﾃﾞｰﾀ!AY57+人件物件費ﾃﾞｰﾀ!AY58+人件物件費ﾃﾞｰﾀ!AY59</f>
        <v>4410056</v>
      </c>
      <c r="Q41" s="737">
        <f>人件物件費ﾃﾞｰﾀ2!E43</f>
        <v>4380087</v>
      </c>
      <c r="R41" s="737">
        <f>人件物件費ﾃﾞｰﾀ2!H43</f>
        <v>5589922</v>
      </c>
      <c r="S41" s="737">
        <f>人件物件費ﾃﾞｰﾀ2!K43</f>
        <v>4849104</v>
      </c>
      <c r="T41" s="737">
        <f>人件物件費ﾃﾞｰﾀ2!N43</f>
        <v>4717104</v>
      </c>
      <c r="U41" s="737">
        <f>人件物件費ﾃﾞｰﾀ2!Q43</f>
        <v>4680972</v>
      </c>
      <c r="V41" s="737">
        <f>人件物件費ﾃﾞｰﾀ2!U43</f>
        <v>5918767</v>
      </c>
      <c r="W41" s="737">
        <f>人件物件費ﾃﾞｰﾀ2!Y43</f>
        <v>4826293</v>
      </c>
      <c r="X41" s="740">
        <f>人件物件費ﾃﾞｰﾀ2!AC43</f>
        <v>4709044</v>
      </c>
      <c r="Y41" s="740">
        <f>人件物件費ﾃﾞｰﾀ2!AG43</f>
        <v>4539960</v>
      </c>
      <c r="Z41" s="75">
        <f>人件物件費ﾃﾞｰﾀ2!AK43</f>
        <v>3890664</v>
      </c>
      <c r="AA41" s="75">
        <f>人件物件費ﾃﾞｰﾀ2!AO43</f>
        <v>3879561</v>
      </c>
      <c r="AB41" s="75">
        <f>人件物件費ﾃﾞｰﾀ2!AS43</f>
        <v>4041267</v>
      </c>
      <c r="AC41" s="75">
        <f>人件物件費ﾃﾞｰﾀ2!AW43</f>
        <v>3849473</v>
      </c>
      <c r="AD41" s="75">
        <f>人件物件費ﾃﾞｰﾀ2!BA43</f>
        <v>3832720</v>
      </c>
      <c r="AE41" s="75">
        <f>人件物件費ﾃﾞｰﾀ2!BE43</f>
        <v>3767660</v>
      </c>
      <c r="AF41" s="75">
        <f>人件物件費ﾃﾞｰﾀ2!BI43</f>
        <v>3622944</v>
      </c>
      <c r="AG41" s="75">
        <f>人件物件費ﾃﾞｰﾀ2!BM43</f>
        <v>4161944</v>
      </c>
      <c r="AH41" s="75">
        <f>人件物件費ﾃﾞｰﾀ2!BQ43</f>
        <v>3935282</v>
      </c>
      <c r="AI41" s="75">
        <f>人件物件費ﾃﾞｰﾀ2!BU43</f>
        <v>4285938</v>
      </c>
      <c r="AJ41" s="456">
        <f>人件物件費ﾃﾞｰﾀ2!BY43</f>
        <v>3881707</v>
      </c>
      <c r="AK41" s="456">
        <f>人件物件費ﾃﾞｰﾀ2!CC43</f>
        <v>4338840</v>
      </c>
      <c r="AL41" s="75">
        <f t="shared" si="32"/>
        <v>4168828.3333333335</v>
      </c>
      <c r="AM41" s="75">
        <f t="shared" si="32"/>
        <v>4129791.777777778</v>
      </c>
      <c r="AN41" s="75">
        <f t="shared" si="32"/>
        <v>4212486.7037037043</v>
      </c>
      <c r="AP41" s="75">
        <f t="shared" si="31"/>
        <v>3951553.5263733775</v>
      </c>
      <c r="AQ41" s="737">
        <v>13252</v>
      </c>
      <c r="AR41" s="737">
        <v>13005</v>
      </c>
      <c r="AS41" s="893">
        <f t="shared" si="6"/>
        <v>0.98136130395412013</v>
      </c>
    </row>
    <row r="42" spans="1:45">
      <c r="A42" s="89"/>
      <c r="B42" s="101" t="s">
        <v>210</v>
      </c>
      <c r="C42" s="737">
        <f>SUM(C43:C47)</f>
        <v>24115280</v>
      </c>
      <c r="D42" s="737">
        <f t="shared" ref="D42:K42" si="33">SUM(D43:D47)</f>
        <v>25793504</v>
      </c>
      <c r="E42" s="737">
        <f t="shared" si="33"/>
        <v>28061219</v>
      </c>
      <c r="F42" s="737">
        <f t="shared" si="33"/>
        <v>29879596</v>
      </c>
      <c r="G42" s="737">
        <f t="shared" si="33"/>
        <v>31027690</v>
      </c>
      <c r="H42" s="737">
        <f t="shared" si="33"/>
        <v>31313599</v>
      </c>
      <c r="I42" s="737">
        <f t="shared" si="33"/>
        <v>31548442</v>
      </c>
      <c r="J42" s="737">
        <f t="shared" si="33"/>
        <v>31699365</v>
      </c>
      <c r="K42" s="737">
        <f t="shared" si="33"/>
        <v>32912010</v>
      </c>
      <c r="L42" s="737">
        <f t="shared" ref="L42:T42" si="34">SUM(L43:L47)</f>
        <v>32600278</v>
      </c>
      <c r="M42" s="737">
        <f t="shared" si="34"/>
        <v>31518837</v>
      </c>
      <c r="N42" s="737">
        <f t="shared" si="34"/>
        <v>31726677</v>
      </c>
      <c r="O42" s="737">
        <f t="shared" si="34"/>
        <v>31501873</v>
      </c>
      <c r="P42" s="737">
        <f t="shared" si="34"/>
        <v>31446084</v>
      </c>
      <c r="Q42" s="737">
        <f t="shared" si="34"/>
        <v>33537220</v>
      </c>
      <c r="R42" s="737">
        <f t="shared" si="34"/>
        <v>37736185</v>
      </c>
      <c r="S42" s="737">
        <f t="shared" si="34"/>
        <v>32835819</v>
      </c>
      <c r="T42" s="737">
        <f t="shared" si="34"/>
        <v>32487363</v>
      </c>
      <c r="U42" s="737">
        <f t="shared" ref="U42:AH42" si="35">SUM(U43:U47)</f>
        <v>31684334</v>
      </c>
      <c r="V42" s="737">
        <f t="shared" si="35"/>
        <v>33600292</v>
      </c>
      <c r="W42" s="737">
        <f t="shared" si="35"/>
        <v>33410887</v>
      </c>
      <c r="X42" s="737">
        <f t="shared" si="35"/>
        <v>34117332</v>
      </c>
      <c r="Y42" s="737">
        <f t="shared" si="35"/>
        <v>33358630</v>
      </c>
      <c r="Z42" s="737">
        <f t="shared" si="35"/>
        <v>31794639</v>
      </c>
      <c r="AA42" s="737">
        <f t="shared" si="35"/>
        <v>32138517</v>
      </c>
      <c r="AB42" s="737">
        <f t="shared" si="35"/>
        <v>31920185</v>
      </c>
      <c r="AC42" s="737">
        <f t="shared" si="35"/>
        <v>32214923</v>
      </c>
      <c r="AD42" s="737">
        <f t="shared" si="35"/>
        <v>32145792</v>
      </c>
      <c r="AE42" s="737">
        <f t="shared" si="35"/>
        <v>31188024</v>
      </c>
      <c r="AF42" s="737">
        <f t="shared" si="35"/>
        <v>31493325</v>
      </c>
      <c r="AG42" s="737">
        <f t="shared" si="35"/>
        <v>34893499</v>
      </c>
      <c r="AH42" s="737">
        <f t="shared" si="35"/>
        <v>36290936</v>
      </c>
      <c r="AI42" s="75">
        <f>人件物件費ﾃﾞｰﾀ2!BU44</f>
        <v>37868826</v>
      </c>
      <c r="AJ42" s="456">
        <f>人件物件費ﾃﾞｰﾀ2!BY44</f>
        <v>35626179</v>
      </c>
      <c r="AK42" s="456">
        <f>人件物件費ﾃﾞｰﾀ2!CC44</f>
        <v>39099589</v>
      </c>
      <c r="AL42" s="737">
        <f>SUM(AL43:AL47)</f>
        <v>37531531.333333336</v>
      </c>
      <c r="AM42" s="737">
        <f>SUM(AM43:AM47)</f>
        <v>37419099.777777776</v>
      </c>
      <c r="AN42" s="737">
        <f>SUM(AN43:AN47)</f>
        <v>38016740.037037045</v>
      </c>
      <c r="AP42" s="737">
        <f>SUM(AP43:AP47)</f>
        <v>31130585.880975924</v>
      </c>
      <c r="AQ42" s="737">
        <f>SUM(AQ43:AQ47)</f>
        <v>120158</v>
      </c>
      <c r="AR42" s="737">
        <f>SUM(AR43:AR47)</f>
        <v>113796</v>
      </c>
      <c r="AS42" s="893">
        <f t="shared" si="6"/>
        <v>0.94705304682168479</v>
      </c>
    </row>
    <row r="43" spans="1:45">
      <c r="A43" s="89">
        <v>209</v>
      </c>
      <c r="B43" s="98" t="s">
        <v>221</v>
      </c>
      <c r="C43" s="737">
        <f>人件物件費ﾃﾞｰﾀ!D61+人件物件費ﾃﾞｰﾀ!D62+人件物件費ﾃﾞｰﾀ!D63+人件物件費ﾃﾞｰﾀ!D65+人件物件費ﾃﾞｰﾀ!D66+人件物件費ﾃﾞｰﾀ!D67</f>
        <v>9992871</v>
      </c>
      <c r="D43" s="737">
        <f>人件物件費ﾃﾞｰﾀ!G61+人件物件費ﾃﾞｰﾀ!G62+人件物件費ﾃﾞｰﾀ!G63+人件物件費ﾃﾞｰﾀ!G65+人件物件費ﾃﾞｰﾀ!G66+人件物件費ﾃﾞｰﾀ!G67</f>
        <v>10813308</v>
      </c>
      <c r="E43" s="737">
        <f>人件物件費ﾃﾞｰﾀ!J61+人件物件費ﾃﾞｰﾀ!J62+人件物件費ﾃﾞｰﾀ!J63+人件物件費ﾃﾞｰﾀ!J65+人件物件費ﾃﾞｰﾀ!J66+人件物件費ﾃﾞｰﾀ!J67</f>
        <v>11775137</v>
      </c>
      <c r="F43" s="737">
        <f>人件物件費ﾃﾞｰﾀ!M61+人件物件費ﾃﾞｰﾀ!M62+人件物件費ﾃﾞｰﾀ!M63+人件物件費ﾃﾞｰﾀ!M65+人件物件費ﾃﾞｰﾀ!M66+人件物件費ﾃﾞｰﾀ!M67</f>
        <v>12318511</v>
      </c>
      <c r="G43" s="737">
        <f>人件物件費ﾃﾞｰﾀ!P61+人件物件費ﾃﾞｰﾀ!P62+人件物件費ﾃﾞｰﾀ!P63+人件物件費ﾃﾞｰﾀ!P65+人件物件費ﾃﾞｰﾀ!P66+人件物件費ﾃﾞｰﾀ!P67</f>
        <v>12590830</v>
      </c>
      <c r="H43" s="737">
        <f>人件物件費ﾃﾞｰﾀ!S61+人件物件費ﾃﾞｰﾀ!S62+人件物件費ﾃﾞｰﾀ!S63+人件物件費ﾃﾞｰﾀ!S65+人件物件費ﾃﾞｰﾀ!S66+人件物件費ﾃﾞｰﾀ!S67</f>
        <v>12710997</v>
      </c>
      <c r="I43" s="737">
        <f>人件物件費ﾃﾞｰﾀ!V61+人件物件費ﾃﾞｰﾀ!V62+人件物件費ﾃﾞｰﾀ!V63+人件物件費ﾃﾞｰﾀ!V65+人件物件費ﾃﾞｰﾀ!V66+人件物件費ﾃﾞｰﾀ!V67</f>
        <v>12466229</v>
      </c>
      <c r="J43" s="737">
        <f>人件物件費ﾃﾞｰﾀ!Y61+人件物件費ﾃﾞｰﾀ!Y62+人件物件費ﾃﾞｰﾀ!Y63+人件物件費ﾃﾞｰﾀ!Y65+人件物件費ﾃﾞｰﾀ!Y66+人件物件費ﾃﾞｰﾀ!Y67</f>
        <v>12583467</v>
      </c>
      <c r="K43" s="737">
        <f>人件物件費ﾃﾞｰﾀ!AB61+人件物件費ﾃﾞｰﾀ!AB62+人件物件費ﾃﾞｰﾀ!AB63+人件物件費ﾃﾞｰﾀ!AB65+人件物件費ﾃﾞｰﾀ!AB66+人件物件費ﾃﾞｰﾀ!AB67</f>
        <v>13226584</v>
      </c>
      <c r="L43" s="737">
        <f>人件物件費ﾃﾞｰﾀ!AG64+人件物件費ﾃﾞｰﾀ!AG65+人件物件費ﾃﾞｰﾀ!AG66+人件物件費ﾃﾞｰﾀ!AG68+人件物件費ﾃﾞｰﾀ!AG69+人件物件費ﾃﾞｰﾀ!AG70</f>
        <v>12817147</v>
      </c>
      <c r="M43" s="737">
        <f>人件物件費ﾃﾞｰﾀ!AL65+人件物件費ﾃﾞｰﾀ!AL66+人件物件費ﾃﾞｰﾀ!AL67+人件物件費ﾃﾞｰﾀ!AL69+人件物件費ﾃﾞｰﾀ!AL70+人件物件費ﾃﾞｰﾀ!AL71</f>
        <v>12390397</v>
      </c>
      <c r="N43" s="737">
        <f>人件物件費ﾃﾞｰﾀ!AO65+人件物件費ﾃﾞｰﾀ!AO66+人件物件費ﾃﾞｰﾀ!AO67+人件物件費ﾃﾞｰﾀ!AO69+人件物件費ﾃﾞｰﾀ!AO70+人件物件費ﾃﾞｰﾀ!AO71</f>
        <v>12488251</v>
      </c>
      <c r="O43" s="737">
        <f>人件物件費ﾃﾞｰﾀ!AT65+人件物件費ﾃﾞｰﾀ!AT67+人件物件費ﾃﾞｰﾀ!AT68+人件物件費ﾃﾞｰﾀ!AT70+人件物件費ﾃﾞｰﾀ!AT71+人件物件費ﾃﾞｰﾀ!AT72</f>
        <v>12521484</v>
      </c>
      <c r="P43" s="737">
        <f>人件物件費ﾃﾞｰﾀ!AY62</f>
        <v>12668721</v>
      </c>
      <c r="Q43" s="737">
        <f>人件物件費ﾃﾞｰﾀ2!E45</f>
        <v>13346125</v>
      </c>
      <c r="R43" s="737">
        <f>人件物件費ﾃﾞｰﾀ2!H45</f>
        <v>15931727</v>
      </c>
      <c r="S43" s="737">
        <f>人件物件費ﾃﾞｰﾀ2!K45</f>
        <v>13556761</v>
      </c>
      <c r="T43" s="737">
        <f>人件物件費ﾃﾞｰﾀ2!N45</f>
        <v>13716702</v>
      </c>
      <c r="U43" s="737">
        <f>人件物件費ﾃﾞｰﾀ2!Q45</f>
        <v>13585298</v>
      </c>
      <c r="V43" s="737">
        <f>人件物件費ﾃﾞｰﾀ2!U45</f>
        <v>14432678</v>
      </c>
      <c r="W43" s="737">
        <f>人件物件費ﾃﾞｰﾀ2!Y45</f>
        <v>14007755</v>
      </c>
      <c r="X43" s="740">
        <f>人件物件費ﾃﾞｰﾀ2!AC45</f>
        <v>14335682</v>
      </c>
      <c r="Y43" s="740">
        <f>人件物件費ﾃﾞｰﾀ2!AG45</f>
        <v>13995456</v>
      </c>
      <c r="Z43" s="75">
        <f>人件物件費ﾃﾞｰﾀ2!AK45</f>
        <v>13848469</v>
      </c>
      <c r="AA43" s="75">
        <f>人件物件費ﾃﾞｰﾀ2!AO45</f>
        <v>13979054</v>
      </c>
      <c r="AB43" s="75">
        <f>人件物件費ﾃﾞｰﾀ2!AS45</f>
        <v>13854828</v>
      </c>
      <c r="AC43" s="75">
        <f>人件物件費ﾃﾞｰﾀ2!AW45</f>
        <v>13864910</v>
      </c>
      <c r="AD43" s="75">
        <f>人件物件費ﾃﾞｰﾀ2!BA45</f>
        <v>13738833</v>
      </c>
      <c r="AE43" s="75">
        <f>人件物件費ﾃﾞｰﾀ2!BE45</f>
        <v>13380732</v>
      </c>
      <c r="AF43" s="75">
        <f>人件物件費ﾃﾞｰﾀ2!BI45</f>
        <v>13518012</v>
      </c>
      <c r="AG43" s="75">
        <f>人件物件費ﾃﾞｰﾀ2!BM45</f>
        <v>14856241</v>
      </c>
      <c r="AH43" s="75">
        <f>人件物件費ﾃﾞｰﾀ2!BQ45</f>
        <v>15509175</v>
      </c>
      <c r="AI43" s="75">
        <f>人件物件費ﾃﾞｰﾀ2!BU45</f>
        <v>16676118</v>
      </c>
      <c r="AJ43" s="456">
        <f>人件物件費ﾃﾞｰﾀ2!BY45</f>
        <v>14735435</v>
      </c>
      <c r="AK43" s="456">
        <f>人件物件費ﾃﾞｰﾀ2!CC45</f>
        <v>16039349</v>
      </c>
      <c r="AL43" s="75">
        <f t="shared" ref="AL43:AN47" si="36">SUM(AI43:AK43)/3</f>
        <v>15816967.333333334</v>
      </c>
      <c r="AM43" s="75">
        <f t="shared" si="36"/>
        <v>15530583.777777778</v>
      </c>
      <c r="AN43" s="75">
        <f t="shared" si="36"/>
        <v>15795633.370370371</v>
      </c>
      <c r="AP43" s="75">
        <f>SUM(Z43:AB43)/3*0.5+AB43*AS43*0.5</f>
        <v>13782431.010736104</v>
      </c>
      <c r="AQ43" s="737">
        <v>49599</v>
      </c>
      <c r="AR43" s="737">
        <v>48940</v>
      </c>
      <c r="AS43" s="893">
        <f t="shared" si="6"/>
        <v>0.98671344180326215</v>
      </c>
    </row>
    <row r="44" spans="1:45">
      <c r="A44" s="89">
        <v>222</v>
      </c>
      <c r="B44" s="98" t="s">
        <v>218</v>
      </c>
      <c r="C44" s="737">
        <f>人件物件費ﾃﾞｰﾀ!D72+人件物件費ﾃﾞｰﾀ!D73+人件物件費ﾃﾞｰﾀ!D74+人件物件費ﾃﾞｰﾀ!D75</f>
        <v>4034512</v>
      </c>
      <c r="D44" s="737">
        <f>人件物件費ﾃﾞｰﾀ!G72+人件物件費ﾃﾞｰﾀ!G73+人件物件費ﾃﾞｰﾀ!G74+人件物件費ﾃﾞｰﾀ!G75</f>
        <v>4344791</v>
      </c>
      <c r="E44" s="737">
        <f>人件物件費ﾃﾞｰﾀ!J72+人件物件費ﾃﾞｰﾀ!J73+人件物件費ﾃﾞｰﾀ!J74+人件物件費ﾃﾞｰﾀ!J75</f>
        <v>4739300</v>
      </c>
      <c r="F44" s="737">
        <f>人件物件費ﾃﾞｰﾀ!M72+人件物件費ﾃﾞｰﾀ!M73+人件物件費ﾃﾞｰﾀ!M74+人件物件費ﾃﾞｰﾀ!M75</f>
        <v>4934406</v>
      </c>
      <c r="G44" s="737">
        <f>人件物件費ﾃﾞｰﾀ!P72+人件物件費ﾃﾞｰﾀ!P73+人件物件費ﾃﾞｰﾀ!P74+人件物件費ﾃﾞｰﾀ!P75</f>
        <v>5295667</v>
      </c>
      <c r="H44" s="737">
        <f>人件物件費ﾃﾞｰﾀ!S72+人件物件費ﾃﾞｰﾀ!S73+人件物件費ﾃﾞｰﾀ!S74+人件物件費ﾃﾞｰﾀ!S75</f>
        <v>5357265</v>
      </c>
      <c r="I44" s="737">
        <f>人件物件費ﾃﾞｰﾀ!V72+人件物件費ﾃﾞｰﾀ!V73+人件物件費ﾃﾞｰﾀ!V74+人件物件費ﾃﾞｰﾀ!V75</f>
        <v>5553241</v>
      </c>
      <c r="J44" s="737">
        <f>人件物件費ﾃﾞｰﾀ!Y72+人件物件費ﾃﾞｰﾀ!Y73+人件物件費ﾃﾞｰﾀ!Y74+人件物件費ﾃﾞｰﾀ!Y75</f>
        <v>5554428</v>
      </c>
      <c r="K44" s="737">
        <f>人件物件費ﾃﾞｰﾀ!AB72+人件物件費ﾃﾞｰﾀ!AB73+人件物件費ﾃﾞｰﾀ!AB74+人件物件費ﾃﾞｰﾀ!AB75</f>
        <v>5703176</v>
      </c>
      <c r="L44" s="737">
        <f>人件物件費ﾃﾞｰﾀ!AG75+人件物件費ﾃﾞｰﾀ!AG76+人件物件費ﾃﾞｰﾀ!AG77+人件物件費ﾃﾞｰﾀ!AG78</f>
        <v>5799447</v>
      </c>
      <c r="M44" s="737">
        <f>人件物件費ﾃﾞｰﾀ!AL76+人件物件費ﾃﾞｰﾀ!AL77+人件物件費ﾃﾞｰﾀ!AL78+人件物件費ﾃﾞｰﾀ!AL79</f>
        <v>5520340</v>
      </c>
      <c r="N44" s="737">
        <f>人件物件費ﾃﾞｰﾀ!AO76+人件物件費ﾃﾞｰﾀ!AO77+人件物件費ﾃﾞｰﾀ!AO78+人件物件費ﾃﾞｰﾀ!AO79</f>
        <v>5465841</v>
      </c>
      <c r="O44" s="737">
        <f>人件物件費ﾃﾞｰﾀ!AT66</f>
        <v>5285677</v>
      </c>
      <c r="P44" s="737">
        <f>人件物件費ﾃﾞｰﾀ!AY63</f>
        <v>5277406</v>
      </c>
      <c r="Q44" s="737">
        <f>人件物件費ﾃﾞｰﾀ2!E46</f>
        <v>6324991</v>
      </c>
      <c r="R44" s="737">
        <f>人件物件費ﾃﾞｰﾀ2!H46</f>
        <v>5829183</v>
      </c>
      <c r="S44" s="737">
        <f>人件物件費ﾃﾞｰﾀ2!K46</f>
        <v>5349898</v>
      </c>
      <c r="T44" s="737">
        <f>人件物件費ﾃﾞｰﾀ2!N46</f>
        <v>5089099</v>
      </c>
      <c r="U44" s="737">
        <f>人件物件費ﾃﾞｰﾀ2!Q46</f>
        <v>4941221</v>
      </c>
      <c r="V44" s="737">
        <f>人件物件費ﾃﾞｰﾀ2!U46</f>
        <v>5521075</v>
      </c>
      <c r="W44" s="737">
        <f>人件物件費ﾃﾞｰﾀ2!Y46</f>
        <v>5362101</v>
      </c>
      <c r="X44" s="740">
        <f>人件物件費ﾃﾞｰﾀ2!AC46</f>
        <v>5501846</v>
      </c>
      <c r="Y44" s="740">
        <f>人件物件費ﾃﾞｰﾀ2!AG46</f>
        <v>5456403</v>
      </c>
      <c r="Z44" s="75">
        <f>人件物件費ﾃﾞｰﾀ2!AK46</f>
        <v>4909122</v>
      </c>
      <c r="AA44" s="75">
        <f>人件物件費ﾃﾞｰﾀ2!AO46</f>
        <v>4995556</v>
      </c>
      <c r="AB44" s="75">
        <f>人件物件費ﾃﾞｰﾀ2!AS46</f>
        <v>4727083</v>
      </c>
      <c r="AC44" s="75">
        <f>人件物件費ﾃﾞｰﾀ2!AW46</f>
        <v>4956446</v>
      </c>
      <c r="AD44" s="75">
        <f>人件物件費ﾃﾞｰﾀ2!BA46</f>
        <v>4922642</v>
      </c>
      <c r="AE44" s="75">
        <f>人件物件費ﾃﾞｰﾀ2!BE46</f>
        <v>4823623</v>
      </c>
      <c r="AF44" s="75">
        <f>人件物件費ﾃﾞｰﾀ2!BI46</f>
        <v>4670607</v>
      </c>
      <c r="AG44" s="75">
        <f>人件物件費ﾃﾞｰﾀ2!BM46</f>
        <v>5506303</v>
      </c>
      <c r="AH44" s="75">
        <f>人件物件費ﾃﾞｰﾀ2!BQ46</f>
        <v>5856201</v>
      </c>
      <c r="AI44" s="75">
        <f>人件物件費ﾃﾞｰﾀ2!BU46</f>
        <v>5746258</v>
      </c>
      <c r="AJ44" s="456">
        <f>人件物件費ﾃﾞｰﾀ2!BY46</f>
        <v>5869531</v>
      </c>
      <c r="AK44" s="456">
        <f>人件物件費ﾃﾞｰﾀ2!CC46</f>
        <v>6475605</v>
      </c>
      <c r="AL44" s="75">
        <f t="shared" si="36"/>
        <v>6030464.666666667</v>
      </c>
      <c r="AM44" s="75">
        <f t="shared" si="36"/>
        <v>6125200.2222222229</v>
      </c>
      <c r="AN44" s="75">
        <f t="shared" si="36"/>
        <v>6210423.2962962976</v>
      </c>
      <c r="AP44" s="75">
        <f>SUM(Z44:AB44)/3*0.5+AB44*AS44*0.5</f>
        <v>4641909.4701132681</v>
      </c>
      <c r="AQ44" s="737">
        <v>19217</v>
      </c>
      <c r="AR44" s="737">
        <v>17914</v>
      </c>
      <c r="AS44" s="893">
        <f t="shared" si="6"/>
        <v>0.93219545194359166</v>
      </c>
    </row>
    <row r="45" spans="1:45">
      <c r="A45" s="89">
        <v>225</v>
      </c>
      <c r="B45" s="98" t="s">
        <v>222</v>
      </c>
      <c r="C45" s="737">
        <f>人件物件費ﾃﾞｰﾀ!D76+人件物件費ﾃﾞｰﾀ!D77+人件物件費ﾃﾞｰﾀ!D78+人件物件費ﾃﾞｰﾀ!D79</f>
        <v>4022935</v>
      </c>
      <c r="D45" s="737">
        <f>人件物件費ﾃﾞｰﾀ!G76+人件物件費ﾃﾞｰﾀ!G77+人件物件費ﾃﾞｰﾀ!G78+人件物件費ﾃﾞｰﾀ!G79</f>
        <v>4298760</v>
      </c>
      <c r="E45" s="737">
        <f>人件物件費ﾃﾞｰﾀ!J76+人件物件費ﾃﾞｰﾀ!J77+人件物件費ﾃﾞｰﾀ!J78+人件物件費ﾃﾞｰﾀ!J79</f>
        <v>4726033</v>
      </c>
      <c r="F45" s="737">
        <f>人件物件費ﾃﾞｰﾀ!M76+人件物件費ﾃﾞｰﾀ!M77+人件物件費ﾃﾞｰﾀ!M78+人件物件費ﾃﾞｰﾀ!M79</f>
        <v>5162732</v>
      </c>
      <c r="G45" s="737">
        <f>人件物件費ﾃﾞｰﾀ!P76+人件物件費ﾃﾞｰﾀ!P77+人件物件費ﾃﾞｰﾀ!P78+人件物件費ﾃﾞｰﾀ!P79</f>
        <v>5339263</v>
      </c>
      <c r="H45" s="737">
        <f>人件物件費ﾃﾞｰﾀ!S76+人件物件費ﾃﾞｰﾀ!S77+人件物件費ﾃﾞｰﾀ!S78+人件物件費ﾃﾞｰﾀ!S79</f>
        <v>5489221</v>
      </c>
      <c r="I45" s="737">
        <f>人件物件費ﾃﾞｰﾀ!V76+人件物件費ﾃﾞｰﾀ!V77+人件物件費ﾃﾞｰﾀ!V78+人件物件費ﾃﾞｰﾀ!V79</f>
        <v>5704931</v>
      </c>
      <c r="J45" s="737">
        <f>人件物件費ﾃﾞｰﾀ!Y76+人件物件費ﾃﾞｰﾀ!Y77+人件物件費ﾃﾞｰﾀ!Y78+人件物件費ﾃﾞｰﾀ!Y79</f>
        <v>5835091</v>
      </c>
      <c r="K45" s="737">
        <f>人件物件費ﾃﾞｰﾀ!AB76+人件物件費ﾃﾞｰﾀ!AB77+人件物件費ﾃﾞｰﾀ!AB78+人件物件費ﾃﾞｰﾀ!AB79</f>
        <v>6019279</v>
      </c>
      <c r="L45" s="737">
        <f>人件物件費ﾃﾞｰﾀ!AG79+人件物件費ﾃﾞｰﾀ!AG80+人件物件費ﾃﾞｰﾀ!AG81+人件物件費ﾃﾞｰﾀ!AG82</f>
        <v>6076637</v>
      </c>
      <c r="M45" s="737">
        <f>人件物件費ﾃﾞｰﾀ!AL80+人件物件費ﾃﾞｰﾀ!AL81+人件物件費ﾃﾞｰﾀ!AL82+人件物件費ﾃﾞｰﾀ!AL83</f>
        <v>5922594</v>
      </c>
      <c r="N45" s="737">
        <f>人件物件費ﾃﾞｰﾀ!AO80+人件物件費ﾃﾞｰﾀ!AO81+人件物件費ﾃﾞｰﾀ!AO82+人件物件費ﾃﾞｰﾀ!AO83</f>
        <v>6004473</v>
      </c>
      <c r="O45" s="737">
        <f>人件物件費ﾃﾞｰﾀ!AT77+人件物件費ﾃﾞｰﾀ!AT78+人件物件費ﾃﾞｰﾀ!AT79+人件物件費ﾃﾞｰﾀ!AT80</f>
        <v>6018901</v>
      </c>
      <c r="P45" s="737">
        <f>人件物件費ﾃﾞｰﾀ!AY64</f>
        <v>5990781</v>
      </c>
      <c r="Q45" s="737">
        <f>人件物件費ﾃﾞｰﾀ2!E47</f>
        <v>6234076</v>
      </c>
      <c r="R45" s="737">
        <f>人件物件費ﾃﾞｰﾀ2!H47</f>
        <v>7656686</v>
      </c>
      <c r="S45" s="737">
        <f>人件物件費ﾃﾞｰﾀ2!K47</f>
        <v>7028861</v>
      </c>
      <c r="T45" s="737">
        <f>人件物件費ﾃﾞｰﾀ2!N47</f>
        <v>6984230</v>
      </c>
      <c r="U45" s="737">
        <f>人件物件費ﾃﾞｰﾀ2!Q47</f>
        <v>6657882</v>
      </c>
      <c r="V45" s="737">
        <f>人件物件費ﾃﾞｰﾀ2!U47</f>
        <v>6876894</v>
      </c>
      <c r="W45" s="737">
        <f>人件物件費ﾃﾞｰﾀ2!Y47</f>
        <v>7083914</v>
      </c>
      <c r="X45" s="740">
        <f>人件物件費ﾃﾞｰﾀ2!AC47</f>
        <v>7097870</v>
      </c>
      <c r="Y45" s="740">
        <f>人件物件費ﾃﾞｰﾀ2!AG47</f>
        <v>6977275</v>
      </c>
      <c r="Z45" s="75">
        <f>人件物件費ﾃﾞｰﾀ2!AK47</f>
        <v>6165775</v>
      </c>
      <c r="AA45" s="75">
        <f>人件物件費ﾃﾞｰﾀ2!AO47</f>
        <v>6159290</v>
      </c>
      <c r="AB45" s="75">
        <f>人件物件費ﾃﾞｰﾀ2!AS47</f>
        <v>6138852</v>
      </c>
      <c r="AC45" s="75">
        <f>人件物件費ﾃﾞｰﾀ2!AW47</f>
        <v>6184945</v>
      </c>
      <c r="AD45" s="75">
        <f>人件物件費ﾃﾞｰﾀ2!BA47</f>
        <v>6084431</v>
      </c>
      <c r="AE45" s="75">
        <f>人件物件費ﾃﾞｰﾀ2!BE47</f>
        <v>5989648</v>
      </c>
      <c r="AF45" s="75">
        <f>人件物件費ﾃﾞｰﾀ2!BI47</f>
        <v>6131084</v>
      </c>
      <c r="AG45" s="75">
        <f>人件物件費ﾃﾞｰﾀ2!BM47</f>
        <v>6236641</v>
      </c>
      <c r="AH45" s="75">
        <f>人件物件費ﾃﾞｰﾀ2!BQ47</f>
        <v>6480360</v>
      </c>
      <c r="AI45" s="75">
        <f>人件物件費ﾃﾞｰﾀ2!BU47</f>
        <v>6905344</v>
      </c>
      <c r="AJ45" s="456">
        <f>人件物件費ﾃﾞｰﾀ2!BY47</f>
        <v>6506795</v>
      </c>
      <c r="AK45" s="456">
        <f>人件物件費ﾃﾞｰﾀ2!CC47</f>
        <v>7008702</v>
      </c>
      <c r="AL45" s="75">
        <f t="shared" si="36"/>
        <v>6806947</v>
      </c>
      <c r="AM45" s="75">
        <f t="shared" si="36"/>
        <v>6774148</v>
      </c>
      <c r="AN45" s="75">
        <f t="shared" si="36"/>
        <v>6863265.666666667</v>
      </c>
      <c r="AP45" s="75">
        <f>SUM(Z45:AB45)/3*0.5+AB45*AS45*0.5</f>
        <v>5802733.894327539</v>
      </c>
      <c r="AQ45" s="737">
        <v>26232</v>
      </c>
      <c r="AR45" s="737">
        <v>23292</v>
      </c>
      <c r="AS45" s="893">
        <f t="shared" si="6"/>
        <v>0.88792314730100641</v>
      </c>
    </row>
    <row r="46" spans="1:45">
      <c r="A46" s="89">
        <v>585</v>
      </c>
      <c r="B46" s="98" t="s">
        <v>220</v>
      </c>
      <c r="C46" s="737">
        <f>人件物件費ﾃﾞｰﾀ!D64+人件物件費ﾃﾞｰﾀ!D68+人件物件費ﾃﾞｰﾀ!D70</f>
        <v>3285624</v>
      </c>
      <c r="D46" s="737">
        <f>人件物件費ﾃﾞｰﾀ!G64+人件物件費ﾃﾞｰﾀ!G68+人件物件費ﾃﾞｰﾀ!G70</f>
        <v>3415002</v>
      </c>
      <c r="E46" s="737">
        <f>人件物件費ﾃﾞｰﾀ!J64+人件物件費ﾃﾞｰﾀ!J68+人件物件費ﾃﾞｰﾀ!J70</f>
        <v>3694226</v>
      </c>
      <c r="F46" s="737">
        <f>人件物件費ﾃﾞｰﾀ!M64+人件物件費ﾃﾞｰﾀ!M68+人件物件費ﾃﾞｰﾀ!M70</f>
        <v>4017772</v>
      </c>
      <c r="G46" s="737">
        <f>人件物件費ﾃﾞｰﾀ!P64+人件物件費ﾃﾞｰﾀ!P68+人件物件費ﾃﾞｰﾀ!P70</f>
        <v>4216292</v>
      </c>
      <c r="H46" s="737">
        <f>人件物件費ﾃﾞｰﾀ!S64+人件物件費ﾃﾞｰﾀ!S68+人件物件費ﾃﾞｰﾀ!S70</f>
        <v>4031044</v>
      </c>
      <c r="I46" s="737">
        <f>人件物件費ﾃﾞｰﾀ!V64+人件物件費ﾃﾞｰﾀ!V68+人件物件費ﾃﾞｰﾀ!V70</f>
        <v>4168944</v>
      </c>
      <c r="J46" s="737">
        <f>人件物件費ﾃﾞｰﾀ!Y64+人件物件費ﾃﾞｰﾀ!Y68+人件物件費ﾃﾞｰﾀ!Y70</f>
        <v>4093577</v>
      </c>
      <c r="K46" s="737">
        <f>人件物件費ﾃﾞｰﾀ!AB64+人件物件費ﾃﾞｰﾀ!AB68+人件物件費ﾃﾞｰﾀ!AB70</f>
        <v>4204148</v>
      </c>
      <c r="L46" s="737">
        <f>人件物件費ﾃﾞｰﾀ!AG67+人件物件費ﾃﾞｰﾀ!AG71+人件物件費ﾃﾞｰﾀ!AG73</f>
        <v>4139182</v>
      </c>
      <c r="M46" s="737">
        <f>人件物件費ﾃﾞｰﾀ!AL68+人件物件費ﾃﾞｰﾀ!AL72+人件物件費ﾃﾞｰﾀ!AL74</f>
        <v>4070837</v>
      </c>
      <c r="N46" s="737">
        <f>人件物件費ﾃﾞｰﾀ!AO68+人件物件費ﾃﾞｰﾀ!AO72+人件物件費ﾃﾞｰﾀ!AO74</f>
        <v>4115583</v>
      </c>
      <c r="O46" s="737">
        <f>人件物件費ﾃﾞｰﾀ!AT69+人件物件費ﾃﾞｰﾀ!AT73+人件物件費ﾃﾞｰﾀ!AT75</f>
        <v>4063598</v>
      </c>
      <c r="P46" s="737">
        <f>人件物件費ﾃﾞｰﾀ!AY67</f>
        <v>3991952</v>
      </c>
      <c r="Q46" s="737">
        <f>人件物件費ﾃﾞｰﾀ2!E48</f>
        <v>4230333</v>
      </c>
      <c r="R46" s="737">
        <f>人件物件費ﾃﾞｰﾀ2!H48</f>
        <v>4445760</v>
      </c>
      <c r="S46" s="737">
        <f>人件物件費ﾃﾞｰﾀ2!K48</f>
        <v>3714530</v>
      </c>
      <c r="T46" s="737">
        <f>人件物件費ﾃﾞｰﾀ2!N48</f>
        <v>3544021</v>
      </c>
      <c r="U46" s="737">
        <f>人件物件費ﾃﾞｰﾀ2!Q48</f>
        <v>3459242</v>
      </c>
      <c r="V46" s="737">
        <f>人件物件費ﾃﾞｰﾀ2!U48</f>
        <v>3572520</v>
      </c>
      <c r="W46" s="737">
        <f>人件物件費ﾃﾞｰﾀ2!Y48</f>
        <v>3777350</v>
      </c>
      <c r="X46" s="740">
        <f>人件物件費ﾃﾞｰﾀ2!AC48</f>
        <v>3892205</v>
      </c>
      <c r="Y46" s="740">
        <f>人件物件費ﾃﾞｰﾀ2!AG48</f>
        <v>3771533</v>
      </c>
      <c r="Z46" s="75">
        <f>人件物件費ﾃﾞｰﾀ2!AK48</f>
        <v>3770392</v>
      </c>
      <c r="AA46" s="75">
        <f>人件物件費ﾃﾞｰﾀ2!AO48</f>
        <v>3850220</v>
      </c>
      <c r="AB46" s="75">
        <f>人件物件費ﾃﾞｰﾀ2!AS48</f>
        <v>3972347</v>
      </c>
      <c r="AC46" s="75">
        <f>人件物件費ﾃﾞｰﾀ2!AW48</f>
        <v>4002675</v>
      </c>
      <c r="AD46" s="75">
        <f>人件物件費ﾃﾞｰﾀ2!BA48</f>
        <v>4141038</v>
      </c>
      <c r="AE46" s="75">
        <f>人件物件費ﾃﾞｰﾀ2!BE48</f>
        <v>3880023</v>
      </c>
      <c r="AF46" s="75">
        <f>人件物件費ﾃﾞｰﾀ2!BI48</f>
        <v>4000525</v>
      </c>
      <c r="AG46" s="75">
        <f>人件物件費ﾃﾞｰﾀ2!BM48</f>
        <v>4668116</v>
      </c>
      <c r="AH46" s="75">
        <f>人件物件費ﾃﾞｰﾀ2!BQ48</f>
        <v>4601049</v>
      </c>
      <c r="AI46" s="75">
        <f>人件物件費ﾃﾞｰﾀ2!BU48</f>
        <v>4506500</v>
      </c>
      <c r="AJ46" s="456">
        <f>人件物件費ﾃﾞｰﾀ2!BY48</f>
        <v>4523304</v>
      </c>
      <c r="AK46" s="456">
        <f>人件物件費ﾃﾞｰﾀ2!CC48</f>
        <v>5105734</v>
      </c>
      <c r="AL46" s="75">
        <f t="shared" si="36"/>
        <v>4711846</v>
      </c>
      <c r="AM46" s="75">
        <f t="shared" si="36"/>
        <v>4780294.666666667</v>
      </c>
      <c r="AN46" s="75">
        <f t="shared" si="36"/>
        <v>4865958.2222222229</v>
      </c>
      <c r="AP46" s="75">
        <f>SUM(Z46:AB46)/3*0.5+AB46*AS46*0.5</f>
        <v>3797208.4074844075</v>
      </c>
      <c r="AQ46" s="737">
        <v>14430</v>
      </c>
      <c r="AR46" s="737">
        <v>13550</v>
      </c>
      <c r="AS46" s="893">
        <f t="shared" si="6"/>
        <v>0.93901593901593905</v>
      </c>
    </row>
    <row r="47" spans="1:45">
      <c r="A47" s="89">
        <v>586</v>
      </c>
      <c r="B47" s="98" t="s">
        <v>237</v>
      </c>
      <c r="C47" s="737">
        <f>人件物件費ﾃﾞｰﾀ!D69+人件物件費ﾃﾞｰﾀ!D71</f>
        <v>2779338</v>
      </c>
      <c r="D47" s="737">
        <f>人件物件費ﾃﾞｰﾀ!G69+人件物件費ﾃﾞｰﾀ!G71</f>
        <v>2921643</v>
      </c>
      <c r="E47" s="737">
        <f>人件物件費ﾃﾞｰﾀ!J69+人件物件費ﾃﾞｰﾀ!J71</f>
        <v>3126523</v>
      </c>
      <c r="F47" s="737">
        <f>人件物件費ﾃﾞｰﾀ!M69+人件物件費ﾃﾞｰﾀ!M71</f>
        <v>3446175</v>
      </c>
      <c r="G47" s="737">
        <f>人件物件費ﾃﾞｰﾀ!P69+人件物件費ﾃﾞｰﾀ!P71</f>
        <v>3585638</v>
      </c>
      <c r="H47" s="737">
        <f>人件物件費ﾃﾞｰﾀ!S69+人件物件費ﾃﾞｰﾀ!S71</f>
        <v>3725072</v>
      </c>
      <c r="I47" s="737">
        <f>人件物件費ﾃﾞｰﾀ!V69+人件物件費ﾃﾞｰﾀ!V71</f>
        <v>3655097</v>
      </c>
      <c r="J47" s="737">
        <f>人件物件費ﾃﾞｰﾀ!Y69+人件物件費ﾃﾞｰﾀ!Y71</f>
        <v>3632802</v>
      </c>
      <c r="K47" s="737">
        <f>人件物件費ﾃﾞｰﾀ!AB69+人件物件費ﾃﾞｰﾀ!AB71</f>
        <v>3758823</v>
      </c>
      <c r="L47" s="737">
        <f>人件物件費ﾃﾞｰﾀ!AG72+人件物件費ﾃﾞｰﾀ!AG74</f>
        <v>3767865</v>
      </c>
      <c r="M47" s="737">
        <f>人件物件費ﾃﾞｰﾀ!AL73+人件物件費ﾃﾞｰﾀ!AL75</f>
        <v>3614669</v>
      </c>
      <c r="N47" s="737">
        <f>人件物件費ﾃﾞｰﾀ!AO73+人件物件費ﾃﾞｰﾀ!AO75</f>
        <v>3652529</v>
      </c>
      <c r="O47" s="737">
        <f>人件物件費ﾃﾞｰﾀ!AT76+人件物件費ﾃﾞｰﾀ!AT74</f>
        <v>3612213</v>
      </c>
      <c r="P47" s="737">
        <f>人件物件費ﾃﾞｰﾀ!AY65+人件物件費ﾃﾞｰﾀ!AY66</f>
        <v>3517224</v>
      </c>
      <c r="Q47" s="737">
        <f>人件物件費ﾃﾞｰﾀ2!E49</f>
        <v>3401695</v>
      </c>
      <c r="R47" s="737">
        <f>人件物件費ﾃﾞｰﾀ2!H49</f>
        <v>3872829</v>
      </c>
      <c r="S47" s="737">
        <f>人件物件費ﾃﾞｰﾀ2!K49</f>
        <v>3185769</v>
      </c>
      <c r="T47" s="737">
        <f>人件物件費ﾃﾞｰﾀ2!N49</f>
        <v>3153311</v>
      </c>
      <c r="U47" s="737">
        <f>人件物件費ﾃﾞｰﾀ2!Q49</f>
        <v>3040691</v>
      </c>
      <c r="V47" s="737">
        <f>人件物件費ﾃﾞｰﾀ2!U49</f>
        <v>3197125</v>
      </c>
      <c r="W47" s="737">
        <f>人件物件費ﾃﾞｰﾀ2!Y49</f>
        <v>3179767</v>
      </c>
      <c r="X47" s="740">
        <f>人件物件費ﾃﾞｰﾀ2!AC49</f>
        <v>3289729</v>
      </c>
      <c r="Y47" s="740">
        <f>人件物件費ﾃﾞｰﾀ2!AG49</f>
        <v>3157963</v>
      </c>
      <c r="Z47" s="75">
        <f>人件物件費ﾃﾞｰﾀ2!AK49</f>
        <v>3100881</v>
      </c>
      <c r="AA47" s="75">
        <f>人件物件費ﾃﾞｰﾀ2!AO49</f>
        <v>3154397</v>
      </c>
      <c r="AB47" s="75">
        <f>人件物件費ﾃﾞｰﾀ2!AS49</f>
        <v>3227075</v>
      </c>
      <c r="AC47" s="75">
        <f>人件物件費ﾃﾞｰﾀ2!AW49</f>
        <v>3205947</v>
      </c>
      <c r="AD47" s="75">
        <f>人件物件費ﾃﾞｰﾀ2!BA49</f>
        <v>3258848</v>
      </c>
      <c r="AE47" s="75">
        <f>人件物件費ﾃﾞｰﾀ2!BE49</f>
        <v>3113998</v>
      </c>
      <c r="AF47" s="75">
        <f>人件物件費ﾃﾞｰﾀ2!BI49</f>
        <v>3173097</v>
      </c>
      <c r="AG47" s="75">
        <f>人件物件費ﾃﾞｰﾀ2!BM49</f>
        <v>3626198</v>
      </c>
      <c r="AH47" s="75">
        <f>人件物件費ﾃﾞｰﾀ2!BQ49</f>
        <v>3844151</v>
      </c>
      <c r="AI47" s="75">
        <f>人件物件費ﾃﾞｰﾀ2!BU49</f>
        <v>4034606</v>
      </c>
      <c r="AJ47" s="456">
        <f>人件物件費ﾃﾞｰﾀ2!BY49</f>
        <v>3991114</v>
      </c>
      <c r="AK47" s="456">
        <f>人件物件費ﾃﾞｰﾀ2!CC49</f>
        <v>4470199</v>
      </c>
      <c r="AL47" s="75">
        <f t="shared" si="36"/>
        <v>4165306.3333333335</v>
      </c>
      <c r="AM47" s="75">
        <f t="shared" si="36"/>
        <v>4208873.111111111</v>
      </c>
      <c r="AN47" s="75">
        <f t="shared" si="36"/>
        <v>4281459.4814814813</v>
      </c>
      <c r="AP47" s="75">
        <f>SUM(Z47:AB47)/3*0.5+AB47*AS47*0.5</f>
        <v>3106303.0983146066</v>
      </c>
      <c r="AQ47" s="737">
        <v>10680</v>
      </c>
      <c r="AR47" s="737">
        <v>10100</v>
      </c>
      <c r="AS47" s="893">
        <f t="shared" si="6"/>
        <v>0.94569288389513106</v>
      </c>
    </row>
    <row r="48" spans="1:45">
      <c r="A48" s="86"/>
      <c r="B48" s="102" t="s">
        <v>211</v>
      </c>
      <c r="C48" s="737">
        <f>SUM(C49:C50)</f>
        <v>12521554</v>
      </c>
      <c r="D48" s="737">
        <f t="shared" ref="D48:K48" si="37">SUM(D49:D50)</f>
        <v>13390800</v>
      </c>
      <c r="E48" s="737">
        <f t="shared" si="37"/>
        <v>14632321</v>
      </c>
      <c r="F48" s="737">
        <f t="shared" si="37"/>
        <v>14917383</v>
      </c>
      <c r="G48" s="737">
        <f t="shared" si="37"/>
        <v>15404680</v>
      </c>
      <c r="H48" s="737">
        <f t="shared" si="37"/>
        <v>16041776</v>
      </c>
      <c r="I48" s="737">
        <f t="shared" si="37"/>
        <v>16563320</v>
      </c>
      <c r="J48" s="737">
        <f t="shared" si="37"/>
        <v>16879477</v>
      </c>
      <c r="K48" s="737">
        <f t="shared" si="37"/>
        <v>17493885</v>
      </c>
      <c r="L48" s="737">
        <f t="shared" ref="L48:T48" si="38">SUM(L49:L50)</f>
        <v>18827569</v>
      </c>
      <c r="M48" s="737">
        <f t="shared" si="38"/>
        <v>18085168</v>
      </c>
      <c r="N48" s="737">
        <f t="shared" si="38"/>
        <v>18621317</v>
      </c>
      <c r="O48" s="737">
        <f t="shared" si="38"/>
        <v>18411564</v>
      </c>
      <c r="P48" s="737">
        <f t="shared" si="38"/>
        <v>18449384</v>
      </c>
      <c r="Q48" s="737">
        <f t="shared" si="38"/>
        <v>19560448</v>
      </c>
      <c r="R48" s="737">
        <f t="shared" si="38"/>
        <v>18541040</v>
      </c>
      <c r="S48" s="737">
        <f t="shared" si="38"/>
        <v>17454302</v>
      </c>
      <c r="T48" s="737">
        <f t="shared" si="38"/>
        <v>17563211</v>
      </c>
      <c r="U48" s="737">
        <f t="shared" ref="U48:AH48" si="39">SUM(U49:U50)</f>
        <v>16794331</v>
      </c>
      <c r="V48" s="737">
        <f t="shared" si="39"/>
        <v>17312982</v>
      </c>
      <c r="W48" s="737">
        <f t="shared" si="39"/>
        <v>16952524</v>
      </c>
      <c r="X48" s="737">
        <f t="shared" si="39"/>
        <v>17109273</v>
      </c>
      <c r="Y48" s="737">
        <f t="shared" si="39"/>
        <v>16341878</v>
      </c>
      <c r="Z48" s="737">
        <f t="shared" si="39"/>
        <v>16212235</v>
      </c>
      <c r="AA48" s="737">
        <f t="shared" si="39"/>
        <v>17141909</v>
      </c>
      <c r="AB48" s="737">
        <f t="shared" si="39"/>
        <v>17508612</v>
      </c>
      <c r="AC48" s="737">
        <f t="shared" si="39"/>
        <v>17597573</v>
      </c>
      <c r="AD48" s="737">
        <f t="shared" si="39"/>
        <v>17739889</v>
      </c>
      <c r="AE48" s="737">
        <f t="shared" si="39"/>
        <v>17735705</v>
      </c>
      <c r="AF48" s="737">
        <f t="shared" si="39"/>
        <v>18067662</v>
      </c>
      <c r="AG48" s="737">
        <f t="shared" si="39"/>
        <v>19235047</v>
      </c>
      <c r="AH48" s="737">
        <f t="shared" si="39"/>
        <v>20022115</v>
      </c>
      <c r="AI48" s="75">
        <f>人件物件費ﾃﾞｰﾀ2!BU50</f>
        <v>20362269</v>
      </c>
      <c r="AJ48" s="456">
        <f>人件物件費ﾃﾞｰﾀ2!BY50</f>
        <v>20703458</v>
      </c>
      <c r="AK48" s="456">
        <f>人件物件費ﾃﾞｰﾀ2!CC50</f>
        <v>22221153</v>
      </c>
      <c r="AL48" s="737">
        <f>SUM(AL49:AL50)</f>
        <v>21095626.666666664</v>
      </c>
      <c r="AM48" s="737">
        <f>SUM(AM49:AM50)</f>
        <v>21340079.222222224</v>
      </c>
      <c r="AN48" s="737">
        <f>SUM(AN49:AN50)</f>
        <v>21552286.296296299</v>
      </c>
      <c r="AP48" s="737">
        <f>SUM(AP49:AP50)</f>
        <v>17392128.994528815</v>
      </c>
      <c r="AQ48" s="737">
        <f>SUM(AQ49:AQ50)</f>
        <v>59765</v>
      </c>
      <c r="AR48" s="737">
        <f>SUM(AR49:AR50)</f>
        <v>60996</v>
      </c>
      <c r="AS48" s="893">
        <f t="shared" si="6"/>
        <v>1.0205973395800219</v>
      </c>
    </row>
    <row r="49" spans="1:45">
      <c r="A49" s="89">
        <v>221</v>
      </c>
      <c r="B49" s="98" t="s">
        <v>1153</v>
      </c>
      <c r="C49" s="737">
        <f>人件物件費ﾃﾞｰﾀ!D87+人件物件費ﾃﾞｰﾀ!D88+人件物件費ﾃﾞｰﾀ!D89+人件物件費ﾃﾞｰﾀ!D90</f>
        <v>5054494</v>
      </c>
      <c r="D49" s="737">
        <f>人件物件費ﾃﾞｰﾀ!G87+人件物件費ﾃﾞｰﾀ!G88+人件物件費ﾃﾞｰﾀ!G89+人件物件費ﾃﾞｰﾀ!G90</f>
        <v>5373105</v>
      </c>
      <c r="E49" s="737">
        <f>人件物件費ﾃﾞｰﾀ!J87+人件物件費ﾃﾞｰﾀ!J88+人件物件費ﾃﾞｰﾀ!J89+人件物件費ﾃﾞｰﾀ!J90</f>
        <v>5833787</v>
      </c>
      <c r="F49" s="737">
        <f>人件物件費ﾃﾞｰﾀ!M87+人件物件費ﾃﾞｰﾀ!M88+人件物件費ﾃﾞｰﾀ!M89+人件物件費ﾃﾞｰﾀ!M90</f>
        <v>6014970</v>
      </c>
      <c r="G49" s="737">
        <f>人件物件費ﾃﾞｰﾀ!P87+人件物件費ﾃﾞｰﾀ!P88+人件物件費ﾃﾞｰﾀ!P89+人件物件費ﾃﾞｰﾀ!P90</f>
        <v>6279462</v>
      </c>
      <c r="H49" s="737">
        <f>人件物件費ﾃﾞｰﾀ!S87+人件物件費ﾃﾞｰﾀ!S88+人件物件費ﾃﾞｰﾀ!S89+人件物件費ﾃﾞｰﾀ!S90</f>
        <v>6338425</v>
      </c>
      <c r="I49" s="737">
        <f>人件物件費ﾃﾞｰﾀ!V87+人件物件費ﾃﾞｰﾀ!V88+人件物件費ﾃﾞｰﾀ!V89+人件物件費ﾃﾞｰﾀ!V90</f>
        <v>6506711</v>
      </c>
      <c r="J49" s="737">
        <f>人件物件費ﾃﾞｰﾀ!Y87+人件物件費ﾃﾞｰﾀ!Y88+人件物件費ﾃﾞｰﾀ!Y89+人件物件費ﾃﾞｰﾀ!Y90</f>
        <v>6818280</v>
      </c>
      <c r="K49" s="737">
        <f>人件物件費ﾃﾞｰﾀ!AB87+人件物件費ﾃﾞｰﾀ!AB88+人件物件費ﾃﾞｰﾀ!AB89+人件物件費ﾃﾞｰﾀ!AB90</f>
        <v>7149725</v>
      </c>
      <c r="L49" s="737">
        <f>人件物件費ﾃﾞｰﾀ!AG84</f>
        <v>8368649</v>
      </c>
      <c r="M49" s="737">
        <f>人件物件費ﾃﾞｰﾀ!AL85</f>
        <v>7897061</v>
      </c>
      <c r="N49" s="737">
        <f>人件物件費ﾃﾞｰﾀ!AO85</f>
        <v>8187320</v>
      </c>
      <c r="O49" s="737">
        <f>人件物件費ﾃﾞｰﾀ!AT85</f>
        <v>8040094</v>
      </c>
      <c r="P49" s="737">
        <f>人件物件費ﾃﾞｰﾀ!AY69</f>
        <v>8186634</v>
      </c>
      <c r="Q49" s="737">
        <f>人件物件費ﾃﾞｰﾀ2!E51</f>
        <v>8275159</v>
      </c>
      <c r="R49" s="737">
        <f>人件物件費ﾃﾞｰﾀ2!H51</f>
        <v>8045040</v>
      </c>
      <c r="S49" s="737">
        <f>人件物件費ﾃﾞｰﾀ2!K51</f>
        <v>7720327</v>
      </c>
      <c r="T49" s="737">
        <f>人件物件費ﾃﾞｰﾀ2!N51</f>
        <v>7633840</v>
      </c>
      <c r="U49" s="737">
        <f>人件物件費ﾃﾞｰﾀ2!Q51</f>
        <v>6878748</v>
      </c>
      <c r="V49" s="737">
        <f>人件物件費ﾃﾞｰﾀ2!U51</f>
        <v>6790652</v>
      </c>
      <c r="W49" s="737">
        <f>人件物件費ﾃﾞｰﾀ2!Y51</f>
        <v>6805027</v>
      </c>
      <c r="X49" s="740">
        <f>人件物件費ﾃﾞｰﾀ2!AC51</f>
        <v>6929256</v>
      </c>
      <c r="Y49" s="740">
        <f>人件物件費ﾃﾞｰﾀ2!AG51</f>
        <v>6797476</v>
      </c>
      <c r="Z49" s="75">
        <f>人件物件費ﾃﾞｰﾀ2!AK51</f>
        <v>6831939</v>
      </c>
      <c r="AA49" s="75">
        <f>人件物件費ﾃﾞｰﾀ2!AO51</f>
        <v>7074467</v>
      </c>
      <c r="AB49" s="75">
        <f>人件物件費ﾃﾞｰﾀ2!AS51</f>
        <v>7190396</v>
      </c>
      <c r="AC49" s="75">
        <f>人件物件費ﾃﾞｰﾀ2!AW51</f>
        <v>7161045</v>
      </c>
      <c r="AD49" s="75">
        <f>人件物件費ﾃﾞｰﾀ2!BA51</f>
        <v>7299879</v>
      </c>
      <c r="AE49" s="75">
        <f>人件物件費ﾃﾞｰﾀ2!BE51</f>
        <v>7326651</v>
      </c>
      <c r="AF49" s="75">
        <f>人件物件費ﾃﾞｰﾀ2!BI51</f>
        <v>7587485</v>
      </c>
      <c r="AG49" s="75">
        <f>人件物件費ﾃﾞｰﾀ2!BM51</f>
        <v>8297254</v>
      </c>
      <c r="AH49" s="75">
        <f>人件物件費ﾃﾞｰﾀ2!BQ51</f>
        <v>8817836</v>
      </c>
      <c r="AI49" s="75">
        <f>人件物件費ﾃﾞｰﾀ2!BU51</f>
        <v>9194374</v>
      </c>
      <c r="AJ49" s="456">
        <f>人件物件費ﾃﾞｰﾀ2!BY51</f>
        <v>9136111</v>
      </c>
      <c r="AK49" s="456">
        <f>人件物件費ﾃﾞｰﾀ2!CC51</f>
        <v>9837957</v>
      </c>
      <c r="AL49" s="75">
        <f t="shared" ref="AL49:AN50" si="40">SUM(AI49:AK49)/3</f>
        <v>9389480.666666666</v>
      </c>
      <c r="AM49" s="75">
        <f t="shared" si="40"/>
        <v>9454516.222222222</v>
      </c>
      <c r="AN49" s="75">
        <f t="shared" si="40"/>
        <v>9560651.2962962966</v>
      </c>
      <c r="AP49" s="75">
        <f>SUM(Z49:AB49)/3*0.5+AB49*AS49*0.5</f>
        <v>7067302.1532589728</v>
      </c>
      <c r="AQ49" s="737">
        <v>21965</v>
      </c>
      <c r="AR49" s="737">
        <v>21696</v>
      </c>
      <c r="AS49" s="893">
        <f t="shared" si="6"/>
        <v>0.98775324379694973</v>
      </c>
    </row>
    <row r="50" spans="1:45">
      <c r="A50" s="89">
        <v>223</v>
      </c>
      <c r="B50" s="98" t="s">
        <v>223</v>
      </c>
      <c r="C50" s="737">
        <f>人件物件費ﾃﾞｰﾀ!D81+人件物件費ﾃﾞｰﾀ!D82+人件物件費ﾃﾞｰﾀ!D83+人件物件費ﾃﾞｰﾀ!D84+人件物件費ﾃﾞｰﾀ!D85+人件物件費ﾃﾞｰﾀ!D86</f>
        <v>7467060</v>
      </c>
      <c r="D50" s="737">
        <f>人件物件費ﾃﾞｰﾀ!G81+人件物件費ﾃﾞｰﾀ!G82+人件物件費ﾃﾞｰﾀ!G83+人件物件費ﾃﾞｰﾀ!G84+人件物件費ﾃﾞｰﾀ!G85+人件物件費ﾃﾞｰﾀ!G86</f>
        <v>8017695</v>
      </c>
      <c r="E50" s="737">
        <f>人件物件費ﾃﾞｰﾀ!J81+人件物件費ﾃﾞｰﾀ!J82+人件物件費ﾃﾞｰﾀ!J83+人件物件費ﾃﾞｰﾀ!J84+人件物件費ﾃﾞｰﾀ!J85+人件物件費ﾃﾞｰﾀ!J86</f>
        <v>8798534</v>
      </c>
      <c r="F50" s="737">
        <f>人件物件費ﾃﾞｰﾀ!M81+人件物件費ﾃﾞｰﾀ!M82+人件物件費ﾃﾞｰﾀ!M83+人件物件費ﾃﾞｰﾀ!M84+人件物件費ﾃﾞｰﾀ!M85+人件物件費ﾃﾞｰﾀ!M86</f>
        <v>8902413</v>
      </c>
      <c r="G50" s="737">
        <f>人件物件費ﾃﾞｰﾀ!P81+人件物件費ﾃﾞｰﾀ!P82+人件物件費ﾃﾞｰﾀ!P83+人件物件費ﾃﾞｰﾀ!P84+人件物件費ﾃﾞｰﾀ!P85+人件物件費ﾃﾞｰﾀ!P86</f>
        <v>9125218</v>
      </c>
      <c r="H50" s="737">
        <f>人件物件費ﾃﾞｰﾀ!S81+人件物件費ﾃﾞｰﾀ!S82+人件物件費ﾃﾞｰﾀ!S83+人件物件費ﾃﾞｰﾀ!S84+人件物件費ﾃﾞｰﾀ!S85+人件物件費ﾃﾞｰﾀ!S86</f>
        <v>9703351</v>
      </c>
      <c r="I50" s="737">
        <f>人件物件費ﾃﾞｰﾀ!V81+人件物件費ﾃﾞｰﾀ!V82+人件物件費ﾃﾞｰﾀ!V83+人件物件費ﾃﾞｰﾀ!V84+人件物件費ﾃﾞｰﾀ!V85+人件物件費ﾃﾞｰﾀ!V86</f>
        <v>10056609</v>
      </c>
      <c r="J50" s="737">
        <f>人件物件費ﾃﾞｰﾀ!Y81+人件物件費ﾃﾞｰﾀ!Y82+人件物件費ﾃﾞｰﾀ!Y83+人件物件費ﾃﾞｰﾀ!Y84+人件物件費ﾃﾞｰﾀ!Y85+人件物件費ﾃﾞｰﾀ!Y86</f>
        <v>10061197</v>
      </c>
      <c r="K50" s="737">
        <f>人件物件費ﾃﾞｰﾀ!AB81+人件物件費ﾃﾞｰﾀ!AB82+人件物件費ﾃﾞｰﾀ!AB83+人件物件費ﾃﾞｰﾀ!AB84+人件物件費ﾃﾞｰﾀ!AB85+人件物件費ﾃﾞｰﾀ!AB86</f>
        <v>10344160</v>
      </c>
      <c r="L50" s="737">
        <f>人件物件費ﾃﾞｰﾀ!AG85+人件物件費ﾃﾞｰﾀ!AG86+人件物件費ﾃﾞｰﾀ!AG87+人件物件費ﾃﾞｰﾀ!AG88+人件物件費ﾃﾞｰﾀ!AG89+人件物件費ﾃﾞｰﾀ!AG90</f>
        <v>10458920</v>
      </c>
      <c r="M50" s="737">
        <f>人件物件費ﾃﾞｰﾀ!AL86+人件物件費ﾃﾞｰﾀ!AL87+人件物件費ﾃﾞｰﾀ!AL88+人件物件費ﾃﾞｰﾀ!AL89+人件物件費ﾃﾞｰﾀ!AL90+人件物件費ﾃﾞｰﾀ!AL91</f>
        <v>10188107</v>
      </c>
      <c r="N50" s="737">
        <f>人件物件費ﾃﾞｰﾀ!AO86+人件物件費ﾃﾞｰﾀ!AO87+人件物件費ﾃﾞｰﾀ!AO88+人件物件費ﾃﾞｰﾀ!AO89+人件物件費ﾃﾞｰﾀ!AO90+人件物件費ﾃﾞｰﾀ!AO91</f>
        <v>10433997</v>
      </c>
      <c r="O50" s="737">
        <f>人件物件費ﾃﾞｰﾀ!AT86+人件物件費ﾃﾞｰﾀ!AT87+人件物件費ﾃﾞｰﾀ!AT88+人件物件費ﾃﾞｰﾀ!AT89+人件物件費ﾃﾞｰﾀ!AT90+人件物件費ﾃﾞｰﾀ!AT91</f>
        <v>10371470</v>
      </c>
      <c r="P50" s="737">
        <f>人件物件費ﾃﾞｰﾀ!AY70</f>
        <v>10262750</v>
      </c>
      <c r="Q50" s="737">
        <f>人件物件費ﾃﾞｰﾀ2!E52</f>
        <v>11285289</v>
      </c>
      <c r="R50" s="737">
        <f>人件物件費ﾃﾞｰﾀ2!H52</f>
        <v>10496000</v>
      </c>
      <c r="S50" s="737">
        <f>人件物件費ﾃﾞｰﾀ2!K52</f>
        <v>9733975</v>
      </c>
      <c r="T50" s="737">
        <f>人件物件費ﾃﾞｰﾀ2!N52</f>
        <v>9929371</v>
      </c>
      <c r="U50" s="737">
        <f>人件物件費ﾃﾞｰﾀ2!Q52</f>
        <v>9915583</v>
      </c>
      <c r="V50" s="737">
        <f>人件物件費ﾃﾞｰﾀ2!U52</f>
        <v>10522330</v>
      </c>
      <c r="W50" s="737">
        <f>人件物件費ﾃﾞｰﾀ2!Y52</f>
        <v>10147497</v>
      </c>
      <c r="X50" s="740">
        <f>人件物件費ﾃﾞｰﾀ2!AC52</f>
        <v>10180017</v>
      </c>
      <c r="Y50" s="740">
        <f>人件物件費ﾃﾞｰﾀ2!AG52</f>
        <v>9544402</v>
      </c>
      <c r="Z50" s="75">
        <f>人件物件費ﾃﾞｰﾀ2!AK52</f>
        <v>9380296</v>
      </c>
      <c r="AA50" s="75">
        <f>人件物件費ﾃﾞｰﾀ2!AO52</f>
        <v>10067442</v>
      </c>
      <c r="AB50" s="75">
        <f>人件物件費ﾃﾞｰﾀ2!AS52</f>
        <v>10318216</v>
      </c>
      <c r="AC50" s="75">
        <f>人件物件費ﾃﾞｰﾀ2!AW52</f>
        <v>10436528</v>
      </c>
      <c r="AD50" s="75">
        <f>人件物件費ﾃﾞｰﾀ2!BA52</f>
        <v>10440010</v>
      </c>
      <c r="AE50" s="75">
        <f>人件物件費ﾃﾞｰﾀ2!BE52</f>
        <v>10409054</v>
      </c>
      <c r="AF50" s="75">
        <f>人件物件費ﾃﾞｰﾀ2!BI52</f>
        <v>10480177</v>
      </c>
      <c r="AG50" s="75">
        <f>人件物件費ﾃﾞｰﾀ2!BM52</f>
        <v>10937793</v>
      </c>
      <c r="AH50" s="75">
        <f>人件物件費ﾃﾞｰﾀ2!BQ52</f>
        <v>11204279</v>
      </c>
      <c r="AI50" s="75">
        <f>人件物件費ﾃﾞｰﾀ2!BU52</f>
        <v>11167895</v>
      </c>
      <c r="AJ50" s="456">
        <f>人件物件費ﾃﾞｰﾀ2!BY52</f>
        <v>11567347</v>
      </c>
      <c r="AK50" s="456">
        <f>人件物件費ﾃﾞｰﾀ2!CC52</f>
        <v>12383196</v>
      </c>
      <c r="AL50" s="75">
        <f t="shared" si="40"/>
        <v>11706146</v>
      </c>
      <c r="AM50" s="75">
        <f t="shared" si="40"/>
        <v>11885563</v>
      </c>
      <c r="AN50" s="75">
        <f t="shared" si="40"/>
        <v>11991635</v>
      </c>
      <c r="AP50" s="75">
        <f>SUM(Z50:AB50)/3*0.5+AB50*AS50*0.5</f>
        <v>10324826.841269841</v>
      </c>
      <c r="AQ50" s="737">
        <v>37800</v>
      </c>
      <c r="AR50" s="737">
        <v>39300</v>
      </c>
      <c r="AS50" s="893">
        <f t="shared" si="6"/>
        <v>1.0396825396825398</v>
      </c>
    </row>
    <row r="51" spans="1:45">
      <c r="A51" s="86"/>
      <c r="B51" s="103" t="s">
        <v>212</v>
      </c>
      <c r="C51" s="737">
        <f>SUM(C52:C54)</f>
        <v>17462437</v>
      </c>
      <c r="D51" s="737">
        <f t="shared" ref="D51:K51" si="41">SUM(D52:D54)</f>
        <v>18498052</v>
      </c>
      <c r="E51" s="737">
        <f t="shared" si="41"/>
        <v>19651824</v>
      </c>
      <c r="F51" s="737">
        <f t="shared" si="41"/>
        <v>20291022</v>
      </c>
      <c r="G51" s="737">
        <f t="shared" si="41"/>
        <v>26028473</v>
      </c>
      <c r="H51" s="737">
        <f t="shared" si="41"/>
        <v>27312540</v>
      </c>
      <c r="I51" s="737">
        <f t="shared" si="41"/>
        <v>22368710</v>
      </c>
      <c r="J51" s="737">
        <f t="shared" si="41"/>
        <v>23329091</v>
      </c>
      <c r="K51" s="737">
        <f t="shared" si="41"/>
        <v>24673021</v>
      </c>
      <c r="L51" s="737">
        <f t="shared" ref="L51:T51" si="42">SUM(L52:L54)</f>
        <v>24754182</v>
      </c>
      <c r="M51" s="737">
        <f t="shared" si="42"/>
        <v>24315863</v>
      </c>
      <c r="N51" s="737">
        <f t="shared" si="42"/>
        <v>24831645</v>
      </c>
      <c r="O51" s="737">
        <f t="shared" si="42"/>
        <v>23989155</v>
      </c>
      <c r="P51" s="737">
        <f t="shared" si="42"/>
        <v>23719780</v>
      </c>
      <c r="Q51" s="737">
        <f t="shared" si="42"/>
        <v>26348905</v>
      </c>
      <c r="R51" s="737">
        <f t="shared" si="42"/>
        <v>24300974</v>
      </c>
      <c r="S51" s="737">
        <f t="shared" si="42"/>
        <v>22825608</v>
      </c>
      <c r="T51" s="737">
        <f t="shared" si="42"/>
        <v>22059610</v>
      </c>
      <c r="U51" s="737">
        <f t="shared" ref="U51:AH51" si="43">SUM(U52:U54)</f>
        <v>21066686</v>
      </c>
      <c r="V51" s="737">
        <f t="shared" si="43"/>
        <v>22652417</v>
      </c>
      <c r="W51" s="737">
        <f t="shared" si="43"/>
        <v>21295615</v>
      </c>
      <c r="X51" s="737">
        <f t="shared" si="43"/>
        <v>21828620</v>
      </c>
      <c r="Y51" s="737">
        <f t="shared" si="43"/>
        <v>20997417</v>
      </c>
      <c r="Z51" s="737">
        <f t="shared" si="43"/>
        <v>21689338</v>
      </c>
      <c r="AA51" s="737">
        <f t="shared" si="43"/>
        <v>21774871</v>
      </c>
      <c r="AB51" s="737">
        <f t="shared" si="43"/>
        <v>22965628</v>
      </c>
      <c r="AC51" s="737">
        <f t="shared" si="43"/>
        <v>22438039</v>
      </c>
      <c r="AD51" s="737">
        <f t="shared" si="43"/>
        <v>22794334</v>
      </c>
      <c r="AE51" s="737">
        <f t="shared" si="43"/>
        <v>23235825</v>
      </c>
      <c r="AF51" s="737">
        <f t="shared" si="43"/>
        <v>24390838</v>
      </c>
      <c r="AG51" s="737">
        <f t="shared" si="43"/>
        <v>27839249</v>
      </c>
      <c r="AH51" s="737">
        <f t="shared" si="43"/>
        <v>31484866</v>
      </c>
      <c r="AI51" s="75">
        <f>人件物件費ﾃﾞｰﾀ2!BU53</f>
        <v>29209673</v>
      </c>
      <c r="AJ51" s="456">
        <f>人件物件費ﾃﾞｰﾀ2!BY53</f>
        <v>28687539</v>
      </c>
      <c r="AK51" s="456">
        <f>人件物件費ﾃﾞｰﾀ2!CC53</f>
        <v>29783492</v>
      </c>
      <c r="AL51" s="737">
        <f>SUM(AL52:AL54)</f>
        <v>29226901.333333328</v>
      </c>
      <c r="AM51" s="737">
        <f>SUM(AM52:AM54)</f>
        <v>29232644.111111112</v>
      </c>
      <c r="AN51" s="737">
        <f>SUM(AN52:AN54)</f>
        <v>29414345.814814813</v>
      </c>
      <c r="AP51" s="737">
        <f>SUM(AP52:AP54)</f>
        <v>22501951.653971858</v>
      </c>
      <c r="AQ51" s="737">
        <f>SUM(AQ52:AQ54)</f>
        <v>84112</v>
      </c>
      <c r="AR51" s="737">
        <f>SUM(AR52:AR54)</f>
        <v>83075</v>
      </c>
      <c r="AS51" s="893">
        <f t="shared" si="6"/>
        <v>0.98767120030435607</v>
      </c>
    </row>
    <row r="52" spans="1:45">
      <c r="A52" s="92">
        <v>205</v>
      </c>
      <c r="B52" s="100" t="s">
        <v>241</v>
      </c>
      <c r="C52" s="737">
        <f>人件物件費ﾃﾞｰﾀ!D92+人件物件費ﾃﾞｰﾀ!D97</f>
        <v>5361189</v>
      </c>
      <c r="D52" s="737">
        <f>人件物件費ﾃﾞｰﾀ!G92+人件物件費ﾃﾞｰﾀ!G97</f>
        <v>5544902</v>
      </c>
      <c r="E52" s="737">
        <f>人件物件費ﾃﾞｰﾀ!J92+人件物件費ﾃﾞｰﾀ!J97</f>
        <v>5898462</v>
      </c>
      <c r="F52" s="737">
        <f>人件物件費ﾃﾞｰﾀ!M92+人件物件費ﾃﾞｰﾀ!M97</f>
        <v>5914762</v>
      </c>
      <c r="G52" s="737">
        <f>人件物件費ﾃﾞｰﾀ!P92+人件物件費ﾃﾞｰﾀ!P97</f>
        <v>6919200</v>
      </c>
      <c r="H52" s="737">
        <f>人件物件費ﾃﾞｰﾀ!S92+人件物件費ﾃﾞｰﾀ!S97</f>
        <v>7282299</v>
      </c>
      <c r="I52" s="737">
        <f>人件物件費ﾃﾞｰﾀ!V92+人件物件費ﾃﾞｰﾀ!V97</f>
        <v>6786517</v>
      </c>
      <c r="J52" s="737">
        <f>人件物件費ﾃﾞｰﾀ!Y92+人件物件費ﾃﾞｰﾀ!Y97</f>
        <v>7104334</v>
      </c>
      <c r="K52" s="737">
        <f>人件物件費ﾃﾞｰﾀ!AB92+人件物件費ﾃﾞｰﾀ!AB97</f>
        <v>7487976</v>
      </c>
      <c r="L52" s="737">
        <f>人件物件費ﾃﾞｰﾀ!AG92+人件物件費ﾃﾞｰﾀ!AG97</f>
        <v>7556283</v>
      </c>
      <c r="M52" s="737">
        <f>人件物件費ﾃﾞｰﾀ!AL93+人件物件費ﾃﾞｰﾀ!AL98</f>
        <v>7507561</v>
      </c>
      <c r="N52" s="737">
        <f>人件物件費ﾃﾞｰﾀ!AO93+人件物件費ﾃﾞｰﾀ!AO98</f>
        <v>7812165</v>
      </c>
      <c r="O52" s="737">
        <f>人件物件費ﾃﾞｰﾀ!AT93+人件物件費ﾃﾞｰﾀ!AT98</f>
        <v>7570484</v>
      </c>
      <c r="P52" s="737">
        <f>人件物件費ﾃﾞｰﾀ!AY72+人件物件費ﾃﾞｰﾀ!AY75</f>
        <v>7229538</v>
      </c>
      <c r="Q52" s="737">
        <f>人件物件費ﾃﾞｰﾀ2!E54</f>
        <v>8263704</v>
      </c>
      <c r="R52" s="737">
        <f>人件物件費ﾃﾞｰﾀ2!H54</f>
        <v>7221016</v>
      </c>
      <c r="S52" s="737">
        <f>人件物件費ﾃﾞｰﾀ2!K54</f>
        <v>6823887</v>
      </c>
      <c r="T52" s="737">
        <f>人件物件費ﾃﾞｰﾀ2!N54</f>
        <v>6511479</v>
      </c>
      <c r="U52" s="737">
        <f>人件物件費ﾃﾞｰﾀ2!Q54</f>
        <v>6263326</v>
      </c>
      <c r="V52" s="737">
        <f>人件物件費ﾃﾞｰﾀ2!U54</f>
        <v>6688733</v>
      </c>
      <c r="W52" s="737">
        <f>人件物件費ﾃﾞｰﾀ2!Y54</f>
        <v>6392811</v>
      </c>
      <c r="X52" s="740">
        <f>人件物件費ﾃﾞｰﾀ2!AC54</f>
        <v>6530032</v>
      </c>
      <c r="Y52" s="740">
        <f>人件物件費ﾃﾞｰﾀ2!AG54</f>
        <v>6435047</v>
      </c>
      <c r="Z52" s="75">
        <f>人件物件費ﾃﾞｰﾀ2!AK54</f>
        <v>6740479</v>
      </c>
      <c r="AA52" s="75">
        <f>人件物件費ﾃﾞｰﾀ2!AO54</f>
        <v>6514137</v>
      </c>
      <c r="AB52" s="75">
        <f>人件物件費ﾃﾞｰﾀ2!AS54</f>
        <v>6791264</v>
      </c>
      <c r="AC52" s="75">
        <f>人件物件費ﾃﾞｰﾀ2!AW54</f>
        <v>6875833</v>
      </c>
      <c r="AD52" s="75">
        <f>人件物件費ﾃﾞｰﾀ2!BA54</f>
        <v>7260846</v>
      </c>
      <c r="AE52" s="75">
        <f>人件物件費ﾃﾞｰﾀ2!BE54</f>
        <v>7323634</v>
      </c>
      <c r="AF52" s="75">
        <f>人件物件費ﾃﾞｰﾀ2!BI54</f>
        <v>7868525</v>
      </c>
      <c r="AG52" s="75">
        <f>人件物件費ﾃﾞｰﾀ2!BM54</f>
        <v>9993797</v>
      </c>
      <c r="AH52" s="75">
        <f>人件物件費ﾃﾞｰﾀ2!BQ54</f>
        <v>12844036</v>
      </c>
      <c r="AI52" s="75">
        <f>人件物件費ﾃﾞｰﾀ2!BU54</f>
        <v>9338683</v>
      </c>
      <c r="AJ52" s="456">
        <f>人件物件費ﾃﾞｰﾀ2!BY54</f>
        <v>8111084</v>
      </c>
      <c r="AK52" s="456">
        <f>人件物件費ﾃﾞｰﾀ2!CC54</f>
        <v>8074049</v>
      </c>
      <c r="AL52" s="75">
        <f t="shared" ref="AL52:AN54" si="44">SUM(AI52:AK52)/3</f>
        <v>8507938.666666666</v>
      </c>
      <c r="AM52" s="75">
        <f t="shared" si="44"/>
        <v>8231023.8888888881</v>
      </c>
      <c r="AN52" s="75">
        <f t="shared" si="44"/>
        <v>8271003.8518518507</v>
      </c>
      <c r="AP52" s="75">
        <f>SUM(Z52:AB52)/3*0.5+AB52*AS52*0.5</f>
        <v>6799798.985287413</v>
      </c>
      <c r="AQ52" s="737">
        <v>24129</v>
      </c>
      <c r="AR52" s="737">
        <v>24578</v>
      </c>
      <c r="AS52" s="893">
        <f t="shared" si="6"/>
        <v>1.0186083136474782</v>
      </c>
    </row>
    <row r="53" spans="1:45">
      <c r="A53" s="89">
        <v>224</v>
      </c>
      <c r="B53" s="98" t="s">
        <v>224</v>
      </c>
      <c r="C53" s="737">
        <f>人件物件費ﾃﾞｰﾀ!D99+人件物件費ﾃﾞｰﾀ!D100+人件物件費ﾃﾞｰﾀ!D101+人件物件費ﾃﾞｰﾀ!D102</f>
        <v>5704591</v>
      </c>
      <c r="D53" s="737">
        <f>人件物件費ﾃﾞｰﾀ!G99+人件物件費ﾃﾞｰﾀ!G100+人件物件費ﾃﾞｰﾀ!G101+人件物件費ﾃﾞｰﾀ!G102</f>
        <v>6117082</v>
      </c>
      <c r="E53" s="737">
        <f>人件物件費ﾃﾞｰﾀ!J99+人件物件費ﾃﾞｰﾀ!J100+人件物件費ﾃﾞｰﾀ!J101+人件物件費ﾃﾞｰﾀ!J102</f>
        <v>6385550</v>
      </c>
      <c r="F53" s="737">
        <f>人件物件費ﾃﾞｰﾀ!M99+人件物件費ﾃﾞｰﾀ!M100+人件物件費ﾃﾞｰﾀ!M101+人件物件費ﾃﾞｰﾀ!M102</f>
        <v>6631801</v>
      </c>
      <c r="G53" s="737">
        <f>人件物件費ﾃﾞｰﾀ!P99+人件物件費ﾃﾞｰﾀ!P100+人件物件費ﾃﾞｰﾀ!P101+人件物件費ﾃﾞｰﾀ!P102</f>
        <v>7371610</v>
      </c>
      <c r="H53" s="737">
        <f>人件物件費ﾃﾞｰﾀ!S99+人件物件費ﾃﾞｰﾀ!S100+人件物件費ﾃﾞｰﾀ!S101+人件物件費ﾃﾞｰﾀ!S102</f>
        <v>7810494</v>
      </c>
      <c r="I53" s="737">
        <f>人件物件費ﾃﾞｰﾀ!V99+人件物件費ﾃﾞｰﾀ!V100+人件物件費ﾃﾞｰﾀ!V101+人件物件費ﾃﾞｰﾀ!V102</f>
        <v>7238478</v>
      </c>
      <c r="J53" s="737">
        <f>人件物件費ﾃﾞｰﾀ!Y99+人件物件費ﾃﾞｰﾀ!Y100+人件物件費ﾃﾞｰﾀ!Y101+人件物件費ﾃﾞｰﾀ!Y102</f>
        <v>7325435</v>
      </c>
      <c r="K53" s="737">
        <f>人件物件費ﾃﾞｰﾀ!AB99+人件物件費ﾃﾞｰﾀ!AB100+人件物件費ﾃﾞｰﾀ!AB101+人件物件費ﾃﾞｰﾀ!AB102</f>
        <v>7589583</v>
      </c>
      <c r="L53" s="737">
        <f>人件物件費ﾃﾞｰﾀ!AG99+人件物件費ﾃﾞｰﾀ!AG100+人件物件費ﾃﾞｰﾀ!AG101+人件物件費ﾃﾞｰﾀ!AG102</f>
        <v>7786055</v>
      </c>
      <c r="M53" s="737">
        <f>人件物件費ﾃﾞｰﾀ!AL100+人件物件費ﾃﾞｰﾀ!AL101+人件物件費ﾃﾞｰﾀ!AL102+人件物件費ﾃﾞｰﾀ!AL103</f>
        <v>7677335</v>
      </c>
      <c r="N53" s="737">
        <f>人件物件費ﾃﾞｰﾀ!AO100+人件物件費ﾃﾞｰﾀ!AO101+人件物件費ﾃﾞｰﾀ!AO102+人件物件費ﾃﾞｰﾀ!AO103</f>
        <v>7721781</v>
      </c>
      <c r="O53" s="737">
        <f>人件物件費ﾃﾞｰﾀ!AT100+人件物件費ﾃﾞｰﾀ!AT101+人件物件費ﾃﾞｰﾀ!AT102+人件物件費ﾃﾞｰﾀ!AT103</f>
        <v>7572905</v>
      </c>
      <c r="P53" s="737">
        <f>人件物件費ﾃﾞｰﾀ!AY73</f>
        <v>7718524</v>
      </c>
      <c r="Q53" s="737">
        <f>人件物件費ﾃﾞｰﾀ2!E55</f>
        <v>9104048</v>
      </c>
      <c r="R53" s="737">
        <f>人件物件費ﾃﾞｰﾀ2!H55</f>
        <v>8201582</v>
      </c>
      <c r="S53" s="737">
        <f>人件物件費ﾃﾞｰﾀ2!K55</f>
        <v>7900086</v>
      </c>
      <c r="T53" s="737">
        <f>人件物件費ﾃﾞｰﾀ2!N55</f>
        <v>7791715</v>
      </c>
      <c r="U53" s="737">
        <f>人件物件費ﾃﾞｰﾀ2!Q55</f>
        <v>7604955</v>
      </c>
      <c r="V53" s="737">
        <f>人件物件費ﾃﾞｰﾀ2!U55</f>
        <v>8143485</v>
      </c>
      <c r="W53" s="737">
        <f>人件物件費ﾃﾞｰﾀ2!Y55</f>
        <v>7739587</v>
      </c>
      <c r="X53" s="740">
        <f>人件物件費ﾃﾞｰﾀ2!AC55</f>
        <v>7832810</v>
      </c>
      <c r="Y53" s="740">
        <f>人件物件費ﾃﾞｰﾀ2!AG55</f>
        <v>7146025</v>
      </c>
      <c r="Z53" s="75">
        <f>人件物件費ﾃﾞｰﾀ2!AK55</f>
        <v>7417534</v>
      </c>
      <c r="AA53" s="75">
        <f>人件物件費ﾃﾞｰﾀ2!AO55</f>
        <v>7299781</v>
      </c>
      <c r="AB53" s="75">
        <f>人件物件費ﾃﾞｰﾀ2!AS55</f>
        <v>8116774</v>
      </c>
      <c r="AC53" s="75">
        <f>人件物件費ﾃﾞｰﾀ2!AW55</f>
        <v>7691111</v>
      </c>
      <c r="AD53" s="75">
        <f>人件物件費ﾃﾞｰﾀ2!BA55</f>
        <v>7654057</v>
      </c>
      <c r="AE53" s="75">
        <f>人件物件費ﾃﾞｰﾀ2!BE55</f>
        <v>8047277</v>
      </c>
      <c r="AF53" s="75">
        <f>人件物件費ﾃﾞｰﾀ2!BI55</f>
        <v>8163575</v>
      </c>
      <c r="AG53" s="75">
        <f>人件物件費ﾃﾞｰﾀ2!BM55</f>
        <v>8798627</v>
      </c>
      <c r="AH53" s="75">
        <f>人件物件費ﾃﾞｰﾀ2!BQ55</f>
        <v>9260143</v>
      </c>
      <c r="AI53" s="75">
        <f>人件物件費ﾃﾞｰﾀ2!BU55</f>
        <v>9698556</v>
      </c>
      <c r="AJ53" s="456">
        <f>人件物件費ﾃﾞｰﾀ2!BY55</f>
        <v>9746257</v>
      </c>
      <c r="AK53" s="456">
        <f>人件物件費ﾃﾞｰﾀ2!CC55</f>
        <v>10080023</v>
      </c>
      <c r="AL53" s="75">
        <f t="shared" si="44"/>
        <v>9841612</v>
      </c>
      <c r="AM53" s="75">
        <f t="shared" si="44"/>
        <v>9889297.333333334</v>
      </c>
      <c r="AN53" s="75">
        <f t="shared" si="44"/>
        <v>9936977.4444444459</v>
      </c>
      <c r="AP53" s="75">
        <f>SUM(Z53:AB53)/3*0.5+AB53*AS53*0.5</f>
        <v>8137634.6468808278</v>
      </c>
      <c r="AQ53" s="737">
        <v>26273</v>
      </c>
      <c r="AR53" s="737">
        <v>28044</v>
      </c>
      <c r="AS53" s="893">
        <f t="shared" si="6"/>
        <v>1.0674076047653485</v>
      </c>
    </row>
    <row r="54" spans="1:45">
      <c r="A54" s="89">
        <v>226</v>
      </c>
      <c r="B54" s="202" t="s">
        <v>225</v>
      </c>
      <c r="C54" s="738">
        <f>人件物件費ﾃﾞｰﾀ!D93+人件物件費ﾃﾞｰﾀ!D94+人件物件費ﾃﾞｰﾀ!D95+人件物件費ﾃﾞｰﾀ!D96+人件物件費ﾃﾞｰﾀ!D98</f>
        <v>6396657</v>
      </c>
      <c r="D54" s="738">
        <f>人件物件費ﾃﾞｰﾀ!G93+人件物件費ﾃﾞｰﾀ!G94+人件物件費ﾃﾞｰﾀ!G95+人件物件費ﾃﾞｰﾀ!G96+人件物件費ﾃﾞｰﾀ!G98</f>
        <v>6836068</v>
      </c>
      <c r="E54" s="738">
        <f>人件物件費ﾃﾞｰﾀ!J93+人件物件費ﾃﾞｰﾀ!J94+人件物件費ﾃﾞｰﾀ!J95+人件物件費ﾃﾞｰﾀ!J96+人件物件費ﾃﾞｰﾀ!J98</f>
        <v>7367812</v>
      </c>
      <c r="F54" s="738">
        <f>人件物件費ﾃﾞｰﾀ!M93+人件物件費ﾃﾞｰﾀ!M94+人件物件費ﾃﾞｰﾀ!M95+人件物件費ﾃﾞｰﾀ!M96+人件物件費ﾃﾞｰﾀ!M98</f>
        <v>7744459</v>
      </c>
      <c r="G54" s="738">
        <f>人件物件費ﾃﾞｰﾀ!P93+人件物件費ﾃﾞｰﾀ!P94+人件物件費ﾃﾞｰﾀ!P95+人件物件費ﾃﾞｰﾀ!P96+人件物件費ﾃﾞｰﾀ!P98</f>
        <v>11737663</v>
      </c>
      <c r="H54" s="738">
        <f>人件物件費ﾃﾞｰﾀ!S93+人件物件費ﾃﾞｰﾀ!S94+人件物件費ﾃﾞｰﾀ!S95+人件物件費ﾃﾞｰﾀ!S96+人件物件費ﾃﾞｰﾀ!S98</f>
        <v>12219747</v>
      </c>
      <c r="I54" s="738">
        <f>人件物件費ﾃﾞｰﾀ!V93+人件物件費ﾃﾞｰﾀ!V94+人件物件費ﾃﾞｰﾀ!V95+人件物件費ﾃﾞｰﾀ!V96+人件物件費ﾃﾞｰﾀ!V98</f>
        <v>8343715</v>
      </c>
      <c r="J54" s="738">
        <f>人件物件費ﾃﾞｰﾀ!Y93+人件物件費ﾃﾞｰﾀ!Y94+人件物件費ﾃﾞｰﾀ!Y95+人件物件費ﾃﾞｰﾀ!Y96+人件物件費ﾃﾞｰﾀ!Y98</f>
        <v>8899322</v>
      </c>
      <c r="K54" s="738">
        <f>人件物件費ﾃﾞｰﾀ!AB93+人件物件費ﾃﾞｰﾀ!AB94+人件物件費ﾃﾞｰﾀ!AB95+人件物件費ﾃﾞｰﾀ!AB96+人件物件費ﾃﾞｰﾀ!AB98</f>
        <v>9595462</v>
      </c>
      <c r="L54" s="738">
        <f>人件物件費ﾃﾞｰﾀ!AG93+人件物件費ﾃﾞｰﾀ!AG94+人件物件費ﾃﾞｰﾀ!AG95+人件物件費ﾃﾞｰﾀ!AG96+人件物件費ﾃﾞｰﾀ!AG98</f>
        <v>9411844</v>
      </c>
      <c r="M54" s="738">
        <f>人件物件費ﾃﾞｰﾀ!AL94+人件物件費ﾃﾞｰﾀ!AL95+人件物件費ﾃﾞｰﾀ!AL96+人件物件費ﾃﾞｰﾀ!AL97+人件物件費ﾃﾞｰﾀ!AL99</f>
        <v>9130967</v>
      </c>
      <c r="N54" s="738">
        <f>人件物件費ﾃﾞｰﾀ!AO94+人件物件費ﾃﾞｰﾀ!AO95+人件物件費ﾃﾞｰﾀ!AO96+人件物件費ﾃﾞｰﾀ!AO97+人件物件費ﾃﾞｰﾀ!AO99</f>
        <v>9297699</v>
      </c>
      <c r="O54" s="738">
        <f>人件物件費ﾃﾞｰﾀ!AT94+人件物件費ﾃﾞｰﾀ!AT95+人件物件費ﾃﾞｰﾀ!AT96+人件物件費ﾃﾞｰﾀ!AT97+人件物件費ﾃﾞｰﾀ!AT99</f>
        <v>8845766</v>
      </c>
      <c r="P54" s="738">
        <f>人件物件費ﾃﾞｰﾀ!AY74</f>
        <v>8771718</v>
      </c>
      <c r="Q54" s="738">
        <f>人件物件費ﾃﾞｰﾀ2!E56</f>
        <v>8981153</v>
      </c>
      <c r="R54" s="738">
        <f>人件物件費ﾃﾞｰﾀ2!H56</f>
        <v>8878376</v>
      </c>
      <c r="S54" s="738">
        <f>人件物件費ﾃﾞｰﾀ2!K56</f>
        <v>8101635</v>
      </c>
      <c r="T54" s="738">
        <f>人件物件費ﾃﾞｰﾀ2!N56</f>
        <v>7756416</v>
      </c>
      <c r="U54" s="738">
        <f>人件物件費ﾃﾞｰﾀ2!Q56</f>
        <v>7198405</v>
      </c>
      <c r="V54" s="738">
        <f>人件物件費ﾃﾞｰﾀ2!U56</f>
        <v>7820199</v>
      </c>
      <c r="W54" s="738">
        <f>人件物件費ﾃﾞｰﾀ2!Y56</f>
        <v>7163217</v>
      </c>
      <c r="X54" s="738">
        <f>人件物件費ﾃﾞｰﾀ2!AC56</f>
        <v>7465778</v>
      </c>
      <c r="Y54" s="738">
        <f>人件物件費ﾃﾞｰﾀ2!AG56</f>
        <v>7416345</v>
      </c>
      <c r="Z54" s="132">
        <f>人件物件費ﾃﾞｰﾀ2!AK56</f>
        <v>7531325</v>
      </c>
      <c r="AA54" s="132">
        <f>人件物件費ﾃﾞｰﾀ2!AO56</f>
        <v>7960953</v>
      </c>
      <c r="AB54" s="132">
        <f>人件物件費ﾃﾞｰﾀ2!AS56</f>
        <v>8057590</v>
      </c>
      <c r="AC54" s="132">
        <f>人件物件費ﾃﾞｰﾀ2!AW56</f>
        <v>7871095</v>
      </c>
      <c r="AD54" s="132">
        <f>人件物件費ﾃﾞｰﾀ2!BA56</f>
        <v>7879431</v>
      </c>
      <c r="AE54" s="132">
        <f>人件物件費ﾃﾞｰﾀ2!BE56</f>
        <v>7864914</v>
      </c>
      <c r="AF54" s="132">
        <f>人件物件費ﾃﾞｰﾀ2!BI56</f>
        <v>8358738</v>
      </c>
      <c r="AG54" s="132">
        <f>人件物件費ﾃﾞｰﾀ2!BM56</f>
        <v>9046825</v>
      </c>
      <c r="AH54" s="132">
        <f>人件物件費ﾃﾞｰﾀ2!BQ56</f>
        <v>9380687</v>
      </c>
      <c r="AI54" s="132">
        <f>人件物件費ﾃﾞｰﾀ2!BU56</f>
        <v>10172434</v>
      </c>
      <c r="AJ54" s="456">
        <f>人件物件費ﾃﾞｰﾀ2!BY56</f>
        <v>10830198</v>
      </c>
      <c r="AK54" s="456">
        <f>人件物件費ﾃﾞｰﾀ2!CC56</f>
        <v>11629420</v>
      </c>
      <c r="AL54" s="132">
        <f t="shared" si="44"/>
        <v>10877350.666666666</v>
      </c>
      <c r="AM54" s="132">
        <f t="shared" si="44"/>
        <v>11112322.888888888</v>
      </c>
      <c r="AN54" s="132">
        <f t="shared" si="44"/>
        <v>11206364.518518517</v>
      </c>
      <c r="AP54" s="132">
        <f>SUM(Z54:AB54)/3*0.5+AB54*AS54*0.5</f>
        <v>7564518.0218036193</v>
      </c>
      <c r="AQ54" s="738">
        <v>33710</v>
      </c>
      <c r="AR54" s="738">
        <v>30453</v>
      </c>
      <c r="AS54" s="894">
        <f t="shared" si="6"/>
        <v>0.90338178582023143</v>
      </c>
    </row>
    <row r="55" spans="1:45">
      <c r="G55" s="92" t="s">
        <v>627</v>
      </c>
      <c r="L55" s="740"/>
      <c r="M55" s="740"/>
      <c r="N55" s="740"/>
      <c r="O55" s="740"/>
      <c r="P55" s="740"/>
      <c r="Q55" s="740"/>
      <c r="R55" s="740"/>
      <c r="S55" s="740"/>
      <c r="T55" s="740"/>
      <c r="U55" s="740"/>
      <c r="V55" s="740"/>
      <c r="W55" s="740"/>
      <c r="X55" s="740"/>
      <c r="Y55" s="740"/>
      <c r="AB55" s="75" t="s">
        <v>163</v>
      </c>
    </row>
    <row r="56" spans="1:45">
      <c r="L56" s="740"/>
      <c r="M56" s="740"/>
      <c r="N56" s="740"/>
      <c r="O56" s="740"/>
      <c r="P56" s="740"/>
      <c r="Q56" s="740"/>
      <c r="R56" s="740"/>
      <c r="S56" s="740"/>
      <c r="T56" s="740"/>
      <c r="U56" s="740"/>
      <c r="V56" s="740"/>
      <c r="W56" s="740"/>
      <c r="X56" s="740"/>
      <c r="Y56" s="740"/>
    </row>
    <row r="57" spans="1:45">
      <c r="L57" s="740"/>
      <c r="M57" s="740"/>
      <c r="N57" s="740"/>
      <c r="O57" s="740"/>
      <c r="P57" s="740"/>
      <c r="Q57" s="740"/>
      <c r="R57" s="740"/>
      <c r="S57" s="740"/>
      <c r="T57" s="740"/>
      <c r="U57" s="740"/>
      <c r="V57" s="740"/>
      <c r="W57" s="740"/>
      <c r="X57" s="740"/>
      <c r="Y57" s="740"/>
    </row>
    <row r="58" spans="1:45">
      <c r="L58" s="76"/>
      <c r="M58" s="76"/>
      <c r="N58" s="76"/>
      <c r="O58" s="76"/>
      <c r="P58" s="76"/>
      <c r="Q58" s="76"/>
      <c r="R58" s="76"/>
      <c r="S58" s="76"/>
      <c r="T58" s="76"/>
      <c r="U58" s="76"/>
      <c r="V58" s="76"/>
      <c r="W58" s="76"/>
      <c r="X58" s="76"/>
      <c r="Y58" s="76"/>
    </row>
    <row r="59" spans="1:45">
      <c r="L59" s="76"/>
      <c r="M59" s="76"/>
      <c r="N59" s="76"/>
      <c r="O59" s="76"/>
      <c r="P59" s="76"/>
      <c r="Q59" s="76"/>
      <c r="R59" s="76"/>
      <c r="S59" s="76"/>
      <c r="T59" s="76"/>
      <c r="U59" s="76"/>
      <c r="V59" s="76"/>
      <c r="W59" s="76"/>
      <c r="X59" s="76"/>
      <c r="Y59" s="76"/>
    </row>
    <row r="60" spans="1:45">
      <c r="L60" s="76"/>
      <c r="M60" s="76"/>
      <c r="N60" s="76"/>
      <c r="O60" s="76"/>
      <c r="P60" s="76"/>
      <c r="Q60" s="76"/>
      <c r="R60" s="76"/>
      <c r="S60" s="76"/>
      <c r="T60" s="76"/>
      <c r="U60" s="76"/>
      <c r="V60" s="76"/>
      <c r="W60" s="76"/>
      <c r="X60" s="76"/>
      <c r="Y60" s="76"/>
    </row>
    <row r="61" spans="1:45">
      <c r="L61" s="76"/>
      <c r="M61" s="76"/>
      <c r="N61" s="76"/>
      <c r="O61" s="76"/>
      <c r="P61" s="76"/>
      <c r="Q61" s="76"/>
      <c r="R61" s="76"/>
      <c r="S61" s="76"/>
      <c r="T61" s="76"/>
      <c r="U61" s="76"/>
      <c r="V61" s="76"/>
      <c r="W61" s="76"/>
      <c r="X61" s="76"/>
      <c r="Y61" s="76"/>
    </row>
    <row r="62" spans="1:45">
      <c r="L62" s="76"/>
      <c r="M62" s="76"/>
      <c r="N62" s="76"/>
      <c r="O62" s="76"/>
      <c r="P62" s="76"/>
      <c r="Q62" s="76"/>
      <c r="R62" s="76"/>
      <c r="S62" s="76"/>
      <c r="T62" s="76"/>
      <c r="U62" s="76"/>
      <c r="V62" s="76"/>
      <c r="W62" s="76"/>
      <c r="X62" s="76"/>
      <c r="Y62" s="76"/>
    </row>
    <row r="63" spans="1:45">
      <c r="L63" s="76"/>
      <c r="M63" s="76"/>
      <c r="N63" s="76"/>
      <c r="O63" s="76"/>
      <c r="P63" s="76"/>
      <c r="Q63" s="76"/>
      <c r="R63" s="76"/>
      <c r="S63" s="76"/>
      <c r="T63" s="76"/>
      <c r="U63" s="76"/>
      <c r="V63" s="76"/>
      <c r="W63" s="76"/>
      <c r="X63" s="76"/>
      <c r="Y63" s="76"/>
    </row>
    <row r="64" spans="1:45">
      <c r="L64" s="76"/>
      <c r="M64" s="76"/>
      <c r="N64" s="76"/>
      <c r="O64" s="76"/>
      <c r="P64" s="76"/>
      <c r="Q64" s="76"/>
      <c r="R64" s="76"/>
      <c r="S64" s="76"/>
      <c r="T64" s="76"/>
      <c r="U64" s="76"/>
      <c r="V64" s="76"/>
      <c r="W64" s="76"/>
      <c r="X64" s="76"/>
      <c r="Y64" s="76"/>
    </row>
    <row r="65" spans="12:25">
      <c r="L65" s="76"/>
      <c r="M65" s="76"/>
      <c r="N65" s="76"/>
      <c r="O65" s="76"/>
      <c r="P65" s="76"/>
      <c r="Q65" s="76"/>
      <c r="R65" s="76"/>
      <c r="S65" s="76"/>
      <c r="T65" s="76"/>
      <c r="U65" s="76"/>
      <c r="V65" s="76"/>
      <c r="W65" s="76"/>
      <c r="X65" s="76"/>
      <c r="Y65" s="76"/>
    </row>
    <row r="66" spans="12:25">
      <c r="L66" s="76"/>
      <c r="M66" s="76"/>
      <c r="N66" s="76"/>
      <c r="O66" s="76"/>
      <c r="P66" s="76"/>
      <c r="Q66" s="76"/>
      <c r="R66" s="76"/>
      <c r="S66" s="76"/>
      <c r="T66" s="76"/>
      <c r="U66" s="76"/>
      <c r="V66" s="76"/>
      <c r="W66" s="76"/>
      <c r="X66" s="76"/>
      <c r="Y66" s="76"/>
    </row>
    <row r="67" spans="12:25">
      <c r="L67" s="76"/>
      <c r="M67" s="76"/>
      <c r="N67" s="76"/>
      <c r="O67" s="76"/>
      <c r="P67" s="76"/>
      <c r="Q67" s="76"/>
      <c r="R67" s="76"/>
      <c r="S67" s="76"/>
      <c r="T67" s="76"/>
      <c r="U67" s="76"/>
      <c r="V67" s="76"/>
      <c r="W67" s="76"/>
      <c r="X67" s="76"/>
      <c r="Y67" s="76"/>
    </row>
    <row r="68" spans="12:25">
      <c r="L68" s="76"/>
      <c r="M68" s="76"/>
      <c r="N68" s="76"/>
      <c r="O68" s="76"/>
      <c r="P68" s="76"/>
      <c r="Q68" s="76"/>
      <c r="R68" s="76"/>
      <c r="S68" s="76"/>
      <c r="T68" s="76"/>
      <c r="U68" s="76"/>
      <c r="V68" s="76"/>
      <c r="W68" s="76"/>
      <c r="X68" s="76"/>
      <c r="Y68" s="76"/>
    </row>
    <row r="69" spans="12:25">
      <c r="L69" s="76"/>
      <c r="M69" s="76"/>
      <c r="N69" s="76"/>
      <c r="O69" s="76"/>
      <c r="P69" s="76"/>
      <c r="Q69" s="76"/>
      <c r="R69" s="76"/>
      <c r="S69" s="76"/>
      <c r="T69" s="76"/>
      <c r="U69" s="76"/>
      <c r="V69" s="76"/>
      <c r="W69" s="76"/>
      <c r="X69" s="76"/>
      <c r="Y69" s="76"/>
    </row>
    <row r="70" spans="12:25">
      <c r="L70" s="76"/>
      <c r="M70" s="76"/>
      <c r="N70" s="76"/>
      <c r="O70" s="76"/>
      <c r="P70" s="76"/>
      <c r="Q70" s="76"/>
      <c r="R70" s="76"/>
      <c r="S70" s="76"/>
      <c r="T70" s="76"/>
      <c r="U70" s="76"/>
      <c r="V70" s="76"/>
      <c r="W70" s="76"/>
      <c r="X70" s="76"/>
      <c r="Y70" s="76"/>
    </row>
    <row r="71" spans="12:25">
      <c r="L71" s="76"/>
      <c r="M71" s="76"/>
      <c r="N71" s="76"/>
      <c r="O71" s="76"/>
      <c r="P71" s="76"/>
      <c r="Q71" s="76"/>
      <c r="R71" s="76"/>
      <c r="S71" s="76"/>
      <c r="T71" s="76"/>
      <c r="U71" s="76"/>
      <c r="V71" s="76"/>
      <c r="W71" s="76"/>
      <c r="X71" s="76"/>
      <c r="Y71" s="76"/>
    </row>
    <row r="72" spans="12:25">
      <c r="L72" s="76"/>
      <c r="M72" s="76"/>
      <c r="N72" s="76"/>
      <c r="O72" s="76"/>
      <c r="P72" s="76"/>
      <c r="Q72" s="76"/>
      <c r="R72" s="76"/>
      <c r="S72" s="76"/>
      <c r="T72" s="76"/>
      <c r="U72" s="76"/>
      <c r="V72" s="76"/>
      <c r="W72" s="76"/>
      <c r="X72" s="76"/>
      <c r="Y72" s="76"/>
    </row>
    <row r="73" spans="12:25">
      <c r="L73" s="76"/>
      <c r="M73" s="76"/>
      <c r="N73" s="76"/>
      <c r="O73" s="76"/>
      <c r="P73" s="76"/>
      <c r="Q73" s="76"/>
      <c r="R73" s="76"/>
      <c r="S73" s="76"/>
      <c r="T73" s="76"/>
      <c r="U73" s="76"/>
      <c r="V73" s="76"/>
      <c r="W73" s="76"/>
      <c r="X73" s="76"/>
      <c r="Y73" s="76"/>
    </row>
    <row r="74" spans="12:25">
      <c r="L74" s="76"/>
      <c r="M74" s="76"/>
      <c r="N74" s="76"/>
      <c r="O74" s="76"/>
      <c r="P74" s="76"/>
      <c r="Q74" s="76"/>
      <c r="R74" s="76"/>
      <c r="S74" s="76"/>
      <c r="T74" s="76"/>
      <c r="U74" s="76"/>
      <c r="V74" s="76"/>
      <c r="W74" s="76"/>
      <c r="X74" s="76"/>
      <c r="Y74" s="76"/>
    </row>
    <row r="75" spans="12:25">
      <c r="L75" s="76"/>
      <c r="M75" s="76"/>
      <c r="N75" s="76"/>
      <c r="O75" s="76"/>
      <c r="P75" s="76"/>
      <c r="Q75" s="76"/>
      <c r="R75" s="76"/>
      <c r="S75" s="76"/>
      <c r="T75" s="76"/>
      <c r="U75" s="76"/>
      <c r="V75" s="76"/>
      <c r="W75" s="76"/>
      <c r="X75" s="76"/>
      <c r="Y75" s="76"/>
    </row>
    <row r="76" spans="12:25">
      <c r="L76" s="76"/>
      <c r="M76" s="76"/>
      <c r="N76" s="76"/>
      <c r="O76" s="76"/>
      <c r="P76" s="76"/>
      <c r="Q76" s="76"/>
      <c r="R76" s="76"/>
      <c r="S76" s="76"/>
      <c r="T76" s="76"/>
      <c r="U76" s="76"/>
      <c r="V76" s="76"/>
      <c r="W76" s="76"/>
      <c r="X76" s="76"/>
      <c r="Y76" s="76"/>
    </row>
    <row r="77" spans="12:25">
      <c r="L77" s="76"/>
      <c r="M77" s="76"/>
      <c r="N77" s="76"/>
      <c r="O77" s="76"/>
      <c r="P77" s="76"/>
      <c r="Q77" s="76"/>
      <c r="R77" s="76"/>
      <c r="S77" s="76"/>
      <c r="T77" s="76"/>
      <c r="U77" s="76"/>
      <c r="V77" s="76"/>
      <c r="W77" s="76"/>
      <c r="X77" s="76"/>
      <c r="Y77" s="76"/>
    </row>
    <row r="78" spans="12:25">
      <c r="L78" s="76"/>
      <c r="M78" s="76"/>
      <c r="N78" s="76"/>
      <c r="O78" s="76"/>
      <c r="P78" s="76"/>
      <c r="Q78" s="76"/>
      <c r="R78" s="76"/>
      <c r="S78" s="76"/>
      <c r="T78" s="76"/>
      <c r="U78" s="76"/>
      <c r="V78" s="76"/>
      <c r="W78" s="76"/>
      <c r="X78" s="76"/>
      <c r="Y78" s="76"/>
    </row>
    <row r="79" spans="12:25">
      <c r="L79" s="76"/>
      <c r="M79" s="76"/>
      <c r="N79" s="76"/>
      <c r="O79" s="76"/>
      <c r="P79" s="76"/>
      <c r="Q79" s="76"/>
      <c r="R79" s="76"/>
      <c r="S79" s="76"/>
      <c r="T79" s="76"/>
      <c r="U79" s="76"/>
      <c r="V79" s="76"/>
      <c r="W79" s="76"/>
      <c r="X79" s="76"/>
      <c r="Y79" s="76"/>
    </row>
    <row r="80" spans="12:25">
      <c r="L80" s="76"/>
      <c r="M80" s="76"/>
      <c r="N80" s="76"/>
      <c r="O80" s="76"/>
      <c r="P80" s="76"/>
      <c r="Q80" s="76"/>
      <c r="R80" s="76"/>
      <c r="S80" s="76"/>
      <c r="T80" s="76"/>
      <c r="U80" s="76"/>
      <c r="V80" s="76"/>
      <c r="W80" s="76"/>
      <c r="X80" s="76"/>
      <c r="Y80" s="76"/>
    </row>
    <row r="81" spans="12:25">
      <c r="L81" s="76"/>
      <c r="M81" s="76"/>
      <c r="N81" s="76"/>
      <c r="O81" s="76"/>
      <c r="P81" s="76"/>
      <c r="Q81" s="76"/>
      <c r="R81" s="76"/>
      <c r="S81" s="76"/>
      <c r="T81" s="76"/>
      <c r="U81" s="76"/>
      <c r="V81" s="76"/>
      <c r="W81" s="76"/>
      <c r="X81" s="76"/>
      <c r="Y81" s="76"/>
    </row>
    <row r="82" spans="12:25">
      <c r="L82" s="76"/>
      <c r="M82" s="76"/>
      <c r="N82" s="76"/>
      <c r="O82" s="76"/>
      <c r="P82" s="76"/>
      <c r="Q82" s="76"/>
      <c r="R82" s="76"/>
      <c r="S82" s="76"/>
      <c r="T82" s="76"/>
      <c r="U82" s="76"/>
      <c r="V82" s="76"/>
      <c r="W82" s="76"/>
      <c r="X82" s="76"/>
      <c r="Y82" s="76"/>
    </row>
    <row r="83" spans="12:25">
      <c r="L83" s="76"/>
      <c r="M83" s="76"/>
      <c r="N83" s="76"/>
      <c r="O83" s="76"/>
      <c r="P83" s="76"/>
      <c r="Q83" s="76"/>
      <c r="R83" s="76"/>
      <c r="S83" s="76"/>
      <c r="T83" s="76"/>
      <c r="U83" s="76"/>
      <c r="V83" s="76"/>
      <c r="W83" s="76"/>
      <c r="X83" s="76"/>
      <c r="Y83" s="76"/>
    </row>
    <row r="84" spans="12:25">
      <c r="L84" s="76"/>
      <c r="M84" s="76"/>
      <c r="N84" s="76"/>
      <c r="O84" s="76"/>
      <c r="P84" s="76"/>
      <c r="Q84" s="76"/>
      <c r="R84" s="76"/>
      <c r="S84" s="76"/>
      <c r="T84" s="76"/>
      <c r="U84" s="76"/>
      <c r="V84" s="76"/>
      <c r="W84" s="76"/>
      <c r="X84" s="76"/>
      <c r="Y84" s="76"/>
    </row>
    <row r="85" spans="12:25">
      <c r="L85" s="76"/>
      <c r="M85" s="76"/>
      <c r="N85" s="76"/>
      <c r="O85" s="76"/>
      <c r="P85" s="76"/>
      <c r="Q85" s="76"/>
      <c r="R85" s="76"/>
      <c r="S85" s="76"/>
      <c r="T85" s="76"/>
      <c r="U85" s="76"/>
      <c r="V85" s="76"/>
      <c r="W85" s="76"/>
      <c r="X85" s="76"/>
      <c r="Y85" s="76"/>
    </row>
    <row r="86" spans="12:25">
      <c r="L86" s="76"/>
      <c r="M86" s="76"/>
      <c r="N86" s="76"/>
      <c r="O86" s="76"/>
      <c r="P86" s="76"/>
      <c r="Q86" s="76"/>
      <c r="R86" s="76"/>
      <c r="S86" s="76"/>
      <c r="T86" s="76"/>
      <c r="U86" s="76"/>
      <c r="V86" s="76"/>
      <c r="W86" s="76"/>
      <c r="X86" s="76"/>
      <c r="Y86" s="76"/>
    </row>
    <row r="87" spans="12:25">
      <c r="L87" s="76"/>
      <c r="M87" s="76"/>
      <c r="N87" s="76"/>
      <c r="O87" s="76"/>
      <c r="P87" s="76"/>
      <c r="Q87" s="76"/>
      <c r="R87" s="76"/>
      <c r="S87" s="76"/>
      <c r="T87" s="76"/>
      <c r="U87" s="76"/>
      <c r="V87" s="76"/>
      <c r="W87" s="76"/>
      <c r="X87" s="76"/>
      <c r="Y87" s="76"/>
    </row>
    <row r="88" spans="12:25">
      <c r="L88" s="76"/>
      <c r="M88" s="76"/>
      <c r="N88" s="76"/>
      <c r="O88" s="76"/>
      <c r="P88" s="76"/>
      <c r="Q88" s="76"/>
      <c r="R88" s="76"/>
      <c r="S88" s="76"/>
      <c r="T88" s="76"/>
      <c r="U88" s="76"/>
      <c r="V88" s="76"/>
      <c r="W88" s="76"/>
      <c r="X88" s="76"/>
      <c r="Y88" s="76"/>
    </row>
    <row r="89" spans="12:25">
      <c r="L89" s="76"/>
      <c r="M89" s="76"/>
      <c r="N89" s="76"/>
      <c r="O89" s="76"/>
      <c r="P89" s="76"/>
      <c r="Q89" s="76"/>
      <c r="R89" s="76"/>
      <c r="S89" s="76"/>
      <c r="T89" s="76"/>
      <c r="U89" s="76"/>
      <c r="V89" s="76"/>
      <c r="W89" s="76"/>
      <c r="X89" s="76"/>
      <c r="Y89" s="76"/>
    </row>
    <row r="90" spans="12:25">
      <c r="L90" s="76"/>
      <c r="M90" s="76"/>
      <c r="N90" s="76"/>
      <c r="O90" s="76"/>
      <c r="P90" s="76"/>
      <c r="Q90" s="76"/>
      <c r="R90" s="76"/>
      <c r="S90" s="76"/>
      <c r="T90" s="76"/>
      <c r="U90" s="76"/>
      <c r="V90" s="76"/>
      <c r="W90" s="76"/>
      <c r="X90" s="76"/>
      <c r="Y90" s="76"/>
    </row>
    <row r="91" spans="12:25">
      <c r="L91" s="76"/>
      <c r="M91" s="76"/>
      <c r="N91" s="76"/>
      <c r="O91" s="76"/>
      <c r="P91" s="76"/>
      <c r="Q91" s="76"/>
      <c r="R91" s="76"/>
      <c r="S91" s="76"/>
      <c r="T91" s="76"/>
      <c r="U91" s="76"/>
      <c r="V91" s="76"/>
      <c r="W91" s="76"/>
      <c r="X91" s="76"/>
      <c r="Y91" s="76"/>
    </row>
    <row r="92" spans="12:25">
      <c r="L92" s="76"/>
      <c r="M92" s="76"/>
      <c r="N92" s="76"/>
      <c r="O92" s="76"/>
      <c r="P92" s="76"/>
      <c r="Q92" s="76"/>
      <c r="R92" s="76"/>
      <c r="S92" s="76"/>
      <c r="T92" s="76"/>
      <c r="U92" s="76"/>
      <c r="V92" s="76"/>
      <c r="W92" s="76"/>
      <c r="X92" s="76"/>
      <c r="Y92" s="76"/>
    </row>
    <row r="93" spans="12:25">
      <c r="L93" s="76"/>
      <c r="M93" s="76"/>
      <c r="N93" s="76"/>
      <c r="O93" s="76"/>
      <c r="P93" s="76"/>
      <c r="Q93" s="76"/>
      <c r="R93" s="76"/>
      <c r="S93" s="76"/>
      <c r="T93" s="76"/>
      <c r="U93" s="76"/>
      <c r="V93" s="76"/>
      <c r="W93" s="76"/>
      <c r="X93" s="76"/>
      <c r="Y93" s="76"/>
    </row>
    <row r="94" spans="12:25">
      <c r="L94" s="76"/>
      <c r="M94" s="76"/>
      <c r="N94" s="76"/>
      <c r="O94" s="76"/>
      <c r="P94" s="76"/>
      <c r="Q94" s="76"/>
      <c r="R94" s="76"/>
      <c r="S94" s="76"/>
      <c r="T94" s="76"/>
      <c r="U94" s="76"/>
      <c r="V94" s="76"/>
      <c r="W94" s="76"/>
      <c r="X94" s="76"/>
      <c r="Y94" s="76"/>
    </row>
    <row r="95" spans="12:25">
      <c r="L95" s="76"/>
      <c r="M95" s="76"/>
      <c r="N95" s="76"/>
      <c r="O95" s="76"/>
      <c r="P95" s="76"/>
      <c r="Q95" s="76"/>
      <c r="R95" s="76"/>
      <c r="S95" s="76"/>
      <c r="T95" s="76"/>
      <c r="U95" s="76"/>
      <c r="V95" s="76"/>
      <c r="W95" s="76"/>
      <c r="X95" s="76"/>
      <c r="Y95" s="76"/>
    </row>
    <row r="96" spans="12:25">
      <c r="L96" s="76"/>
      <c r="M96" s="76"/>
      <c r="N96" s="76"/>
      <c r="O96" s="76"/>
      <c r="P96" s="76"/>
      <c r="Q96" s="76"/>
      <c r="R96" s="76"/>
      <c r="S96" s="76"/>
      <c r="T96" s="76"/>
      <c r="U96" s="76"/>
      <c r="V96" s="76"/>
      <c r="W96" s="76"/>
      <c r="X96" s="76"/>
      <c r="Y96" s="76"/>
    </row>
    <row r="97" spans="12:25">
      <c r="L97" s="76"/>
      <c r="M97" s="76"/>
      <c r="N97" s="76"/>
      <c r="O97" s="76"/>
      <c r="P97" s="76"/>
      <c r="Q97" s="76"/>
      <c r="R97" s="76"/>
      <c r="S97" s="76"/>
      <c r="T97" s="76"/>
      <c r="U97" s="76"/>
      <c r="V97" s="76"/>
      <c r="W97" s="76"/>
      <c r="X97" s="76"/>
      <c r="Y97" s="76"/>
    </row>
    <row r="98" spans="12:25">
      <c r="L98" s="76"/>
      <c r="M98" s="76"/>
      <c r="N98" s="76"/>
      <c r="O98" s="76"/>
      <c r="P98" s="76"/>
      <c r="Q98" s="76"/>
      <c r="R98" s="76"/>
      <c r="S98" s="76"/>
      <c r="T98" s="76"/>
      <c r="U98" s="76"/>
      <c r="V98" s="76"/>
      <c r="W98" s="76"/>
      <c r="X98" s="76"/>
      <c r="Y98" s="76"/>
    </row>
    <row r="99" spans="12:25">
      <c r="L99" s="76"/>
      <c r="M99" s="76"/>
      <c r="N99" s="76"/>
      <c r="O99" s="76"/>
      <c r="P99" s="76"/>
      <c r="Q99" s="76"/>
      <c r="R99" s="76"/>
      <c r="S99" s="76"/>
      <c r="T99" s="76"/>
      <c r="U99" s="76"/>
      <c r="V99" s="76"/>
      <c r="W99" s="76"/>
      <c r="X99" s="76"/>
      <c r="Y99" s="76"/>
    </row>
    <row r="100" spans="12:25">
      <c r="L100" s="76"/>
      <c r="M100" s="76"/>
      <c r="N100" s="76"/>
      <c r="O100" s="76"/>
      <c r="P100" s="76"/>
      <c r="Q100" s="76"/>
      <c r="R100" s="76"/>
      <c r="S100" s="76"/>
      <c r="T100" s="76"/>
      <c r="U100" s="76"/>
      <c r="V100" s="76"/>
      <c r="W100" s="76"/>
      <c r="X100" s="76"/>
      <c r="Y100" s="76"/>
    </row>
    <row r="101" spans="12:25">
      <c r="L101" s="76"/>
      <c r="M101" s="76"/>
      <c r="N101" s="76"/>
      <c r="O101" s="76"/>
      <c r="P101" s="76"/>
      <c r="Q101" s="76"/>
      <c r="R101" s="76"/>
      <c r="S101" s="76"/>
      <c r="T101" s="76"/>
      <c r="U101" s="76"/>
      <c r="V101" s="76"/>
      <c r="W101" s="76"/>
      <c r="X101" s="76"/>
      <c r="Y101" s="76"/>
    </row>
    <row r="102" spans="12:25">
      <c r="L102" s="76"/>
      <c r="M102" s="76"/>
      <c r="N102" s="76"/>
      <c r="O102" s="76"/>
      <c r="P102" s="76"/>
      <c r="Q102" s="76"/>
      <c r="R102" s="76"/>
      <c r="S102" s="76"/>
      <c r="T102" s="76"/>
      <c r="U102" s="76"/>
      <c r="V102" s="76"/>
      <c r="W102" s="76"/>
      <c r="X102" s="76"/>
      <c r="Y102" s="76"/>
    </row>
    <row r="103" spans="12:25">
      <c r="L103" s="76"/>
      <c r="M103" s="76"/>
      <c r="N103" s="76"/>
      <c r="O103" s="76"/>
      <c r="P103" s="76"/>
      <c r="Q103" s="76"/>
      <c r="R103" s="76"/>
      <c r="S103" s="76"/>
      <c r="T103" s="76"/>
      <c r="U103" s="76"/>
      <c r="V103" s="76"/>
      <c r="W103" s="76"/>
      <c r="X103" s="76"/>
      <c r="Y103" s="76"/>
    </row>
    <row r="104" spans="12:25">
      <c r="L104" s="76"/>
      <c r="M104" s="76"/>
      <c r="N104" s="76"/>
      <c r="O104" s="76"/>
      <c r="P104" s="76"/>
      <c r="Q104" s="76"/>
      <c r="R104" s="76"/>
      <c r="S104" s="76"/>
      <c r="T104" s="76"/>
      <c r="U104" s="76"/>
      <c r="V104" s="76"/>
      <c r="W104" s="76"/>
      <c r="X104" s="76"/>
      <c r="Y104" s="76"/>
    </row>
    <row r="105" spans="12:25">
      <c r="L105" s="76"/>
      <c r="M105" s="76"/>
      <c r="N105" s="76"/>
      <c r="O105" s="76"/>
      <c r="P105" s="76"/>
      <c r="Q105" s="76"/>
      <c r="R105" s="76"/>
      <c r="S105" s="76"/>
      <c r="T105" s="76"/>
      <c r="U105" s="76"/>
      <c r="V105" s="76"/>
      <c r="W105" s="76"/>
      <c r="X105" s="76"/>
      <c r="Y105" s="76"/>
    </row>
    <row r="106" spans="12:25">
      <c r="L106" s="76"/>
      <c r="M106" s="76"/>
      <c r="N106" s="76"/>
      <c r="O106" s="76"/>
      <c r="P106" s="76"/>
      <c r="Q106" s="76"/>
      <c r="R106" s="76"/>
      <c r="S106" s="76"/>
      <c r="T106" s="76"/>
      <c r="U106" s="76"/>
      <c r="V106" s="76"/>
      <c r="W106" s="76"/>
      <c r="X106" s="76"/>
      <c r="Y106" s="76"/>
    </row>
    <row r="107" spans="12:25">
      <c r="L107" s="76"/>
      <c r="M107" s="76"/>
      <c r="N107" s="76"/>
      <c r="O107" s="76"/>
      <c r="P107" s="76"/>
      <c r="Q107" s="76"/>
      <c r="R107" s="76"/>
      <c r="S107" s="76"/>
      <c r="T107" s="76"/>
      <c r="U107" s="76"/>
      <c r="V107" s="76"/>
      <c r="W107" s="76"/>
      <c r="X107" s="76"/>
      <c r="Y107" s="76"/>
    </row>
    <row r="108" spans="12:25">
      <c r="L108" s="76"/>
      <c r="M108" s="76"/>
      <c r="N108" s="76"/>
      <c r="O108" s="76"/>
      <c r="P108" s="76"/>
      <c r="Q108" s="76"/>
      <c r="R108" s="76"/>
      <c r="S108" s="76"/>
      <c r="T108" s="76"/>
      <c r="U108" s="76"/>
      <c r="V108" s="76"/>
      <c r="W108" s="76"/>
      <c r="X108" s="76"/>
      <c r="Y108" s="76"/>
    </row>
    <row r="109" spans="12:25">
      <c r="L109" s="76"/>
      <c r="M109" s="76"/>
      <c r="N109" s="76"/>
      <c r="O109" s="76"/>
      <c r="P109" s="76"/>
      <c r="Q109" s="76"/>
      <c r="R109" s="76"/>
      <c r="S109" s="76"/>
      <c r="T109" s="76"/>
      <c r="U109" s="76"/>
      <c r="V109" s="76"/>
      <c r="W109" s="76"/>
      <c r="X109" s="76"/>
      <c r="Y109" s="76"/>
    </row>
    <row r="110" spans="12:25">
      <c r="L110" s="76"/>
      <c r="M110" s="76"/>
      <c r="N110" s="76"/>
      <c r="O110" s="76"/>
      <c r="P110" s="76"/>
      <c r="Q110" s="76"/>
      <c r="R110" s="76"/>
      <c r="S110" s="76"/>
      <c r="T110" s="76"/>
      <c r="U110" s="76"/>
      <c r="V110" s="76"/>
      <c r="W110" s="76"/>
      <c r="X110" s="76"/>
      <c r="Y110" s="76"/>
    </row>
    <row r="111" spans="12:25">
      <c r="L111" s="76"/>
      <c r="M111" s="76"/>
      <c r="N111" s="76"/>
      <c r="O111" s="76"/>
      <c r="P111" s="76"/>
      <c r="Q111" s="76"/>
      <c r="R111" s="76"/>
      <c r="S111" s="76"/>
      <c r="T111" s="76"/>
      <c r="U111" s="76"/>
      <c r="V111" s="76"/>
      <c r="W111" s="76"/>
      <c r="X111" s="76"/>
      <c r="Y111" s="76"/>
    </row>
    <row r="112" spans="12:25">
      <c r="L112" s="76"/>
      <c r="M112" s="76"/>
      <c r="N112" s="76"/>
      <c r="O112" s="76"/>
      <c r="P112" s="76"/>
      <c r="Q112" s="76"/>
      <c r="R112" s="76"/>
      <c r="S112" s="76"/>
      <c r="T112" s="76"/>
      <c r="U112" s="76"/>
      <c r="V112" s="76"/>
      <c r="W112" s="76"/>
      <c r="X112" s="76"/>
      <c r="Y112" s="76"/>
    </row>
    <row r="113" spans="12:25">
      <c r="L113" s="76"/>
      <c r="M113" s="76"/>
      <c r="N113" s="76"/>
      <c r="O113" s="76"/>
      <c r="P113" s="76"/>
      <c r="Q113" s="76"/>
      <c r="R113" s="76"/>
      <c r="S113" s="76"/>
      <c r="T113" s="76"/>
      <c r="U113" s="76"/>
      <c r="V113" s="76"/>
      <c r="W113" s="76"/>
      <c r="X113" s="76"/>
      <c r="Y113" s="76"/>
    </row>
    <row r="114" spans="12:25">
      <c r="L114" s="76"/>
      <c r="M114" s="76"/>
      <c r="N114" s="76"/>
      <c r="O114" s="76"/>
      <c r="P114" s="76"/>
      <c r="Q114" s="76"/>
      <c r="R114" s="76"/>
      <c r="S114" s="76"/>
      <c r="T114" s="76"/>
      <c r="U114" s="76"/>
      <c r="V114" s="76"/>
      <c r="W114" s="76"/>
      <c r="X114" s="76"/>
      <c r="Y114" s="76"/>
    </row>
    <row r="115" spans="12:25">
      <c r="L115" s="76"/>
      <c r="M115" s="76"/>
      <c r="N115" s="76"/>
      <c r="O115" s="76"/>
      <c r="P115" s="76"/>
      <c r="Q115" s="76"/>
      <c r="R115" s="76"/>
      <c r="S115" s="76"/>
      <c r="T115" s="76"/>
      <c r="U115" s="76"/>
      <c r="V115" s="76"/>
      <c r="W115" s="76"/>
      <c r="X115" s="76"/>
      <c r="Y115" s="76"/>
    </row>
    <row r="116" spans="12:25">
      <c r="L116" s="76"/>
      <c r="M116" s="76"/>
      <c r="N116" s="76"/>
      <c r="O116" s="76"/>
      <c r="P116" s="76"/>
      <c r="Q116" s="76"/>
      <c r="R116" s="76"/>
      <c r="S116" s="76"/>
      <c r="T116" s="76"/>
      <c r="U116" s="76"/>
      <c r="V116" s="76"/>
      <c r="W116" s="76"/>
      <c r="X116" s="76"/>
      <c r="Y116" s="76"/>
    </row>
    <row r="117" spans="12:25">
      <c r="L117" s="76"/>
      <c r="M117" s="76"/>
      <c r="N117" s="76"/>
      <c r="O117" s="76"/>
      <c r="P117" s="76"/>
      <c r="Q117" s="76"/>
      <c r="R117" s="76"/>
      <c r="S117" s="76"/>
      <c r="T117" s="76"/>
      <c r="U117" s="76"/>
      <c r="V117" s="76"/>
      <c r="W117" s="76"/>
      <c r="X117" s="76"/>
      <c r="Y117" s="76"/>
    </row>
    <row r="118" spans="12:25">
      <c r="L118" s="76"/>
      <c r="M118" s="76"/>
      <c r="N118" s="76"/>
      <c r="O118" s="76"/>
      <c r="P118" s="76"/>
      <c r="Q118" s="76"/>
      <c r="R118" s="76"/>
      <c r="S118" s="76"/>
      <c r="T118" s="76"/>
      <c r="U118" s="76"/>
      <c r="V118" s="76"/>
      <c r="W118" s="76"/>
      <c r="X118" s="76"/>
      <c r="Y118" s="76"/>
    </row>
    <row r="119" spans="12:25">
      <c r="L119" s="76"/>
      <c r="M119" s="76"/>
      <c r="N119" s="76"/>
      <c r="O119" s="76"/>
      <c r="P119" s="76"/>
      <c r="Q119" s="76"/>
      <c r="R119" s="76"/>
      <c r="S119" s="76"/>
      <c r="T119" s="76"/>
      <c r="U119" s="76"/>
      <c r="V119" s="76"/>
      <c r="W119" s="76"/>
      <c r="X119" s="76"/>
      <c r="Y119" s="76"/>
    </row>
    <row r="120" spans="12:25">
      <c r="L120" s="76"/>
      <c r="M120" s="76"/>
      <c r="N120" s="76"/>
      <c r="O120" s="76"/>
      <c r="P120" s="76"/>
      <c r="Q120" s="76"/>
      <c r="R120" s="76"/>
      <c r="S120" s="76"/>
      <c r="T120" s="76"/>
      <c r="U120" s="76"/>
      <c r="V120" s="76"/>
      <c r="W120" s="76"/>
      <c r="X120" s="76"/>
      <c r="Y120" s="76"/>
    </row>
    <row r="121" spans="12:25">
      <c r="L121" s="76"/>
      <c r="M121" s="76"/>
      <c r="N121" s="76"/>
      <c r="O121" s="76"/>
      <c r="P121" s="76"/>
      <c r="Q121" s="76"/>
      <c r="R121" s="76"/>
      <c r="S121" s="76"/>
      <c r="T121" s="76"/>
      <c r="U121" s="76"/>
      <c r="V121" s="76"/>
      <c r="W121" s="76"/>
      <c r="X121" s="76"/>
      <c r="Y121" s="76"/>
    </row>
    <row r="122" spans="12:25">
      <c r="L122" s="76"/>
      <c r="M122" s="76"/>
      <c r="N122" s="76"/>
      <c r="O122" s="76"/>
      <c r="P122" s="76"/>
      <c r="Q122" s="76"/>
      <c r="R122" s="76"/>
      <c r="S122" s="76"/>
      <c r="T122" s="76"/>
      <c r="U122" s="76"/>
      <c r="V122" s="76"/>
      <c r="W122" s="76"/>
      <c r="X122" s="76"/>
      <c r="Y122" s="76"/>
    </row>
    <row r="123" spans="12:25">
      <c r="L123" s="76"/>
      <c r="M123" s="76"/>
      <c r="N123" s="76"/>
      <c r="O123" s="76"/>
      <c r="P123" s="76"/>
      <c r="Q123" s="76"/>
      <c r="R123" s="76"/>
      <c r="S123" s="76"/>
      <c r="T123" s="76"/>
      <c r="U123" s="76"/>
      <c r="V123" s="76"/>
      <c r="W123" s="76"/>
      <c r="X123" s="76"/>
      <c r="Y123" s="76"/>
    </row>
    <row r="124" spans="12:25">
      <c r="L124" s="76"/>
      <c r="M124" s="76"/>
      <c r="N124" s="76"/>
      <c r="O124" s="76"/>
      <c r="P124" s="76"/>
      <c r="Q124" s="76"/>
      <c r="R124" s="76"/>
      <c r="S124" s="76"/>
      <c r="T124" s="76"/>
      <c r="U124" s="76"/>
      <c r="V124" s="76"/>
      <c r="W124" s="76"/>
      <c r="X124" s="76"/>
      <c r="Y124" s="76"/>
    </row>
    <row r="125" spans="12:25">
      <c r="L125" s="76"/>
      <c r="M125" s="76"/>
      <c r="N125" s="76"/>
      <c r="O125" s="76"/>
      <c r="P125" s="76"/>
      <c r="Q125" s="76"/>
      <c r="R125" s="76"/>
      <c r="S125" s="76"/>
      <c r="T125" s="76"/>
      <c r="U125" s="76"/>
      <c r="V125" s="76"/>
      <c r="W125" s="76"/>
      <c r="X125" s="76"/>
      <c r="Y125" s="76"/>
    </row>
    <row r="126" spans="12:25">
      <c r="L126" s="76"/>
      <c r="M126" s="76"/>
      <c r="N126" s="76"/>
      <c r="O126" s="76"/>
      <c r="P126" s="76"/>
      <c r="Q126" s="76"/>
      <c r="R126" s="76"/>
      <c r="S126" s="76"/>
      <c r="T126" s="76"/>
      <c r="U126" s="76"/>
      <c r="V126" s="76"/>
      <c r="W126" s="76"/>
      <c r="X126" s="76"/>
      <c r="Y126" s="76"/>
    </row>
    <row r="127" spans="12:25">
      <c r="L127" s="76"/>
      <c r="M127" s="76"/>
      <c r="N127" s="76"/>
      <c r="O127" s="76"/>
      <c r="P127" s="76"/>
      <c r="Q127" s="76"/>
      <c r="R127" s="76"/>
      <c r="S127" s="76"/>
      <c r="T127" s="76"/>
      <c r="U127" s="76"/>
      <c r="V127" s="76"/>
      <c r="W127" s="76"/>
      <c r="X127" s="76"/>
      <c r="Y127" s="76"/>
    </row>
    <row r="128" spans="12:25">
      <c r="L128" s="76"/>
      <c r="M128" s="76"/>
      <c r="N128" s="76"/>
      <c r="O128" s="76"/>
      <c r="P128" s="76"/>
      <c r="Q128" s="76"/>
      <c r="R128" s="76"/>
      <c r="S128" s="76"/>
      <c r="T128" s="76"/>
      <c r="U128" s="76"/>
      <c r="V128" s="76"/>
      <c r="W128" s="76"/>
      <c r="X128" s="76"/>
      <c r="Y128" s="76"/>
    </row>
    <row r="129" spans="12:25">
      <c r="L129" s="76"/>
      <c r="M129" s="76"/>
      <c r="N129" s="76"/>
      <c r="O129" s="76"/>
      <c r="P129" s="76"/>
      <c r="Q129" s="76"/>
      <c r="R129" s="76"/>
      <c r="S129" s="76"/>
      <c r="T129" s="76"/>
      <c r="U129" s="76"/>
      <c r="V129" s="76"/>
      <c r="W129" s="76"/>
      <c r="X129" s="76"/>
      <c r="Y129" s="76"/>
    </row>
    <row r="130" spans="12:25">
      <c r="L130" s="76"/>
      <c r="M130" s="76"/>
      <c r="N130" s="76"/>
      <c r="O130" s="76"/>
      <c r="P130" s="76"/>
      <c r="Q130" s="76"/>
      <c r="R130" s="76"/>
      <c r="S130" s="76"/>
      <c r="T130" s="76"/>
      <c r="U130" s="76"/>
      <c r="V130" s="76"/>
      <c r="W130" s="76"/>
      <c r="X130" s="76"/>
      <c r="Y130" s="76"/>
    </row>
    <row r="131" spans="12:25">
      <c r="L131" s="76"/>
      <c r="M131" s="76"/>
      <c r="N131" s="76"/>
      <c r="O131" s="76"/>
      <c r="P131" s="76"/>
      <c r="Q131" s="76"/>
      <c r="R131" s="76"/>
      <c r="S131" s="76"/>
      <c r="T131" s="76"/>
      <c r="U131" s="76"/>
      <c r="V131" s="76"/>
      <c r="W131" s="76"/>
      <c r="X131" s="76"/>
      <c r="Y131" s="76"/>
    </row>
    <row r="132" spans="12:25">
      <c r="L132" s="76"/>
      <c r="M132" s="76"/>
      <c r="N132" s="76"/>
      <c r="O132" s="76"/>
      <c r="P132" s="76"/>
      <c r="Q132" s="76"/>
      <c r="R132" s="76"/>
      <c r="S132" s="76"/>
      <c r="T132" s="76"/>
      <c r="U132" s="76"/>
      <c r="V132" s="76"/>
      <c r="W132" s="76"/>
      <c r="X132" s="76"/>
      <c r="Y132" s="76"/>
    </row>
    <row r="133" spans="12:25">
      <c r="L133" s="76"/>
      <c r="M133" s="76"/>
      <c r="N133" s="76"/>
      <c r="O133" s="76"/>
      <c r="P133" s="76"/>
      <c r="Q133" s="76"/>
      <c r="R133" s="76"/>
      <c r="S133" s="76"/>
      <c r="T133" s="76"/>
      <c r="U133" s="76"/>
      <c r="V133" s="76"/>
      <c r="W133" s="76"/>
      <c r="X133" s="76"/>
      <c r="Y133" s="76"/>
    </row>
    <row r="134" spans="12:25">
      <c r="L134" s="76"/>
      <c r="M134" s="76"/>
      <c r="N134" s="76"/>
      <c r="O134" s="76"/>
      <c r="P134" s="76"/>
      <c r="Q134" s="76"/>
      <c r="R134" s="76"/>
      <c r="S134" s="76"/>
      <c r="T134" s="76"/>
      <c r="U134" s="76"/>
      <c r="V134" s="76"/>
      <c r="W134" s="76"/>
      <c r="X134" s="76"/>
      <c r="Y134" s="76"/>
    </row>
    <row r="135" spans="12:25">
      <c r="L135" s="76"/>
      <c r="M135" s="76"/>
      <c r="N135" s="76"/>
      <c r="O135" s="76"/>
      <c r="P135" s="76"/>
      <c r="Q135" s="76"/>
      <c r="R135" s="76"/>
      <c r="S135" s="76"/>
      <c r="T135" s="76"/>
      <c r="U135" s="76"/>
      <c r="V135" s="76"/>
      <c r="W135" s="76"/>
      <c r="X135" s="76"/>
      <c r="Y135" s="76"/>
    </row>
    <row r="136" spans="12:25">
      <c r="L136" s="76"/>
      <c r="M136" s="76"/>
      <c r="N136" s="76"/>
      <c r="O136" s="76"/>
      <c r="P136" s="76"/>
      <c r="Q136" s="76"/>
      <c r="R136" s="76"/>
      <c r="S136" s="76"/>
      <c r="T136" s="76"/>
      <c r="U136" s="76"/>
      <c r="V136" s="76"/>
      <c r="W136" s="76"/>
      <c r="X136" s="76"/>
      <c r="Y136" s="76"/>
    </row>
    <row r="137" spans="12:25">
      <c r="L137" s="76"/>
      <c r="M137" s="76"/>
      <c r="N137" s="76"/>
      <c r="O137" s="76"/>
      <c r="P137" s="76"/>
      <c r="Q137" s="76"/>
      <c r="R137" s="76"/>
      <c r="S137" s="76"/>
      <c r="T137" s="76"/>
      <c r="U137" s="76"/>
      <c r="V137" s="76"/>
      <c r="W137" s="76"/>
      <c r="X137" s="76"/>
      <c r="Y137" s="76"/>
    </row>
    <row r="138" spans="12:25">
      <c r="L138" s="76"/>
      <c r="M138" s="76"/>
      <c r="N138" s="76"/>
      <c r="O138" s="76"/>
      <c r="P138" s="76"/>
      <c r="Q138" s="76"/>
      <c r="R138" s="76"/>
      <c r="S138" s="76"/>
      <c r="T138" s="76"/>
      <c r="U138" s="76"/>
      <c r="V138" s="76"/>
      <c r="W138" s="76"/>
      <c r="X138" s="76"/>
      <c r="Y138" s="76"/>
    </row>
    <row r="139" spans="12:25">
      <c r="L139" s="76"/>
      <c r="M139" s="76"/>
      <c r="N139" s="76"/>
      <c r="O139" s="76"/>
      <c r="P139" s="76"/>
      <c r="Q139" s="76"/>
      <c r="R139" s="76"/>
      <c r="S139" s="76"/>
      <c r="T139" s="76"/>
      <c r="U139" s="76"/>
      <c r="V139" s="76"/>
      <c r="W139" s="76"/>
      <c r="X139" s="76"/>
      <c r="Y139" s="76"/>
    </row>
    <row r="140" spans="12:25">
      <c r="L140" s="76"/>
      <c r="M140" s="76"/>
      <c r="N140" s="76"/>
      <c r="O140" s="76"/>
      <c r="P140" s="76"/>
      <c r="Q140" s="76"/>
      <c r="R140" s="76"/>
      <c r="S140" s="76"/>
      <c r="T140" s="76"/>
      <c r="U140" s="76"/>
      <c r="V140" s="76"/>
      <c r="W140" s="76"/>
      <c r="X140" s="76"/>
      <c r="Y140" s="76"/>
    </row>
    <row r="141" spans="12:25">
      <c r="L141" s="76"/>
      <c r="M141" s="76"/>
      <c r="N141" s="76"/>
      <c r="O141" s="76"/>
      <c r="P141" s="76"/>
      <c r="Q141" s="76"/>
      <c r="R141" s="76"/>
      <c r="S141" s="76"/>
      <c r="T141" s="76"/>
      <c r="U141" s="76"/>
      <c r="V141" s="76"/>
      <c r="W141" s="76"/>
      <c r="X141" s="76"/>
      <c r="Y141" s="76"/>
    </row>
    <row r="142" spans="12:25">
      <c r="L142" s="76"/>
      <c r="M142" s="76"/>
      <c r="N142" s="76"/>
      <c r="O142" s="76"/>
      <c r="P142" s="76"/>
      <c r="Q142" s="76"/>
      <c r="R142" s="76"/>
      <c r="S142" s="76"/>
      <c r="T142" s="76"/>
      <c r="U142" s="76"/>
      <c r="V142" s="76"/>
      <c r="W142" s="76"/>
      <c r="X142" s="76"/>
      <c r="Y142" s="76"/>
    </row>
    <row r="143" spans="12:25">
      <c r="L143" s="76"/>
      <c r="M143" s="76"/>
      <c r="N143" s="76"/>
      <c r="O143" s="76"/>
      <c r="P143" s="76"/>
      <c r="Q143" s="76"/>
      <c r="R143" s="76"/>
      <c r="S143" s="76"/>
      <c r="T143" s="76"/>
      <c r="U143" s="76"/>
      <c r="V143" s="76"/>
      <c r="W143" s="76"/>
      <c r="X143" s="76"/>
      <c r="Y143" s="76"/>
    </row>
    <row r="144" spans="12:25">
      <c r="L144" s="76"/>
      <c r="M144" s="76"/>
      <c r="N144" s="76"/>
      <c r="O144" s="76"/>
      <c r="P144" s="76"/>
      <c r="Q144" s="76"/>
      <c r="R144" s="76"/>
      <c r="S144" s="76"/>
      <c r="T144" s="76"/>
      <c r="U144" s="76"/>
      <c r="V144" s="76"/>
      <c r="W144" s="76"/>
      <c r="X144" s="76"/>
      <c r="Y144" s="76"/>
    </row>
    <row r="145" spans="12:25">
      <c r="L145" s="76"/>
      <c r="M145" s="76"/>
      <c r="N145" s="76"/>
      <c r="O145" s="76"/>
      <c r="P145" s="76"/>
      <c r="Q145" s="76"/>
      <c r="R145" s="76"/>
      <c r="S145" s="76"/>
      <c r="T145" s="76"/>
      <c r="U145" s="76"/>
      <c r="V145" s="76"/>
      <c r="W145" s="76"/>
      <c r="X145" s="76"/>
      <c r="Y145" s="76"/>
    </row>
    <row r="146" spans="12:25">
      <c r="L146" s="76"/>
      <c r="M146" s="76"/>
      <c r="N146" s="76"/>
      <c r="O146" s="76"/>
      <c r="P146" s="76"/>
      <c r="Q146" s="76"/>
      <c r="R146" s="76"/>
      <c r="S146" s="76"/>
      <c r="T146" s="76"/>
      <c r="U146" s="76"/>
      <c r="V146" s="76"/>
      <c r="W146" s="76"/>
      <c r="X146" s="76"/>
      <c r="Y146" s="76"/>
    </row>
    <row r="147" spans="12:25">
      <c r="L147" s="76"/>
      <c r="M147" s="76"/>
      <c r="N147" s="76"/>
      <c r="O147" s="76"/>
      <c r="P147" s="76"/>
      <c r="Q147" s="76"/>
      <c r="R147" s="76"/>
      <c r="S147" s="76"/>
      <c r="T147" s="76"/>
      <c r="U147" s="76"/>
      <c r="V147" s="76"/>
      <c r="W147" s="76"/>
      <c r="X147" s="76"/>
      <c r="Y147" s="76"/>
    </row>
    <row r="148" spans="12:25">
      <c r="L148" s="76"/>
      <c r="M148" s="76"/>
      <c r="N148" s="76"/>
      <c r="O148" s="76"/>
      <c r="P148" s="76"/>
      <c r="Q148" s="76"/>
      <c r="R148" s="76"/>
      <c r="S148" s="76"/>
      <c r="T148" s="76"/>
      <c r="U148" s="76"/>
      <c r="V148" s="76"/>
      <c r="W148" s="76"/>
      <c r="X148" s="76"/>
      <c r="Y148" s="76"/>
    </row>
    <row r="149" spans="12:25">
      <c r="L149" s="76"/>
      <c r="M149" s="76"/>
      <c r="N149" s="76"/>
      <c r="O149" s="76"/>
      <c r="P149" s="76"/>
      <c r="Q149" s="76"/>
      <c r="R149" s="76"/>
      <c r="S149" s="76"/>
      <c r="T149" s="76"/>
      <c r="U149" s="76"/>
      <c r="V149" s="76"/>
      <c r="W149" s="76"/>
      <c r="X149" s="76"/>
      <c r="Y149" s="76"/>
    </row>
    <row r="150" spans="12:25">
      <c r="L150" s="76"/>
      <c r="M150" s="76"/>
      <c r="N150" s="76"/>
      <c r="O150" s="76"/>
      <c r="P150" s="76"/>
      <c r="Q150" s="76"/>
      <c r="R150" s="76"/>
      <c r="S150" s="76"/>
      <c r="T150" s="76"/>
      <c r="U150" s="76"/>
      <c r="V150" s="76"/>
      <c r="W150" s="76"/>
      <c r="X150" s="76"/>
      <c r="Y150" s="76"/>
    </row>
    <row r="151" spans="12:25">
      <c r="L151" s="76"/>
      <c r="M151" s="76"/>
      <c r="N151" s="76"/>
      <c r="O151" s="76"/>
      <c r="P151" s="76"/>
      <c r="Q151" s="76"/>
      <c r="R151" s="76"/>
      <c r="S151" s="76"/>
      <c r="T151" s="76"/>
      <c r="U151" s="76"/>
      <c r="V151" s="76"/>
      <c r="W151" s="76"/>
      <c r="X151" s="76"/>
      <c r="Y151" s="76"/>
    </row>
    <row r="152" spans="12:25">
      <c r="L152" s="76"/>
      <c r="M152" s="76"/>
      <c r="N152" s="76"/>
      <c r="O152" s="76"/>
      <c r="P152" s="76"/>
      <c r="Q152" s="76"/>
      <c r="R152" s="76"/>
      <c r="S152" s="76"/>
      <c r="T152" s="76"/>
      <c r="U152" s="76"/>
      <c r="V152" s="76"/>
      <c r="W152" s="76"/>
      <c r="X152" s="76"/>
      <c r="Y152" s="76"/>
    </row>
    <row r="153" spans="12:25">
      <c r="L153" s="76"/>
      <c r="M153" s="76"/>
      <c r="N153" s="76"/>
      <c r="O153" s="76"/>
      <c r="P153" s="76"/>
      <c r="Q153" s="76"/>
      <c r="R153" s="76"/>
      <c r="S153" s="76"/>
      <c r="T153" s="76"/>
      <c r="U153" s="76"/>
      <c r="V153" s="76"/>
      <c r="W153" s="76"/>
      <c r="X153" s="76"/>
      <c r="Y153" s="76"/>
    </row>
    <row r="154" spans="12:25">
      <c r="L154" s="76"/>
      <c r="M154" s="76"/>
      <c r="N154" s="76"/>
      <c r="O154" s="76"/>
      <c r="P154" s="76"/>
      <c r="Q154" s="76"/>
      <c r="R154" s="76"/>
      <c r="S154" s="76"/>
      <c r="T154" s="76"/>
      <c r="U154" s="76"/>
      <c r="V154" s="76"/>
      <c r="W154" s="76"/>
      <c r="X154" s="76"/>
      <c r="Y154" s="76"/>
    </row>
    <row r="155" spans="12:25">
      <c r="L155" s="76"/>
      <c r="M155" s="76"/>
      <c r="N155" s="76"/>
      <c r="O155" s="76"/>
      <c r="P155" s="76"/>
      <c r="Q155" s="76"/>
      <c r="R155" s="76"/>
      <c r="S155" s="76"/>
      <c r="T155" s="76"/>
      <c r="U155" s="76"/>
      <c r="V155" s="76"/>
      <c r="W155" s="76"/>
      <c r="X155" s="76"/>
      <c r="Y155" s="76"/>
    </row>
  </sheetData>
  <phoneticPr fontId="13"/>
  <pageMargins left="0.75" right="0.75" top="1" bottom="1" header="0.51200000000000001" footer="0.5120000000000000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dimension ref="A1:CC104"/>
  <sheetViews>
    <sheetView workbookViewId="0">
      <pane xSplit="2" ySplit="5" topLeftCell="BT6" activePane="bottomRight" state="frozen"/>
      <selection pane="topRight" activeCell="C1" sqref="C1"/>
      <selection pane="bottomLeft" activeCell="A6" sqref="A6"/>
      <selection pane="bottomRight" activeCell="BV14" sqref="BV14"/>
    </sheetView>
  </sheetViews>
  <sheetFormatPr defaultColWidth="8.7109375" defaultRowHeight="16.5"/>
  <cols>
    <col min="1" max="1" width="4.0703125" style="495" customWidth="1"/>
    <col min="2" max="25" width="8.7109375" style="495"/>
    <col min="26" max="30" width="8.7109375" style="157"/>
    <col min="31" max="31" width="9.5703125" style="157" bestFit="1" customWidth="1"/>
    <col min="32" max="33" width="8.7109375" style="157"/>
    <col min="34" max="37" width="8.7109375" style="495"/>
    <col min="38" max="41" width="8.0703125" style="495" customWidth="1"/>
    <col min="42" max="48" width="8.0703125" style="497" customWidth="1"/>
    <col min="49" max="16384" width="8.7109375" style="495"/>
  </cols>
  <sheetData>
    <row r="1" spans="1:81">
      <c r="A1" s="135"/>
      <c r="B1" s="135"/>
      <c r="C1" s="165"/>
      <c r="D1" s="165"/>
      <c r="E1" s="165"/>
      <c r="F1" s="165"/>
      <c r="G1" s="165"/>
      <c r="H1" s="165"/>
      <c r="I1" s="165"/>
      <c r="J1" s="165"/>
      <c r="K1" s="165"/>
      <c r="L1" s="165"/>
      <c r="M1" s="165"/>
      <c r="N1" s="157"/>
      <c r="O1" s="104"/>
      <c r="P1" s="104"/>
      <c r="Q1" s="104"/>
      <c r="R1" s="288" t="s">
        <v>905</v>
      </c>
      <c r="S1" s="104"/>
      <c r="T1" s="104"/>
      <c r="U1" s="104"/>
      <c r="V1" s="104" t="s">
        <v>1048</v>
      </c>
      <c r="W1" s="104"/>
      <c r="X1" s="104"/>
      <c r="Y1" s="104"/>
      <c r="Z1" s="104" t="s">
        <v>1048</v>
      </c>
      <c r="AD1" s="104" t="s">
        <v>1048</v>
      </c>
      <c r="AH1" s="104" t="s">
        <v>1048</v>
      </c>
      <c r="AI1" s="157"/>
      <c r="AJ1" s="493" t="s">
        <v>149</v>
      </c>
      <c r="AK1" s="157"/>
      <c r="AL1" s="104" t="s">
        <v>1048</v>
      </c>
      <c r="AM1" s="157"/>
      <c r="AN1" s="470" t="s">
        <v>924</v>
      </c>
      <c r="AO1" s="157"/>
      <c r="AP1" s="104" t="s">
        <v>900</v>
      </c>
      <c r="AQ1" s="157"/>
      <c r="AR1" s="494" t="s">
        <v>1020</v>
      </c>
      <c r="AS1" s="157"/>
      <c r="AT1" s="104" t="s">
        <v>900</v>
      </c>
      <c r="AU1" s="157"/>
      <c r="AV1" s="494" t="s">
        <v>1049</v>
      </c>
      <c r="AX1" s="104" t="s">
        <v>900</v>
      </c>
      <c r="AY1" s="157"/>
      <c r="AZ1" s="494" t="s">
        <v>1064</v>
      </c>
      <c r="BB1" s="104" t="s">
        <v>900</v>
      </c>
      <c r="BC1" s="157"/>
      <c r="BD1" s="494" t="s">
        <v>1092</v>
      </c>
      <c r="BF1" s="104" t="s">
        <v>1287</v>
      </c>
      <c r="BG1" s="157"/>
      <c r="BH1" s="494" t="s">
        <v>1531</v>
      </c>
      <c r="BJ1" s="104" t="s">
        <v>1287</v>
      </c>
      <c r="BK1" s="157"/>
      <c r="BL1" s="494" t="s">
        <v>1530</v>
      </c>
      <c r="BN1" s="104" t="s">
        <v>1287</v>
      </c>
      <c r="BO1" s="157"/>
      <c r="BP1" s="494" t="s">
        <v>1596</v>
      </c>
      <c r="BR1" s="104" t="s">
        <v>1287</v>
      </c>
      <c r="BS1" s="157"/>
      <c r="BT1" s="494" t="s">
        <v>1709</v>
      </c>
      <c r="BV1" s="104" t="s">
        <v>1287</v>
      </c>
      <c r="BW1" s="157"/>
      <c r="BX1" s="494" t="s">
        <v>1766</v>
      </c>
      <c r="BZ1" s="104" t="s">
        <v>1287</v>
      </c>
      <c r="CA1" s="157"/>
      <c r="CB1" s="494" t="s">
        <v>1883</v>
      </c>
    </row>
    <row r="2" spans="1:81">
      <c r="A2" s="136"/>
      <c r="B2" s="136"/>
      <c r="C2" s="166">
        <v>297</v>
      </c>
      <c r="D2" s="166">
        <v>298</v>
      </c>
      <c r="E2" s="166"/>
      <c r="F2" s="166">
        <v>302</v>
      </c>
      <c r="G2" s="166">
        <v>303</v>
      </c>
      <c r="H2" s="166"/>
      <c r="I2" s="166">
        <v>304</v>
      </c>
      <c r="J2" s="166">
        <v>305</v>
      </c>
      <c r="K2" s="166"/>
      <c r="L2" s="166">
        <v>304</v>
      </c>
      <c r="M2" s="166">
        <v>305</v>
      </c>
      <c r="N2" s="157"/>
      <c r="O2" s="166">
        <v>304</v>
      </c>
      <c r="P2" s="166">
        <v>305</v>
      </c>
      <c r="Q2" s="157"/>
      <c r="R2" s="166">
        <v>304</v>
      </c>
      <c r="S2" s="166">
        <v>305</v>
      </c>
      <c r="T2" s="166"/>
      <c r="U2" s="157"/>
      <c r="V2" s="166">
        <v>304</v>
      </c>
      <c r="W2" s="166">
        <v>305</v>
      </c>
      <c r="X2" s="166"/>
      <c r="Y2" s="157"/>
      <c r="Z2" s="166">
        <v>304</v>
      </c>
      <c r="AA2" s="166">
        <v>305</v>
      </c>
      <c r="AB2" s="166"/>
      <c r="AD2" s="166">
        <v>304</v>
      </c>
      <c r="AE2" s="166">
        <v>305</v>
      </c>
      <c r="AF2" s="166"/>
      <c r="AH2" s="166">
        <v>304</v>
      </c>
      <c r="AI2" s="166">
        <v>305</v>
      </c>
      <c r="AJ2" s="166"/>
      <c r="AK2" s="157"/>
      <c r="AL2" s="166">
        <v>304</v>
      </c>
      <c r="AM2" s="166">
        <v>305</v>
      </c>
      <c r="AN2" s="166"/>
      <c r="AO2" s="444" t="s">
        <v>844</v>
      </c>
      <c r="AP2" s="166">
        <v>304</v>
      </c>
      <c r="AQ2" s="166">
        <v>305</v>
      </c>
      <c r="AR2" s="166"/>
      <c r="AS2" s="157"/>
      <c r="AT2" s="166">
        <v>304</v>
      </c>
      <c r="AU2" s="166">
        <v>305</v>
      </c>
      <c r="AV2" s="166"/>
      <c r="AX2" s="166">
        <v>304</v>
      </c>
      <c r="AY2" s="166">
        <v>305</v>
      </c>
      <c r="AZ2" s="166"/>
      <c r="BB2" s="166">
        <v>304</v>
      </c>
      <c r="BC2" s="166">
        <v>305</v>
      </c>
      <c r="BD2" s="166"/>
      <c r="BF2" s="166">
        <v>304</v>
      </c>
      <c r="BG2" s="166">
        <v>305</v>
      </c>
      <c r="BH2" s="166"/>
      <c r="BJ2" s="1093">
        <v>314</v>
      </c>
      <c r="BK2" s="1093">
        <v>315</v>
      </c>
      <c r="BL2" s="1093">
        <v>316</v>
      </c>
      <c r="BN2" s="1093">
        <v>314</v>
      </c>
      <c r="BO2" s="1093">
        <v>315</v>
      </c>
      <c r="BP2" s="1093">
        <v>316</v>
      </c>
      <c r="BR2" s="1093">
        <v>314</v>
      </c>
      <c r="BS2" s="1093">
        <v>315</v>
      </c>
      <c r="BT2" s="1093">
        <v>316</v>
      </c>
      <c r="BV2" s="1093">
        <v>314</v>
      </c>
      <c r="BW2" s="1093">
        <v>315</v>
      </c>
      <c r="BX2" s="1093">
        <v>316</v>
      </c>
      <c r="BZ2" s="1093">
        <v>314</v>
      </c>
      <c r="CA2" s="1093">
        <v>315</v>
      </c>
      <c r="CB2" s="1093">
        <v>316</v>
      </c>
    </row>
    <row r="3" spans="1:81">
      <c r="A3" s="2320" t="s">
        <v>167</v>
      </c>
      <c r="B3" s="2320"/>
      <c r="C3" s="138" t="s">
        <v>638</v>
      </c>
      <c r="D3" s="138" t="s">
        <v>639</v>
      </c>
      <c r="E3" s="173"/>
      <c r="F3" s="138" t="s">
        <v>638</v>
      </c>
      <c r="G3" s="138" t="s">
        <v>639</v>
      </c>
      <c r="H3" s="173"/>
      <c r="I3" s="138" t="s">
        <v>638</v>
      </c>
      <c r="J3" s="138" t="s">
        <v>639</v>
      </c>
      <c r="K3" s="173"/>
      <c r="L3" s="138" t="s">
        <v>638</v>
      </c>
      <c r="M3" s="138" t="s">
        <v>639</v>
      </c>
      <c r="N3" s="177"/>
      <c r="O3" s="138" t="s">
        <v>638</v>
      </c>
      <c r="P3" s="138" t="s">
        <v>639</v>
      </c>
      <c r="Q3" s="177"/>
      <c r="R3" s="138" t="s">
        <v>638</v>
      </c>
      <c r="S3" s="138" t="s">
        <v>639</v>
      </c>
      <c r="T3" s="138" t="s">
        <v>903</v>
      </c>
      <c r="U3" s="177"/>
      <c r="V3" s="441" t="s">
        <v>638</v>
      </c>
      <c r="W3" s="138" t="s">
        <v>639</v>
      </c>
      <c r="X3" s="138" t="s">
        <v>903</v>
      </c>
      <c r="Y3" s="177"/>
      <c r="Z3" s="441" t="s">
        <v>638</v>
      </c>
      <c r="AA3" s="138" t="s">
        <v>639</v>
      </c>
      <c r="AB3" s="138" t="s">
        <v>903</v>
      </c>
      <c r="AC3" s="177"/>
      <c r="AD3" s="441" t="s">
        <v>638</v>
      </c>
      <c r="AE3" s="138" t="s">
        <v>639</v>
      </c>
      <c r="AF3" s="138" t="s">
        <v>903</v>
      </c>
      <c r="AG3" s="177"/>
      <c r="AH3" s="138" t="s">
        <v>638</v>
      </c>
      <c r="AI3" s="138" t="s">
        <v>639</v>
      </c>
      <c r="AJ3" s="138" t="s">
        <v>903</v>
      </c>
      <c r="AK3" s="177"/>
      <c r="AL3" s="138" t="s">
        <v>638</v>
      </c>
      <c r="AM3" s="138" t="s">
        <v>639</v>
      </c>
      <c r="AN3" s="138" t="s">
        <v>903</v>
      </c>
      <c r="AO3" s="177"/>
      <c r="AP3" s="138" t="s">
        <v>638</v>
      </c>
      <c r="AQ3" s="138" t="s">
        <v>639</v>
      </c>
      <c r="AR3" s="138" t="s">
        <v>903</v>
      </c>
      <c r="AS3" s="177"/>
      <c r="AT3" s="138" t="s">
        <v>638</v>
      </c>
      <c r="AU3" s="138" t="s">
        <v>639</v>
      </c>
      <c r="AV3" s="138" t="s">
        <v>903</v>
      </c>
      <c r="AW3" s="177"/>
      <c r="AX3" s="138" t="s">
        <v>638</v>
      </c>
      <c r="AY3" s="138" t="s">
        <v>639</v>
      </c>
      <c r="AZ3" s="138" t="s">
        <v>903</v>
      </c>
      <c r="BA3" s="177"/>
      <c r="BB3" s="138" t="s">
        <v>638</v>
      </c>
      <c r="BC3" s="138" t="s">
        <v>639</v>
      </c>
      <c r="BD3" s="138" t="s">
        <v>903</v>
      </c>
      <c r="BE3" s="177"/>
      <c r="BF3" s="138" t="s">
        <v>638</v>
      </c>
      <c r="BG3" s="138" t="s">
        <v>639</v>
      </c>
      <c r="BH3" s="138" t="s">
        <v>903</v>
      </c>
      <c r="BI3" s="177"/>
      <c r="BJ3" s="138" t="s">
        <v>638</v>
      </c>
      <c r="BK3" s="138" t="s">
        <v>639</v>
      </c>
      <c r="BL3" s="138" t="s">
        <v>903</v>
      </c>
      <c r="BM3" s="177"/>
      <c r="BN3" s="138" t="s">
        <v>638</v>
      </c>
      <c r="BO3" s="138" t="s">
        <v>639</v>
      </c>
      <c r="BP3" s="138" t="s">
        <v>903</v>
      </c>
      <c r="BQ3" s="177"/>
      <c r="BR3" s="138" t="s">
        <v>638</v>
      </c>
      <c r="BS3" s="138" t="s">
        <v>639</v>
      </c>
      <c r="BT3" s="138" t="s">
        <v>903</v>
      </c>
      <c r="BU3" s="177"/>
      <c r="BV3" s="138" t="s">
        <v>638</v>
      </c>
      <c r="BW3" s="138" t="s">
        <v>639</v>
      </c>
      <c r="BX3" s="138" t="s">
        <v>903</v>
      </c>
      <c r="BY3" s="177"/>
      <c r="BZ3" s="138" t="s">
        <v>638</v>
      </c>
      <c r="CA3" s="138" t="s">
        <v>639</v>
      </c>
      <c r="CB3" s="138" t="s">
        <v>903</v>
      </c>
      <c r="CC3" s="177"/>
    </row>
    <row r="4" spans="1:81">
      <c r="A4" s="2321" t="s">
        <v>168</v>
      </c>
      <c r="B4" s="2321"/>
      <c r="C4" s="143" t="s">
        <v>652</v>
      </c>
      <c r="D4" s="143" t="s">
        <v>652</v>
      </c>
      <c r="E4" s="174" t="s">
        <v>592</v>
      </c>
      <c r="F4" s="143" t="s">
        <v>653</v>
      </c>
      <c r="G4" s="143" t="s">
        <v>653</v>
      </c>
      <c r="H4" s="174" t="s">
        <v>591</v>
      </c>
      <c r="I4" s="143" t="s">
        <v>654</v>
      </c>
      <c r="J4" s="143" t="s">
        <v>654</v>
      </c>
      <c r="K4" s="174" t="s">
        <v>590</v>
      </c>
      <c r="L4" s="143" t="s">
        <v>655</v>
      </c>
      <c r="M4" s="143" t="s">
        <v>655</v>
      </c>
      <c r="N4" s="174" t="s">
        <v>589</v>
      </c>
      <c r="O4" s="143" t="s">
        <v>860</v>
      </c>
      <c r="P4" s="143" t="s">
        <v>860</v>
      </c>
      <c r="Q4" s="174" t="s">
        <v>861</v>
      </c>
      <c r="R4" s="143" t="s">
        <v>893</v>
      </c>
      <c r="S4" s="143" t="s">
        <v>893</v>
      </c>
      <c r="T4" s="143" t="s">
        <v>902</v>
      </c>
      <c r="U4" s="174" t="s">
        <v>894</v>
      </c>
      <c r="V4" s="442" t="s">
        <v>899</v>
      </c>
      <c r="W4" s="143" t="s">
        <v>899</v>
      </c>
      <c r="X4" s="143" t="s">
        <v>904</v>
      </c>
      <c r="Y4" s="174" t="s">
        <v>908</v>
      </c>
      <c r="Z4" s="442" t="s">
        <v>113</v>
      </c>
      <c r="AA4" s="143" t="s">
        <v>113</v>
      </c>
      <c r="AB4" s="143" t="s">
        <v>99</v>
      </c>
      <c r="AC4" s="174" t="s">
        <v>100</v>
      </c>
      <c r="AD4" s="442" t="s">
        <v>554</v>
      </c>
      <c r="AE4" s="143" t="s">
        <v>554</v>
      </c>
      <c r="AF4" s="143" t="s">
        <v>108</v>
      </c>
      <c r="AG4" s="174" t="s">
        <v>109</v>
      </c>
      <c r="AH4" s="143" t="s">
        <v>755</v>
      </c>
      <c r="AI4" s="143" t="s">
        <v>755</v>
      </c>
      <c r="AJ4" s="143" t="s">
        <v>756</v>
      </c>
      <c r="AK4" s="174" t="s">
        <v>864</v>
      </c>
      <c r="AL4" s="143" t="s">
        <v>131</v>
      </c>
      <c r="AM4" s="143" t="s">
        <v>131</v>
      </c>
      <c r="AN4" s="143" t="s">
        <v>132</v>
      </c>
      <c r="AO4" s="174" t="s">
        <v>773</v>
      </c>
      <c r="AP4" s="143" t="s">
        <v>850</v>
      </c>
      <c r="AQ4" s="143" t="s">
        <v>850</v>
      </c>
      <c r="AR4" s="143" t="s">
        <v>851</v>
      </c>
      <c r="AS4" s="174" t="s">
        <v>849</v>
      </c>
      <c r="AT4" s="143" t="s">
        <v>1050</v>
      </c>
      <c r="AU4" s="143" t="s">
        <v>1050</v>
      </c>
      <c r="AV4" s="143" t="s">
        <v>1051</v>
      </c>
      <c r="AW4" s="174" t="s">
        <v>1029</v>
      </c>
      <c r="AX4" s="143" t="s">
        <v>1065</v>
      </c>
      <c r="AY4" s="143" t="s">
        <v>1065</v>
      </c>
      <c r="AZ4" s="143" t="s">
        <v>1066</v>
      </c>
      <c r="BA4" s="174" t="s">
        <v>1061</v>
      </c>
      <c r="BB4" s="143" t="s">
        <v>1093</v>
      </c>
      <c r="BC4" s="143" t="s">
        <v>1093</v>
      </c>
      <c r="BD4" s="143" t="s">
        <v>1094</v>
      </c>
      <c r="BE4" s="174" t="s">
        <v>1089</v>
      </c>
      <c r="BF4" s="143" t="s">
        <v>1164</v>
      </c>
      <c r="BG4" s="143" t="s">
        <v>1164</v>
      </c>
      <c r="BH4" s="143" t="s">
        <v>1164</v>
      </c>
      <c r="BI4" s="174" t="s">
        <v>1165</v>
      </c>
      <c r="BJ4" s="143" t="s">
        <v>1509</v>
      </c>
      <c r="BK4" s="143" t="s">
        <v>1509</v>
      </c>
      <c r="BL4" s="143" t="s">
        <v>1509</v>
      </c>
      <c r="BM4" s="174" t="s">
        <v>1136</v>
      </c>
      <c r="BN4" s="143" t="s">
        <v>1595</v>
      </c>
      <c r="BO4" s="143" t="s">
        <v>1595</v>
      </c>
      <c r="BP4" s="143" t="s">
        <v>1595</v>
      </c>
      <c r="BQ4" s="174" t="s">
        <v>1178</v>
      </c>
      <c r="BR4" s="143" t="s">
        <v>1763</v>
      </c>
      <c r="BS4" s="143" t="s">
        <v>1763</v>
      </c>
      <c r="BT4" s="143" t="s">
        <v>1763</v>
      </c>
      <c r="BU4" s="174" t="s">
        <v>1220</v>
      </c>
      <c r="BV4" s="143" t="s">
        <v>1767</v>
      </c>
      <c r="BW4" s="143" t="s">
        <v>1767</v>
      </c>
      <c r="BX4" s="143" t="s">
        <v>1767</v>
      </c>
      <c r="BY4" s="174" t="s">
        <v>1551</v>
      </c>
      <c r="BZ4" s="143" t="s">
        <v>1882</v>
      </c>
      <c r="CA4" s="143" t="s">
        <v>1882</v>
      </c>
      <c r="CB4" s="143" t="s">
        <v>1882</v>
      </c>
      <c r="CC4" s="174" t="s">
        <v>1592</v>
      </c>
    </row>
    <row r="5" spans="1:81">
      <c r="A5" s="2322" t="s">
        <v>169</v>
      </c>
      <c r="B5" s="2322"/>
      <c r="C5" s="146" t="s">
        <v>640</v>
      </c>
      <c r="D5" s="146" t="s">
        <v>640</v>
      </c>
      <c r="E5" s="175"/>
      <c r="F5" s="146" t="s">
        <v>640</v>
      </c>
      <c r="G5" s="146" t="s">
        <v>640</v>
      </c>
      <c r="H5" s="175"/>
      <c r="I5" s="146" t="s">
        <v>640</v>
      </c>
      <c r="J5" s="146" t="s">
        <v>640</v>
      </c>
      <c r="K5" s="175"/>
      <c r="L5" s="146" t="s">
        <v>640</v>
      </c>
      <c r="M5" s="146" t="s">
        <v>640</v>
      </c>
      <c r="N5" s="178"/>
      <c r="O5" s="146" t="s">
        <v>640</v>
      </c>
      <c r="P5" s="146" t="s">
        <v>640</v>
      </c>
      <c r="Q5" s="178"/>
      <c r="R5" s="146" t="s">
        <v>906</v>
      </c>
      <c r="S5" s="146" t="s">
        <v>906</v>
      </c>
      <c r="T5" s="146" t="s">
        <v>906</v>
      </c>
      <c r="U5" s="178"/>
      <c r="V5" s="443" t="s">
        <v>906</v>
      </c>
      <c r="W5" s="146" t="s">
        <v>906</v>
      </c>
      <c r="X5" s="146" t="s">
        <v>906</v>
      </c>
      <c r="Y5" s="178"/>
      <c r="Z5" s="443" t="s">
        <v>906</v>
      </c>
      <c r="AA5" s="146" t="s">
        <v>906</v>
      </c>
      <c r="AB5" s="146" t="s">
        <v>906</v>
      </c>
      <c r="AC5" s="178"/>
      <c r="AD5" s="443" t="s">
        <v>906</v>
      </c>
      <c r="AE5" s="146" t="s">
        <v>906</v>
      </c>
      <c r="AF5" s="146" t="s">
        <v>906</v>
      </c>
      <c r="AG5" s="178"/>
      <c r="AH5" s="146" t="s">
        <v>906</v>
      </c>
      <c r="AI5" s="146" t="s">
        <v>906</v>
      </c>
      <c r="AJ5" s="146" t="s">
        <v>906</v>
      </c>
      <c r="AK5" s="178"/>
      <c r="AL5" s="146" t="s">
        <v>906</v>
      </c>
      <c r="AM5" s="146" t="s">
        <v>906</v>
      </c>
      <c r="AN5" s="146" t="s">
        <v>906</v>
      </c>
      <c r="AO5" s="178"/>
      <c r="AP5" s="146" t="s">
        <v>906</v>
      </c>
      <c r="AQ5" s="146" t="s">
        <v>906</v>
      </c>
      <c r="AR5" s="146" t="s">
        <v>906</v>
      </c>
      <c r="AS5" s="178"/>
      <c r="AT5" s="146" t="s">
        <v>906</v>
      </c>
      <c r="AU5" s="146" t="s">
        <v>906</v>
      </c>
      <c r="AV5" s="146" t="s">
        <v>906</v>
      </c>
      <c r="AW5" s="178"/>
      <c r="AX5" s="146" t="s">
        <v>906</v>
      </c>
      <c r="AY5" s="146" t="s">
        <v>906</v>
      </c>
      <c r="AZ5" s="146" t="s">
        <v>906</v>
      </c>
      <c r="BA5" s="178"/>
      <c r="BB5" s="146" t="s">
        <v>906</v>
      </c>
      <c r="BC5" s="146" t="s">
        <v>906</v>
      </c>
      <c r="BD5" s="146" t="s">
        <v>906</v>
      </c>
      <c r="BE5" s="178"/>
      <c r="BF5" s="146" t="s">
        <v>906</v>
      </c>
      <c r="BG5" s="146" t="s">
        <v>906</v>
      </c>
      <c r="BH5" s="146" t="s">
        <v>906</v>
      </c>
      <c r="BI5" s="178"/>
      <c r="BJ5" s="146" t="s">
        <v>906</v>
      </c>
      <c r="BK5" s="146" t="s">
        <v>906</v>
      </c>
      <c r="BL5" s="146" t="s">
        <v>906</v>
      </c>
      <c r="BM5" s="178"/>
      <c r="BN5" s="146" t="s">
        <v>906</v>
      </c>
      <c r="BO5" s="146" t="s">
        <v>906</v>
      </c>
      <c r="BP5" s="146" t="s">
        <v>906</v>
      </c>
      <c r="BQ5" s="178"/>
      <c r="BR5" s="146" t="s">
        <v>906</v>
      </c>
      <c r="BS5" s="146" t="s">
        <v>906</v>
      </c>
      <c r="BT5" s="146" t="s">
        <v>906</v>
      </c>
      <c r="BU5" s="178"/>
      <c r="BV5" s="146" t="s">
        <v>906</v>
      </c>
      <c r="BW5" s="146" t="s">
        <v>906</v>
      </c>
      <c r="BX5" s="146" t="s">
        <v>906</v>
      </c>
      <c r="BY5" s="178"/>
      <c r="BZ5" s="146" t="s">
        <v>906</v>
      </c>
      <c r="CA5" s="146" t="s">
        <v>906</v>
      </c>
      <c r="CB5" s="146" t="s">
        <v>906</v>
      </c>
      <c r="CC5" s="178"/>
    </row>
    <row r="6" spans="1:81">
      <c r="A6" s="135" t="s">
        <v>170</v>
      </c>
      <c r="B6" s="167" t="s">
        <v>166</v>
      </c>
      <c r="C6" s="149">
        <v>453888770</v>
      </c>
      <c r="D6" s="149">
        <v>244804872</v>
      </c>
      <c r="E6" s="176">
        <f t="shared" ref="E6:E37" si="0">C6+D6</f>
        <v>698693642</v>
      </c>
      <c r="F6" s="149">
        <v>451446459</v>
      </c>
      <c r="G6" s="149">
        <v>245955271</v>
      </c>
      <c r="H6" s="176">
        <f t="shared" ref="H6:H37" si="1">F6+G6</f>
        <v>697401730</v>
      </c>
      <c r="I6" s="149">
        <v>444075407</v>
      </c>
      <c r="J6" s="149">
        <v>233588730</v>
      </c>
      <c r="K6" s="176">
        <f t="shared" ref="K6:K37" si="2">I6+J6</f>
        <v>677664137</v>
      </c>
      <c r="L6" s="149">
        <v>439550165</v>
      </c>
      <c r="M6" s="149">
        <v>239687089</v>
      </c>
      <c r="N6" s="179">
        <f t="shared" ref="N6:N37" si="3">L6+M6</f>
        <v>679237254</v>
      </c>
      <c r="O6" s="104">
        <v>428366835</v>
      </c>
      <c r="P6" s="104">
        <v>233747037</v>
      </c>
      <c r="Q6" s="122">
        <f t="shared" ref="Q6:Q37" si="4">O6+P6</f>
        <v>662113872</v>
      </c>
      <c r="R6" s="287">
        <f t="shared" ref="R6:Z6" si="5">R7+R8+R12+R18+R24+R31+R36+R44+R50+R53</f>
        <v>422544214</v>
      </c>
      <c r="S6" s="287">
        <f t="shared" si="5"/>
        <v>245810779</v>
      </c>
      <c r="T6" s="287">
        <f t="shared" si="5"/>
        <v>18261687</v>
      </c>
      <c r="U6" s="287">
        <f t="shared" si="5"/>
        <v>686616680</v>
      </c>
      <c r="V6" s="287">
        <f t="shared" si="5"/>
        <v>409076867</v>
      </c>
      <c r="W6" s="287">
        <f t="shared" si="5"/>
        <v>243508059</v>
      </c>
      <c r="X6" s="287">
        <f t="shared" si="5"/>
        <v>15678128</v>
      </c>
      <c r="Y6" s="287">
        <f t="shared" si="5"/>
        <v>668263054</v>
      </c>
      <c r="Z6" s="287">
        <f t="shared" si="5"/>
        <v>404785668</v>
      </c>
      <c r="AA6" s="287">
        <f t="shared" ref="AA6:AG6" si="6">AA7+AA8+AA12+AA18+AA24+AA31+AA36+AA44+AA50+AA53</f>
        <v>251869544</v>
      </c>
      <c r="AB6" s="287">
        <f t="shared" si="6"/>
        <v>15967865</v>
      </c>
      <c r="AC6" s="287">
        <f t="shared" si="6"/>
        <v>672623077</v>
      </c>
      <c r="AD6" s="287">
        <f>AD7+AD8+AD12+AD18+AD24+AD31+AD36+AD44+AD50+AD53</f>
        <v>391232677</v>
      </c>
      <c r="AE6" s="287">
        <f>AE7+AE8+AE12+AE18+AE24+AE31+AE36+AE44+AE50+AE53</f>
        <v>248719659</v>
      </c>
      <c r="AF6" s="287">
        <f>AF7+AF8+AF12+AF18+AF24+AF31+AF36+AF44+AF50+AF53</f>
        <v>15668001</v>
      </c>
      <c r="AG6" s="287">
        <f t="shared" si="6"/>
        <v>655620337</v>
      </c>
      <c r="AH6" s="287">
        <f t="shared" ref="AH6:AO6" si="7">AH7+AH8+AH12+AH18+AH24+AH31+AH36+AH44+AH50+AH53</f>
        <v>375067145</v>
      </c>
      <c r="AI6" s="287">
        <f t="shared" si="7"/>
        <v>255219019</v>
      </c>
      <c r="AJ6" s="287">
        <f t="shared" si="7"/>
        <v>15992423</v>
      </c>
      <c r="AK6" s="287">
        <f t="shared" si="7"/>
        <v>646278587</v>
      </c>
      <c r="AL6" s="437">
        <f t="shared" si="7"/>
        <v>378093397</v>
      </c>
      <c r="AM6" s="437">
        <f t="shared" si="7"/>
        <v>269428367</v>
      </c>
      <c r="AN6" s="437">
        <f t="shared" si="7"/>
        <v>16163186</v>
      </c>
      <c r="AO6" s="286">
        <f t="shared" si="7"/>
        <v>663684950</v>
      </c>
      <c r="AP6" s="447">
        <v>380003450</v>
      </c>
      <c r="AQ6" s="447">
        <v>279189115</v>
      </c>
      <c r="AR6" s="447">
        <v>16466729</v>
      </c>
      <c r="AS6" s="286">
        <f t="shared" ref="AS6:BA6" si="8">AS7+AS8+AS12+AS18+AS24+AS31+AS36+AS44+AS50+AS53</f>
        <v>675659294</v>
      </c>
      <c r="AT6" s="447">
        <f t="shared" si="8"/>
        <v>375265562</v>
      </c>
      <c r="AU6" s="447">
        <f t="shared" si="8"/>
        <v>282762000</v>
      </c>
      <c r="AV6" s="447">
        <f t="shared" si="8"/>
        <v>17866259</v>
      </c>
      <c r="AW6" s="286">
        <f t="shared" si="8"/>
        <v>675893821</v>
      </c>
      <c r="AX6" s="447">
        <f t="shared" si="8"/>
        <v>448900874</v>
      </c>
      <c r="AY6" s="447">
        <f t="shared" si="8"/>
        <v>286190415</v>
      </c>
      <c r="AZ6" s="447">
        <f t="shared" si="8"/>
        <v>17705801</v>
      </c>
      <c r="BA6" s="286">
        <f t="shared" si="8"/>
        <v>752797090</v>
      </c>
      <c r="BB6" s="447">
        <f t="shared" ref="BB6:BL6" si="9">BB7+BB8+BB12+BB18+BB24+BB31+BB36+BB44+BB50+BB53</f>
        <v>447425022</v>
      </c>
      <c r="BC6" s="447">
        <f t="shared" si="9"/>
        <v>282698291</v>
      </c>
      <c r="BD6" s="447">
        <f t="shared" si="9"/>
        <v>25769611</v>
      </c>
      <c r="BE6" s="286">
        <f t="shared" si="9"/>
        <v>755892924</v>
      </c>
      <c r="BF6" s="447">
        <f t="shared" si="9"/>
        <v>449458148</v>
      </c>
      <c r="BG6" s="447">
        <f t="shared" si="9"/>
        <v>295976931</v>
      </c>
      <c r="BH6" s="447">
        <f t="shared" si="9"/>
        <v>26614298</v>
      </c>
      <c r="BI6" s="286">
        <f t="shared" si="9"/>
        <v>772049377</v>
      </c>
      <c r="BJ6" s="447">
        <f t="shared" si="9"/>
        <v>479633083</v>
      </c>
      <c r="BK6" s="447">
        <f t="shared" si="9"/>
        <v>303830369</v>
      </c>
      <c r="BL6" s="447">
        <f t="shared" si="9"/>
        <v>25430402</v>
      </c>
      <c r="BM6" s="286">
        <f t="shared" ref="BM6:BT6" si="10">BM7+BM8+BM12+BM18+BM24+BM31+BM36+BM44+BM50+BM53</f>
        <v>808893854</v>
      </c>
      <c r="BN6" s="447">
        <f t="shared" si="10"/>
        <v>483365523</v>
      </c>
      <c r="BO6" s="447">
        <f t="shared" si="10"/>
        <v>374273875</v>
      </c>
      <c r="BP6" s="447">
        <f t="shared" si="10"/>
        <v>23503271</v>
      </c>
      <c r="BQ6" s="286">
        <f t="shared" ref="BQ6" si="11">BQ7+BQ8+BQ12+BQ18+BQ24+BQ31+BQ36+BQ44+BQ50+BQ53</f>
        <v>881142669</v>
      </c>
      <c r="BR6" s="447">
        <f t="shared" si="10"/>
        <v>482460844</v>
      </c>
      <c r="BS6" s="447">
        <f t="shared" si="10"/>
        <v>387625988</v>
      </c>
      <c r="BT6" s="447">
        <f t="shared" si="10"/>
        <v>24423106</v>
      </c>
      <c r="BU6" s="286">
        <f t="shared" ref="BU6:BX6" si="12">BU7+BU8+BU12+BU18+BU24+BU31+BU36+BU44+BU50+BU53</f>
        <v>894509938</v>
      </c>
      <c r="BV6" s="447">
        <f t="shared" si="12"/>
        <v>475117647</v>
      </c>
      <c r="BW6" s="447">
        <f t="shared" si="12"/>
        <v>346571259</v>
      </c>
      <c r="BX6" s="447">
        <f t="shared" si="12"/>
        <v>25329111</v>
      </c>
      <c r="BY6" s="286">
        <f t="shared" ref="BY6:CB6" si="13">BY7+BY8+BY12+BY18+BY24+BY31+BY36+BY44+BY50+BY53</f>
        <v>847018017</v>
      </c>
      <c r="BZ6" s="447">
        <f t="shared" si="13"/>
        <v>514765751</v>
      </c>
      <c r="CA6" s="447">
        <f t="shared" si="13"/>
        <v>364003801</v>
      </c>
      <c r="CB6" s="447">
        <f t="shared" si="13"/>
        <v>27379162</v>
      </c>
      <c r="CC6" s="286">
        <f t="shared" ref="CC6" si="14">CC7+CC8+CC12+CC18+CC24+CC31+CC36+CC44+CC50+CC53</f>
        <v>906148714</v>
      </c>
    </row>
    <row r="7" spans="1:81">
      <c r="A7" s="150">
        <v>100</v>
      </c>
      <c r="B7" s="167" t="s">
        <v>172</v>
      </c>
      <c r="C7" s="153">
        <v>133782202</v>
      </c>
      <c r="D7" s="153">
        <v>64341693</v>
      </c>
      <c r="E7" s="176">
        <f t="shared" si="0"/>
        <v>198123895</v>
      </c>
      <c r="F7" s="153">
        <v>132539718</v>
      </c>
      <c r="G7" s="153">
        <v>63484299</v>
      </c>
      <c r="H7" s="176">
        <f t="shared" si="1"/>
        <v>196024017</v>
      </c>
      <c r="I7" s="153">
        <v>135766142</v>
      </c>
      <c r="J7" s="153">
        <v>61601123</v>
      </c>
      <c r="K7" s="176">
        <f t="shared" si="2"/>
        <v>197367265</v>
      </c>
      <c r="L7" s="153">
        <v>133775024</v>
      </c>
      <c r="M7" s="153">
        <v>63147092</v>
      </c>
      <c r="N7" s="179">
        <f t="shared" si="3"/>
        <v>196922116</v>
      </c>
      <c r="O7" s="104">
        <v>128207578</v>
      </c>
      <c r="P7" s="104">
        <v>62361934</v>
      </c>
      <c r="Q7" s="122">
        <f t="shared" si="4"/>
        <v>190569512</v>
      </c>
      <c r="R7" s="287">
        <v>131249539</v>
      </c>
      <c r="S7" s="287">
        <v>64021224</v>
      </c>
      <c r="T7" s="287">
        <v>5579695</v>
      </c>
      <c r="U7" s="122">
        <f t="shared" ref="U7:U56" si="15">R7+S7+T7</f>
        <v>200850458</v>
      </c>
      <c r="V7" s="285">
        <v>126472271</v>
      </c>
      <c r="W7" s="285">
        <v>64961951</v>
      </c>
      <c r="X7" s="285">
        <v>2679657</v>
      </c>
      <c r="Y7" s="286">
        <f t="shared" ref="Y7:Y56" si="16">V7+W7+X7</f>
        <v>194113879</v>
      </c>
      <c r="Z7" s="287">
        <v>125222303</v>
      </c>
      <c r="AA7" s="287">
        <v>67932529</v>
      </c>
      <c r="AB7" s="287">
        <v>2630394</v>
      </c>
      <c r="AC7" s="469">
        <f t="shared" ref="AC7:AC56" si="17">Z7+AA7+AB7</f>
        <v>195785226</v>
      </c>
      <c r="AD7" s="287">
        <v>121580806</v>
      </c>
      <c r="AE7" s="287">
        <v>66708382</v>
      </c>
      <c r="AF7" s="287">
        <v>2524626</v>
      </c>
      <c r="AG7" s="469">
        <f>AD7+AE7+AF7</f>
        <v>190813814</v>
      </c>
      <c r="AH7" s="287">
        <v>115369677</v>
      </c>
      <c r="AI7" s="287">
        <v>67276840</v>
      </c>
      <c r="AJ7" s="287">
        <v>3045650</v>
      </c>
      <c r="AK7" s="469">
        <f>AH7+AI7+AJ7</f>
        <v>185692167</v>
      </c>
      <c r="AL7" s="287">
        <v>116805292</v>
      </c>
      <c r="AM7" s="287">
        <v>72171116</v>
      </c>
      <c r="AN7" s="287">
        <v>2877947</v>
      </c>
      <c r="AO7" s="496">
        <f>AL7+AM7+AN7</f>
        <v>191854355</v>
      </c>
      <c r="AP7" s="287">
        <v>116770418</v>
      </c>
      <c r="AQ7" s="287">
        <v>73829486</v>
      </c>
      <c r="AR7" s="287">
        <v>2979491</v>
      </c>
      <c r="AS7" s="496">
        <f>AP7+AQ7+AR7</f>
        <v>193579395</v>
      </c>
      <c r="AT7" s="287">
        <v>115160206</v>
      </c>
      <c r="AU7" s="287">
        <v>72944874</v>
      </c>
      <c r="AV7" s="287">
        <v>3392040</v>
      </c>
      <c r="AW7" s="496">
        <f>AT7+AU7+AV7</f>
        <v>191497120</v>
      </c>
      <c r="AX7" s="287">
        <v>185511659</v>
      </c>
      <c r="AY7" s="287">
        <v>74820367</v>
      </c>
      <c r="AZ7" s="287">
        <v>3220366</v>
      </c>
      <c r="BA7" s="496">
        <f>AX7+AY7+AZ7</f>
        <v>263552392</v>
      </c>
      <c r="BB7" s="287">
        <v>184733983</v>
      </c>
      <c r="BC7" s="287">
        <v>71600177</v>
      </c>
      <c r="BD7" s="287">
        <v>9998119</v>
      </c>
      <c r="BE7" s="496">
        <f>BB7+BC7+BD7</f>
        <v>266332279</v>
      </c>
      <c r="BF7" s="287">
        <v>185199994</v>
      </c>
      <c r="BG7" s="287">
        <v>75912655</v>
      </c>
      <c r="BH7" s="287">
        <v>11039711</v>
      </c>
      <c r="BI7" s="496">
        <f>BF7+BG7+BH7</f>
        <v>272152360</v>
      </c>
      <c r="BJ7" s="287">
        <v>185413946</v>
      </c>
      <c r="BK7" s="287">
        <v>85587877</v>
      </c>
      <c r="BL7" s="287">
        <v>8236762</v>
      </c>
      <c r="BM7" s="496">
        <f>BJ7+BK7+BL7</f>
        <v>279238585</v>
      </c>
      <c r="BN7" s="287">
        <v>184453551</v>
      </c>
      <c r="BO7" s="287">
        <v>120999794</v>
      </c>
      <c r="BP7" s="287">
        <v>6710131</v>
      </c>
      <c r="BQ7" s="496">
        <f>BN7+BO7+BP7</f>
        <v>312163476</v>
      </c>
      <c r="BR7" s="496">
        <v>183510861</v>
      </c>
      <c r="BS7" s="496">
        <v>124566174</v>
      </c>
      <c r="BT7" s="496">
        <v>7909927</v>
      </c>
      <c r="BU7" s="496">
        <f>BR7+BS7+BT7</f>
        <v>315986962</v>
      </c>
      <c r="BV7" s="496">
        <v>176300736</v>
      </c>
      <c r="BW7" s="496">
        <v>101008066</v>
      </c>
      <c r="BX7" s="496">
        <v>7904671</v>
      </c>
      <c r="BY7" s="496">
        <f>BV7+BW7+BX7</f>
        <v>285213473</v>
      </c>
      <c r="BZ7" s="496">
        <v>191519269</v>
      </c>
      <c r="CA7" s="496">
        <v>108266803</v>
      </c>
      <c r="CB7" s="496">
        <v>8487724</v>
      </c>
      <c r="CC7" s="496">
        <f>BZ7+CA7+CB7</f>
        <v>308273796</v>
      </c>
    </row>
    <row r="8" spans="1:81">
      <c r="A8" s="135"/>
      <c r="B8" s="165" t="s">
        <v>182</v>
      </c>
      <c r="C8" s="155">
        <v>85985116</v>
      </c>
      <c r="D8" s="155">
        <v>39408269</v>
      </c>
      <c r="E8" s="176">
        <f t="shared" si="0"/>
        <v>125393385</v>
      </c>
      <c r="F8" s="155">
        <v>83418327</v>
      </c>
      <c r="G8" s="155">
        <v>39679979</v>
      </c>
      <c r="H8" s="176">
        <f t="shared" si="1"/>
        <v>123098306</v>
      </c>
      <c r="I8" s="155">
        <v>80804352</v>
      </c>
      <c r="J8" s="155">
        <v>38875896</v>
      </c>
      <c r="K8" s="176">
        <f t="shared" si="2"/>
        <v>119680248</v>
      </c>
      <c r="L8" s="155">
        <v>80625307</v>
      </c>
      <c r="M8" s="155">
        <v>39750287</v>
      </c>
      <c r="N8" s="179">
        <f t="shared" si="3"/>
        <v>120375594</v>
      </c>
      <c r="O8" s="104">
        <v>79806513</v>
      </c>
      <c r="P8" s="104">
        <v>40235819</v>
      </c>
      <c r="Q8" s="122">
        <f t="shared" si="4"/>
        <v>120042332</v>
      </c>
      <c r="R8" s="287">
        <f t="shared" ref="R8:Y8" si="18">R9+R10+R11</f>
        <v>78116200</v>
      </c>
      <c r="S8" s="287">
        <f t="shared" si="18"/>
        <v>42007473</v>
      </c>
      <c r="T8" s="287">
        <f t="shared" si="18"/>
        <v>4332574</v>
      </c>
      <c r="U8" s="287">
        <f t="shared" si="18"/>
        <v>124456247</v>
      </c>
      <c r="V8" s="287">
        <f t="shared" si="18"/>
        <v>74069758</v>
      </c>
      <c r="W8" s="287">
        <f t="shared" si="18"/>
        <v>40800143</v>
      </c>
      <c r="X8" s="287">
        <f t="shared" si="18"/>
        <v>4091006</v>
      </c>
      <c r="Y8" s="287">
        <f t="shared" si="18"/>
        <v>118960907</v>
      </c>
      <c r="Z8" s="287">
        <f t="shared" ref="Z8:AF8" si="19">Z9+Z10+Z11</f>
        <v>70685012</v>
      </c>
      <c r="AA8" s="287">
        <f t="shared" si="19"/>
        <v>42758739</v>
      </c>
      <c r="AB8" s="287">
        <f t="shared" si="19"/>
        <v>3978317</v>
      </c>
      <c r="AC8" s="287">
        <f t="shared" si="19"/>
        <v>117422068</v>
      </c>
      <c r="AD8" s="287">
        <f t="shared" si="19"/>
        <v>67820504</v>
      </c>
      <c r="AE8" s="287">
        <f t="shared" si="19"/>
        <v>43114086</v>
      </c>
      <c r="AF8" s="287">
        <f t="shared" si="19"/>
        <v>3901994</v>
      </c>
      <c r="AG8" s="469">
        <f t="shared" ref="AG8:AG16" si="20">AD8+AE8+AF8</f>
        <v>114836584</v>
      </c>
      <c r="AH8" s="287">
        <f>AH9+AH10+AH11</f>
        <v>66873852</v>
      </c>
      <c r="AI8" s="287">
        <f>AI9+AI10+AI11</f>
        <v>45585609</v>
      </c>
      <c r="AJ8" s="287">
        <f>AJ9+AJ10+AJ11</f>
        <v>3974257</v>
      </c>
      <c r="AK8" s="287">
        <f t="shared" ref="AK8:AS8" si="21">SUM(AK9:AK11)</f>
        <v>116433718</v>
      </c>
      <c r="AL8" s="287">
        <f t="shared" si="21"/>
        <v>66842921</v>
      </c>
      <c r="AM8" s="287">
        <f t="shared" si="21"/>
        <v>47373741</v>
      </c>
      <c r="AN8" s="287">
        <f t="shared" si="21"/>
        <v>4194670</v>
      </c>
      <c r="AO8" s="287">
        <f t="shared" si="21"/>
        <v>118411332</v>
      </c>
      <c r="AP8" s="287">
        <v>68447967</v>
      </c>
      <c r="AQ8" s="287">
        <v>48329228</v>
      </c>
      <c r="AR8" s="287">
        <v>4234940</v>
      </c>
      <c r="AS8" s="287">
        <f t="shared" si="21"/>
        <v>121012135</v>
      </c>
      <c r="AT8" s="287">
        <f t="shared" ref="AT8:BA8" si="22">SUM(AT9:AT11)</f>
        <v>68238981</v>
      </c>
      <c r="AU8" s="287">
        <f t="shared" si="22"/>
        <v>49088241</v>
      </c>
      <c r="AV8" s="287">
        <f t="shared" si="22"/>
        <v>4486000</v>
      </c>
      <c r="AW8" s="287">
        <f t="shared" si="22"/>
        <v>121813222</v>
      </c>
      <c r="AX8" s="287">
        <v>69331457</v>
      </c>
      <c r="AY8" s="287">
        <v>49573133</v>
      </c>
      <c r="AZ8" s="287">
        <v>4587626</v>
      </c>
      <c r="BA8" s="287">
        <f t="shared" si="22"/>
        <v>123492216</v>
      </c>
      <c r="BB8" s="287">
        <v>69637516</v>
      </c>
      <c r="BC8" s="287">
        <v>48056074</v>
      </c>
      <c r="BD8" s="287">
        <v>6117174</v>
      </c>
      <c r="BE8" s="287">
        <f t="shared" ref="BE8:BM8" si="23">SUM(BE9:BE11)</f>
        <v>123810764</v>
      </c>
      <c r="BF8" s="287">
        <f t="shared" si="23"/>
        <v>70132446</v>
      </c>
      <c r="BG8" s="287">
        <f t="shared" si="23"/>
        <v>49980188</v>
      </c>
      <c r="BH8" s="287">
        <f t="shared" si="23"/>
        <v>5887918</v>
      </c>
      <c r="BI8" s="287">
        <f t="shared" si="23"/>
        <v>126000552</v>
      </c>
      <c r="BJ8" s="287">
        <f t="shared" si="23"/>
        <v>74105836</v>
      </c>
      <c r="BK8" s="287">
        <f t="shared" si="23"/>
        <v>50537920</v>
      </c>
      <c r="BL8" s="287">
        <f t="shared" si="23"/>
        <v>6399464</v>
      </c>
      <c r="BM8" s="287">
        <f t="shared" si="23"/>
        <v>131043220</v>
      </c>
      <c r="BN8" s="287">
        <v>74869746</v>
      </c>
      <c r="BO8" s="287">
        <v>59649962</v>
      </c>
      <c r="BP8" s="287">
        <v>6401815</v>
      </c>
      <c r="BQ8" s="287">
        <f t="shared" ref="BQ8" si="24">SUM(BQ9:BQ11)</f>
        <v>140921523</v>
      </c>
      <c r="BR8" s="287">
        <v>75202704</v>
      </c>
      <c r="BS8" s="287">
        <v>62274194</v>
      </c>
      <c r="BT8" s="287">
        <v>6170954</v>
      </c>
      <c r="BU8" s="287">
        <f t="shared" ref="BU8" si="25">SUM(BU9:BU11)</f>
        <v>143647852</v>
      </c>
      <c r="BV8" s="287">
        <v>73927296</v>
      </c>
      <c r="BW8" s="287">
        <v>58735749</v>
      </c>
      <c r="BX8" s="287">
        <v>6539860</v>
      </c>
      <c r="BY8" s="287">
        <f t="shared" ref="BY8" si="26">SUM(BY9:BY11)</f>
        <v>139202905</v>
      </c>
      <c r="BZ8" s="287">
        <v>79243332</v>
      </c>
      <c r="CA8" s="287">
        <v>59575989</v>
      </c>
      <c r="CB8" s="287">
        <v>7149484</v>
      </c>
      <c r="CC8" s="287">
        <f t="shared" ref="CC8" si="27">SUM(CC9:CC11)</f>
        <v>145968805</v>
      </c>
    </row>
    <row r="9" spans="1:81">
      <c r="A9" s="156">
        <v>202</v>
      </c>
      <c r="B9" s="168" t="s">
        <v>183</v>
      </c>
      <c r="C9" s="155">
        <v>40262273</v>
      </c>
      <c r="D9" s="155">
        <v>16724029</v>
      </c>
      <c r="E9" s="176">
        <f t="shared" si="0"/>
        <v>56986302</v>
      </c>
      <c r="F9" s="155">
        <v>39091663</v>
      </c>
      <c r="G9" s="155">
        <v>17507707</v>
      </c>
      <c r="H9" s="176">
        <f t="shared" si="1"/>
        <v>56599370</v>
      </c>
      <c r="I9" s="155">
        <v>37950485</v>
      </c>
      <c r="J9" s="155">
        <v>16934257</v>
      </c>
      <c r="K9" s="176">
        <f t="shared" si="2"/>
        <v>54884742</v>
      </c>
      <c r="L9" s="155">
        <v>37522832</v>
      </c>
      <c r="M9" s="155">
        <v>17624957</v>
      </c>
      <c r="N9" s="179">
        <f t="shared" si="3"/>
        <v>55147789</v>
      </c>
      <c r="O9" s="104">
        <v>35006055</v>
      </c>
      <c r="P9" s="104">
        <v>17477422</v>
      </c>
      <c r="Q9" s="122">
        <f t="shared" si="4"/>
        <v>52483477</v>
      </c>
      <c r="R9" s="287">
        <v>34149441</v>
      </c>
      <c r="S9" s="287">
        <v>17676668</v>
      </c>
      <c r="T9" s="287">
        <v>1271675</v>
      </c>
      <c r="U9" s="122">
        <f t="shared" si="15"/>
        <v>53097784</v>
      </c>
      <c r="V9" s="285">
        <v>31168168</v>
      </c>
      <c r="W9" s="285">
        <v>17296443</v>
      </c>
      <c r="X9" s="285">
        <v>998153</v>
      </c>
      <c r="Y9" s="286">
        <f t="shared" si="16"/>
        <v>49462764</v>
      </c>
      <c r="Z9" s="287">
        <v>29495512</v>
      </c>
      <c r="AA9" s="287">
        <v>17657037</v>
      </c>
      <c r="AB9" s="287">
        <v>980458</v>
      </c>
      <c r="AC9" s="469">
        <f t="shared" si="17"/>
        <v>48133007</v>
      </c>
      <c r="AD9" s="287">
        <v>27244415</v>
      </c>
      <c r="AE9" s="287">
        <v>17818876</v>
      </c>
      <c r="AF9" s="287">
        <v>987191</v>
      </c>
      <c r="AG9" s="469">
        <f t="shared" si="20"/>
        <v>46050482</v>
      </c>
      <c r="AH9" s="287">
        <v>26712718</v>
      </c>
      <c r="AI9" s="287">
        <v>17555732</v>
      </c>
      <c r="AJ9" s="287">
        <v>1021542</v>
      </c>
      <c r="AK9" s="469">
        <f t="shared" ref="AK9:AK16" si="28">AH9+AI9+AJ9</f>
        <v>45289992</v>
      </c>
      <c r="AL9" s="287">
        <v>27213409</v>
      </c>
      <c r="AM9" s="287">
        <v>18003714</v>
      </c>
      <c r="AN9" s="287">
        <v>1040575</v>
      </c>
      <c r="AO9" s="496">
        <f>AL9+AM9+AN9</f>
        <v>46257698</v>
      </c>
      <c r="AP9" s="287">
        <v>27404716</v>
      </c>
      <c r="AQ9" s="287">
        <v>18484960</v>
      </c>
      <c r="AR9" s="287">
        <v>1075946</v>
      </c>
      <c r="AS9" s="496">
        <f>AP9+AQ9+AR9</f>
        <v>46965622</v>
      </c>
      <c r="AT9" s="287">
        <v>27656595</v>
      </c>
      <c r="AU9" s="287">
        <v>18608131</v>
      </c>
      <c r="AV9" s="287">
        <v>1172506</v>
      </c>
      <c r="AW9" s="496">
        <f>AT9+AU9+AV9</f>
        <v>47437232</v>
      </c>
      <c r="AX9" s="287">
        <v>26873790</v>
      </c>
      <c r="AY9" s="287">
        <v>18780536</v>
      </c>
      <c r="AZ9" s="287">
        <v>1202494</v>
      </c>
      <c r="BA9" s="496">
        <f>AX9+AY9+AZ9</f>
        <v>46856820</v>
      </c>
      <c r="BB9" s="287">
        <v>27398026</v>
      </c>
      <c r="BC9" s="287">
        <v>18934731</v>
      </c>
      <c r="BD9" s="287">
        <v>1393382</v>
      </c>
      <c r="BE9" s="496">
        <f>BB9+BC9+BD9</f>
        <v>47726139</v>
      </c>
      <c r="BF9" s="287">
        <v>27725255</v>
      </c>
      <c r="BG9" s="287">
        <v>19623167</v>
      </c>
      <c r="BH9" s="287">
        <v>1299166</v>
      </c>
      <c r="BI9" s="496">
        <f>BF9+BG9+BH9</f>
        <v>48647588</v>
      </c>
      <c r="BJ9" s="287">
        <v>29319250</v>
      </c>
      <c r="BK9" s="287">
        <v>20860705</v>
      </c>
      <c r="BL9" s="287">
        <v>1365998</v>
      </c>
      <c r="BM9" s="496">
        <f>BJ9+BK9+BL9</f>
        <v>51545953</v>
      </c>
      <c r="BN9" s="287">
        <v>29433511</v>
      </c>
      <c r="BO9" s="287">
        <v>23523982</v>
      </c>
      <c r="BP9" s="287">
        <v>1483957</v>
      </c>
      <c r="BQ9" s="496">
        <f>BN9+BO9+BP9</f>
        <v>54441450</v>
      </c>
      <c r="BR9" s="496">
        <v>29497025</v>
      </c>
      <c r="BS9" s="496">
        <v>25182623</v>
      </c>
      <c r="BT9" s="496">
        <v>1439818</v>
      </c>
      <c r="BU9" s="496">
        <f>BR9+BS9+BT9</f>
        <v>56119466</v>
      </c>
      <c r="BV9" s="496">
        <v>28830698</v>
      </c>
      <c r="BW9" s="496">
        <v>23656842</v>
      </c>
      <c r="BX9" s="496">
        <v>1536738</v>
      </c>
      <c r="BY9" s="496">
        <f>BV9+BW9+BX9</f>
        <v>54024278</v>
      </c>
      <c r="BZ9" s="496">
        <v>31743084</v>
      </c>
      <c r="CA9" s="496">
        <v>23944975</v>
      </c>
      <c r="CB9" s="496">
        <v>1642918</v>
      </c>
      <c r="CC9" s="496">
        <f>BZ9+CA9+CB9</f>
        <v>57330977</v>
      </c>
    </row>
    <row r="10" spans="1:81">
      <c r="A10" s="156">
        <v>204</v>
      </c>
      <c r="B10" s="168" t="s">
        <v>184</v>
      </c>
      <c r="C10" s="155">
        <v>36516489</v>
      </c>
      <c r="D10" s="155">
        <v>18474967</v>
      </c>
      <c r="E10" s="176">
        <f t="shared" si="0"/>
        <v>54991456</v>
      </c>
      <c r="F10" s="155">
        <v>36076994</v>
      </c>
      <c r="G10" s="155">
        <v>18035420</v>
      </c>
      <c r="H10" s="176">
        <f t="shared" si="1"/>
        <v>54112414</v>
      </c>
      <c r="I10" s="155">
        <v>34713143</v>
      </c>
      <c r="J10" s="155">
        <v>17484843</v>
      </c>
      <c r="K10" s="176">
        <f t="shared" si="2"/>
        <v>52197986</v>
      </c>
      <c r="L10" s="155">
        <v>34810303</v>
      </c>
      <c r="M10" s="155">
        <v>17799662</v>
      </c>
      <c r="N10" s="179">
        <f t="shared" si="3"/>
        <v>52609965</v>
      </c>
      <c r="O10" s="104">
        <v>36492271</v>
      </c>
      <c r="P10" s="104">
        <v>18406895</v>
      </c>
      <c r="Q10" s="122">
        <f t="shared" si="4"/>
        <v>54899166</v>
      </c>
      <c r="R10" s="287">
        <v>35798443</v>
      </c>
      <c r="S10" s="287">
        <v>19793829</v>
      </c>
      <c r="T10" s="287">
        <v>2474709</v>
      </c>
      <c r="U10" s="122">
        <f t="shared" si="15"/>
        <v>58066981</v>
      </c>
      <c r="V10" s="285">
        <v>35026608</v>
      </c>
      <c r="W10" s="285">
        <v>18791627</v>
      </c>
      <c r="X10" s="285">
        <v>2524995</v>
      </c>
      <c r="Y10" s="286">
        <f t="shared" si="16"/>
        <v>56343230</v>
      </c>
      <c r="Z10" s="287">
        <v>33276538</v>
      </c>
      <c r="AA10" s="287">
        <v>19851647</v>
      </c>
      <c r="AB10" s="287">
        <v>2487255</v>
      </c>
      <c r="AC10" s="469">
        <f t="shared" si="17"/>
        <v>55615440</v>
      </c>
      <c r="AD10" s="287">
        <v>32876786</v>
      </c>
      <c r="AE10" s="287">
        <v>19916967</v>
      </c>
      <c r="AF10" s="287">
        <v>2318174</v>
      </c>
      <c r="AG10" s="469">
        <f t="shared" si="20"/>
        <v>55111927</v>
      </c>
      <c r="AH10" s="287">
        <v>32582336</v>
      </c>
      <c r="AI10" s="287">
        <v>21838538</v>
      </c>
      <c r="AJ10" s="287">
        <v>2612276</v>
      </c>
      <c r="AK10" s="469">
        <f t="shared" si="28"/>
        <v>57033150</v>
      </c>
      <c r="AL10" s="287">
        <v>32456877</v>
      </c>
      <c r="AM10" s="287">
        <v>23274567</v>
      </c>
      <c r="AN10" s="287">
        <v>2788386</v>
      </c>
      <c r="AO10" s="496">
        <f>AL10+AM10+AN10</f>
        <v>58519830</v>
      </c>
      <c r="AP10" s="287">
        <v>33195754</v>
      </c>
      <c r="AQ10" s="287">
        <v>23692031</v>
      </c>
      <c r="AR10" s="287">
        <v>2804365</v>
      </c>
      <c r="AS10" s="496">
        <f>AP10+AQ10+AR10</f>
        <v>59692150</v>
      </c>
      <c r="AT10" s="287">
        <v>33117247</v>
      </c>
      <c r="AU10" s="287">
        <v>23869027</v>
      </c>
      <c r="AV10" s="287">
        <v>2902097</v>
      </c>
      <c r="AW10" s="496">
        <f>AT10+AU10+AV10</f>
        <v>59888371</v>
      </c>
      <c r="AX10" s="287">
        <v>34616538</v>
      </c>
      <c r="AY10" s="287">
        <v>24307998</v>
      </c>
      <c r="AZ10" s="287">
        <v>2928357</v>
      </c>
      <c r="BA10" s="496">
        <f>AX10+AY10+AZ10</f>
        <v>61852893</v>
      </c>
      <c r="BB10" s="287">
        <v>34450147</v>
      </c>
      <c r="BC10" s="287">
        <v>22567548</v>
      </c>
      <c r="BD10" s="287">
        <v>4318183</v>
      </c>
      <c r="BE10" s="496">
        <f>BB10+BC10+BD10</f>
        <v>61335878</v>
      </c>
      <c r="BF10" s="287">
        <v>34889234</v>
      </c>
      <c r="BG10" s="287">
        <v>23500422</v>
      </c>
      <c r="BH10" s="287">
        <v>4230085</v>
      </c>
      <c r="BI10" s="496">
        <f>BF10+BG10+BH10</f>
        <v>62619741</v>
      </c>
      <c r="BJ10" s="287">
        <v>36226993</v>
      </c>
      <c r="BK10" s="287">
        <v>23450157</v>
      </c>
      <c r="BL10" s="287">
        <v>4682802</v>
      </c>
      <c r="BM10" s="496">
        <f>BJ10+BK10+BL10</f>
        <v>64359952</v>
      </c>
      <c r="BN10" s="287">
        <v>36800733</v>
      </c>
      <c r="BO10" s="287">
        <v>29061036</v>
      </c>
      <c r="BP10" s="287">
        <v>4655356</v>
      </c>
      <c r="BQ10" s="496">
        <f>BN10+BO10+BP10</f>
        <v>70517125</v>
      </c>
      <c r="BR10" s="496">
        <v>37337955</v>
      </c>
      <c r="BS10" s="496">
        <v>29620161</v>
      </c>
      <c r="BT10" s="496">
        <v>4338350</v>
      </c>
      <c r="BU10" s="496">
        <f>BR10+BS10+BT10</f>
        <v>71296466</v>
      </c>
      <c r="BV10" s="496">
        <v>36966400</v>
      </c>
      <c r="BW10" s="496">
        <v>28122714</v>
      </c>
      <c r="BX10" s="496">
        <v>4714539</v>
      </c>
      <c r="BY10" s="496">
        <f>BV10+BW10+BX10</f>
        <v>69803653</v>
      </c>
      <c r="BZ10" s="496">
        <v>38528989</v>
      </c>
      <c r="CA10" s="496">
        <v>27744079</v>
      </c>
      <c r="CB10" s="496">
        <v>5121149</v>
      </c>
      <c r="CC10" s="496">
        <f>BZ10+CA10+CB10</f>
        <v>71394217</v>
      </c>
    </row>
    <row r="11" spans="1:81">
      <c r="A11" s="156">
        <v>206</v>
      </c>
      <c r="B11" s="168" t="s">
        <v>185</v>
      </c>
      <c r="C11" s="155">
        <v>9206354</v>
      </c>
      <c r="D11" s="155">
        <v>4209273</v>
      </c>
      <c r="E11" s="176">
        <f t="shared" si="0"/>
        <v>13415627</v>
      </c>
      <c r="F11" s="155">
        <v>8249670</v>
      </c>
      <c r="G11" s="155">
        <v>4136852</v>
      </c>
      <c r="H11" s="176">
        <f t="shared" si="1"/>
        <v>12386522</v>
      </c>
      <c r="I11" s="155">
        <v>8140724</v>
      </c>
      <c r="J11" s="155">
        <v>4456796</v>
      </c>
      <c r="K11" s="176">
        <f t="shared" si="2"/>
        <v>12597520</v>
      </c>
      <c r="L11" s="155">
        <v>8292172</v>
      </c>
      <c r="M11" s="155">
        <v>4325668</v>
      </c>
      <c r="N11" s="179">
        <f t="shared" si="3"/>
        <v>12617840</v>
      </c>
      <c r="O11" s="104">
        <v>8308187</v>
      </c>
      <c r="P11" s="104">
        <v>4351502</v>
      </c>
      <c r="Q11" s="122">
        <f t="shared" si="4"/>
        <v>12659689</v>
      </c>
      <c r="R11" s="287">
        <v>8168316</v>
      </c>
      <c r="S11" s="287">
        <v>4536976</v>
      </c>
      <c r="T11" s="287">
        <v>586190</v>
      </c>
      <c r="U11" s="122">
        <f t="shared" si="15"/>
        <v>13291482</v>
      </c>
      <c r="V11" s="285">
        <v>7874982</v>
      </c>
      <c r="W11" s="285">
        <v>4712073</v>
      </c>
      <c r="X11" s="285">
        <v>567858</v>
      </c>
      <c r="Y11" s="286">
        <f t="shared" si="16"/>
        <v>13154913</v>
      </c>
      <c r="Z11" s="287">
        <v>7912962</v>
      </c>
      <c r="AA11" s="287">
        <v>5250055</v>
      </c>
      <c r="AB11" s="287">
        <v>510604</v>
      </c>
      <c r="AC11" s="469">
        <f t="shared" si="17"/>
        <v>13673621</v>
      </c>
      <c r="AD11" s="287">
        <v>7699303</v>
      </c>
      <c r="AE11" s="287">
        <v>5378243</v>
      </c>
      <c r="AF11" s="287">
        <v>596629</v>
      </c>
      <c r="AG11" s="469">
        <f t="shared" si="20"/>
        <v>13674175</v>
      </c>
      <c r="AH11" s="287">
        <v>7578798</v>
      </c>
      <c r="AI11" s="287">
        <v>6191339</v>
      </c>
      <c r="AJ11" s="287">
        <v>340439</v>
      </c>
      <c r="AK11" s="469">
        <f t="shared" si="28"/>
        <v>14110576</v>
      </c>
      <c r="AL11" s="287">
        <v>7172635</v>
      </c>
      <c r="AM11" s="287">
        <v>6095460</v>
      </c>
      <c r="AN11" s="287">
        <v>365709</v>
      </c>
      <c r="AO11" s="496">
        <f>AL11+AM11+AN11</f>
        <v>13633804</v>
      </c>
      <c r="AP11" s="287">
        <v>7847497</v>
      </c>
      <c r="AQ11" s="287">
        <v>6152237</v>
      </c>
      <c r="AR11" s="287">
        <v>354629</v>
      </c>
      <c r="AS11" s="496">
        <f>AP11+AQ11+AR11</f>
        <v>14354363</v>
      </c>
      <c r="AT11" s="287">
        <v>7465139</v>
      </c>
      <c r="AU11" s="287">
        <v>6611083</v>
      </c>
      <c r="AV11" s="287">
        <v>411397</v>
      </c>
      <c r="AW11" s="496">
        <f>AT11+AU11+AV11</f>
        <v>14487619</v>
      </c>
      <c r="AX11" s="287">
        <v>7841129</v>
      </c>
      <c r="AY11" s="287">
        <v>6484599</v>
      </c>
      <c r="AZ11" s="287">
        <v>456775</v>
      </c>
      <c r="BA11" s="496">
        <f>AX11+AY11+AZ11</f>
        <v>14782503</v>
      </c>
      <c r="BB11" s="287">
        <v>7789343</v>
      </c>
      <c r="BC11" s="287">
        <v>6553795</v>
      </c>
      <c r="BD11" s="287">
        <v>405609</v>
      </c>
      <c r="BE11" s="496">
        <f>BB11+BC11+BD11</f>
        <v>14748747</v>
      </c>
      <c r="BF11" s="287">
        <v>7517957</v>
      </c>
      <c r="BG11" s="287">
        <v>6856599</v>
      </c>
      <c r="BH11" s="287">
        <v>358667</v>
      </c>
      <c r="BI11" s="496">
        <f>BF11+BG11+BH11</f>
        <v>14733223</v>
      </c>
      <c r="BJ11" s="287">
        <v>8559593</v>
      </c>
      <c r="BK11" s="287">
        <v>6227058</v>
      </c>
      <c r="BL11" s="287">
        <v>350664</v>
      </c>
      <c r="BM11" s="496">
        <f>BJ11+BK11+BL11</f>
        <v>15137315</v>
      </c>
      <c r="BN11" s="287">
        <v>8635502</v>
      </c>
      <c r="BO11" s="287">
        <v>7064944</v>
      </c>
      <c r="BP11" s="287">
        <v>262502</v>
      </c>
      <c r="BQ11" s="496">
        <f>BN11+BO11+BP11</f>
        <v>15962948</v>
      </c>
      <c r="BR11" s="496">
        <v>8367724</v>
      </c>
      <c r="BS11" s="496">
        <v>7471410</v>
      </c>
      <c r="BT11" s="496">
        <v>392786</v>
      </c>
      <c r="BU11" s="496">
        <f>BR11+BS11+BT11</f>
        <v>16231920</v>
      </c>
      <c r="BV11" s="496">
        <v>8130198</v>
      </c>
      <c r="BW11" s="496">
        <v>6956193</v>
      </c>
      <c r="BX11" s="496">
        <v>288583</v>
      </c>
      <c r="BY11" s="496">
        <f>BV11+BW11+BX11</f>
        <v>15374974</v>
      </c>
      <c r="BZ11" s="496">
        <v>8971259</v>
      </c>
      <c r="CA11" s="496">
        <v>7886935</v>
      </c>
      <c r="CB11" s="496">
        <v>385417</v>
      </c>
      <c r="CC11" s="496">
        <f>BZ11+CA11+CB11</f>
        <v>17243611</v>
      </c>
    </row>
    <row r="12" spans="1:81">
      <c r="A12" s="135"/>
      <c r="B12" s="165" t="s">
        <v>186</v>
      </c>
      <c r="C12" s="155">
        <v>52679253</v>
      </c>
      <c r="D12" s="155">
        <v>29015064</v>
      </c>
      <c r="E12" s="176">
        <f t="shared" si="0"/>
        <v>81694317</v>
      </c>
      <c r="F12" s="155">
        <v>52577449</v>
      </c>
      <c r="G12" s="155">
        <v>28829466</v>
      </c>
      <c r="H12" s="176">
        <f t="shared" si="1"/>
        <v>81406915</v>
      </c>
      <c r="I12" s="155">
        <v>51738627</v>
      </c>
      <c r="J12" s="155">
        <v>28772231</v>
      </c>
      <c r="K12" s="176">
        <f t="shared" si="2"/>
        <v>80510858</v>
      </c>
      <c r="L12" s="155">
        <v>52367425</v>
      </c>
      <c r="M12" s="155">
        <v>29679797</v>
      </c>
      <c r="N12" s="179">
        <f t="shared" si="3"/>
        <v>82047222</v>
      </c>
      <c r="O12" s="104">
        <v>50240349</v>
      </c>
      <c r="P12" s="104">
        <v>28693407</v>
      </c>
      <c r="Q12" s="122">
        <f t="shared" si="4"/>
        <v>78933756</v>
      </c>
      <c r="R12" s="287">
        <f t="shared" ref="R12:Y12" si="29">SUM(R13:R17)</f>
        <v>48347879</v>
      </c>
      <c r="S12" s="287">
        <f t="shared" si="29"/>
        <v>29072561</v>
      </c>
      <c r="T12" s="287">
        <f t="shared" si="29"/>
        <v>1320404</v>
      </c>
      <c r="U12" s="287">
        <f t="shared" si="29"/>
        <v>78740844</v>
      </c>
      <c r="V12" s="287">
        <f t="shared" si="29"/>
        <v>47641441</v>
      </c>
      <c r="W12" s="287">
        <f t="shared" si="29"/>
        <v>28530338</v>
      </c>
      <c r="X12" s="287">
        <f t="shared" si="29"/>
        <v>1520999</v>
      </c>
      <c r="Y12" s="287">
        <f t="shared" si="29"/>
        <v>77692778</v>
      </c>
      <c r="Z12" s="287">
        <f t="shared" ref="Z12:AF12" si="30">SUM(Z13:Z17)</f>
        <v>47661269</v>
      </c>
      <c r="AA12" s="287">
        <f t="shared" si="30"/>
        <v>29293354</v>
      </c>
      <c r="AB12" s="287">
        <f t="shared" si="30"/>
        <v>1438583</v>
      </c>
      <c r="AC12" s="287">
        <f t="shared" si="30"/>
        <v>78393206</v>
      </c>
      <c r="AD12" s="287">
        <f t="shared" si="30"/>
        <v>46303971</v>
      </c>
      <c r="AE12" s="287">
        <f t="shared" si="30"/>
        <v>29252725</v>
      </c>
      <c r="AF12" s="287">
        <f t="shared" si="30"/>
        <v>1523323</v>
      </c>
      <c r="AG12" s="469">
        <f t="shared" si="20"/>
        <v>77080019</v>
      </c>
      <c r="AH12" s="287">
        <f t="shared" ref="AH12:AO12" si="31">SUM(AH13:AH17)</f>
        <v>44725566</v>
      </c>
      <c r="AI12" s="287">
        <f t="shared" si="31"/>
        <v>30046036</v>
      </c>
      <c r="AJ12" s="287">
        <f t="shared" si="31"/>
        <v>1449123</v>
      </c>
      <c r="AK12" s="287">
        <f t="shared" si="31"/>
        <v>76220725</v>
      </c>
      <c r="AL12" s="287">
        <f t="shared" si="31"/>
        <v>44412569</v>
      </c>
      <c r="AM12" s="287">
        <f t="shared" si="31"/>
        <v>32093183</v>
      </c>
      <c r="AN12" s="287">
        <f t="shared" si="31"/>
        <v>1351755</v>
      </c>
      <c r="AO12" s="287">
        <f t="shared" si="31"/>
        <v>77857507</v>
      </c>
      <c r="AP12" s="287">
        <v>45618692</v>
      </c>
      <c r="AQ12" s="287">
        <v>33129928</v>
      </c>
      <c r="AR12" s="287">
        <v>1350782</v>
      </c>
      <c r="AS12" s="287">
        <f t="shared" ref="AS12:BA12" si="32">SUM(AS13:AS17)</f>
        <v>80099402</v>
      </c>
      <c r="AT12" s="287">
        <f t="shared" si="32"/>
        <v>45034609</v>
      </c>
      <c r="AU12" s="287">
        <f t="shared" si="32"/>
        <v>34990760</v>
      </c>
      <c r="AV12" s="287">
        <f t="shared" si="32"/>
        <v>1415410</v>
      </c>
      <c r="AW12" s="287">
        <f t="shared" si="32"/>
        <v>81440779</v>
      </c>
      <c r="AX12" s="287">
        <v>45638476</v>
      </c>
      <c r="AY12" s="287">
        <v>35140014</v>
      </c>
      <c r="AZ12" s="287">
        <v>1284277</v>
      </c>
      <c r="BA12" s="287">
        <f t="shared" si="32"/>
        <v>82062767</v>
      </c>
      <c r="BB12" s="287">
        <v>45333029</v>
      </c>
      <c r="BC12" s="287">
        <v>34499949</v>
      </c>
      <c r="BD12" s="287">
        <v>1527250</v>
      </c>
      <c r="BE12" s="287">
        <f t="shared" ref="BE12:BM12" si="33">SUM(BE13:BE17)</f>
        <v>81360228</v>
      </c>
      <c r="BF12" s="287">
        <f t="shared" si="33"/>
        <v>46675650</v>
      </c>
      <c r="BG12" s="287">
        <f t="shared" si="33"/>
        <v>35319367</v>
      </c>
      <c r="BH12" s="287">
        <f t="shared" si="33"/>
        <v>1491755</v>
      </c>
      <c r="BI12" s="287">
        <f t="shared" si="33"/>
        <v>83486772</v>
      </c>
      <c r="BJ12" s="287">
        <f t="shared" si="33"/>
        <v>51122880</v>
      </c>
      <c r="BK12" s="287">
        <f t="shared" si="33"/>
        <v>35107718</v>
      </c>
      <c r="BL12" s="287">
        <f t="shared" si="33"/>
        <v>1568925</v>
      </c>
      <c r="BM12" s="287">
        <f t="shared" si="33"/>
        <v>87799523</v>
      </c>
      <c r="BN12" s="287">
        <v>52508075</v>
      </c>
      <c r="BO12" s="287">
        <v>39320317</v>
      </c>
      <c r="BP12" s="287">
        <v>1430261</v>
      </c>
      <c r="BQ12" s="287">
        <f t="shared" ref="BQ12" si="34">SUM(BQ13:BQ17)</f>
        <v>93258653</v>
      </c>
      <c r="BR12" s="287">
        <v>52119733</v>
      </c>
      <c r="BS12" s="287">
        <v>41338966</v>
      </c>
      <c r="BT12" s="287">
        <v>1270237</v>
      </c>
      <c r="BU12" s="287">
        <f t="shared" ref="BU12" si="35">SUM(BU13:BU17)</f>
        <v>94728936</v>
      </c>
      <c r="BV12" s="287">
        <v>53039592</v>
      </c>
      <c r="BW12" s="287">
        <v>38400847</v>
      </c>
      <c r="BX12" s="287">
        <v>1405531</v>
      </c>
      <c r="BY12" s="287">
        <f t="shared" ref="BY12" si="36">SUM(BY13:BY17)</f>
        <v>92845970</v>
      </c>
      <c r="BZ12" s="287">
        <v>56661494</v>
      </c>
      <c r="CA12" s="287">
        <v>39879652</v>
      </c>
      <c r="CB12" s="287">
        <v>1550936</v>
      </c>
      <c r="CC12" s="287">
        <f t="shared" ref="CC12" si="37">SUM(CC13:CC17)</f>
        <v>98092082</v>
      </c>
    </row>
    <row r="13" spans="1:81">
      <c r="A13" s="156">
        <v>207</v>
      </c>
      <c r="B13" s="168" t="s">
        <v>187</v>
      </c>
      <c r="C13" s="155">
        <v>14272306</v>
      </c>
      <c r="D13" s="155">
        <v>7255810</v>
      </c>
      <c r="E13" s="176">
        <f t="shared" si="0"/>
        <v>21528116</v>
      </c>
      <c r="F13" s="155">
        <v>13898840</v>
      </c>
      <c r="G13" s="155">
        <v>7374454</v>
      </c>
      <c r="H13" s="176">
        <f t="shared" si="1"/>
        <v>21273294</v>
      </c>
      <c r="I13" s="155">
        <v>14362206</v>
      </c>
      <c r="J13" s="155">
        <v>7253905</v>
      </c>
      <c r="K13" s="176">
        <f t="shared" si="2"/>
        <v>21616111</v>
      </c>
      <c r="L13" s="155">
        <v>15166039</v>
      </c>
      <c r="M13" s="155">
        <v>7425818</v>
      </c>
      <c r="N13" s="179">
        <f t="shared" si="3"/>
        <v>22591857</v>
      </c>
      <c r="O13" s="104">
        <v>13985477</v>
      </c>
      <c r="P13" s="104">
        <v>7437261</v>
      </c>
      <c r="Q13" s="122">
        <f t="shared" si="4"/>
        <v>21422738</v>
      </c>
      <c r="R13" s="287">
        <v>13034706</v>
      </c>
      <c r="S13" s="287">
        <v>7626901</v>
      </c>
      <c r="T13" s="287">
        <v>379756</v>
      </c>
      <c r="U13" s="122">
        <f t="shared" si="15"/>
        <v>21041363</v>
      </c>
      <c r="V13" s="285">
        <v>12899318</v>
      </c>
      <c r="W13" s="285">
        <v>7574693</v>
      </c>
      <c r="X13" s="285">
        <v>365246</v>
      </c>
      <c r="Y13" s="286">
        <f t="shared" si="16"/>
        <v>20839257</v>
      </c>
      <c r="Z13" s="287">
        <v>12688561</v>
      </c>
      <c r="AA13" s="287">
        <v>7655036</v>
      </c>
      <c r="AB13" s="287">
        <v>324935</v>
      </c>
      <c r="AC13" s="469">
        <f t="shared" si="17"/>
        <v>20668532</v>
      </c>
      <c r="AD13" s="287">
        <v>12177294</v>
      </c>
      <c r="AE13" s="287">
        <v>7483271</v>
      </c>
      <c r="AF13" s="287">
        <v>397735</v>
      </c>
      <c r="AG13" s="469">
        <f t="shared" si="20"/>
        <v>20058300</v>
      </c>
      <c r="AH13" s="287">
        <v>11472781</v>
      </c>
      <c r="AI13" s="287">
        <v>7977835</v>
      </c>
      <c r="AJ13" s="287">
        <v>429155</v>
      </c>
      <c r="AK13" s="469">
        <f t="shared" si="28"/>
        <v>19879771</v>
      </c>
      <c r="AL13" s="287">
        <v>11453105</v>
      </c>
      <c r="AM13" s="287">
        <v>8147429</v>
      </c>
      <c r="AN13" s="287">
        <v>334961</v>
      </c>
      <c r="AO13" s="496">
        <f>AL13+AM13+AN13</f>
        <v>19935495</v>
      </c>
      <c r="AP13" s="287">
        <v>11893529</v>
      </c>
      <c r="AQ13" s="287">
        <v>8435039</v>
      </c>
      <c r="AR13" s="287">
        <v>341557</v>
      </c>
      <c r="AS13" s="496">
        <f>AP13+AQ13+AR13</f>
        <v>20670125</v>
      </c>
      <c r="AT13" s="287">
        <v>11556424</v>
      </c>
      <c r="AU13" s="287">
        <v>8921378</v>
      </c>
      <c r="AV13" s="287">
        <v>380769</v>
      </c>
      <c r="AW13" s="496">
        <f>AT13+AU13+AV13</f>
        <v>20858571</v>
      </c>
      <c r="AX13" s="287">
        <v>12117451</v>
      </c>
      <c r="AY13" s="287">
        <v>9150068</v>
      </c>
      <c r="AZ13" s="287">
        <v>333633</v>
      </c>
      <c r="BA13" s="496">
        <f>AX13+AY13+AZ13</f>
        <v>21601152</v>
      </c>
      <c r="BB13" s="287">
        <v>12016959</v>
      </c>
      <c r="BC13" s="287">
        <v>9106044</v>
      </c>
      <c r="BD13" s="287">
        <v>327352</v>
      </c>
      <c r="BE13" s="496">
        <f>BB13+BC13+BD13</f>
        <v>21450355</v>
      </c>
      <c r="BF13" s="287">
        <v>12458962</v>
      </c>
      <c r="BG13" s="287">
        <v>9471500</v>
      </c>
      <c r="BH13" s="287">
        <v>324923</v>
      </c>
      <c r="BI13" s="496">
        <f>BF13+BG13+BH13</f>
        <v>22255385</v>
      </c>
      <c r="BJ13" s="287">
        <v>13415565</v>
      </c>
      <c r="BK13" s="287">
        <v>9787551</v>
      </c>
      <c r="BL13" s="287">
        <v>349586</v>
      </c>
      <c r="BM13" s="496">
        <f>BJ13+BK13+BL13</f>
        <v>23552702</v>
      </c>
      <c r="BN13" s="287">
        <v>13861081</v>
      </c>
      <c r="BO13" s="287">
        <v>10677198</v>
      </c>
      <c r="BP13" s="287">
        <v>291163</v>
      </c>
      <c r="BQ13" s="496">
        <f>BN13+BO13+BP13</f>
        <v>24829442</v>
      </c>
      <c r="BR13" s="496">
        <v>13717557</v>
      </c>
      <c r="BS13" s="496">
        <v>11457008</v>
      </c>
      <c r="BT13" s="496">
        <v>265050</v>
      </c>
      <c r="BU13" s="496">
        <f>BR13+BS13+BT13</f>
        <v>25439615</v>
      </c>
      <c r="BV13" s="496">
        <v>14017448</v>
      </c>
      <c r="BW13" s="496">
        <v>9684007</v>
      </c>
      <c r="BX13" s="496">
        <v>308658</v>
      </c>
      <c r="BY13" s="496">
        <f>BV13+BW13+BX13</f>
        <v>24010113</v>
      </c>
      <c r="BZ13" s="496">
        <v>15621445</v>
      </c>
      <c r="CA13" s="496">
        <v>10070120</v>
      </c>
      <c r="CB13" s="496">
        <v>353961</v>
      </c>
      <c r="CC13" s="496">
        <f>BZ13+CA13+CB13</f>
        <v>26045526</v>
      </c>
    </row>
    <row r="14" spans="1:81">
      <c r="A14" s="156">
        <v>214</v>
      </c>
      <c r="B14" s="168" t="s">
        <v>188</v>
      </c>
      <c r="C14" s="155">
        <v>16678600</v>
      </c>
      <c r="D14" s="155">
        <v>8536443</v>
      </c>
      <c r="E14" s="176">
        <f t="shared" si="0"/>
        <v>25215043</v>
      </c>
      <c r="F14" s="155">
        <v>16673524</v>
      </c>
      <c r="G14" s="155">
        <v>8738642</v>
      </c>
      <c r="H14" s="176">
        <f t="shared" si="1"/>
        <v>25412166</v>
      </c>
      <c r="I14" s="155">
        <v>15903687</v>
      </c>
      <c r="J14" s="155">
        <v>8587821</v>
      </c>
      <c r="K14" s="176">
        <f t="shared" si="2"/>
        <v>24491508</v>
      </c>
      <c r="L14" s="155">
        <v>15564470</v>
      </c>
      <c r="M14" s="155">
        <v>8953684</v>
      </c>
      <c r="N14" s="179">
        <f t="shared" si="3"/>
        <v>24518154</v>
      </c>
      <c r="O14" s="104">
        <v>15284991</v>
      </c>
      <c r="P14" s="104">
        <v>8325517</v>
      </c>
      <c r="Q14" s="122">
        <f t="shared" si="4"/>
        <v>23610508</v>
      </c>
      <c r="R14" s="287">
        <v>14876538</v>
      </c>
      <c r="S14" s="287">
        <v>8805757</v>
      </c>
      <c r="T14" s="287">
        <v>251261</v>
      </c>
      <c r="U14" s="122">
        <f t="shared" si="15"/>
        <v>23933556</v>
      </c>
      <c r="V14" s="285">
        <v>14522733</v>
      </c>
      <c r="W14" s="285">
        <v>8542910</v>
      </c>
      <c r="X14" s="285">
        <v>250223</v>
      </c>
      <c r="Y14" s="286">
        <f t="shared" si="16"/>
        <v>23315866</v>
      </c>
      <c r="Z14" s="287">
        <v>14829623</v>
      </c>
      <c r="AA14" s="287">
        <v>8872059</v>
      </c>
      <c r="AB14" s="287">
        <v>305286</v>
      </c>
      <c r="AC14" s="469">
        <f t="shared" si="17"/>
        <v>24006968</v>
      </c>
      <c r="AD14" s="287">
        <v>14533517</v>
      </c>
      <c r="AE14" s="287">
        <v>8939462</v>
      </c>
      <c r="AF14" s="287">
        <v>342135</v>
      </c>
      <c r="AG14" s="469">
        <f t="shared" si="20"/>
        <v>23815114</v>
      </c>
      <c r="AH14" s="287">
        <v>14208727</v>
      </c>
      <c r="AI14" s="287">
        <v>9213195</v>
      </c>
      <c r="AJ14" s="287">
        <v>319166</v>
      </c>
      <c r="AK14" s="469">
        <f t="shared" si="28"/>
        <v>23741088</v>
      </c>
      <c r="AL14" s="287">
        <v>14170666</v>
      </c>
      <c r="AM14" s="287">
        <v>9857162</v>
      </c>
      <c r="AN14" s="287">
        <v>315924</v>
      </c>
      <c r="AO14" s="496">
        <f>AL14+AM14+AN14</f>
        <v>24343752</v>
      </c>
      <c r="AP14" s="287">
        <v>14585405</v>
      </c>
      <c r="AQ14" s="287">
        <v>9998542</v>
      </c>
      <c r="AR14" s="287">
        <v>284808</v>
      </c>
      <c r="AS14" s="496">
        <f>AP14+AQ14+AR14</f>
        <v>24868755</v>
      </c>
      <c r="AT14" s="287">
        <v>14127856</v>
      </c>
      <c r="AU14" s="287">
        <v>11185460</v>
      </c>
      <c r="AV14" s="287">
        <v>324624</v>
      </c>
      <c r="AW14" s="496">
        <f>AT14+AU14+AV14</f>
        <v>25637940</v>
      </c>
      <c r="AX14" s="287">
        <v>14249353</v>
      </c>
      <c r="AY14" s="287">
        <v>11307393</v>
      </c>
      <c r="AZ14" s="287">
        <v>350228</v>
      </c>
      <c r="BA14" s="496">
        <f>AX14+AY14+AZ14</f>
        <v>25906974</v>
      </c>
      <c r="BB14" s="287">
        <v>14425671</v>
      </c>
      <c r="BC14" s="287">
        <v>11105178</v>
      </c>
      <c r="BD14" s="287">
        <v>639393</v>
      </c>
      <c r="BE14" s="496">
        <f>BB14+BC14+BD14</f>
        <v>26170242</v>
      </c>
      <c r="BF14" s="287">
        <v>15012937</v>
      </c>
      <c r="BG14" s="287">
        <v>11370034</v>
      </c>
      <c r="BH14" s="287">
        <v>605921</v>
      </c>
      <c r="BI14" s="496">
        <f>BF14+BG14+BH14</f>
        <v>26988892</v>
      </c>
      <c r="BJ14" s="287">
        <v>16605581</v>
      </c>
      <c r="BK14" s="287">
        <v>10469815</v>
      </c>
      <c r="BL14" s="287">
        <v>661582</v>
      </c>
      <c r="BM14" s="496">
        <f>BJ14+BK14+BL14</f>
        <v>27736978</v>
      </c>
      <c r="BN14" s="287">
        <v>16679827</v>
      </c>
      <c r="BO14" s="287">
        <v>12323015</v>
      </c>
      <c r="BP14" s="287">
        <v>615646</v>
      </c>
      <c r="BQ14" s="496">
        <f>BN14+BO14+BP14</f>
        <v>29618488</v>
      </c>
      <c r="BR14" s="496">
        <v>16468664</v>
      </c>
      <c r="BS14" s="496">
        <v>12168101</v>
      </c>
      <c r="BT14" s="496">
        <v>525036</v>
      </c>
      <c r="BU14" s="496">
        <f>BR14+BS14+BT14</f>
        <v>29161801</v>
      </c>
      <c r="BV14" s="496">
        <v>16685149</v>
      </c>
      <c r="BW14" s="496">
        <v>11389361</v>
      </c>
      <c r="BX14" s="496">
        <v>525335</v>
      </c>
      <c r="BY14" s="496">
        <f>BV14+BW14+BX14</f>
        <v>28599845</v>
      </c>
      <c r="BZ14" s="496">
        <v>17423860</v>
      </c>
      <c r="CA14" s="496">
        <v>12295837</v>
      </c>
      <c r="CB14" s="496">
        <v>590703</v>
      </c>
      <c r="CC14" s="496">
        <f>BZ14+CA14+CB14</f>
        <v>30310400</v>
      </c>
    </row>
    <row r="15" spans="1:81">
      <c r="A15" s="156">
        <v>217</v>
      </c>
      <c r="B15" s="168" t="s">
        <v>189</v>
      </c>
      <c r="C15" s="155">
        <v>11887589</v>
      </c>
      <c r="D15" s="155">
        <v>6123775</v>
      </c>
      <c r="E15" s="176">
        <f t="shared" si="0"/>
        <v>18011364</v>
      </c>
      <c r="F15" s="155">
        <v>11875633</v>
      </c>
      <c r="G15" s="155">
        <v>5735662</v>
      </c>
      <c r="H15" s="176">
        <f t="shared" si="1"/>
        <v>17611295</v>
      </c>
      <c r="I15" s="155">
        <v>11466123</v>
      </c>
      <c r="J15" s="155">
        <v>6013638</v>
      </c>
      <c r="K15" s="176">
        <f t="shared" si="2"/>
        <v>17479761</v>
      </c>
      <c r="L15" s="155">
        <v>11483503</v>
      </c>
      <c r="M15" s="155">
        <v>6224023</v>
      </c>
      <c r="N15" s="179">
        <f t="shared" si="3"/>
        <v>17707526</v>
      </c>
      <c r="O15" s="104">
        <v>11023660</v>
      </c>
      <c r="P15" s="104">
        <v>6152811</v>
      </c>
      <c r="Q15" s="122">
        <f t="shared" si="4"/>
        <v>17176471</v>
      </c>
      <c r="R15" s="287">
        <v>10694198</v>
      </c>
      <c r="S15" s="287">
        <v>5677901</v>
      </c>
      <c r="T15" s="287">
        <v>367398</v>
      </c>
      <c r="U15" s="122">
        <f t="shared" si="15"/>
        <v>16739497</v>
      </c>
      <c r="V15" s="285">
        <v>10487715</v>
      </c>
      <c r="W15" s="285">
        <v>5457360</v>
      </c>
      <c r="X15" s="285">
        <v>467369</v>
      </c>
      <c r="Y15" s="286">
        <f t="shared" si="16"/>
        <v>16412444</v>
      </c>
      <c r="Z15" s="287">
        <v>10320172</v>
      </c>
      <c r="AA15" s="287">
        <v>5579610</v>
      </c>
      <c r="AB15" s="287">
        <v>404301</v>
      </c>
      <c r="AC15" s="469">
        <f t="shared" si="17"/>
        <v>16304083</v>
      </c>
      <c r="AD15" s="287">
        <v>9955780</v>
      </c>
      <c r="AE15" s="287">
        <v>5393692</v>
      </c>
      <c r="AF15" s="287">
        <v>372016</v>
      </c>
      <c r="AG15" s="469">
        <f t="shared" si="20"/>
        <v>15721488</v>
      </c>
      <c r="AH15" s="287">
        <v>9649258</v>
      </c>
      <c r="AI15" s="287">
        <v>5457868</v>
      </c>
      <c r="AJ15" s="287">
        <v>374486</v>
      </c>
      <c r="AK15" s="469">
        <f t="shared" si="28"/>
        <v>15481612</v>
      </c>
      <c r="AL15" s="287">
        <v>9470467</v>
      </c>
      <c r="AM15" s="287">
        <v>5763790</v>
      </c>
      <c r="AN15" s="287">
        <v>371980</v>
      </c>
      <c r="AO15" s="496">
        <f>AL15+AM15+AN15</f>
        <v>15606237</v>
      </c>
      <c r="AP15" s="287">
        <v>9702437</v>
      </c>
      <c r="AQ15" s="287">
        <v>6070366</v>
      </c>
      <c r="AR15" s="287">
        <v>335783</v>
      </c>
      <c r="AS15" s="496">
        <f>AP15+AQ15+AR15</f>
        <v>16108586</v>
      </c>
      <c r="AT15" s="287">
        <v>9959234</v>
      </c>
      <c r="AU15" s="287">
        <v>6181110</v>
      </c>
      <c r="AV15" s="287">
        <v>337150</v>
      </c>
      <c r="AW15" s="496">
        <f>AT15+AU15+AV15</f>
        <v>16477494</v>
      </c>
      <c r="AX15" s="287">
        <v>9923916</v>
      </c>
      <c r="AY15" s="287">
        <v>6393670</v>
      </c>
      <c r="AZ15" s="287">
        <v>294849</v>
      </c>
      <c r="BA15" s="496">
        <f>AX15+AY15+AZ15</f>
        <v>16612435</v>
      </c>
      <c r="BB15" s="287">
        <v>9713763</v>
      </c>
      <c r="BC15" s="287">
        <v>6262761</v>
      </c>
      <c r="BD15" s="287">
        <v>239650</v>
      </c>
      <c r="BE15" s="496">
        <f>BB15+BC15+BD15</f>
        <v>16216174</v>
      </c>
      <c r="BF15" s="287">
        <v>10007092</v>
      </c>
      <c r="BG15" s="287">
        <v>6254239</v>
      </c>
      <c r="BH15" s="287">
        <v>223722</v>
      </c>
      <c r="BI15" s="496">
        <f>BF15+BG15+BH15</f>
        <v>16485053</v>
      </c>
      <c r="BJ15" s="287">
        <v>10648915</v>
      </c>
      <c r="BK15" s="287">
        <v>6825243</v>
      </c>
      <c r="BL15" s="287">
        <v>248703</v>
      </c>
      <c r="BM15" s="496">
        <f>BJ15+BK15+BL15</f>
        <v>17722861</v>
      </c>
      <c r="BN15" s="287">
        <v>11170081</v>
      </c>
      <c r="BO15" s="287">
        <v>7211811</v>
      </c>
      <c r="BP15" s="287">
        <v>228156</v>
      </c>
      <c r="BQ15" s="496">
        <f>BN15+BO15+BP15</f>
        <v>18610048</v>
      </c>
      <c r="BR15" s="496">
        <v>11020116</v>
      </c>
      <c r="BS15" s="496">
        <v>7962343</v>
      </c>
      <c r="BT15" s="496">
        <v>168495</v>
      </c>
      <c r="BU15" s="496">
        <f>BR15+BS15+BT15</f>
        <v>19150954</v>
      </c>
      <c r="BV15" s="496">
        <v>11234143</v>
      </c>
      <c r="BW15" s="496">
        <v>8012539</v>
      </c>
      <c r="BX15" s="496">
        <v>235585</v>
      </c>
      <c r="BY15" s="496">
        <f>BV15+BW15+BX15</f>
        <v>19482267</v>
      </c>
      <c r="BZ15" s="496">
        <v>11815194</v>
      </c>
      <c r="CA15" s="496">
        <v>7990706</v>
      </c>
      <c r="CB15" s="496">
        <v>251286</v>
      </c>
      <c r="CC15" s="496">
        <f>BZ15+CA15+CB15</f>
        <v>20057186</v>
      </c>
    </row>
    <row r="16" spans="1:81">
      <c r="A16" s="156">
        <v>219</v>
      </c>
      <c r="B16" s="168" t="s">
        <v>190</v>
      </c>
      <c r="C16" s="155">
        <v>7524154</v>
      </c>
      <c r="D16" s="155">
        <v>5093970</v>
      </c>
      <c r="E16" s="176">
        <f t="shared" si="0"/>
        <v>12618124</v>
      </c>
      <c r="F16" s="155">
        <v>7787480</v>
      </c>
      <c r="G16" s="155">
        <v>5026423</v>
      </c>
      <c r="H16" s="176">
        <f t="shared" si="1"/>
        <v>12813903</v>
      </c>
      <c r="I16" s="155">
        <v>7655963</v>
      </c>
      <c r="J16" s="155">
        <v>4979295</v>
      </c>
      <c r="K16" s="176">
        <f t="shared" si="2"/>
        <v>12635258</v>
      </c>
      <c r="L16" s="155">
        <v>7826820</v>
      </c>
      <c r="M16" s="155">
        <v>5119927</v>
      </c>
      <c r="N16" s="179">
        <f t="shared" si="3"/>
        <v>12946747</v>
      </c>
      <c r="O16" s="104">
        <v>7634471</v>
      </c>
      <c r="P16" s="104">
        <v>4835795</v>
      </c>
      <c r="Q16" s="122">
        <f t="shared" si="4"/>
        <v>12470266</v>
      </c>
      <c r="R16" s="287">
        <v>7499003</v>
      </c>
      <c r="S16" s="287">
        <v>4933839</v>
      </c>
      <c r="T16" s="287">
        <v>214794</v>
      </c>
      <c r="U16" s="122">
        <f t="shared" si="15"/>
        <v>12647636</v>
      </c>
      <c r="V16" s="285">
        <v>7459773</v>
      </c>
      <c r="W16" s="285">
        <v>5009942</v>
      </c>
      <c r="X16" s="285">
        <v>323350</v>
      </c>
      <c r="Y16" s="286">
        <f t="shared" si="16"/>
        <v>12793065</v>
      </c>
      <c r="Z16" s="286">
        <v>7572425</v>
      </c>
      <c r="AA16" s="286">
        <v>5134981</v>
      </c>
      <c r="AB16" s="286">
        <v>306040</v>
      </c>
      <c r="AC16" s="469">
        <f t="shared" si="17"/>
        <v>13013446</v>
      </c>
      <c r="AD16" s="287">
        <v>7422560</v>
      </c>
      <c r="AE16" s="287">
        <v>5480266</v>
      </c>
      <c r="AF16" s="287">
        <v>291022</v>
      </c>
      <c r="AG16" s="469">
        <f t="shared" si="20"/>
        <v>13193848</v>
      </c>
      <c r="AH16" s="287">
        <v>7172025</v>
      </c>
      <c r="AI16" s="287">
        <v>5515764</v>
      </c>
      <c r="AJ16" s="287">
        <v>247233</v>
      </c>
      <c r="AK16" s="469">
        <f t="shared" si="28"/>
        <v>12935022</v>
      </c>
      <c r="AL16" s="287">
        <v>7092686</v>
      </c>
      <c r="AM16" s="287">
        <v>6323569</v>
      </c>
      <c r="AN16" s="287">
        <v>252612</v>
      </c>
      <c r="AO16" s="496">
        <f>AL16+AM16+AN16</f>
        <v>13668867</v>
      </c>
      <c r="AP16" s="287">
        <v>7152256</v>
      </c>
      <c r="AQ16" s="287">
        <v>6551762</v>
      </c>
      <c r="AR16" s="287">
        <v>307450</v>
      </c>
      <c r="AS16" s="496">
        <f>AP16+AQ16+AR16</f>
        <v>14011468</v>
      </c>
      <c r="AT16" s="287">
        <v>7103074</v>
      </c>
      <c r="AU16" s="287">
        <v>6622727</v>
      </c>
      <c r="AV16" s="287">
        <v>304427</v>
      </c>
      <c r="AW16" s="496">
        <f>AT16+AU16+AV16</f>
        <v>14030228</v>
      </c>
      <c r="AX16" s="287">
        <v>7080099</v>
      </c>
      <c r="AY16" s="287">
        <v>6269053</v>
      </c>
      <c r="AZ16" s="287">
        <v>240090</v>
      </c>
      <c r="BA16" s="496">
        <f>AX16+AY16+AZ16</f>
        <v>13589242</v>
      </c>
      <c r="BB16" s="287">
        <v>6936464</v>
      </c>
      <c r="BC16" s="287">
        <v>6020502</v>
      </c>
      <c r="BD16" s="287">
        <v>254630</v>
      </c>
      <c r="BE16" s="496">
        <f>BB16+BC16+BD16</f>
        <v>13211596</v>
      </c>
      <c r="BF16" s="287">
        <v>6964548</v>
      </c>
      <c r="BG16" s="287">
        <v>6128096</v>
      </c>
      <c r="BH16" s="287">
        <v>272007</v>
      </c>
      <c r="BI16" s="496">
        <f>BF16+BG16+BH16</f>
        <v>13364651</v>
      </c>
      <c r="BJ16" s="287">
        <v>7802444</v>
      </c>
      <c r="BK16" s="287">
        <v>6042239</v>
      </c>
      <c r="BL16" s="287">
        <v>237933</v>
      </c>
      <c r="BM16" s="496">
        <f>BJ16+BK16+BL16</f>
        <v>14082616</v>
      </c>
      <c r="BN16" s="287">
        <v>8043656</v>
      </c>
      <c r="BO16" s="287">
        <v>6685099</v>
      </c>
      <c r="BP16" s="287">
        <v>218671</v>
      </c>
      <c r="BQ16" s="496">
        <f>BN16+BO16+BP16</f>
        <v>14947426</v>
      </c>
      <c r="BR16" s="496">
        <v>8220238</v>
      </c>
      <c r="BS16" s="496">
        <v>7121626</v>
      </c>
      <c r="BT16" s="496">
        <v>214757</v>
      </c>
      <c r="BU16" s="496">
        <f>BR16+BS16+BT16</f>
        <v>15556621</v>
      </c>
      <c r="BV16" s="496">
        <v>8425273</v>
      </c>
      <c r="BW16" s="496">
        <v>6936765</v>
      </c>
      <c r="BX16" s="496">
        <v>256485</v>
      </c>
      <c r="BY16" s="496">
        <f>BV16+BW16+BX16</f>
        <v>15618523</v>
      </c>
      <c r="BZ16" s="496">
        <v>8861300</v>
      </c>
      <c r="CA16" s="496">
        <v>7080555</v>
      </c>
      <c r="CB16" s="496">
        <v>281672</v>
      </c>
      <c r="CC16" s="496">
        <f>BZ16+CA16+CB16</f>
        <v>16223527</v>
      </c>
    </row>
    <row r="17" spans="1:81">
      <c r="A17" s="156">
        <v>301</v>
      </c>
      <c r="B17" s="168" t="s">
        <v>191</v>
      </c>
      <c r="C17" s="155">
        <v>2316604</v>
      </c>
      <c r="D17" s="155">
        <v>2005066</v>
      </c>
      <c r="E17" s="176">
        <f t="shared" si="0"/>
        <v>4321670</v>
      </c>
      <c r="F17" s="155">
        <v>2341972</v>
      </c>
      <c r="G17" s="155">
        <v>1954285</v>
      </c>
      <c r="H17" s="176">
        <f t="shared" si="1"/>
        <v>4296257</v>
      </c>
      <c r="I17" s="155">
        <v>2350648</v>
      </c>
      <c r="J17" s="155">
        <v>1937572</v>
      </c>
      <c r="K17" s="176">
        <f t="shared" si="2"/>
        <v>4288220</v>
      </c>
      <c r="L17" s="155">
        <v>2326593</v>
      </c>
      <c r="M17" s="155">
        <v>1956345</v>
      </c>
      <c r="N17" s="179">
        <f t="shared" si="3"/>
        <v>4282938</v>
      </c>
      <c r="O17" s="104">
        <v>2311750</v>
      </c>
      <c r="P17" s="104">
        <v>1942023</v>
      </c>
      <c r="Q17" s="122">
        <f t="shared" si="4"/>
        <v>4253773</v>
      </c>
      <c r="R17" s="287">
        <v>2243434</v>
      </c>
      <c r="S17" s="287">
        <v>2028163</v>
      </c>
      <c r="T17" s="287">
        <v>107195</v>
      </c>
      <c r="U17" s="122">
        <f t="shared" si="15"/>
        <v>4378792</v>
      </c>
      <c r="V17" s="285">
        <v>2271902</v>
      </c>
      <c r="W17" s="285">
        <v>1945433</v>
      </c>
      <c r="X17" s="285">
        <v>114811</v>
      </c>
      <c r="Y17" s="286">
        <f t="shared" si="16"/>
        <v>4332146</v>
      </c>
      <c r="Z17" s="287">
        <v>2250488</v>
      </c>
      <c r="AA17" s="287">
        <v>2051668</v>
      </c>
      <c r="AB17" s="287">
        <v>98021</v>
      </c>
      <c r="AC17" s="469">
        <f t="shared" si="17"/>
        <v>4400177</v>
      </c>
      <c r="AD17" s="287">
        <v>2214820</v>
      </c>
      <c r="AE17" s="287">
        <v>1956034</v>
      </c>
      <c r="AF17" s="287">
        <v>120415</v>
      </c>
      <c r="AG17" s="469">
        <f>AD17+AE17+AF17</f>
        <v>4291269</v>
      </c>
      <c r="AH17" s="287">
        <v>2222775</v>
      </c>
      <c r="AI17" s="287">
        <v>1881374</v>
      </c>
      <c r="AJ17" s="287">
        <v>79083</v>
      </c>
      <c r="AK17" s="469">
        <f>AH17+AI17+AJ17</f>
        <v>4183232</v>
      </c>
      <c r="AL17" s="287">
        <v>2225645</v>
      </c>
      <c r="AM17" s="287">
        <v>2001233</v>
      </c>
      <c r="AN17" s="287">
        <v>76278</v>
      </c>
      <c r="AO17" s="496">
        <f>AL17+AM17+AN17</f>
        <v>4303156</v>
      </c>
      <c r="AP17" s="287">
        <v>2285065</v>
      </c>
      <c r="AQ17" s="287">
        <v>2074219</v>
      </c>
      <c r="AR17" s="287">
        <v>81184</v>
      </c>
      <c r="AS17" s="496">
        <f>AP17+AQ17+AR17</f>
        <v>4440468</v>
      </c>
      <c r="AT17" s="287">
        <v>2288021</v>
      </c>
      <c r="AU17" s="287">
        <v>2080085</v>
      </c>
      <c r="AV17" s="287">
        <v>68440</v>
      </c>
      <c r="AW17" s="496">
        <f>AT17+AU17+AV17</f>
        <v>4436546</v>
      </c>
      <c r="AX17" s="287">
        <v>2267657</v>
      </c>
      <c r="AY17" s="287">
        <v>2019830</v>
      </c>
      <c r="AZ17" s="287">
        <v>65477</v>
      </c>
      <c r="BA17" s="496">
        <f>AX17+AY17+AZ17</f>
        <v>4352964</v>
      </c>
      <c r="BB17" s="287">
        <v>2240172</v>
      </c>
      <c r="BC17" s="287">
        <v>2005464</v>
      </c>
      <c r="BD17" s="287">
        <v>66225</v>
      </c>
      <c r="BE17" s="496">
        <f>BB17+BC17+BD17</f>
        <v>4311861</v>
      </c>
      <c r="BF17" s="287">
        <v>2232111</v>
      </c>
      <c r="BG17" s="287">
        <v>2095498</v>
      </c>
      <c r="BH17" s="287">
        <v>65182</v>
      </c>
      <c r="BI17" s="496">
        <f>BF17+BG17+BH17</f>
        <v>4392791</v>
      </c>
      <c r="BJ17" s="287">
        <v>2650375</v>
      </c>
      <c r="BK17" s="287">
        <v>1982870</v>
      </c>
      <c r="BL17" s="287">
        <v>71121</v>
      </c>
      <c r="BM17" s="496">
        <f>BJ17+BK17+BL17</f>
        <v>4704366</v>
      </c>
      <c r="BN17" s="287">
        <v>2753430</v>
      </c>
      <c r="BO17" s="287">
        <v>2423194</v>
      </c>
      <c r="BP17" s="287">
        <v>76625</v>
      </c>
      <c r="BQ17" s="496">
        <f>BN17+BO17+BP17</f>
        <v>5253249</v>
      </c>
      <c r="BR17" s="496">
        <v>2693158</v>
      </c>
      <c r="BS17" s="496">
        <v>2629888</v>
      </c>
      <c r="BT17" s="496">
        <v>96899</v>
      </c>
      <c r="BU17" s="496">
        <f>BR17+BS17+BT17</f>
        <v>5419945</v>
      </c>
      <c r="BV17" s="496">
        <v>2677579</v>
      </c>
      <c r="BW17" s="496">
        <v>2378175</v>
      </c>
      <c r="BX17" s="496">
        <v>79468</v>
      </c>
      <c r="BY17" s="496">
        <f>BV17+BW17+BX17</f>
        <v>5135222</v>
      </c>
      <c r="BZ17" s="496">
        <v>2939695</v>
      </c>
      <c r="CA17" s="496">
        <v>2442434</v>
      </c>
      <c r="CB17" s="496">
        <v>73314</v>
      </c>
      <c r="CC17" s="496">
        <f>BZ17+CA17+CB17</f>
        <v>5455443</v>
      </c>
    </row>
    <row r="18" spans="1:81">
      <c r="A18" s="135"/>
      <c r="B18" s="165" t="s">
        <v>192</v>
      </c>
      <c r="C18" s="155">
        <v>49899783</v>
      </c>
      <c r="D18" s="155">
        <v>24462111</v>
      </c>
      <c r="E18" s="176">
        <f t="shared" si="0"/>
        <v>74361894</v>
      </c>
      <c r="F18" s="155">
        <v>48316520</v>
      </c>
      <c r="G18" s="155">
        <v>24625191</v>
      </c>
      <c r="H18" s="176">
        <f t="shared" si="1"/>
        <v>72941711</v>
      </c>
      <c r="I18" s="155">
        <v>47612581</v>
      </c>
      <c r="J18" s="155">
        <v>24806062</v>
      </c>
      <c r="K18" s="176">
        <f t="shared" si="2"/>
        <v>72418643</v>
      </c>
      <c r="L18" s="155">
        <v>46685252</v>
      </c>
      <c r="M18" s="155">
        <v>26164233</v>
      </c>
      <c r="N18" s="179">
        <f t="shared" si="3"/>
        <v>72849485</v>
      </c>
      <c r="O18" s="104">
        <v>47243639</v>
      </c>
      <c r="P18" s="104">
        <v>25384168</v>
      </c>
      <c r="Q18" s="122">
        <f t="shared" si="4"/>
        <v>72627807</v>
      </c>
      <c r="R18" s="287">
        <f t="shared" ref="R18:Y18" si="38">SUM(R19:R23)</f>
        <v>45289911</v>
      </c>
      <c r="S18" s="287">
        <f t="shared" si="38"/>
        <v>26833229</v>
      </c>
      <c r="T18" s="287">
        <f t="shared" si="38"/>
        <v>2566018</v>
      </c>
      <c r="U18" s="287">
        <f t="shared" si="38"/>
        <v>74689158</v>
      </c>
      <c r="V18" s="287">
        <f t="shared" si="38"/>
        <v>43153937</v>
      </c>
      <c r="W18" s="287">
        <f t="shared" si="38"/>
        <v>27002169</v>
      </c>
      <c r="X18" s="287">
        <f t="shared" si="38"/>
        <v>2633410</v>
      </c>
      <c r="Y18" s="287">
        <f t="shared" si="38"/>
        <v>72789516</v>
      </c>
      <c r="Z18" s="287">
        <f t="shared" ref="Z18:AF18" si="39">SUM(Z19:Z23)</f>
        <v>43655399</v>
      </c>
      <c r="AA18" s="287">
        <f t="shared" si="39"/>
        <v>27591037</v>
      </c>
      <c r="AB18" s="287">
        <f t="shared" si="39"/>
        <v>2581231</v>
      </c>
      <c r="AC18" s="287">
        <f t="shared" si="39"/>
        <v>73827667</v>
      </c>
      <c r="AD18" s="287">
        <f t="shared" si="39"/>
        <v>42468857</v>
      </c>
      <c r="AE18" s="287">
        <f t="shared" si="39"/>
        <v>27530901</v>
      </c>
      <c r="AF18" s="287">
        <f t="shared" si="39"/>
        <v>2616461</v>
      </c>
      <c r="AG18" s="469">
        <f t="shared" ref="AG18:AG56" si="40">AD18+AE18+AF18</f>
        <v>72616219</v>
      </c>
      <c r="AH18" s="287">
        <f t="shared" ref="AH18:AO18" si="41">SUM(AH19:AH23)</f>
        <v>42585507</v>
      </c>
      <c r="AI18" s="287">
        <f t="shared" si="41"/>
        <v>27564548</v>
      </c>
      <c r="AJ18" s="287">
        <f t="shared" si="41"/>
        <v>2651501</v>
      </c>
      <c r="AK18" s="287">
        <f t="shared" si="41"/>
        <v>72801556</v>
      </c>
      <c r="AL18" s="287">
        <f t="shared" si="41"/>
        <v>42165345</v>
      </c>
      <c r="AM18" s="287">
        <f t="shared" si="41"/>
        <v>28747372</v>
      </c>
      <c r="AN18" s="287">
        <f t="shared" si="41"/>
        <v>2667236</v>
      </c>
      <c r="AO18" s="287">
        <f t="shared" si="41"/>
        <v>73579953</v>
      </c>
      <c r="AP18" s="287">
        <v>41867240</v>
      </c>
      <c r="AQ18" s="287">
        <v>29319013</v>
      </c>
      <c r="AR18" s="287">
        <v>2834042</v>
      </c>
      <c r="AS18" s="287">
        <f t="shared" ref="AS18:BA18" si="42">SUM(AS19:AS23)</f>
        <v>74020295</v>
      </c>
      <c r="AT18" s="287">
        <f t="shared" si="42"/>
        <v>41572307</v>
      </c>
      <c r="AU18" s="287">
        <f t="shared" si="42"/>
        <v>29858761</v>
      </c>
      <c r="AV18" s="287">
        <f t="shared" si="42"/>
        <v>2946877</v>
      </c>
      <c r="AW18" s="287">
        <f t="shared" si="42"/>
        <v>74377945</v>
      </c>
      <c r="AX18" s="287">
        <v>41942606</v>
      </c>
      <c r="AY18" s="287">
        <v>30237304</v>
      </c>
      <c r="AZ18" s="287">
        <v>2966453</v>
      </c>
      <c r="BA18" s="287">
        <f t="shared" si="42"/>
        <v>75146363</v>
      </c>
      <c r="BB18" s="287">
        <v>41878717</v>
      </c>
      <c r="BC18" s="287">
        <v>31408347</v>
      </c>
      <c r="BD18" s="287">
        <v>3040132</v>
      </c>
      <c r="BE18" s="287">
        <f t="shared" ref="BE18:BM18" si="43">SUM(BE19:BE23)</f>
        <v>76327196</v>
      </c>
      <c r="BF18" s="287">
        <f t="shared" si="43"/>
        <v>41420070</v>
      </c>
      <c r="BG18" s="287">
        <f t="shared" si="43"/>
        <v>33757724</v>
      </c>
      <c r="BH18" s="287">
        <f t="shared" si="43"/>
        <v>3209184</v>
      </c>
      <c r="BI18" s="287">
        <f t="shared" si="43"/>
        <v>78386978</v>
      </c>
      <c r="BJ18" s="287">
        <f t="shared" si="43"/>
        <v>46135406</v>
      </c>
      <c r="BK18" s="287">
        <f t="shared" si="43"/>
        <v>32597647</v>
      </c>
      <c r="BL18" s="287">
        <f t="shared" si="43"/>
        <v>3492346</v>
      </c>
      <c r="BM18" s="287">
        <f t="shared" si="43"/>
        <v>82225399</v>
      </c>
      <c r="BN18" s="287">
        <v>46806084</v>
      </c>
      <c r="BO18" s="287">
        <v>41414822</v>
      </c>
      <c r="BP18" s="287">
        <v>3181400</v>
      </c>
      <c r="BQ18" s="287">
        <f t="shared" ref="BQ18" si="44">SUM(BQ19:BQ23)</f>
        <v>91402306</v>
      </c>
      <c r="BR18" s="287">
        <v>47310307</v>
      </c>
      <c r="BS18" s="287">
        <v>40758913</v>
      </c>
      <c r="BT18" s="287">
        <v>3216597</v>
      </c>
      <c r="BU18" s="287">
        <f t="shared" ref="BU18" si="45">SUM(BU19:BU23)</f>
        <v>91285817</v>
      </c>
      <c r="BV18" s="287">
        <v>46767422</v>
      </c>
      <c r="BW18" s="287">
        <v>38085552</v>
      </c>
      <c r="BX18" s="287">
        <v>3324576</v>
      </c>
      <c r="BY18" s="287">
        <f t="shared" ref="BY18" si="46">SUM(BY19:BY23)</f>
        <v>88177550</v>
      </c>
      <c r="BZ18" s="287">
        <v>50983760</v>
      </c>
      <c r="CA18" s="287">
        <v>40780582</v>
      </c>
      <c r="CB18" s="287">
        <v>3249527</v>
      </c>
      <c r="CC18" s="287">
        <f t="shared" ref="CC18" si="47">SUM(CC19:CC23)</f>
        <v>95013869</v>
      </c>
    </row>
    <row r="19" spans="1:81">
      <c r="A19" s="156">
        <v>203</v>
      </c>
      <c r="B19" s="168" t="s">
        <v>193</v>
      </c>
      <c r="C19" s="155">
        <v>20091584</v>
      </c>
      <c r="D19" s="155">
        <v>9564410</v>
      </c>
      <c r="E19" s="176">
        <f t="shared" si="0"/>
        <v>29655994</v>
      </c>
      <c r="F19" s="155">
        <v>19240331</v>
      </c>
      <c r="G19" s="155">
        <v>9775272</v>
      </c>
      <c r="H19" s="176">
        <f t="shared" si="1"/>
        <v>29015603</v>
      </c>
      <c r="I19" s="155">
        <v>19024090</v>
      </c>
      <c r="J19" s="155">
        <v>9981148</v>
      </c>
      <c r="K19" s="176">
        <f t="shared" si="2"/>
        <v>29005238</v>
      </c>
      <c r="L19" s="155">
        <v>18156617</v>
      </c>
      <c r="M19" s="155">
        <v>10595411</v>
      </c>
      <c r="N19" s="179">
        <f t="shared" si="3"/>
        <v>28752028</v>
      </c>
      <c r="O19" s="104">
        <v>18677118</v>
      </c>
      <c r="P19" s="104">
        <v>10940290</v>
      </c>
      <c r="Q19" s="122">
        <f t="shared" si="4"/>
        <v>29617408</v>
      </c>
      <c r="R19" s="287">
        <v>18205212</v>
      </c>
      <c r="S19" s="287">
        <v>11516993</v>
      </c>
      <c r="T19" s="287">
        <v>1833512</v>
      </c>
      <c r="U19" s="122">
        <f t="shared" si="15"/>
        <v>31555717</v>
      </c>
      <c r="V19" s="285">
        <v>17334588</v>
      </c>
      <c r="W19" s="285">
        <v>11549486</v>
      </c>
      <c r="X19" s="285">
        <v>1824526</v>
      </c>
      <c r="Y19" s="286">
        <f t="shared" si="16"/>
        <v>30708600</v>
      </c>
      <c r="Z19" s="287">
        <v>17909120</v>
      </c>
      <c r="AA19" s="287">
        <v>11548698</v>
      </c>
      <c r="AB19" s="287">
        <v>1758795</v>
      </c>
      <c r="AC19" s="469">
        <f t="shared" si="17"/>
        <v>31216613</v>
      </c>
      <c r="AD19" s="287">
        <v>17937229</v>
      </c>
      <c r="AE19" s="287">
        <v>11167048</v>
      </c>
      <c r="AF19" s="287">
        <v>1754114</v>
      </c>
      <c r="AG19" s="469">
        <f t="shared" si="40"/>
        <v>30858391</v>
      </c>
      <c r="AH19" s="287">
        <v>18106025</v>
      </c>
      <c r="AI19" s="287">
        <v>11298010</v>
      </c>
      <c r="AJ19" s="287">
        <v>1748679</v>
      </c>
      <c r="AK19" s="469">
        <f t="shared" ref="AK19:AK56" si="48">AH19+AI19+AJ19</f>
        <v>31152714</v>
      </c>
      <c r="AL19" s="287">
        <v>17659071</v>
      </c>
      <c r="AM19" s="287">
        <v>11793555</v>
      </c>
      <c r="AN19" s="287">
        <v>1771886</v>
      </c>
      <c r="AO19" s="496">
        <f>AL19+AM19+AN19</f>
        <v>31224512</v>
      </c>
      <c r="AP19" s="287">
        <v>17720427</v>
      </c>
      <c r="AQ19" s="287">
        <v>12189341</v>
      </c>
      <c r="AR19" s="287">
        <v>1801568</v>
      </c>
      <c r="AS19" s="496">
        <f>AP19+AQ19+AR19</f>
        <v>31711336</v>
      </c>
      <c r="AT19" s="287">
        <v>17512318</v>
      </c>
      <c r="AU19" s="287">
        <v>12289850</v>
      </c>
      <c r="AV19" s="287">
        <v>1895211</v>
      </c>
      <c r="AW19" s="496">
        <f>AT19+AU19+AV19</f>
        <v>31697379</v>
      </c>
      <c r="AX19" s="287">
        <v>17665836</v>
      </c>
      <c r="AY19" s="287">
        <v>12707657</v>
      </c>
      <c r="AZ19" s="287">
        <v>1899655</v>
      </c>
      <c r="BA19" s="496">
        <f>AX19+AY19+AZ19</f>
        <v>32273148</v>
      </c>
      <c r="BB19" s="287">
        <v>17736322</v>
      </c>
      <c r="BC19" s="287">
        <v>13619987</v>
      </c>
      <c r="BD19" s="287">
        <v>1933471</v>
      </c>
      <c r="BE19" s="496">
        <f>BB19+BC19+BD19</f>
        <v>33289780</v>
      </c>
      <c r="BF19" s="287">
        <v>17808214</v>
      </c>
      <c r="BG19" s="287">
        <v>14403767</v>
      </c>
      <c r="BH19" s="287">
        <v>1935520</v>
      </c>
      <c r="BI19" s="496">
        <f>BF19+BG19+BH19</f>
        <v>34147501</v>
      </c>
      <c r="BJ19" s="287">
        <v>20321141</v>
      </c>
      <c r="BK19" s="287">
        <v>13506821</v>
      </c>
      <c r="BL19" s="287">
        <v>2131673</v>
      </c>
      <c r="BM19" s="496">
        <f>BJ19+BK19+BL19</f>
        <v>35959635</v>
      </c>
      <c r="BN19" s="287">
        <v>20563526</v>
      </c>
      <c r="BO19" s="287">
        <v>17337792</v>
      </c>
      <c r="BP19" s="287">
        <v>2112868</v>
      </c>
      <c r="BQ19" s="496">
        <f>BN19+BO19+BP19</f>
        <v>40014186</v>
      </c>
      <c r="BR19" s="496">
        <v>20677911</v>
      </c>
      <c r="BS19" s="496">
        <v>17776560</v>
      </c>
      <c r="BT19" s="496">
        <v>2104366</v>
      </c>
      <c r="BU19" s="496">
        <f>BR19+BS19+BT19</f>
        <v>40558837</v>
      </c>
      <c r="BV19" s="496">
        <v>20109182</v>
      </c>
      <c r="BW19" s="496">
        <v>16024905</v>
      </c>
      <c r="BX19" s="496">
        <v>2122321</v>
      </c>
      <c r="BY19" s="496">
        <f>BV19+BW19+BX19</f>
        <v>38256408</v>
      </c>
      <c r="BZ19" s="496">
        <v>21953586</v>
      </c>
      <c r="CA19" s="496">
        <v>16310265</v>
      </c>
      <c r="CB19" s="496">
        <v>2111774</v>
      </c>
      <c r="CC19" s="496">
        <f>BZ19+CA19+CB19</f>
        <v>40375625</v>
      </c>
    </row>
    <row r="20" spans="1:81">
      <c r="A20" s="156">
        <v>210</v>
      </c>
      <c r="B20" s="168" t="s">
        <v>194</v>
      </c>
      <c r="C20" s="149">
        <v>18507367</v>
      </c>
      <c r="D20" s="149">
        <v>8649364</v>
      </c>
      <c r="E20" s="176">
        <f t="shared" si="0"/>
        <v>27156731</v>
      </c>
      <c r="F20" s="149">
        <v>17776221</v>
      </c>
      <c r="G20" s="149">
        <v>8641719</v>
      </c>
      <c r="H20" s="176">
        <f t="shared" si="1"/>
        <v>26417940</v>
      </c>
      <c r="I20" s="149">
        <v>17666811</v>
      </c>
      <c r="J20" s="149">
        <v>8777501</v>
      </c>
      <c r="K20" s="176">
        <f t="shared" si="2"/>
        <v>26444312</v>
      </c>
      <c r="L20" s="149">
        <v>17955805</v>
      </c>
      <c r="M20" s="149">
        <v>9366638</v>
      </c>
      <c r="N20" s="179">
        <f t="shared" si="3"/>
        <v>27322443</v>
      </c>
      <c r="O20" s="104">
        <v>18355876</v>
      </c>
      <c r="P20" s="104">
        <v>8527012</v>
      </c>
      <c r="Q20" s="122">
        <f t="shared" si="4"/>
        <v>26882888</v>
      </c>
      <c r="R20" s="287">
        <v>17335079</v>
      </c>
      <c r="S20" s="287">
        <v>9156207</v>
      </c>
      <c r="T20" s="287">
        <v>533100</v>
      </c>
      <c r="U20" s="122">
        <f t="shared" si="15"/>
        <v>27024386</v>
      </c>
      <c r="V20" s="285">
        <v>16314986</v>
      </c>
      <c r="W20" s="285">
        <v>9262895</v>
      </c>
      <c r="X20" s="285">
        <v>602855</v>
      </c>
      <c r="Y20" s="286">
        <f t="shared" si="16"/>
        <v>26180736</v>
      </c>
      <c r="Z20" s="287">
        <v>16101012</v>
      </c>
      <c r="AA20" s="287">
        <v>9306858</v>
      </c>
      <c r="AB20" s="287">
        <v>623415</v>
      </c>
      <c r="AC20" s="469">
        <f t="shared" si="17"/>
        <v>26031285</v>
      </c>
      <c r="AD20" s="287">
        <v>15216270</v>
      </c>
      <c r="AE20" s="287">
        <v>9282830</v>
      </c>
      <c r="AF20" s="287">
        <v>659443</v>
      </c>
      <c r="AG20" s="469">
        <f t="shared" si="40"/>
        <v>25158543</v>
      </c>
      <c r="AH20" s="287">
        <v>15549516</v>
      </c>
      <c r="AI20" s="287">
        <v>9167589</v>
      </c>
      <c r="AJ20" s="287">
        <v>720175</v>
      </c>
      <c r="AK20" s="469">
        <f t="shared" si="48"/>
        <v>25437280</v>
      </c>
      <c r="AL20" s="287">
        <v>15414130</v>
      </c>
      <c r="AM20" s="287">
        <v>9471327</v>
      </c>
      <c r="AN20" s="287">
        <v>688651</v>
      </c>
      <c r="AO20" s="496">
        <f>AL20+AM20+AN20</f>
        <v>25574108</v>
      </c>
      <c r="AP20" s="287">
        <v>15191944</v>
      </c>
      <c r="AQ20" s="287">
        <v>9522839</v>
      </c>
      <c r="AR20" s="287">
        <v>812283</v>
      </c>
      <c r="AS20" s="496">
        <f>AP20+AQ20+AR20</f>
        <v>25527066</v>
      </c>
      <c r="AT20" s="287">
        <v>15169410</v>
      </c>
      <c r="AU20" s="287">
        <v>9963536</v>
      </c>
      <c r="AV20" s="287">
        <v>845635</v>
      </c>
      <c r="AW20" s="496">
        <f>AT20+AU20+AV20</f>
        <v>25978581</v>
      </c>
      <c r="AX20" s="287">
        <v>15417748</v>
      </c>
      <c r="AY20" s="287">
        <v>10304905</v>
      </c>
      <c r="AZ20" s="287">
        <v>859673</v>
      </c>
      <c r="BA20" s="496">
        <f>AX20+AY20+AZ20</f>
        <v>26582326</v>
      </c>
      <c r="BB20" s="287">
        <v>15512752</v>
      </c>
      <c r="BC20" s="287">
        <v>10586430</v>
      </c>
      <c r="BD20" s="287">
        <v>790435</v>
      </c>
      <c r="BE20" s="496">
        <f>BB20+BC20+BD20</f>
        <v>26889617</v>
      </c>
      <c r="BF20" s="287">
        <v>15118204</v>
      </c>
      <c r="BG20" s="287">
        <v>11558218</v>
      </c>
      <c r="BH20" s="287">
        <v>902548</v>
      </c>
      <c r="BI20" s="496">
        <f>BF20+BG20+BH20</f>
        <v>27578970</v>
      </c>
      <c r="BJ20" s="287">
        <v>16322167</v>
      </c>
      <c r="BK20" s="287">
        <v>11346067</v>
      </c>
      <c r="BL20" s="287">
        <v>995798</v>
      </c>
      <c r="BM20" s="496">
        <f>BJ20+BK20+BL20</f>
        <v>28664032</v>
      </c>
      <c r="BN20" s="287">
        <v>16438791</v>
      </c>
      <c r="BO20" s="287">
        <v>14532734</v>
      </c>
      <c r="BP20" s="287">
        <v>862174</v>
      </c>
      <c r="BQ20" s="496">
        <f>BN20+BO20+BP20</f>
        <v>31833699</v>
      </c>
      <c r="BR20" s="496">
        <v>16657265</v>
      </c>
      <c r="BS20" s="496">
        <v>13353109</v>
      </c>
      <c r="BT20" s="496">
        <v>845324</v>
      </c>
      <c r="BU20" s="496">
        <f>BR20+BS20+BT20</f>
        <v>30855698</v>
      </c>
      <c r="BV20" s="496">
        <v>16398342</v>
      </c>
      <c r="BW20" s="496">
        <v>12479017</v>
      </c>
      <c r="BX20" s="496">
        <v>899959</v>
      </c>
      <c r="BY20" s="496">
        <f>BV20+BW20+BX20</f>
        <v>29777318</v>
      </c>
      <c r="BZ20" s="496">
        <v>17818311</v>
      </c>
      <c r="CA20" s="496">
        <v>14220481</v>
      </c>
      <c r="CB20" s="496">
        <v>789027</v>
      </c>
      <c r="CC20" s="496">
        <f>BZ20+CA20+CB20</f>
        <v>32827819</v>
      </c>
    </row>
    <row r="21" spans="1:81">
      <c r="A21" s="156">
        <v>216</v>
      </c>
      <c r="B21" s="168" t="s">
        <v>195</v>
      </c>
      <c r="C21" s="153">
        <v>7793509</v>
      </c>
      <c r="D21" s="153">
        <v>3344967</v>
      </c>
      <c r="E21" s="176">
        <f t="shared" si="0"/>
        <v>11138476</v>
      </c>
      <c r="F21" s="153">
        <v>7828415</v>
      </c>
      <c r="G21" s="153">
        <v>3291405</v>
      </c>
      <c r="H21" s="176">
        <f t="shared" si="1"/>
        <v>11119820</v>
      </c>
      <c r="I21" s="153">
        <v>7620947</v>
      </c>
      <c r="J21" s="153">
        <v>3214060</v>
      </c>
      <c r="K21" s="176">
        <f t="shared" si="2"/>
        <v>10835007</v>
      </c>
      <c r="L21" s="153">
        <v>7253978</v>
      </c>
      <c r="M21" s="153">
        <v>3234924</v>
      </c>
      <c r="N21" s="179">
        <f t="shared" si="3"/>
        <v>10488902</v>
      </c>
      <c r="O21" s="104">
        <v>7148062</v>
      </c>
      <c r="P21" s="104">
        <v>3170447</v>
      </c>
      <c r="Q21" s="122">
        <f t="shared" si="4"/>
        <v>10318509</v>
      </c>
      <c r="R21" s="287">
        <v>6712333</v>
      </c>
      <c r="S21" s="287">
        <v>3283898</v>
      </c>
      <c r="T21" s="287">
        <v>123722</v>
      </c>
      <c r="U21" s="122">
        <f t="shared" si="15"/>
        <v>10119953</v>
      </c>
      <c r="V21" s="285">
        <v>6585314</v>
      </c>
      <c r="W21" s="285">
        <v>3384452</v>
      </c>
      <c r="X21" s="285">
        <v>128534</v>
      </c>
      <c r="Y21" s="286">
        <f t="shared" si="16"/>
        <v>10098300</v>
      </c>
      <c r="Z21" s="287">
        <v>6675795</v>
      </c>
      <c r="AA21" s="287">
        <v>3797132</v>
      </c>
      <c r="AB21" s="287">
        <v>120245</v>
      </c>
      <c r="AC21" s="469">
        <f t="shared" si="17"/>
        <v>10593172</v>
      </c>
      <c r="AD21" s="287">
        <v>6449019</v>
      </c>
      <c r="AE21" s="287">
        <v>4114217</v>
      </c>
      <c r="AF21" s="287">
        <v>120274</v>
      </c>
      <c r="AG21" s="469">
        <f t="shared" si="40"/>
        <v>10683510</v>
      </c>
      <c r="AH21" s="287">
        <v>6179964</v>
      </c>
      <c r="AI21" s="287">
        <v>4043337</v>
      </c>
      <c r="AJ21" s="287">
        <v>113526</v>
      </c>
      <c r="AK21" s="469">
        <f t="shared" si="48"/>
        <v>10336827</v>
      </c>
      <c r="AL21" s="287">
        <v>6315725</v>
      </c>
      <c r="AM21" s="287">
        <v>4340487</v>
      </c>
      <c r="AN21" s="287">
        <v>126798</v>
      </c>
      <c r="AO21" s="496">
        <f>AL21+AM21+AN21</f>
        <v>10783010</v>
      </c>
      <c r="AP21" s="287">
        <v>6154352</v>
      </c>
      <c r="AQ21" s="287">
        <v>4264485</v>
      </c>
      <c r="AR21" s="287">
        <v>137305</v>
      </c>
      <c r="AS21" s="496">
        <f>AP21+AQ21+AR21</f>
        <v>10556142</v>
      </c>
      <c r="AT21" s="287">
        <v>6117353</v>
      </c>
      <c r="AU21" s="287">
        <v>4265616</v>
      </c>
      <c r="AV21" s="287">
        <v>129879</v>
      </c>
      <c r="AW21" s="496">
        <f>AT21+AU21+AV21</f>
        <v>10512848</v>
      </c>
      <c r="AX21" s="287">
        <v>6112711</v>
      </c>
      <c r="AY21" s="287">
        <v>3812119</v>
      </c>
      <c r="AZ21" s="287">
        <v>121197</v>
      </c>
      <c r="BA21" s="496">
        <f>AX21+AY21+AZ21</f>
        <v>10046027</v>
      </c>
      <c r="BB21" s="287">
        <v>5872059</v>
      </c>
      <c r="BC21" s="287">
        <v>3750893</v>
      </c>
      <c r="BD21" s="287">
        <v>138886</v>
      </c>
      <c r="BE21" s="496">
        <f>BB21+BC21+BD21</f>
        <v>9761838</v>
      </c>
      <c r="BF21" s="287">
        <v>5719352</v>
      </c>
      <c r="BG21" s="287">
        <v>4097897</v>
      </c>
      <c r="BH21" s="287">
        <v>137722</v>
      </c>
      <c r="BI21" s="496">
        <f>BF21+BG21+BH21</f>
        <v>9954971</v>
      </c>
      <c r="BJ21" s="287">
        <v>6122426</v>
      </c>
      <c r="BK21" s="287">
        <v>4331484</v>
      </c>
      <c r="BL21" s="287">
        <v>140242</v>
      </c>
      <c r="BM21" s="496">
        <f>BJ21+BK21+BL21</f>
        <v>10594152</v>
      </c>
      <c r="BN21" s="287">
        <v>6267127</v>
      </c>
      <c r="BO21" s="287">
        <v>5112043</v>
      </c>
      <c r="BP21" s="287">
        <v>121651</v>
      </c>
      <c r="BQ21" s="496">
        <f>BN21+BO21+BP21</f>
        <v>11500821</v>
      </c>
      <c r="BR21" s="496">
        <v>6357720</v>
      </c>
      <c r="BS21" s="496">
        <v>5534958</v>
      </c>
      <c r="BT21" s="496">
        <v>197799</v>
      </c>
      <c r="BU21" s="496">
        <f>BR21+BS21+BT21</f>
        <v>12090477</v>
      </c>
      <c r="BV21" s="496">
        <v>6487919</v>
      </c>
      <c r="BW21" s="496">
        <v>5684210</v>
      </c>
      <c r="BX21" s="496">
        <v>219591</v>
      </c>
      <c r="BY21" s="496">
        <f>BV21+BW21+BX21</f>
        <v>12391720</v>
      </c>
      <c r="BZ21" s="496">
        <v>7075484</v>
      </c>
      <c r="CA21" s="496">
        <v>6041792</v>
      </c>
      <c r="CB21" s="496">
        <v>230435</v>
      </c>
      <c r="CC21" s="496">
        <f>BZ21+CA21+CB21</f>
        <v>13347711</v>
      </c>
    </row>
    <row r="22" spans="1:81">
      <c r="A22" s="156">
        <v>381</v>
      </c>
      <c r="B22" s="168" t="s">
        <v>196</v>
      </c>
      <c r="C22" s="153">
        <v>1768052</v>
      </c>
      <c r="D22" s="153">
        <v>1320616</v>
      </c>
      <c r="E22" s="176">
        <f t="shared" si="0"/>
        <v>3088668</v>
      </c>
      <c r="F22" s="153">
        <v>1730689</v>
      </c>
      <c r="G22" s="153">
        <v>1362722</v>
      </c>
      <c r="H22" s="176">
        <f t="shared" si="1"/>
        <v>3093411</v>
      </c>
      <c r="I22" s="153">
        <v>1652446</v>
      </c>
      <c r="J22" s="153">
        <v>1325868</v>
      </c>
      <c r="K22" s="176">
        <f t="shared" si="2"/>
        <v>2978314</v>
      </c>
      <c r="L22" s="153">
        <v>1631199</v>
      </c>
      <c r="M22" s="153">
        <v>1322567</v>
      </c>
      <c r="N22" s="179">
        <f t="shared" si="3"/>
        <v>2953766</v>
      </c>
      <c r="O22" s="104">
        <v>1470634</v>
      </c>
      <c r="P22" s="104">
        <v>1241009</v>
      </c>
      <c r="Q22" s="122">
        <f t="shared" si="4"/>
        <v>2711643</v>
      </c>
      <c r="R22" s="287">
        <v>1449380</v>
      </c>
      <c r="S22" s="287">
        <v>1254750</v>
      </c>
      <c r="T22" s="287">
        <v>50252</v>
      </c>
      <c r="U22" s="122">
        <f t="shared" si="15"/>
        <v>2754382</v>
      </c>
      <c r="V22" s="285">
        <v>1419569</v>
      </c>
      <c r="W22" s="285">
        <v>1242087</v>
      </c>
      <c r="X22" s="285">
        <v>51423</v>
      </c>
      <c r="Y22" s="286">
        <f t="shared" si="16"/>
        <v>2713079</v>
      </c>
      <c r="Z22" s="287">
        <v>1438918</v>
      </c>
      <c r="AA22" s="287">
        <v>1324005</v>
      </c>
      <c r="AB22" s="287">
        <v>51461</v>
      </c>
      <c r="AC22" s="469">
        <f t="shared" si="17"/>
        <v>2814384</v>
      </c>
      <c r="AD22" s="287">
        <v>1371530</v>
      </c>
      <c r="AE22" s="287">
        <v>1304488</v>
      </c>
      <c r="AF22" s="287">
        <v>54375</v>
      </c>
      <c r="AG22" s="469">
        <f t="shared" si="40"/>
        <v>2730393</v>
      </c>
      <c r="AH22" s="287">
        <v>1315439</v>
      </c>
      <c r="AI22" s="287">
        <v>1399665</v>
      </c>
      <c r="AJ22" s="287">
        <v>37151</v>
      </c>
      <c r="AK22" s="469">
        <f t="shared" si="48"/>
        <v>2752255</v>
      </c>
      <c r="AL22" s="287">
        <v>1359976</v>
      </c>
      <c r="AM22" s="287">
        <v>1418255</v>
      </c>
      <c r="AN22" s="287">
        <v>36475</v>
      </c>
      <c r="AO22" s="496">
        <f>AL22+AM22+AN22</f>
        <v>2814706</v>
      </c>
      <c r="AP22" s="287">
        <v>1380727</v>
      </c>
      <c r="AQ22" s="287">
        <v>1467176</v>
      </c>
      <c r="AR22" s="287">
        <v>42435</v>
      </c>
      <c r="AS22" s="496">
        <f>AP22+AQ22+AR22</f>
        <v>2890338</v>
      </c>
      <c r="AT22" s="287">
        <v>1367094</v>
      </c>
      <c r="AU22" s="287">
        <v>1424395</v>
      </c>
      <c r="AV22" s="287">
        <v>41285</v>
      </c>
      <c r="AW22" s="496">
        <f>AT22+AU22+AV22</f>
        <v>2832774</v>
      </c>
      <c r="AX22" s="287">
        <v>1365414</v>
      </c>
      <c r="AY22" s="287">
        <v>1464936</v>
      </c>
      <c r="AZ22" s="287">
        <v>55322</v>
      </c>
      <c r="BA22" s="496">
        <f>AX22+AY22+AZ22</f>
        <v>2885672</v>
      </c>
      <c r="BB22" s="287">
        <v>1357479</v>
      </c>
      <c r="BC22" s="287">
        <v>1479634</v>
      </c>
      <c r="BD22" s="287">
        <v>35143</v>
      </c>
      <c r="BE22" s="496">
        <f>BB22+BC22+BD22</f>
        <v>2872256</v>
      </c>
      <c r="BF22" s="287">
        <v>1358025</v>
      </c>
      <c r="BG22" s="287">
        <v>1561655</v>
      </c>
      <c r="BH22" s="287">
        <v>29164</v>
      </c>
      <c r="BI22" s="496">
        <f>BF22+BG22+BH22</f>
        <v>2948844</v>
      </c>
      <c r="BJ22" s="287">
        <v>1648180</v>
      </c>
      <c r="BK22" s="287">
        <v>1405275</v>
      </c>
      <c r="BL22" s="287">
        <v>31679</v>
      </c>
      <c r="BM22" s="496">
        <f>BJ22+BK22+BL22</f>
        <v>3085134</v>
      </c>
      <c r="BN22" s="287">
        <v>1736730</v>
      </c>
      <c r="BO22" s="287">
        <v>1806194</v>
      </c>
      <c r="BP22" s="287">
        <v>35071</v>
      </c>
      <c r="BQ22" s="496">
        <f>BN22+BO22+BP22</f>
        <v>3577995</v>
      </c>
      <c r="BR22" s="496">
        <v>1746359</v>
      </c>
      <c r="BS22" s="496">
        <v>1806163</v>
      </c>
      <c r="BT22" s="496">
        <v>35657</v>
      </c>
      <c r="BU22" s="496">
        <f>BR22+BS22+BT22</f>
        <v>3588179</v>
      </c>
      <c r="BV22" s="496">
        <v>1744614</v>
      </c>
      <c r="BW22" s="496">
        <v>1577774</v>
      </c>
      <c r="BX22" s="496">
        <v>34882</v>
      </c>
      <c r="BY22" s="496">
        <f>BV22+BW22+BX22</f>
        <v>3357270</v>
      </c>
      <c r="BZ22" s="496">
        <v>1952605</v>
      </c>
      <c r="CA22" s="496">
        <v>1719849</v>
      </c>
      <c r="CB22" s="496">
        <v>37996</v>
      </c>
      <c r="CC22" s="496">
        <f>BZ22+CA22+CB22</f>
        <v>3710450</v>
      </c>
    </row>
    <row r="23" spans="1:81">
      <c r="A23" s="156">
        <v>382</v>
      </c>
      <c r="B23" s="168" t="s">
        <v>197</v>
      </c>
      <c r="C23" s="153">
        <v>1739271</v>
      </c>
      <c r="D23" s="153">
        <v>1582754</v>
      </c>
      <c r="E23" s="176">
        <f t="shared" si="0"/>
        <v>3322025</v>
      </c>
      <c r="F23" s="153">
        <v>1740864</v>
      </c>
      <c r="G23" s="153">
        <v>1554073</v>
      </c>
      <c r="H23" s="176">
        <f t="shared" si="1"/>
        <v>3294937</v>
      </c>
      <c r="I23" s="153">
        <v>1648287</v>
      </c>
      <c r="J23" s="153">
        <v>1507485</v>
      </c>
      <c r="K23" s="176">
        <f t="shared" si="2"/>
        <v>3155772</v>
      </c>
      <c r="L23" s="153">
        <v>1687653</v>
      </c>
      <c r="M23" s="153">
        <v>1644693</v>
      </c>
      <c r="N23" s="179">
        <f t="shared" si="3"/>
        <v>3332346</v>
      </c>
      <c r="O23" s="104">
        <v>1591949</v>
      </c>
      <c r="P23" s="104">
        <v>1505410</v>
      </c>
      <c r="Q23" s="122">
        <f t="shared" si="4"/>
        <v>3097359</v>
      </c>
      <c r="R23" s="287">
        <v>1587907</v>
      </c>
      <c r="S23" s="287">
        <v>1621381</v>
      </c>
      <c r="T23" s="287">
        <v>25432</v>
      </c>
      <c r="U23" s="122">
        <f t="shared" si="15"/>
        <v>3234720</v>
      </c>
      <c r="V23" s="285">
        <v>1499480</v>
      </c>
      <c r="W23" s="285">
        <v>1563249</v>
      </c>
      <c r="X23" s="285">
        <v>26072</v>
      </c>
      <c r="Y23" s="286">
        <f t="shared" si="16"/>
        <v>3088801</v>
      </c>
      <c r="Z23" s="287">
        <v>1530554</v>
      </c>
      <c r="AA23" s="287">
        <v>1614344</v>
      </c>
      <c r="AB23" s="287">
        <v>27315</v>
      </c>
      <c r="AC23" s="469">
        <f t="shared" si="17"/>
        <v>3172213</v>
      </c>
      <c r="AD23" s="287">
        <v>1494809</v>
      </c>
      <c r="AE23" s="287">
        <v>1662318</v>
      </c>
      <c r="AF23" s="287">
        <v>28255</v>
      </c>
      <c r="AG23" s="469">
        <f t="shared" si="40"/>
        <v>3185382</v>
      </c>
      <c r="AH23" s="287">
        <v>1434563</v>
      </c>
      <c r="AI23" s="287">
        <v>1655947</v>
      </c>
      <c r="AJ23" s="287">
        <v>31970</v>
      </c>
      <c r="AK23" s="469">
        <f t="shared" si="48"/>
        <v>3122480</v>
      </c>
      <c r="AL23" s="287">
        <v>1416443</v>
      </c>
      <c r="AM23" s="287">
        <v>1723748</v>
      </c>
      <c r="AN23" s="287">
        <v>43426</v>
      </c>
      <c r="AO23" s="496">
        <f>AL23+AM23+AN23</f>
        <v>3183617</v>
      </c>
      <c r="AP23" s="287">
        <v>1419790</v>
      </c>
      <c r="AQ23" s="287">
        <v>1875172</v>
      </c>
      <c r="AR23" s="287">
        <v>40451</v>
      </c>
      <c r="AS23" s="496">
        <f>AP23+AQ23+AR23</f>
        <v>3335413</v>
      </c>
      <c r="AT23" s="287">
        <v>1406132</v>
      </c>
      <c r="AU23" s="287">
        <v>1915364</v>
      </c>
      <c r="AV23" s="287">
        <v>34867</v>
      </c>
      <c r="AW23" s="496">
        <f>AT23+AU23+AV23</f>
        <v>3356363</v>
      </c>
      <c r="AX23" s="287">
        <v>1380897</v>
      </c>
      <c r="AY23" s="287">
        <v>1947687</v>
      </c>
      <c r="AZ23" s="287">
        <v>30606</v>
      </c>
      <c r="BA23" s="496">
        <f>AX23+AY23+AZ23</f>
        <v>3359190</v>
      </c>
      <c r="BB23" s="287">
        <v>1400105</v>
      </c>
      <c r="BC23" s="287">
        <v>1971403</v>
      </c>
      <c r="BD23" s="287">
        <v>142197</v>
      </c>
      <c r="BE23" s="496">
        <f>BB23+BC23+BD23</f>
        <v>3513705</v>
      </c>
      <c r="BF23" s="287">
        <v>1416275</v>
      </c>
      <c r="BG23" s="287">
        <v>2136187</v>
      </c>
      <c r="BH23" s="287">
        <v>204230</v>
      </c>
      <c r="BI23" s="496">
        <f>BF23+BG23+BH23</f>
        <v>3756692</v>
      </c>
      <c r="BJ23" s="287">
        <v>1721492</v>
      </c>
      <c r="BK23" s="287">
        <v>2008000</v>
      </c>
      <c r="BL23" s="287">
        <v>192954</v>
      </c>
      <c r="BM23" s="496">
        <f>BJ23+BK23+BL23</f>
        <v>3922446</v>
      </c>
      <c r="BN23" s="287">
        <v>1799910</v>
      </c>
      <c r="BO23" s="287">
        <v>2626059</v>
      </c>
      <c r="BP23" s="287">
        <v>49636</v>
      </c>
      <c r="BQ23" s="496">
        <f>BN23+BO23+BP23</f>
        <v>4475605</v>
      </c>
      <c r="BR23" s="496">
        <v>1871052</v>
      </c>
      <c r="BS23" s="496">
        <v>2288123</v>
      </c>
      <c r="BT23" s="496">
        <v>33451</v>
      </c>
      <c r="BU23" s="496">
        <f>BR23+BS23+BT23</f>
        <v>4192626</v>
      </c>
      <c r="BV23" s="496">
        <v>2027365</v>
      </c>
      <c r="BW23" s="496">
        <v>2319646</v>
      </c>
      <c r="BX23" s="496">
        <v>47823</v>
      </c>
      <c r="BY23" s="496">
        <f>BV23+BW23+BX23</f>
        <v>4394834</v>
      </c>
      <c r="BZ23" s="496">
        <v>2183774</v>
      </c>
      <c r="CA23" s="496">
        <v>2488195</v>
      </c>
      <c r="CB23" s="496">
        <v>80295</v>
      </c>
      <c r="CC23" s="496">
        <f>BZ23+CA23+CB23</f>
        <v>4752264</v>
      </c>
    </row>
    <row r="24" spans="1:81">
      <c r="A24" s="135"/>
      <c r="B24" s="169" t="s">
        <v>198</v>
      </c>
      <c r="C24" s="153">
        <v>23218474</v>
      </c>
      <c r="D24" s="153">
        <v>14966180</v>
      </c>
      <c r="E24" s="176">
        <f t="shared" si="0"/>
        <v>38184654</v>
      </c>
      <c r="F24" s="153">
        <v>23216393</v>
      </c>
      <c r="G24" s="153">
        <v>14715981</v>
      </c>
      <c r="H24" s="176">
        <f t="shared" si="1"/>
        <v>37932374</v>
      </c>
      <c r="I24" s="153">
        <v>21394113</v>
      </c>
      <c r="J24" s="153">
        <v>13897595</v>
      </c>
      <c r="K24" s="176">
        <f t="shared" si="2"/>
        <v>35291708</v>
      </c>
      <c r="L24" s="153">
        <v>20946794</v>
      </c>
      <c r="M24" s="153">
        <v>14391888</v>
      </c>
      <c r="N24" s="179">
        <f t="shared" si="3"/>
        <v>35338682</v>
      </c>
      <c r="O24" s="104">
        <v>20286920</v>
      </c>
      <c r="P24" s="104">
        <v>13483355</v>
      </c>
      <c r="Q24" s="122">
        <f t="shared" si="4"/>
        <v>33770275</v>
      </c>
      <c r="R24" s="287">
        <f t="shared" ref="R24:Y24" si="49">SUM(R25:R30)</f>
        <v>19705912</v>
      </c>
      <c r="S24" s="287">
        <f t="shared" si="49"/>
        <v>14014700</v>
      </c>
      <c r="T24" s="287">
        <f t="shared" si="49"/>
        <v>574461</v>
      </c>
      <c r="U24" s="287">
        <f t="shared" si="49"/>
        <v>34295073</v>
      </c>
      <c r="V24" s="287">
        <f t="shared" si="49"/>
        <v>19181624</v>
      </c>
      <c r="W24" s="287">
        <f t="shared" si="49"/>
        <v>14314110</v>
      </c>
      <c r="X24" s="287">
        <f t="shared" si="49"/>
        <v>534916</v>
      </c>
      <c r="Y24" s="287">
        <f t="shared" si="49"/>
        <v>34030650</v>
      </c>
      <c r="Z24" s="287">
        <f t="shared" ref="Z24:AF24" si="50">SUM(Z25:Z30)</f>
        <v>18399204</v>
      </c>
      <c r="AA24" s="287">
        <f t="shared" si="50"/>
        <v>14506901</v>
      </c>
      <c r="AB24" s="287">
        <f t="shared" si="50"/>
        <v>630616</v>
      </c>
      <c r="AC24" s="287">
        <f t="shared" si="50"/>
        <v>33536721</v>
      </c>
      <c r="AD24" s="287">
        <f t="shared" si="50"/>
        <v>17452574</v>
      </c>
      <c r="AE24" s="287">
        <f t="shared" si="50"/>
        <v>14278692</v>
      </c>
      <c r="AF24" s="287">
        <f t="shared" si="50"/>
        <v>724481</v>
      </c>
      <c r="AG24" s="469">
        <f t="shared" si="40"/>
        <v>32455747</v>
      </c>
      <c r="AH24" s="287">
        <f t="shared" ref="AH24:AO24" si="51">SUM(AH25:AH30)</f>
        <v>16715919</v>
      </c>
      <c r="AI24" s="287">
        <f t="shared" si="51"/>
        <v>14899650</v>
      </c>
      <c r="AJ24" s="287">
        <f t="shared" si="51"/>
        <v>740676</v>
      </c>
      <c r="AK24" s="287">
        <f t="shared" si="51"/>
        <v>32356245</v>
      </c>
      <c r="AL24" s="287">
        <f t="shared" si="51"/>
        <v>16938838</v>
      </c>
      <c r="AM24" s="287">
        <f t="shared" si="51"/>
        <v>15826906</v>
      </c>
      <c r="AN24" s="287">
        <f t="shared" si="51"/>
        <v>807158</v>
      </c>
      <c r="AO24" s="287">
        <f t="shared" si="51"/>
        <v>33572902</v>
      </c>
      <c r="AP24" s="287">
        <v>16470729</v>
      </c>
      <c r="AQ24" s="287">
        <v>16831177</v>
      </c>
      <c r="AR24" s="287">
        <v>827113</v>
      </c>
      <c r="AS24" s="287">
        <f t="shared" ref="AS24:BA24" si="52">SUM(AS25:AS30)</f>
        <v>34129019</v>
      </c>
      <c r="AT24" s="287">
        <f t="shared" si="52"/>
        <v>16030134</v>
      </c>
      <c r="AU24" s="287">
        <f t="shared" si="52"/>
        <v>17370355</v>
      </c>
      <c r="AV24" s="287">
        <f t="shared" si="52"/>
        <v>877385</v>
      </c>
      <c r="AW24" s="287">
        <f t="shared" si="52"/>
        <v>34277874</v>
      </c>
      <c r="AX24" s="287">
        <v>16076946</v>
      </c>
      <c r="AY24" s="287">
        <v>17514766</v>
      </c>
      <c r="AZ24" s="287">
        <v>865513</v>
      </c>
      <c r="BA24" s="287">
        <f t="shared" si="52"/>
        <v>34457225</v>
      </c>
      <c r="BB24" s="287">
        <v>16073696</v>
      </c>
      <c r="BC24" s="287">
        <v>17555322</v>
      </c>
      <c r="BD24" s="287">
        <v>847027</v>
      </c>
      <c r="BE24" s="287">
        <f t="shared" ref="BE24:BM24" si="53">SUM(BE25:BE30)</f>
        <v>34476045</v>
      </c>
      <c r="BF24" s="287">
        <f t="shared" si="53"/>
        <v>16075294</v>
      </c>
      <c r="BG24" s="287">
        <f t="shared" si="53"/>
        <v>18484515</v>
      </c>
      <c r="BH24" s="287">
        <f t="shared" si="53"/>
        <v>764522</v>
      </c>
      <c r="BI24" s="287">
        <f t="shared" si="53"/>
        <v>35324331</v>
      </c>
      <c r="BJ24" s="287">
        <f t="shared" si="53"/>
        <v>20472304</v>
      </c>
      <c r="BK24" s="287">
        <f t="shared" si="53"/>
        <v>18696890</v>
      </c>
      <c r="BL24" s="287">
        <f t="shared" si="53"/>
        <v>794545</v>
      </c>
      <c r="BM24" s="287">
        <f t="shared" si="53"/>
        <v>39963739</v>
      </c>
      <c r="BN24" s="287">
        <v>20714784</v>
      </c>
      <c r="BO24" s="287">
        <v>20446733</v>
      </c>
      <c r="BP24" s="287">
        <v>753589</v>
      </c>
      <c r="BQ24" s="287">
        <f t="shared" ref="BQ24" si="54">SUM(BQ25:BQ30)</f>
        <v>41915106</v>
      </c>
      <c r="BR24" s="287">
        <v>20534319</v>
      </c>
      <c r="BS24" s="287">
        <v>21087539</v>
      </c>
      <c r="BT24" s="287">
        <v>816418</v>
      </c>
      <c r="BU24" s="287">
        <f t="shared" ref="BU24" si="55">SUM(BU25:BU30)</f>
        <v>42438276</v>
      </c>
      <c r="BV24" s="287">
        <v>20869607</v>
      </c>
      <c r="BW24" s="287">
        <v>19518612</v>
      </c>
      <c r="BX24" s="287">
        <v>1116207</v>
      </c>
      <c r="BY24" s="287">
        <f t="shared" ref="BY24" si="56">SUM(BY25:BY30)</f>
        <v>41504426</v>
      </c>
      <c r="BZ24" s="287">
        <v>22773406</v>
      </c>
      <c r="CA24" s="287">
        <v>20957313</v>
      </c>
      <c r="CB24" s="287">
        <v>963033</v>
      </c>
      <c r="CC24" s="287">
        <f t="shared" ref="CC24" si="57">SUM(CC25:CC30)</f>
        <v>44693752</v>
      </c>
    </row>
    <row r="25" spans="1:81">
      <c r="A25" s="157">
        <v>213</v>
      </c>
      <c r="B25" s="157" t="s">
        <v>660</v>
      </c>
      <c r="C25" s="157">
        <v>3277319</v>
      </c>
      <c r="D25" s="157">
        <v>2330934</v>
      </c>
      <c r="E25" s="176">
        <f t="shared" si="0"/>
        <v>5608253</v>
      </c>
      <c r="F25" s="157">
        <v>3269749</v>
      </c>
      <c r="G25" s="157">
        <v>2130562</v>
      </c>
      <c r="H25" s="176">
        <f t="shared" si="1"/>
        <v>5400311</v>
      </c>
      <c r="I25" s="157">
        <v>2942754</v>
      </c>
      <c r="J25" s="157">
        <v>1830872</v>
      </c>
      <c r="K25" s="176">
        <f t="shared" si="2"/>
        <v>4773626</v>
      </c>
      <c r="L25" s="157">
        <v>2840715</v>
      </c>
      <c r="M25" s="157">
        <v>1782299</v>
      </c>
      <c r="N25" s="179">
        <f t="shared" si="3"/>
        <v>4623014</v>
      </c>
      <c r="O25" s="104">
        <v>2640710</v>
      </c>
      <c r="P25" s="104">
        <v>1683047</v>
      </c>
      <c r="Q25" s="122">
        <f t="shared" si="4"/>
        <v>4323757</v>
      </c>
      <c r="R25" s="287">
        <v>2538213</v>
      </c>
      <c r="S25" s="287">
        <v>1761825</v>
      </c>
      <c r="T25" s="287">
        <v>54865</v>
      </c>
      <c r="U25" s="122">
        <f t="shared" si="15"/>
        <v>4354903</v>
      </c>
      <c r="V25" s="285">
        <v>2553241</v>
      </c>
      <c r="W25" s="285">
        <v>1836140</v>
      </c>
      <c r="X25" s="285">
        <v>54089</v>
      </c>
      <c r="Y25" s="286">
        <f t="shared" si="16"/>
        <v>4443470</v>
      </c>
      <c r="Z25" s="287">
        <v>2534459</v>
      </c>
      <c r="AA25" s="287">
        <v>1794599</v>
      </c>
      <c r="AB25" s="287">
        <v>56679</v>
      </c>
      <c r="AC25" s="469">
        <f t="shared" si="17"/>
        <v>4385737</v>
      </c>
      <c r="AD25" s="287">
        <v>2359499</v>
      </c>
      <c r="AE25" s="287">
        <v>1823617</v>
      </c>
      <c r="AF25" s="287">
        <v>58900</v>
      </c>
      <c r="AG25" s="469">
        <f t="shared" si="40"/>
        <v>4242016</v>
      </c>
      <c r="AH25" s="287">
        <v>2239931</v>
      </c>
      <c r="AI25" s="287">
        <v>1807387</v>
      </c>
      <c r="AJ25" s="287">
        <v>60819</v>
      </c>
      <c r="AK25" s="469">
        <f t="shared" si="48"/>
        <v>4108137</v>
      </c>
      <c r="AL25" s="287">
        <v>2151919</v>
      </c>
      <c r="AM25" s="287">
        <v>2070256</v>
      </c>
      <c r="AN25" s="287">
        <v>67331</v>
      </c>
      <c r="AO25" s="496">
        <f t="shared" ref="AO25:AO30" si="58">AL25+AM25+AN25</f>
        <v>4289506</v>
      </c>
      <c r="AP25" s="287">
        <v>2068242</v>
      </c>
      <c r="AQ25" s="287">
        <v>2270184</v>
      </c>
      <c r="AR25" s="287">
        <v>76218</v>
      </c>
      <c r="AS25" s="496">
        <f t="shared" ref="AS25:AS30" si="59">AP25+AQ25+AR25</f>
        <v>4414644</v>
      </c>
      <c r="AT25" s="287">
        <v>2031993</v>
      </c>
      <c r="AU25" s="287">
        <v>2298073</v>
      </c>
      <c r="AV25" s="287">
        <v>84855</v>
      </c>
      <c r="AW25" s="496">
        <f t="shared" ref="AW25:AW30" si="60">AT25+AU25+AV25</f>
        <v>4414921</v>
      </c>
      <c r="AX25" s="287">
        <v>2045769</v>
      </c>
      <c r="AY25" s="287">
        <v>2272574</v>
      </c>
      <c r="AZ25" s="287">
        <v>96310</v>
      </c>
      <c r="BA25" s="496">
        <f t="shared" ref="BA25:BA30" si="61">AX25+AY25+AZ25</f>
        <v>4414653</v>
      </c>
      <c r="BB25" s="287">
        <v>2055287</v>
      </c>
      <c r="BC25" s="287">
        <v>2265326</v>
      </c>
      <c r="BD25" s="287">
        <v>75898</v>
      </c>
      <c r="BE25" s="496">
        <f t="shared" ref="BE25:BE30" si="62">BB25+BC25+BD25</f>
        <v>4396511</v>
      </c>
      <c r="BF25" s="287">
        <v>2120697</v>
      </c>
      <c r="BG25" s="287">
        <v>2266862</v>
      </c>
      <c r="BH25" s="287">
        <v>85088</v>
      </c>
      <c r="BI25" s="496">
        <f t="shared" ref="BI25:BI30" si="63">BF25+BG25+BH25</f>
        <v>4472647</v>
      </c>
      <c r="BJ25" s="287">
        <v>2646216</v>
      </c>
      <c r="BK25" s="287">
        <v>2132516</v>
      </c>
      <c r="BL25" s="287">
        <v>85757</v>
      </c>
      <c r="BM25" s="496">
        <f t="shared" ref="BM25:BM30" si="64">BJ25+BK25+BL25</f>
        <v>4864489</v>
      </c>
      <c r="BN25" s="287">
        <v>2685827</v>
      </c>
      <c r="BO25" s="287">
        <v>2604669</v>
      </c>
      <c r="BP25" s="287">
        <v>122993</v>
      </c>
      <c r="BQ25" s="496">
        <f t="shared" ref="BQ25:BQ30" si="65">BN25+BO25+BP25</f>
        <v>5413489</v>
      </c>
      <c r="BR25" s="496">
        <v>2605099</v>
      </c>
      <c r="BS25" s="496">
        <v>2509951</v>
      </c>
      <c r="BT25" s="496">
        <v>111086</v>
      </c>
      <c r="BU25" s="496">
        <f t="shared" ref="BU25:BU30" si="66">BR25+BS25+BT25</f>
        <v>5226136</v>
      </c>
      <c r="BV25" s="496">
        <v>2641844</v>
      </c>
      <c r="BW25" s="496">
        <v>2468731</v>
      </c>
      <c r="BX25" s="496">
        <v>120656</v>
      </c>
      <c r="BY25" s="496">
        <f t="shared" ref="BY25:BY30" si="67">BV25+BW25+BX25</f>
        <v>5231231</v>
      </c>
      <c r="BZ25" s="496">
        <v>2942587</v>
      </c>
      <c r="CA25" s="496">
        <v>2763144</v>
      </c>
      <c r="CB25" s="496">
        <v>102580</v>
      </c>
      <c r="CC25" s="496">
        <f t="shared" ref="CC25:CC30" si="68">BZ25+CA25+CB25</f>
        <v>5808311</v>
      </c>
    </row>
    <row r="26" spans="1:81">
      <c r="A26" s="156">
        <v>215</v>
      </c>
      <c r="B26" s="168" t="s">
        <v>661</v>
      </c>
      <c r="C26" s="155">
        <v>6931424</v>
      </c>
      <c r="D26" s="155">
        <v>3884818</v>
      </c>
      <c r="E26" s="176">
        <f t="shared" si="0"/>
        <v>10816242</v>
      </c>
      <c r="F26" s="155">
        <v>6802774</v>
      </c>
      <c r="G26" s="155">
        <v>3876938</v>
      </c>
      <c r="H26" s="176">
        <f t="shared" si="1"/>
        <v>10679712</v>
      </c>
      <c r="I26" s="155">
        <v>6229090</v>
      </c>
      <c r="J26" s="155">
        <v>3766798</v>
      </c>
      <c r="K26" s="176">
        <f t="shared" si="2"/>
        <v>9995888</v>
      </c>
      <c r="L26" s="155">
        <v>5975027</v>
      </c>
      <c r="M26" s="155">
        <v>4009535</v>
      </c>
      <c r="N26" s="179">
        <f t="shared" si="3"/>
        <v>9984562</v>
      </c>
      <c r="O26" s="104">
        <v>5880994</v>
      </c>
      <c r="P26" s="104">
        <v>3809292</v>
      </c>
      <c r="Q26" s="122">
        <f t="shared" si="4"/>
        <v>9690286</v>
      </c>
      <c r="R26" s="287">
        <v>5452440</v>
      </c>
      <c r="S26" s="287">
        <v>3919948</v>
      </c>
      <c r="T26" s="287">
        <v>175216</v>
      </c>
      <c r="U26" s="122">
        <f t="shared" si="15"/>
        <v>9547604</v>
      </c>
      <c r="V26" s="285">
        <v>5268020</v>
      </c>
      <c r="W26" s="285">
        <v>4053706</v>
      </c>
      <c r="X26" s="285">
        <v>174825</v>
      </c>
      <c r="Y26" s="286">
        <f t="shared" si="16"/>
        <v>9496551</v>
      </c>
      <c r="Z26" s="287">
        <v>5331324</v>
      </c>
      <c r="AA26" s="287">
        <v>4171863</v>
      </c>
      <c r="AB26" s="287">
        <v>173227</v>
      </c>
      <c r="AC26" s="469">
        <f t="shared" si="17"/>
        <v>9676414</v>
      </c>
      <c r="AD26" s="287">
        <v>5038276</v>
      </c>
      <c r="AE26" s="287">
        <v>4036508</v>
      </c>
      <c r="AF26" s="287">
        <v>213696</v>
      </c>
      <c r="AG26" s="469">
        <f t="shared" si="40"/>
        <v>9288480</v>
      </c>
      <c r="AH26" s="287">
        <v>4818021</v>
      </c>
      <c r="AI26" s="287">
        <v>4164182</v>
      </c>
      <c r="AJ26" s="287">
        <v>202408</v>
      </c>
      <c r="AK26" s="469">
        <f t="shared" si="48"/>
        <v>9184611</v>
      </c>
      <c r="AL26" s="287">
        <v>4841339</v>
      </c>
      <c r="AM26" s="287">
        <v>4445068</v>
      </c>
      <c r="AN26" s="287">
        <v>203661</v>
      </c>
      <c r="AO26" s="496">
        <f t="shared" si="58"/>
        <v>9490068</v>
      </c>
      <c r="AP26" s="287">
        <v>4519721</v>
      </c>
      <c r="AQ26" s="287">
        <v>4846636</v>
      </c>
      <c r="AR26" s="287">
        <v>204963</v>
      </c>
      <c r="AS26" s="496">
        <f t="shared" si="59"/>
        <v>9571320</v>
      </c>
      <c r="AT26" s="287">
        <v>4370111</v>
      </c>
      <c r="AU26" s="287">
        <v>5289080</v>
      </c>
      <c r="AV26" s="287">
        <v>215892</v>
      </c>
      <c r="AW26" s="496">
        <f t="shared" si="60"/>
        <v>9875083</v>
      </c>
      <c r="AX26" s="287">
        <v>4359957</v>
      </c>
      <c r="AY26" s="287">
        <v>5366396</v>
      </c>
      <c r="AZ26" s="287">
        <v>235176</v>
      </c>
      <c r="BA26" s="496">
        <f t="shared" si="61"/>
        <v>9961529</v>
      </c>
      <c r="BB26" s="287">
        <v>4478311</v>
      </c>
      <c r="BC26" s="287">
        <v>5347708</v>
      </c>
      <c r="BD26" s="287">
        <v>233207</v>
      </c>
      <c r="BE26" s="496">
        <f t="shared" si="62"/>
        <v>10059226</v>
      </c>
      <c r="BF26" s="287">
        <v>4545531</v>
      </c>
      <c r="BG26" s="287">
        <v>5831138</v>
      </c>
      <c r="BH26" s="287">
        <v>159266</v>
      </c>
      <c r="BI26" s="496">
        <f t="shared" si="63"/>
        <v>10535935</v>
      </c>
      <c r="BJ26" s="287">
        <v>5953821</v>
      </c>
      <c r="BK26" s="287">
        <v>5364323</v>
      </c>
      <c r="BL26" s="287">
        <v>144076</v>
      </c>
      <c r="BM26" s="496">
        <f t="shared" si="64"/>
        <v>11462220</v>
      </c>
      <c r="BN26" s="287">
        <v>5983365</v>
      </c>
      <c r="BO26" s="287">
        <v>5590400</v>
      </c>
      <c r="BP26" s="287">
        <v>94946</v>
      </c>
      <c r="BQ26" s="496">
        <f t="shared" si="65"/>
        <v>11668711</v>
      </c>
      <c r="BR26" s="496">
        <v>5863924</v>
      </c>
      <c r="BS26" s="496">
        <v>5938640</v>
      </c>
      <c r="BT26" s="496">
        <v>99309</v>
      </c>
      <c r="BU26" s="496">
        <f t="shared" si="66"/>
        <v>11901873</v>
      </c>
      <c r="BV26" s="496">
        <v>5957107</v>
      </c>
      <c r="BW26" s="496">
        <v>5375805</v>
      </c>
      <c r="BX26" s="496">
        <v>115103</v>
      </c>
      <c r="BY26" s="496">
        <f t="shared" si="67"/>
        <v>11448015</v>
      </c>
      <c r="BZ26" s="496">
        <v>6543865</v>
      </c>
      <c r="CA26" s="496">
        <v>5746975</v>
      </c>
      <c r="CB26" s="496">
        <v>131459</v>
      </c>
      <c r="CC26" s="496">
        <f t="shared" si="68"/>
        <v>12422299</v>
      </c>
    </row>
    <row r="27" spans="1:81">
      <c r="A27" s="156">
        <v>218</v>
      </c>
      <c r="B27" s="168" t="s">
        <v>200</v>
      </c>
      <c r="C27" s="153">
        <v>3382156</v>
      </c>
      <c r="D27" s="153">
        <v>2115568</v>
      </c>
      <c r="E27" s="176">
        <f t="shared" si="0"/>
        <v>5497724</v>
      </c>
      <c r="F27" s="153">
        <v>3323140</v>
      </c>
      <c r="G27" s="153">
        <v>2150950</v>
      </c>
      <c r="H27" s="176">
        <f t="shared" si="1"/>
        <v>5474090</v>
      </c>
      <c r="I27" s="153">
        <v>3174213</v>
      </c>
      <c r="J27" s="153">
        <v>2159813</v>
      </c>
      <c r="K27" s="176">
        <f t="shared" si="2"/>
        <v>5334026</v>
      </c>
      <c r="L27" s="153">
        <v>3163917</v>
      </c>
      <c r="M27" s="153">
        <v>2281507</v>
      </c>
      <c r="N27" s="179">
        <f t="shared" si="3"/>
        <v>5445424</v>
      </c>
      <c r="O27" s="104">
        <v>3041670</v>
      </c>
      <c r="P27" s="104">
        <v>2211257</v>
      </c>
      <c r="Q27" s="122">
        <f t="shared" si="4"/>
        <v>5252927</v>
      </c>
      <c r="R27" s="287">
        <v>3055202</v>
      </c>
      <c r="S27" s="287">
        <v>2237286</v>
      </c>
      <c r="T27" s="287">
        <v>65777</v>
      </c>
      <c r="U27" s="122">
        <f t="shared" si="15"/>
        <v>5358265</v>
      </c>
      <c r="V27" s="285">
        <v>2998732</v>
      </c>
      <c r="W27" s="285">
        <v>2261348</v>
      </c>
      <c r="X27" s="285">
        <v>64947</v>
      </c>
      <c r="Y27" s="286">
        <f t="shared" si="16"/>
        <v>5325027</v>
      </c>
      <c r="Z27" s="287">
        <v>3001755</v>
      </c>
      <c r="AA27" s="287">
        <v>2284971</v>
      </c>
      <c r="AB27" s="287">
        <v>70720</v>
      </c>
      <c r="AC27" s="469">
        <f t="shared" si="17"/>
        <v>5357446</v>
      </c>
      <c r="AD27" s="287">
        <v>2901145</v>
      </c>
      <c r="AE27" s="287">
        <v>2212789</v>
      </c>
      <c r="AF27" s="287">
        <v>49077</v>
      </c>
      <c r="AG27" s="469">
        <f t="shared" si="40"/>
        <v>5163011</v>
      </c>
      <c r="AH27" s="287">
        <v>2834284</v>
      </c>
      <c r="AI27" s="287">
        <v>2276468</v>
      </c>
      <c r="AJ27" s="287">
        <v>67342</v>
      </c>
      <c r="AK27" s="469">
        <f t="shared" si="48"/>
        <v>5178094</v>
      </c>
      <c r="AL27" s="287">
        <v>2923445</v>
      </c>
      <c r="AM27" s="287">
        <v>2511145</v>
      </c>
      <c r="AN27" s="287">
        <v>83767</v>
      </c>
      <c r="AO27" s="496">
        <f t="shared" si="58"/>
        <v>5518357</v>
      </c>
      <c r="AP27" s="287">
        <v>2913410</v>
      </c>
      <c r="AQ27" s="287">
        <v>2634609</v>
      </c>
      <c r="AR27" s="287">
        <v>72561</v>
      </c>
      <c r="AS27" s="496">
        <f t="shared" si="59"/>
        <v>5620580</v>
      </c>
      <c r="AT27" s="287">
        <v>2934651</v>
      </c>
      <c r="AU27" s="287">
        <v>2598752</v>
      </c>
      <c r="AV27" s="287">
        <v>70900</v>
      </c>
      <c r="AW27" s="496">
        <f t="shared" si="60"/>
        <v>5604303</v>
      </c>
      <c r="AX27" s="287">
        <v>2959864</v>
      </c>
      <c r="AY27" s="287">
        <v>2758638</v>
      </c>
      <c r="AZ27" s="287">
        <v>89804</v>
      </c>
      <c r="BA27" s="496">
        <f t="shared" si="61"/>
        <v>5808306</v>
      </c>
      <c r="BB27" s="287">
        <v>2899968</v>
      </c>
      <c r="BC27" s="287">
        <v>2678157</v>
      </c>
      <c r="BD27" s="287">
        <v>107185</v>
      </c>
      <c r="BE27" s="496">
        <f t="shared" si="62"/>
        <v>5685310</v>
      </c>
      <c r="BF27" s="287">
        <v>2868203</v>
      </c>
      <c r="BG27" s="287">
        <v>2889431</v>
      </c>
      <c r="BH27" s="287">
        <v>78769</v>
      </c>
      <c r="BI27" s="496">
        <f t="shared" si="63"/>
        <v>5836403</v>
      </c>
      <c r="BJ27" s="287">
        <v>3460207</v>
      </c>
      <c r="BK27" s="287">
        <v>2746737</v>
      </c>
      <c r="BL27" s="287">
        <v>98103</v>
      </c>
      <c r="BM27" s="496">
        <f t="shared" si="64"/>
        <v>6305047</v>
      </c>
      <c r="BN27" s="287">
        <v>3494802</v>
      </c>
      <c r="BO27" s="287">
        <v>2639797</v>
      </c>
      <c r="BP27" s="287">
        <v>106665</v>
      </c>
      <c r="BQ27" s="496">
        <f t="shared" si="65"/>
        <v>6241264</v>
      </c>
      <c r="BR27" s="496">
        <v>3492809</v>
      </c>
      <c r="BS27" s="496">
        <v>3045546</v>
      </c>
      <c r="BT27" s="496">
        <v>131110</v>
      </c>
      <c r="BU27" s="496">
        <f t="shared" si="66"/>
        <v>6669465</v>
      </c>
      <c r="BV27" s="496">
        <v>3562294</v>
      </c>
      <c r="BW27" s="496">
        <v>2861068</v>
      </c>
      <c r="BX27" s="496">
        <v>128580</v>
      </c>
      <c r="BY27" s="496">
        <f t="shared" si="67"/>
        <v>6551942</v>
      </c>
      <c r="BZ27" s="496">
        <v>3760018</v>
      </c>
      <c r="CA27" s="496">
        <v>3052987</v>
      </c>
      <c r="CB27" s="496">
        <v>101463</v>
      </c>
      <c r="CC27" s="496">
        <f t="shared" si="68"/>
        <v>6914468</v>
      </c>
    </row>
    <row r="28" spans="1:81">
      <c r="A28" s="156">
        <v>220</v>
      </c>
      <c r="B28" s="168" t="s">
        <v>201</v>
      </c>
      <c r="C28" s="153">
        <v>3911947</v>
      </c>
      <c r="D28" s="153">
        <v>2347344</v>
      </c>
      <c r="E28" s="176">
        <f t="shared" si="0"/>
        <v>6259291</v>
      </c>
      <c r="F28" s="153">
        <v>3810291</v>
      </c>
      <c r="G28" s="153">
        <v>2167274</v>
      </c>
      <c r="H28" s="176">
        <f t="shared" si="1"/>
        <v>5977565</v>
      </c>
      <c r="I28" s="153">
        <v>3470487</v>
      </c>
      <c r="J28" s="153">
        <v>2041098</v>
      </c>
      <c r="K28" s="176">
        <f t="shared" si="2"/>
        <v>5511585</v>
      </c>
      <c r="L28" s="153">
        <v>3452550</v>
      </c>
      <c r="M28" s="153">
        <v>2160672</v>
      </c>
      <c r="N28" s="179">
        <f t="shared" si="3"/>
        <v>5613222</v>
      </c>
      <c r="O28" s="104">
        <v>3379189</v>
      </c>
      <c r="P28" s="104">
        <v>1993918</v>
      </c>
      <c r="Q28" s="122">
        <f t="shared" si="4"/>
        <v>5373107</v>
      </c>
      <c r="R28" s="287">
        <v>3383726</v>
      </c>
      <c r="S28" s="287">
        <v>1993108</v>
      </c>
      <c r="T28" s="287">
        <v>111559</v>
      </c>
      <c r="U28" s="122">
        <f t="shared" si="15"/>
        <v>5488393</v>
      </c>
      <c r="V28" s="285">
        <v>3285725</v>
      </c>
      <c r="W28" s="285">
        <v>2104990</v>
      </c>
      <c r="X28" s="285">
        <v>110865</v>
      </c>
      <c r="Y28" s="286">
        <f t="shared" si="16"/>
        <v>5501580</v>
      </c>
      <c r="Z28" s="287">
        <v>2746609</v>
      </c>
      <c r="AA28" s="287">
        <v>2217100</v>
      </c>
      <c r="AB28" s="287">
        <v>179903</v>
      </c>
      <c r="AC28" s="469">
        <f t="shared" si="17"/>
        <v>5143612</v>
      </c>
      <c r="AD28" s="287">
        <v>2621185</v>
      </c>
      <c r="AE28" s="287">
        <v>2148521</v>
      </c>
      <c r="AF28" s="287">
        <v>217002</v>
      </c>
      <c r="AG28" s="469">
        <f t="shared" si="40"/>
        <v>4986708</v>
      </c>
      <c r="AH28" s="287">
        <v>2544319</v>
      </c>
      <c r="AI28" s="287">
        <v>2237407</v>
      </c>
      <c r="AJ28" s="287">
        <v>184935</v>
      </c>
      <c r="AK28" s="469">
        <f t="shared" si="48"/>
        <v>4966661</v>
      </c>
      <c r="AL28" s="287">
        <v>2656521</v>
      </c>
      <c r="AM28" s="287">
        <v>2268352</v>
      </c>
      <c r="AN28" s="287">
        <v>235035</v>
      </c>
      <c r="AO28" s="496">
        <f t="shared" si="58"/>
        <v>5159908</v>
      </c>
      <c r="AP28" s="287">
        <v>2621660</v>
      </c>
      <c r="AQ28" s="287">
        <v>2354898</v>
      </c>
      <c r="AR28" s="287">
        <v>259051</v>
      </c>
      <c r="AS28" s="496">
        <f t="shared" si="59"/>
        <v>5235609</v>
      </c>
      <c r="AT28" s="287">
        <v>2593239</v>
      </c>
      <c r="AU28" s="287">
        <v>2486698</v>
      </c>
      <c r="AV28" s="287">
        <v>247275</v>
      </c>
      <c r="AW28" s="496">
        <f t="shared" si="60"/>
        <v>5327212</v>
      </c>
      <c r="AX28" s="287">
        <v>2603792</v>
      </c>
      <c r="AY28" s="287">
        <v>2538303</v>
      </c>
      <c r="AZ28" s="287">
        <v>221846</v>
      </c>
      <c r="BA28" s="496">
        <f t="shared" si="61"/>
        <v>5363941</v>
      </c>
      <c r="BB28" s="287">
        <v>2600872</v>
      </c>
      <c r="BC28" s="287">
        <v>2521607</v>
      </c>
      <c r="BD28" s="287">
        <v>195948</v>
      </c>
      <c r="BE28" s="496">
        <f t="shared" si="62"/>
        <v>5318427</v>
      </c>
      <c r="BF28" s="287">
        <v>2554086</v>
      </c>
      <c r="BG28" s="287">
        <v>2935285</v>
      </c>
      <c r="BH28" s="287">
        <v>195301</v>
      </c>
      <c r="BI28" s="496">
        <f t="shared" si="63"/>
        <v>5684672</v>
      </c>
      <c r="BJ28" s="287">
        <v>3589577</v>
      </c>
      <c r="BK28" s="287">
        <v>3216625</v>
      </c>
      <c r="BL28" s="287">
        <v>267408</v>
      </c>
      <c r="BM28" s="496">
        <f t="shared" si="64"/>
        <v>7073610</v>
      </c>
      <c r="BN28" s="287">
        <v>3746147</v>
      </c>
      <c r="BO28" s="287">
        <v>3727358</v>
      </c>
      <c r="BP28" s="287">
        <v>217807</v>
      </c>
      <c r="BQ28" s="496">
        <f t="shared" si="65"/>
        <v>7691312</v>
      </c>
      <c r="BR28" s="496">
        <v>3678190</v>
      </c>
      <c r="BS28" s="496">
        <v>4303572</v>
      </c>
      <c r="BT28" s="496">
        <v>273553</v>
      </c>
      <c r="BU28" s="496">
        <f t="shared" si="66"/>
        <v>8255315</v>
      </c>
      <c r="BV28" s="496">
        <v>3764587</v>
      </c>
      <c r="BW28" s="496">
        <v>3976380</v>
      </c>
      <c r="BX28" s="496">
        <v>539686</v>
      </c>
      <c r="BY28" s="496">
        <f t="shared" si="67"/>
        <v>8280653</v>
      </c>
      <c r="BZ28" s="496">
        <v>4178380</v>
      </c>
      <c r="CA28" s="496">
        <v>3827816</v>
      </c>
      <c r="CB28" s="496">
        <v>427533</v>
      </c>
      <c r="CC28" s="496">
        <f t="shared" si="68"/>
        <v>8433729</v>
      </c>
    </row>
    <row r="29" spans="1:81">
      <c r="A29" s="156">
        <v>228</v>
      </c>
      <c r="B29" s="168" t="s">
        <v>238</v>
      </c>
      <c r="C29" s="155">
        <v>3232418</v>
      </c>
      <c r="D29" s="155">
        <v>2194279</v>
      </c>
      <c r="E29" s="176">
        <f t="shared" si="0"/>
        <v>5426697</v>
      </c>
      <c r="F29" s="155">
        <v>3702635</v>
      </c>
      <c r="G29" s="155">
        <v>2421999</v>
      </c>
      <c r="H29" s="176">
        <f t="shared" si="1"/>
        <v>6124634</v>
      </c>
      <c r="I29" s="155">
        <v>3385723</v>
      </c>
      <c r="J29" s="155">
        <v>2410800</v>
      </c>
      <c r="K29" s="176">
        <f t="shared" si="2"/>
        <v>5796523</v>
      </c>
      <c r="L29" s="155">
        <v>3276851</v>
      </c>
      <c r="M29" s="155">
        <v>2397166</v>
      </c>
      <c r="N29" s="179">
        <f t="shared" si="3"/>
        <v>5674017</v>
      </c>
      <c r="O29" s="104">
        <v>3184484</v>
      </c>
      <c r="P29" s="104">
        <v>2178644</v>
      </c>
      <c r="Q29" s="122">
        <f t="shared" si="4"/>
        <v>5363128</v>
      </c>
      <c r="R29" s="287">
        <v>3130455</v>
      </c>
      <c r="S29" s="287">
        <v>2445238</v>
      </c>
      <c r="T29" s="287">
        <v>120644</v>
      </c>
      <c r="U29" s="122">
        <f t="shared" si="15"/>
        <v>5696337</v>
      </c>
      <c r="V29" s="285">
        <v>2975424</v>
      </c>
      <c r="W29" s="285">
        <v>2389266</v>
      </c>
      <c r="X29" s="285">
        <v>100005</v>
      </c>
      <c r="Y29" s="286">
        <f t="shared" si="16"/>
        <v>5464695</v>
      </c>
      <c r="Z29" s="287">
        <v>2559227</v>
      </c>
      <c r="AA29" s="287">
        <v>2315255</v>
      </c>
      <c r="AB29" s="287">
        <v>120337</v>
      </c>
      <c r="AC29" s="469">
        <f t="shared" si="17"/>
        <v>4994819</v>
      </c>
      <c r="AD29" s="287">
        <v>2477433</v>
      </c>
      <c r="AE29" s="287">
        <v>2340002</v>
      </c>
      <c r="AF29" s="287">
        <v>148619</v>
      </c>
      <c r="AG29" s="469">
        <f t="shared" si="40"/>
        <v>4966054</v>
      </c>
      <c r="AH29" s="287">
        <v>2269581</v>
      </c>
      <c r="AI29" s="287">
        <v>2580247</v>
      </c>
      <c r="AJ29" s="287">
        <v>167323</v>
      </c>
      <c r="AK29" s="469">
        <f t="shared" si="48"/>
        <v>5017151</v>
      </c>
      <c r="AL29" s="287">
        <v>2400462</v>
      </c>
      <c r="AM29" s="287">
        <v>2677103</v>
      </c>
      <c r="AN29" s="287">
        <v>176685</v>
      </c>
      <c r="AO29" s="496">
        <f t="shared" si="58"/>
        <v>5254250</v>
      </c>
      <c r="AP29" s="287">
        <v>2394836</v>
      </c>
      <c r="AQ29" s="287">
        <v>2861449</v>
      </c>
      <c r="AR29" s="287">
        <v>169176</v>
      </c>
      <c r="AS29" s="496">
        <f t="shared" si="59"/>
        <v>5425461</v>
      </c>
      <c r="AT29" s="287">
        <v>2251802</v>
      </c>
      <c r="AU29" s="287">
        <v>2835834</v>
      </c>
      <c r="AV29" s="287">
        <v>194051</v>
      </c>
      <c r="AW29" s="496">
        <f t="shared" si="60"/>
        <v>5281687</v>
      </c>
      <c r="AX29" s="287">
        <v>2315590</v>
      </c>
      <c r="AY29" s="287">
        <v>2691502</v>
      </c>
      <c r="AZ29" s="287">
        <v>175087</v>
      </c>
      <c r="BA29" s="496">
        <f t="shared" si="61"/>
        <v>5182179</v>
      </c>
      <c r="BB29" s="287">
        <v>2331650</v>
      </c>
      <c r="BC29" s="287">
        <v>2820678</v>
      </c>
      <c r="BD29" s="287">
        <v>172882</v>
      </c>
      <c r="BE29" s="496">
        <f t="shared" si="62"/>
        <v>5325210</v>
      </c>
      <c r="BF29" s="287">
        <v>2308535</v>
      </c>
      <c r="BG29" s="287">
        <v>2927912</v>
      </c>
      <c r="BH29" s="287">
        <v>164178</v>
      </c>
      <c r="BI29" s="496">
        <f t="shared" si="63"/>
        <v>5400625</v>
      </c>
      <c r="BJ29" s="287">
        <v>2975148</v>
      </c>
      <c r="BK29" s="287">
        <v>3397056</v>
      </c>
      <c r="BL29" s="287">
        <v>164144</v>
      </c>
      <c r="BM29" s="496">
        <f t="shared" si="64"/>
        <v>6536348</v>
      </c>
      <c r="BN29" s="287">
        <v>3005702</v>
      </c>
      <c r="BO29" s="287">
        <v>3726226</v>
      </c>
      <c r="BP29" s="287">
        <v>169082</v>
      </c>
      <c r="BQ29" s="496">
        <f t="shared" si="65"/>
        <v>6901010</v>
      </c>
      <c r="BR29" s="496">
        <v>3122594</v>
      </c>
      <c r="BS29" s="496">
        <v>3443446</v>
      </c>
      <c r="BT29" s="496">
        <v>172511</v>
      </c>
      <c r="BU29" s="496">
        <f t="shared" si="66"/>
        <v>6738551</v>
      </c>
      <c r="BV29" s="496">
        <v>3205932</v>
      </c>
      <c r="BW29" s="496">
        <v>3139870</v>
      </c>
      <c r="BX29" s="496">
        <v>193417</v>
      </c>
      <c r="BY29" s="496">
        <f t="shared" si="67"/>
        <v>6539219</v>
      </c>
      <c r="BZ29" s="496">
        <v>3526421</v>
      </c>
      <c r="CA29" s="496">
        <v>3761601</v>
      </c>
      <c r="CB29" s="496">
        <v>177440</v>
      </c>
      <c r="CC29" s="496">
        <f t="shared" si="68"/>
        <v>7465462</v>
      </c>
    </row>
    <row r="30" spans="1:81">
      <c r="A30" s="156">
        <v>365</v>
      </c>
      <c r="B30" s="168" t="s">
        <v>226</v>
      </c>
      <c r="C30" s="155">
        <v>2483210</v>
      </c>
      <c r="D30" s="155">
        <v>2093237</v>
      </c>
      <c r="E30" s="176">
        <f t="shared" si="0"/>
        <v>4576447</v>
      </c>
      <c r="F30" s="155">
        <v>2307804</v>
      </c>
      <c r="G30" s="155">
        <v>1968258</v>
      </c>
      <c r="H30" s="176">
        <f t="shared" si="1"/>
        <v>4276062</v>
      </c>
      <c r="I30" s="155">
        <v>2191846</v>
      </c>
      <c r="J30" s="155">
        <v>1688214</v>
      </c>
      <c r="K30" s="176">
        <f t="shared" si="2"/>
        <v>3880060</v>
      </c>
      <c r="L30" s="155">
        <v>2237734</v>
      </c>
      <c r="M30" s="155">
        <v>1760709</v>
      </c>
      <c r="N30" s="179">
        <f t="shared" si="3"/>
        <v>3998443</v>
      </c>
      <c r="O30" s="104">
        <v>2159873</v>
      </c>
      <c r="P30" s="104">
        <v>1607197</v>
      </c>
      <c r="Q30" s="122">
        <f t="shared" si="4"/>
        <v>3767070</v>
      </c>
      <c r="R30" s="287">
        <v>2145876</v>
      </c>
      <c r="S30" s="287">
        <v>1657295</v>
      </c>
      <c r="T30" s="287">
        <v>46400</v>
      </c>
      <c r="U30" s="122">
        <f t="shared" si="15"/>
        <v>3849571</v>
      </c>
      <c r="V30" s="285">
        <v>2100482</v>
      </c>
      <c r="W30" s="285">
        <v>1668660</v>
      </c>
      <c r="X30" s="285">
        <v>30185</v>
      </c>
      <c r="Y30" s="286">
        <f t="shared" si="16"/>
        <v>3799327</v>
      </c>
      <c r="Z30" s="287">
        <v>2225830</v>
      </c>
      <c r="AA30" s="287">
        <v>1723113</v>
      </c>
      <c r="AB30" s="287">
        <v>29750</v>
      </c>
      <c r="AC30" s="469">
        <f t="shared" si="17"/>
        <v>3978693</v>
      </c>
      <c r="AD30" s="287">
        <v>2055036</v>
      </c>
      <c r="AE30" s="287">
        <v>1717255</v>
      </c>
      <c r="AF30" s="287">
        <v>37187</v>
      </c>
      <c r="AG30" s="469">
        <f t="shared" si="40"/>
        <v>3809478</v>
      </c>
      <c r="AH30" s="287">
        <v>2009783</v>
      </c>
      <c r="AI30" s="287">
        <v>1833959</v>
      </c>
      <c r="AJ30" s="287">
        <v>57849</v>
      </c>
      <c r="AK30" s="469">
        <f t="shared" si="48"/>
        <v>3901591</v>
      </c>
      <c r="AL30" s="287">
        <v>1965152</v>
      </c>
      <c r="AM30" s="287">
        <v>1854982</v>
      </c>
      <c r="AN30" s="287">
        <v>40679</v>
      </c>
      <c r="AO30" s="496">
        <f t="shared" si="58"/>
        <v>3860813</v>
      </c>
      <c r="AP30" s="287">
        <v>1952860</v>
      </c>
      <c r="AQ30" s="287">
        <v>1863401</v>
      </c>
      <c r="AR30" s="287">
        <v>45144</v>
      </c>
      <c r="AS30" s="496">
        <f t="shared" si="59"/>
        <v>3861405</v>
      </c>
      <c r="AT30" s="287">
        <v>1848338</v>
      </c>
      <c r="AU30" s="287">
        <v>1861918</v>
      </c>
      <c r="AV30" s="287">
        <v>64412</v>
      </c>
      <c r="AW30" s="496">
        <f t="shared" si="60"/>
        <v>3774668</v>
      </c>
      <c r="AX30" s="287">
        <v>1791974</v>
      </c>
      <c r="AY30" s="287">
        <v>1887353</v>
      </c>
      <c r="AZ30" s="287">
        <v>47290</v>
      </c>
      <c r="BA30" s="496">
        <f t="shared" si="61"/>
        <v>3726617</v>
      </c>
      <c r="BB30" s="287">
        <v>1707608</v>
      </c>
      <c r="BC30" s="287">
        <v>1921846</v>
      </c>
      <c r="BD30" s="287">
        <v>61907</v>
      </c>
      <c r="BE30" s="496">
        <f t="shared" si="62"/>
        <v>3691361</v>
      </c>
      <c r="BF30" s="287">
        <v>1678242</v>
      </c>
      <c r="BG30" s="287">
        <v>1633887</v>
      </c>
      <c r="BH30" s="287">
        <v>81920</v>
      </c>
      <c r="BI30" s="496">
        <f t="shared" si="63"/>
        <v>3394049</v>
      </c>
      <c r="BJ30" s="287">
        <v>1847335</v>
      </c>
      <c r="BK30" s="287">
        <v>1839633</v>
      </c>
      <c r="BL30" s="287">
        <v>35057</v>
      </c>
      <c r="BM30" s="496">
        <f t="shared" si="64"/>
        <v>3722025</v>
      </c>
      <c r="BN30" s="287">
        <v>1798941</v>
      </c>
      <c r="BO30" s="287">
        <v>2158283</v>
      </c>
      <c r="BP30" s="287">
        <v>42096</v>
      </c>
      <c r="BQ30" s="496">
        <f t="shared" si="65"/>
        <v>3999320</v>
      </c>
      <c r="BR30" s="496">
        <v>1771703</v>
      </c>
      <c r="BS30" s="496">
        <v>1846384</v>
      </c>
      <c r="BT30" s="496">
        <v>28849</v>
      </c>
      <c r="BU30" s="496">
        <f t="shared" si="66"/>
        <v>3646936</v>
      </c>
      <c r="BV30" s="496">
        <v>1737843</v>
      </c>
      <c r="BW30" s="496">
        <v>1696758</v>
      </c>
      <c r="BX30" s="496">
        <v>18765</v>
      </c>
      <c r="BY30" s="496">
        <f t="shared" si="67"/>
        <v>3453366</v>
      </c>
      <c r="BZ30" s="496">
        <v>1822135</v>
      </c>
      <c r="CA30" s="496">
        <v>1804790</v>
      </c>
      <c r="CB30" s="496">
        <v>22558</v>
      </c>
      <c r="CC30" s="496">
        <f t="shared" si="68"/>
        <v>3649483</v>
      </c>
    </row>
    <row r="31" spans="1:81">
      <c r="A31" s="135"/>
      <c r="B31" s="169" t="s">
        <v>202</v>
      </c>
      <c r="C31" s="153">
        <v>38577924</v>
      </c>
      <c r="D31" s="153">
        <v>24747780</v>
      </c>
      <c r="E31" s="176">
        <f t="shared" si="0"/>
        <v>63325704</v>
      </c>
      <c r="F31" s="153">
        <v>38147334</v>
      </c>
      <c r="G31" s="153">
        <v>25736504</v>
      </c>
      <c r="H31" s="176">
        <f t="shared" si="1"/>
        <v>63883838</v>
      </c>
      <c r="I31" s="153">
        <v>37661251</v>
      </c>
      <c r="J31" s="153">
        <v>23639769</v>
      </c>
      <c r="K31" s="176">
        <f t="shared" si="2"/>
        <v>61301020</v>
      </c>
      <c r="L31" s="153">
        <v>38029892</v>
      </c>
      <c r="M31" s="153">
        <v>24339989</v>
      </c>
      <c r="N31" s="179">
        <f t="shared" si="3"/>
        <v>62369881</v>
      </c>
      <c r="O31" s="104">
        <v>36947026</v>
      </c>
      <c r="P31" s="104">
        <v>23682950</v>
      </c>
      <c r="Q31" s="122">
        <f t="shared" si="4"/>
        <v>60629976</v>
      </c>
      <c r="R31" s="287">
        <f t="shared" ref="R31:Y31" si="69">SUM(R32:R35)</f>
        <v>36322540</v>
      </c>
      <c r="S31" s="287">
        <f t="shared" si="69"/>
        <v>24315471</v>
      </c>
      <c r="T31" s="287">
        <f t="shared" si="69"/>
        <v>1175225</v>
      </c>
      <c r="U31" s="287">
        <f t="shared" si="69"/>
        <v>61813236</v>
      </c>
      <c r="V31" s="287">
        <f t="shared" si="69"/>
        <v>36328499</v>
      </c>
      <c r="W31" s="287">
        <f t="shared" si="69"/>
        <v>24620108</v>
      </c>
      <c r="X31" s="287">
        <f t="shared" si="69"/>
        <v>1208732</v>
      </c>
      <c r="Y31" s="287">
        <f t="shared" si="69"/>
        <v>62157339</v>
      </c>
      <c r="Z31" s="287">
        <f t="shared" ref="Z31:AF31" si="70">SUM(Z32:Z35)</f>
        <v>36252815</v>
      </c>
      <c r="AA31" s="287">
        <f t="shared" si="70"/>
        <v>25285330</v>
      </c>
      <c r="AB31" s="287">
        <f t="shared" si="70"/>
        <v>1356311</v>
      </c>
      <c r="AC31" s="287">
        <f t="shared" si="70"/>
        <v>62894456</v>
      </c>
      <c r="AD31" s="287">
        <f t="shared" si="70"/>
        <v>35061624</v>
      </c>
      <c r="AE31" s="287">
        <f t="shared" si="70"/>
        <v>24581954</v>
      </c>
      <c r="AF31" s="287">
        <f t="shared" si="70"/>
        <v>1379414</v>
      </c>
      <c r="AG31" s="469">
        <f t="shared" si="40"/>
        <v>61022992</v>
      </c>
      <c r="AH31" s="287">
        <f t="shared" ref="AH31:AO31" si="71">SUM(AH32:AH35)</f>
        <v>33803223</v>
      </c>
      <c r="AI31" s="287">
        <f t="shared" si="71"/>
        <v>24673831</v>
      </c>
      <c r="AJ31" s="287">
        <f t="shared" si="71"/>
        <v>1364358</v>
      </c>
      <c r="AK31" s="287">
        <f t="shared" si="71"/>
        <v>59841412</v>
      </c>
      <c r="AL31" s="287">
        <f t="shared" si="71"/>
        <v>35584221</v>
      </c>
      <c r="AM31" s="287">
        <f t="shared" si="71"/>
        <v>26668407</v>
      </c>
      <c r="AN31" s="287">
        <f t="shared" si="71"/>
        <v>1403195</v>
      </c>
      <c r="AO31" s="287">
        <f t="shared" si="71"/>
        <v>63655823</v>
      </c>
      <c r="AP31" s="287">
        <v>36452956</v>
      </c>
      <c r="AQ31" s="287">
        <v>28528927</v>
      </c>
      <c r="AR31" s="287">
        <v>1394506</v>
      </c>
      <c r="AS31" s="287">
        <f t="shared" ref="AS31:BA31" si="72">SUM(AS32:AS35)</f>
        <v>66376389</v>
      </c>
      <c r="AT31" s="287">
        <f t="shared" si="72"/>
        <v>36178771</v>
      </c>
      <c r="AU31" s="287">
        <f t="shared" si="72"/>
        <v>28773475</v>
      </c>
      <c r="AV31" s="287">
        <f t="shared" si="72"/>
        <v>1458135</v>
      </c>
      <c r="AW31" s="287">
        <f t="shared" si="72"/>
        <v>66410381</v>
      </c>
      <c r="AX31" s="287">
        <v>37042365</v>
      </c>
      <c r="AY31" s="287">
        <v>29202662</v>
      </c>
      <c r="AZ31" s="287">
        <v>1480385</v>
      </c>
      <c r="BA31" s="287">
        <f t="shared" si="72"/>
        <v>67725412</v>
      </c>
      <c r="BB31" s="287">
        <v>36592668</v>
      </c>
      <c r="BC31" s="287">
        <v>29551220</v>
      </c>
      <c r="BD31" s="287">
        <v>1449151</v>
      </c>
      <c r="BE31" s="287">
        <f t="shared" ref="BE31:BM31" si="73">SUM(BE32:BE35)</f>
        <v>67593039</v>
      </c>
      <c r="BF31" s="287">
        <f t="shared" si="73"/>
        <v>37482938</v>
      </c>
      <c r="BG31" s="287">
        <f t="shared" si="73"/>
        <v>30116673</v>
      </c>
      <c r="BH31" s="287">
        <f t="shared" si="73"/>
        <v>1404288</v>
      </c>
      <c r="BI31" s="287">
        <f t="shared" si="73"/>
        <v>69003899</v>
      </c>
      <c r="BJ31" s="287">
        <f t="shared" si="73"/>
        <v>39243584</v>
      </c>
      <c r="BK31" s="287">
        <f t="shared" si="73"/>
        <v>29078462</v>
      </c>
      <c r="BL31" s="287">
        <f t="shared" si="73"/>
        <v>1528657</v>
      </c>
      <c r="BM31" s="287">
        <f t="shared" si="73"/>
        <v>69850703</v>
      </c>
      <c r="BN31" s="287">
        <v>40078690</v>
      </c>
      <c r="BO31" s="287">
        <v>34580762</v>
      </c>
      <c r="BP31" s="287">
        <v>1386702</v>
      </c>
      <c r="BQ31" s="287">
        <f t="shared" ref="BQ31" si="74">SUM(BQ32:BQ35)</f>
        <v>76046154</v>
      </c>
      <c r="BR31" s="287">
        <v>39635306</v>
      </c>
      <c r="BS31" s="287">
        <v>38847700</v>
      </c>
      <c r="BT31" s="287">
        <v>1553921</v>
      </c>
      <c r="BU31" s="287">
        <f t="shared" ref="BU31" si="75">SUM(BU32:BU35)</f>
        <v>80036927</v>
      </c>
      <c r="BV31" s="287">
        <v>39165006</v>
      </c>
      <c r="BW31" s="287">
        <v>36390244</v>
      </c>
      <c r="BX31" s="287">
        <v>1541957</v>
      </c>
      <c r="BY31" s="287">
        <f t="shared" ref="BY31" si="76">SUM(BY32:BY35)</f>
        <v>77097207</v>
      </c>
      <c r="BZ31" s="287">
        <v>42866585</v>
      </c>
      <c r="CA31" s="287">
        <v>38006348</v>
      </c>
      <c r="CB31" s="287">
        <v>1562455</v>
      </c>
      <c r="CC31" s="287">
        <f t="shared" ref="CC31" si="77">SUM(CC32:CC35)</f>
        <v>82435388</v>
      </c>
    </row>
    <row r="32" spans="1:81">
      <c r="A32" s="157">
        <v>201</v>
      </c>
      <c r="B32" s="157" t="s">
        <v>656</v>
      </c>
      <c r="C32" s="157">
        <v>33925543</v>
      </c>
      <c r="D32" s="157">
        <v>21790485</v>
      </c>
      <c r="E32" s="176">
        <f t="shared" si="0"/>
        <v>55716028</v>
      </c>
      <c r="F32" s="157">
        <v>33623963</v>
      </c>
      <c r="G32" s="157">
        <v>22608657</v>
      </c>
      <c r="H32" s="176">
        <f t="shared" si="1"/>
        <v>56232620</v>
      </c>
      <c r="I32" s="157">
        <v>33517134</v>
      </c>
      <c r="J32" s="157">
        <v>20898069</v>
      </c>
      <c r="K32" s="176">
        <f t="shared" si="2"/>
        <v>54415203</v>
      </c>
      <c r="L32" s="157">
        <v>34000802</v>
      </c>
      <c r="M32" s="157">
        <v>21636783</v>
      </c>
      <c r="N32" s="179">
        <f t="shared" si="3"/>
        <v>55637585</v>
      </c>
      <c r="O32" s="104">
        <v>33066801</v>
      </c>
      <c r="P32" s="104">
        <v>21027822</v>
      </c>
      <c r="Q32" s="122">
        <f t="shared" si="4"/>
        <v>54094623</v>
      </c>
      <c r="R32" s="287">
        <v>32452059</v>
      </c>
      <c r="S32" s="287">
        <v>21299851</v>
      </c>
      <c r="T32" s="287">
        <v>1140080</v>
      </c>
      <c r="U32" s="122">
        <f t="shared" si="15"/>
        <v>54891990</v>
      </c>
      <c r="V32" s="285">
        <v>32597838</v>
      </c>
      <c r="W32" s="285">
        <v>21772592</v>
      </c>
      <c r="X32" s="285">
        <v>1163581</v>
      </c>
      <c r="Y32" s="286">
        <f t="shared" si="16"/>
        <v>55534011</v>
      </c>
      <c r="Z32" s="286">
        <v>32471004</v>
      </c>
      <c r="AA32" s="469">
        <v>22181793</v>
      </c>
      <c r="AB32" s="469">
        <v>1303109</v>
      </c>
      <c r="AC32" s="469">
        <f t="shared" si="17"/>
        <v>55955906</v>
      </c>
      <c r="AD32" s="287">
        <v>31413171</v>
      </c>
      <c r="AE32" s="287">
        <v>21663574</v>
      </c>
      <c r="AF32" s="287">
        <v>1326510</v>
      </c>
      <c r="AG32" s="469">
        <f t="shared" si="40"/>
        <v>54403255</v>
      </c>
      <c r="AH32" s="287">
        <v>30358955</v>
      </c>
      <c r="AI32" s="287">
        <v>21780645</v>
      </c>
      <c r="AJ32" s="287">
        <v>1288856</v>
      </c>
      <c r="AK32" s="469">
        <f t="shared" si="48"/>
        <v>53428456</v>
      </c>
      <c r="AL32" s="287">
        <v>32062907</v>
      </c>
      <c r="AM32" s="287">
        <v>23319937</v>
      </c>
      <c r="AN32" s="287">
        <v>1313727</v>
      </c>
      <c r="AO32" s="496">
        <f>AL32+AM32+AN32</f>
        <v>56696571</v>
      </c>
      <c r="AP32" s="287">
        <v>32947495</v>
      </c>
      <c r="AQ32" s="287">
        <v>24772717</v>
      </c>
      <c r="AR32" s="287">
        <v>1308888</v>
      </c>
      <c r="AS32" s="496">
        <f>AP32+AQ32+AR32</f>
        <v>59029100</v>
      </c>
      <c r="AT32" s="287">
        <v>32688657</v>
      </c>
      <c r="AU32" s="287">
        <v>25019448</v>
      </c>
      <c r="AV32" s="287">
        <v>1375473</v>
      </c>
      <c r="AW32" s="496">
        <f>AT32+AU32+AV32</f>
        <v>59083578</v>
      </c>
      <c r="AX32" s="287">
        <v>33534636</v>
      </c>
      <c r="AY32" s="287">
        <v>25265935</v>
      </c>
      <c r="AZ32" s="287">
        <v>1385344</v>
      </c>
      <c r="BA32" s="496">
        <f>AX32+AY32+AZ32</f>
        <v>60185915</v>
      </c>
      <c r="BB32" s="287">
        <v>33178851</v>
      </c>
      <c r="BC32" s="287">
        <v>25549426</v>
      </c>
      <c r="BD32" s="287">
        <v>1370046</v>
      </c>
      <c r="BE32" s="496">
        <f>BB32+BC32+BD32</f>
        <v>60098323</v>
      </c>
      <c r="BF32" s="287">
        <v>34072784</v>
      </c>
      <c r="BG32" s="287">
        <v>25910394</v>
      </c>
      <c r="BH32" s="287">
        <v>1319485</v>
      </c>
      <c r="BI32" s="496">
        <f>BF32+BG32+BH32</f>
        <v>61302663</v>
      </c>
      <c r="BJ32" s="287">
        <v>35130578</v>
      </c>
      <c r="BK32" s="287">
        <v>25190364</v>
      </c>
      <c r="BL32" s="287">
        <v>1433446</v>
      </c>
      <c r="BM32" s="496">
        <f>BJ32+BK32+BL32</f>
        <v>61754388</v>
      </c>
      <c r="BN32" s="287">
        <v>35840790</v>
      </c>
      <c r="BO32" s="287">
        <v>30480184</v>
      </c>
      <c r="BP32" s="287">
        <v>1298579</v>
      </c>
      <c r="BQ32" s="496">
        <f>BN32+BO32+BP32</f>
        <v>67619553</v>
      </c>
      <c r="BR32" s="496">
        <v>35504152</v>
      </c>
      <c r="BS32" s="496">
        <v>34686419</v>
      </c>
      <c r="BT32" s="496">
        <v>1464793</v>
      </c>
      <c r="BU32" s="496">
        <f>BR32+BS32+BT32</f>
        <v>71655364</v>
      </c>
      <c r="BV32" s="496">
        <v>34923723</v>
      </c>
      <c r="BW32" s="496">
        <v>32337743</v>
      </c>
      <c r="BX32" s="496">
        <v>1452667</v>
      </c>
      <c r="BY32" s="496">
        <f>BV32+BW32+BX32</f>
        <v>68714133</v>
      </c>
      <c r="BZ32" s="496">
        <v>38209947</v>
      </c>
      <c r="CA32" s="496">
        <v>33542315</v>
      </c>
      <c r="CB32" s="496">
        <v>1468678</v>
      </c>
      <c r="CC32" s="496">
        <f>BZ32+CA32+CB32</f>
        <v>73220940</v>
      </c>
    </row>
    <row r="33" spans="1:81">
      <c r="A33" s="156">
        <v>442</v>
      </c>
      <c r="B33" s="168" t="s">
        <v>203</v>
      </c>
      <c r="C33" s="153">
        <v>1404712</v>
      </c>
      <c r="D33" s="153">
        <v>914886</v>
      </c>
      <c r="E33" s="176">
        <f t="shared" si="0"/>
        <v>2319598</v>
      </c>
      <c r="F33" s="153">
        <v>1342100</v>
      </c>
      <c r="G33" s="153">
        <v>837137</v>
      </c>
      <c r="H33" s="176">
        <f t="shared" si="1"/>
        <v>2179237</v>
      </c>
      <c r="I33" s="153">
        <v>1168823</v>
      </c>
      <c r="J33" s="153">
        <v>727702</v>
      </c>
      <c r="K33" s="176">
        <f t="shared" si="2"/>
        <v>1896525</v>
      </c>
      <c r="L33" s="153">
        <v>1167292</v>
      </c>
      <c r="M33" s="153">
        <v>746230</v>
      </c>
      <c r="N33" s="179">
        <f t="shared" si="3"/>
        <v>1913522</v>
      </c>
      <c r="O33" s="104">
        <v>1116638</v>
      </c>
      <c r="P33" s="104">
        <v>746293</v>
      </c>
      <c r="Q33" s="122">
        <f t="shared" si="4"/>
        <v>1862931</v>
      </c>
      <c r="R33" s="287">
        <v>1132763</v>
      </c>
      <c r="S33" s="287">
        <v>780265</v>
      </c>
      <c r="T33" s="287">
        <v>12795</v>
      </c>
      <c r="U33" s="122">
        <f t="shared" si="15"/>
        <v>1925823</v>
      </c>
      <c r="V33" s="285">
        <v>1069873</v>
      </c>
      <c r="W33" s="285">
        <v>785566</v>
      </c>
      <c r="X33" s="285">
        <v>17459</v>
      </c>
      <c r="Y33" s="286">
        <f t="shared" si="16"/>
        <v>1872898</v>
      </c>
      <c r="Z33" s="287">
        <v>1102685</v>
      </c>
      <c r="AA33" s="287">
        <v>876597</v>
      </c>
      <c r="AB33" s="287">
        <v>15206</v>
      </c>
      <c r="AC33" s="469">
        <f t="shared" si="17"/>
        <v>1994488</v>
      </c>
      <c r="AD33" s="287">
        <v>1029752</v>
      </c>
      <c r="AE33" s="287">
        <v>696600</v>
      </c>
      <c r="AF33" s="287">
        <v>29592</v>
      </c>
      <c r="AG33" s="469">
        <f t="shared" si="40"/>
        <v>1755944</v>
      </c>
      <c r="AH33" s="287">
        <v>976811</v>
      </c>
      <c r="AI33" s="287">
        <v>702954</v>
      </c>
      <c r="AJ33" s="287">
        <v>36071</v>
      </c>
      <c r="AK33" s="469">
        <f t="shared" si="48"/>
        <v>1715836</v>
      </c>
      <c r="AL33" s="287">
        <v>1010853</v>
      </c>
      <c r="AM33" s="287">
        <v>868970</v>
      </c>
      <c r="AN33" s="287">
        <v>47451</v>
      </c>
      <c r="AO33" s="496">
        <f>AL33+AM33+AN33</f>
        <v>1927274</v>
      </c>
      <c r="AP33" s="287">
        <v>1000674</v>
      </c>
      <c r="AQ33" s="287">
        <v>1069648</v>
      </c>
      <c r="AR33" s="287">
        <v>47788</v>
      </c>
      <c r="AS33" s="496">
        <f>AP33+AQ33+AR33</f>
        <v>2118110</v>
      </c>
      <c r="AT33" s="287">
        <v>1003226</v>
      </c>
      <c r="AU33" s="287">
        <v>992329</v>
      </c>
      <c r="AV33" s="287">
        <v>40788</v>
      </c>
      <c r="AW33" s="496">
        <f>AT33+AU33+AV33</f>
        <v>2036343</v>
      </c>
      <c r="AX33" s="287">
        <v>1025314</v>
      </c>
      <c r="AY33" s="287">
        <v>1020953</v>
      </c>
      <c r="AZ33" s="287">
        <v>58359</v>
      </c>
      <c r="BA33" s="496">
        <f>AX33+AY33+AZ33</f>
        <v>2104626</v>
      </c>
      <c r="BB33" s="287">
        <v>1000715</v>
      </c>
      <c r="BC33" s="287">
        <v>995875</v>
      </c>
      <c r="BD33" s="287">
        <v>41156</v>
      </c>
      <c r="BE33" s="496">
        <f>BB33+BC33+BD33</f>
        <v>2037746</v>
      </c>
      <c r="BF33" s="287">
        <v>1003314</v>
      </c>
      <c r="BG33" s="287">
        <v>1159111</v>
      </c>
      <c r="BH33" s="287">
        <v>44017</v>
      </c>
      <c r="BI33" s="496">
        <f>BF33+BG33+BH33</f>
        <v>2206442</v>
      </c>
      <c r="BJ33" s="287">
        <v>1191799</v>
      </c>
      <c r="BK33" s="287">
        <v>1096114</v>
      </c>
      <c r="BL33" s="287">
        <v>59997</v>
      </c>
      <c r="BM33" s="496">
        <f>BJ33+BK33+BL33</f>
        <v>2347910</v>
      </c>
      <c r="BN33" s="287">
        <v>1224073</v>
      </c>
      <c r="BO33" s="287">
        <v>1201159</v>
      </c>
      <c r="BP33" s="287">
        <v>58146</v>
      </c>
      <c r="BQ33" s="496">
        <f>BN33+BO33+BP33</f>
        <v>2483378</v>
      </c>
      <c r="BR33" s="496">
        <v>1223731</v>
      </c>
      <c r="BS33" s="496">
        <v>1131424</v>
      </c>
      <c r="BT33" s="496">
        <v>34095</v>
      </c>
      <c r="BU33" s="496">
        <f>BR33+BS33+BT33</f>
        <v>2389250</v>
      </c>
      <c r="BV33" s="496">
        <v>1241327</v>
      </c>
      <c r="BW33" s="496">
        <v>1111758</v>
      </c>
      <c r="BX33" s="496">
        <v>31025</v>
      </c>
      <c r="BY33" s="496">
        <f>BV33+BW33+BX33</f>
        <v>2384110</v>
      </c>
      <c r="BZ33" s="496">
        <v>1364877</v>
      </c>
      <c r="CA33" s="496">
        <v>1164871</v>
      </c>
      <c r="CB33" s="496">
        <v>39967</v>
      </c>
      <c r="CC33" s="496">
        <f>BZ33+CA33+CB33</f>
        <v>2569715</v>
      </c>
    </row>
    <row r="34" spans="1:81">
      <c r="A34" s="156">
        <v>443</v>
      </c>
      <c r="B34" s="168" t="s">
        <v>204</v>
      </c>
      <c r="C34" s="153">
        <v>1479740</v>
      </c>
      <c r="D34" s="153">
        <v>981913</v>
      </c>
      <c r="E34" s="176">
        <f t="shared" si="0"/>
        <v>2461653</v>
      </c>
      <c r="F34" s="153">
        <v>1472967</v>
      </c>
      <c r="G34" s="153">
        <v>1004953</v>
      </c>
      <c r="H34" s="176">
        <f t="shared" si="1"/>
        <v>2477920</v>
      </c>
      <c r="I34" s="153">
        <v>1393001</v>
      </c>
      <c r="J34" s="153">
        <v>972674</v>
      </c>
      <c r="K34" s="176">
        <f t="shared" si="2"/>
        <v>2365675</v>
      </c>
      <c r="L34" s="153">
        <v>1331009</v>
      </c>
      <c r="M34" s="153">
        <v>960265</v>
      </c>
      <c r="N34" s="179">
        <f t="shared" si="3"/>
        <v>2291274</v>
      </c>
      <c r="O34" s="104">
        <v>1326782</v>
      </c>
      <c r="P34" s="104">
        <v>952312</v>
      </c>
      <c r="Q34" s="122">
        <f t="shared" si="4"/>
        <v>2279094</v>
      </c>
      <c r="R34" s="287">
        <v>1288885</v>
      </c>
      <c r="S34" s="287">
        <v>1180349</v>
      </c>
      <c r="T34" s="287">
        <v>12815</v>
      </c>
      <c r="U34" s="122">
        <f t="shared" si="15"/>
        <v>2482049</v>
      </c>
      <c r="V34" s="285">
        <v>1284014</v>
      </c>
      <c r="W34" s="285">
        <v>1051575</v>
      </c>
      <c r="X34" s="285">
        <v>17953</v>
      </c>
      <c r="Y34" s="286">
        <f t="shared" si="16"/>
        <v>2353542</v>
      </c>
      <c r="Z34" s="287">
        <v>1300840</v>
      </c>
      <c r="AA34" s="287">
        <v>1103194</v>
      </c>
      <c r="AB34" s="287">
        <v>31294</v>
      </c>
      <c r="AC34" s="469">
        <f t="shared" si="17"/>
        <v>2435328</v>
      </c>
      <c r="AD34" s="287">
        <v>1267205</v>
      </c>
      <c r="AE34" s="287">
        <v>1125729</v>
      </c>
      <c r="AF34" s="287">
        <v>18284</v>
      </c>
      <c r="AG34" s="469">
        <f t="shared" si="40"/>
        <v>2411218</v>
      </c>
      <c r="AH34" s="287">
        <v>1239860</v>
      </c>
      <c r="AI34" s="287">
        <v>1085856</v>
      </c>
      <c r="AJ34" s="287">
        <v>31879</v>
      </c>
      <c r="AK34" s="469">
        <f t="shared" si="48"/>
        <v>2357595</v>
      </c>
      <c r="AL34" s="287">
        <v>1278530</v>
      </c>
      <c r="AM34" s="287">
        <v>1275733</v>
      </c>
      <c r="AN34" s="287">
        <v>34156</v>
      </c>
      <c r="AO34" s="496">
        <f>AL34+AM34+AN34</f>
        <v>2588419</v>
      </c>
      <c r="AP34" s="287">
        <v>1243412</v>
      </c>
      <c r="AQ34" s="287">
        <v>1285434</v>
      </c>
      <c r="AR34" s="287">
        <v>28397</v>
      </c>
      <c r="AS34" s="496">
        <f>AP34+AQ34+AR34</f>
        <v>2557243</v>
      </c>
      <c r="AT34" s="287">
        <v>1220443</v>
      </c>
      <c r="AU34" s="287">
        <v>1333177</v>
      </c>
      <c r="AV34" s="287">
        <v>30412</v>
      </c>
      <c r="AW34" s="496">
        <f>AT34+AU34+AV34</f>
        <v>2584032</v>
      </c>
      <c r="AX34" s="287">
        <v>1247519</v>
      </c>
      <c r="AY34" s="287">
        <v>1328671</v>
      </c>
      <c r="AZ34" s="287">
        <v>29431</v>
      </c>
      <c r="BA34" s="496">
        <f>AX34+AY34+AZ34</f>
        <v>2605621</v>
      </c>
      <c r="BB34" s="287">
        <v>1222170</v>
      </c>
      <c r="BC34" s="287">
        <v>1396124</v>
      </c>
      <c r="BD34" s="287">
        <v>34630</v>
      </c>
      <c r="BE34" s="496">
        <f>BB34+BC34+BD34</f>
        <v>2652924</v>
      </c>
      <c r="BF34" s="287">
        <v>1203927</v>
      </c>
      <c r="BG34" s="287">
        <v>1474082</v>
      </c>
      <c r="BH34" s="287">
        <v>30334</v>
      </c>
      <c r="BI34" s="496">
        <f>BF34+BG34+BH34</f>
        <v>2708343</v>
      </c>
      <c r="BJ34" s="287">
        <v>1565749</v>
      </c>
      <c r="BK34" s="287">
        <v>1329741</v>
      </c>
      <c r="BL34" s="287">
        <v>27995</v>
      </c>
      <c r="BM34" s="496">
        <f>BJ34+BK34+BL34</f>
        <v>2923485</v>
      </c>
      <c r="BN34" s="287">
        <v>1688821</v>
      </c>
      <c r="BO34" s="287">
        <v>1412398</v>
      </c>
      <c r="BP34" s="287">
        <v>23664</v>
      </c>
      <c r="BQ34" s="496">
        <f>BN34+BO34+BP34</f>
        <v>3124883</v>
      </c>
      <c r="BR34" s="496">
        <v>1638743</v>
      </c>
      <c r="BS34" s="496">
        <v>1391303</v>
      </c>
      <c r="BT34" s="496">
        <v>44582</v>
      </c>
      <c r="BU34" s="496">
        <f>BR34+BS34+BT34</f>
        <v>3074628</v>
      </c>
      <c r="BV34" s="496">
        <v>1676066</v>
      </c>
      <c r="BW34" s="496">
        <v>1345345</v>
      </c>
      <c r="BX34" s="496">
        <v>51850</v>
      </c>
      <c r="BY34" s="496">
        <f>BV34+BW34+BX34</f>
        <v>3073261</v>
      </c>
      <c r="BZ34" s="496">
        <v>1861844</v>
      </c>
      <c r="CA34" s="496">
        <v>1526022</v>
      </c>
      <c r="CB34" s="496">
        <v>45373</v>
      </c>
      <c r="CC34" s="496">
        <f>BZ34+CA34+CB34</f>
        <v>3433239</v>
      </c>
    </row>
    <row r="35" spans="1:81">
      <c r="A35" s="156">
        <v>446</v>
      </c>
      <c r="B35" s="168" t="s">
        <v>227</v>
      </c>
      <c r="C35" s="155">
        <v>1767929</v>
      </c>
      <c r="D35" s="155">
        <v>1060496</v>
      </c>
      <c r="E35" s="176">
        <f t="shared" si="0"/>
        <v>2828425</v>
      </c>
      <c r="F35" s="155">
        <v>1708304</v>
      </c>
      <c r="G35" s="155">
        <v>1285757</v>
      </c>
      <c r="H35" s="176">
        <f t="shared" si="1"/>
        <v>2994061</v>
      </c>
      <c r="I35" s="155">
        <v>1582293</v>
      </c>
      <c r="J35" s="155">
        <v>1041324</v>
      </c>
      <c r="K35" s="176">
        <f t="shared" si="2"/>
        <v>2623617</v>
      </c>
      <c r="L35" s="155">
        <v>1530789</v>
      </c>
      <c r="M35" s="155">
        <v>996711</v>
      </c>
      <c r="N35" s="179">
        <f t="shared" si="3"/>
        <v>2527500</v>
      </c>
      <c r="O35" s="104">
        <v>1436805</v>
      </c>
      <c r="P35" s="104">
        <v>956523</v>
      </c>
      <c r="Q35" s="122">
        <f t="shared" si="4"/>
        <v>2393328</v>
      </c>
      <c r="R35" s="287">
        <v>1448833</v>
      </c>
      <c r="S35" s="287">
        <v>1055006</v>
      </c>
      <c r="T35" s="287">
        <v>9535</v>
      </c>
      <c r="U35" s="122">
        <f t="shared" si="15"/>
        <v>2513374</v>
      </c>
      <c r="V35" s="285">
        <v>1376774</v>
      </c>
      <c r="W35" s="285">
        <v>1010375</v>
      </c>
      <c r="X35" s="285">
        <v>9739</v>
      </c>
      <c r="Y35" s="286">
        <f t="shared" si="16"/>
        <v>2396888</v>
      </c>
      <c r="Z35" s="287">
        <v>1378286</v>
      </c>
      <c r="AA35" s="287">
        <v>1123746</v>
      </c>
      <c r="AB35" s="287">
        <v>6702</v>
      </c>
      <c r="AC35" s="469">
        <f t="shared" si="17"/>
        <v>2508734</v>
      </c>
      <c r="AD35" s="287">
        <v>1351496</v>
      </c>
      <c r="AE35" s="287">
        <v>1096051</v>
      </c>
      <c r="AF35" s="287">
        <v>5028</v>
      </c>
      <c r="AG35" s="469">
        <f t="shared" si="40"/>
        <v>2452575</v>
      </c>
      <c r="AH35" s="287">
        <v>1227597</v>
      </c>
      <c r="AI35" s="287">
        <v>1104376</v>
      </c>
      <c r="AJ35" s="287">
        <v>7552</v>
      </c>
      <c r="AK35" s="469">
        <f t="shared" si="48"/>
        <v>2339525</v>
      </c>
      <c r="AL35" s="287">
        <v>1231931</v>
      </c>
      <c r="AM35" s="287">
        <v>1203767</v>
      </c>
      <c r="AN35" s="287">
        <v>7861</v>
      </c>
      <c r="AO35" s="496">
        <f>AL35+AM35+AN35</f>
        <v>2443559</v>
      </c>
      <c r="AP35" s="287">
        <v>1261375</v>
      </c>
      <c r="AQ35" s="287">
        <v>1401128</v>
      </c>
      <c r="AR35" s="287">
        <v>9433</v>
      </c>
      <c r="AS35" s="496">
        <f>AP35+AQ35+AR35</f>
        <v>2671936</v>
      </c>
      <c r="AT35" s="287">
        <v>1266445</v>
      </c>
      <c r="AU35" s="287">
        <v>1428521</v>
      </c>
      <c r="AV35" s="287">
        <v>11462</v>
      </c>
      <c r="AW35" s="496">
        <f>AT35+AU35+AV35</f>
        <v>2706428</v>
      </c>
      <c r="AX35" s="287">
        <v>1234896</v>
      </c>
      <c r="AY35" s="287">
        <v>1587103</v>
      </c>
      <c r="AZ35" s="287">
        <v>7251</v>
      </c>
      <c r="BA35" s="496">
        <f>AX35+AY35+AZ35</f>
        <v>2829250</v>
      </c>
      <c r="BB35" s="287">
        <v>1190932</v>
      </c>
      <c r="BC35" s="287">
        <v>1609795</v>
      </c>
      <c r="BD35" s="287">
        <v>3319</v>
      </c>
      <c r="BE35" s="496">
        <f>BB35+BC35+BD35</f>
        <v>2804046</v>
      </c>
      <c r="BF35" s="287">
        <v>1202913</v>
      </c>
      <c r="BG35" s="287">
        <v>1573086</v>
      </c>
      <c r="BH35" s="287">
        <v>10452</v>
      </c>
      <c r="BI35" s="496">
        <f>BF35+BG35+BH35</f>
        <v>2786451</v>
      </c>
      <c r="BJ35" s="287">
        <v>1355458</v>
      </c>
      <c r="BK35" s="287">
        <v>1462243</v>
      </c>
      <c r="BL35" s="287">
        <v>7219</v>
      </c>
      <c r="BM35" s="496">
        <f>BJ35+BK35+BL35</f>
        <v>2824920</v>
      </c>
      <c r="BN35" s="287">
        <v>1325006</v>
      </c>
      <c r="BO35" s="287">
        <v>1487021</v>
      </c>
      <c r="BP35" s="287">
        <v>6313</v>
      </c>
      <c r="BQ35" s="496">
        <f>BN35+BO35+BP35</f>
        <v>2818340</v>
      </c>
      <c r="BR35" s="496">
        <v>1268680</v>
      </c>
      <c r="BS35" s="496">
        <v>1638554</v>
      </c>
      <c r="BT35" s="496">
        <v>10451</v>
      </c>
      <c r="BU35" s="496">
        <f>BR35+BS35+BT35</f>
        <v>2917685</v>
      </c>
      <c r="BV35" s="496">
        <v>1323890</v>
      </c>
      <c r="BW35" s="496">
        <v>1595398</v>
      </c>
      <c r="BX35" s="496">
        <v>6415</v>
      </c>
      <c r="BY35" s="496">
        <f>BV35+BW35+BX35</f>
        <v>2925703</v>
      </c>
      <c r="BZ35" s="496">
        <v>1429917</v>
      </c>
      <c r="CA35" s="496">
        <v>1773140</v>
      </c>
      <c r="CB35" s="496">
        <v>8437</v>
      </c>
      <c r="CC35" s="496">
        <f>BZ35+CA35+CB35</f>
        <v>3211494</v>
      </c>
    </row>
    <row r="36" spans="1:81">
      <c r="A36" s="135"/>
      <c r="B36" s="169" t="s">
        <v>205</v>
      </c>
      <c r="C36" s="153">
        <v>24596014</v>
      </c>
      <c r="D36" s="153">
        <v>13567206</v>
      </c>
      <c r="E36" s="176">
        <f t="shared" si="0"/>
        <v>38163220</v>
      </c>
      <c r="F36" s="153">
        <v>26865072</v>
      </c>
      <c r="G36" s="153">
        <v>14671298</v>
      </c>
      <c r="H36" s="176">
        <f t="shared" si="1"/>
        <v>41536370</v>
      </c>
      <c r="I36" s="153">
        <v>25566924</v>
      </c>
      <c r="J36" s="153">
        <v>12411742</v>
      </c>
      <c r="K36" s="176">
        <f t="shared" si="2"/>
        <v>37978666</v>
      </c>
      <c r="L36" s="153">
        <v>24488790</v>
      </c>
      <c r="M36" s="153">
        <v>12735300</v>
      </c>
      <c r="N36" s="179">
        <f t="shared" si="3"/>
        <v>37224090</v>
      </c>
      <c r="O36" s="104">
        <v>23935360</v>
      </c>
      <c r="P36" s="104">
        <v>12059503</v>
      </c>
      <c r="Q36" s="122">
        <f t="shared" si="4"/>
        <v>35994863</v>
      </c>
      <c r="R36" s="287">
        <f t="shared" ref="R36:Y36" si="78">SUM(R37:R43)</f>
        <v>22835049</v>
      </c>
      <c r="S36" s="287">
        <f t="shared" si="78"/>
        <v>14611352</v>
      </c>
      <c r="T36" s="287">
        <f t="shared" si="78"/>
        <v>759572</v>
      </c>
      <c r="U36" s="287">
        <f t="shared" si="78"/>
        <v>38205973</v>
      </c>
      <c r="V36" s="287">
        <f t="shared" si="78"/>
        <v>22625743</v>
      </c>
      <c r="W36" s="287">
        <f t="shared" si="78"/>
        <v>13525623</v>
      </c>
      <c r="X36" s="287">
        <f t="shared" si="78"/>
        <v>707593</v>
      </c>
      <c r="Y36" s="287">
        <f t="shared" si="78"/>
        <v>36858959</v>
      </c>
      <c r="Z36" s="287">
        <f t="shared" ref="Z36:AF36" si="79">SUM(Z37:Z43)</f>
        <v>22780012</v>
      </c>
      <c r="AA36" s="287">
        <f t="shared" si="79"/>
        <v>14140834</v>
      </c>
      <c r="AB36" s="287">
        <f t="shared" si="79"/>
        <v>787662</v>
      </c>
      <c r="AC36" s="287">
        <f t="shared" si="79"/>
        <v>37708508</v>
      </c>
      <c r="AD36" s="287">
        <f t="shared" si="79"/>
        <v>21467389</v>
      </c>
      <c r="AE36" s="287">
        <f t="shared" si="79"/>
        <v>13859600</v>
      </c>
      <c r="AF36" s="287">
        <f t="shared" si="79"/>
        <v>770048</v>
      </c>
      <c r="AG36" s="469">
        <f t="shared" si="40"/>
        <v>36097037</v>
      </c>
      <c r="AH36" s="287">
        <f t="shared" ref="AH36:AO36" si="80">SUM(AH37:AH43)</f>
        <v>18717604</v>
      </c>
      <c r="AI36" s="287">
        <f t="shared" si="80"/>
        <v>13691410</v>
      </c>
      <c r="AJ36" s="287">
        <f t="shared" si="80"/>
        <v>827538</v>
      </c>
      <c r="AK36" s="287">
        <f t="shared" si="80"/>
        <v>33236552</v>
      </c>
      <c r="AL36" s="287">
        <f t="shared" si="80"/>
        <v>18695369</v>
      </c>
      <c r="AM36" s="287">
        <f t="shared" si="80"/>
        <v>14231097</v>
      </c>
      <c r="AN36" s="287">
        <f t="shared" si="80"/>
        <v>771315</v>
      </c>
      <c r="AO36" s="287">
        <f t="shared" si="80"/>
        <v>33697781</v>
      </c>
      <c r="AP36" s="287">
        <v>18625268</v>
      </c>
      <c r="AQ36" s="287">
        <v>14627256</v>
      </c>
      <c r="AR36" s="287">
        <v>795710</v>
      </c>
      <c r="AS36" s="287">
        <f t="shared" ref="AS36:BA36" si="81">SUM(AS37:AS43)</f>
        <v>34048234</v>
      </c>
      <c r="AT36" s="287">
        <f t="shared" si="81"/>
        <v>18012476</v>
      </c>
      <c r="AU36" s="287">
        <f t="shared" si="81"/>
        <v>14986164</v>
      </c>
      <c r="AV36" s="287">
        <f t="shared" si="81"/>
        <v>827325</v>
      </c>
      <c r="AW36" s="287">
        <f t="shared" si="81"/>
        <v>33825965</v>
      </c>
      <c r="AX36" s="287">
        <v>17830956</v>
      </c>
      <c r="AY36" s="287">
        <v>15004252</v>
      </c>
      <c r="AZ36" s="287">
        <v>845492</v>
      </c>
      <c r="BA36" s="287">
        <f t="shared" si="81"/>
        <v>33680700</v>
      </c>
      <c r="BB36" s="287">
        <v>17827312</v>
      </c>
      <c r="BC36" s="287">
        <v>15100969</v>
      </c>
      <c r="BD36" s="287">
        <v>905538</v>
      </c>
      <c r="BE36" s="287">
        <f t="shared" ref="BE36:BM36" si="82">SUM(BE37:BE43)</f>
        <v>33833819</v>
      </c>
      <c r="BF36" s="287">
        <f t="shared" si="82"/>
        <v>17455443</v>
      </c>
      <c r="BG36" s="287">
        <f t="shared" si="82"/>
        <v>15378036</v>
      </c>
      <c r="BH36" s="287">
        <f t="shared" si="82"/>
        <v>909181</v>
      </c>
      <c r="BI36" s="287">
        <f t="shared" si="82"/>
        <v>33742660</v>
      </c>
      <c r="BJ36" s="287">
        <f t="shared" si="82"/>
        <v>21600232</v>
      </c>
      <c r="BK36" s="287">
        <f t="shared" si="82"/>
        <v>14228150</v>
      </c>
      <c r="BL36" s="287">
        <f t="shared" si="82"/>
        <v>976508</v>
      </c>
      <c r="BM36" s="287">
        <f t="shared" si="82"/>
        <v>36804890</v>
      </c>
      <c r="BN36" s="287">
        <v>21390738</v>
      </c>
      <c r="BO36" s="287">
        <v>15116091</v>
      </c>
      <c r="BP36" s="287">
        <v>1130705</v>
      </c>
      <c r="BQ36" s="287">
        <f t="shared" ref="BQ36" si="83">SUM(BQ37:BQ43)</f>
        <v>37637534</v>
      </c>
      <c r="BR36" s="287">
        <v>21793714</v>
      </c>
      <c r="BS36" s="287">
        <v>16074255</v>
      </c>
      <c r="BT36" s="287">
        <v>1076431</v>
      </c>
      <c r="BU36" s="287">
        <f t="shared" ref="BU36" si="84">SUM(BU37:BU43)</f>
        <v>38944400</v>
      </c>
      <c r="BV36" s="287">
        <v>21782992</v>
      </c>
      <c r="BW36" s="287">
        <v>15220533</v>
      </c>
      <c r="BX36" s="287">
        <v>955785</v>
      </c>
      <c r="BY36" s="287">
        <f t="shared" ref="BY36" si="85">SUM(BY37:BY43)</f>
        <v>37959310</v>
      </c>
      <c r="BZ36" s="287">
        <v>23749641</v>
      </c>
      <c r="CA36" s="287">
        <v>15851864</v>
      </c>
      <c r="CB36" s="287">
        <v>965283</v>
      </c>
      <c r="CC36" s="287">
        <f t="shared" ref="CC36" si="86">SUM(CC37:CC43)</f>
        <v>40566788</v>
      </c>
    </row>
    <row r="37" spans="1:81">
      <c r="A37" s="156">
        <v>208</v>
      </c>
      <c r="B37" s="168" t="s">
        <v>206</v>
      </c>
      <c r="C37" s="153">
        <v>3044091</v>
      </c>
      <c r="D37" s="153">
        <v>1519298</v>
      </c>
      <c r="E37" s="176">
        <f t="shared" si="0"/>
        <v>4563389</v>
      </c>
      <c r="F37" s="153">
        <v>2812548</v>
      </c>
      <c r="G37" s="153">
        <v>1337975</v>
      </c>
      <c r="H37" s="176">
        <f t="shared" si="1"/>
        <v>4150523</v>
      </c>
      <c r="I37" s="153">
        <v>2832181</v>
      </c>
      <c r="J37" s="153">
        <v>1218086</v>
      </c>
      <c r="K37" s="176">
        <f t="shared" si="2"/>
        <v>4050267</v>
      </c>
      <c r="L37" s="153">
        <v>2616816</v>
      </c>
      <c r="M37" s="153">
        <v>1326017</v>
      </c>
      <c r="N37" s="179">
        <f t="shared" si="3"/>
        <v>3942833</v>
      </c>
      <c r="O37" s="104">
        <v>2674075</v>
      </c>
      <c r="P37" s="104">
        <v>1223853</v>
      </c>
      <c r="Q37" s="122">
        <f t="shared" si="4"/>
        <v>3897928</v>
      </c>
      <c r="R37" s="287">
        <v>2473419</v>
      </c>
      <c r="S37" s="287">
        <v>1301340</v>
      </c>
      <c r="T37" s="287">
        <v>107328</v>
      </c>
      <c r="U37" s="122">
        <f t="shared" si="15"/>
        <v>3882087</v>
      </c>
      <c r="V37" s="285">
        <v>2468864</v>
      </c>
      <c r="W37" s="285">
        <v>1301371</v>
      </c>
      <c r="X37" s="285">
        <v>100646</v>
      </c>
      <c r="Y37" s="286">
        <f t="shared" si="16"/>
        <v>3870881</v>
      </c>
      <c r="Z37" s="287">
        <v>2324842</v>
      </c>
      <c r="AA37" s="287">
        <v>1408107</v>
      </c>
      <c r="AB37" s="287">
        <v>133868</v>
      </c>
      <c r="AC37" s="469">
        <f t="shared" si="17"/>
        <v>3866817</v>
      </c>
      <c r="AD37" s="287">
        <v>2325619</v>
      </c>
      <c r="AE37" s="287">
        <v>1418459</v>
      </c>
      <c r="AF37" s="287">
        <v>82091</v>
      </c>
      <c r="AG37" s="469">
        <f t="shared" si="40"/>
        <v>3826169</v>
      </c>
      <c r="AH37" s="287">
        <v>1918921</v>
      </c>
      <c r="AI37" s="287">
        <v>1450959</v>
      </c>
      <c r="AJ37" s="287">
        <v>155797</v>
      </c>
      <c r="AK37" s="469">
        <f t="shared" si="48"/>
        <v>3525677</v>
      </c>
      <c r="AL37" s="287">
        <v>2101114</v>
      </c>
      <c r="AM37" s="287">
        <v>1506693</v>
      </c>
      <c r="AN37" s="287">
        <v>78046</v>
      </c>
      <c r="AO37" s="496">
        <f t="shared" ref="AO37:AO43" si="87">AL37+AM37+AN37</f>
        <v>3685853</v>
      </c>
      <c r="AP37" s="287">
        <v>1926798</v>
      </c>
      <c r="AQ37" s="287">
        <v>1580495</v>
      </c>
      <c r="AR37" s="287">
        <v>87478</v>
      </c>
      <c r="AS37" s="496">
        <f t="shared" ref="AS37:AS43" si="88">AP37+AQ37+AR37</f>
        <v>3594771</v>
      </c>
      <c r="AT37" s="287">
        <v>1854756</v>
      </c>
      <c r="AU37" s="287">
        <v>1660317</v>
      </c>
      <c r="AV37" s="287">
        <v>100920</v>
      </c>
      <c r="AW37" s="496">
        <f t="shared" ref="AW37:AW43" si="89">AT37+AU37+AV37</f>
        <v>3615993</v>
      </c>
      <c r="AX37" s="287">
        <v>1841856</v>
      </c>
      <c r="AY37" s="287">
        <v>1658774</v>
      </c>
      <c r="AZ37" s="287">
        <v>78192</v>
      </c>
      <c r="BA37" s="496">
        <f t="shared" ref="BA37:BA43" si="90">AX37+AY37+AZ37</f>
        <v>3578822</v>
      </c>
      <c r="BB37" s="287">
        <v>1901039</v>
      </c>
      <c r="BC37" s="287">
        <v>1698891</v>
      </c>
      <c r="BD37" s="287">
        <v>117580</v>
      </c>
      <c r="BE37" s="496">
        <f t="shared" ref="BE37:BE43" si="91">BB37+BC37+BD37</f>
        <v>3717510</v>
      </c>
      <c r="BF37" s="287">
        <v>1835352</v>
      </c>
      <c r="BG37" s="287">
        <v>1701310</v>
      </c>
      <c r="BH37" s="287">
        <v>88272</v>
      </c>
      <c r="BI37" s="496">
        <f t="shared" ref="BI37:BI43" si="92">BF37+BG37+BH37</f>
        <v>3624934</v>
      </c>
      <c r="BJ37" s="287">
        <v>2154574</v>
      </c>
      <c r="BK37" s="287">
        <v>1764072</v>
      </c>
      <c r="BL37" s="287">
        <v>103382</v>
      </c>
      <c r="BM37" s="496">
        <f t="shared" ref="BM37:BM43" si="93">BJ37+BK37+BL37</f>
        <v>4022028</v>
      </c>
      <c r="BN37" s="287">
        <v>2058646</v>
      </c>
      <c r="BO37" s="287">
        <v>1987815</v>
      </c>
      <c r="BP37" s="287">
        <v>105736</v>
      </c>
      <c r="BQ37" s="496">
        <f t="shared" ref="BQ37:BQ43" si="94">BN37+BO37+BP37</f>
        <v>4152197</v>
      </c>
      <c r="BR37" s="496">
        <v>2265445</v>
      </c>
      <c r="BS37" s="496">
        <v>2018046</v>
      </c>
      <c r="BT37" s="496">
        <v>98276</v>
      </c>
      <c r="BU37" s="496">
        <f t="shared" ref="BU37:BU43" si="95">BR37+BS37+BT37</f>
        <v>4381767</v>
      </c>
      <c r="BV37" s="496">
        <v>2134831</v>
      </c>
      <c r="BW37" s="496">
        <v>1923929</v>
      </c>
      <c r="BX37" s="496">
        <v>101040</v>
      </c>
      <c r="BY37" s="496">
        <f t="shared" ref="BY37:BY43" si="96">BV37+BW37+BX37</f>
        <v>4159800</v>
      </c>
      <c r="BZ37" s="496">
        <v>2304564</v>
      </c>
      <c r="CA37" s="496">
        <v>1889980</v>
      </c>
      <c r="CB37" s="496">
        <v>101729</v>
      </c>
      <c r="CC37" s="496">
        <f t="shared" ref="CC37:CC43" si="97">BZ37+CA37+CB37</f>
        <v>4296273</v>
      </c>
    </row>
    <row r="38" spans="1:81">
      <c r="A38" s="156">
        <v>212</v>
      </c>
      <c r="B38" s="168" t="s">
        <v>207</v>
      </c>
      <c r="C38" s="153">
        <v>4460712</v>
      </c>
      <c r="D38" s="153">
        <v>2290909</v>
      </c>
      <c r="E38" s="176">
        <f t="shared" ref="E38:E56" si="98">C38+D38</f>
        <v>6751621</v>
      </c>
      <c r="F38" s="153">
        <v>4484225</v>
      </c>
      <c r="G38" s="153">
        <v>2227055</v>
      </c>
      <c r="H38" s="176">
        <f t="shared" ref="H38:H56" si="99">F38+G38</f>
        <v>6711280</v>
      </c>
      <c r="I38" s="153">
        <v>4585909</v>
      </c>
      <c r="J38" s="153">
        <v>2206745</v>
      </c>
      <c r="K38" s="176">
        <f t="shared" ref="K38:K56" si="100">I38+J38</f>
        <v>6792654</v>
      </c>
      <c r="L38" s="153">
        <v>4318809</v>
      </c>
      <c r="M38" s="153">
        <v>2132901</v>
      </c>
      <c r="N38" s="179">
        <f t="shared" ref="N38:N56" si="101">L38+M38</f>
        <v>6451710</v>
      </c>
      <c r="O38" s="104">
        <v>4417732</v>
      </c>
      <c r="P38" s="104">
        <v>2105752</v>
      </c>
      <c r="Q38" s="122">
        <f t="shared" ref="Q38:Q56" si="102">O38+P38</f>
        <v>6523484</v>
      </c>
      <c r="R38" s="287">
        <v>3966557</v>
      </c>
      <c r="S38" s="287">
        <v>2214995</v>
      </c>
      <c r="T38" s="287">
        <v>104094</v>
      </c>
      <c r="U38" s="122">
        <f t="shared" si="15"/>
        <v>6285646</v>
      </c>
      <c r="V38" s="285">
        <v>4058022</v>
      </c>
      <c r="W38" s="285">
        <v>2359838</v>
      </c>
      <c r="X38" s="285">
        <v>117209</v>
      </c>
      <c r="Y38" s="286">
        <f t="shared" si="16"/>
        <v>6535069</v>
      </c>
      <c r="Z38" s="287">
        <v>4402254</v>
      </c>
      <c r="AA38" s="287">
        <v>2466820</v>
      </c>
      <c r="AB38" s="287">
        <v>124953</v>
      </c>
      <c r="AC38" s="469">
        <f t="shared" si="17"/>
        <v>6994027</v>
      </c>
      <c r="AD38" s="287">
        <v>3649245</v>
      </c>
      <c r="AE38" s="287">
        <v>2474555</v>
      </c>
      <c r="AF38" s="287">
        <v>111595</v>
      </c>
      <c r="AG38" s="469">
        <f t="shared" si="40"/>
        <v>6235395</v>
      </c>
      <c r="AH38" s="287">
        <v>3907009</v>
      </c>
      <c r="AI38" s="287">
        <v>2534945</v>
      </c>
      <c r="AJ38" s="287">
        <v>132370</v>
      </c>
      <c r="AK38" s="469">
        <f t="shared" si="48"/>
        <v>6574324</v>
      </c>
      <c r="AL38" s="287">
        <v>3782647</v>
      </c>
      <c r="AM38" s="287">
        <v>2636546</v>
      </c>
      <c r="AN38" s="287">
        <v>136420</v>
      </c>
      <c r="AO38" s="496">
        <f t="shared" si="87"/>
        <v>6555613</v>
      </c>
      <c r="AP38" s="287">
        <v>3966383</v>
      </c>
      <c r="AQ38" s="287">
        <v>2678518</v>
      </c>
      <c r="AR38" s="287">
        <v>130965</v>
      </c>
      <c r="AS38" s="496">
        <f t="shared" si="88"/>
        <v>6775866</v>
      </c>
      <c r="AT38" s="287">
        <v>3863040</v>
      </c>
      <c r="AU38" s="287">
        <v>2719498</v>
      </c>
      <c r="AV38" s="287">
        <v>154827</v>
      </c>
      <c r="AW38" s="496">
        <f t="shared" si="89"/>
        <v>6737365</v>
      </c>
      <c r="AX38" s="287">
        <v>3837213</v>
      </c>
      <c r="AY38" s="287">
        <v>2661089</v>
      </c>
      <c r="AZ38" s="287">
        <v>174898</v>
      </c>
      <c r="BA38" s="496">
        <f t="shared" si="90"/>
        <v>6673200</v>
      </c>
      <c r="BB38" s="287">
        <v>3929863</v>
      </c>
      <c r="BC38" s="287">
        <v>2677683</v>
      </c>
      <c r="BD38" s="287">
        <v>176874</v>
      </c>
      <c r="BE38" s="496">
        <f t="shared" si="91"/>
        <v>6784420</v>
      </c>
      <c r="BF38" s="287">
        <v>3738182</v>
      </c>
      <c r="BG38" s="287">
        <v>2760138</v>
      </c>
      <c r="BH38" s="287">
        <v>176104</v>
      </c>
      <c r="BI38" s="496">
        <f t="shared" si="92"/>
        <v>6674424</v>
      </c>
      <c r="BJ38" s="287">
        <v>4343612</v>
      </c>
      <c r="BK38" s="287">
        <v>2610621</v>
      </c>
      <c r="BL38" s="287">
        <v>164682</v>
      </c>
      <c r="BM38" s="496">
        <f t="shared" si="93"/>
        <v>7118915</v>
      </c>
      <c r="BN38" s="287">
        <v>4414955</v>
      </c>
      <c r="BO38" s="287">
        <v>2986853</v>
      </c>
      <c r="BP38" s="287">
        <v>159848</v>
      </c>
      <c r="BQ38" s="496">
        <f t="shared" si="94"/>
        <v>7561656</v>
      </c>
      <c r="BR38" s="496">
        <v>4659084</v>
      </c>
      <c r="BS38" s="496">
        <v>2967160</v>
      </c>
      <c r="BT38" s="496">
        <v>156751</v>
      </c>
      <c r="BU38" s="496">
        <f t="shared" si="95"/>
        <v>7782995</v>
      </c>
      <c r="BV38" s="496">
        <v>4509799</v>
      </c>
      <c r="BW38" s="496">
        <v>2477329</v>
      </c>
      <c r="BX38" s="496">
        <v>164794</v>
      </c>
      <c r="BY38" s="496">
        <f t="shared" si="96"/>
        <v>7151922</v>
      </c>
      <c r="BZ38" s="496">
        <v>4904144</v>
      </c>
      <c r="CA38" s="496">
        <v>2692576</v>
      </c>
      <c r="CB38" s="496">
        <v>152261</v>
      </c>
      <c r="CC38" s="496">
        <f t="shared" si="97"/>
        <v>7748981</v>
      </c>
    </row>
    <row r="39" spans="1:81">
      <c r="A39" s="156">
        <v>227</v>
      </c>
      <c r="B39" s="168" t="s">
        <v>641</v>
      </c>
      <c r="C39" s="155">
        <v>4346782</v>
      </c>
      <c r="D39" s="155">
        <v>2364313</v>
      </c>
      <c r="E39" s="176">
        <f t="shared" si="98"/>
        <v>6711095</v>
      </c>
      <c r="F39" s="155">
        <v>5154597</v>
      </c>
      <c r="G39" s="155">
        <v>2791072</v>
      </c>
      <c r="H39" s="176">
        <f t="shared" si="99"/>
        <v>7945669</v>
      </c>
      <c r="I39" s="155">
        <v>4888032</v>
      </c>
      <c r="J39" s="155">
        <v>2263368</v>
      </c>
      <c r="K39" s="176">
        <f t="shared" si="100"/>
        <v>7151400</v>
      </c>
      <c r="L39" s="155">
        <v>4736438</v>
      </c>
      <c r="M39" s="155">
        <v>2279688</v>
      </c>
      <c r="N39" s="179">
        <f t="shared" si="101"/>
        <v>7016126</v>
      </c>
      <c r="O39" s="104">
        <v>4484896</v>
      </c>
      <c r="P39" s="104">
        <v>2140171</v>
      </c>
      <c r="Q39" s="122">
        <f t="shared" si="102"/>
        <v>6625067</v>
      </c>
      <c r="R39" s="287">
        <v>4275393</v>
      </c>
      <c r="S39" s="287">
        <v>2644992</v>
      </c>
      <c r="T39" s="287">
        <v>66612</v>
      </c>
      <c r="U39" s="122">
        <f t="shared" si="15"/>
        <v>6986997</v>
      </c>
      <c r="V39" s="285">
        <v>4236115</v>
      </c>
      <c r="W39" s="285">
        <v>2303677</v>
      </c>
      <c r="X39" s="285">
        <v>91418</v>
      </c>
      <c r="Y39" s="286">
        <f t="shared" si="16"/>
        <v>6631210</v>
      </c>
      <c r="Z39" s="287">
        <v>4261626</v>
      </c>
      <c r="AA39" s="287">
        <v>2597792</v>
      </c>
      <c r="AB39" s="287">
        <v>103453</v>
      </c>
      <c r="AC39" s="469">
        <f t="shared" si="17"/>
        <v>6962871</v>
      </c>
      <c r="AD39" s="287">
        <v>4093946</v>
      </c>
      <c r="AE39" s="287">
        <v>2630164</v>
      </c>
      <c r="AF39" s="287">
        <v>130556</v>
      </c>
      <c r="AG39" s="469">
        <f t="shared" si="40"/>
        <v>6854666</v>
      </c>
      <c r="AH39" s="287">
        <v>3352141</v>
      </c>
      <c r="AI39" s="287">
        <v>2613514</v>
      </c>
      <c r="AJ39" s="287">
        <v>112754</v>
      </c>
      <c r="AK39" s="469">
        <f t="shared" si="48"/>
        <v>6078409</v>
      </c>
      <c r="AL39" s="287">
        <v>3450471</v>
      </c>
      <c r="AM39" s="287">
        <v>2790157</v>
      </c>
      <c r="AN39" s="287">
        <v>112491</v>
      </c>
      <c r="AO39" s="496">
        <f t="shared" si="87"/>
        <v>6353119</v>
      </c>
      <c r="AP39" s="287">
        <v>3409171</v>
      </c>
      <c r="AQ39" s="287">
        <v>3012558</v>
      </c>
      <c r="AR39" s="287">
        <v>134206</v>
      </c>
      <c r="AS39" s="496">
        <f t="shared" si="88"/>
        <v>6555935</v>
      </c>
      <c r="AT39" s="287">
        <v>3316858</v>
      </c>
      <c r="AU39" s="287">
        <v>2980689</v>
      </c>
      <c r="AV39" s="287">
        <v>130684</v>
      </c>
      <c r="AW39" s="496">
        <f t="shared" si="89"/>
        <v>6428231</v>
      </c>
      <c r="AX39" s="287">
        <v>3274534</v>
      </c>
      <c r="AY39" s="287">
        <v>2987358</v>
      </c>
      <c r="AZ39" s="287">
        <v>155280</v>
      </c>
      <c r="BA39" s="496">
        <f t="shared" si="90"/>
        <v>6417172</v>
      </c>
      <c r="BB39" s="287">
        <v>3188142</v>
      </c>
      <c r="BC39" s="287">
        <v>3029179</v>
      </c>
      <c r="BD39" s="287">
        <v>202612</v>
      </c>
      <c r="BE39" s="496">
        <f t="shared" si="91"/>
        <v>6419933</v>
      </c>
      <c r="BF39" s="287">
        <v>3214522</v>
      </c>
      <c r="BG39" s="287">
        <v>3109766</v>
      </c>
      <c r="BH39" s="287">
        <v>216379</v>
      </c>
      <c r="BI39" s="496">
        <f t="shared" si="92"/>
        <v>6540667</v>
      </c>
      <c r="BJ39" s="287">
        <v>4171740</v>
      </c>
      <c r="BK39" s="287">
        <v>2520247</v>
      </c>
      <c r="BL39" s="287">
        <v>219025</v>
      </c>
      <c r="BM39" s="496">
        <f t="shared" si="93"/>
        <v>6911012</v>
      </c>
      <c r="BN39" s="287">
        <v>4236024</v>
      </c>
      <c r="BO39" s="287">
        <v>2622985</v>
      </c>
      <c r="BP39" s="287">
        <v>373748</v>
      </c>
      <c r="BQ39" s="496">
        <f t="shared" si="94"/>
        <v>7232757</v>
      </c>
      <c r="BR39" s="496">
        <v>4139275</v>
      </c>
      <c r="BS39" s="496">
        <v>2841043</v>
      </c>
      <c r="BT39" s="496">
        <v>367717</v>
      </c>
      <c r="BU39" s="496">
        <f t="shared" si="95"/>
        <v>7348035</v>
      </c>
      <c r="BV39" s="496">
        <v>4230132</v>
      </c>
      <c r="BW39" s="496">
        <v>2816493</v>
      </c>
      <c r="BX39" s="496">
        <v>302518</v>
      </c>
      <c r="BY39" s="496">
        <f t="shared" si="96"/>
        <v>7349143</v>
      </c>
      <c r="BZ39" s="496">
        <v>4471263</v>
      </c>
      <c r="CA39" s="496">
        <v>2868255</v>
      </c>
      <c r="CB39" s="496">
        <v>268784</v>
      </c>
      <c r="CC39" s="496">
        <f t="shared" si="97"/>
        <v>7608302</v>
      </c>
    </row>
    <row r="40" spans="1:81">
      <c r="A40" s="156">
        <v>229</v>
      </c>
      <c r="B40" s="168" t="s">
        <v>228</v>
      </c>
      <c r="C40" s="155">
        <v>6438985</v>
      </c>
      <c r="D40" s="155">
        <v>3782460</v>
      </c>
      <c r="E40" s="176">
        <f t="shared" si="98"/>
        <v>10221445</v>
      </c>
      <c r="F40" s="155">
        <v>7534307</v>
      </c>
      <c r="G40" s="155">
        <v>4326431</v>
      </c>
      <c r="H40" s="176">
        <f t="shared" si="99"/>
        <v>11860738</v>
      </c>
      <c r="I40" s="155">
        <v>6893133</v>
      </c>
      <c r="J40" s="155">
        <v>3379399</v>
      </c>
      <c r="K40" s="176">
        <f t="shared" si="100"/>
        <v>10272532</v>
      </c>
      <c r="L40" s="155">
        <v>6683744</v>
      </c>
      <c r="M40" s="155">
        <v>3553964</v>
      </c>
      <c r="N40" s="179">
        <f t="shared" si="101"/>
        <v>10237708</v>
      </c>
      <c r="O40" s="104">
        <v>6419790</v>
      </c>
      <c r="P40" s="104">
        <v>3129068</v>
      </c>
      <c r="Q40" s="122">
        <f t="shared" si="102"/>
        <v>9548858</v>
      </c>
      <c r="R40" s="287">
        <v>6229733</v>
      </c>
      <c r="S40" s="287">
        <v>3478141</v>
      </c>
      <c r="T40" s="287">
        <v>259349</v>
      </c>
      <c r="U40" s="122">
        <f t="shared" si="15"/>
        <v>9967223</v>
      </c>
      <c r="V40" s="285">
        <v>6029478</v>
      </c>
      <c r="W40" s="285">
        <v>3586489</v>
      </c>
      <c r="X40" s="285">
        <v>260930</v>
      </c>
      <c r="Y40" s="286">
        <f t="shared" si="16"/>
        <v>9876897</v>
      </c>
      <c r="Z40" s="287">
        <v>5945591</v>
      </c>
      <c r="AA40" s="287">
        <v>3624533</v>
      </c>
      <c r="AB40" s="287">
        <v>279826</v>
      </c>
      <c r="AC40" s="469">
        <f t="shared" si="17"/>
        <v>9849950</v>
      </c>
      <c r="AD40" s="287">
        <v>5796684</v>
      </c>
      <c r="AE40" s="287">
        <v>3402926</v>
      </c>
      <c r="AF40" s="287">
        <v>302149</v>
      </c>
      <c r="AG40" s="469">
        <f t="shared" si="40"/>
        <v>9501759</v>
      </c>
      <c r="AH40" s="287">
        <v>4576250</v>
      </c>
      <c r="AI40" s="287">
        <v>3320311</v>
      </c>
      <c r="AJ40" s="287">
        <v>290122</v>
      </c>
      <c r="AK40" s="469">
        <f t="shared" si="48"/>
        <v>8186683</v>
      </c>
      <c r="AL40" s="287">
        <v>4396957</v>
      </c>
      <c r="AM40" s="287">
        <v>3447257</v>
      </c>
      <c r="AN40" s="287">
        <v>301792</v>
      </c>
      <c r="AO40" s="496">
        <f t="shared" si="87"/>
        <v>8146006</v>
      </c>
      <c r="AP40" s="287">
        <v>4401544</v>
      </c>
      <c r="AQ40" s="287">
        <v>3286913</v>
      </c>
      <c r="AR40" s="287">
        <v>284259</v>
      </c>
      <c r="AS40" s="496">
        <f t="shared" si="88"/>
        <v>7972716</v>
      </c>
      <c r="AT40" s="287">
        <v>4374510</v>
      </c>
      <c r="AU40" s="287">
        <v>3327945</v>
      </c>
      <c r="AV40" s="287">
        <v>302543</v>
      </c>
      <c r="AW40" s="496">
        <f t="shared" si="89"/>
        <v>8004998</v>
      </c>
      <c r="AX40" s="287">
        <v>4340295</v>
      </c>
      <c r="AY40" s="287">
        <v>3406847</v>
      </c>
      <c r="AZ40" s="287">
        <v>300931</v>
      </c>
      <c r="BA40" s="496">
        <f t="shared" si="90"/>
        <v>8048073</v>
      </c>
      <c r="BB40" s="287">
        <v>4276387</v>
      </c>
      <c r="BC40" s="287">
        <v>3462661</v>
      </c>
      <c r="BD40" s="287">
        <v>296471</v>
      </c>
      <c r="BE40" s="496">
        <f t="shared" si="91"/>
        <v>8035519</v>
      </c>
      <c r="BF40" s="287">
        <v>4193784</v>
      </c>
      <c r="BG40" s="287">
        <v>3575801</v>
      </c>
      <c r="BH40" s="287">
        <v>307688</v>
      </c>
      <c r="BI40" s="496">
        <f t="shared" si="92"/>
        <v>8077273</v>
      </c>
      <c r="BJ40" s="287">
        <v>5509892</v>
      </c>
      <c r="BK40" s="287">
        <v>3067566</v>
      </c>
      <c r="BL40" s="287">
        <v>364149</v>
      </c>
      <c r="BM40" s="496">
        <f t="shared" si="93"/>
        <v>8941607</v>
      </c>
      <c r="BN40" s="287">
        <v>5279123</v>
      </c>
      <c r="BO40" s="287">
        <v>3307368</v>
      </c>
      <c r="BP40" s="287">
        <v>327582</v>
      </c>
      <c r="BQ40" s="496">
        <f t="shared" si="94"/>
        <v>8914073</v>
      </c>
      <c r="BR40" s="496">
        <v>5278451</v>
      </c>
      <c r="BS40" s="496">
        <v>3525060</v>
      </c>
      <c r="BT40" s="496">
        <v>271494</v>
      </c>
      <c r="BU40" s="496">
        <f t="shared" si="95"/>
        <v>9075005</v>
      </c>
      <c r="BV40" s="496">
        <v>5266761</v>
      </c>
      <c r="BW40" s="496">
        <v>3510432</v>
      </c>
      <c r="BX40" s="496">
        <v>266541</v>
      </c>
      <c r="BY40" s="496">
        <f t="shared" si="96"/>
        <v>9043734</v>
      </c>
      <c r="BZ40" s="496">
        <v>5849972</v>
      </c>
      <c r="CA40" s="496">
        <v>3737065</v>
      </c>
      <c r="CB40" s="496">
        <v>334006</v>
      </c>
      <c r="CC40" s="496">
        <f t="shared" si="97"/>
        <v>9921043</v>
      </c>
    </row>
    <row r="41" spans="1:81">
      <c r="A41" s="156">
        <v>464</v>
      </c>
      <c r="B41" s="168" t="s">
        <v>208</v>
      </c>
      <c r="C41" s="153">
        <v>1852838</v>
      </c>
      <c r="D41" s="153">
        <v>952812</v>
      </c>
      <c r="E41" s="176">
        <f t="shared" si="98"/>
        <v>2805650</v>
      </c>
      <c r="F41" s="153">
        <v>1742856</v>
      </c>
      <c r="G41" s="153">
        <v>911288</v>
      </c>
      <c r="H41" s="176">
        <f t="shared" si="99"/>
        <v>2654144</v>
      </c>
      <c r="I41" s="153">
        <v>1712921</v>
      </c>
      <c r="J41" s="153">
        <v>870426</v>
      </c>
      <c r="K41" s="176">
        <f t="shared" si="100"/>
        <v>2583347</v>
      </c>
      <c r="L41" s="153">
        <v>1622361</v>
      </c>
      <c r="M41" s="153">
        <v>973524</v>
      </c>
      <c r="N41" s="179">
        <f t="shared" si="101"/>
        <v>2595885</v>
      </c>
      <c r="O41" s="104">
        <v>1530869</v>
      </c>
      <c r="P41" s="104">
        <v>1064440</v>
      </c>
      <c r="Q41" s="122">
        <f t="shared" si="102"/>
        <v>2595309</v>
      </c>
      <c r="R41" s="287">
        <v>1537286</v>
      </c>
      <c r="S41" s="287">
        <v>1211558</v>
      </c>
      <c r="T41" s="287">
        <v>15077</v>
      </c>
      <c r="U41" s="122">
        <f t="shared" si="15"/>
        <v>2763921</v>
      </c>
      <c r="V41" s="285">
        <v>1550190</v>
      </c>
      <c r="W41" s="285">
        <v>1102333</v>
      </c>
      <c r="X41" s="285">
        <v>20752</v>
      </c>
      <c r="Y41" s="286">
        <f t="shared" si="16"/>
        <v>2673275</v>
      </c>
      <c r="Z41" s="287">
        <v>1578980</v>
      </c>
      <c r="AA41" s="287">
        <v>1189744</v>
      </c>
      <c r="AB41" s="287">
        <v>34839</v>
      </c>
      <c r="AC41" s="469">
        <f t="shared" si="17"/>
        <v>2803563</v>
      </c>
      <c r="AD41" s="287">
        <v>1497615</v>
      </c>
      <c r="AE41" s="287">
        <v>1162194</v>
      </c>
      <c r="AF41" s="287">
        <v>37031</v>
      </c>
      <c r="AG41" s="469">
        <f t="shared" si="40"/>
        <v>2696840</v>
      </c>
      <c r="AH41" s="287">
        <v>1535084</v>
      </c>
      <c r="AI41" s="287">
        <v>1053574</v>
      </c>
      <c r="AJ41" s="287">
        <v>50075</v>
      </c>
      <c r="AK41" s="469">
        <f t="shared" si="48"/>
        <v>2638733</v>
      </c>
      <c r="AL41" s="287">
        <v>1498662</v>
      </c>
      <c r="AM41" s="287">
        <v>1083618</v>
      </c>
      <c r="AN41" s="287">
        <v>47801</v>
      </c>
      <c r="AO41" s="496">
        <f t="shared" si="87"/>
        <v>2630081</v>
      </c>
      <c r="AP41" s="287">
        <v>1540351</v>
      </c>
      <c r="AQ41" s="287">
        <v>1150655</v>
      </c>
      <c r="AR41" s="287">
        <v>35445</v>
      </c>
      <c r="AS41" s="496">
        <f t="shared" si="88"/>
        <v>2726451</v>
      </c>
      <c r="AT41" s="287">
        <v>1473982</v>
      </c>
      <c r="AU41" s="287">
        <v>1300780</v>
      </c>
      <c r="AV41" s="287">
        <v>46906</v>
      </c>
      <c r="AW41" s="496">
        <f t="shared" si="89"/>
        <v>2821668</v>
      </c>
      <c r="AX41" s="287">
        <v>1424229</v>
      </c>
      <c r="AY41" s="287">
        <v>1380039</v>
      </c>
      <c r="AZ41" s="287">
        <v>47516</v>
      </c>
      <c r="BA41" s="496">
        <f t="shared" si="90"/>
        <v>2851784</v>
      </c>
      <c r="BB41" s="287">
        <v>1450601</v>
      </c>
      <c r="BC41" s="287">
        <v>1301299</v>
      </c>
      <c r="BD41" s="287">
        <v>32732</v>
      </c>
      <c r="BE41" s="496">
        <f t="shared" si="91"/>
        <v>2784632</v>
      </c>
      <c r="BF41" s="287">
        <v>1442913</v>
      </c>
      <c r="BG41" s="287">
        <v>1347484</v>
      </c>
      <c r="BH41" s="287">
        <v>27799</v>
      </c>
      <c r="BI41" s="496">
        <f t="shared" si="92"/>
        <v>2818196</v>
      </c>
      <c r="BJ41" s="287">
        <v>1745006</v>
      </c>
      <c r="BK41" s="287">
        <v>1405241</v>
      </c>
      <c r="BL41" s="287">
        <v>36015</v>
      </c>
      <c r="BM41" s="496">
        <f t="shared" si="93"/>
        <v>3186262</v>
      </c>
      <c r="BN41" s="287">
        <v>1745683</v>
      </c>
      <c r="BO41" s="287">
        <v>1382029</v>
      </c>
      <c r="BP41" s="287">
        <v>55657</v>
      </c>
      <c r="BQ41" s="496">
        <f t="shared" si="94"/>
        <v>3183369</v>
      </c>
      <c r="BR41" s="496">
        <v>1810307</v>
      </c>
      <c r="BS41" s="496">
        <v>1618449</v>
      </c>
      <c r="BT41" s="496">
        <v>58850</v>
      </c>
      <c r="BU41" s="496">
        <f t="shared" si="95"/>
        <v>3487606</v>
      </c>
      <c r="BV41" s="496">
        <v>1896908</v>
      </c>
      <c r="BW41" s="496">
        <v>1577532</v>
      </c>
      <c r="BX41" s="496">
        <v>9836</v>
      </c>
      <c r="BY41" s="496">
        <f t="shared" si="96"/>
        <v>3484276</v>
      </c>
      <c r="BZ41" s="496">
        <v>2154773</v>
      </c>
      <c r="CA41" s="496">
        <v>1687301</v>
      </c>
      <c r="CB41" s="496">
        <v>25930</v>
      </c>
      <c r="CC41" s="496">
        <f t="shared" si="97"/>
        <v>3868004</v>
      </c>
    </row>
    <row r="42" spans="1:81">
      <c r="A42" s="156">
        <v>481</v>
      </c>
      <c r="B42" s="168" t="s">
        <v>209</v>
      </c>
      <c r="C42" s="153">
        <v>1451415</v>
      </c>
      <c r="D42" s="153">
        <v>1278518</v>
      </c>
      <c r="E42" s="176">
        <f t="shared" si="98"/>
        <v>2729933</v>
      </c>
      <c r="F42" s="153">
        <v>1464281</v>
      </c>
      <c r="G42" s="153">
        <v>1159813</v>
      </c>
      <c r="H42" s="176">
        <f t="shared" si="99"/>
        <v>2624094</v>
      </c>
      <c r="I42" s="153">
        <v>1320301</v>
      </c>
      <c r="J42" s="153">
        <v>959061</v>
      </c>
      <c r="K42" s="176">
        <f t="shared" si="100"/>
        <v>2279362</v>
      </c>
      <c r="L42" s="153">
        <v>1308128</v>
      </c>
      <c r="M42" s="153">
        <v>954596</v>
      </c>
      <c r="N42" s="179">
        <f t="shared" si="101"/>
        <v>2262724</v>
      </c>
      <c r="O42" s="104">
        <v>1224453</v>
      </c>
      <c r="P42" s="104">
        <v>898792</v>
      </c>
      <c r="Q42" s="122">
        <f t="shared" si="102"/>
        <v>2123245</v>
      </c>
      <c r="R42" s="287">
        <v>1236202</v>
      </c>
      <c r="S42" s="287">
        <v>1071927</v>
      </c>
      <c r="T42" s="287">
        <v>93203</v>
      </c>
      <c r="U42" s="122">
        <f t="shared" si="15"/>
        <v>2401332</v>
      </c>
      <c r="V42" s="285">
        <v>1221977</v>
      </c>
      <c r="W42" s="285">
        <v>1173249</v>
      </c>
      <c r="X42" s="285">
        <v>50108</v>
      </c>
      <c r="Y42" s="286">
        <f t="shared" si="16"/>
        <v>2445334</v>
      </c>
      <c r="Z42" s="287">
        <v>1274541</v>
      </c>
      <c r="AA42" s="287">
        <v>1194552</v>
      </c>
      <c r="AB42" s="287">
        <v>53143</v>
      </c>
      <c r="AC42" s="469">
        <f t="shared" si="17"/>
        <v>2522236</v>
      </c>
      <c r="AD42" s="287">
        <v>1246582</v>
      </c>
      <c r="AE42" s="287">
        <v>1147009</v>
      </c>
      <c r="AF42" s="287">
        <v>48657</v>
      </c>
      <c r="AG42" s="469">
        <f t="shared" si="40"/>
        <v>2442248</v>
      </c>
      <c r="AH42" s="287">
        <v>1147072</v>
      </c>
      <c r="AI42" s="287">
        <v>1159735</v>
      </c>
      <c r="AJ42" s="287">
        <v>35255</v>
      </c>
      <c r="AK42" s="469">
        <f t="shared" si="48"/>
        <v>2342062</v>
      </c>
      <c r="AL42" s="287">
        <v>1249649</v>
      </c>
      <c r="AM42" s="287">
        <v>1154959</v>
      </c>
      <c r="AN42" s="287">
        <v>42940</v>
      </c>
      <c r="AO42" s="496">
        <f t="shared" si="87"/>
        <v>2447548</v>
      </c>
      <c r="AP42" s="287">
        <v>1192188</v>
      </c>
      <c r="AQ42" s="287">
        <v>1125496</v>
      </c>
      <c r="AR42" s="287">
        <v>63544</v>
      </c>
      <c r="AS42" s="496">
        <f t="shared" si="88"/>
        <v>2381228</v>
      </c>
      <c r="AT42" s="287">
        <v>1145557</v>
      </c>
      <c r="AU42" s="287">
        <v>1195546</v>
      </c>
      <c r="AV42" s="287">
        <v>27134</v>
      </c>
      <c r="AW42" s="496">
        <f t="shared" si="89"/>
        <v>2368237</v>
      </c>
      <c r="AX42" s="287">
        <v>1131996</v>
      </c>
      <c r="AY42" s="287">
        <v>1122524</v>
      </c>
      <c r="AZ42" s="287">
        <v>24409</v>
      </c>
      <c r="BA42" s="496">
        <f t="shared" si="90"/>
        <v>2278929</v>
      </c>
      <c r="BB42" s="287">
        <v>1126181</v>
      </c>
      <c r="BC42" s="287">
        <v>1176348</v>
      </c>
      <c r="BD42" s="287">
        <v>21616</v>
      </c>
      <c r="BE42" s="496">
        <f t="shared" si="91"/>
        <v>2324145</v>
      </c>
      <c r="BF42" s="287">
        <v>1122693</v>
      </c>
      <c r="BG42" s="287">
        <v>1244101</v>
      </c>
      <c r="BH42" s="287">
        <v>17428</v>
      </c>
      <c r="BI42" s="496">
        <f t="shared" si="92"/>
        <v>2384222</v>
      </c>
      <c r="BJ42" s="287">
        <v>1338761</v>
      </c>
      <c r="BK42" s="287">
        <v>1104154</v>
      </c>
      <c r="BL42" s="287">
        <v>20207</v>
      </c>
      <c r="BM42" s="496">
        <f t="shared" si="93"/>
        <v>2463122</v>
      </c>
      <c r="BN42" s="287">
        <v>1346406</v>
      </c>
      <c r="BO42" s="287">
        <v>1292373</v>
      </c>
      <c r="BP42" s="287">
        <v>19421</v>
      </c>
      <c r="BQ42" s="496">
        <f t="shared" si="94"/>
        <v>2658200</v>
      </c>
      <c r="BR42" s="496">
        <v>1333960</v>
      </c>
      <c r="BS42" s="496">
        <v>1222042</v>
      </c>
      <c r="BT42" s="496">
        <v>27052</v>
      </c>
      <c r="BU42" s="496">
        <f t="shared" si="95"/>
        <v>2583054</v>
      </c>
      <c r="BV42" s="496">
        <v>1382648</v>
      </c>
      <c r="BW42" s="496">
        <v>1478799</v>
      </c>
      <c r="BX42" s="496">
        <v>27281</v>
      </c>
      <c r="BY42" s="496">
        <f t="shared" si="96"/>
        <v>2888728</v>
      </c>
      <c r="BZ42" s="496">
        <v>1531763</v>
      </c>
      <c r="CA42" s="496">
        <v>1226369</v>
      </c>
      <c r="CB42" s="496">
        <v>27213</v>
      </c>
      <c r="CC42" s="496">
        <f t="shared" si="97"/>
        <v>2785345</v>
      </c>
    </row>
    <row r="43" spans="1:81">
      <c r="A43" s="156">
        <v>501</v>
      </c>
      <c r="B43" s="168" t="s">
        <v>657</v>
      </c>
      <c r="C43" s="155">
        <v>3001191</v>
      </c>
      <c r="D43" s="155">
        <v>1378896</v>
      </c>
      <c r="E43" s="176">
        <f t="shared" si="98"/>
        <v>4380087</v>
      </c>
      <c r="F43" s="155">
        <v>3672258</v>
      </c>
      <c r="G43" s="155">
        <v>1917664</v>
      </c>
      <c r="H43" s="176">
        <f t="shared" si="99"/>
        <v>5589922</v>
      </c>
      <c r="I43" s="155">
        <v>3334447</v>
      </c>
      <c r="J43" s="155">
        <v>1514657</v>
      </c>
      <c r="K43" s="176">
        <f t="shared" si="100"/>
        <v>4849104</v>
      </c>
      <c r="L43" s="155">
        <v>3202494</v>
      </c>
      <c r="M43" s="155">
        <v>1514610</v>
      </c>
      <c r="N43" s="179">
        <f t="shared" si="101"/>
        <v>4717104</v>
      </c>
      <c r="O43" s="104">
        <v>3183545</v>
      </c>
      <c r="P43" s="104">
        <v>1497427</v>
      </c>
      <c r="Q43" s="122">
        <f t="shared" si="102"/>
        <v>4680972</v>
      </c>
      <c r="R43" s="287">
        <v>3116459</v>
      </c>
      <c r="S43" s="287">
        <v>2688399</v>
      </c>
      <c r="T43" s="287">
        <v>113909</v>
      </c>
      <c r="U43" s="122">
        <f t="shared" si="15"/>
        <v>5918767</v>
      </c>
      <c r="V43" s="285">
        <v>3061097</v>
      </c>
      <c r="W43" s="285">
        <v>1698666</v>
      </c>
      <c r="X43" s="285">
        <v>66530</v>
      </c>
      <c r="Y43" s="286">
        <f t="shared" si="16"/>
        <v>4826293</v>
      </c>
      <c r="Z43" s="287">
        <v>2992178</v>
      </c>
      <c r="AA43" s="287">
        <v>1659286</v>
      </c>
      <c r="AB43" s="287">
        <v>57580</v>
      </c>
      <c r="AC43" s="469">
        <f t="shared" si="17"/>
        <v>4709044</v>
      </c>
      <c r="AD43" s="287">
        <v>2857698</v>
      </c>
      <c r="AE43" s="287">
        <v>1624293</v>
      </c>
      <c r="AF43" s="287">
        <v>57969</v>
      </c>
      <c r="AG43" s="469">
        <f t="shared" si="40"/>
        <v>4539960</v>
      </c>
      <c r="AH43" s="287">
        <v>2281127</v>
      </c>
      <c r="AI43" s="287">
        <v>1558372</v>
      </c>
      <c r="AJ43" s="287">
        <v>51165</v>
      </c>
      <c r="AK43" s="469">
        <f t="shared" si="48"/>
        <v>3890664</v>
      </c>
      <c r="AL43" s="287">
        <v>2215869</v>
      </c>
      <c r="AM43" s="287">
        <v>1611867</v>
      </c>
      <c r="AN43" s="287">
        <v>51825</v>
      </c>
      <c r="AO43" s="496">
        <f t="shared" si="87"/>
        <v>3879561</v>
      </c>
      <c r="AP43" s="287">
        <v>2188833</v>
      </c>
      <c r="AQ43" s="287">
        <v>1792621</v>
      </c>
      <c r="AR43" s="287">
        <v>59813</v>
      </c>
      <c r="AS43" s="496">
        <f t="shared" si="88"/>
        <v>4041267</v>
      </c>
      <c r="AT43" s="287">
        <v>1983773</v>
      </c>
      <c r="AU43" s="287">
        <v>1801389</v>
      </c>
      <c r="AV43" s="287">
        <v>64311</v>
      </c>
      <c r="AW43" s="496">
        <f t="shared" si="89"/>
        <v>3849473</v>
      </c>
      <c r="AX43" s="287">
        <v>1980833</v>
      </c>
      <c r="AY43" s="287">
        <v>1787621</v>
      </c>
      <c r="AZ43" s="287">
        <v>64266</v>
      </c>
      <c r="BA43" s="496">
        <f t="shared" si="90"/>
        <v>3832720</v>
      </c>
      <c r="BB43" s="287">
        <v>1955099</v>
      </c>
      <c r="BC43" s="287">
        <v>1754908</v>
      </c>
      <c r="BD43" s="287">
        <v>57653</v>
      </c>
      <c r="BE43" s="496">
        <f t="shared" si="91"/>
        <v>3767660</v>
      </c>
      <c r="BF43" s="287">
        <v>1907997</v>
      </c>
      <c r="BG43" s="287">
        <v>1639436</v>
      </c>
      <c r="BH43" s="287">
        <v>75511</v>
      </c>
      <c r="BI43" s="496">
        <f t="shared" si="92"/>
        <v>3622944</v>
      </c>
      <c r="BJ43" s="287">
        <v>2336647</v>
      </c>
      <c r="BK43" s="287">
        <v>1756249</v>
      </c>
      <c r="BL43" s="287">
        <v>69048</v>
      </c>
      <c r="BM43" s="496">
        <f t="shared" si="93"/>
        <v>4161944</v>
      </c>
      <c r="BN43" s="287">
        <v>2309901</v>
      </c>
      <c r="BO43" s="287">
        <v>1536668</v>
      </c>
      <c r="BP43" s="287">
        <v>88713</v>
      </c>
      <c r="BQ43" s="496">
        <f t="shared" si="94"/>
        <v>3935282</v>
      </c>
      <c r="BR43" s="496">
        <v>2307192</v>
      </c>
      <c r="BS43" s="496">
        <v>1882455</v>
      </c>
      <c r="BT43" s="496">
        <v>96291</v>
      </c>
      <c r="BU43" s="496">
        <f t="shared" si="95"/>
        <v>4285938</v>
      </c>
      <c r="BV43" s="496">
        <v>2361913</v>
      </c>
      <c r="BW43" s="496">
        <v>1436019</v>
      </c>
      <c r="BX43" s="496">
        <v>83775</v>
      </c>
      <c r="BY43" s="496">
        <f t="shared" si="96"/>
        <v>3881707</v>
      </c>
      <c r="BZ43" s="496">
        <v>2533162</v>
      </c>
      <c r="CA43" s="496">
        <v>1750318</v>
      </c>
      <c r="CB43" s="496">
        <v>55360</v>
      </c>
      <c r="CC43" s="496">
        <f t="shared" si="97"/>
        <v>4338840</v>
      </c>
    </row>
    <row r="44" spans="1:81">
      <c r="A44" s="135"/>
      <c r="B44" s="170" t="s">
        <v>210</v>
      </c>
      <c r="C44" s="153">
        <v>19678409</v>
      </c>
      <c r="D44" s="153">
        <v>13858811</v>
      </c>
      <c r="E44" s="176">
        <f t="shared" si="98"/>
        <v>33537220</v>
      </c>
      <c r="F44" s="153">
        <v>21754743</v>
      </c>
      <c r="G44" s="153">
        <v>15981442</v>
      </c>
      <c r="H44" s="176">
        <f t="shared" si="99"/>
        <v>37736185</v>
      </c>
      <c r="I44" s="153">
        <v>19972318</v>
      </c>
      <c r="J44" s="153">
        <v>12863501</v>
      </c>
      <c r="K44" s="176">
        <f t="shared" si="100"/>
        <v>32835819</v>
      </c>
      <c r="L44" s="153">
        <v>19669211</v>
      </c>
      <c r="M44" s="153">
        <v>12818152</v>
      </c>
      <c r="N44" s="179">
        <f t="shared" si="101"/>
        <v>32487363</v>
      </c>
      <c r="O44" s="104">
        <v>19331267</v>
      </c>
      <c r="P44" s="104">
        <v>12353067</v>
      </c>
      <c r="Q44" s="122">
        <f t="shared" si="102"/>
        <v>31684334</v>
      </c>
      <c r="R44" s="287">
        <f t="shared" ref="R44:Y44" si="103">SUM(R45:R49)</f>
        <v>19017979</v>
      </c>
      <c r="S44" s="287">
        <f t="shared" si="103"/>
        <v>13700428</v>
      </c>
      <c r="T44" s="287">
        <f t="shared" si="103"/>
        <v>881885</v>
      </c>
      <c r="U44" s="287">
        <f t="shared" si="103"/>
        <v>33600292</v>
      </c>
      <c r="V44" s="287">
        <f t="shared" si="103"/>
        <v>18590870</v>
      </c>
      <c r="W44" s="287">
        <f t="shared" si="103"/>
        <v>13687685</v>
      </c>
      <c r="X44" s="287">
        <f t="shared" si="103"/>
        <v>1132332</v>
      </c>
      <c r="Y44" s="287">
        <f t="shared" si="103"/>
        <v>33410887</v>
      </c>
      <c r="Z44" s="287">
        <f t="shared" ref="Z44:AF44" si="104">SUM(Z45:Z49)</f>
        <v>18948626</v>
      </c>
      <c r="AA44" s="287">
        <f t="shared" si="104"/>
        <v>13878970</v>
      </c>
      <c r="AB44" s="287">
        <f t="shared" si="104"/>
        <v>1289736</v>
      </c>
      <c r="AC44" s="287">
        <f t="shared" si="104"/>
        <v>34117332</v>
      </c>
      <c r="AD44" s="287">
        <f t="shared" si="104"/>
        <v>18618106</v>
      </c>
      <c r="AE44" s="287">
        <f t="shared" si="104"/>
        <v>13619462</v>
      </c>
      <c r="AF44" s="287">
        <f t="shared" si="104"/>
        <v>1121062</v>
      </c>
      <c r="AG44" s="469">
        <f t="shared" si="40"/>
        <v>33358630</v>
      </c>
      <c r="AH44" s="287">
        <f t="shared" ref="AH44:AO44" si="105">SUM(AH45:AH49)</f>
        <v>16736500</v>
      </c>
      <c r="AI44" s="287">
        <f t="shared" si="105"/>
        <v>14178304</v>
      </c>
      <c r="AJ44" s="287">
        <f t="shared" si="105"/>
        <v>879835</v>
      </c>
      <c r="AK44" s="287">
        <f t="shared" si="105"/>
        <v>31794639</v>
      </c>
      <c r="AL44" s="287">
        <f t="shared" si="105"/>
        <v>16680133</v>
      </c>
      <c r="AM44" s="287">
        <f t="shared" si="105"/>
        <v>14500460</v>
      </c>
      <c r="AN44" s="287">
        <f t="shared" si="105"/>
        <v>957924</v>
      </c>
      <c r="AO44" s="287">
        <f t="shared" si="105"/>
        <v>32138517</v>
      </c>
      <c r="AP44" s="287">
        <v>16323453</v>
      </c>
      <c r="AQ44" s="287">
        <v>14732710</v>
      </c>
      <c r="AR44" s="287">
        <v>864022</v>
      </c>
      <c r="AS44" s="287">
        <f t="shared" ref="AS44:BA44" si="106">SUM(AS45:AS49)</f>
        <v>31920185</v>
      </c>
      <c r="AT44" s="287">
        <f t="shared" si="106"/>
        <v>16027312</v>
      </c>
      <c r="AU44" s="287">
        <f t="shared" si="106"/>
        <v>14969140</v>
      </c>
      <c r="AV44" s="287">
        <f t="shared" si="106"/>
        <v>1218471</v>
      </c>
      <c r="AW44" s="287">
        <f t="shared" si="106"/>
        <v>32214923</v>
      </c>
      <c r="AX44" s="287">
        <v>16167911</v>
      </c>
      <c r="AY44" s="287">
        <v>14790093</v>
      </c>
      <c r="AZ44" s="287">
        <v>1187788</v>
      </c>
      <c r="BA44" s="287">
        <f t="shared" si="106"/>
        <v>32145792</v>
      </c>
      <c r="BB44" s="287">
        <v>16085978</v>
      </c>
      <c r="BC44" s="287">
        <v>14290019</v>
      </c>
      <c r="BD44" s="287">
        <v>812027</v>
      </c>
      <c r="BE44" s="287">
        <f t="shared" ref="BE44:BM44" si="107">SUM(BE45:BE49)</f>
        <v>31188024</v>
      </c>
      <c r="BF44" s="287">
        <f t="shared" si="107"/>
        <v>16002509</v>
      </c>
      <c r="BG44" s="287">
        <f t="shared" si="107"/>
        <v>14670278</v>
      </c>
      <c r="BH44" s="287">
        <f t="shared" si="107"/>
        <v>820538</v>
      </c>
      <c r="BI44" s="287">
        <f t="shared" si="107"/>
        <v>31493325</v>
      </c>
      <c r="BJ44" s="287">
        <f t="shared" si="107"/>
        <v>18253767</v>
      </c>
      <c r="BK44" s="287">
        <f t="shared" si="107"/>
        <v>15298379</v>
      </c>
      <c r="BL44" s="287">
        <f t="shared" si="107"/>
        <v>1341353</v>
      </c>
      <c r="BM44" s="287">
        <f t="shared" si="107"/>
        <v>34893499</v>
      </c>
      <c r="BN44" s="287">
        <v>18836430</v>
      </c>
      <c r="BO44" s="287">
        <v>15828812</v>
      </c>
      <c r="BP44" s="287">
        <v>1625694</v>
      </c>
      <c r="BQ44" s="287">
        <f t="shared" ref="BQ44" si="108">SUM(BQ45:BQ49)</f>
        <v>36290936</v>
      </c>
      <c r="BR44" s="287">
        <v>18699781</v>
      </c>
      <c r="BS44" s="287">
        <v>17896435</v>
      </c>
      <c r="BT44" s="287">
        <v>1272610</v>
      </c>
      <c r="BU44" s="287">
        <f t="shared" ref="BU44" si="109">SUM(BU45:BU49)</f>
        <v>37868826</v>
      </c>
      <c r="BV44" s="287">
        <v>18973923</v>
      </c>
      <c r="BW44" s="287">
        <v>15195702</v>
      </c>
      <c r="BX44" s="287">
        <v>1456554</v>
      </c>
      <c r="BY44" s="287">
        <f t="shared" ref="BY44" si="110">SUM(BY45:BY49)</f>
        <v>35626179</v>
      </c>
      <c r="BZ44" s="287">
        <v>20660933</v>
      </c>
      <c r="CA44" s="287">
        <v>16031730</v>
      </c>
      <c r="CB44" s="287">
        <v>2406926</v>
      </c>
      <c r="CC44" s="287">
        <f t="shared" ref="CC44" si="111">SUM(CC45:CC49)</f>
        <v>39099589</v>
      </c>
    </row>
    <row r="45" spans="1:81">
      <c r="A45" s="156">
        <v>209</v>
      </c>
      <c r="B45" s="171" t="s">
        <v>242</v>
      </c>
      <c r="C45" s="155">
        <v>8192070</v>
      </c>
      <c r="D45" s="155">
        <v>5154055</v>
      </c>
      <c r="E45" s="176">
        <f t="shared" si="98"/>
        <v>13346125</v>
      </c>
      <c r="F45" s="155">
        <v>9597650</v>
      </c>
      <c r="G45" s="155">
        <v>6334077</v>
      </c>
      <c r="H45" s="176">
        <f t="shared" si="99"/>
        <v>15931727</v>
      </c>
      <c r="I45" s="155">
        <v>8800250</v>
      </c>
      <c r="J45" s="155">
        <v>4756511</v>
      </c>
      <c r="K45" s="176">
        <f t="shared" si="100"/>
        <v>13556761</v>
      </c>
      <c r="L45" s="155">
        <v>8818774</v>
      </c>
      <c r="M45" s="155">
        <v>4897928</v>
      </c>
      <c r="N45" s="179">
        <f t="shared" si="101"/>
        <v>13716702</v>
      </c>
      <c r="O45" s="104">
        <v>8690786</v>
      </c>
      <c r="P45" s="104">
        <v>4894512</v>
      </c>
      <c r="Q45" s="122">
        <f t="shared" si="102"/>
        <v>13585298</v>
      </c>
      <c r="R45" s="287">
        <v>8435032</v>
      </c>
      <c r="S45" s="287">
        <v>5572239</v>
      </c>
      <c r="T45" s="287">
        <v>425407</v>
      </c>
      <c r="U45" s="122">
        <f t="shared" si="15"/>
        <v>14432678</v>
      </c>
      <c r="V45" s="285">
        <v>8194415</v>
      </c>
      <c r="W45" s="285">
        <v>5292718</v>
      </c>
      <c r="X45" s="285">
        <v>520622</v>
      </c>
      <c r="Y45" s="286">
        <f t="shared" si="16"/>
        <v>14007755</v>
      </c>
      <c r="Z45" s="287">
        <v>8447838</v>
      </c>
      <c r="AA45" s="287">
        <v>5335638</v>
      </c>
      <c r="AB45" s="287">
        <v>552206</v>
      </c>
      <c r="AC45" s="469">
        <f t="shared" si="17"/>
        <v>14335682</v>
      </c>
      <c r="AD45" s="287">
        <v>8330753</v>
      </c>
      <c r="AE45" s="287">
        <v>5107256</v>
      </c>
      <c r="AF45" s="287">
        <v>557447</v>
      </c>
      <c r="AG45" s="469">
        <f t="shared" si="40"/>
        <v>13995456</v>
      </c>
      <c r="AH45" s="287">
        <v>7900690</v>
      </c>
      <c r="AI45" s="287">
        <v>5613621</v>
      </c>
      <c r="AJ45" s="287">
        <v>334158</v>
      </c>
      <c r="AK45" s="469">
        <f t="shared" si="48"/>
        <v>13848469</v>
      </c>
      <c r="AL45" s="287">
        <v>7873008</v>
      </c>
      <c r="AM45" s="287">
        <v>5784294</v>
      </c>
      <c r="AN45" s="287">
        <v>321752</v>
      </c>
      <c r="AO45" s="496">
        <f>AL45+AM45+AN45</f>
        <v>13979054</v>
      </c>
      <c r="AP45" s="287">
        <v>7891226</v>
      </c>
      <c r="AQ45" s="287">
        <v>5663105</v>
      </c>
      <c r="AR45" s="287">
        <v>300497</v>
      </c>
      <c r="AS45" s="496">
        <f>AP45+AQ45+AR45</f>
        <v>13854828</v>
      </c>
      <c r="AT45" s="287">
        <v>7660430</v>
      </c>
      <c r="AU45" s="287">
        <v>5948879</v>
      </c>
      <c r="AV45" s="287">
        <v>255601</v>
      </c>
      <c r="AW45" s="496">
        <f>AT45+AU45+AV45</f>
        <v>13864910</v>
      </c>
      <c r="AX45" s="287">
        <v>7726835</v>
      </c>
      <c r="AY45" s="287">
        <v>5768396</v>
      </c>
      <c r="AZ45" s="287">
        <v>243602</v>
      </c>
      <c r="BA45" s="496">
        <f>AX45+AY45+AZ45</f>
        <v>13738833</v>
      </c>
      <c r="BB45" s="287">
        <v>7740106</v>
      </c>
      <c r="BC45" s="287">
        <v>5365901</v>
      </c>
      <c r="BD45" s="287">
        <v>274725</v>
      </c>
      <c r="BE45" s="496">
        <f>BB45+BC45+BD45</f>
        <v>13380732</v>
      </c>
      <c r="BF45" s="287">
        <v>7722614</v>
      </c>
      <c r="BG45" s="287">
        <v>5524555</v>
      </c>
      <c r="BH45" s="287">
        <v>270843</v>
      </c>
      <c r="BI45" s="496">
        <f>BF45+BG45+BH45</f>
        <v>13518012</v>
      </c>
      <c r="BJ45" s="287">
        <v>7887176</v>
      </c>
      <c r="BK45" s="287">
        <v>6720131</v>
      </c>
      <c r="BL45" s="287">
        <v>248934</v>
      </c>
      <c r="BM45" s="496">
        <f>BJ45+BK45+BL45</f>
        <v>14856241</v>
      </c>
      <c r="BN45" s="287">
        <v>8073762</v>
      </c>
      <c r="BO45" s="287">
        <v>7219709</v>
      </c>
      <c r="BP45" s="287">
        <v>215704</v>
      </c>
      <c r="BQ45" s="496">
        <f>BN45+BO45+BP45</f>
        <v>15509175</v>
      </c>
      <c r="BR45" s="496">
        <v>7949790</v>
      </c>
      <c r="BS45" s="496">
        <v>8490392</v>
      </c>
      <c r="BT45" s="496">
        <v>235936</v>
      </c>
      <c r="BU45" s="496">
        <f>BR45+BS45+BT45</f>
        <v>16676118</v>
      </c>
      <c r="BV45" s="496">
        <v>7929760</v>
      </c>
      <c r="BW45" s="496">
        <v>6224029</v>
      </c>
      <c r="BX45" s="496">
        <v>581646</v>
      </c>
      <c r="BY45" s="496">
        <f>BV45+BW45+BX45</f>
        <v>14735435</v>
      </c>
      <c r="BZ45" s="496">
        <v>8570330</v>
      </c>
      <c r="CA45" s="496">
        <v>6408417</v>
      </c>
      <c r="CB45" s="496">
        <v>1060602</v>
      </c>
      <c r="CC45" s="496">
        <f>BZ45+CA45+CB45</f>
        <v>16039349</v>
      </c>
    </row>
    <row r="46" spans="1:81">
      <c r="A46" s="156">
        <v>222</v>
      </c>
      <c r="B46" s="168" t="s">
        <v>218</v>
      </c>
      <c r="C46" s="155">
        <v>3623176</v>
      </c>
      <c r="D46" s="155">
        <v>2701815</v>
      </c>
      <c r="E46" s="176">
        <f t="shared" si="98"/>
        <v>6324991</v>
      </c>
      <c r="F46" s="155">
        <v>3436366</v>
      </c>
      <c r="G46" s="155">
        <v>2392817</v>
      </c>
      <c r="H46" s="176">
        <f t="shared" si="99"/>
        <v>5829183</v>
      </c>
      <c r="I46" s="155">
        <v>3255621</v>
      </c>
      <c r="J46" s="155">
        <v>2094277</v>
      </c>
      <c r="K46" s="176">
        <f t="shared" si="100"/>
        <v>5349898</v>
      </c>
      <c r="L46" s="155">
        <v>3124419</v>
      </c>
      <c r="M46" s="155">
        <v>1964680</v>
      </c>
      <c r="N46" s="179">
        <f t="shared" si="101"/>
        <v>5089099</v>
      </c>
      <c r="O46" s="104">
        <v>3039054</v>
      </c>
      <c r="P46" s="104">
        <v>1902167</v>
      </c>
      <c r="Q46" s="122">
        <f t="shared" si="102"/>
        <v>4941221</v>
      </c>
      <c r="R46" s="287">
        <v>3091449</v>
      </c>
      <c r="S46" s="287">
        <v>2176482</v>
      </c>
      <c r="T46" s="287">
        <v>253144</v>
      </c>
      <c r="U46" s="122">
        <f t="shared" si="15"/>
        <v>5521075</v>
      </c>
      <c r="V46" s="285">
        <v>2972802</v>
      </c>
      <c r="W46" s="285">
        <v>2097785</v>
      </c>
      <c r="X46" s="285">
        <v>291514</v>
      </c>
      <c r="Y46" s="286">
        <f t="shared" si="16"/>
        <v>5362101</v>
      </c>
      <c r="Z46" s="287">
        <v>3058239</v>
      </c>
      <c r="AA46" s="287">
        <v>2100030</v>
      </c>
      <c r="AB46" s="287">
        <v>343577</v>
      </c>
      <c r="AC46" s="469">
        <f t="shared" si="17"/>
        <v>5501846</v>
      </c>
      <c r="AD46" s="287">
        <v>2959363</v>
      </c>
      <c r="AE46" s="287">
        <v>2233768</v>
      </c>
      <c r="AF46" s="287">
        <v>263272</v>
      </c>
      <c r="AG46" s="469">
        <f t="shared" si="40"/>
        <v>5456403</v>
      </c>
      <c r="AH46" s="287">
        <v>2426595</v>
      </c>
      <c r="AI46" s="287">
        <v>2199240</v>
      </c>
      <c r="AJ46" s="287">
        <v>283287</v>
      </c>
      <c r="AK46" s="469">
        <f t="shared" si="48"/>
        <v>4909122</v>
      </c>
      <c r="AL46" s="287">
        <v>2423465</v>
      </c>
      <c r="AM46" s="287">
        <v>2284779</v>
      </c>
      <c r="AN46" s="287">
        <v>287312</v>
      </c>
      <c r="AO46" s="496">
        <f>AL46+AM46+AN46</f>
        <v>4995556</v>
      </c>
      <c r="AP46" s="287">
        <v>2354357</v>
      </c>
      <c r="AQ46" s="287">
        <v>2118884</v>
      </c>
      <c r="AR46" s="287">
        <v>253842</v>
      </c>
      <c r="AS46" s="496">
        <f>AP46+AQ46+AR46</f>
        <v>4727083</v>
      </c>
      <c r="AT46" s="287">
        <v>2374997</v>
      </c>
      <c r="AU46" s="287">
        <v>2181993</v>
      </c>
      <c r="AV46" s="287">
        <v>399456</v>
      </c>
      <c r="AW46" s="496">
        <f>AT46+AU46+AV46</f>
        <v>4956446</v>
      </c>
      <c r="AX46" s="287">
        <v>2390042</v>
      </c>
      <c r="AY46" s="287">
        <v>2204928</v>
      </c>
      <c r="AZ46" s="287">
        <v>327672</v>
      </c>
      <c r="BA46" s="496">
        <f>AX46+AY46+AZ46</f>
        <v>4922642</v>
      </c>
      <c r="BB46" s="287">
        <v>2318824</v>
      </c>
      <c r="BC46" s="287">
        <v>2272118</v>
      </c>
      <c r="BD46" s="287">
        <v>232681</v>
      </c>
      <c r="BE46" s="496">
        <f>BB46+BC46+BD46</f>
        <v>4823623</v>
      </c>
      <c r="BF46" s="287">
        <v>2293886</v>
      </c>
      <c r="BG46" s="287">
        <v>2130753</v>
      </c>
      <c r="BH46" s="287">
        <v>245968</v>
      </c>
      <c r="BI46" s="496">
        <f>BF46+BG46+BH46</f>
        <v>4670607</v>
      </c>
      <c r="BJ46" s="287">
        <v>2906275</v>
      </c>
      <c r="BK46" s="287">
        <v>2247282</v>
      </c>
      <c r="BL46" s="287">
        <v>352746</v>
      </c>
      <c r="BM46" s="496">
        <f>BJ46+BK46+BL46</f>
        <v>5506303</v>
      </c>
      <c r="BN46" s="287">
        <v>3085754</v>
      </c>
      <c r="BO46" s="287">
        <v>2212122</v>
      </c>
      <c r="BP46" s="287">
        <v>558325</v>
      </c>
      <c r="BQ46" s="496">
        <f>BN46+BO46+BP46</f>
        <v>5856201</v>
      </c>
      <c r="BR46" s="496">
        <v>3049281</v>
      </c>
      <c r="BS46" s="496">
        <v>2310828</v>
      </c>
      <c r="BT46" s="496">
        <v>386149</v>
      </c>
      <c r="BU46" s="496">
        <f>BR46+BS46+BT46</f>
        <v>5746258</v>
      </c>
      <c r="BV46" s="496">
        <v>3149814</v>
      </c>
      <c r="BW46" s="496">
        <v>2421759</v>
      </c>
      <c r="BX46" s="496">
        <v>297958</v>
      </c>
      <c r="BY46" s="496">
        <f>BV46+BW46+BX46</f>
        <v>5869531</v>
      </c>
      <c r="BZ46" s="496">
        <v>3455701</v>
      </c>
      <c r="CA46" s="496">
        <v>2660266</v>
      </c>
      <c r="CB46" s="496">
        <v>359638</v>
      </c>
      <c r="CC46" s="496">
        <f>BZ46+CA46+CB46</f>
        <v>6475605</v>
      </c>
    </row>
    <row r="47" spans="1:81">
      <c r="A47" s="156">
        <v>225</v>
      </c>
      <c r="B47" s="168" t="s">
        <v>642</v>
      </c>
      <c r="C47" s="155">
        <v>3424926</v>
      </c>
      <c r="D47" s="155">
        <v>2809150</v>
      </c>
      <c r="E47" s="176">
        <f t="shared" si="98"/>
        <v>6234076</v>
      </c>
      <c r="F47" s="155">
        <v>4312307</v>
      </c>
      <c r="G47" s="155">
        <v>3344379</v>
      </c>
      <c r="H47" s="176">
        <f t="shared" si="99"/>
        <v>7656686</v>
      </c>
      <c r="I47" s="155">
        <v>3877231</v>
      </c>
      <c r="J47" s="155">
        <v>3151630</v>
      </c>
      <c r="K47" s="176">
        <f t="shared" si="100"/>
        <v>7028861</v>
      </c>
      <c r="L47" s="155">
        <v>3833445</v>
      </c>
      <c r="M47" s="155">
        <v>3150785</v>
      </c>
      <c r="N47" s="179">
        <f t="shared" si="101"/>
        <v>6984230</v>
      </c>
      <c r="O47" s="104">
        <v>3789521</v>
      </c>
      <c r="P47" s="104">
        <v>2868361</v>
      </c>
      <c r="Q47" s="122">
        <f t="shared" si="102"/>
        <v>6657882</v>
      </c>
      <c r="R47" s="287">
        <v>3768090</v>
      </c>
      <c r="S47" s="287">
        <v>3066108</v>
      </c>
      <c r="T47" s="287">
        <v>42696</v>
      </c>
      <c r="U47" s="122">
        <f t="shared" si="15"/>
        <v>6876894</v>
      </c>
      <c r="V47" s="285">
        <v>3764953</v>
      </c>
      <c r="W47" s="285">
        <v>3260500</v>
      </c>
      <c r="X47" s="285">
        <v>58461</v>
      </c>
      <c r="Y47" s="286">
        <f t="shared" si="16"/>
        <v>7083914</v>
      </c>
      <c r="Z47" s="287">
        <v>3726009</v>
      </c>
      <c r="AA47" s="287">
        <v>3308084</v>
      </c>
      <c r="AB47" s="287">
        <v>63777</v>
      </c>
      <c r="AC47" s="469">
        <f t="shared" si="17"/>
        <v>7097870</v>
      </c>
      <c r="AD47" s="287">
        <v>3645157</v>
      </c>
      <c r="AE47" s="287">
        <v>3250595</v>
      </c>
      <c r="AF47" s="287">
        <v>81523</v>
      </c>
      <c r="AG47" s="469">
        <f t="shared" si="40"/>
        <v>6977275</v>
      </c>
      <c r="AH47" s="287">
        <v>2880761</v>
      </c>
      <c r="AI47" s="287">
        <v>3224227</v>
      </c>
      <c r="AJ47" s="287">
        <v>60787</v>
      </c>
      <c r="AK47" s="469">
        <f t="shared" si="48"/>
        <v>6165775</v>
      </c>
      <c r="AL47" s="287">
        <v>2897015</v>
      </c>
      <c r="AM47" s="287">
        <v>3198966</v>
      </c>
      <c r="AN47" s="287">
        <v>63309</v>
      </c>
      <c r="AO47" s="496">
        <f>AL47+AM47+AN47</f>
        <v>6159290</v>
      </c>
      <c r="AP47" s="287">
        <v>2754939</v>
      </c>
      <c r="AQ47" s="287">
        <v>3313539</v>
      </c>
      <c r="AR47" s="287">
        <v>70374</v>
      </c>
      <c r="AS47" s="496">
        <f>AP47+AQ47+AR47</f>
        <v>6138852</v>
      </c>
      <c r="AT47" s="287">
        <v>2806712</v>
      </c>
      <c r="AU47" s="287">
        <v>3296778</v>
      </c>
      <c r="AV47" s="287">
        <v>81455</v>
      </c>
      <c r="AW47" s="496">
        <f>AT47+AU47+AV47</f>
        <v>6184945</v>
      </c>
      <c r="AX47" s="287">
        <v>2839115</v>
      </c>
      <c r="AY47" s="287">
        <v>3173845</v>
      </c>
      <c r="AZ47" s="287">
        <v>71471</v>
      </c>
      <c r="BA47" s="496">
        <f>AX47+AY47+AZ47</f>
        <v>6084431</v>
      </c>
      <c r="BB47" s="287">
        <v>2826557</v>
      </c>
      <c r="BC47" s="287">
        <v>3102136</v>
      </c>
      <c r="BD47" s="287">
        <v>60955</v>
      </c>
      <c r="BE47" s="496">
        <f>BB47+BC47+BD47</f>
        <v>5989648</v>
      </c>
      <c r="BF47" s="287">
        <v>2793759</v>
      </c>
      <c r="BG47" s="287">
        <v>3279863</v>
      </c>
      <c r="BH47" s="287">
        <v>57462</v>
      </c>
      <c r="BI47" s="496">
        <f>BF47+BG47+BH47</f>
        <v>6131084</v>
      </c>
      <c r="BJ47" s="287">
        <v>3414095</v>
      </c>
      <c r="BK47" s="287">
        <v>2764047</v>
      </c>
      <c r="BL47" s="287">
        <v>58499</v>
      </c>
      <c r="BM47" s="496">
        <f>BJ47+BK47+BL47</f>
        <v>6236641</v>
      </c>
      <c r="BN47" s="287">
        <v>3551737</v>
      </c>
      <c r="BO47" s="287">
        <v>2873758</v>
      </c>
      <c r="BP47" s="287">
        <v>54865</v>
      </c>
      <c r="BQ47" s="496">
        <f>BN47+BO47+BP47</f>
        <v>6480360</v>
      </c>
      <c r="BR47" s="496">
        <v>3537169</v>
      </c>
      <c r="BS47" s="496">
        <v>3314733</v>
      </c>
      <c r="BT47" s="496">
        <v>53442</v>
      </c>
      <c r="BU47" s="496">
        <f>BR47+BS47+BT47</f>
        <v>6905344</v>
      </c>
      <c r="BV47" s="496">
        <v>3550601</v>
      </c>
      <c r="BW47" s="496">
        <v>2894040</v>
      </c>
      <c r="BX47" s="496">
        <v>62154</v>
      </c>
      <c r="BY47" s="496">
        <f>BV47+BW47+BX47</f>
        <v>6506795</v>
      </c>
      <c r="BZ47" s="496">
        <v>3851210</v>
      </c>
      <c r="CA47" s="496">
        <v>3104304</v>
      </c>
      <c r="CB47" s="496">
        <v>53188</v>
      </c>
      <c r="CC47" s="496">
        <f>BZ47+CA47+CB47</f>
        <v>7008702</v>
      </c>
    </row>
    <row r="48" spans="1:81">
      <c r="A48" s="156">
        <v>585</v>
      </c>
      <c r="B48" s="168" t="s">
        <v>643</v>
      </c>
      <c r="C48" s="155">
        <v>2358770</v>
      </c>
      <c r="D48" s="155">
        <v>1871563</v>
      </c>
      <c r="E48" s="176">
        <f t="shared" si="98"/>
        <v>4230333</v>
      </c>
      <c r="F48" s="155">
        <v>2321445</v>
      </c>
      <c r="G48" s="155">
        <v>2124315</v>
      </c>
      <c r="H48" s="176">
        <f t="shared" si="99"/>
        <v>4445760</v>
      </c>
      <c r="I48" s="155">
        <v>2127840</v>
      </c>
      <c r="J48" s="155">
        <v>1586690</v>
      </c>
      <c r="K48" s="176">
        <f t="shared" si="100"/>
        <v>3714530</v>
      </c>
      <c r="L48" s="155">
        <v>2041347</v>
      </c>
      <c r="M48" s="155">
        <v>1502674</v>
      </c>
      <c r="N48" s="179">
        <f t="shared" si="101"/>
        <v>3544021</v>
      </c>
      <c r="O48" s="104">
        <v>2021173</v>
      </c>
      <c r="P48" s="104">
        <v>1438069</v>
      </c>
      <c r="Q48" s="122">
        <f t="shared" si="102"/>
        <v>3459242</v>
      </c>
      <c r="R48" s="287">
        <v>1992764</v>
      </c>
      <c r="S48" s="287">
        <v>1486156</v>
      </c>
      <c r="T48" s="287">
        <v>93600</v>
      </c>
      <c r="U48" s="122">
        <f t="shared" si="15"/>
        <v>3572520</v>
      </c>
      <c r="V48" s="285">
        <v>1989472</v>
      </c>
      <c r="W48" s="285">
        <v>1624818</v>
      </c>
      <c r="X48" s="285">
        <v>163060</v>
      </c>
      <c r="Y48" s="286">
        <f t="shared" si="16"/>
        <v>3777350</v>
      </c>
      <c r="Z48" s="286">
        <v>2032324</v>
      </c>
      <c r="AA48" s="286">
        <v>1670704</v>
      </c>
      <c r="AB48" s="286">
        <v>189177</v>
      </c>
      <c r="AC48" s="469">
        <f t="shared" si="17"/>
        <v>3892205</v>
      </c>
      <c r="AD48" s="287">
        <v>2007115</v>
      </c>
      <c r="AE48" s="287">
        <v>1617122</v>
      </c>
      <c r="AF48" s="287">
        <v>147296</v>
      </c>
      <c r="AG48" s="469">
        <f t="shared" si="40"/>
        <v>3771533</v>
      </c>
      <c r="AH48" s="287">
        <v>1939970</v>
      </c>
      <c r="AI48" s="287">
        <v>1697939</v>
      </c>
      <c r="AJ48" s="287">
        <v>132483</v>
      </c>
      <c r="AK48" s="469">
        <f t="shared" si="48"/>
        <v>3770392</v>
      </c>
      <c r="AL48" s="287">
        <v>1950162</v>
      </c>
      <c r="AM48" s="287">
        <v>1718639</v>
      </c>
      <c r="AN48" s="287">
        <v>181419</v>
      </c>
      <c r="AO48" s="496">
        <f>AL48+AM48+AN48</f>
        <v>3850220</v>
      </c>
      <c r="AP48" s="287">
        <v>1896950</v>
      </c>
      <c r="AQ48" s="287">
        <v>1919636</v>
      </c>
      <c r="AR48" s="287">
        <v>155761</v>
      </c>
      <c r="AS48" s="496">
        <f>AP48+AQ48+AR48</f>
        <v>3972347</v>
      </c>
      <c r="AT48" s="287">
        <v>1832440</v>
      </c>
      <c r="AU48" s="287">
        <v>1881548</v>
      </c>
      <c r="AV48" s="287">
        <v>288687</v>
      </c>
      <c r="AW48" s="496">
        <f>AT48+AU48+AV48</f>
        <v>4002675</v>
      </c>
      <c r="AX48" s="287">
        <v>1882177</v>
      </c>
      <c r="AY48" s="287">
        <v>1954039</v>
      </c>
      <c r="AZ48" s="287">
        <v>304822</v>
      </c>
      <c r="BA48" s="496">
        <f>AX48+AY48+AZ48</f>
        <v>4141038</v>
      </c>
      <c r="BB48" s="287">
        <v>1869166</v>
      </c>
      <c r="BC48" s="287">
        <v>1851804</v>
      </c>
      <c r="BD48" s="287">
        <v>159053</v>
      </c>
      <c r="BE48" s="496">
        <f>BB48+BC48+BD48</f>
        <v>3880023</v>
      </c>
      <c r="BF48" s="287">
        <v>1872750</v>
      </c>
      <c r="BG48" s="287">
        <v>1972883</v>
      </c>
      <c r="BH48" s="287">
        <v>154892</v>
      </c>
      <c r="BI48" s="496">
        <f>BF48+BG48+BH48</f>
        <v>4000525</v>
      </c>
      <c r="BJ48" s="287">
        <v>2287368</v>
      </c>
      <c r="BK48" s="287">
        <v>1957870</v>
      </c>
      <c r="BL48" s="287">
        <v>422878</v>
      </c>
      <c r="BM48" s="496">
        <f>BJ48+BK48+BL48</f>
        <v>4668116</v>
      </c>
      <c r="BN48" s="287">
        <v>2301493</v>
      </c>
      <c r="BO48" s="287">
        <v>1764746</v>
      </c>
      <c r="BP48" s="287">
        <v>534810</v>
      </c>
      <c r="BQ48" s="496">
        <f>BN48+BO48+BP48</f>
        <v>4601049</v>
      </c>
      <c r="BR48" s="496">
        <v>2326045</v>
      </c>
      <c r="BS48" s="496">
        <v>1804579</v>
      </c>
      <c r="BT48" s="496">
        <v>375876</v>
      </c>
      <c r="BU48" s="496">
        <f>BR48+BS48+BT48</f>
        <v>4506500</v>
      </c>
      <c r="BV48" s="496">
        <v>2402183</v>
      </c>
      <c r="BW48" s="496">
        <v>1811546</v>
      </c>
      <c r="BX48" s="496">
        <v>309575</v>
      </c>
      <c r="BY48" s="496">
        <f>BV48+BW48+BX48</f>
        <v>4523304</v>
      </c>
      <c r="BZ48" s="496">
        <v>2650736</v>
      </c>
      <c r="CA48" s="496">
        <v>1918344</v>
      </c>
      <c r="CB48" s="496">
        <v>536654</v>
      </c>
      <c r="CC48" s="496">
        <f>BZ48+CA48+CB48</f>
        <v>5105734</v>
      </c>
    </row>
    <row r="49" spans="1:81">
      <c r="A49" s="156">
        <v>586</v>
      </c>
      <c r="B49" s="168" t="s">
        <v>243</v>
      </c>
      <c r="C49" s="155">
        <v>2079467</v>
      </c>
      <c r="D49" s="155">
        <v>1322228</v>
      </c>
      <c r="E49" s="176">
        <f t="shared" si="98"/>
        <v>3401695</v>
      </c>
      <c r="F49" s="155">
        <v>2086975</v>
      </c>
      <c r="G49" s="155">
        <v>1785854</v>
      </c>
      <c r="H49" s="176">
        <f t="shared" si="99"/>
        <v>3872829</v>
      </c>
      <c r="I49" s="155">
        <v>1911376</v>
      </c>
      <c r="J49" s="155">
        <v>1274393</v>
      </c>
      <c r="K49" s="176">
        <f t="shared" si="100"/>
        <v>3185769</v>
      </c>
      <c r="L49" s="155">
        <v>1851226</v>
      </c>
      <c r="M49" s="155">
        <v>1302085</v>
      </c>
      <c r="N49" s="179">
        <f t="shared" si="101"/>
        <v>3153311</v>
      </c>
      <c r="O49" s="104">
        <v>1790733</v>
      </c>
      <c r="P49" s="104">
        <v>1249958</v>
      </c>
      <c r="Q49" s="122">
        <f t="shared" si="102"/>
        <v>3040691</v>
      </c>
      <c r="R49" s="287">
        <v>1730644</v>
      </c>
      <c r="S49" s="287">
        <v>1399443</v>
      </c>
      <c r="T49" s="287">
        <v>67038</v>
      </c>
      <c r="U49" s="122">
        <f t="shared" si="15"/>
        <v>3197125</v>
      </c>
      <c r="V49" s="285">
        <v>1669228</v>
      </c>
      <c r="W49" s="285">
        <v>1411864</v>
      </c>
      <c r="X49" s="285">
        <v>98675</v>
      </c>
      <c r="Y49" s="286">
        <f t="shared" si="16"/>
        <v>3179767</v>
      </c>
      <c r="Z49" s="287">
        <v>1684216</v>
      </c>
      <c r="AA49" s="287">
        <v>1464514</v>
      </c>
      <c r="AB49" s="287">
        <v>140999</v>
      </c>
      <c r="AC49" s="469">
        <f t="shared" si="17"/>
        <v>3289729</v>
      </c>
      <c r="AD49" s="287">
        <v>1675718</v>
      </c>
      <c r="AE49" s="287">
        <v>1410721</v>
      </c>
      <c r="AF49" s="287">
        <v>71524</v>
      </c>
      <c r="AG49" s="469">
        <f t="shared" si="40"/>
        <v>3157963</v>
      </c>
      <c r="AH49" s="287">
        <v>1588484</v>
      </c>
      <c r="AI49" s="287">
        <v>1443277</v>
      </c>
      <c r="AJ49" s="287">
        <v>69120</v>
      </c>
      <c r="AK49" s="469">
        <f t="shared" si="48"/>
        <v>3100881</v>
      </c>
      <c r="AL49" s="287">
        <v>1536483</v>
      </c>
      <c r="AM49" s="287">
        <v>1513782</v>
      </c>
      <c r="AN49" s="287">
        <v>104132</v>
      </c>
      <c r="AO49" s="496">
        <f>AL49+AM49+AN49</f>
        <v>3154397</v>
      </c>
      <c r="AP49" s="287">
        <v>1425981</v>
      </c>
      <c r="AQ49" s="287">
        <v>1717546</v>
      </c>
      <c r="AR49" s="287">
        <v>83548</v>
      </c>
      <c r="AS49" s="496">
        <f>AP49+AQ49+AR49</f>
        <v>3227075</v>
      </c>
      <c r="AT49" s="287">
        <v>1352733</v>
      </c>
      <c r="AU49" s="287">
        <v>1659942</v>
      </c>
      <c r="AV49" s="287">
        <v>193272</v>
      </c>
      <c r="AW49" s="496">
        <f>AT49+AU49+AV49</f>
        <v>3205947</v>
      </c>
      <c r="AX49" s="287">
        <v>1329742</v>
      </c>
      <c r="AY49" s="287">
        <v>1688885</v>
      </c>
      <c r="AZ49" s="287">
        <v>240221</v>
      </c>
      <c r="BA49" s="496">
        <f>AX49+AY49+AZ49</f>
        <v>3258848</v>
      </c>
      <c r="BB49" s="287">
        <v>1331325</v>
      </c>
      <c r="BC49" s="287">
        <v>1698060</v>
      </c>
      <c r="BD49" s="287">
        <v>84613</v>
      </c>
      <c r="BE49" s="496">
        <f>BB49+BC49+BD49</f>
        <v>3113998</v>
      </c>
      <c r="BF49" s="287">
        <v>1319500</v>
      </c>
      <c r="BG49" s="287">
        <v>1762224</v>
      </c>
      <c r="BH49" s="287">
        <v>91373</v>
      </c>
      <c r="BI49" s="496">
        <f>BF49+BG49+BH49</f>
        <v>3173097</v>
      </c>
      <c r="BJ49" s="287">
        <v>1758853</v>
      </c>
      <c r="BK49" s="287">
        <v>1609049</v>
      </c>
      <c r="BL49" s="287">
        <v>258296</v>
      </c>
      <c r="BM49" s="496">
        <f>BJ49+BK49+BL49</f>
        <v>3626198</v>
      </c>
      <c r="BN49" s="287">
        <v>1823684</v>
      </c>
      <c r="BO49" s="287">
        <v>1758477</v>
      </c>
      <c r="BP49" s="287">
        <v>261990</v>
      </c>
      <c r="BQ49" s="496">
        <f>BN49+BO49+BP49</f>
        <v>3844151</v>
      </c>
      <c r="BR49" s="496">
        <v>1837496</v>
      </c>
      <c r="BS49" s="496">
        <v>1975903</v>
      </c>
      <c r="BT49" s="496">
        <v>221207</v>
      </c>
      <c r="BU49" s="496">
        <f>BR49+BS49+BT49</f>
        <v>4034606</v>
      </c>
      <c r="BV49" s="496">
        <v>1941565</v>
      </c>
      <c r="BW49" s="496">
        <v>1844328</v>
      </c>
      <c r="BX49" s="496">
        <v>205221</v>
      </c>
      <c r="BY49" s="496">
        <f>BV49+BW49+BX49</f>
        <v>3991114</v>
      </c>
      <c r="BZ49" s="496">
        <v>2132956</v>
      </c>
      <c r="CA49" s="496">
        <v>1940399</v>
      </c>
      <c r="CB49" s="496">
        <v>396844</v>
      </c>
      <c r="CC49" s="496">
        <f>BZ49+CA49+CB49</f>
        <v>4470199</v>
      </c>
    </row>
    <row r="50" spans="1:81">
      <c r="A50" s="135"/>
      <c r="B50" s="135" t="s">
        <v>211</v>
      </c>
      <c r="C50" s="153">
        <v>10866938</v>
      </c>
      <c r="D50" s="153">
        <v>8693510</v>
      </c>
      <c r="E50" s="176">
        <f t="shared" si="98"/>
        <v>19560448</v>
      </c>
      <c r="F50" s="153">
        <v>10684243</v>
      </c>
      <c r="G50" s="153">
        <v>7856797</v>
      </c>
      <c r="H50" s="176">
        <f t="shared" si="99"/>
        <v>18541040</v>
      </c>
      <c r="I50" s="153">
        <v>10133661</v>
      </c>
      <c r="J50" s="153">
        <v>7320641</v>
      </c>
      <c r="K50" s="176">
        <f t="shared" si="100"/>
        <v>17454302</v>
      </c>
      <c r="L50" s="153">
        <v>9939366</v>
      </c>
      <c r="M50" s="153">
        <v>7623845</v>
      </c>
      <c r="N50" s="179">
        <f t="shared" si="101"/>
        <v>17563211</v>
      </c>
      <c r="O50" s="104">
        <v>9581038</v>
      </c>
      <c r="P50" s="104">
        <v>7213293</v>
      </c>
      <c r="Q50" s="122">
        <f t="shared" si="102"/>
        <v>16794331</v>
      </c>
      <c r="R50" s="287">
        <f t="shared" ref="R50:Y50" si="112">R51+R52</f>
        <v>9152683</v>
      </c>
      <c r="S50" s="287">
        <f t="shared" si="112"/>
        <v>7474399</v>
      </c>
      <c r="T50" s="287">
        <f t="shared" si="112"/>
        <v>685900</v>
      </c>
      <c r="U50" s="287">
        <f t="shared" si="112"/>
        <v>17312982</v>
      </c>
      <c r="V50" s="287">
        <f t="shared" si="112"/>
        <v>8765548</v>
      </c>
      <c r="W50" s="287">
        <f t="shared" si="112"/>
        <v>7414462</v>
      </c>
      <c r="X50" s="287">
        <f t="shared" si="112"/>
        <v>772514</v>
      </c>
      <c r="Y50" s="287">
        <f t="shared" si="112"/>
        <v>16952524</v>
      </c>
      <c r="Z50" s="287">
        <f t="shared" ref="Z50:AF50" si="113">Z51+Z52</f>
        <v>8930559</v>
      </c>
      <c r="AA50" s="287">
        <f t="shared" si="113"/>
        <v>7391685</v>
      </c>
      <c r="AB50" s="287">
        <f t="shared" si="113"/>
        <v>787029</v>
      </c>
      <c r="AC50" s="287">
        <f t="shared" si="113"/>
        <v>17109273</v>
      </c>
      <c r="AD50" s="287">
        <f t="shared" si="113"/>
        <v>8537952</v>
      </c>
      <c r="AE50" s="287">
        <f t="shared" si="113"/>
        <v>7155744</v>
      </c>
      <c r="AF50" s="287">
        <f t="shared" si="113"/>
        <v>648182</v>
      </c>
      <c r="AG50" s="469">
        <f t="shared" si="40"/>
        <v>16341878</v>
      </c>
      <c r="AH50" s="287">
        <f>AH51+AH52</f>
        <v>8129610</v>
      </c>
      <c r="AI50" s="287">
        <f>AI51+AI52</f>
        <v>7446529</v>
      </c>
      <c r="AJ50" s="287">
        <f>AJ51+AJ52</f>
        <v>636096</v>
      </c>
      <c r="AK50" s="287">
        <f t="shared" ref="AK50:AS50" si="114">SUM(AK51:AK52)</f>
        <v>16212235</v>
      </c>
      <c r="AL50" s="287">
        <f t="shared" si="114"/>
        <v>8415571</v>
      </c>
      <c r="AM50" s="287">
        <f t="shared" si="114"/>
        <v>8027316</v>
      </c>
      <c r="AN50" s="287">
        <f t="shared" si="114"/>
        <v>699022</v>
      </c>
      <c r="AO50" s="287">
        <f t="shared" si="114"/>
        <v>17141909</v>
      </c>
      <c r="AP50" s="287">
        <v>8262605</v>
      </c>
      <c r="AQ50" s="287">
        <v>8467959</v>
      </c>
      <c r="AR50" s="287">
        <v>778048</v>
      </c>
      <c r="AS50" s="287">
        <f t="shared" si="114"/>
        <v>17508612</v>
      </c>
      <c r="AT50" s="287">
        <f t="shared" ref="AT50:BA50" si="115">SUM(AT51:AT52)</f>
        <v>8171188</v>
      </c>
      <c r="AU50" s="287">
        <f t="shared" si="115"/>
        <v>8572531</v>
      </c>
      <c r="AV50" s="287">
        <f t="shared" si="115"/>
        <v>853854</v>
      </c>
      <c r="AW50" s="287">
        <f t="shared" si="115"/>
        <v>17597573</v>
      </c>
      <c r="AX50" s="287">
        <v>8427142</v>
      </c>
      <c r="AY50" s="287">
        <v>8442710</v>
      </c>
      <c r="AZ50" s="287">
        <v>870037</v>
      </c>
      <c r="BA50" s="287">
        <f t="shared" si="115"/>
        <v>17739889</v>
      </c>
      <c r="BB50" s="287">
        <v>8467417</v>
      </c>
      <c r="BC50" s="287">
        <v>8618951</v>
      </c>
      <c r="BD50" s="287">
        <v>649337</v>
      </c>
      <c r="BE50" s="287">
        <f t="shared" ref="BE50:BM50" si="116">SUM(BE51:BE52)</f>
        <v>17735705</v>
      </c>
      <c r="BF50" s="287">
        <f t="shared" si="116"/>
        <v>8313255</v>
      </c>
      <c r="BG50" s="287">
        <f t="shared" si="116"/>
        <v>9097780</v>
      </c>
      <c r="BH50" s="287">
        <f t="shared" si="116"/>
        <v>656627</v>
      </c>
      <c r="BI50" s="287">
        <f t="shared" si="116"/>
        <v>18067662</v>
      </c>
      <c r="BJ50" s="287">
        <f t="shared" si="116"/>
        <v>10316043</v>
      </c>
      <c r="BK50" s="287">
        <f t="shared" si="116"/>
        <v>8253783</v>
      </c>
      <c r="BL50" s="287">
        <f t="shared" si="116"/>
        <v>665221</v>
      </c>
      <c r="BM50" s="287">
        <f t="shared" si="116"/>
        <v>19235047</v>
      </c>
      <c r="BN50" s="287">
        <v>10534756</v>
      </c>
      <c r="BO50" s="287">
        <v>8985303</v>
      </c>
      <c r="BP50" s="287">
        <v>502056</v>
      </c>
      <c r="BQ50" s="287">
        <f t="shared" ref="BQ50" si="117">SUM(BQ51:BQ52)</f>
        <v>20022115</v>
      </c>
      <c r="BR50" s="287">
        <v>10601072</v>
      </c>
      <c r="BS50" s="287">
        <v>9025590</v>
      </c>
      <c r="BT50" s="287">
        <v>735607</v>
      </c>
      <c r="BU50" s="287">
        <f t="shared" ref="BU50" si="118">SUM(BU51:BU52)</f>
        <v>20362269</v>
      </c>
      <c r="BV50" s="287">
        <v>10964438</v>
      </c>
      <c r="BW50" s="287">
        <v>9070359</v>
      </c>
      <c r="BX50" s="287">
        <v>668661</v>
      </c>
      <c r="BY50" s="287">
        <f t="shared" ref="BY50" si="119">SUM(BY51:BY52)</f>
        <v>20703458</v>
      </c>
      <c r="BZ50" s="287">
        <v>11896859</v>
      </c>
      <c r="CA50" s="287">
        <v>9691590</v>
      </c>
      <c r="CB50" s="287">
        <v>632704</v>
      </c>
      <c r="CC50" s="287">
        <f t="shared" ref="CC50" si="120">SUM(CC51:CC52)</f>
        <v>22221153</v>
      </c>
    </row>
    <row r="51" spans="1:81">
      <c r="A51" s="156">
        <v>221</v>
      </c>
      <c r="B51" s="168" t="s">
        <v>1153</v>
      </c>
      <c r="C51" s="153">
        <v>4755412</v>
      </c>
      <c r="D51" s="153">
        <v>3519747</v>
      </c>
      <c r="E51" s="176">
        <f t="shared" si="98"/>
        <v>8275159</v>
      </c>
      <c r="F51" s="153">
        <v>4642655</v>
      </c>
      <c r="G51" s="153">
        <v>3402385</v>
      </c>
      <c r="H51" s="176">
        <f t="shared" si="99"/>
        <v>8045040</v>
      </c>
      <c r="I51" s="153">
        <v>4375467</v>
      </c>
      <c r="J51" s="153">
        <v>3344860</v>
      </c>
      <c r="K51" s="176">
        <f t="shared" si="100"/>
        <v>7720327</v>
      </c>
      <c r="L51" s="153">
        <v>4194584</v>
      </c>
      <c r="M51" s="153">
        <v>3439256</v>
      </c>
      <c r="N51" s="179">
        <f t="shared" si="101"/>
        <v>7633840</v>
      </c>
      <c r="O51" s="104">
        <v>3810816</v>
      </c>
      <c r="P51" s="104">
        <v>3067932</v>
      </c>
      <c r="Q51" s="122">
        <f t="shared" si="102"/>
        <v>6878748</v>
      </c>
      <c r="R51" s="287">
        <v>3581417</v>
      </c>
      <c r="S51" s="287">
        <v>3084170</v>
      </c>
      <c r="T51" s="287">
        <v>125065</v>
      </c>
      <c r="U51" s="122">
        <f t="shared" si="15"/>
        <v>6790652</v>
      </c>
      <c r="V51" s="285">
        <v>3573530</v>
      </c>
      <c r="W51" s="285">
        <v>3094964</v>
      </c>
      <c r="X51" s="285">
        <v>136533</v>
      </c>
      <c r="Y51" s="286">
        <f t="shared" si="16"/>
        <v>6805027</v>
      </c>
      <c r="Z51" s="286">
        <v>3645011</v>
      </c>
      <c r="AA51" s="286">
        <v>3128238</v>
      </c>
      <c r="AB51" s="286">
        <v>156007</v>
      </c>
      <c r="AC51" s="469">
        <f t="shared" si="17"/>
        <v>6929256</v>
      </c>
      <c r="AD51" s="287">
        <v>3491092</v>
      </c>
      <c r="AE51" s="287">
        <v>3094887</v>
      </c>
      <c r="AF51" s="287">
        <v>211497</v>
      </c>
      <c r="AG51" s="469">
        <f t="shared" si="40"/>
        <v>6797476</v>
      </c>
      <c r="AH51" s="287">
        <v>3299295</v>
      </c>
      <c r="AI51" s="287">
        <v>3332573</v>
      </c>
      <c r="AJ51" s="287">
        <v>200071</v>
      </c>
      <c r="AK51" s="469">
        <f t="shared" si="48"/>
        <v>6831939</v>
      </c>
      <c r="AL51" s="287">
        <v>3412253</v>
      </c>
      <c r="AM51" s="287">
        <v>3442940</v>
      </c>
      <c r="AN51" s="287">
        <v>219274</v>
      </c>
      <c r="AO51" s="496">
        <f>AL51+AM51+AN51</f>
        <v>7074467</v>
      </c>
      <c r="AP51" s="287">
        <v>3409126</v>
      </c>
      <c r="AQ51" s="287">
        <v>3558599</v>
      </c>
      <c r="AR51" s="287">
        <v>222671</v>
      </c>
      <c r="AS51" s="496">
        <f>AP51+AQ51+AR51</f>
        <v>7190396</v>
      </c>
      <c r="AT51" s="287">
        <v>3412245</v>
      </c>
      <c r="AU51" s="287">
        <v>3538769</v>
      </c>
      <c r="AV51" s="287">
        <v>210031</v>
      </c>
      <c r="AW51" s="496">
        <f>AT51+AU51+AV51</f>
        <v>7161045</v>
      </c>
      <c r="AX51" s="287">
        <v>3505782</v>
      </c>
      <c r="AY51" s="287">
        <v>3579110</v>
      </c>
      <c r="AZ51" s="287">
        <v>214987</v>
      </c>
      <c r="BA51" s="496">
        <f>AX51+AY51+AZ51</f>
        <v>7299879</v>
      </c>
      <c r="BB51" s="287">
        <v>3452878</v>
      </c>
      <c r="BC51" s="287">
        <v>3671250</v>
      </c>
      <c r="BD51" s="287">
        <v>202523</v>
      </c>
      <c r="BE51" s="496">
        <f>BB51+BC51+BD51</f>
        <v>7326651</v>
      </c>
      <c r="BF51" s="287">
        <v>3442799</v>
      </c>
      <c r="BG51" s="287">
        <v>3955704</v>
      </c>
      <c r="BH51" s="287">
        <v>188982</v>
      </c>
      <c r="BI51" s="496">
        <f>BF51+BG51+BH51</f>
        <v>7587485</v>
      </c>
      <c r="BJ51" s="287">
        <v>4622973</v>
      </c>
      <c r="BK51" s="287">
        <v>3445869</v>
      </c>
      <c r="BL51" s="287">
        <v>228412</v>
      </c>
      <c r="BM51" s="496">
        <f>BJ51+BK51+BL51</f>
        <v>8297254</v>
      </c>
      <c r="BN51" s="287">
        <v>4771392</v>
      </c>
      <c r="BO51" s="287">
        <v>3816438</v>
      </c>
      <c r="BP51" s="287">
        <v>230006</v>
      </c>
      <c r="BQ51" s="496">
        <f>BN51+BO51+BP51</f>
        <v>8817836</v>
      </c>
      <c r="BR51" s="496">
        <v>4863668</v>
      </c>
      <c r="BS51" s="496">
        <v>4057680</v>
      </c>
      <c r="BT51" s="496">
        <v>273026</v>
      </c>
      <c r="BU51" s="496">
        <f>BR51+BS51+BT51</f>
        <v>9194374</v>
      </c>
      <c r="BV51" s="496">
        <v>5027674</v>
      </c>
      <c r="BW51" s="496">
        <v>3863632</v>
      </c>
      <c r="BX51" s="496">
        <v>244805</v>
      </c>
      <c r="BY51" s="496">
        <f>BV51+BW51+BX51</f>
        <v>9136111</v>
      </c>
      <c r="BZ51" s="496">
        <v>5477347</v>
      </c>
      <c r="CA51" s="496">
        <v>4190423</v>
      </c>
      <c r="CB51" s="496">
        <v>170187</v>
      </c>
      <c r="CC51" s="496">
        <f>BZ51+CA51+CB51</f>
        <v>9837957</v>
      </c>
    </row>
    <row r="52" spans="1:81">
      <c r="A52" s="156">
        <v>223</v>
      </c>
      <c r="B52" s="168" t="s">
        <v>223</v>
      </c>
      <c r="C52" s="155">
        <v>6111526</v>
      </c>
      <c r="D52" s="155">
        <v>5173763</v>
      </c>
      <c r="E52" s="176">
        <f t="shared" si="98"/>
        <v>11285289</v>
      </c>
      <c r="F52" s="155">
        <v>6041588</v>
      </c>
      <c r="G52" s="155">
        <v>4454412</v>
      </c>
      <c r="H52" s="176">
        <f t="shared" si="99"/>
        <v>10496000</v>
      </c>
      <c r="I52" s="155">
        <v>5758194</v>
      </c>
      <c r="J52" s="155">
        <v>3975781</v>
      </c>
      <c r="K52" s="176">
        <f t="shared" si="100"/>
        <v>9733975</v>
      </c>
      <c r="L52" s="155">
        <v>5744782</v>
      </c>
      <c r="M52" s="155">
        <v>4184589</v>
      </c>
      <c r="N52" s="179">
        <f t="shared" si="101"/>
        <v>9929371</v>
      </c>
      <c r="O52" s="104">
        <v>5770222</v>
      </c>
      <c r="P52" s="104">
        <v>4145361</v>
      </c>
      <c r="Q52" s="122">
        <f t="shared" si="102"/>
        <v>9915583</v>
      </c>
      <c r="R52" s="287">
        <v>5571266</v>
      </c>
      <c r="S52" s="287">
        <v>4390229</v>
      </c>
      <c r="T52" s="287">
        <v>560835</v>
      </c>
      <c r="U52" s="122">
        <f t="shared" si="15"/>
        <v>10522330</v>
      </c>
      <c r="V52" s="285">
        <v>5192018</v>
      </c>
      <c r="W52" s="285">
        <v>4319498</v>
      </c>
      <c r="X52" s="285">
        <v>635981</v>
      </c>
      <c r="Y52" s="286">
        <f t="shared" si="16"/>
        <v>10147497</v>
      </c>
      <c r="Z52" s="287">
        <v>5285548</v>
      </c>
      <c r="AA52" s="287">
        <v>4263447</v>
      </c>
      <c r="AB52" s="287">
        <v>631022</v>
      </c>
      <c r="AC52" s="469">
        <f t="shared" si="17"/>
        <v>10180017</v>
      </c>
      <c r="AD52" s="287">
        <v>5046860</v>
      </c>
      <c r="AE52" s="287">
        <v>4060857</v>
      </c>
      <c r="AF52" s="287">
        <v>436685</v>
      </c>
      <c r="AG52" s="469">
        <f t="shared" si="40"/>
        <v>9544402</v>
      </c>
      <c r="AH52" s="287">
        <v>4830315</v>
      </c>
      <c r="AI52" s="287">
        <v>4113956</v>
      </c>
      <c r="AJ52" s="287">
        <v>436025</v>
      </c>
      <c r="AK52" s="469">
        <f t="shared" si="48"/>
        <v>9380296</v>
      </c>
      <c r="AL52" s="287">
        <v>5003318</v>
      </c>
      <c r="AM52" s="287">
        <v>4584376</v>
      </c>
      <c r="AN52" s="287">
        <v>479748</v>
      </c>
      <c r="AO52" s="496">
        <f>AL52+AM52+AN52</f>
        <v>10067442</v>
      </c>
      <c r="AP52" s="287">
        <v>4853479</v>
      </c>
      <c r="AQ52" s="287">
        <v>4909360</v>
      </c>
      <c r="AR52" s="287">
        <v>555377</v>
      </c>
      <c r="AS52" s="496">
        <f>AP52+AQ52+AR52</f>
        <v>10318216</v>
      </c>
      <c r="AT52" s="287">
        <v>4758943</v>
      </c>
      <c r="AU52" s="287">
        <v>5033762</v>
      </c>
      <c r="AV52" s="287">
        <v>643823</v>
      </c>
      <c r="AW52" s="496">
        <f>AT52+AU52+AV52</f>
        <v>10436528</v>
      </c>
      <c r="AX52" s="287">
        <v>4921360</v>
      </c>
      <c r="AY52" s="287">
        <v>4863600</v>
      </c>
      <c r="AZ52" s="287">
        <v>655050</v>
      </c>
      <c r="BA52" s="496">
        <f>AX52+AY52+AZ52</f>
        <v>10440010</v>
      </c>
      <c r="BB52" s="287">
        <v>5014539</v>
      </c>
      <c r="BC52" s="287">
        <v>4947701</v>
      </c>
      <c r="BD52" s="287">
        <v>446814</v>
      </c>
      <c r="BE52" s="496">
        <f>BB52+BC52+BD52</f>
        <v>10409054</v>
      </c>
      <c r="BF52" s="287">
        <v>4870456</v>
      </c>
      <c r="BG52" s="287">
        <v>5142076</v>
      </c>
      <c r="BH52" s="287">
        <v>467645</v>
      </c>
      <c r="BI52" s="496">
        <f>BF52+BG52+BH52</f>
        <v>10480177</v>
      </c>
      <c r="BJ52" s="287">
        <v>5693070</v>
      </c>
      <c r="BK52" s="287">
        <v>4807914</v>
      </c>
      <c r="BL52" s="287">
        <v>436809</v>
      </c>
      <c r="BM52" s="496">
        <f>BJ52+BK52+BL52</f>
        <v>10937793</v>
      </c>
      <c r="BN52" s="287">
        <v>5763364</v>
      </c>
      <c r="BO52" s="287">
        <v>5168865</v>
      </c>
      <c r="BP52" s="287">
        <v>272050</v>
      </c>
      <c r="BQ52" s="496">
        <f>BN52+BO52+BP52</f>
        <v>11204279</v>
      </c>
      <c r="BR52" s="496">
        <v>5737404</v>
      </c>
      <c r="BS52" s="496">
        <v>4967910</v>
      </c>
      <c r="BT52" s="496">
        <v>462581</v>
      </c>
      <c r="BU52" s="496">
        <f>BR52+BS52+BT52</f>
        <v>11167895</v>
      </c>
      <c r="BV52" s="496">
        <v>5936764</v>
      </c>
      <c r="BW52" s="496">
        <v>5206727</v>
      </c>
      <c r="BX52" s="496">
        <v>423856</v>
      </c>
      <c r="BY52" s="496">
        <f>BV52+BW52+BX52</f>
        <v>11567347</v>
      </c>
      <c r="BZ52" s="496">
        <v>6419512</v>
      </c>
      <c r="CA52" s="496">
        <v>5501167</v>
      </c>
      <c r="CB52" s="496">
        <v>462517</v>
      </c>
      <c r="CC52" s="496">
        <f>BZ52+CA52+CB52</f>
        <v>12383196</v>
      </c>
    </row>
    <row r="53" spans="1:81">
      <c r="A53" s="135"/>
      <c r="B53" s="172" t="s">
        <v>212</v>
      </c>
      <c r="C53" s="153">
        <v>14604657</v>
      </c>
      <c r="D53" s="153">
        <v>11744248</v>
      </c>
      <c r="E53" s="176">
        <f t="shared" si="98"/>
        <v>26348905</v>
      </c>
      <c r="F53" s="153">
        <v>13926660</v>
      </c>
      <c r="G53" s="153">
        <v>10374314</v>
      </c>
      <c r="H53" s="176">
        <f t="shared" si="99"/>
        <v>24300974</v>
      </c>
      <c r="I53" s="153">
        <v>13425438</v>
      </c>
      <c r="J53" s="153">
        <v>9400170</v>
      </c>
      <c r="K53" s="176">
        <f t="shared" si="100"/>
        <v>22825608</v>
      </c>
      <c r="L53" s="153">
        <v>13023104</v>
      </c>
      <c r="M53" s="153">
        <v>9036506</v>
      </c>
      <c r="N53" s="179">
        <f t="shared" si="101"/>
        <v>22059610</v>
      </c>
      <c r="O53" s="104">
        <v>12787145</v>
      </c>
      <c r="P53" s="104">
        <v>8279541</v>
      </c>
      <c r="Q53" s="122">
        <f t="shared" si="102"/>
        <v>21066686</v>
      </c>
      <c r="R53" s="287">
        <f t="shared" ref="R53:Y53" si="121">SUM(R54:R56)</f>
        <v>12506522</v>
      </c>
      <c r="S53" s="287">
        <f t="shared" si="121"/>
        <v>9759942</v>
      </c>
      <c r="T53" s="287">
        <f t="shared" si="121"/>
        <v>385953</v>
      </c>
      <c r="U53" s="287">
        <f t="shared" si="121"/>
        <v>22652417</v>
      </c>
      <c r="V53" s="287">
        <f t="shared" si="121"/>
        <v>12247176</v>
      </c>
      <c r="W53" s="287">
        <f t="shared" si="121"/>
        <v>8651470</v>
      </c>
      <c r="X53" s="287">
        <f t="shared" si="121"/>
        <v>396969</v>
      </c>
      <c r="Y53" s="287">
        <f t="shared" si="121"/>
        <v>21295615</v>
      </c>
      <c r="Z53" s="287">
        <f t="shared" ref="Z53:AF53" si="122">SUM(Z54:Z56)</f>
        <v>12250469</v>
      </c>
      <c r="AA53" s="287">
        <f t="shared" si="122"/>
        <v>9090165</v>
      </c>
      <c r="AB53" s="287">
        <f t="shared" si="122"/>
        <v>487986</v>
      </c>
      <c r="AC53" s="287">
        <f t="shared" si="122"/>
        <v>21828620</v>
      </c>
      <c r="AD53" s="287">
        <f t="shared" si="122"/>
        <v>11920894</v>
      </c>
      <c r="AE53" s="287">
        <f t="shared" si="122"/>
        <v>8618113</v>
      </c>
      <c r="AF53" s="287">
        <f t="shared" si="122"/>
        <v>458410</v>
      </c>
      <c r="AG53" s="469">
        <f t="shared" si="40"/>
        <v>20997417</v>
      </c>
      <c r="AH53" s="287">
        <f t="shared" ref="AH53:AS53" si="123">SUM(AH54:AH56)</f>
        <v>11409687</v>
      </c>
      <c r="AI53" s="287">
        <f t="shared" si="123"/>
        <v>9856262</v>
      </c>
      <c r="AJ53" s="287">
        <f t="shared" si="123"/>
        <v>423389</v>
      </c>
      <c r="AK53" s="287">
        <f t="shared" si="123"/>
        <v>21689338</v>
      </c>
      <c r="AL53" s="287">
        <f t="shared" si="123"/>
        <v>11553138</v>
      </c>
      <c r="AM53" s="287">
        <f t="shared" si="123"/>
        <v>9788769</v>
      </c>
      <c r="AN53" s="287">
        <f t="shared" si="123"/>
        <v>432964</v>
      </c>
      <c r="AO53" s="287">
        <f t="shared" si="123"/>
        <v>21774871</v>
      </c>
      <c r="AP53" s="287">
        <v>11164122</v>
      </c>
      <c r="AQ53" s="287">
        <v>11393431</v>
      </c>
      <c r="AR53" s="287">
        <v>408075</v>
      </c>
      <c r="AS53" s="287">
        <f t="shared" si="123"/>
        <v>22965628</v>
      </c>
      <c r="AT53" s="287">
        <f t="shared" ref="AT53:BA53" si="124">SUM(AT54:AT56)</f>
        <v>10839578</v>
      </c>
      <c r="AU53" s="287">
        <f t="shared" si="124"/>
        <v>11207699</v>
      </c>
      <c r="AV53" s="287">
        <f t="shared" si="124"/>
        <v>390762</v>
      </c>
      <c r="AW53" s="287">
        <f t="shared" si="124"/>
        <v>22438039</v>
      </c>
      <c r="AX53" s="287">
        <v>10931356</v>
      </c>
      <c r="AY53" s="287">
        <v>11465114</v>
      </c>
      <c r="AZ53" s="287">
        <v>397864</v>
      </c>
      <c r="BA53" s="287">
        <f t="shared" si="124"/>
        <v>22794334</v>
      </c>
      <c r="BB53" s="287">
        <v>10794706</v>
      </c>
      <c r="BC53" s="287">
        <v>12017263</v>
      </c>
      <c r="BD53" s="287">
        <v>423856</v>
      </c>
      <c r="BE53" s="287">
        <f t="shared" ref="BE53:BM53" si="125">SUM(BE54:BE56)</f>
        <v>23235825</v>
      </c>
      <c r="BF53" s="287">
        <f t="shared" si="125"/>
        <v>10700549</v>
      </c>
      <c r="BG53" s="287">
        <f t="shared" si="125"/>
        <v>13259715</v>
      </c>
      <c r="BH53" s="287">
        <f t="shared" si="125"/>
        <v>430574</v>
      </c>
      <c r="BI53" s="287">
        <f t="shared" si="125"/>
        <v>24390838</v>
      </c>
      <c r="BJ53" s="287">
        <f t="shared" si="125"/>
        <v>12969085</v>
      </c>
      <c r="BK53" s="287">
        <f t="shared" si="125"/>
        <v>14443543</v>
      </c>
      <c r="BL53" s="287">
        <f t="shared" si="125"/>
        <v>426621</v>
      </c>
      <c r="BM53" s="287">
        <f t="shared" si="125"/>
        <v>27839249</v>
      </c>
      <c r="BN53" s="287">
        <v>13172669</v>
      </c>
      <c r="BO53" s="287">
        <v>17931279</v>
      </c>
      <c r="BP53" s="287">
        <v>380918</v>
      </c>
      <c r="BQ53" s="287">
        <f t="shared" ref="BQ53" si="126">SUM(BQ54:BQ56)</f>
        <v>31484866</v>
      </c>
      <c r="BR53" s="287">
        <v>13053047</v>
      </c>
      <c r="BS53" s="287">
        <v>15756222</v>
      </c>
      <c r="BT53" s="287">
        <v>400404</v>
      </c>
      <c r="BU53" s="287">
        <f t="shared" ref="BU53" si="127">SUM(BU54:BU56)</f>
        <v>29209673</v>
      </c>
      <c r="BV53" s="287">
        <v>13326635</v>
      </c>
      <c r="BW53" s="287">
        <v>14945595</v>
      </c>
      <c r="BX53" s="287">
        <v>415309</v>
      </c>
      <c r="BY53" s="287">
        <f t="shared" ref="BY53" si="128">SUM(BY54:BY56)</f>
        <v>28687539</v>
      </c>
      <c r="BZ53" s="287">
        <v>14410472</v>
      </c>
      <c r="CA53" s="287">
        <v>14961930</v>
      </c>
      <c r="CB53" s="287">
        <v>411090</v>
      </c>
      <c r="CC53" s="287">
        <f t="shared" ref="CC53" si="129">SUM(CC54:CC56)</f>
        <v>29783492</v>
      </c>
    </row>
    <row r="54" spans="1:81">
      <c r="A54" s="157">
        <v>205</v>
      </c>
      <c r="B54" s="157" t="s">
        <v>658</v>
      </c>
      <c r="C54" s="157">
        <v>4528872</v>
      </c>
      <c r="D54" s="157">
        <v>3734832</v>
      </c>
      <c r="E54" s="176">
        <f t="shared" si="98"/>
        <v>8263704</v>
      </c>
      <c r="F54" s="157">
        <v>4251846</v>
      </c>
      <c r="G54" s="157">
        <v>2969170</v>
      </c>
      <c r="H54" s="176">
        <f t="shared" si="99"/>
        <v>7221016</v>
      </c>
      <c r="I54" s="157">
        <v>4074530</v>
      </c>
      <c r="J54" s="157">
        <v>2749357</v>
      </c>
      <c r="K54" s="176">
        <f t="shared" si="100"/>
        <v>6823887</v>
      </c>
      <c r="L54" s="157">
        <v>4017345</v>
      </c>
      <c r="M54" s="157">
        <v>2494134</v>
      </c>
      <c r="N54" s="179">
        <f t="shared" si="101"/>
        <v>6511479</v>
      </c>
      <c r="O54" s="104">
        <v>3993144</v>
      </c>
      <c r="P54" s="104">
        <v>2270182</v>
      </c>
      <c r="Q54" s="122">
        <f t="shared" si="102"/>
        <v>6263326</v>
      </c>
      <c r="R54" s="287">
        <v>4066982</v>
      </c>
      <c r="S54" s="287">
        <v>2570274</v>
      </c>
      <c r="T54" s="287">
        <v>51477</v>
      </c>
      <c r="U54" s="122">
        <f t="shared" si="15"/>
        <v>6688733</v>
      </c>
      <c r="V54" s="285">
        <v>3933022</v>
      </c>
      <c r="W54" s="285">
        <v>2407360</v>
      </c>
      <c r="X54" s="285">
        <v>52429</v>
      </c>
      <c r="Y54" s="286">
        <f t="shared" si="16"/>
        <v>6392811</v>
      </c>
      <c r="Z54" s="286">
        <v>4083782</v>
      </c>
      <c r="AA54" s="286">
        <v>2390931</v>
      </c>
      <c r="AB54" s="286">
        <v>55319</v>
      </c>
      <c r="AC54" s="469">
        <f t="shared" si="17"/>
        <v>6530032</v>
      </c>
      <c r="AD54" s="287">
        <v>3993190</v>
      </c>
      <c r="AE54" s="287">
        <v>2388072</v>
      </c>
      <c r="AF54" s="287">
        <v>53785</v>
      </c>
      <c r="AG54" s="469">
        <f t="shared" si="40"/>
        <v>6435047</v>
      </c>
      <c r="AH54" s="287">
        <v>3788154</v>
      </c>
      <c r="AI54" s="287">
        <v>2895414</v>
      </c>
      <c r="AJ54" s="287">
        <v>56911</v>
      </c>
      <c r="AK54" s="469">
        <f t="shared" si="48"/>
        <v>6740479</v>
      </c>
      <c r="AL54" s="287">
        <v>3902613</v>
      </c>
      <c r="AM54" s="287">
        <v>2559551</v>
      </c>
      <c r="AN54" s="287">
        <v>51973</v>
      </c>
      <c r="AO54" s="496">
        <f>AL54+AM54+AN54</f>
        <v>6514137</v>
      </c>
      <c r="AP54" s="287">
        <v>3852277</v>
      </c>
      <c r="AQ54" s="287">
        <v>2896559</v>
      </c>
      <c r="AR54" s="287">
        <v>42428</v>
      </c>
      <c r="AS54" s="496">
        <f>AP54+AQ54+AR54</f>
        <v>6791264</v>
      </c>
      <c r="AT54" s="287">
        <v>3785195</v>
      </c>
      <c r="AU54" s="287">
        <v>3055580</v>
      </c>
      <c r="AV54" s="287">
        <v>35058</v>
      </c>
      <c r="AW54" s="496">
        <f>AT54+AU54+AV54</f>
        <v>6875833</v>
      </c>
      <c r="AX54" s="287">
        <v>3716750</v>
      </c>
      <c r="AY54" s="287">
        <v>3511188</v>
      </c>
      <c r="AZ54" s="287">
        <v>32908</v>
      </c>
      <c r="BA54" s="496">
        <f>AX54+AY54+AZ54</f>
        <v>7260846</v>
      </c>
      <c r="BB54" s="287">
        <v>3579189</v>
      </c>
      <c r="BC54" s="287">
        <v>3710426</v>
      </c>
      <c r="BD54" s="287">
        <v>34019</v>
      </c>
      <c r="BE54" s="496">
        <f>BB54+BC54+BD54</f>
        <v>7323634</v>
      </c>
      <c r="BF54" s="287">
        <v>3642436</v>
      </c>
      <c r="BG54" s="287">
        <v>4191623</v>
      </c>
      <c r="BH54" s="287">
        <v>34466</v>
      </c>
      <c r="BI54" s="496">
        <f>BF54+BG54+BH54</f>
        <v>7868525</v>
      </c>
      <c r="BJ54" s="287">
        <v>3900018</v>
      </c>
      <c r="BK54" s="287">
        <v>6048130</v>
      </c>
      <c r="BL54" s="287">
        <v>45649</v>
      </c>
      <c r="BM54" s="496">
        <f>BJ54+BK54+BL54</f>
        <v>9993797</v>
      </c>
      <c r="BN54" s="287">
        <v>3931058</v>
      </c>
      <c r="BO54" s="287">
        <v>8872890</v>
      </c>
      <c r="BP54" s="287">
        <v>40088</v>
      </c>
      <c r="BQ54" s="496">
        <f>BN54+BO54+BP54</f>
        <v>12844036</v>
      </c>
      <c r="BR54" s="496">
        <v>3920500</v>
      </c>
      <c r="BS54" s="496">
        <v>5371784</v>
      </c>
      <c r="BT54" s="496">
        <v>46399</v>
      </c>
      <c r="BU54" s="496">
        <f>BR54+BS54+BT54</f>
        <v>9338683</v>
      </c>
      <c r="BV54" s="496">
        <v>3942853</v>
      </c>
      <c r="BW54" s="496">
        <v>4116204</v>
      </c>
      <c r="BX54" s="496">
        <v>52027</v>
      </c>
      <c r="BY54" s="496">
        <f>BV54+BW54+BX54</f>
        <v>8111084</v>
      </c>
      <c r="BZ54" s="496">
        <v>4243472</v>
      </c>
      <c r="CA54" s="496">
        <v>3771624</v>
      </c>
      <c r="CB54" s="496">
        <v>58953</v>
      </c>
      <c r="CC54" s="496">
        <f>BZ54+CA54+CB54</f>
        <v>8074049</v>
      </c>
    </row>
    <row r="55" spans="1:81">
      <c r="A55" s="156">
        <v>224</v>
      </c>
      <c r="B55" s="168" t="s">
        <v>224</v>
      </c>
      <c r="C55" s="155">
        <v>4947350</v>
      </c>
      <c r="D55" s="155">
        <v>4156698</v>
      </c>
      <c r="E55" s="176">
        <f t="shared" si="98"/>
        <v>9104048</v>
      </c>
      <c r="F55" s="155">
        <v>4762260</v>
      </c>
      <c r="G55" s="155">
        <v>3439322</v>
      </c>
      <c r="H55" s="176">
        <f t="shared" si="99"/>
        <v>8201582</v>
      </c>
      <c r="I55" s="155">
        <v>4634337</v>
      </c>
      <c r="J55" s="155">
        <v>3265749</v>
      </c>
      <c r="K55" s="176">
        <f t="shared" si="100"/>
        <v>7900086</v>
      </c>
      <c r="L55" s="155">
        <v>4582991</v>
      </c>
      <c r="M55" s="155">
        <v>3208724</v>
      </c>
      <c r="N55" s="179">
        <f t="shared" si="101"/>
        <v>7791715</v>
      </c>
      <c r="O55" s="104">
        <v>4632243</v>
      </c>
      <c r="P55" s="104">
        <v>2972712</v>
      </c>
      <c r="Q55" s="122">
        <f t="shared" si="102"/>
        <v>7604955</v>
      </c>
      <c r="R55" s="287">
        <v>4485091</v>
      </c>
      <c r="S55" s="287">
        <v>3442590</v>
      </c>
      <c r="T55" s="287">
        <v>215804</v>
      </c>
      <c r="U55" s="122">
        <f t="shared" si="15"/>
        <v>8143485</v>
      </c>
      <c r="V55" s="285">
        <v>4376145</v>
      </c>
      <c r="W55" s="285">
        <v>3145587</v>
      </c>
      <c r="X55" s="285">
        <v>217855</v>
      </c>
      <c r="Y55" s="286">
        <f t="shared" si="16"/>
        <v>7739587</v>
      </c>
      <c r="Z55" s="287">
        <v>4241139</v>
      </c>
      <c r="AA55" s="287">
        <v>3327963</v>
      </c>
      <c r="AB55" s="287">
        <v>263708</v>
      </c>
      <c r="AC55" s="469">
        <f t="shared" si="17"/>
        <v>7832810</v>
      </c>
      <c r="AD55" s="287">
        <v>3989361</v>
      </c>
      <c r="AE55" s="287">
        <v>2932523</v>
      </c>
      <c r="AF55" s="287">
        <v>224141</v>
      </c>
      <c r="AG55" s="469">
        <f t="shared" si="40"/>
        <v>7146025</v>
      </c>
      <c r="AH55" s="287">
        <v>3894829</v>
      </c>
      <c r="AI55" s="287">
        <v>3319551</v>
      </c>
      <c r="AJ55" s="287">
        <v>203154</v>
      </c>
      <c r="AK55" s="469">
        <f t="shared" si="48"/>
        <v>7417534</v>
      </c>
      <c r="AL55" s="287">
        <v>3854485</v>
      </c>
      <c r="AM55" s="287">
        <v>3219171</v>
      </c>
      <c r="AN55" s="287">
        <v>226125</v>
      </c>
      <c r="AO55" s="496">
        <f>AL55+AM55+AN55</f>
        <v>7299781</v>
      </c>
      <c r="AP55" s="287">
        <v>3641185</v>
      </c>
      <c r="AQ55" s="287">
        <v>4254652</v>
      </c>
      <c r="AR55" s="287">
        <v>220937</v>
      </c>
      <c r="AS55" s="496">
        <f>AP55+AQ55+AR55</f>
        <v>8116774</v>
      </c>
      <c r="AT55" s="287">
        <v>3551272</v>
      </c>
      <c r="AU55" s="287">
        <v>3938448</v>
      </c>
      <c r="AV55" s="287">
        <v>201391</v>
      </c>
      <c r="AW55" s="496">
        <f>AT55+AU55+AV55</f>
        <v>7691111</v>
      </c>
      <c r="AX55" s="287">
        <v>3677469</v>
      </c>
      <c r="AY55" s="287">
        <v>3768424</v>
      </c>
      <c r="AZ55" s="287">
        <v>208164</v>
      </c>
      <c r="BA55" s="496">
        <f>AX55+AY55+AZ55</f>
        <v>7654057</v>
      </c>
      <c r="BB55" s="287">
        <v>3660434</v>
      </c>
      <c r="BC55" s="287">
        <v>4158038</v>
      </c>
      <c r="BD55" s="287">
        <v>228805</v>
      </c>
      <c r="BE55" s="496">
        <f>BB55+BC55+BD55</f>
        <v>8047277</v>
      </c>
      <c r="BF55" s="287">
        <v>3697067</v>
      </c>
      <c r="BG55" s="287">
        <v>4250238</v>
      </c>
      <c r="BH55" s="287">
        <v>216270</v>
      </c>
      <c r="BI55" s="496">
        <f>BF55+BG55+BH55</f>
        <v>8163575</v>
      </c>
      <c r="BJ55" s="287">
        <v>4646048</v>
      </c>
      <c r="BK55" s="287">
        <v>3954733</v>
      </c>
      <c r="BL55" s="287">
        <v>197846</v>
      </c>
      <c r="BM55" s="496">
        <f>BJ55+BK55+BL55</f>
        <v>8798627</v>
      </c>
      <c r="BN55" s="287">
        <v>4706814</v>
      </c>
      <c r="BO55" s="287">
        <v>4402682</v>
      </c>
      <c r="BP55" s="287">
        <v>150647</v>
      </c>
      <c r="BQ55" s="496">
        <f>BN55+BO55+BP55</f>
        <v>9260143</v>
      </c>
      <c r="BR55" s="496">
        <v>4671854</v>
      </c>
      <c r="BS55" s="496">
        <v>4861773</v>
      </c>
      <c r="BT55" s="496">
        <v>164929</v>
      </c>
      <c r="BU55" s="496">
        <f>BR55+BS55+BT55</f>
        <v>9698556</v>
      </c>
      <c r="BV55" s="496">
        <v>4825801</v>
      </c>
      <c r="BW55" s="496">
        <v>4748235</v>
      </c>
      <c r="BX55" s="496">
        <v>172221</v>
      </c>
      <c r="BY55" s="496">
        <f>BV55+BW55+BX55</f>
        <v>9746257</v>
      </c>
      <c r="BZ55" s="496">
        <v>5159262</v>
      </c>
      <c r="CA55" s="496">
        <v>4752397</v>
      </c>
      <c r="CB55" s="496">
        <v>168364</v>
      </c>
      <c r="CC55" s="496">
        <f>BZ55+CA55+CB55</f>
        <v>10080023</v>
      </c>
    </row>
    <row r="56" spans="1:81">
      <c r="A56" s="415">
        <v>226</v>
      </c>
      <c r="B56" s="416" t="s">
        <v>225</v>
      </c>
      <c r="C56" s="417">
        <v>5128435</v>
      </c>
      <c r="D56" s="417">
        <v>3852718</v>
      </c>
      <c r="E56" s="418">
        <f t="shared" si="98"/>
        <v>8981153</v>
      </c>
      <c r="F56" s="417">
        <v>4912554</v>
      </c>
      <c r="G56" s="417">
        <v>3965822</v>
      </c>
      <c r="H56" s="418">
        <f t="shared" si="99"/>
        <v>8878376</v>
      </c>
      <c r="I56" s="417">
        <v>4716571</v>
      </c>
      <c r="J56" s="417">
        <v>3385064</v>
      </c>
      <c r="K56" s="418">
        <f t="shared" si="100"/>
        <v>8101635</v>
      </c>
      <c r="L56" s="417">
        <v>4422768</v>
      </c>
      <c r="M56" s="417">
        <v>3333648</v>
      </c>
      <c r="N56" s="178">
        <f t="shared" si="101"/>
        <v>7756416</v>
      </c>
      <c r="O56" s="217">
        <v>4161758</v>
      </c>
      <c r="P56" s="217">
        <v>3036647</v>
      </c>
      <c r="Q56" s="191">
        <f t="shared" si="102"/>
        <v>7198405</v>
      </c>
      <c r="R56" s="360">
        <v>3954449</v>
      </c>
      <c r="S56" s="360">
        <v>3747078</v>
      </c>
      <c r="T56" s="360">
        <v>118672</v>
      </c>
      <c r="U56" s="191">
        <f t="shared" si="15"/>
        <v>7820199</v>
      </c>
      <c r="V56" s="419">
        <v>3938009</v>
      </c>
      <c r="W56" s="419">
        <v>3098523</v>
      </c>
      <c r="X56" s="419">
        <v>126685</v>
      </c>
      <c r="Y56" s="420">
        <f t="shared" si="16"/>
        <v>7163217</v>
      </c>
      <c r="Z56" s="360">
        <v>3925548</v>
      </c>
      <c r="AA56" s="360">
        <v>3371271</v>
      </c>
      <c r="AB56" s="360">
        <v>168959</v>
      </c>
      <c r="AC56" s="360">
        <f t="shared" si="17"/>
        <v>7465778</v>
      </c>
      <c r="AD56" s="360">
        <v>3938343</v>
      </c>
      <c r="AE56" s="360">
        <v>3297518</v>
      </c>
      <c r="AF56" s="360">
        <v>180484</v>
      </c>
      <c r="AG56" s="360">
        <f t="shared" si="40"/>
        <v>7416345</v>
      </c>
      <c r="AH56" s="360">
        <v>3726704</v>
      </c>
      <c r="AI56" s="360">
        <v>3641297</v>
      </c>
      <c r="AJ56" s="360">
        <v>163324</v>
      </c>
      <c r="AK56" s="360">
        <f t="shared" si="48"/>
        <v>7531325</v>
      </c>
      <c r="AL56" s="360">
        <v>3796040</v>
      </c>
      <c r="AM56" s="360">
        <v>4010047</v>
      </c>
      <c r="AN56" s="360">
        <v>154866</v>
      </c>
      <c r="AO56" s="420">
        <f>AL56+AM56+AN56</f>
        <v>7960953</v>
      </c>
      <c r="AP56" s="360">
        <v>3670660</v>
      </c>
      <c r="AQ56" s="360">
        <v>4242220</v>
      </c>
      <c r="AR56" s="360">
        <v>144710</v>
      </c>
      <c r="AS56" s="420">
        <f>AP56+AQ56+AR56</f>
        <v>8057590</v>
      </c>
      <c r="AT56" s="360">
        <v>3503111</v>
      </c>
      <c r="AU56" s="360">
        <v>4213671</v>
      </c>
      <c r="AV56" s="360">
        <v>154313</v>
      </c>
      <c r="AW56" s="420">
        <f>AT56+AU56+AV56</f>
        <v>7871095</v>
      </c>
      <c r="AX56" s="360">
        <v>3537137</v>
      </c>
      <c r="AY56" s="360">
        <v>4185502</v>
      </c>
      <c r="AZ56" s="360">
        <v>156792</v>
      </c>
      <c r="BA56" s="420">
        <f>AX56+AY56+AZ56</f>
        <v>7879431</v>
      </c>
      <c r="BB56" s="360">
        <v>3555083</v>
      </c>
      <c r="BC56" s="360">
        <v>4148799</v>
      </c>
      <c r="BD56" s="360">
        <v>161032</v>
      </c>
      <c r="BE56" s="420">
        <f>BB56+BC56+BD56</f>
        <v>7864914</v>
      </c>
      <c r="BF56" s="360">
        <v>3361046</v>
      </c>
      <c r="BG56" s="360">
        <v>4817854</v>
      </c>
      <c r="BH56" s="360">
        <v>179838</v>
      </c>
      <c r="BI56" s="420">
        <f>BF56+BG56+BH56</f>
        <v>8358738</v>
      </c>
      <c r="BJ56" s="360">
        <v>4423019</v>
      </c>
      <c r="BK56" s="360">
        <v>4440680</v>
      </c>
      <c r="BL56" s="360">
        <v>183126</v>
      </c>
      <c r="BM56" s="420">
        <f>BJ56+BK56+BL56</f>
        <v>9046825</v>
      </c>
      <c r="BN56" s="360">
        <v>4534797</v>
      </c>
      <c r="BO56" s="360">
        <v>4655707</v>
      </c>
      <c r="BP56" s="360">
        <v>190183</v>
      </c>
      <c r="BQ56" s="420">
        <f>BN56+BO56+BP56</f>
        <v>9380687</v>
      </c>
      <c r="BR56" s="286">
        <v>4460693</v>
      </c>
      <c r="BS56" s="286">
        <v>5522665</v>
      </c>
      <c r="BT56" s="286">
        <v>189076</v>
      </c>
      <c r="BU56" s="420">
        <f>BR56+BS56+BT56</f>
        <v>10172434</v>
      </c>
      <c r="BV56" s="286">
        <v>4557981</v>
      </c>
      <c r="BW56" s="286">
        <v>6081156</v>
      </c>
      <c r="BX56" s="286">
        <v>191061</v>
      </c>
      <c r="BY56" s="420">
        <f>BV56+BW56+BX56</f>
        <v>10830198</v>
      </c>
      <c r="BZ56" s="286">
        <v>5007738</v>
      </c>
      <c r="CA56" s="286">
        <v>6437909</v>
      </c>
      <c r="CB56" s="286">
        <v>183773</v>
      </c>
      <c r="CC56" s="420">
        <f>BZ56+CA56+CB56</f>
        <v>11629420</v>
      </c>
    </row>
    <row r="57" spans="1:81">
      <c r="A57" s="142"/>
      <c r="B57" s="142" t="s">
        <v>171</v>
      </c>
      <c r="C57" s="160"/>
      <c r="D57" s="160"/>
      <c r="E57" s="160"/>
      <c r="F57" s="157"/>
      <c r="G57" s="157"/>
      <c r="H57" s="157"/>
      <c r="I57" s="157"/>
      <c r="J57" s="157"/>
      <c r="K57" s="157"/>
      <c r="L57" s="157"/>
      <c r="M57" s="157"/>
      <c r="N57" s="157"/>
      <c r="O57" s="104"/>
      <c r="P57" s="104"/>
      <c r="Q57" s="104"/>
      <c r="R57" s="104" t="s">
        <v>901</v>
      </c>
      <c r="S57" s="104" t="s">
        <v>627</v>
      </c>
      <c r="T57" s="104"/>
      <c r="U57" s="104"/>
      <c r="V57" s="104"/>
      <c r="W57" s="104"/>
      <c r="X57" s="104"/>
      <c r="Y57" s="104"/>
      <c r="Z57" s="104"/>
      <c r="BJ57" s="157" t="s">
        <v>1510</v>
      </c>
      <c r="BN57" s="157" t="s">
        <v>1510</v>
      </c>
    </row>
    <row r="58" spans="1:81" ht="24">
      <c r="A58" s="142"/>
      <c r="B58" s="142" t="s">
        <v>644</v>
      </c>
      <c r="C58" s="161" t="s">
        <v>645</v>
      </c>
      <c r="D58" s="161" t="s">
        <v>645</v>
      </c>
      <c r="E58" s="161"/>
      <c r="F58" s="157"/>
      <c r="G58" s="157"/>
      <c r="H58" s="157"/>
      <c r="I58" s="157"/>
      <c r="J58" s="157"/>
      <c r="K58" s="157"/>
      <c r="L58" s="157"/>
      <c r="M58" s="157"/>
      <c r="N58" s="157"/>
      <c r="O58" s="104"/>
      <c r="P58" s="104"/>
      <c r="Q58" s="104"/>
      <c r="R58" s="104"/>
      <c r="S58" s="104"/>
      <c r="T58" s="104"/>
      <c r="U58" s="104"/>
      <c r="V58" s="104"/>
      <c r="W58" s="104"/>
      <c r="X58" s="104"/>
      <c r="Y58" s="104"/>
      <c r="Z58" s="104"/>
      <c r="AL58" s="495" t="s">
        <v>347</v>
      </c>
    </row>
    <row r="59" spans="1:81">
      <c r="A59" s="142"/>
      <c r="B59" s="142"/>
      <c r="C59" s="161"/>
      <c r="D59" s="161"/>
      <c r="E59" s="161"/>
      <c r="F59" s="157"/>
      <c r="G59" s="157"/>
      <c r="H59" s="157"/>
      <c r="I59" s="157"/>
      <c r="J59" s="157"/>
      <c r="K59" s="157"/>
      <c r="L59" s="157"/>
      <c r="M59" s="157"/>
      <c r="N59" s="157"/>
      <c r="O59" s="104"/>
      <c r="P59" s="104"/>
      <c r="Q59" s="104"/>
      <c r="R59" s="104"/>
      <c r="S59" s="104"/>
      <c r="T59" s="104"/>
      <c r="U59" s="104"/>
      <c r="V59" s="104"/>
      <c r="W59" s="104"/>
      <c r="X59" s="104"/>
      <c r="Y59" s="104"/>
      <c r="Z59" s="104"/>
      <c r="AH59" s="75" t="s">
        <v>347</v>
      </c>
      <c r="AI59" s="75" t="s">
        <v>347</v>
      </c>
      <c r="AJ59" s="75" t="s">
        <v>347</v>
      </c>
    </row>
    <row r="60" spans="1:81">
      <c r="A60" s="142"/>
      <c r="B60" s="142"/>
      <c r="C60" s="161"/>
      <c r="D60" s="161"/>
      <c r="E60" s="161"/>
      <c r="F60" s="157"/>
      <c r="G60" s="157"/>
      <c r="H60" s="157"/>
      <c r="I60" s="157"/>
      <c r="J60" s="157"/>
      <c r="K60" s="157"/>
      <c r="L60" s="157"/>
      <c r="M60" s="157"/>
      <c r="N60" s="157"/>
      <c r="O60" s="104"/>
      <c r="P60" s="104"/>
      <c r="Q60" s="104"/>
      <c r="R60" s="104"/>
      <c r="S60" s="104"/>
      <c r="T60" s="104"/>
      <c r="U60" s="104"/>
      <c r="V60" s="104"/>
      <c r="W60" s="104"/>
      <c r="X60" s="104"/>
      <c r="Y60" s="375"/>
      <c r="Z60" s="367" t="s">
        <v>638</v>
      </c>
      <c r="AA60" s="367" t="s">
        <v>639</v>
      </c>
      <c r="AB60" s="367" t="s">
        <v>143</v>
      </c>
      <c r="AC60" s="375"/>
      <c r="AD60" s="367" t="s">
        <v>638</v>
      </c>
      <c r="AE60" s="367" t="s">
        <v>639</v>
      </c>
      <c r="AF60" s="367" t="s">
        <v>413</v>
      </c>
      <c r="AH60" s="388" t="s">
        <v>638</v>
      </c>
      <c r="AI60" s="367" t="s">
        <v>639</v>
      </c>
      <c r="AJ60" s="391" t="s">
        <v>413</v>
      </c>
      <c r="AL60" s="388" t="s">
        <v>638</v>
      </c>
      <c r="AM60" s="367" t="s">
        <v>639</v>
      </c>
      <c r="AN60" s="391" t="s">
        <v>413</v>
      </c>
      <c r="AP60" s="388" t="s">
        <v>638</v>
      </c>
      <c r="AQ60" s="367" t="s">
        <v>639</v>
      </c>
      <c r="AR60" s="391" t="s">
        <v>413</v>
      </c>
      <c r="AT60" s="388" t="s">
        <v>638</v>
      </c>
      <c r="AU60" s="367" t="s">
        <v>639</v>
      </c>
      <c r="AV60" s="391" t="s">
        <v>413</v>
      </c>
    </row>
    <row r="61" spans="1:81">
      <c r="A61" s="142"/>
      <c r="B61" s="142"/>
      <c r="C61" s="161"/>
      <c r="D61" s="161"/>
      <c r="E61" s="161"/>
      <c r="F61" s="157"/>
      <c r="G61" s="157"/>
      <c r="H61" s="157"/>
      <c r="I61" s="157"/>
      <c r="J61" s="157"/>
      <c r="K61" s="157"/>
      <c r="L61" s="157"/>
      <c r="M61" s="157"/>
      <c r="N61" s="157"/>
      <c r="O61" s="104"/>
      <c r="P61" s="104"/>
      <c r="Q61" s="104"/>
      <c r="R61" s="104"/>
      <c r="S61" s="104"/>
      <c r="T61" s="104"/>
      <c r="U61" s="104"/>
      <c r="V61" s="104"/>
      <c r="W61" s="104"/>
      <c r="X61" s="104"/>
      <c r="Y61" s="376"/>
      <c r="Z61" s="368" t="s">
        <v>146</v>
      </c>
      <c r="AA61" s="368" t="s">
        <v>146</v>
      </c>
      <c r="AB61" s="368" t="s">
        <v>144</v>
      </c>
      <c r="AC61" s="376"/>
      <c r="AD61" s="368" t="s">
        <v>415</v>
      </c>
      <c r="AE61" s="368" t="s">
        <v>415</v>
      </c>
      <c r="AF61" s="368" t="s">
        <v>415</v>
      </c>
      <c r="AH61" s="389" t="s">
        <v>754</v>
      </c>
      <c r="AI61" s="368" t="s">
        <v>754</v>
      </c>
      <c r="AJ61" s="392" t="s">
        <v>754</v>
      </c>
      <c r="AL61" s="389" t="s">
        <v>843</v>
      </c>
      <c r="AM61" s="368" t="s">
        <v>843</v>
      </c>
      <c r="AN61" s="392" t="s">
        <v>843</v>
      </c>
      <c r="AP61" s="389" t="s">
        <v>1030</v>
      </c>
      <c r="AQ61" s="368" t="s">
        <v>1030</v>
      </c>
      <c r="AR61" s="392" t="s">
        <v>1030</v>
      </c>
      <c r="AT61" s="389" t="s">
        <v>1030</v>
      </c>
      <c r="AU61" s="368" t="s">
        <v>1030</v>
      </c>
      <c r="AV61" s="392" t="s">
        <v>1030</v>
      </c>
    </row>
    <row r="62" spans="1:81">
      <c r="Y62" s="498"/>
      <c r="Z62" s="369" t="s">
        <v>145</v>
      </c>
      <c r="AA62" s="369" t="s">
        <v>145</v>
      </c>
      <c r="AB62" s="369" t="s">
        <v>145</v>
      </c>
      <c r="AC62" s="498"/>
      <c r="AD62" s="369" t="s">
        <v>414</v>
      </c>
      <c r="AE62" s="369" t="s">
        <v>414</v>
      </c>
      <c r="AF62" s="369" t="s">
        <v>414</v>
      </c>
      <c r="AH62" s="390" t="s">
        <v>414</v>
      </c>
      <c r="AI62" s="369" t="s">
        <v>414</v>
      </c>
      <c r="AJ62" s="393" t="s">
        <v>414</v>
      </c>
      <c r="AL62" s="390" t="s">
        <v>414</v>
      </c>
      <c r="AM62" s="369" t="s">
        <v>414</v>
      </c>
      <c r="AN62" s="393" t="s">
        <v>414</v>
      </c>
      <c r="AP62" s="390" t="s">
        <v>414</v>
      </c>
      <c r="AQ62" s="369" t="s">
        <v>414</v>
      </c>
      <c r="AR62" s="393" t="s">
        <v>414</v>
      </c>
      <c r="AT62" s="390" t="s">
        <v>414</v>
      </c>
      <c r="AU62" s="369" t="s">
        <v>414</v>
      </c>
      <c r="AV62" s="393" t="s">
        <v>414</v>
      </c>
    </row>
    <row r="63" spans="1:81">
      <c r="A63" s="361"/>
      <c r="B63" s="362" t="s">
        <v>603</v>
      </c>
      <c r="Y63" s="377" t="s">
        <v>603</v>
      </c>
      <c r="Z63" s="370">
        <v>419637000</v>
      </c>
      <c r="AA63" s="370">
        <v>265480000</v>
      </c>
      <c r="AB63" s="371">
        <v>15241000</v>
      </c>
      <c r="AC63" s="377" t="s">
        <v>603</v>
      </c>
      <c r="AD63" s="370">
        <v>403348000</v>
      </c>
      <c r="AE63" s="370">
        <v>261777000</v>
      </c>
      <c r="AF63" s="371">
        <v>15915000</v>
      </c>
      <c r="AH63" s="423">
        <f>SUM(AH64:AH104)</f>
        <v>394436000</v>
      </c>
      <c r="AI63" s="424">
        <f>SUM(AI64:AI104)</f>
        <v>273888000</v>
      </c>
      <c r="AJ63" s="425">
        <f>SUM(AJ64:AJ104)</f>
        <v>15779000</v>
      </c>
      <c r="AL63" s="423">
        <v>386348000</v>
      </c>
      <c r="AM63" s="424">
        <v>280503000</v>
      </c>
      <c r="AN63" s="425">
        <v>16433000</v>
      </c>
      <c r="AP63" s="423">
        <v>390488000</v>
      </c>
      <c r="AQ63" s="424">
        <v>299025000</v>
      </c>
      <c r="AR63" s="425">
        <v>17483000</v>
      </c>
      <c r="AT63" s="423"/>
      <c r="AU63" s="424"/>
      <c r="AV63" s="425"/>
    </row>
    <row r="64" spans="1:81">
      <c r="A64" s="363">
        <v>100</v>
      </c>
      <c r="B64" s="364" t="s">
        <v>172</v>
      </c>
      <c r="Y64" s="378" t="s">
        <v>172</v>
      </c>
      <c r="Z64" s="372">
        <v>130313000</v>
      </c>
      <c r="AA64" s="372">
        <v>70730000</v>
      </c>
      <c r="AB64" s="372">
        <v>2582000</v>
      </c>
      <c r="AC64" s="378" t="s">
        <v>172</v>
      </c>
      <c r="AD64" s="372">
        <v>124857000</v>
      </c>
      <c r="AE64" s="372">
        <v>69039000</v>
      </c>
      <c r="AF64" s="372">
        <v>2528000</v>
      </c>
      <c r="AH64" s="426">
        <v>121238000</v>
      </c>
      <c r="AI64" s="427">
        <v>72217000</v>
      </c>
      <c r="AJ64" s="428">
        <v>2431000</v>
      </c>
      <c r="AL64" s="426">
        <v>118268000</v>
      </c>
      <c r="AM64" s="427">
        <v>72975000</v>
      </c>
      <c r="AN64" s="428">
        <v>2828000</v>
      </c>
      <c r="AP64" s="426">
        <v>119373000</v>
      </c>
      <c r="AQ64" s="427">
        <v>79636000</v>
      </c>
      <c r="AR64" s="428">
        <v>3494000</v>
      </c>
      <c r="AT64" s="426"/>
      <c r="AU64" s="427"/>
      <c r="AV64" s="428"/>
    </row>
    <row r="65" spans="1:48">
      <c r="A65" s="363">
        <v>201</v>
      </c>
      <c r="B65" s="364" t="s">
        <v>382</v>
      </c>
      <c r="Y65" s="378" t="s">
        <v>382</v>
      </c>
      <c r="Z65" s="373">
        <v>35407000</v>
      </c>
      <c r="AA65" s="373">
        <v>23386000</v>
      </c>
      <c r="AB65" s="373">
        <v>1132000</v>
      </c>
      <c r="AC65" s="378" t="s">
        <v>382</v>
      </c>
      <c r="AD65" s="373">
        <v>33770000</v>
      </c>
      <c r="AE65" s="373">
        <v>22943000</v>
      </c>
      <c r="AF65" s="373">
        <v>1226000</v>
      </c>
      <c r="AH65" s="429">
        <v>33255000</v>
      </c>
      <c r="AI65" s="430">
        <v>23440000</v>
      </c>
      <c r="AJ65" s="431">
        <v>1317000</v>
      </c>
      <c r="AL65" s="429">
        <v>33104000</v>
      </c>
      <c r="AM65" s="430">
        <v>24782000</v>
      </c>
      <c r="AN65" s="431">
        <v>1217000</v>
      </c>
      <c r="AP65" s="429">
        <v>34560000</v>
      </c>
      <c r="AQ65" s="430">
        <v>26873000</v>
      </c>
      <c r="AR65" s="431">
        <v>1363000</v>
      </c>
      <c r="AT65" s="429"/>
      <c r="AU65" s="430"/>
      <c r="AV65" s="431"/>
    </row>
    <row r="66" spans="1:48">
      <c r="A66" s="363">
        <v>202</v>
      </c>
      <c r="B66" s="364" t="s">
        <v>183</v>
      </c>
      <c r="Y66" s="378" t="s">
        <v>183</v>
      </c>
      <c r="Z66" s="373">
        <v>30930000</v>
      </c>
      <c r="AA66" s="373">
        <v>18368000</v>
      </c>
      <c r="AB66" s="373">
        <v>954000</v>
      </c>
      <c r="AC66" s="378" t="s">
        <v>183</v>
      </c>
      <c r="AD66" s="373">
        <v>28128000</v>
      </c>
      <c r="AE66" s="373">
        <v>18116000</v>
      </c>
      <c r="AF66" s="373">
        <v>1002000</v>
      </c>
      <c r="AH66" s="429">
        <v>27662000</v>
      </c>
      <c r="AI66" s="430">
        <v>18216000</v>
      </c>
      <c r="AJ66" s="431">
        <v>1021000</v>
      </c>
      <c r="AL66" s="429">
        <v>27768000</v>
      </c>
      <c r="AM66" s="430">
        <v>18494000</v>
      </c>
      <c r="AN66" s="431">
        <v>1046000</v>
      </c>
      <c r="AP66" s="429">
        <v>27821000</v>
      </c>
      <c r="AQ66" s="430">
        <v>19279000</v>
      </c>
      <c r="AR66" s="431">
        <v>1031000</v>
      </c>
      <c r="AT66" s="429"/>
      <c r="AU66" s="430"/>
      <c r="AV66" s="431"/>
    </row>
    <row r="67" spans="1:48">
      <c r="A67" s="363">
        <v>203</v>
      </c>
      <c r="B67" s="364" t="s">
        <v>193</v>
      </c>
      <c r="Y67" s="378" t="s">
        <v>193</v>
      </c>
      <c r="Z67" s="373">
        <v>18087000</v>
      </c>
      <c r="AA67" s="373">
        <v>12151000</v>
      </c>
      <c r="AB67" s="373">
        <v>1825000</v>
      </c>
      <c r="AC67" s="378" t="s">
        <v>193</v>
      </c>
      <c r="AD67" s="373">
        <v>18814000</v>
      </c>
      <c r="AE67" s="373">
        <v>11790000</v>
      </c>
      <c r="AF67" s="373">
        <v>1848000</v>
      </c>
      <c r="AH67" s="429">
        <v>18819000</v>
      </c>
      <c r="AI67" s="430">
        <v>12114000</v>
      </c>
      <c r="AJ67" s="431">
        <v>1798000</v>
      </c>
      <c r="AL67" s="429">
        <v>18449000</v>
      </c>
      <c r="AM67" s="430">
        <v>12461000</v>
      </c>
      <c r="AN67" s="431">
        <v>1924000</v>
      </c>
      <c r="AP67" s="429">
        <v>18249000</v>
      </c>
      <c r="AQ67" s="430">
        <v>12815000</v>
      </c>
      <c r="AR67" s="431">
        <v>1958000</v>
      </c>
      <c r="AT67" s="429"/>
      <c r="AU67" s="430"/>
      <c r="AV67" s="431"/>
    </row>
    <row r="68" spans="1:48">
      <c r="A68" s="363">
        <v>204</v>
      </c>
      <c r="B68" s="364" t="s">
        <v>184</v>
      </c>
      <c r="Y68" s="378" t="s">
        <v>184</v>
      </c>
      <c r="Z68" s="373">
        <v>34534000</v>
      </c>
      <c r="AA68" s="373">
        <v>21103000</v>
      </c>
      <c r="AB68" s="373">
        <v>3045000</v>
      </c>
      <c r="AC68" s="378" t="s">
        <v>184</v>
      </c>
      <c r="AD68" s="373">
        <v>34029000</v>
      </c>
      <c r="AE68" s="373">
        <v>21113000</v>
      </c>
      <c r="AF68" s="373">
        <v>3068000</v>
      </c>
      <c r="AH68" s="429">
        <v>33707000</v>
      </c>
      <c r="AI68" s="430">
        <v>23530000</v>
      </c>
      <c r="AJ68" s="431">
        <v>2922000</v>
      </c>
      <c r="AL68" s="429">
        <v>33462000</v>
      </c>
      <c r="AM68" s="430">
        <v>24235000</v>
      </c>
      <c r="AN68" s="431">
        <v>3101000</v>
      </c>
      <c r="AP68" s="429">
        <v>33981000</v>
      </c>
      <c r="AQ68" s="430">
        <v>25609000</v>
      </c>
      <c r="AR68" s="431">
        <v>3228000</v>
      </c>
      <c r="AT68" s="429"/>
      <c r="AU68" s="430"/>
      <c r="AV68" s="431"/>
    </row>
    <row r="69" spans="1:48">
      <c r="A69" s="363">
        <v>205</v>
      </c>
      <c r="B69" s="364" t="s">
        <v>339</v>
      </c>
      <c r="Y69" s="378" t="s">
        <v>339</v>
      </c>
      <c r="Z69" s="373">
        <v>4185000</v>
      </c>
      <c r="AA69" s="373">
        <v>2497000</v>
      </c>
      <c r="AB69" s="373">
        <v>81000</v>
      </c>
      <c r="AC69" s="378" t="s">
        <v>339</v>
      </c>
      <c r="AD69" s="373">
        <v>4124000</v>
      </c>
      <c r="AE69" s="373">
        <v>2446000</v>
      </c>
      <c r="AF69" s="373">
        <v>69000</v>
      </c>
      <c r="AH69" s="429">
        <v>4045000</v>
      </c>
      <c r="AI69" s="430">
        <v>2636000</v>
      </c>
      <c r="AJ69" s="431">
        <v>48000</v>
      </c>
      <c r="AL69" s="429">
        <v>4024000</v>
      </c>
      <c r="AM69" s="430">
        <v>2678000</v>
      </c>
      <c r="AN69" s="431">
        <v>53000</v>
      </c>
      <c r="AP69" s="429">
        <v>4085000</v>
      </c>
      <c r="AQ69" s="430">
        <v>2570000</v>
      </c>
      <c r="AR69" s="431">
        <v>53000</v>
      </c>
      <c r="AT69" s="429"/>
      <c r="AU69" s="430"/>
      <c r="AV69" s="431"/>
    </row>
    <row r="70" spans="1:48">
      <c r="A70" s="363">
        <v>206</v>
      </c>
      <c r="B70" s="364" t="s">
        <v>185</v>
      </c>
      <c r="Y70" s="378" t="s">
        <v>185</v>
      </c>
      <c r="Z70" s="373">
        <v>8245000</v>
      </c>
      <c r="AA70" s="373">
        <v>5914000</v>
      </c>
      <c r="AB70" s="373">
        <v>584000</v>
      </c>
      <c r="AC70" s="378" t="s">
        <v>185</v>
      </c>
      <c r="AD70" s="373">
        <v>7935000</v>
      </c>
      <c r="AE70" s="373">
        <v>6261000</v>
      </c>
      <c r="AF70" s="373">
        <v>566000</v>
      </c>
      <c r="AH70" s="429">
        <v>8183000</v>
      </c>
      <c r="AI70" s="430">
        <v>7162000</v>
      </c>
      <c r="AJ70" s="431">
        <v>425000</v>
      </c>
      <c r="AL70" s="429">
        <v>7636000</v>
      </c>
      <c r="AM70" s="430">
        <v>6743000</v>
      </c>
      <c r="AN70" s="431">
        <v>499000</v>
      </c>
      <c r="AP70" s="429">
        <v>8053000</v>
      </c>
      <c r="AQ70" s="430">
        <v>7357000</v>
      </c>
      <c r="AR70" s="431">
        <v>568000</v>
      </c>
      <c r="AT70" s="429"/>
      <c r="AU70" s="430"/>
      <c r="AV70" s="431"/>
    </row>
    <row r="71" spans="1:48">
      <c r="A71" s="363">
        <v>207</v>
      </c>
      <c r="B71" s="364" t="s">
        <v>187</v>
      </c>
      <c r="Y71" s="378" t="s">
        <v>187</v>
      </c>
      <c r="Z71" s="373">
        <v>12683000</v>
      </c>
      <c r="AA71" s="373">
        <v>7816000</v>
      </c>
      <c r="AB71" s="373">
        <v>301000</v>
      </c>
      <c r="AC71" s="378" t="s">
        <v>187</v>
      </c>
      <c r="AD71" s="373">
        <v>12299000</v>
      </c>
      <c r="AE71" s="373">
        <v>7646000</v>
      </c>
      <c r="AF71" s="373">
        <v>342000</v>
      </c>
      <c r="AH71" s="429">
        <v>11932000</v>
      </c>
      <c r="AI71" s="430">
        <v>8356000</v>
      </c>
      <c r="AJ71" s="431">
        <v>512000</v>
      </c>
      <c r="AL71" s="429">
        <v>11526000</v>
      </c>
      <c r="AM71" s="430">
        <v>8463000</v>
      </c>
      <c r="AN71" s="431">
        <v>439000</v>
      </c>
      <c r="AP71" s="429">
        <v>11910000</v>
      </c>
      <c r="AQ71" s="430">
        <v>8700000</v>
      </c>
      <c r="AR71" s="431">
        <v>441000</v>
      </c>
      <c r="AT71" s="429"/>
      <c r="AU71" s="430"/>
      <c r="AV71" s="431"/>
    </row>
    <row r="72" spans="1:48">
      <c r="A72" s="363">
        <v>208</v>
      </c>
      <c r="B72" s="364" t="s">
        <v>206</v>
      </c>
      <c r="Y72" s="378" t="s">
        <v>206</v>
      </c>
      <c r="Z72" s="373">
        <v>2334000</v>
      </c>
      <c r="AA72" s="373">
        <v>1452000</v>
      </c>
      <c r="AB72" s="373">
        <v>128000</v>
      </c>
      <c r="AC72" s="378" t="s">
        <v>206</v>
      </c>
      <c r="AD72" s="373">
        <v>2345000</v>
      </c>
      <c r="AE72" s="373">
        <v>1477000</v>
      </c>
      <c r="AF72" s="373">
        <v>151000</v>
      </c>
      <c r="AH72" s="429">
        <v>2062000</v>
      </c>
      <c r="AI72" s="430">
        <v>1576000</v>
      </c>
      <c r="AJ72" s="431">
        <v>91000</v>
      </c>
      <c r="AL72" s="429">
        <v>2166000</v>
      </c>
      <c r="AM72" s="430">
        <v>1636000</v>
      </c>
      <c r="AN72" s="431">
        <v>87000</v>
      </c>
      <c r="AP72" s="429">
        <v>2032000</v>
      </c>
      <c r="AQ72" s="430">
        <v>1760000</v>
      </c>
      <c r="AR72" s="431">
        <v>90000</v>
      </c>
      <c r="AT72" s="429"/>
      <c r="AU72" s="430"/>
      <c r="AV72" s="431"/>
    </row>
    <row r="73" spans="1:48">
      <c r="A73" s="363">
        <v>209</v>
      </c>
      <c r="B73" s="364" t="s">
        <v>336</v>
      </c>
      <c r="Y73" s="378" t="s">
        <v>336</v>
      </c>
      <c r="Z73" s="373">
        <v>8974000</v>
      </c>
      <c r="AA73" s="373">
        <v>5172000</v>
      </c>
      <c r="AB73" s="373">
        <v>480000</v>
      </c>
      <c r="AC73" s="378" t="s">
        <v>336</v>
      </c>
      <c r="AD73" s="373">
        <v>8853000</v>
      </c>
      <c r="AE73" s="373">
        <v>5043000</v>
      </c>
      <c r="AF73" s="373">
        <v>527000</v>
      </c>
      <c r="AH73" s="429">
        <v>8521000</v>
      </c>
      <c r="AI73" s="430">
        <v>5424000</v>
      </c>
      <c r="AJ73" s="431">
        <v>487000</v>
      </c>
      <c r="AL73" s="429">
        <v>8318000</v>
      </c>
      <c r="AM73" s="430">
        <v>5797000</v>
      </c>
      <c r="AN73" s="431">
        <v>287000</v>
      </c>
      <c r="AP73" s="429">
        <v>8236000</v>
      </c>
      <c r="AQ73" s="430">
        <v>5859000</v>
      </c>
      <c r="AR73" s="431">
        <v>255000</v>
      </c>
      <c r="AT73" s="429"/>
      <c r="AU73" s="430"/>
      <c r="AV73" s="431"/>
    </row>
    <row r="74" spans="1:48">
      <c r="A74" s="363">
        <v>210</v>
      </c>
      <c r="B74" s="364" t="s">
        <v>194</v>
      </c>
      <c r="Y74" s="378" t="s">
        <v>194</v>
      </c>
      <c r="Z74" s="373">
        <v>16520000</v>
      </c>
      <c r="AA74" s="373">
        <v>9746000</v>
      </c>
      <c r="AB74" s="373">
        <v>644000</v>
      </c>
      <c r="AC74" s="378" t="s">
        <v>194</v>
      </c>
      <c r="AD74" s="373">
        <v>15159000</v>
      </c>
      <c r="AE74" s="373">
        <v>9814000</v>
      </c>
      <c r="AF74" s="373">
        <v>645000</v>
      </c>
      <c r="AH74" s="429">
        <v>15497000</v>
      </c>
      <c r="AI74" s="430">
        <v>9917000</v>
      </c>
      <c r="AJ74" s="431">
        <v>892000</v>
      </c>
      <c r="AL74" s="429">
        <v>15294000</v>
      </c>
      <c r="AM74" s="430">
        <v>9730000</v>
      </c>
      <c r="AN74" s="431">
        <v>860000</v>
      </c>
      <c r="AP74" s="429">
        <v>15235000</v>
      </c>
      <c r="AQ74" s="430">
        <v>9912000</v>
      </c>
      <c r="AR74" s="431">
        <v>936000</v>
      </c>
      <c r="AT74" s="429"/>
      <c r="AU74" s="430"/>
      <c r="AV74" s="431"/>
    </row>
    <row r="75" spans="1:48">
      <c r="A75" s="363">
        <v>212</v>
      </c>
      <c r="B75" s="364" t="s">
        <v>207</v>
      </c>
      <c r="Y75" s="378" t="s">
        <v>207</v>
      </c>
      <c r="Z75" s="373">
        <v>4513000</v>
      </c>
      <c r="AA75" s="373">
        <v>2532000</v>
      </c>
      <c r="AB75" s="373">
        <v>161000</v>
      </c>
      <c r="AC75" s="378" t="s">
        <v>207</v>
      </c>
      <c r="AD75" s="373">
        <v>3796000</v>
      </c>
      <c r="AE75" s="373">
        <v>2518000</v>
      </c>
      <c r="AF75" s="373">
        <v>164000</v>
      </c>
      <c r="AH75" s="429">
        <v>3999000</v>
      </c>
      <c r="AI75" s="430">
        <v>2588000</v>
      </c>
      <c r="AJ75" s="431">
        <v>168000</v>
      </c>
      <c r="AL75" s="429">
        <v>3791000</v>
      </c>
      <c r="AM75" s="430">
        <v>2626000</v>
      </c>
      <c r="AN75" s="431">
        <v>177000</v>
      </c>
      <c r="AP75" s="429">
        <v>4028000</v>
      </c>
      <c r="AQ75" s="430">
        <v>2717000</v>
      </c>
      <c r="AR75" s="431">
        <v>180000</v>
      </c>
      <c r="AT75" s="429"/>
      <c r="AU75" s="430"/>
      <c r="AV75" s="431"/>
    </row>
    <row r="76" spans="1:48">
      <c r="A76" s="363">
        <v>213</v>
      </c>
      <c r="B76" s="364" t="s">
        <v>199</v>
      </c>
      <c r="Y76" s="378" t="s">
        <v>199</v>
      </c>
      <c r="Z76" s="373">
        <v>2577000</v>
      </c>
      <c r="AA76" s="373">
        <v>1896000</v>
      </c>
      <c r="AB76" s="373">
        <v>61000</v>
      </c>
      <c r="AC76" s="378" t="s">
        <v>199</v>
      </c>
      <c r="AD76" s="373">
        <v>2461000</v>
      </c>
      <c r="AE76" s="373">
        <v>1854000</v>
      </c>
      <c r="AF76" s="373">
        <v>62000</v>
      </c>
      <c r="AH76" s="429">
        <v>2431000</v>
      </c>
      <c r="AI76" s="430">
        <v>1839000</v>
      </c>
      <c r="AJ76" s="431">
        <v>61000</v>
      </c>
      <c r="AL76" s="429">
        <v>2198000</v>
      </c>
      <c r="AM76" s="430">
        <v>2150000</v>
      </c>
      <c r="AN76" s="431">
        <v>62000</v>
      </c>
      <c r="AP76" s="429">
        <v>2095000</v>
      </c>
      <c r="AQ76" s="430">
        <v>2532000</v>
      </c>
      <c r="AR76" s="431">
        <v>69000</v>
      </c>
      <c r="AT76" s="429"/>
      <c r="AU76" s="430"/>
      <c r="AV76" s="431"/>
    </row>
    <row r="77" spans="1:48">
      <c r="A77" s="363">
        <v>214</v>
      </c>
      <c r="B77" s="364" t="s">
        <v>188</v>
      </c>
      <c r="Y77" s="378" t="s">
        <v>188</v>
      </c>
      <c r="Z77" s="373">
        <v>14810000</v>
      </c>
      <c r="AA77" s="373">
        <v>9793000</v>
      </c>
      <c r="AB77" s="373">
        <v>273000</v>
      </c>
      <c r="AC77" s="378" t="s">
        <v>188</v>
      </c>
      <c r="AD77" s="373">
        <v>14537000</v>
      </c>
      <c r="AE77" s="373">
        <v>9758000</v>
      </c>
      <c r="AF77" s="373">
        <v>300000</v>
      </c>
      <c r="AH77" s="429">
        <v>14467000</v>
      </c>
      <c r="AI77" s="430">
        <v>10019000</v>
      </c>
      <c r="AJ77" s="431">
        <v>276000</v>
      </c>
      <c r="AL77" s="429">
        <v>14087000</v>
      </c>
      <c r="AM77" s="430">
        <v>10463000</v>
      </c>
      <c r="AN77" s="431">
        <v>349000</v>
      </c>
      <c r="AP77" s="429">
        <v>14280000</v>
      </c>
      <c r="AQ77" s="430">
        <v>11053000</v>
      </c>
      <c r="AR77" s="431">
        <v>341000</v>
      </c>
      <c r="AT77" s="429"/>
      <c r="AU77" s="430"/>
      <c r="AV77" s="431"/>
    </row>
    <row r="78" spans="1:48">
      <c r="A78" s="363">
        <v>215</v>
      </c>
      <c r="B78" s="364" t="s">
        <v>329</v>
      </c>
      <c r="Y78" s="378" t="s">
        <v>329</v>
      </c>
      <c r="Z78" s="373">
        <v>5382000</v>
      </c>
      <c r="AA78" s="373">
        <v>4444000</v>
      </c>
      <c r="AB78" s="373">
        <v>162000</v>
      </c>
      <c r="AC78" s="378" t="s">
        <v>329</v>
      </c>
      <c r="AD78" s="373">
        <v>5230000</v>
      </c>
      <c r="AE78" s="373">
        <v>4326000</v>
      </c>
      <c r="AF78" s="373">
        <v>193000</v>
      </c>
      <c r="AH78" s="429">
        <v>5041000</v>
      </c>
      <c r="AI78" s="430">
        <v>5254000</v>
      </c>
      <c r="AJ78" s="431">
        <v>199000</v>
      </c>
      <c r="AL78" s="429">
        <v>4837000</v>
      </c>
      <c r="AM78" s="430">
        <v>4715000</v>
      </c>
      <c r="AN78" s="431">
        <v>211000</v>
      </c>
      <c r="AP78" s="429">
        <v>4776000</v>
      </c>
      <c r="AQ78" s="430">
        <v>5080000</v>
      </c>
      <c r="AR78" s="431">
        <v>237000</v>
      </c>
      <c r="AT78" s="429"/>
      <c r="AU78" s="430"/>
      <c r="AV78" s="431"/>
    </row>
    <row r="79" spans="1:48">
      <c r="A79" s="363">
        <v>216</v>
      </c>
      <c r="B79" s="364" t="s">
        <v>195</v>
      </c>
      <c r="Y79" s="378" t="s">
        <v>195</v>
      </c>
      <c r="Z79" s="373">
        <v>6729000</v>
      </c>
      <c r="AA79" s="373">
        <v>3932000</v>
      </c>
      <c r="AB79" s="373">
        <v>106000</v>
      </c>
      <c r="AC79" s="378" t="s">
        <v>195</v>
      </c>
      <c r="AD79" s="373">
        <v>6539000</v>
      </c>
      <c r="AE79" s="373">
        <v>4269000</v>
      </c>
      <c r="AF79" s="373">
        <v>147000</v>
      </c>
      <c r="AH79" s="429">
        <v>6418000</v>
      </c>
      <c r="AI79" s="430">
        <v>4145000</v>
      </c>
      <c r="AJ79" s="431">
        <v>157000</v>
      </c>
      <c r="AL79" s="429">
        <v>6340000</v>
      </c>
      <c r="AM79" s="430">
        <v>4586000</v>
      </c>
      <c r="AN79" s="431">
        <v>127000</v>
      </c>
      <c r="AP79" s="429">
        <v>6294000</v>
      </c>
      <c r="AQ79" s="430">
        <v>4679000</v>
      </c>
      <c r="AR79" s="431">
        <v>156000</v>
      </c>
      <c r="AT79" s="429"/>
      <c r="AU79" s="430"/>
      <c r="AV79" s="431"/>
    </row>
    <row r="80" spans="1:48">
      <c r="A80" s="363">
        <v>217</v>
      </c>
      <c r="B80" s="364" t="s">
        <v>189</v>
      </c>
      <c r="Y80" s="378" t="s">
        <v>189</v>
      </c>
      <c r="Z80" s="373">
        <v>10985000</v>
      </c>
      <c r="AA80" s="373">
        <v>5627000</v>
      </c>
      <c r="AB80" s="373">
        <v>364000</v>
      </c>
      <c r="AC80" s="378" t="s">
        <v>189</v>
      </c>
      <c r="AD80" s="373">
        <v>10604000</v>
      </c>
      <c r="AE80" s="373">
        <v>5304000</v>
      </c>
      <c r="AF80" s="373">
        <v>391000</v>
      </c>
      <c r="AH80" s="429">
        <v>10622000</v>
      </c>
      <c r="AI80" s="430">
        <v>5446000</v>
      </c>
      <c r="AJ80" s="431">
        <v>279000</v>
      </c>
      <c r="AL80" s="429">
        <v>10565000</v>
      </c>
      <c r="AM80" s="430">
        <v>5617000</v>
      </c>
      <c r="AN80" s="431">
        <v>272000</v>
      </c>
      <c r="AP80" s="429">
        <v>10783000</v>
      </c>
      <c r="AQ80" s="430">
        <v>5704000</v>
      </c>
      <c r="AR80" s="431">
        <v>308000</v>
      </c>
      <c r="AT80" s="429"/>
      <c r="AU80" s="430"/>
      <c r="AV80" s="431"/>
    </row>
    <row r="81" spans="1:48">
      <c r="A81" s="363">
        <v>218</v>
      </c>
      <c r="B81" s="364" t="s">
        <v>200</v>
      </c>
      <c r="Y81" s="378" t="s">
        <v>200</v>
      </c>
      <c r="Z81" s="373">
        <v>3203000</v>
      </c>
      <c r="AA81" s="373">
        <v>2539000</v>
      </c>
      <c r="AB81" s="373">
        <v>89000</v>
      </c>
      <c r="AC81" s="378" t="s">
        <v>200</v>
      </c>
      <c r="AD81" s="373">
        <v>3099000</v>
      </c>
      <c r="AE81" s="373">
        <v>2408000</v>
      </c>
      <c r="AF81" s="373">
        <v>93000</v>
      </c>
      <c r="AH81" s="429">
        <v>3096000</v>
      </c>
      <c r="AI81" s="430">
        <v>2564000</v>
      </c>
      <c r="AJ81" s="431">
        <v>90000</v>
      </c>
      <c r="AL81" s="429">
        <v>3072000</v>
      </c>
      <c r="AM81" s="430">
        <v>2738000</v>
      </c>
      <c r="AN81" s="431">
        <v>92000</v>
      </c>
      <c r="AP81" s="429">
        <v>3102000</v>
      </c>
      <c r="AQ81" s="430">
        <v>2778000</v>
      </c>
      <c r="AR81" s="431">
        <v>92000</v>
      </c>
      <c r="AT81" s="429"/>
      <c r="AU81" s="430"/>
      <c r="AV81" s="431"/>
    </row>
    <row r="82" spans="1:48">
      <c r="A82" s="363">
        <v>219</v>
      </c>
      <c r="B82" s="364" t="s">
        <v>190</v>
      </c>
      <c r="Y82" s="378" t="s">
        <v>190</v>
      </c>
      <c r="Z82" s="373">
        <v>7685000</v>
      </c>
      <c r="AA82" s="373">
        <v>5675000</v>
      </c>
      <c r="AB82" s="373">
        <v>223000</v>
      </c>
      <c r="AC82" s="378" t="s">
        <v>190</v>
      </c>
      <c r="AD82" s="373">
        <v>7555000</v>
      </c>
      <c r="AE82" s="373">
        <v>5839000</v>
      </c>
      <c r="AF82" s="373">
        <v>335000</v>
      </c>
      <c r="AH82" s="429">
        <v>7518000</v>
      </c>
      <c r="AI82" s="430">
        <v>5815000</v>
      </c>
      <c r="AJ82" s="431">
        <v>286000</v>
      </c>
      <c r="AL82" s="429">
        <v>7284000</v>
      </c>
      <c r="AM82" s="430">
        <v>6513000</v>
      </c>
      <c r="AN82" s="431">
        <v>282000</v>
      </c>
      <c r="AP82" s="429">
        <v>7358000</v>
      </c>
      <c r="AQ82" s="430">
        <v>6804000</v>
      </c>
      <c r="AR82" s="431">
        <v>315000</v>
      </c>
      <c r="AT82" s="429"/>
      <c r="AU82" s="430"/>
      <c r="AV82" s="431"/>
    </row>
    <row r="83" spans="1:48">
      <c r="A83" s="363">
        <v>220</v>
      </c>
      <c r="B83" s="364" t="s">
        <v>201</v>
      </c>
      <c r="Y83" s="378" t="s">
        <v>201</v>
      </c>
      <c r="Z83" s="373">
        <v>2854000</v>
      </c>
      <c r="AA83" s="373">
        <v>2741000</v>
      </c>
      <c r="AB83" s="373">
        <v>76000</v>
      </c>
      <c r="AC83" s="378" t="s">
        <v>201</v>
      </c>
      <c r="AD83" s="373">
        <v>2748000</v>
      </c>
      <c r="AE83" s="373">
        <v>2670000</v>
      </c>
      <c r="AF83" s="373">
        <v>107000</v>
      </c>
      <c r="AH83" s="429">
        <v>2710000</v>
      </c>
      <c r="AI83" s="430">
        <v>2874000</v>
      </c>
      <c r="AJ83" s="431">
        <v>93000</v>
      </c>
      <c r="AL83" s="429">
        <v>2663000</v>
      </c>
      <c r="AM83" s="430">
        <v>2782000</v>
      </c>
      <c r="AN83" s="431">
        <v>148000</v>
      </c>
      <c r="AP83" s="429">
        <v>2721000</v>
      </c>
      <c r="AQ83" s="430">
        <v>2886000</v>
      </c>
      <c r="AR83" s="431">
        <v>89000</v>
      </c>
      <c r="AT83" s="429"/>
      <c r="AU83" s="430"/>
      <c r="AV83" s="431"/>
    </row>
    <row r="84" spans="1:48">
      <c r="A84" s="363">
        <v>221</v>
      </c>
      <c r="B84" s="364" t="s">
        <v>1146</v>
      </c>
      <c r="Y84" s="378" t="s">
        <v>1146</v>
      </c>
      <c r="Z84" s="373">
        <v>3718000</v>
      </c>
      <c r="AA84" s="373">
        <v>3395000</v>
      </c>
      <c r="AB84" s="373">
        <v>46000</v>
      </c>
      <c r="AC84" s="378" t="s">
        <v>1146</v>
      </c>
      <c r="AD84" s="373">
        <v>3561000</v>
      </c>
      <c r="AE84" s="373">
        <v>3332000</v>
      </c>
      <c r="AF84" s="373">
        <v>69000</v>
      </c>
      <c r="AH84" s="429">
        <v>3401000</v>
      </c>
      <c r="AI84" s="430">
        <v>3564000</v>
      </c>
      <c r="AJ84" s="431">
        <v>71000</v>
      </c>
      <c r="AL84" s="429">
        <v>3428000</v>
      </c>
      <c r="AM84" s="430">
        <v>3722000</v>
      </c>
      <c r="AN84" s="431">
        <v>71000</v>
      </c>
      <c r="AP84" s="429">
        <v>3501000</v>
      </c>
      <c r="AQ84" s="430">
        <v>3865000</v>
      </c>
      <c r="AR84" s="431">
        <v>94000</v>
      </c>
      <c r="AT84" s="429"/>
      <c r="AU84" s="430"/>
      <c r="AV84" s="431"/>
    </row>
    <row r="85" spans="1:48">
      <c r="A85" s="363">
        <v>222</v>
      </c>
      <c r="B85" s="364" t="s">
        <v>572</v>
      </c>
      <c r="Y85" s="378" t="s">
        <v>572</v>
      </c>
      <c r="Z85" s="373">
        <v>3079000</v>
      </c>
      <c r="AA85" s="373">
        <v>2046000</v>
      </c>
      <c r="AB85" s="373">
        <v>271000</v>
      </c>
      <c r="AC85" s="378" t="s">
        <v>572</v>
      </c>
      <c r="AD85" s="373">
        <v>2938000</v>
      </c>
      <c r="AE85" s="373">
        <v>2192000</v>
      </c>
      <c r="AF85" s="373">
        <v>276000</v>
      </c>
      <c r="AH85" s="429">
        <v>2558000</v>
      </c>
      <c r="AI85" s="430">
        <v>2172000</v>
      </c>
      <c r="AJ85" s="431">
        <v>241000</v>
      </c>
      <c r="AL85" s="429">
        <v>2399000</v>
      </c>
      <c r="AM85" s="430">
        <v>2355000</v>
      </c>
      <c r="AN85" s="431">
        <v>279000</v>
      </c>
      <c r="AP85" s="429">
        <v>2424000</v>
      </c>
      <c r="AQ85" s="430">
        <v>2234000</v>
      </c>
      <c r="AR85" s="431">
        <v>277000</v>
      </c>
      <c r="AT85" s="429"/>
      <c r="AU85" s="430"/>
      <c r="AV85" s="431"/>
    </row>
    <row r="86" spans="1:48">
      <c r="A86" s="363">
        <v>223</v>
      </c>
      <c r="B86" s="364" t="s">
        <v>573</v>
      </c>
      <c r="Y86" s="378" t="s">
        <v>573</v>
      </c>
      <c r="Z86" s="373">
        <v>5376000</v>
      </c>
      <c r="AA86" s="373">
        <v>4632000</v>
      </c>
      <c r="AB86" s="373">
        <v>449000</v>
      </c>
      <c r="AC86" s="378" t="s">
        <v>573</v>
      </c>
      <c r="AD86" s="373">
        <v>5189000</v>
      </c>
      <c r="AE86" s="373">
        <v>4560000</v>
      </c>
      <c r="AF86" s="373">
        <v>492000</v>
      </c>
      <c r="AH86" s="429">
        <v>5081000</v>
      </c>
      <c r="AI86" s="430">
        <v>4653000</v>
      </c>
      <c r="AJ86" s="431">
        <v>524000</v>
      </c>
      <c r="AL86" s="429">
        <v>5060000</v>
      </c>
      <c r="AM86" s="430">
        <v>4890000</v>
      </c>
      <c r="AN86" s="431">
        <v>630000</v>
      </c>
      <c r="AP86" s="429">
        <v>4893000</v>
      </c>
      <c r="AQ86" s="430">
        <v>5782000</v>
      </c>
      <c r="AR86" s="431">
        <v>556000</v>
      </c>
      <c r="AT86" s="429"/>
      <c r="AU86" s="430"/>
      <c r="AV86" s="431"/>
    </row>
    <row r="87" spans="1:48">
      <c r="A87" s="363">
        <v>224</v>
      </c>
      <c r="B87" s="364" t="s">
        <v>574</v>
      </c>
      <c r="Y87" s="378" t="s">
        <v>574</v>
      </c>
      <c r="Z87" s="373">
        <v>4179000</v>
      </c>
      <c r="AA87" s="373">
        <v>3175000</v>
      </c>
      <c r="AB87" s="373">
        <v>309000</v>
      </c>
      <c r="AC87" s="378" t="s">
        <v>574</v>
      </c>
      <c r="AD87" s="373">
        <v>4007000</v>
      </c>
      <c r="AE87" s="373">
        <v>3199000</v>
      </c>
      <c r="AF87" s="373">
        <v>334000</v>
      </c>
      <c r="AH87" s="429">
        <v>4044000</v>
      </c>
      <c r="AI87" s="430">
        <v>3555000</v>
      </c>
      <c r="AJ87" s="431">
        <v>302000</v>
      </c>
      <c r="AL87" s="429">
        <v>3828000</v>
      </c>
      <c r="AM87" s="430">
        <v>3393000</v>
      </c>
      <c r="AN87" s="431">
        <v>284000</v>
      </c>
      <c r="AP87" s="429">
        <v>3782000</v>
      </c>
      <c r="AQ87" s="430">
        <v>3593000</v>
      </c>
      <c r="AR87" s="431">
        <v>241000</v>
      </c>
      <c r="AT87" s="429"/>
      <c r="AU87" s="430"/>
      <c r="AV87" s="431"/>
    </row>
    <row r="88" spans="1:48">
      <c r="A88" s="363">
        <v>225</v>
      </c>
      <c r="B88" s="364" t="s">
        <v>575</v>
      </c>
      <c r="Y88" s="378" t="s">
        <v>575</v>
      </c>
      <c r="Z88" s="373">
        <v>3569000</v>
      </c>
      <c r="AA88" s="373">
        <v>3537000</v>
      </c>
      <c r="AB88" s="373">
        <v>60000</v>
      </c>
      <c r="AC88" s="378" t="s">
        <v>575</v>
      </c>
      <c r="AD88" s="373">
        <v>3462000</v>
      </c>
      <c r="AE88" s="373">
        <v>3535000</v>
      </c>
      <c r="AF88" s="373">
        <v>63000</v>
      </c>
      <c r="AH88" s="429">
        <v>3007000</v>
      </c>
      <c r="AI88" s="430">
        <v>3497000</v>
      </c>
      <c r="AJ88" s="431">
        <v>68000</v>
      </c>
      <c r="AL88" s="429">
        <v>2847000</v>
      </c>
      <c r="AM88" s="430">
        <v>3491000</v>
      </c>
      <c r="AN88" s="431">
        <v>65000</v>
      </c>
      <c r="AP88" s="429">
        <v>2855000</v>
      </c>
      <c r="AQ88" s="430">
        <v>3682000</v>
      </c>
      <c r="AR88" s="431">
        <v>51000</v>
      </c>
      <c r="AT88" s="429"/>
      <c r="AU88" s="430"/>
      <c r="AV88" s="431"/>
    </row>
    <row r="89" spans="1:48">
      <c r="A89" s="363">
        <v>226</v>
      </c>
      <c r="B89" s="364" t="s">
        <v>576</v>
      </c>
      <c r="Y89" s="378" t="s">
        <v>576</v>
      </c>
      <c r="Z89" s="373">
        <v>4100000</v>
      </c>
      <c r="AA89" s="373">
        <v>3505000</v>
      </c>
      <c r="AB89" s="373">
        <v>85000</v>
      </c>
      <c r="AC89" s="378" t="s">
        <v>576</v>
      </c>
      <c r="AD89" s="373">
        <v>3997000</v>
      </c>
      <c r="AE89" s="373">
        <v>3543000</v>
      </c>
      <c r="AF89" s="373">
        <v>97000</v>
      </c>
      <c r="AH89" s="429">
        <v>4012000</v>
      </c>
      <c r="AI89" s="430">
        <v>3851000</v>
      </c>
      <c r="AJ89" s="431">
        <v>98000</v>
      </c>
      <c r="AL89" s="429">
        <v>3891000</v>
      </c>
      <c r="AM89" s="430">
        <v>4159000</v>
      </c>
      <c r="AN89" s="431">
        <v>107000</v>
      </c>
      <c r="AP89" s="429">
        <v>3886000</v>
      </c>
      <c r="AQ89" s="430">
        <v>4740000</v>
      </c>
      <c r="AR89" s="431">
        <v>104000</v>
      </c>
      <c r="AT89" s="429"/>
      <c r="AU89" s="430"/>
      <c r="AV89" s="431"/>
    </row>
    <row r="90" spans="1:48">
      <c r="A90" s="363">
        <v>227</v>
      </c>
      <c r="B90" s="364" t="s">
        <v>577</v>
      </c>
      <c r="Y90" s="378" t="s">
        <v>577</v>
      </c>
      <c r="Z90" s="373">
        <v>4361000</v>
      </c>
      <c r="AA90" s="373">
        <v>2795000</v>
      </c>
      <c r="AB90" s="373">
        <v>76000</v>
      </c>
      <c r="AC90" s="378" t="s">
        <v>577</v>
      </c>
      <c r="AD90" s="373">
        <v>4181000</v>
      </c>
      <c r="AE90" s="373">
        <v>2710000</v>
      </c>
      <c r="AF90" s="373">
        <v>97000</v>
      </c>
      <c r="AH90" s="429">
        <v>3635000</v>
      </c>
      <c r="AI90" s="430">
        <v>2894000</v>
      </c>
      <c r="AJ90" s="431">
        <v>89000</v>
      </c>
      <c r="AL90" s="429">
        <v>3541000</v>
      </c>
      <c r="AM90" s="430">
        <v>2907000</v>
      </c>
      <c r="AN90" s="431">
        <v>86000</v>
      </c>
      <c r="AP90" s="429">
        <v>3526000</v>
      </c>
      <c r="AQ90" s="430">
        <v>3313000</v>
      </c>
      <c r="AR90" s="431">
        <v>92000</v>
      </c>
      <c r="AT90" s="429"/>
      <c r="AU90" s="430"/>
      <c r="AV90" s="431"/>
    </row>
    <row r="91" spans="1:48">
      <c r="A91" s="363">
        <v>228</v>
      </c>
      <c r="B91" s="364" t="s">
        <v>578</v>
      </c>
      <c r="Y91" s="378" t="s">
        <v>578</v>
      </c>
      <c r="Z91" s="373">
        <v>2594000</v>
      </c>
      <c r="AA91" s="373">
        <v>2838000</v>
      </c>
      <c r="AB91" s="373">
        <v>52000</v>
      </c>
      <c r="AC91" s="378" t="s">
        <v>578</v>
      </c>
      <c r="AD91" s="373">
        <v>2555000</v>
      </c>
      <c r="AE91" s="373">
        <v>2725000</v>
      </c>
      <c r="AF91" s="373">
        <v>58000</v>
      </c>
      <c r="AH91" s="429">
        <v>2571000</v>
      </c>
      <c r="AI91" s="430">
        <v>3047000</v>
      </c>
      <c r="AJ91" s="431">
        <v>68000</v>
      </c>
      <c r="AL91" s="429">
        <v>2491000</v>
      </c>
      <c r="AM91" s="430">
        <v>3045000</v>
      </c>
      <c r="AN91" s="431">
        <v>74000</v>
      </c>
      <c r="AP91" s="429">
        <v>2564000</v>
      </c>
      <c r="AQ91" s="430">
        <v>3266000</v>
      </c>
      <c r="AR91" s="431">
        <v>71000</v>
      </c>
      <c r="AT91" s="429"/>
      <c r="AU91" s="430"/>
      <c r="AV91" s="431"/>
    </row>
    <row r="92" spans="1:48">
      <c r="A92" s="363">
        <v>229</v>
      </c>
      <c r="B92" s="364" t="s">
        <v>579</v>
      </c>
      <c r="Y92" s="378" t="s">
        <v>579</v>
      </c>
      <c r="Z92" s="373">
        <v>6236000</v>
      </c>
      <c r="AA92" s="373">
        <v>3928000</v>
      </c>
      <c r="AB92" s="373">
        <v>173000</v>
      </c>
      <c r="AC92" s="378" t="s">
        <v>579</v>
      </c>
      <c r="AD92" s="373">
        <v>6024000</v>
      </c>
      <c r="AE92" s="373">
        <v>3717000</v>
      </c>
      <c r="AF92" s="373">
        <v>196000</v>
      </c>
      <c r="AH92" s="429">
        <v>4935000</v>
      </c>
      <c r="AI92" s="430">
        <v>3567000</v>
      </c>
      <c r="AJ92" s="431">
        <v>211000</v>
      </c>
      <c r="AL92" s="429">
        <v>4619000</v>
      </c>
      <c r="AM92" s="430">
        <v>3669000</v>
      </c>
      <c r="AN92" s="431">
        <v>207000</v>
      </c>
      <c r="AP92" s="429">
        <v>4611000</v>
      </c>
      <c r="AQ92" s="430">
        <v>3573000</v>
      </c>
      <c r="AR92" s="431">
        <v>198000</v>
      </c>
      <c r="AT92" s="429"/>
      <c r="AU92" s="430"/>
      <c r="AV92" s="431"/>
    </row>
    <row r="93" spans="1:48">
      <c r="A93" s="363">
        <v>301</v>
      </c>
      <c r="B93" s="364" t="s">
        <v>191</v>
      </c>
      <c r="Y93" s="378" t="s">
        <v>191</v>
      </c>
      <c r="Z93" s="373">
        <v>2350000</v>
      </c>
      <c r="AA93" s="373">
        <v>2073000</v>
      </c>
      <c r="AB93" s="373">
        <v>85000</v>
      </c>
      <c r="AC93" s="378" t="s">
        <v>191</v>
      </c>
      <c r="AD93" s="373">
        <v>2280000</v>
      </c>
      <c r="AE93" s="373">
        <v>1971000</v>
      </c>
      <c r="AF93" s="373">
        <v>86000</v>
      </c>
      <c r="AH93" s="429">
        <v>2394000</v>
      </c>
      <c r="AI93" s="430">
        <v>1966000</v>
      </c>
      <c r="AJ93" s="431">
        <v>88000</v>
      </c>
      <c r="AL93" s="429">
        <v>2323000</v>
      </c>
      <c r="AM93" s="430">
        <v>2051000</v>
      </c>
      <c r="AN93" s="431">
        <v>70000</v>
      </c>
      <c r="AP93" s="429">
        <v>2447000</v>
      </c>
      <c r="AQ93" s="430">
        <v>2231000</v>
      </c>
      <c r="AR93" s="431">
        <v>71000</v>
      </c>
      <c r="AT93" s="429"/>
      <c r="AU93" s="430"/>
      <c r="AV93" s="431"/>
    </row>
    <row r="94" spans="1:48">
      <c r="A94" s="363">
        <v>365</v>
      </c>
      <c r="B94" s="364" t="s">
        <v>580</v>
      </c>
      <c r="Y94" s="378" t="s">
        <v>580</v>
      </c>
      <c r="Z94" s="373">
        <v>2308000</v>
      </c>
      <c r="AA94" s="373">
        <v>1895000</v>
      </c>
      <c r="AB94" s="373">
        <v>10000</v>
      </c>
      <c r="AC94" s="378" t="s">
        <v>580</v>
      </c>
      <c r="AD94" s="373">
        <v>2195000</v>
      </c>
      <c r="AE94" s="373">
        <v>1874000</v>
      </c>
      <c r="AF94" s="373">
        <v>10000</v>
      </c>
      <c r="AH94" s="429">
        <v>2154000</v>
      </c>
      <c r="AI94" s="430">
        <v>1933000</v>
      </c>
      <c r="AJ94" s="431">
        <v>64000</v>
      </c>
      <c r="AL94" s="429">
        <v>2132000</v>
      </c>
      <c r="AM94" s="430">
        <v>2075000</v>
      </c>
      <c r="AN94" s="431">
        <v>62000</v>
      </c>
      <c r="AP94" s="429">
        <v>2094000</v>
      </c>
      <c r="AQ94" s="430">
        <v>2017000</v>
      </c>
      <c r="AR94" s="431">
        <v>67000</v>
      </c>
      <c r="AT94" s="429"/>
      <c r="AU94" s="430"/>
      <c r="AV94" s="431"/>
    </row>
    <row r="95" spans="1:48">
      <c r="A95" s="363">
        <v>381</v>
      </c>
      <c r="B95" s="364" t="s">
        <v>196</v>
      </c>
      <c r="Y95" s="378" t="s">
        <v>196</v>
      </c>
      <c r="Z95" s="373">
        <v>1456000</v>
      </c>
      <c r="AA95" s="373">
        <v>1486000</v>
      </c>
      <c r="AB95" s="373">
        <v>55000</v>
      </c>
      <c r="AC95" s="378" t="s">
        <v>196</v>
      </c>
      <c r="AD95" s="373">
        <v>1386000</v>
      </c>
      <c r="AE95" s="373">
        <v>1417000</v>
      </c>
      <c r="AF95" s="373">
        <v>57000</v>
      </c>
      <c r="AH95" s="429">
        <v>1335000</v>
      </c>
      <c r="AI95" s="430">
        <v>1637000</v>
      </c>
      <c r="AJ95" s="431">
        <v>57000</v>
      </c>
      <c r="AL95" s="429">
        <v>1379000</v>
      </c>
      <c r="AM95" s="430">
        <v>1572000</v>
      </c>
      <c r="AN95" s="431">
        <v>59000</v>
      </c>
      <c r="AP95" s="429">
        <v>1410000</v>
      </c>
      <c r="AQ95" s="430">
        <v>1618000</v>
      </c>
      <c r="AR95" s="431">
        <v>60000</v>
      </c>
      <c r="AT95" s="429"/>
      <c r="AU95" s="430"/>
      <c r="AV95" s="431"/>
    </row>
    <row r="96" spans="1:48">
      <c r="A96" s="363">
        <v>382</v>
      </c>
      <c r="B96" s="364" t="s">
        <v>197</v>
      </c>
      <c r="Y96" s="378" t="s">
        <v>197</v>
      </c>
      <c r="Z96" s="373">
        <v>1603000</v>
      </c>
      <c r="AA96" s="373">
        <v>1741000</v>
      </c>
      <c r="AB96" s="373">
        <v>38000</v>
      </c>
      <c r="AC96" s="378" t="s">
        <v>197</v>
      </c>
      <c r="AD96" s="373">
        <v>1530000</v>
      </c>
      <c r="AE96" s="373">
        <v>1743000</v>
      </c>
      <c r="AF96" s="373">
        <v>39000</v>
      </c>
      <c r="AH96" s="429">
        <v>1504000</v>
      </c>
      <c r="AI96" s="430">
        <v>1770000</v>
      </c>
      <c r="AJ96" s="431">
        <v>40000</v>
      </c>
      <c r="AL96" s="429">
        <v>1490000</v>
      </c>
      <c r="AM96" s="430">
        <v>1836000</v>
      </c>
      <c r="AN96" s="431">
        <v>45000</v>
      </c>
      <c r="AP96" s="429">
        <v>1461000</v>
      </c>
      <c r="AQ96" s="430">
        <v>2015000</v>
      </c>
      <c r="AR96" s="431">
        <v>53000</v>
      </c>
      <c r="AT96" s="429"/>
      <c r="AU96" s="430"/>
      <c r="AV96" s="431"/>
    </row>
    <row r="97" spans="1:48">
      <c r="A97" s="363">
        <v>442</v>
      </c>
      <c r="B97" s="364" t="s">
        <v>203</v>
      </c>
      <c r="Y97" s="378" t="s">
        <v>203</v>
      </c>
      <c r="Z97" s="373">
        <v>1123000</v>
      </c>
      <c r="AA97" s="373">
        <v>839000</v>
      </c>
      <c r="AB97" s="373">
        <v>9000</v>
      </c>
      <c r="AC97" s="378" t="s">
        <v>203</v>
      </c>
      <c r="AD97" s="373">
        <v>1010000</v>
      </c>
      <c r="AE97" s="373">
        <v>694000</v>
      </c>
      <c r="AF97" s="373">
        <v>10000</v>
      </c>
      <c r="AH97" s="429">
        <v>1009000</v>
      </c>
      <c r="AI97" s="430">
        <v>732000</v>
      </c>
      <c r="AJ97" s="431">
        <v>17000</v>
      </c>
      <c r="AL97" s="429">
        <v>988000</v>
      </c>
      <c r="AM97" s="430">
        <v>753000</v>
      </c>
      <c r="AN97" s="431">
        <v>20000</v>
      </c>
      <c r="AP97" s="429">
        <v>1014000</v>
      </c>
      <c r="AQ97" s="430">
        <v>970000</v>
      </c>
      <c r="AR97" s="431">
        <v>21000</v>
      </c>
      <c r="AT97" s="429"/>
      <c r="AU97" s="430"/>
      <c r="AV97" s="431"/>
    </row>
    <row r="98" spans="1:48">
      <c r="A98" s="363">
        <v>443</v>
      </c>
      <c r="B98" s="364" t="s">
        <v>204</v>
      </c>
      <c r="Y98" s="378" t="s">
        <v>204</v>
      </c>
      <c r="Z98" s="373">
        <v>1311000</v>
      </c>
      <c r="AA98" s="373">
        <v>1133000</v>
      </c>
      <c r="AB98" s="373">
        <v>22000</v>
      </c>
      <c r="AC98" s="378" t="s">
        <v>204</v>
      </c>
      <c r="AD98" s="373">
        <v>1322000</v>
      </c>
      <c r="AE98" s="373">
        <v>1129000</v>
      </c>
      <c r="AF98" s="373">
        <v>26000</v>
      </c>
      <c r="AH98" s="429">
        <v>1314000</v>
      </c>
      <c r="AI98" s="430">
        <v>1132000</v>
      </c>
      <c r="AJ98" s="431">
        <v>39000</v>
      </c>
      <c r="AL98" s="429">
        <v>1270000</v>
      </c>
      <c r="AM98" s="430">
        <v>1242000</v>
      </c>
      <c r="AN98" s="431">
        <v>41000</v>
      </c>
      <c r="AP98" s="429">
        <v>1232000</v>
      </c>
      <c r="AQ98" s="430">
        <v>1286000</v>
      </c>
      <c r="AR98" s="431">
        <v>43000</v>
      </c>
      <c r="AT98" s="429"/>
      <c r="AU98" s="430"/>
      <c r="AV98" s="431"/>
    </row>
    <row r="99" spans="1:48">
      <c r="A99" s="363">
        <v>446</v>
      </c>
      <c r="B99" s="364" t="s">
        <v>581</v>
      </c>
      <c r="Y99" s="378" t="s">
        <v>581</v>
      </c>
      <c r="Z99" s="373">
        <v>1410000</v>
      </c>
      <c r="AA99" s="373">
        <v>1218000</v>
      </c>
      <c r="AB99" s="373">
        <v>6000</v>
      </c>
      <c r="AC99" s="378" t="s">
        <v>581</v>
      </c>
      <c r="AD99" s="373">
        <v>1346000</v>
      </c>
      <c r="AE99" s="373">
        <v>1213000</v>
      </c>
      <c r="AF99" s="373">
        <v>7000</v>
      </c>
      <c r="AH99" s="429">
        <v>1279000</v>
      </c>
      <c r="AI99" s="430">
        <v>1217000</v>
      </c>
      <c r="AJ99" s="431">
        <v>5000</v>
      </c>
      <c r="AL99" s="429">
        <v>1240000</v>
      </c>
      <c r="AM99" s="430">
        <v>1294000</v>
      </c>
      <c r="AN99" s="431">
        <v>6000</v>
      </c>
      <c r="AP99" s="429">
        <v>1249000</v>
      </c>
      <c r="AQ99" s="430">
        <v>1457000</v>
      </c>
      <c r="AR99" s="431">
        <v>6000</v>
      </c>
      <c r="AT99" s="429"/>
      <c r="AU99" s="430"/>
      <c r="AV99" s="431"/>
    </row>
    <row r="100" spans="1:48">
      <c r="A100" s="363">
        <v>464</v>
      </c>
      <c r="B100" s="364" t="s">
        <v>208</v>
      </c>
      <c r="Y100" s="378" t="s">
        <v>208</v>
      </c>
      <c r="Z100" s="373">
        <v>1589000</v>
      </c>
      <c r="AA100" s="373">
        <v>1214000</v>
      </c>
      <c r="AB100" s="373">
        <v>20000</v>
      </c>
      <c r="AC100" s="378" t="s">
        <v>208</v>
      </c>
      <c r="AD100" s="373">
        <v>1514000</v>
      </c>
      <c r="AE100" s="373">
        <v>1215000</v>
      </c>
      <c r="AF100" s="373">
        <v>18000</v>
      </c>
      <c r="AH100" s="429">
        <v>1549000</v>
      </c>
      <c r="AI100" s="430">
        <v>1155000</v>
      </c>
      <c r="AJ100" s="431">
        <v>28000</v>
      </c>
      <c r="AL100" s="429">
        <v>1467000</v>
      </c>
      <c r="AM100" s="430">
        <v>1303000</v>
      </c>
      <c r="AN100" s="431">
        <v>34000</v>
      </c>
      <c r="AP100" s="429">
        <v>1507000</v>
      </c>
      <c r="AQ100" s="430">
        <v>1398000</v>
      </c>
      <c r="AR100" s="431">
        <v>34000</v>
      </c>
      <c r="AT100" s="429"/>
      <c r="AU100" s="430"/>
      <c r="AV100" s="431"/>
    </row>
    <row r="101" spans="1:48">
      <c r="A101" s="363">
        <v>481</v>
      </c>
      <c r="B101" s="364" t="s">
        <v>209</v>
      </c>
      <c r="Y101" s="378" t="s">
        <v>209</v>
      </c>
      <c r="Z101" s="373">
        <v>1257000</v>
      </c>
      <c r="AA101" s="373">
        <v>1253000</v>
      </c>
      <c r="AB101" s="373">
        <v>55000</v>
      </c>
      <c r="AC101" s="378" t="s">
        <v>209</v>
      </c>
      <c r="AD101" s="373">
        <v>1232000</v>
      </c>
      <c r="AE101" s="373">
        <v>1202000</v>
      </c>
      <c r="AF101" s="373">
        <v>53000</v>
      </c>
      <c r="AH101" s="429">
        <v>1177000</v>
      </c>
      <c r="AI101" s="430">
        <v>1231000</v>
      </c>
      <c r="AJ101" s="431">
        <v>33000</v>
      </c>
      <c r="AL101" s="429">
        <v>1220000</v>
      </c>
      <c r="AM101" s="430">
        <v>1207000</v>
      </c>
      <c r="AN101" s="431">
        <v>53000</v>
      </c>
      <c r="AP101" s="429">
        <v>1263000</v>
      </c>
      <c r="AQ101" s="430">
        <v>1219000</v>
      </c>
      <c r="AR101" s="431">
        <v>58000</v>
      </c>
      <c r="AT101" s="429"/>
      <c r="AU101" s="430"/>
      <c r="AV101" s="431"/>
    </row>
    <row r="102" spans="1:48">
      <c r="A102" s="363">
        <v>501</v>
      </c>
      <c r="B102" s="364" t="s">
        <v>335</v>
      </c>
      <c r="Y102" s="378" t="s">
        <v>335</v>
      </c>
      <c r="Z102" s="373">
        <v>3057000</v>
      </c>
      <c r="AA102" s="373">
        <v>1820000</v>
      </c>
      <c r="AB102" s="373">
        <v>62000</v>
      </c>
      <c r="AC102" s="378" t="s">
        <v>335</v>
      </c>
      <c r="AD102" s="373">
        <v>2889000</v>
      </c>
      <c r="AE102" s="373">
        <v>1782000</v>
      </c>
      <c r="AF102" s="373">
        <v>77000</v>
      </c>
      <c r="AH102" s="429">
        <v>2427000</v>
      </c>
      <c r="AI102" s="430">
        <v>1661000</v>
      </c>
      <c r="AJ102" s="431">
        <v>91000</v>
      </c>
      <c r="AL102" s="429">
        <v>2254000</v>
      </c>
      <c r="AM102" s="430">
        <v>1719000</v>
      </c>
      <c r="AN102" s="431">
        <v>65000</v>
      </c>
      <c r="AP102" s="429">
        <v>2238000</v>
      </c>
      <c r="AQ102" s="430">
        <v>1837000</v>
      </c>
      <c r="AR102" s="431">
        <v>68000</v>
      </c>
      <c r="AT102" s="429"/>
      <c r="AU102" s="430"/>
      <c r="AV102" s="431"/>
    </row>
    <row r="103" spans="1:48">
      <c r="A103" s="363">
        <v>585</v>
      </c>
      <c r="B103" s="364" t="s">
        <v>582</v>
      </c>
      <c r="Y103" s="378" t="s">
        <v>582</v>
      </c>
      <c r="Z103" s="373">
        <v>2158000</v>
      </c>
      <c r="AA103" s="373">
        <v>1722000</v>
      </c>
      <c r="AB103" s="373">
        <v>85000</v>
      </c>
      <c r="AC103" s="378" t="s">
        <v>582</v>
      </c>
      <c r="AD103" s="373">
        <v>2046000</v>
      </c>
      <c r="AE103" s="373">
        <v>1702000</v>
      </c>
      <c r="AF103" s="373">
        <v>84000</v>
      </c>
      <c r="AH103" s="429">
        <v>2091000</v>
      </c>
      <c r="AI103" s="430">
        <v>1806000</v>
      </c>
      <c r="AJ103" s="431">
        <v>90000</v>
      </c>
      <c r="AL103" s="429">
        <v>2003000</v>
      </c>
      <c r="AM103" s="430">
        <v>1831000</v>
      </c>
      <c r="AN103" s="431">
        <v>112000</v>
      </c>
      <c r="AP103" s="429">
        <v>1993000</v>
      </c>
      <c r="AQ103" s="430">
        <v>2318000</v>
      </c>
      <c r="AR103" s="431">
        <v>109000</v>
      </c>
      <c r="AT103" s="429"/>
      <c r="AU103" s="430"/>
      <c r="AV103" s="431"/>
    </row>
    <row r="104" spans="1:48">
      <c r="A104" s="365">
        <v>586</v>
      </c>
      <c r="B104" s="366" t="s">
        <v>583</v>
      </c>
      <c r="Y104" s="379" t="s">
        <v>583</v>
      </c>
      <c r="Z104" s="374">
        <v>1853000</v>
      </c>
      <c r="AA104" s="374">
        <v>1721000</v>
      </c>
      <c r="AB104" s="374">
        <v>2000</v>
      </c>
      <c r="AC104" s="379" t="s">
        <v>583</v>
      </c>
      <c r="AD104" s="374">
        <v>1802000</v>
      </c>
      <c r="AE104" s="374">
        <v>1688000</v>
      </c>
      <c r="AF104" s="374">
        <v>2000</v>
      </c>
      <c r="AH104" s="432">
        <v>1736000</v>
      </c>
      <c r="AI104" s="433">
        <v>1716000</v>
      </c>
      <c r="AJ104" s="434">
        <v>2000</v>
      </c>
      <c r="AL104" s="432">
        <v>1626000</v>
      </c>
      <c r="AM104" s="433">
        <v>1805000</v>
      </c>
      <c r="AN104" s="434">
        <v>2000</v>
      </c>
      <c r="AP104" s="432">
        <v>1566000</v>
      </c>
      <c r="AQ104" s="433">
        <v>2008000</v>
      </c>
      <c r="AR104" s="434">
        <v>5000</v>
      </c>
      <c r="AT104" s="432"/>
      <c r="AU104" s="433"/>
      <c r="AV104" s="434"/>
    </row>
  </sheetData>
  <mergeCells count="3">
    <mergeCell ref="A3:B3"/>
    <mergeCell ref="A4:B4"/>
    <mergeCell ref="A5:B5"/>
  </mergeCells>
  <phoneticPr fontId="13"/>
  <pageMargins left="0.75" right="0.75" top="1" bottom="1" header="0.51200000000000001" footer="0.51200000000000001"/>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tabColor theme="0"/>
  </sheetPr>
  <dimension ref="A1:BM261"/>
  <sheetViews>
    <sheetView workbookViewId="0">
      <pane xSplit="1" ySplit="4" topLeftCell="AM5" activePane="bottomRight" state="frozen"/>
      <selection pane="topRight" activeCell="B1" sqref="B1"/>
      <selection pane="bottomLeft" activeCell="A5" sqref="A5"/>
      <selection pane="bottomRight" activeCell="AU16" sqref="AU16"/>
    </sheetView>
  </sheetViews>
  <sheetFormatPr defaultColWidth="8.7109375" defaultRowHeight="16.5"/>
  <cols>
    <col min="1" max="18" width="9" style="115" customWidth="1"/>
    <col min="19" max="19" width="9.42578125" style="104" customWidth="1"/>
    <col min="20" max="28" width="9" style="104" customWidth="1"/>
    <col min="29" max="29" width="3.2109375" customWidth="1"/>
    <col min="30" max="33" width="9" style="104" customWidth="1"/>
    <col min="34" max="34" width="3.0703125" style="158" customWidth="1"/>
    <col min="35" max="35" width="7.5703125" style="158" customWidth="1"/>
    <col min="36" max="41" width="8.7109375" style="157" customWidth="1"/>
    <col min="42" max="42" width="3.0703125" style="158" customWidth="1"/>
    <col min="43" max="43" width="7.5703125" style="158" customWidth="1"/>
    <col min="44" max="46" width="8.7109375" style="157" customWidth="1"/>
    <col min="47" max="47" width="3.0703125" style="157" customWidth="1"/>
    <col min="48" max="48" width="8.42578125" style="157" customWidth="1"/>
    <col min="49" max="51" width="8.7109375" style="157" customWidth="1"/>
    <col min="52" max="52" width="3.0703125" style="157" customWidth="1"/>
    <col min="53" max="53" width="7.7109375" style="157" customWidth="1"/>
    <col min="54" max="65" width="8.7109375" style="157" customWidth="1"/>
    <col min="66" max="16384" width="8.7109375" style="104"/>
  </cols>
  <sheetData>
    <row r="1" spans="1:53">
      <c r="A1" s="126" t="s">
        <v>666</v>
      </c>
      <c r="B1" s="115" t="s">
        <v>628</v>
      </c>
      <c r="C1" s="115" t="s">
        <v>628</v>
      </c>
      <c r="D1" s="104"/>
      <c r="E1" s="115" t="s">
        <v>630</v>
      </c>
      <c r="F1" s="115" t="s">
        <v>630</v>
      </c>
      <c r="G1" s="104"/>
      <c r="H1" s="115" t="s">
        <v>632</v>
      </c>
      <c r="I1" s="115" t="s">
        <v>632</v>
      </c>
      <c r="J1" s="104"/>
      <c r="K1" s="115" t="s">
        <v>634</v>
      </c>
      <c r="L1" s="115" t="s">
        <v>634</v>
      </c>
      <c r="M1" s="104"/>
      <c r="N1" s="115" t="s">
        <v>636</v>
      </c>
      <c r="O1" s="115" t="s">
        <v>636</v>
      </c>
      <c r="P1" s="104"/>
      <c r="Q1" s="115" t="s">
        <v>571</v>
      </c>
      <c r="R1" s="115" t="s">
        <v>571</v>
      </c>
      <c r="T1" s="114" t="s">
        <v>570</v>
      </c>
      <c r="U1" s="114" t="s">
        <v>570</v>
      </c>
      <c r="W1" s="114" t="s">
        <v>607</v>
      </c>
      <c r="X1" s="114" t="s">
        <v>607</v>
      </c>
      <c r="Z1" s="113" t="s">
        <v>567</v>
      </c>
      <c r="AA1" s="113" t="s">
        <v>567</v>
      </c>
      <c r="AD1" s="112"/>
      <c r="AE1" s="112" t="s">
        <v>568</v>
      </c>
      <c r="AF1" s="112" t="s">
        <v>568</v>
      </c>
      <c r="AH1" s="135"/>
      <c r="AI1" s="135" t="s">
        <v>662</v>
      </c>
      <c r="AJ1" s="165"/>
      <c r="AK1" s="165"/>
      <c r="AL1" s="165"/>
      <c r="AM1" s="165"/>
      <c r="AN1" s="165"/>
      <c r="AO1" s="165"/>
      <c r="AP1" s="135"/>
      <c r="AQ1" s="135"/>
      <c r="AR1" s="165"/>
      <c r="AS1" s="165"/>
      <c r="AT1" s="165"/>
      <c r="AU1" s="135"/>
      <c r="AV1" s="135"/>
      <c r="AW1" s="157" t="s">
        <v>347</v>
      </c>
      <c r="AX1" s="157" t="s">
        <v>347</v>
      </c>
      <c r="AY1" s="165"/>
    </row>
    <row r="2" spans="1:53">
      <c r="A2" s="126"/>
      <c r="D2" s="104"/>
      <c r="G2" s="104"/>
      <c r="J2" s="104"/>
      <c r="M2" s="104"/>
      <c r="P2" s="104"/>
      <c r="T2" s="114"/>
      <c r="U2" s="114"/>
      <c r="W2" s="114"/>
      <c r="X2" s="114"/>
      <c r="Z2" s="113"/>
      <c r="AA2" s="113"/>
      <c r="AD2" s="112"/>
      <c r="AE2" s="112"/>
      <c r="AF2" s="112"/>
      <c r="AH2" s="136"/>
      <c r="AI2" s="136"/>
      <c r="AJ2" s="166">
        <v>263</v>
      </c>
      <c r="AK2" s="166">
        <v>264</v>
      </c>
      <c r="AL2" s="166"/>
      <c r="AM2" s="166">
        <v>261</v>
      </c>
      <c r="AN2" s="166">
        <v>262</v>
      </c>
      <c r="AO2" s="166"/>
      <c r="AP2" s="136"/>
      <c r="AQ2" s="136"/>
      <c r="AR2" s="166">
        <v>291</v>
      </c>
      <c r="AS2" s="166">
        <v>292</v>
      </c>
      <c r="AT2" s="166"/>
      <c r="AU2" s="136"/>
      <c r="AV2" s="136"/>
      <c r="AW2" s="166">
        <v>295</v>
      </c>
      <c r="AX2" s="166">
        <v>296</v>
      </c>
      <c r="AY2" s="166"/>
    </row>
    <row r="3" spans="1:53">
      <c r="A3" s="184" t="s">
        <v>605</v>
      </c>
      <c r="B3" s="185" t="s">
        <v>664</v>
      </c>
      <c r="C3" s="185" t="s">
        <v>665</v>
      </c>
      <c r="D3" s="186" t="s">
        <v>629</v>
      </c>
      <c r="E3" s="185" t="s">
        <v>664</v>
      </c>
      <c r="F3" s="185" t="s">
        <v>665</v>
      </c>
      <c r="G3" s="186" t="s">
        <v>631</v>
      </c>
      <c r="H3" s="185" t="s">
        <v>664</v>
      </c>
      <c r="I3" s="185" t="s">
        <v>665</v>
      </c>
      <c r="J3" s="186" t="s">
        <v>633</v>
      </c>
      <c r="K3" s="185" t="s">
        <v>664</v>
      </c>
      <c r="L3" s="185" t="s">
        <v>665</v>
      </c>
      <c r="M3" s="186" t="s">
        <v>635</v>
      </c>
      <c r="N3" s="185" t="s">
        <v>664</v>
      </c>
      <c r="O3" s="185" t="s">
        <v>665</v>
      </c>
      <c r="P3" s="186" t="s">
        <v>637</v>
      </c>
      <c r="Q3" s="185" t="s">
        <v>664</v>
      </c>
      <c r="R3" s="185" t="s">
        <v>665</v>
      </c>
      <c r="S3" s="186" t="s">
        <v>602</v>
      </c>
      <c r="T3" s="185" t="s">
        <v>664</v>
      </c>
      <c r="U3" s="185" t="s">
        <v>665</v>
      </c>
      <c r="V3" s="186" t="s">
        <v>601</v>
      </c>
      <c r="W3" s="185" t="s">
        <v>664</v>
      </c>
      <c r="X3" s="185" t="s">
        <v>665</v>
      </c>
      <c r="Y3" s="186" t="s">
        <v>608</v>
      </c>
      <c r="Z3" s="185" t="s">
        <v>664</v>
      </c>
      <c r="AA3" s="185" t="s">
        <v>665</v>
      </c>
      <c r="AB3" s="186" t="s">
        <v>600</v>
      </c>
      <c r="AC3" s="187"/>
      <c r="AD3" s="184" t="s">
        <v>605</v>
      </c>
      <c r="AE3" s="185" t="s">
        <v>664</v>
      </c>
      <c r="AF3" s="185" t="s">
        <v>665</v>
      </c>
      <c r="AG3" s="186" t="s">
        <v>599</v>
      </c>
      <c r="AH3" s="2323" t="s">
        <v>167</v>
      </c>
      <c r="AI3" s="2323"/>
      <c r="AJ3" s="137" t="s">
        <v>638</v>
      </c>
      <c r="AK3" s="137" t="s">
        <v>639</v>
      </c>
      <c r="AL3" s="173"/>
      <c r="AM3" s="137" t="s">
        <v>638</v>
      </c>
      <c r="AN3" s="137" t="s">
        <v>639</v>
      </c>
      <c r="AO3" s="173"/>
      <c r="AP3" s="2323" t="s">
        <v>167</v>
      </c>
      <c r="AQ3" s="2323"/>
      <c r="AR3" s="137" t="s">
        <v>638</v>
      </c>
      <c r="AS3" s="137" t="s">
        <v>639</v>
      </c>
      <c r="AT3" s="173"/>
      <c r="AU3" s="2320" t="s">
        <v>167</v>
      </c>
      <c r="AV3" s="2320"/>
      <c r="AW3" s="138" t="s">
        <v>638</v>
      </c>
      <c r="AX3" s="138" t="s">
        <v>639</v>
      </c>
      <c r="AY3" s="173"/>
    </row>
    <row r="4" spans="1:53">
      <c r="A4" s="188"/>
      <c r="B4" s="189"/>
      <c r="C4" s="190"/>
      <c r="D4" s="191"/>
      <c r="E4" s="189"/>
      <c r="F4" s="190"/>
      <c r="G4" s="191"/>
      <c r="H4" s="189"/>
      <c r="I4" s="190"/>
      <c r="J4" s="191"/>
      <c r="K4" s="189"/>
      <c r="L4" s="190"/>
      <c r="M4" s="191"/>
      <c r="N4" s="189"/>
      <c r="O4" s="190"/>
      <c r="P4" s="191"/>
      <c r="Q4" s="189"/>
      <c r="R4" s="190"/>
      <c r="S4" s="191"/>
      <c r="T4" s="189"/>
      <c r="U4" s="190"/>
      <c r="V4" s="191"/>
      <c r="W4" s="189"/>
      <c r="X4" s="190"/>
      <c r="Y4" s="191"/>
      <c r="Z4" s="189"/>
      <c r="AA4" s="190"/>
      <c r="AB4" s="191"/>
      <c r="AC4" s="192"/>
      <c r="AD4" s="188"/>
      <c r="AE4" s="189"/>
      <c r="AF4" s="190"/>
      <c r="AG4" s="191"/>
      <c r="AH4" s="2324" t="s">
        <v>168</v>
      </c>
      <c r="AI4" s="2324"/>
      <c r="AJ4" s="139" t="s">
        <v>659</v>
      </c>
      <c r="AK4" s="139" t="s">
        <v>659</v>
      </c>
      <c r="AL4" s="180" t="s">
        <v>598</v>
      </c>
      <c r="AM4" s="140" t="s">
        <v>650</v>
      </c>
      <c r="AN4" s="140" t="s">
        <v>650</v>
      </c>
      <c r="AO4" s="183" t="s">
        <v>595</v>
      </c>
      <c r="AP4" s="2324" t="s">
        <v>168</v>
      </c>
      <c r="AQ4" s="2324"/>
      <c r="AR4" s="141" t="s">
        <v>646</v>
      </c>
      <c r="AS4" s="141" t="s">
        <v>646</v>
      </c>
      <c r="AT4" s="174" t="s">
        <v>594</v>
      </c>
      <c r="AU4" s="2321" t="s">
        <v>168</v>
      </c>
      <c r="AV4" s="2321"/>
      <c r="AW4" s="143" t="s">
        <v>651</v>
      </c>
      <c r="AX4" s="143" t="s">
        <v>651</v>
      </c>
      <c r="AY4" s="174" t="s">
        <v>593</v>
      </c>
    </row>
    <row r="5" spans="1:53">
      <c r="A5" s="119" t="s">
        <v>603</v>
      </c>
      <c r="B5" s="115">
        <f t="shared" ref="B5:N5" si="0">B6+B7+B16+B34+B60+B80+B91</f>
        <v>395465419</v>
      </c>
      <c r="C5" s="115">
        <f t="shared" si="0"/>
        <v>157633591</v>
      </c>
      <c r="D5" s="134">
        <f>B5+C5</f>
        <v>553099010</v>
      </c>
      <c r="E5" s="115">
        <f t="shared" si="0"/>
        <v>414775767</v>
      </c>
      <c r="F5" s="115">
        <f t="shared" si="0"/>
        <v>172156063</v>
      </c>
      <c r="G5" s="134">
        <f>E5+F5</f>
        <v>586931830</v>
      </c>
      <c r="H5" s="115">
        <f t="shared" si="0"/>
        <v>430309433</v>
      </c>
      <c r="I5" s="115">
        <f t="shared" si="0"/>
        <v>191417554</v>
      </c>
      <c r="J5" s="134">
        <f>H5+I5</f>
        <v>621726987</v>
      </c>
      <c r="K5" s="115">
        <f t="shared" si="0"/>
        <v>444317987</v>
      </c>
      <c r="L5" s="115">
        <f t="shared" si="0"/>
        <v>206901250</v>
      </c>
      <c r="M5" s="134">
        <f>K5+L5</f>
        <v>651219237</v>
      </c>
      <c r="N5" s="115">
        <f t="shared" si="0"/>
        <v>461474678</v>
      </c>
      <c r="O5" s="115">
        <f>O6+O7+O16+O34+O60+O80+O91</f>
        <v>240584674</v>
      </c>
      <c r="P5" s="134">
        <f t="shared" ref="P5:P69" si="1">N5+O5</f>
        <v>702059352</v>
      </c>
      <c r="Q5" s="115">
        <f t="shared" ref="Q5:AA5" si="2">Q6+Q7+Q16+Q34+Q60+Q80+Q91</f>
        <v>465298207</v>
      </c>
      <c r="R5" s="115">
        <f t="shared" si="2"/>
        <v>437040265</v>
      </c>
      <c r="S5" s="134">
        <f t="shared" ref="S5:S68" si="3">Q5+R5</f>
        <v>902338472</v>
      </c>
      <c r="T5" s="115">
        <f t="shared" si="2"/>
        <v>453539606</v>
      </c>
      <c r="U5" s="115">
        <f t="shared" si="2"/>
        <v>268437246</v>
      </c>
      <c r="V5" s="134">
        <f t="shared" ref="V5:V68" si="4">T5+U5</f>
        <v>721976852</v>
      </c>
      <c r="W5" s="115">
        <f t="shared" si="2"/>
        <v>480522833</v>
      </c>
      <c r="X5" s="115">
        <f t="shared" si="2"/>
        <v>249369971</v>
      </c>
      <c r="Y5" s="134">
        <f t="shared" ref="Y5:Y68" si="5">W5+X5</f>
        <v>729892804</v>
      </c>
      <c r="Z5" s="115">
        <f t="shared" si="2"/>
        <v>486044861</v>
      </c>
      <c r="AA5" s="115">
        <f t="shared" si="2"/>
        <v>256695003</v>
      </c>
      <c r="AB5" s="134">
        <f t="shared" ref="AB5:AB68" si="6">Z5+AA5</f>
        <v>742739864</v>
      </c>
      <c r="AD5" s="210" t="s">
        <v>603</v>
      </c>
      <c r="AE5" s="211">
        <f>AE6+AE7+AE11+AE17+AE23+AE36+AE45+AE63+AE83+AE91</f>
        <v>494771901</v>
      </c>
      <c r="AF5" s="211">
        <f>AF6+AF7+AF11+AF17+AF23+AF36+AF45+AF63+AF83+AF91</f>
        <v>267055799</v>
      </c>
      <c r="AG5" s="212">
        <f>AE5+AF5</f>
        <v>761827700</v>
      </c>
      <c r="AH5" s="2325" t="s">
        <v>169</v>
      </c>
      <c r="AI5" s="2325"/>
      <c r="AJ5" s="144" t="s">
        <v>640</v>
      </c>
      <c r="AK5" s="144" t="s">
        <v>640</v>
      </c>
      <c r="AL5" s="181"/>
      <c r="AM5" s="145" t="s">
        <v>640</v>
      </c>
      <c r="AN5" s="145" t="s">
        <v>640</v>
      </c>
      <c r="AO5" s="175"/>
      <c r="AP5" s="2325" t="s">
        <v>169</v>
      </c>
      <c r="AQ5" s="2325"/>
      <c r="AR5" s="145" t="s">
        <v>640</v>
      </c>
      <c r="AS5" s="145" t="s">
        <v>640</v>
      </c>
      <c r="AT5" s="175"/>
      <c r="AU5" s="2322" t="s">
        <v>169</v>
      </c>
      <c r="AV5" s="2322"/>
      <c r="AW5" s="146" t="s">
        <v>640</v>
      </c>
      <c r="AX5" s="146" t="s">
        <v>640</v>
      </c>
      <c r="AY5" s="175"/>
    </row>
    <row r="6" spans="1:53">
      <c r="A6" s="115" t="s">
        <v>172</v>
      </c>
      <c r="B6" s="115">
        <v>121073389</v>
      </c>
      <c r="C6" s="115">
        <v>51199869</v>
      </c>
      <c r="D6" s="134">
        <f t="shared" ref="D6:D69" si="7">B6+C6</f>
        <v>172273258</v>
      </c>
      <c r="E6" s="115">
        <v>126358348</v>
      </c>
      <c r="F6" s="115">
        <v>56504664</v>
      </c>
      <c r="G6" s="134">
        <f t="shared" ref="G6:G69" si="8">E6+F6</f>
        <v>182863012</v>
      </c>
      <c r="H6" s="115">
        <v>130141606</v>
      </c>
      <c r="I6" s="115">
        <v>63736749</v>
      </c>
      <c r="J6" s="134">
        <f t="shared" ref="J6:J69" si="9">H6+I6</f>
        <v>193878355</v>
      </c>
      <c r="K6" s="115">
        <v>133005486</v>
      </c>
      <c r="L6" s="115">
        <v>71321566</v>
      </c>
      <c r="M6" s="134">
        <f t="shared" ref="M6:M69" si="10">K6+L6</f>
        <v>204327052</v>
      </c>
      <c r="N6" s="115">
        <v>137987429</v>
      </c>
      <c r="O6" s="115">
        <v>86738437</v>
      </c>
      <c r="P6" s="134">
        <f t="shared" si="1"/>
        <v>224725866</v>
      </c>
      <c r="Q6" s="115">
        <v>140222036</v>
      </c>
      <c r="R6" s="115">
        <v>202654344</v>
      </c>
      <c r="S6" s="134">
        <f t="shared" si="3"/>
        <v>342876380</v>
      </c>
      <c r="T6" s="114">
        <v>138341316</v>
      </c>
      <c r="U6" s="114">
        <v>96393422</v>
      </c>
      <c r="V6" s="134">
        <f t="shared" si="4"/>
        <v>234734738</v>
      </c>
      <c r="W6" s="114">
        <v>142057990</v>
      </c>
      <c r="X6" s="114">
        <v>84155379</v>
      </c>
      <c r="Y6" s="134">
        <f t="shared" si="5"/>
        <v>226213369</v>
      </c>
      <c r="Z6" s="113">
        <v>144073768</v>
      </c>
      <c r="AA6" s="113">
        <v>78797613</v>
      </c>
      <c r="AB6" s="134">
        <f t="shared" si="6"/>
        <v>222871381</v>
      </c>
      <c r="AD6" s="112" t="s">
        <v>564</v>
      </c>
      <c r="AE6" s="112">
        <v>151735397</v>
      </c>
      <c r="AF6" s="112">
        <v>86861484</v>
      </c>
      <c r="AG6" s="193">
        <f t="shared" ref="AG6:AG69" si="11">AE6+AF6</f>
        <v>238596881</v>
      </c>
      <c r="AH6" s="135" t="s">
        <v>170</v>
      </c>
      <c r="AI6" s="167" t="s">
        <v>166</v>
      </c>
      <c r="AJ6" s="147">
        <v>484383286</v>
      </c>
      <c r="AK6" s="147">
        <v>241612848</v>
      </c>
      <c r="AL6" s="182">
        <f t="shared" ref="AL6:AL37" si="12">AJ6+AK6</f>
        <v>725996134</v>
      </c>
      <c r="AM6" s="147">
        <v>484704506</v>
      </c>
      <c r="AN6" s="147">
        <v>250241829</v>
      </c>
      <c r="AO6" s="182">
        <f t="shared" ref="AO6:AO37" si="13">AM6+AN6</f>
        <v>734946335</v>
      </c>
      <c r="AP6" s="135" t="s">
        <v>170</v>
      </c>
      <c r="AQ6" s="167" t="s">
        <v>166</v>
      </c>
      <c r="AR6" s="148">
        <v>470814816</v>
      </c>
      <c r="AS6" s="148">
        <v>248350984</v>
      </c>
      <c r="AT6" s="176">
        <f t="shared" ref="AT6:AT37" si="14">AR6+AS6</f>
        <v>719165800</v>
      </c>
      <c r="AU6" s="135" t="s">
        <v>170</v>
      </c>
      <c r="AV6" s="167" t="s">
        <v>166</v>
      </c>
      <c r="AW6" s="149">
        <v>455703234</v>
      </c>
      <c r="AX6" s="149">
        <v>240540203</v>
      </c>
      <c r="AY6" s="176">
        <f t="shared" ref="AY6:AY37" si="15">AW6+AX6</f>
        <v>696243437</v>
      </c>
    </row>
    <row r="7" spans="1:53">
      <c r="A7" s="115" t="s">
        <v>373</v>
      </c>
      <c r="B7" s="115">
        <f t="shared" ref="B7:N7" si="16">SUM(B8:B15)</f>
        <v>122487544</v>
      </c>
      <c r="C7" s="115">
        <f t="shared" si="16"/>
        <v>44350850</v>
      </c>
      <c r="D7" s="134">
        <f t="shared" si="7"/>
        <v>166838394</v>
      </c>
      <c r="E7" s="115">
        <f t="shared" si="16"/>
        <v>129725453</v>
      </c>
      <c r="F7" s="115">
        <f t="shared" si="16"/>
        <v>47847480</v>
      </c>
      <c r="G7" s="134">
        <f t="shared" si="8"/>
        <v>177572933</v>
      </c>
      <c r="H7" s="115">
        <f t="shared" si="16"/>
        <v>134505389</v>
      </c>
      <c r="I7" s="115">
        <f t="shared" si="16"/>
        <v>52362691</v>
      </c>
      <c r="J7" s="134">
        <f t="shared" si="9"/>
        <v>186868080</v>
      </c>
      <c r="K7" s="115">
        <f t="shared" si="16"/>
        <v>140038873</v>
      </c>
      <c r="L7" s="115">
        <f t="shared" si="16"/>
        <v>54538388</v>
      </c>
      <c r="M7" s="134">
        <f t="shared" si="10"/>
        <v>194577261</v>
      </c>
      <c r="N7" s="115">
        <f t="shared" si="16"/>
        <v>146530055</v>
      </c>
      <c r="O7" s="115">
        <f>SUM(O8:O15)</f>
        <v>63730890</v>
      </c>
      <c r="P7" s="134">
        <f t="shared" si="1"/>
        <v>210260945</v>
      </c>
      <c r="Q7" s="115">
        <f t="shared" ref="Q7:AA7" si="17">SUM(Q8:Q15)</f>
        <v>145681572</v>
      </c>
      <c r="R7" s="115">
        <f t="shared" si="17"/>
        <v>133576936</v>
      </c>
      <c r="S7" s="134">
        <f t="shared" si="3"/>
        <v>279258508</v>
      </c>
      <c r="T7" s="115">
        <f t="shared" si="17"/>
        <v>151042488</v>
      </c>
      <c r="U7" s="115">
        <f t="shared" si="17"/>
        <v>76596538</v>
      </c>
      <c r="V7" s="134">
        <f t="shared" si="4"/>
        <v>227639026</v>
      </c>
      <c r="W7" s="115">
        <f t="shared" si="17"/>
        <v>152054097</v>
      </c>
      <c r="X7" s="115">
        <f t="shared" si="17"/>
        <v>66570124</v>
      </c>
      <c r="Y7" s="134">
        <f t="shared" si="5"/>
        <v>218624221</v>
      </c>
      <c r="Z7" s="115">
        <f t="shared" si="17"/>
        <v>152017494</v>
      </c>
      <c r="AA7" s="115">
        <f t="shared" si="17"/>
        <v>71244360</v>
      </c>
      <c r="AB7" s="134">
        <f t="shared" si="6"/>
        <v>223261854</v>
      </c>
      <c r="AD7" s="112" t="s">
        <v>182</v>
      </c>
      <c r="AE7" s="112">
        <f>SUM(AE8:AE10)</f>
        <v>99038118</v>
      </c>
      <c r="AF7" s="112">
        <f>SUM(AF8:AF10)</f>
        <v>43030349</v>
      </c>
      <c r="AG7" s="193">
        <f t="shared" si="11"/>
        <v>142068467</v>
      </c>
      <c r="AH7" s="150">
        <v>100</v>
      </c>
      <c r="AI7" s="167" t="s">
        <v>172</v>
      </c>
      <c r="AJ7" s="151">
        <v>142859083</v>
      </c>
      <c r="AK7" s="151">
        <v>70465118</v>
      </c>
      <c r="AL7" s="182">
        <f t="shared" si="12"/>
        <v>213324201</v>
      </c>
      <c r="AM7" s="151">
        <v>146104457</v>
      </c>
      <c r="AN7" s="151">
        <v>73048571</v>
      </c>
      <c r="AO7" s="182">
        <f t="shared" si="13"/>
        <v>219153028</v>
      </c>
      <c r="AP7" s="150">
        <v>100</v>
      </c>
      <c r="AQ7" s="167" t="s">
        <v>172</v>
      </c>
      <c r="AR7" s="152">
        <v>140273974</v>
      </c>
      <c r="AS7" s="152">
        <v>72395433</v>
      </c>
      <c r="AT7" s="176">
        <f t="shared" si="14"/>
        <v>212669407</v>
      </c>
      <c r="AU7" s="150">
        <v>100</v>
      </c>
      <c r="AV7" s="167" t="s">
        <v>172</v>
      </c>
      <c r="AW7" s="153">
        <v>135875473</v>
      </c>
      <c r="AX7" s="153">
        <v>66210829</v>
      </c>
      <c r="AY7" s="176">
        <f t="shared" si="15"/>
        <v>202086302</v>
      </c>
      <c r="BA7" s="157" t="s">
        <v>811</v>
      </c>
    </row>
    <row r="8" spans="1:53">
      <c r="A8" s="115" t="s">
        <v>183</v>
      </c>
      <c r="B8" s="115">
        <v>44294281</v>
      </c>
      <c r="C8" s="115">
        <v>12236580</v>
      </c>
      <c r="D8" s="134">
        <f t="shared" si="7"/>
        <v>56530861</v>
      </c>
      <c r="E8" s="115">
        <v>45816764</v>
      </c>
      <c r="F8" s="115">
        <v>12617766</v>
      </c>
      <c r="G8" s="134">
        <f t="shared" si="8"/>
        <v>58434530</v>
      </c>
      <c r="H8" s="115">
        <v>46269700</v>
      </c>
      <c r="I8" s="115">
        <v>13425306</v>
      </c>
      <c r="J8" s="134">
        <f t="shared" si="9"/>
        <v>59695006</v>
      </c>
      <c r="K8" s="115">
        <v>48095154</v>
      </c>
      <c r="L8" s="115">
        <v>14021095</v>
      </c>
      <c r="M8" s="134">
        <f t="shared" si="10"/>
        <v>62116249</v>
      </c>
      <c r="N8" s="115">
        <v>50627062</v>
      </c>
      <c r="O8" s="115">
        <v>14386115</v>
      </c>
      <c r="P8" s="134">
        <f t="shared" si="1"/>
        <v>65013177</v>
      </c>
      <c r="Q8" s="115">
        <v>48697967</v>
      </c>
      <c r="R8" s="115">
        <v>25484955</v>
      </c>
      <c r="S8" s="134">
        <f t="shared" si="3"/>
        <v>74182922</v>
      </c>
      <c r="T8" s="114">
        <v>49528135</v>
      </c>
      <c r="U8" s="114">
        <v>17050780</v>
      </c>
      <c r="V8" s="134">
        <f t="shared" si="4"/>
        <v>66578915</v>
      </c>
      <c r="W8" s="114">
        <v>50645930</v>
      </c>
      <c r="X8" s="114">
        <v>15577776</v>
      </c>
      <c r="Y8" s="134">
        <f t="shared" si="5"/>
        <v>66223706</v>
      </c>
      <c r="Z8" s="113">
        <v>48790346</v>
      </c>
      <c r="AA8" s="113">
        <v>17359208</v>
      </c>
      <c r="AB8" s="134">
        <f t="shared" si="6"/>
        <v>66149554</v>
      </c>
      <c r="AD8" s="112" t="s">
        <v>467</v>
      </c>
      <c r="AE8" s="112">
        <v>49830681</v>
      </c>
      <c r="AF8" s="112">
        <v>16725261</v>
      </c>
      <c r="AG8" s="193">
        <f t="shared" si="11"/>
        <v>66555942</v>
      </c>
      <c r="AH8" s="135"/>
      <c r="AI8" s="165" t="s">
        <v>182</v>
      </c>
      <c r="AJ8" s="154">
        <v>99483127</v>
      </c>
      <c r="AK8" s="154">
        <v>39420695</v>
      </c>
      <c r="AL8" s="182">
        <f t="shared" si="12"/>
        <v>138903822</v>
      </c>
      <c r="AM8" s="154">
        <v>96502713</v>
      </c>
      <c r="AN8" s="154">
        <v>40537841</v>
      </c>
      <c r="AO8" s="182">
        <f t="shared" si="13"/>
        <v>137040554</v>
      </c>
      <c r="AP8" s="135"/>
      <c r="AQ8" s="165" t="s">
        <v>182</v>
      </c>
      <c r="AR8" s="154">
        <v>93260541</v>
      </c>
      <c r="AS8" s="154">
        <v>39940820</v>
      </c>
      <c r="AT8" s="176">
        <f t="shared" si="14"/>
        <v>133201361</v>
      </c>
      <c r="AU8" s="135"/>
      <c r="AV8" s="165" t="s">
        <v>182</v>
      </c>
      <c r="AW8" s="155">
        <v>87898887</v>
      </c>
      <c r="AX8" s="155">
        <v>38821473</v>
      </c>
      <c r="AY8" s="176">
        <f t="shared" si="15"/>
        <v>126720360</v>
      </c>
    </row>
    <row r="9" spans="1:53">
      <c r="A9" s="115" t="s">
        <v>184</v>
      </c>
      <c r="B9" s="115">
        <v>30916478</v>
      </c>
      <c r="C9" s="115">
        <v>13585273</v>
      </c>
      <c r="D9" s="134">
        <f t="shared" si="7"/>
        <v>44501751</v>
      </c>
      <c r="E9" s="115">
        <v>33260177</v>
      </c>
      <c r="F9" s="115">
        <v>14507470</v>
      </c>
      <c r="G9" s="134">
        <f t="shared" si="8"/>
        <v>47767647</v>
      </c>
      <c r="H9" s="115">
        <v>34516186</v>
      </c>
      <c r="I9" s="115">
        <v>15366786</v>
      </c>
      <c r="J9" s="134">
        <f t="shared" si="9"/>
        <v>49882972</v>
      </c>
      <c r="K9" s="115">
        <v>35666514</v>
      </c>
      <c r="L9" s="115">
        <v>15245652</v>
      </c>
      <c r="M9" s="134">
        <f t="shared" si="10"/>
        <v>50912166</v>
      </c>
      <c r="N9" s="115">
        <v>37081278</v>
      </c>
      <c r="O9" s="115">
        <v>18458307</v>
      </c>
      <c r="P9" s="134">
        <f t="shared" si="1"/>
        <v>55539585</v>
      </c>
      <c r="Q9" s="115">
        <v>37354410</v>
      </c>
      <c r="R9" s="115">
        <v>45289248</v>
      </c>
      <c r="S9" s="134">
        <f t="shared" si="3"/>
        <v>82643658</v>
      </c>
      <c r="T9" s="114">
        <v>39801088</v>
      </c>
      <c r="U9" s="114">
        <v>28032391</v>
      </c>
      <c r="V9" s="134">
        <f t="shared" si="4"/>
        <v>67833479</v>
      </c>
      <c r="W9" s="114">
        <v>38180388</v>
      </c>
      <c r="X9" s="114">
        <v>18756438</v>
      </c>
      <c r="Y9" s="134">
        <f t="shared" si="5"/>
        <v>56936826</v>
      </c>
      <c r="Z9" s="113">
        <v>38931112</v>
      </c>
      <c r="AA9" s="113">
        <v>20011121</v>
      </c>
      <c r="AB9" s="134">
        <f t="shared" si="6"/>
        <v>58942233</v>
      </c>
      <c r="AD9" s="112" t="s">
        <v>469</v>
      </c>
      <c r="AE9" s="112">
        <v>39714765</v>
      </c>
      <c r="AF9" s="112">
        <v>21122148</v>
      </c>
      <c r="AG9" s="193">
        <f t="shared" si="11"/>
        <v>60836913</v>
      </c>
      <c r="AH9" s="156">
        <v>202</v>
      </c>
      <c r="AI9" s="168" t="s">
        <v>183</v>
      </c>
      <c r="AJ9" s="154">
        <v>49363799</v>
      </c>
      <c r="AK9" s="154">
        <v>16960811</v>
      </c>
      <c r="AL9" s="182">
        <f t="shared" si="12"/>
        <v>66324610</v>
      </c>
      <c r="AM9" s="154">
        <v>48725625</v>
      </c>
      <c r="AN9" s="154">
        <v>17377895</v>
      </c>
      <c r="AO9" s="182">
        <f t="shared" si="13"/>
        <v>66103520</v>
      </c>
      <c r="AP9" s="156">
        <v>202</v>
      </c>
      <c r="AQ9" s="168" t="s">
        <v>183</v>
      </c>
      <c r="AR9" s="154">
        <v>45862041</v>
      </c>
      <c r="AS9" s="154">
        <v>16791266</v>
      </c>
      <c r="AT9" s="176">
        <f t="shared" si="14"/>
        <v>62653307</v>
      </c>
      <c r="AU9" s="156">
        <v>202</v>
      </c>
      <c r="AV9" s="168" t="s">
        <v>183</v>
      </c>
      <c r="AW9" s="155">
        <v>42380865</v>
      </c>
      <c r="AX9" s="155">
        <v>16544124</v>
      </c>
      <c r="AY9" s="176">
        <f t="shared" si="15"/>
        <v>58924989</v>
      </c>
    </row>
    <row r="10" spans="1:53">
      <c r="A10" s="115" t="s">
        <v>185</v>
      </c>
      <c r="B10" s="115">
        <v>8353629</v>
      </c>
      <c r="C10" s="115">
        <v>3310595</v>
      </c>
      <c r="D10" s="134">
        <f t="shared" si="7"/>
        <v>11664224</v>
      </c>
      <c r="E10" s="115">
        <v>8952560</v>
      </c>
      <c r="F10" s="115">
        <v>3966556</v>
      </c>
      <c r="G10" s="134">
        <f t="shared" si="8"/>
        <v>12919116</v>
      </c>
      <c r="H10" s="115">
        <v>9288733</v>
      </c>
      <c r="I10" s="115">
        <v>4423838</v>
      </c>
      <c r="J10" s="134">
        <f t="shared" si="9"/>
        <v>13712571</v>
      </c>
      <c r="K10" s="115">
        <v>9646638</v>
      </c>
      <c r="L10" s="115">
        <v>4497892</v>
      </c>
      <c r="M10" s="134">
        <f t="shared" si="10"/>
        <v>14144530</v>
      </c>
      <c r="N10" s="115">
        <v>9694112</v>
      </c>
      <c r="O10" s="115">
        <v>5690137</v>
      </c>
      <c r="P10" s="134">
        <f t="shared" si="1"/>
        <v>15384249</v>
      </c>
      <c r="Q10" s="115">
        <v>9364826</v>
      </c>
      <c r="R10" s="115">
        <v>20930099</v>
      </c>
      <c r="S10" s="134">
        <f t="shared" si="3"/>
        <v>30294925</v>
      </c>
      <c r="T10" s="114">
        <v>9232663</v>
      </c>
      <c r="U10" s="114">
        <v>6383907</v>
      </c>
      <c r="V10" s="134">
        <f t="shared" si="4"/>
        <v>15616570</v>
      </c>
      <c r="W10" s="114">
        <v>9420893</v>
      </c>
      <c r="X10" s="114">
        <v>5765008</v>
      </c>
      <c r="Y10" s="134">
        <f t="shared" si="5"/>
        <v>15185901</v>
      </c>
      <c r="Z10" s="113">
        <v>9558683</v>
      </c>
      <c r="AA10" s="113">
        <v>5723341</v>
      </c>
      <c r="AB10" s="134">
        <f t="shared" si="6"/>
        <v>15282024</v>
      </c>
      <c r="AD10" s="112" t="s">
        <v>471</v>
      </c>
      <c r="AE10" s="112">
        <v>9492672</v>
      </c>
      <c r="AF10" s="112">
        <v>5182940</v>
      </c>
      <c r="AG10" s="193">
        <f t="shared" si="11"/>
        <v>14675612</v>
      </c>
      <c r="AH10" s="156">
        <v>204</v>
      </c>
      <c r="AI10" s="168" t="s">
        <v>184</v>
      </c>
      <c r="AJ10" s="154">
        <v>40328426</v>
      </c>
      <c r="AK10" s="154">
        <v>17591191</v>
      </c>
      <c r="AL10" s="182">
        <f t="shared" si="12"/>
        <v>57919617</v>
      </c>
      <c r="AM10" s="154">
        <v>38384135</v>
      </c>
      <c r="AN10" s="154">
        <v>18452261</v>
      </c>
      <c r="AO10" s="182">
        <f t="shared" si="13"/>
        <v>56836396</v>
      </c>
      <c r="AP10" s="156">
        <v>204</v>
      </c>
      <c r="AQ10" s="168" t="s">
        <v>184</v>
      </c>
      <c r="AR10" s="154">
        <v>37535281</v>
      </c>
      <c r="AS10" s="154">
        <v>18655061</v>
      </c>
      <c r="AT10" s="176">
        <f t="shared" si="14"/>
        <v>56190342</v>
      </c>
      <c r="AU10" s="156">
        <v>204</v>
      </c>
      <c r="AV10" s="168" t="s">
        <v>184</v>
      </c>
      <c r="AW10" s="155">
        <v>36410627</v>
      </c>
      <c r="AX10" s="155">
        <v>17934540</v>
      </c>
      <c r="AY10" s="176">
        <f t="shared" si="15"/>
        <v>54345167</v>
      </c>
    </row>
    <row r="11" spans="1:53">
      <c r="A11" s="115" t="s">
        <v>187</v>
      </c>
      <c r="B11" s="115">
        <v>12152866</v>
      </c>
      <c r="C11" s="115">
        <v>4764075</v>
      </c>
      <c r="D11" s="134">
        <f t="shared" si="7"/>
        <v>16916941</v>
      </c>
      <c r="E11" s="115">
        <v>12990155</v>
      </c>
      <c r="F11" s="115">
        <v>5195314</v>
      </c>
      <c r="G11" s="134">
        <f t="shared" si="8"/>
        <v>18185469</v>
      </c>
      <c r="H11" s="115">
        <v>13617657</v>
      </c>
      <c r="I11" s="115">
        <v>5923453</v>
      </c>
      <c r="J11" s="134">
        <f t="shared" si="9"/>
        <v>19541110</v>
      </c>
      <c r="K11" s="115">
        <v>13985219</v>
      </c>
      <c r="L11" s="115">
        <v>6222843</v>
      </c>
      <c r="M11" s="134">
        <f t="shared" si="10"/>
        <v>20208062</v>
      </c>
      <c r="N11" s="115">
        <v>14369017</v>
      </c>
      <c r="O11" s="115">
        <v>7805696</v>
      </c>
      <c r="P11" s="134">
        <f t="shared" si="1"/>
        <v>22174713</v>
      </c>
      <c r="Q11" s="115">
        <v>14585334</v>
      </c>
      <c r="R11" s="115">
        <v>13581325</v>
      </c>
      <c r="S11" s="134">
        <f t="shared" si="3"/>
        <v>28166659</v>
      </c>
      <c r="T11" s="114">
        <v>15024250</v>
      </c>
      <c r="U11" s="114">
        <v>7073591</v>
      </c>
      <c r="V11" s="134">
        <f t="shared" si="4"/>
        <v>22097841</v>
      </c>
      <c r="W11" s="114">
        <v>15351942</v>
      </c>
      <c r="X11" s="114">
        <v>7882036</v>
      </c>
      <c r="Y11" s="134">
        <f t="shared" si="5"/>
        <v>23233978</v>
      </c>
      <c r="Z11" s="113">
        <v>15365099</v>
      </c>
      <c r="AA11" s="113">
        <v>7782299</v>
      </c>
      <c r="AB11" s="134">
        <f t="shared" si="6"/>
        <v>23147398</v>
      </c>
      <c r="AD11" s="112" t="s">
        <v>186</v>
      </c>
      <c r="AE11" s="112">
        <f>SUM(AE12:AE16)</f>
        <v>54425256</v>
      </c>
      <c r="AF11" s="112">
        <f>SUM(AF12:AF16)</f>
        <v>28269479</v>
      </c>
      <c r="AG11" s="193">
        <f t="shared" si="11"/>
        <v>82694735</v>
      </c>
      <c r="AH11" s="156">
        <v>206</v>
      </c>
      <c r="AI11" s="168" t="s">
        <v>185</v>
      </c>
      <c r="AJ11" s="154">
        <v>9790902</v>
      </c>
      <c r="AK11" s="154">
        <v>4868693</v>
      </c>
      <c r="AL11" s="182">
        <f t="shared" si="12"/>
        <v>14659595</v>
      </c>
      <c r="AM11" s="154">
        <v>9392953</v>
      </c>
      <c r="AN11" s="154">
        <v>4707685</v>
      </c>
      <c r="AO11" s="182">
        <f t="shared" si="13"/>
        <v>14100638</v>
      </c>
      <c r="AP11" s="156">
        <v>206</v>
      </c>
      <c r="AQ11" s="168" t="s">
        <v>185</v>
      </c>
      <c r="AR11" s="154">
        <v>9863219</v>
      </c>
      <c r="AS11" s="154">
        <v>4494493</v>
      </c>
      <c r="AT11" s="176">
        <f t="shared" si="14"/>
        <v>14357712</v>
      </c>
      <c r="AU11" s="156">
        <v>206</v>
      </c>
      <c r="AV11" s="168" t="s">
        <v>185</v>
      </c>
      <c r="AW11" s="155">
        <v>9107395</v>
      </c>
      <c r="AX11" s="155">
        <v>4342809</v>
      </c>
      <c r="AY11" s="176">
        <f t="shared" si="15"/>
        <v>13450204</v>
      </c>
    </row>
    <row r="12" spans="1:53">
      <c r="A12" s="115" t="s">
        <v>188</v>
      </c>
      <c r="B12" s="115">
        <v>12689884</v>
      </c>
      <c r="C12" s="115">
        <v>4849256</v>
      </c>
      <c r="D12" s="134">
        <f t="shared" si="7"/>
        <v>17539140</v>
      </c>
      <c r="E12" s="115">
        <v>13375818</v>
      </c>
      <c r="F12" s="115">
        <v>5347978</v>
      </c>
      <c r="G12" s="134">
        <f t="shared" si="8"/>
        <v>18723796</v>
      </c>
      <c r="H12" s="115">
        <v>14241191</v>
      </c>
      <c r="I12" s="115">
        <v>5840830</v>
      </c>
      <c r="J12" s="134">
        <f t="shared" si="9"/>
        <v>20082021</v>
      </c>
      <c r="K12" s="115">
        <v>15222412</v>
      </c>
      <c r="L12" s="115">
        <v>6637350</v>
      </c>
      <c r="M12" s="134">
        <f t="shared" si="10"/>
        <v>21859762</v>
      </c>
      <c r="N12" s="115">
        <v>16478390</v>
      </c>
      <c r="O12" s="115">
        <v>8460259</v>
      </c>
      <c r="P12" s="134">
        <f t="shared" si="1"/>
        <v>24938649</v>
      </c>
      <c r="Q12" s="115">
        <v>16798303</v>
      </c>
      <c r="R12" s="115">
        <v>16945718</v>
      </c>
      <c r="S12" s="134">
        <f t="shared" si="3"/>
        <v>33744021</v>
      </c>
      <c r="T12" s="114">
        <v>17305140</v>
      </c>
      <c r="U12" s="114">
        <v>7755838</v>
      </c>
      <c r="V12" s="134">
        <f t="shared" si="4"/>
        <v>25060978</v>
      </c>
      <c r="W12" s="114">
        <v>17598504</v>
      </c>
      <c r="X12" s="114">
        <v>7487281</v>
      </c>
      <c r="Y12" s="134">
        <f t="shared" si="5"/>
        <v>25085785</v>
      </c>
      <c r="Z12" s="113">
        <v>17863793</v>
      </c>
      <c r="AA12" s="113">
        <v>7891629</v>
      </c>
      <c r="AB12" s="134">
        <f t="shared" si="6"/>
        <v>25755422</v>
      </c>
      <c r="AD12" s="112" t="s">
        <v>472</v>
      </c>
      <c r="AE12" s="112">
        <v>14709787</v>
      </c>
      <c r="AF12" s="112">
        <v>7828867</v>
      </c>
      <c r="AG12" s="193">
        <f t="shared" si="11"/>
        <v>22538654</v>
      </c>
      <c r="AH12" s="135"/>
      <c r="AI12" s="165" t="s">
        <v>186</v>
      </c>
      <c r="AJ12" s="154">
        <v>54405145</v>
      </c>
      <c r="AK12" s="154">
        <v>27151109</v>
      </c>
      <c r="AL12" s="182">
        <f t="shared" si="12"/>
        <v>81556254</v>
      </c>
      <c r="AM12" s="154">
        <v>54888705</v>
      </c>
      <c r="AN12" s="154">
        <v>28943838</v>
      </c>
      <c r="AO12" s="182">
        <f t="shared" si="13"/>
        <v>83832543</v>
      </c>
      <c r="AP12" s="135"/>
      <c r="AQ12" s="165" t="s">
        <v>186</v>
      </c>
      <c r="AR12" s="154">
        <v>53857067</v>
      </c>
      <c r="AS12" s="154">
        <v>29870644</v>
      </c>
      <c r="AT12" s="176">
        <f t="shared" si="14"/>
        <v>83727711</v>
      </c>
      <c r="AU12" s="135"/>
      <c r="AV12" s="165" t="s">
        <v>186</v>
      </c>
      <c r="AW12" s="155">
        <v>52768001</v>
      </c>
      <c r="AX12" s="155">
        <v>28820711</v>
      </c>
      <c r="AY12" s="176">
        <f t="shared" si="15"/>
        <v>81588712</v>
      </c>
    </row>
    <row r="13" spans="1:53">
      <c r="A13" s="115" t="s">
        <v>189</v>
      </c>
      <c r="B13" s="115">
        <v>8852046</v>
      </c>
      <c r="C13" s="115">
        <v>3381560</v>
      </c>
      <c r="D13" s="134">
        <f t="shared" si="7"/>
        <v>12233606</v>
      </c>
      <c r="E13" s="115">
        <v>9491573</v>
      </c>
      <c r="F13" s="115">
        <v>3564164</v>
      </c>
      <c r="G13" s="134">
        <f t="shared" si="8"/>
        <v>13055737</v>
      </c>
      <c r="H13" s="115">
        <v>10128315</v>
      </c>
      <c r="I13" s="115">
        <v>4141149</v>
      </c>
      <c r="J13" s="134">
        <f t="shared" si="9"/>
        <v>14269464</v>
      </c>
      <c r="K13" s="115">
        <v>10605882</v>
      </c>
      <c r="L13" s="115">
        <v>4325796</v>
      </c>
      <c r="M13" s="134">
        <f t="shared" si="10"/>
        <v>14931678</v>
      </c>
      <c r="N13" s="115">
        <v>11087862</v>
      </c>
      <c r="O13" s="115">
        <v>5025907</v>
      </c>
      <c r="P13" s="134">
        <f t="shared" si="1"/>
        <v>16113769</v>
      </c>
      <c r="Q13" s="115">
        <v>11348050</v>
      </c>
      <c r="R13" s="115">
        <v>7004932</v>
      </c>
      <c r="S13" s="134">
        <f t="shared" si="3"/>
        <v>18352982</v>
      </c>
      <c r="T13" s="114">
        <v>11967772</v>
      </c>
      <c r="U13" s="114">
        <v>5323076</v>
      </c>
      <c r="V13" s="134">
        <f t="shared" si="4"/>
        <v>17290848</v>
      </c>
      <c r="W13" s="114">
        <v>12138289</v>
      </c>
      <c r="X13" s="114">
        <v>5665383</v>
      </c>
      <c r="Y13" s="134">
        <f t="shared" si="5"/>
        <v>17803672</v>
      </c>
      <c r="Z13" s="113">
        <v>12339107</v>
      </c>
      <c r="AA13" s="113">
        <v>6396717</v>
      </c>
      <c r="AB13" s="134">
        <f t="shared" si="6"/>
        <v>18735824</v>
      </c>
      <c r="AD13" s="112" t="s">
        <v>479</v>
      </c>
      <c r="AE13" s="112">
        <v>17859192</v>
      </c>
      <c r="AF13" s="112">
        <v>8299224</v>
      </c>
      <c r="AG13" s="193">
        <f t="shared" si="11"/>
        <v>26158416</v>
      </c>
      <c r="AH13" s="156">
        <v>207</v>
      </c>
      <c r="AI13" s="168" t="s">
        <v>187</v>
      </c>
      <c r="AJ13" s="154">
        <v>15053673</v>
      </c>
      <c r="AK13" s="154">
        <v>7101850</v>
      </c>
      <c r="AL13" s="182">
        <f t="shared" si="12"/>
        <v>22155523</v>
      </c>
      <c r="AM13" s="154">
        <v>15490711</v>
      </c>
      <c r="AN13" s="154">
        <v>7510092</v>
      </c>
      <c r="AO13" s="182">
        <f t="shared" si="13"/>
        <v>23000803</v>
      </c>
      <c r="AP13" s="156">
        <v>207</v>
      </c>
      <c r="AQ13" s="168" t="s">
        <v>187</v>
      </c>
      <c r="AR13" s="154">
        <v>14433148</v>
      </c>
      <c r="AS13" s="154">
        <v>7933044</v>
      </c>
      <c r="AT13" s="176">
        <f t="shared" si="14"/>
        <v>22366192</v>
      </c>
      <c r="AU13" s="156">
        <v>207</v>
      </c>
      <c r="AV13" s="168" t="s">
        <v>187</v>
      </c>
      <c r="AW13" s="155">
        <v>14556012</v>
      </c>
      <c r="AX13" s="155">
        <v>7297419</v>
      </c>
      <c r="AY13" s="176">
        <f t="shared" si="15"/>
        <v>21853431</v>
      </c>
    </row>
    <row r="14" spans="1:53">
      <c r="A14" s="115" t="s">
        <v>190</v>
      </c>
      <c r="B14" s="115">
        <v>3811727</v>
      </c>
      <c r="C14" s="115">
        <v>1524540</v>
      </c>
      <c r="D14" s="134">
        <f t="shared" si="7"/>
        <v>5336267</v>
      </c>
      <c r="E14" s="115">
        <v>4305949</v>
      </c>
      <c r="F14" s="115">
        <v>1812836</v>
      </c>
      <c r="G14" s="134">
        <f t="shared" si="8"/>
        <v>6118785</v>
      </c>
      <c r="H14" s="115">
        <v>4699263</v>
      </c>
      <c r="I14" s="115">
        <v>2209811</v>
      </c>
      <c r="J14" s="134">
        <f t="shared" si="9"/>
        <v>6909074</v>
      </c>
      <c r="K14" s="115">
        <v>4968804</v>
      </c>
      <c r="L14" s="115">
        <v>2449805</v>
      </c>
      <c r="M14" s="134">
        <f t="shared" si="10"/>
        <v>7418609</v>
      </c>
      <c r="N14" s="115">
        <v>5264386</v>
      </c>
      <c r="O14" s="115">
        <v>2695632</v>
      </c>
      <c r="P14" s="134">
        <f t="shared" si="1"/>
        <v>7960018</v>
      </c>
      <c r="Q14" s="115">
        <v>5552194</v>
      </c>
      <c r="R14" s="115">
        <v>2970236</v>
      </c>
      <c r="S14" s="134">
        <f t="shared" si="3"/>
        <v>8522430</v>
      </c>
      <c r="T14" s="114">
        <v>6061661</v>
      </c>
      <c r="U14" s="114">
        <v>3397049</v>
      </c>
      <c r="V14" s="134">
        <f t="shared" si="4"/>
        <v>9458710</v>
      </c>
      <c r="W14" s="114">
        <v>6526969</v>
      </c>
      <c r="X14" s="114">
        <v>3785291</v>
      </c>
      <c r="Y14" s="134">
        <f t="shared" si="5"/>
        <v>10312260</v>
      </c>
      <c r="Z14" s="113">
        <v>6881387</v>
      </c>
      <c r="AA14" s="113">
        <v>4191027</v>
      </c>
      <c r="AB14" s="134">
        <f t="shared" si="6"/>
        <v>11072414</v>
      </c>
      <c r="AD14" s="112" t="s">
        <v>482</v>
      </c>
      <c r="AE14" s="112">
        <v>12458521</v>
      </c>
      <c r="AF14" s="112">
        <v>5967429</v>
      </c>
      <c r="AG14" s="193">
        <f t="shared" si="11"/>
        <v>18425950</v>
      </c>
      <c r="AH14" s="156">
        <v>214</v>
      </c>
      <c r="AI14" s="168" t="s">
        <v>188</v>
      </c>
      <c r="AJ14" s="154">
        <v>17535469</v>
      </c>
      <c r="AK14" s="154">
        <v>7929196</v>
      </c>
      <c r="AL14" s="182">
        <f t="shared" si="12"/>
        <v>25464665</v>
      </c>
      <c r="AM14" s="154">
        <v>17483645</v>
      </c>
      <c r="AN14" s="154">
        <v>8404375</v>
      </c>
      <c r="AO14" s="182">
        <f t="shared" si="13"/>
        <v>25888020</v>
      </c>
      <c r="AP14" s="156">
        <v>214</v>
      </c>
      <c r="AQ14" s="168" t="s">
        <v>188</v>
      </c>
      <c r="AR14" s="154">
        <v>17376343</v>
      </c>
      <c r="AS14" s="154">
        <v>8812656</v>
      </c>
      <c r="AT14" s="176">
        <f t="shared" si="14"/>
        <v>26188999</v>
      </c>
      <c r="AU14" s="156">
        <v>214</v>
      </c>
      <c r="AV14" s="168" t="s">
        <v>188</v>
      </c>
      <c r="AW14" s="155">
        <v>16673855</v>
      </c>
      <c r="AX14" s="155">
        <v>8668136</v>
      </c>
      <c r="AY14" s="176">
        <f t="shared" si="15"/>
        <v>25341991</v>
      </c>
    </row>
    <row r="15" spans="1:53">
      <c r="A15" s="115" t="s">
        <v>191</v>
      </c>
      <c r="B15" s="115">
        <v>1416633</v>
      </c>
      <c r="C15" s="115">
        <v>698971</v>
      </c>
      <c r="D15" s="134">
        <f t="shared" si="7"/>
        <v>2115604</v>
      </c>
      <c r="E15" s="115">
        <v>1532457</v>
      </c>
      <c r="F15" s="115">
        <v>835396</v>
      </c>
      <c r="G15" s="134">
        <f t="shared" si="8"/>
        <v>2367853</v>
      </c>
      <c r="H15" s="115">
        <v>1744344</v>
      </c>
      <c r="I15" s="115">
        <v>1031518</v>
      </c>
      <c r="J15" s="134">
        <f t="shared" si="9"/>
        <v>2775862</v>
      </c>
      <c r="K15" s="115">
        <v>1848250</v>
      </c>
      <c r="L15" s="115">
        <v>1137955</v>
      </c>
      <c r="M15" s="134">
        <f t="shared" si="10"/>
        <v>2986205</v>
      </c>
      <c r="N15" s="115">
        <v>1927948</v>
      </c>
      <c r="O15" s="115">
        <v>1208837</v>
      </c>
      <c r="P15" s="134">
        <f t="shared" si="1"/>
        <v>3136785</v>
      </c>
      <c r="Q15" s="115">
        <v>1980488</v>
      </c>
      <c r="R15" s="115">
        <v>1370423</v>
      </c>
      <c r="S15" s="134">
        <f t="shared" si="3"/>
        <v>3350911</v>
      </c>
      <c r="T15" s="114">
        <v>2121779</v>
      </c>
      <c r="U15" s="114">
        <v>1579906</v>
      </c>
      <c r="V15" s="134">
        <f t="shared" si="4"/>
        <v>3701685</v>
      </c>
      <c r="W15" s="114">
        <v>2191182</v>
      </c>
      <c r="X15" s="114">
        <v>1650911</v>
      </c>
      <c r="Y15" s="134">
        <f t="shared" si="5"/>
        <v>3842093</v>
      </c>
      <c r="Z15" s="113">
        <v>2287967</v>
      </c>
      <c r="AA15" s="113">
        <v>1889018</v>
      </c>
      <c r="AB15" s="134">
        <f t="shared" si="6"/>
        <v>4176985</v>
      </c>
      <c r="AD15" s="112" t="s">
        <v>484</v>
      </c>
      <c r="AE15" s="112">
        <v>7077382</v>
      </c>
      <c r="AF15" s="112">
        <v>4378357</v>
      </c>
      <c r="AG15" s="193">
        <f t="shared" si="11"/>
        <v>11455739</v>
      </c>
      <c r="AH15" s="156">
        <v>217</v>
      </c>
      <c r="AI15" s="168" t="s">
        <v>189</v>
      </c>
      <c r="AJ15" s="154">
        <v>12359062</v>
      </c>
      <c r="AK15" s="154">
        <v>5789789</v>
      </c>
      <c r="AL15" s="182">
        <f t="shared" si="12"/>
        <v>18148851</v>
      </c>
      <c r="AM15" s="154">
        <v>12336783</v>
      </c>
      <c r="AN15" s="154">
        <v>6153791</v>
      </c>
      <c r="AO15" s="182">
        <f t="shared" si="13"/>
        <v>18490574</v>
      </c>
      <c r="AP15" s="156">
        <v>217</v>
      </c>
      <c r="AQ15" s="168" t="s">
        <v>189</v>
      </c>
      <c r="AR15" s="154">
        <v>12433649</v>
      </c>
      <c r="AS15" s="154">
        <v>6299843</v>
      </c>
      <c r="AT15" s="176">
        <f t="shared" si="14"/>
        <v>18733492</v>
      </c>
      <c r="AU15" s="156">
        <v>217</v>
      </c>
      <c r="AV15" s="168" t="s">
        <v>189</v>
      </c>
      <c r="AW15" s="155">
        <v>11893027</v>
      </c>
      <c r="AX15" s="155">
        <v>6026097</v>
      </c>
      <c r="AY15" s="176">
        <f t="shared" si="15"/>
        <v>17919124</v>
      </c>
    </row>
    <row r="16" spans="1:53">
      <c r="A16" s="115" t="s">
        <v>192</v>
      </c>
      <c r="B16" s="115">
        <f t="shared" ref="B16:AA16" si="18">SUM(B17:B33)</f>
        <v>59588012</v>
      </c>
      <c r="C16" s="115">
        <f t="shared" si="18"/>
        <v>22069499</v>
      </c>
      <c r="D16" s="134">
        <f t="shared" si="7"/>
        <v>81657511</v>
      </c>
      <c r="E16" s="115">
        <f t="shared" si="18"/>
        <v>62017810</v>
      </c>
      <c r="F16" s="115">
        <f t="shared" si="18"/>
        <v>23928884</v>
      </c>
      <c r="G16" s="134">
        <f t="shared" si="8"/>
        <v>85946694</v>
      </c>
      <c r="H16" s="115">
        <f t="shared" si="18"/>
        <v>64462269</v>
      </c>
      <c r="I16" s="115">
        <f t="shared" si="18"/>
        <v>26341163</v>
      </c>
      <c r="J16" s="134">
        <f t="shared" si="9"/>
        <v>90803432</v>
      </c>
      <c r="K16" s="115">
        <f t="shared" si="18"/>
        <v>67147258</v>
      </c>
      <c r="L16" s="115">
        <f t="shared" si="18"/>
        <v>28532231</v>
      </c>
      <c r="M16" s="134">
        <f t="shared" si="10"/>
        <v>95679489</v>
      </c>
      <c r="N16" s="115">
        <f t="shared" si="18"/>
        <v>70100835</v>
      </c>
      <c r="O16" s="115">
        <f t="shared" si="18"/>
        <v>30477966</v>
      </c>
      <c r="P16" s="134">
        <f t="shared" si="1"/>
        <v>100578801</v>
      </c>
      <c r="Q16" s="115">
        <f t="shared" si="18"/>
        <v>71108233</v>
      </c>
      <c r="R16" s="115">
        <f t="shared" si="18"/>
        <v>36958730</v>
      </c>
      <c r="S16" s="134">
        <f t="shared" si="3"/>
        <v>108066963</v>
      </c>
      <c r="T16" s="115">
        <f t="shared" si="18"/>
        <v>54785558</v>
      </c>
      <c r="U16" s="115">
        <f t="shared" si="18"/>
        <v>34613308</v>
      </c>
      <c r="V16" s="134">
        <f t="shared" si="4"/>
        <v>89398866</v>
      </c>
      <c r="W16" s="115">
        <f t="shared" si="18"/>
        <v>74396541</v>
      </c>
      <c r="X16" s="115">
        <f t="shared" si="18"/>
        <v>35938032</v>
      </c>
      <c r="Y16" s="134">
        <f t="shared" si="5"/>
        <v>110334573</v>
      </c>
      <c r="Z16" s="115">
        <f t="shared" si="18"/>
        <v>76435731</v>
      </c>
      <c r="AA16" s="115">
        <f t="shared" si="18"/>
        <v>38928714</v>
      </c>
      <c r="AB16" s="134">
        <f t="shared" si="6"/>
        <v>115364445</v>
      </c>
      <c r="AD16" s="112" t="s">
        <v>492</v>
      </c>
      <c r="AE16" s="112">
        <v>2320374</v>
      </c>
      <c r="AF16" s="112">
        <v>1795602</v>
      </c>
      <c r="AG16" s="193">
        <f t="shared" si="11"/>
        <v>4115976</v>
      </c>
      <c r="AH16" s="156">
        <v>219</v>
      </c>
      <c r="AI16" s="168" t="s">
        <v>190</v>
      </c>
      <c r="AJ16" s="154">
        <v>7153522</v>
      </c>
      <c r="AK16" s="154">
        <v>4572703</v>
      </c>
      <c r="AL16" s="182">
        <f t="shared" si="12"/>
        <v>11726225</v>
      </c>
      <c r="AM16" s="154">
        <v>7232491</v>
      </c>
      <c r="AN16" s="154">
        <v>4930299</v>
      </c>
      <c r="AO16" s="182">
        <f t="shared" si="13"/>
        <v>12162790</v>
      </c>
      <c r="AP16" s="156">
        <v>219</v>
      </c>
      <c r="AQ16" s="168" t="s">
        <v>190</v>
      </c>
      <c r="AR16" s="154">
        <v>7271062</v>
      </c>
      <c r="AS16" s="154">
        <v>4890458</v>
      </c>
      <c r="AT16" s="176">
        <f t="shared" si="14"/>
        <v>12161520</v>
      </c>
      <c r="AU16" s="156">
        <v>219</v>
      </c>
      <c r="AV16" s="168" t="s">
        <v>190</v>
      </c>
      <c r="AW16" s="155">
        <v>7326207</v>
      </c>
      <c r="AX16" s="155">
        <v>4910855</v>
      </c>
      <c r="AY16" s="176">
        <f t="shared" si="15"/>
        <v>12237062</v>
      </c>
    </row>
    <row r="17" spans="1:51">
      <c r="A17" s="115" t="s">
        <v>193</v>
      </c>
      <c r="B17" s="115">
        <v>16266397</v>
      </c>
      <c r="C17" s="115">
        <v>4936817</v>
      </c>
      <c r="D17" s="134">
        <f t="shared" si="7"/>
        <v>21203214</v>
      </c>
      <c r="E17" s="115">
        <v>17060572</v>
      </c>
      <c r="F17" s="115">
        <v>5818448</v>
      </c>
      <c r="G17" s="134">
        <f t="shared" si="8"/>
        <v>22879020</v>
      </c>
      <c r="H17" s="115">
        <v>17825523</v>
      </c>
      <c r="I17" s="115">
        <v>6279165</v>
      </c>
      <c r="J17" s="134">
        <f t="shared" si="9"/>
        <v>24104688</v>
      </c>
      <c r="K17" s="115">
        <v>18367908</v>
      </c>
      <c r="L17" s="115">
        <v>6540908</v>
      </c>
      <c r="M17" s="134">
        <f t="shared" si="10"/>
        <v>24908816</v>
      </c>
      <c r="N17" s="115">
        <v>19143259</v>
      </c>
      <c r="O17" s="115">
        <v>7357461</v>
      </c>
      <c r="P17" s="134">
        <f t="shared" si="1"/>
        <v>26500720</v>
      </c>
      <c r="Q17" s="115">
        <v>19480648</v>
      </c>
      <c r="R17" s="115">
        <v>11967388</v>
      </c>
      <c r="S17" s="134">
        <f t="shared" si="3"/>
        <v>31448036</v>
      </c>
      <c r="T17" s="114">
        <v>2050563</v>
      </c>
      <c r="U17" s="114">
        <v>8223373</v>
      </c>
      <c r="V17" s="134">
        <f t="shared" si="4"/>
        <v>10273936</v>
      </c>
      <c r="W17" s="114">
        <v>20244407</v>
      </c>
      <c r="X17" s="114">
        <v>8268667</v>
      </c>
      <c r="Y17" s="134">
        <f t="shared" si="5"/>
        <v>28513074</v>
      </c>
      <c r="Z17" s="113">
        <v>20724363</v>
      </c>
      <c r="AA17" s="113">
        <v>9127099</v>
      </c>
      <c r="AB17" s="134">
        <f t="shared" si="6"/>
        <v>29851462</v>
      </c>
      <c r="AD17" s="112" t="s">
        <v>192</v>
      </c>
      <c r="AE17" s="112">
        <f>SUM(AE18:AE22)</f>
        <v>52050025</v>
      </c>
      <c r="AF17" s="112">
        <f>SUM(AF18:AF22)</f>
        <v>24554688</v>
      </c>
      <c r="AG17" s="193">
        <f t="shared" si="11"/>
        <v>76604713</v>
      </c>
      <c r="AH17" s="156">
        <v>301</v>
      </c>
      <c r="AI17" s="168" t="s">
        <v>191</v>
      </c>
      <c r="AJ17" s="154">
        <v>2303419</v>
      </c>
      <c r="AK17" s="154">
        <v>1757571</v>
      </c>
      <c r="AL17" s="182">
        <f t="shared" si="12"/>
        <v>4060990</v>
      </c>
      <c r="AM17" s="154">
        <v>2345075</v>
      </c>
      <c r="AN17" s="154">
        <v>1945281</v>
      </c>
      <c r="AO17" s="182">
        <f t="shared" si="13"/>
        <v>4290356</v>
      </c>
      <c r="AP17" s="156">
        <v>301</v>
      </c>
      <c r="AQ17" s="168" t="s">
        <v>191</v>
      </c>
      <c r="AR17" s="154">
        <v>2342865</v>
      </c>
      <c r="AS17" s="154">
        <v>1934643</v>
      </c>
      <c r="AT17" s="176">
        <f t="shared" si="14"/>
        <v>4277508</v>
      </c>
      <c r="AU17" s="156">
        <v>301</v>
      </c>
      <c r="AV17" s="168" t="s">
        <v>191</v>
      </c>
      <c r="AW17" s="155">
        <v>2318900</v>
      </c>
      <c r="AX17" s="155">
        <v>1918204</v>
      </c>
      <c r="AY17" s="176">
        <f t="shared" si="15"/>
        <v>4237104</v>
      </c>
    </row>
    <row r="18" spans="1:51">
      <c r="A18" s="115" t="s">
        <v>194</v>
      </c>
      <c r="B18" s="115">
        <v>14845434</v>
      </c>
      <c r="C18" s="115">
        <v>5562766</v>
      </c>
      <c r="D18" s="134">
        <f t="shared" si="7"/>
        <v>20408200</v>
      </c>
      <c r="E18" s="115">
        <v>15092910</v>
      </c>
      <c r="F18" s="115">
        <v>5424922</v>
      </c>
      <c r="G18" s="134">
        <f t="shared" si="8"/>
        <v>20517832</v>
      </c>
      <c r="H18" s="115">
        <v>15544243</v>
      </c>
      <c r="I18" s="115">
        <v>5810591</v>
      </c>
      <c r="J18" s="134">
        <f t="shared" si="9"/>
        <v>21354834</v>
      </c>
      <c r="K18" s="115">
        <v>16115331</v>
      </c>
      <c r="L18" s="115">
        <v>6170411</v>
      </c>
      <c r="M18" s="134">
        <f t="shared" si="10"/>
        <v>22285742</v>
      </c>
      <c r="N18" s="115">
        <v>17084975</v>
      </c>
      <c r="O18" s="115">
        <v>6393460</v>
      </c>
      <c r="P18" s="134">
        <f t="shared" si="1"/>
        <v>23478435</v>
      </c>
      <c r="Q18" s="115">
        <v>17289071</v>
      </c>
      <c r="R18" s="115">
        <v>6830184</v>
      </c>
      <c r="S18" s="134">
        <f t="shared" si="3"/>
        <v>24119255</v>
      </c>
      <c r="T18" s="114">
        <v>17475037</v>
      </c>
      <c r="U18" s="114">
        <v>7408761</v>
      </c>
      <c r="V18" s="134">
        <f t="shared" si="4"/>
        <v>24883798</v>
      </c>
      <c r="W18" s="114">
        <v>18024241</v>
      </c>
      <c r="X18" s="114">
        <v>7887350</v>
      </c>
      <c r="Y18" s="134">
        <f t="shared" si="5"/>
        <v>25911591</v>
      </c>
      <c r="Z18" s="113">
        <v>18948887</v>
      </c>
      <c r="AA18" s="113">
        <v>8650477</v>
      </c>
      <c r="AB18" s="134">
        <f t="shared" si="6"/>
        <v>27599364</v>
      </c>
      <c r="AD18" s="112" t="s">
        <v>468</v>
      </c>
      <c r="AE18" s="112">
        <v>20997220</v>
      </c>
      <c r="AF18" s="112">
        <v>9052006</v>
      </c>
      <c r="AG18" s="193">
        <f t="shared" si="11"/>
        <v>30049226</v>
      </c>
      <c r="AH18" s="135"/>
      <c r="AI18" s="165" t="s">
        <v>192</v>
      </c>
      <c r="AJ18" s="154">
        <v>52357638</v>
      </c>
      <c r="AK18" s="154">
        <v>23956836</v>
      </c>
      <c r="AL18" s="182">
        <f t="shared" si="12"/>
        <v>76314474</v>
      </c>
      <c r="AM18" s="154">
        <v>52474146</v>
      </c>
      <c r="AN18" s="154">
        <v>24433624</v>
      </c>
      <c r="AO18" s="182">
        <f t="shared" si="13"/>
        <v>76907770</v>
      </c>
      <c r="AP18" s="135"/>
      <c r="AQ18" s="165" t="s">
        <v>192</v>
      </c>
      <c r="AR18" s="154">
        <v>50752307</v>
      </c>
      <c r="AS18" s="154">
        <v>23958191</v>
      </c>
      <c r="AT18" s="176">
        <f t="shared" si="14"/>
        <v>74710498</v>
      </c>
      <c r="AU18" s="135"/>
      <c r="AV18" s="165" t="s">
        <v>192</v>
      </c>
      <c r="AW18" s="155">
        <v>48987291</v>
      </c>
      <c r="AX18" s="155">
        <v>24194403</v>
      </c>
      <c r="AY18" s="176">
        <f t="shared" si="15"/>
        <v>73181694</v>
      </c>
    </row>
    <row r="19" spans="1:51">
      <c r="A19" s="115" t="s">
        <v>199</v>
      </c>
      <c r="B19" s="115">
        <v>2085499</v>
      </c>
      <c r="C19" s="115">
        <v>1113148</v>
      </c>
      <c r="D19" s="134">
        <f t="shared" si="7"/>
        <v>3198647</v>
      </c>
      <c r="E19" s="115">
        <v>2235549</v>
      </c>
      <c r="F19" s="115">
        <v>1250462</v>
      </c>
      <c r="G19" s="134">
        <f t="shared" si="8"/>
        <v>3486011</v>
      </c>
      <c r="H19" s="115">
        <v>2316938</v>
      </c>
      <c r="I19" s="115">
        <v>1362635</v>
      </c>
      <c r="J19" s="134">
        <f t="shared" si="9"/>
        <v>3679573</v>
      </c>
      <c r="K19" s="115">
        <v>2368874</v>
      </c>
      <c r="L19" s="115">
        <v>1488550</v>
      </c>
      <c r="M19" s="134">
        <f t="shared" si="10"/>
        <v>3857424</v>
      </c>
      <c r="N19" s="115">
        <v>2455146</v>
      </c>
      <c r="O19" s="115">
        <v>1508617</v>
      </c>
      <c r="P19" s="134">
        <f t="shared" si="1"/>
        <v>3963763</v>
      </c>
      <c r="Q19" s="115">
        <v>2609000</v>
      </c>
      <c r="R19" s="115">
        <v>1606443</v>
      </c>
      <c r="S19" s="134">
        <f t="shared" si="3"/>
        <v>4215443</v>
      </c>
      <c r="T19" s="114">
        <v>2656248</v>
      </c>
      <c r="U19" s="114">
        <v>1766929</v>
      </c>
      <c r="V19" s="134">
        <f t="shared" si="4"/>
        <v>4423177</v>
      </c>
      <c r="W19" s="114">
        <v>2705636</v>
      </c>
      <c r="X19" s="114">
        <v>1735495</v>
      </c>
      <c r="Y19" s="134">
        <f t="shared" si="5"/>
        <v>4441131</v>
      </c>
      <c r="Z19" s="113">
        <v>2775511</v>
      </c>
      <c r="AA19" s="113">
        <v>1852417</v>
      </c>
      <c r="AB19" s="134">
        <f t="shared" si="6"/>
        <v>4627928</v>
      </c>
      <c r="AD19" s="112" t="s">
        <v>475</v>
      </c>
      <c r="AE19" s="112">
        <v>18609497</v>
      </c>
      <c r="AF19" s="112">
        <v>9068791</v>
      </c>
      <c r="AG19" s="193">
        <f t="shared" si="11"/>
        <v>27678288</v>
      </c>
      <c r="AH19" s="156">
        <v>203</v>
      </c>
      <c r="AI19" s="168" t="s">
        <v>193</v>
      </c>
      <c r="AJ19" s="154">
        <v>20898528</v>
      </c>
      <c r="AK19" s="154">
        <v>8507048</v>
      </c>
      <c r="AL19" s="182">
        <f t="shared" si="12"/>
        <v>29405576</v>
      </c>
      <c r="AM19" s="154">
        <v>20804585</v>
      </c>
      <c r="AN19" s="154">
        <v>8928356</v>
      </c>
      <c r="AO19" s="182">
        <f t="shared" si="13"/>
        <v>29732941</v>
      </c>
      <c r="AP19" s="156">
        <v>203</v>
      </c>
      <c r="AQ19" s="168" t="s">
        <v>193</v>
      </c>
      <c r="AR19" s="154">
        <v>20122002</v>
      </c>
      <c r="AS19" s="154">
        <v>8815002</v>
      </c>
      <c r="AT19" s="176">
        <f t="shared" si="14"/>
        <v>28937004</v>
      </c>
      <c r="AU19" s="156">
        <v>203</v>
      </c>
      <c r="AV19" s="168" t="s">
        <v>193</v>
      </c>
      <c r="AW19" s="155">
        <v>19758658</v>
      </c>
      <c r="AX19" s="155">
        <v>9366992</v>
      </c>
      <c r="AY19" s="176">
        <f t="shared" si="15"/>
        <v>29125650</v>
      </c>
    </row>
    <row r="20" spans="1:51">
      <c r="A20" s="115" t="s">
        <v>329</v>
      </c>
      <c r="B20" s="115">
        <v>4451853</v>
      </c>
      <c r="C20" s="115">
        <v>1584255</v>
      </c>
      <c r="D20" s="134">
        <f t="shared" si="7"/>
        <v>6036108</v>
      </c>
      <c r="E20" s="115">
        <v>4490423</v>
      </c>
      <c r="F20" s="115">
        <v>1665269</v>
      </c>
      <c r="G20" s="134">
        <f t="shared" si="8"/>
        <v>6155692</v>
      </c>
      <c r="H20" s="115">
        <v>4820604</v>
      </c>
      <c r="I20" s="115">
        <v>1803828</v>
      </c>
      <c r="J20" s="134">
        <f t="shared" si="9"/>
        <v>6624432</v>
      </c>
      <c r="K20" s="115">
        <v>5045806</v>
      </c>
      <c r="L20" s="115">
        <v>2086437</v>
      </c>
      <c r="M20" s="134">
        <f t="shared" si="10"/>
        <v>7132243</v>
      </c>
      <c r="N20" s="115">
        <v>5320441</v>
      </c>
      <c r="O20" s="115">
        <v>2243279</v>
      </c>
      <c r="P20" s="134">
        <f t="shared" si="1"/>
        <v>7563720</v>
      </c>
      <c r="Q20" s="115">
        <v>5403244</v>
      </c>
      <c r="R20" s="115">
        <v>2447438</v>
      </c>
      <c r="S20" s="134">
        <f t="shared" si="3"/>
        <v>7850682</v>
      </c>
      <c r="T20" s="114">
        <v>5481488</v>
      </c>
      <c r="U20" s="114">
        <v>2725537</v>
      </c>
      <c r="V20" s="134">
        <f t="shared" si="4"/>
        <v>8207025</v>
      </c>
      <c r="W20" s="114">
        <v>5603124</v>
      </c>
      <c r="X20" s="114">
        <v>3009998</v>
      </c>
      <c r="Y20" s="134">
        <f t="shared" si="5"/>
        <v>8613122</v>
      </c>
      <c r="Z20" s="113">
        <v>5746466</v>
      </c>
      <c r="AA20" s="113">
        <v>3444048</v>
      </c>
      <c r="AB20" s="134">
        <f t="shared" si="6"/>
        <v>9190514</v>
      </c>
      <c r="AD20" s="112" t="s">
        <v>481</v>
      </c>
      <c r="AE20" s="112">
        <v>8836268</v>
      </c>
      <c r="AF20" s="112">
        <v>3304321</v>
      </c>
      <c r="AG20" s="193">
        <f t="shared" si="11"/>
        <v>12140589</v>
      </c>
      <c r="AH20" s="156">
        <v>210</v>
      </c>
      <c r="AI20" s="168" t="s">
        <v>194</v>
      </c>
      <c r="AJ20" s="147">
        <v>19045335</v>
      </c>
      <c r="AK20" s="147">
        <v>8889468</v>
      </c>
      <c r="AL20" s="182">
        <f t="shared" si="12"/>
        <v>27934803</v>
      </c>
      <c r="AM20" s="147">
        <v>19108073</v>
      </c>
      <c r="AN20" s="147">
        <v>8759390</v>
      </c>
      <c r="AO20" s="182">
        <f t="shared" si="13"/>
        <v>27867463</v>
      </c>
      <c r="AP20" s="156">
        <v>210</v>
      </c>
      <c r="AQ20" s="168" t="s">
        <v>194</v>
      </c>
      <c r="AR20" s="148">
        <v>18414687</v>
      </c>
      <c r="AS20" s="148">
        <v>8602931</v>
      </c>
      <c r="AT20" s="176">
        <f t="shared" si="14"/>
        <v>27017618</v>
      </c>
      <c r="AU20" s="156">
        <v>210</v>
      </c>
      <c r="AV20" s="168" t="s">
        <v>194</v>
      </c>
      <c r="AW20" s="149">
        <v>17720665</v>
      </c>
      <c r="AX20" s="149">
        <v>8372944</v>
      </c>
      <c r="AY20" s="176">
        <f t="shared" si="15"/>
        <v>26093609</v>
      </c>
    </row>
    <row r="21" spans="1:51">
      <c r="A21" s="115" t="s">
        <v>195</v>
      </c>
      <c r="B21" s="115">
        <v>7247673</v>
      </c>
      <c r="C21" s="115">
        <v>2061922</v>
      </c>
      <c r="D21" s="134">
        <f t="shared" si="7"/>
        <v>9309595</v>
      </c>
      <c r="E21" s="115">
        <v>7580207</v>
      </c>
      <c r="F21" s="115">
        <v>2294451</v>
      </c>
      <c r="G21" s="134">
        <f t="shared" si="8"/>
        <v>9874658</v>
      </c>
      <c r="H21" s="115">
        <v>7687995</v>
      </c>
      <c r="I21" s="115">
        <v>2497248</v>
      </c>
      <c r="J21" s="134">
        <f t="shared" si="9"/>
        <v>10185243</v>
      </c>
      <c r="K21" s="115">
        <v>8106515</v>
      </c>
      <c r="L21" s="115">
        <v>2663802</v>
      </c>
      <c r="M21" s="134">
        <f t="shared" si="10"/>
        <v>10770317</v>
      </c>
      <c r="N21" s="115">
        <v>8243862</v>
      </c>
      <c r="O21" s="115">
        <v>2730007</v>
      </c>
      <c r="P21" s="134">
        <f t="shared" si="1"/>
        <v>10973869</v>
      </c>
      <c r="Q21" s="115">
        <v>8318826</v>
      </c>
      <c r="R21" s="115">
        <v>2964225</v>
      </c>
      <c r="S21" s="134">
        <f t="shared" si="3"/>
        <v>11283051</v>
      </c>
      <c r="T21" s="114">
        <v>8511305</v>
      </c>
      <c r="U21" s="114">
        <v>2996821</v>
      </c>
      <c r="V21" s="134">
        <f t="shared" si="4"/>
        <v>11508126</v>
      </c>
      <c r="W21" s="114">
        <v>8658571</v>
      </c>
      <c r="X21" s="114">
        <v>3121413</v>
      </c>
      <c r="Y21" s="134">
        <f t="shared" si="5"/>
        <v>11779984</v>
      </c>
      <c r="Z21" s="113">
        <v>8760055</v>
      </c>
      <c r="AA21" s="113">
        <v>3395324</v>
      </c>
      <c r="AB21" s="134">
        <f t="shared" si="6"/>
        <v>12155379</v>
      </c>
      <c r="AD21" s="112" t="s">
        <v>501</v>
      </c>
      <c r="AE21" s="112">
        <v>1866581</v>
      </c>
      <c r="AF21" s="112">
        <v>1474291</v>
      </c>
      <c r="AG21" s="193">
        <f t="shared" si="11"/>
        <v>3340872</v>
      </c>
      <c r="AH21" s="156">
        <v>216</v>
      </c>
      <c r="AI21" s="168" t="s">
        <v>195</v>
      </c>
      <c r="AJ21" s="151">
        <v>8802507</v>
      </c>
      <c r="AK21" s="151">
        <v>3464714</v>
      </c>
      <c r="AL21" s="182">
        <f t="shared" si="12"/>
        <v>12267221</v>
      </c>
      <c r="AM21" s="151">
        <v>8898412</v>
      </c>
      <c r="AN21" s="151">
        <v>3553196</v>
      </c>
      <c r="AO21" s="182">
        <f t="shared" si="13"/>
        <v>12451608</v>
      </c>
      <c r="AP21" s="156">
        <v>216</v>
      </c>
      <c r="AQ21" s="168" t="s">
        <v>195</v>
      </c>
      <c r="AR21" s="152">
        <v>8649093</v>
      </c>
      <c r="AS21" s="152">
        <v>3411333</v>
      </c>
      <c r="AT21" s="176">
        <f t="shared" si="14"/>
        <v>12060426</v>
      </c>
      <c r="AU21" s="156">
        <v>216</v>
      </c>
      <c r="AV21" s="168" t="s">
        <v>195</v>
      </c>
      <c r="AW21" s="153">
        <v>7944892</v>
      </c>
      <c r="AX21" s="153">
        <v>3455530</v>
      </c>
      <c r="AY21" s="176">
        <f t="shared" si="15"/>
        <v>11400422</v>
      </c>
    </row>
    <row r="22" spans="1:51">
      <c r="A22" s="115" t="s">
        <v>200</v>
      </c>
      <c r="B22" s="115">
        <v>2804813</v>
      </c>
      <c r="C22" s="115">
        <v>910289</v>
      </c>
      <c r="D22" s="134">
        <f t="shared" si="7"/>
        <v>3715102</v>
      </c>
      <c r="E22" s="115">
        <v>2892734</v>
      </c>
      <c r="F22" s="115">
        <v>981752</v>
      </c>
      <c r="G22" s="134">
        <f t="shared" si="8"/>
        <v>3874486</v>
      </c>
      <c r="H22" s="115">
        <v>3109311</v>
      </c>
      <c r="I22" s="115">
        <v>1264614</v>
      </c>
      <c r="J22" s="134">
        <f t="shared" si="9"/>
        <v>4373925</v>
      </c>
      <c r="K22" s="115">
        <v>3223617</v>
      </c>
      <c r="L22" s="115">
        <v>1493377</v>
      </c>
      <c r="M22" s="134">
        <f t="shared" si="10"/>
        <v>4716994</v>
      </c>
      <c r="N22" s="115">
        <v>3301617</v>
      </c>
      <c r="O22" s="115">
        <v>1538934</v>
      </c>
      <c r="P22" s="134">
        <f t="shared" si="1"/>
        <v>4840551</v>
      </c>
      <c r="Q22" s="115">
        <v>3293475</v>
      </c>
      <c r="R22" s="115">
        <v>1571215</v>
      </c>
      <c r="S22" s="134">
        <f t="shared" si="3"/>
        <v>4864690</v>
      </c>
      <c r="T22" s="114">
        <v>3440243</v>
      </c>
      <c r="U22" s="114">
        <v>1675488</v>
      </c>
      <c r="V22" s="134">
        <f t="shared" si="4"/>
        <v>5115731</v>
      </c>
      <c r="W22" s="114">
        <v>3490404</v>
      </c>
      <c r="X22" s="114">
        <v>1749419</v>
      </c>
      <c r="Y22" s="134">
        <f t="shared" si="5"/>
        <v>5239823</v>
      </c>
      <c r="Z22" s="113">
        <v>3576605</v>
      </c>
      <c r="AA22" s="113">
        <v>1924855</v>
      </c>
      <c r="AB22" s="134">
        <f t="shared" si="6"/>
        <v>5501460</v>
      </c>
      <c r="AD22" s="112" t="s">
        <v>502</v>
      </c>
      <c r="AE22" s="112">
        <v>1740459</v>
      </c>
      <c r="AF22" s="112">
        <v>1655279</v>
      </c>
      <c r="AG22" s="193">
        <f t="shared" si="11"/>
        <v>3395738</v>
      </c>
      <c r="AH22" s="156">
        <v>381</v>
      </c>
      <c r="AI22" s="168" t="s">
        <v>196</v>
      </c>
      <c r="AJ22" s="151">
        <v>1844743</v>
      </c>
      <c r="AK22" s="151">
        <v>1394719</v>
      </c>
      <c r="AL22" s="182">
        <f t="shared" si="12"/>
        <v>3239462</v>
      </c>
      <c r="AM22" s="151">
        <v>1870649</v>
      </c>
      <c r="AN22" s="151">
        <v>1438412</v>
      </c>
      <c r="AO22" s="182">
        <f t="shared" si="13"/>
        <v>3309061</v>
      </c>
      <c r="AP22" s="156">
        <v>381</v>
      </c>
      <c r="AQ22" s="168" t="s">
        <v>196</v>
      </c>
      <c r="AR22" s="152">
        <v>1819297</v>
      </c>
      <c r="AS22" s="152">
        <v>1434314</v>
      </c>
      <c r="AT22" s="176">
        <f t="shared" si="14"/>
        <v>3253611</v>
      </c>
      <c r="AU22" s="156">
        <v>381</v>
      </c>
      <c r="AV22" s="168" t="s">
        <v>196</v>
      </c>
      <c r="AW22" s="153">
        <v>1816230</v>
      </c>
      <c r="AX22" s="153">
        <v>1360866</v>
      </c>
      <c r="AY22" s="176">
        <f t="shared" si="15"/>
        <v>3177096</v>
      </c>
    </row>
    <row r="23" spans="1:51">
      <c r="A23" s="115" t="s">
        <v>201</v>
      </c>
      <c r="B23" s="115">
        <v>3375002</v>
      </c>
      <c r="C23" s="115">
        <v>1403842</v>
      </c>
      <c r="D23" s="134">
        <f t="shared" si="7"/>
        <v>4778844</v>
      </c>
      <c r="E23" s="115">
        <v>3647493</v>
      </c>
      <c r="F23" s="115">
        <v>1591008</v>
      </c>
      <c r="G23" s="134">
        <f t="shared" si="8"/>
        <v>5238501</v>
      </c>
      <c r="H23" s="115">
        <v>3810195</v>
      </c>
      <c r="I23" s="115">
        <v>1770693</v>
      </c>
      <c r="J23" s="134">
        <f t="shared" si="9"/>
        <v>5580888</v>
      </c>
      <c r="K23" s="115">
        <v>3987711</v>
      </c>
      <c r="L23" s="115">
        <v>2068110</v>
      </c>
      <c r="M23" s="134">
        <f t="shared" si="10"/>
        <v>6055821</v>
      </c>
      <c r="N23" s="115">
        <v>4223409</v>
      </c>
      <c r="O23" s="115">
        <v>2008492</v>
      </c>
      <c r="P23" s="134">
        <f t="shared" si="1"/>
        <v>6231901</v>
      </c>
      <c r="Q23" s="115">
        <v>4133089</v>
      </c>
      <c r="R23" s="115">
        <v>2235899</v>
      </c>
      <c r="S23" s="134">
        <f t="shared" si="3"/>
        <v>6368988</v>
      </c>
      <c r="T23" s="114">
        <v>4223038</v>
      </c>
      <c r="U23" s="114">
        <v>2277658</v>
      </c>
      <c r="V23" s="134">
        <f t="shared" si="4"/>
        <v>6500696</v>
      </c>
      <c r="W23" s="114">
        <v>4430119</v>
      </c>
      <c r="X23" s="114">
        <v>2325775</v>
      </c>
      <c r="Y23" s="134">
        <f t="shared" si="5"/>
        <v>6755894</v>
      </c>
      <c r="Z23" s="113">
        <v>4350624</v>
      </c>
      <c r="AA23" s="113">
        <v>2026528</v>
      </c>
      <c r="AB23" s="134">
        <f t="shared" si="6"/>
        <v>6377152</v>
      </c>
      <c r="AD23" s="112" t="s">
        <v>198</v>
      </c>
      <c r="AE23" s="112">
        <f>SUM(AE24:AE35)</f>
        <v>24418739</v>
      </c>
      <c r="AF23" s="112">
        <f>SUM(AF24:AF35)</f>
        <v>14643503</v>
      </c>
      <c r="AG23" s="193">
        <f t="shared" si="11"/>
        <v>39062242</v>
      </c>
      <c r="AH23" s="156">
        <v>382</v>
      </c>
      <c r="AI23" s="168" t="s">
        <v>197</v>
      </c>
      <c r="AJ23" s="151">
        <v>1766525</v>
      </c>
      <c r="AK23" s="151">
        <v>1700887</v>
      </c>
      <c r="AL23" s="182">
        <f t="shared" si="12"/>
        <v>3467412</v>
      </c>
      <c r="AM23" s="151">
        <v>1792427</v>
      </c>
      <c r="AN23" s="151">
        <v>1754270</v>
      </c>
      <c r="AO23" s="182">
        <f t="shared" si="13"/>
        <v>3546697</v>
      </c>
      <c r="AP23" s="156">
        <v>382</v>
      </c>
      <c r="AQ23" s="168" t="s">
        <v>197</v>
      </c>
      <c r="AR23" s="152">
        <v>1747228</v>
      </c>
      <c r="AS23" s="152">
        <v>1694611</v>
      </c>
      <c r="AT23" s="176">
        <f t="shared" si="14"/>
        <v>3441839</v>
      </c>
      <c r="AU23" s="156">
        <v>382</v>
      </c>
      <c r="AV23" s="168" t="s">
        <v>197</v>
      </c>
      <c r="AW23" s="153">
        <v>1746846</v>
      </c>
      <c r="AX23" s="153">
        <v>1638071</v>
      </c>
      <c r="AY23" s="176">
        <f t="shared" si="15"/>
        <v>3384917</v>
      </c>
    </row>
    <row r="24" spans="1:51">
      <c r="A24" s="115" t="s">
        <v>374</v>
      </c>
      <c r="B24" s="115">
        <v>620812</v>
      </c>
      <c r="C24" s="115">
        <v>405041</v>
      </c>
      <c r="D24" s="134">
        <f t="shared" si="7"/>
        <v>1025853</v>
      </c>
      <c r="E24" s="115">
        <v>674655</v>
      </c>
      <c r="F24" s="115">
        <v>345143</v>
      </c>
      <c r="G24" s="134">
        <f t="shared" si="8"/>
        <v>1019798</v>
      </c>
      <c r="H24" s="115">
        <v>711718</v>
      </c>
      <c r="I24" s="115">
        <v>427404</v>
      </c>
      <c r="J24" s="134">
        <f t="shared" si="9"/>
        <v>1139122</v>
      </c>
      <c r="K24" s="115">
        <v>782696</v>
      </c>
      <c r="L24" s="115">
        <v>492262</v>
      </c>
      <c r="M24" s="134">
        <f t="shared" si="10"/>
        <v>1274958</v>
      </c>
      <c r="N24" s="115">
        <v>847530</v>
      </c>
      <c r="O24" s="115">
        <v>504256</v>
      </c>
      <c r="P24" s="134">
        <f t="shared" si="1"/>
        <v>1351786</v>
      </c>
      <c r="Q24" s="115">
        <v>849553</v>
      </c>
      <c r="R24" s="115">
        <v>587757</v>
      </c>
      <c r="S24" s="134">
        <f t="shared" si="3"/>
        <v>1437310</v>
      </c>
      <c r="T24" s="114">
        <v>904924</v>
      </c>
      <c r="U24" s="114">
        <v>717884</v>
      </c>
      <c r="V24" s="134">
        <f t="shared" si="4"/>
        <v>1622808</v>
      </c>
      <c r="W24" s="114">
        <v>903734</v>
      </c>
      <c r="X24" s="114">
        <v>684244</v>
      </c>
      <c r="Y24" s="134">
        <f t="shared" si="5"/>
        <v>1587978</v>
      </c>
      <c r="Z24" s="113">
        <v>946243</v>
      </c>
      <c r="AA24" s="113">
        <v>915644</v>
      </c>
      <c r="AB24" s="134">
        <f t="shared" si="6"/>
        <v>1861887</v>
      </c>
      <c r="AD24" s="112" t="s">
        <v>478</v>
      </c>
      <c r="AE24" s="112">
        <v>2786985</v>
      </c>
      <c r="AF24" s="112">
        <v>1827122</v>
      </c>
      <c r="AG24" s="193">
        <f t="shared" si="11"/>
        <v>4614107</v>
      </c>
      <c r="AH24" s="135"/>
      <c r="AI24" s="169" t="s">
        <v>198</v>
      </c>
      <c r="AJ24" s="151">
        <v>24042051</v>
      </c>
      <c r="AK24" s="151">
        <v>13761719</v>
      </c>
      <c r="AL24" s="182">
        <f t="shared" si="12"/>
        <v>37803770</v>
      </c>
      <c r="AM24" s="151">
        <v>24166047</v>
      </c>
      <c r="AN24" s="151">
        <v>14285861</v>
      </c>
      <c r="AO24" s="182">
        <f t="shared" si="13"/>
        <v>38451908</v>
      </c>
      <c r="AP24" s="135"/>
      <c r="AQ24" s="169" t="s">
        <v>198</v>
      </c>
      <c r="AR24" s="152">
        <v>23592677</v>
      </c>
      <c r="AS24" s="152">
        <v>14324324</v>
      </c>
      <c r="AT24" s="176">
        <f t="shared" si="14"/>
        <v>37917001</v>
      </c>
      <c r="AU24" s="135"/>
      <c r="AV24" s="169" t="s">
        <v>198</v>
      </c>
      <c r="AW24" s="153">
        <v>23237593</v>
      </c>
      <c r="AX24" s="153">
        <v>13968442</v>
      </c>
      <c r="AY24" s="176">
        <f t="shared" si="15"/>
        <v>37206035</v>
      </c>
    </row>
    <row r="25" spans="1:51">
      <c r="A25" s="115" t="s">
        <v>375</v>
      </c>
      <c r="B25" s="115">
        <v>1288158</v>
      </c>
      <c r="C25" s="115">
        <v>681990</v>
      </c>
      <c r="D25" s="134">
        <f t="shared" si="7"/>
        <v>1970148</v>
      </c>
      <c r="E25" s="115">
        <v>1367675</v>
      </c>
      <c r="F25" s="115">
        <v>710110</v>
      </c>
      <c r="G25" s="134">
        <f t="shared" si="8"/>
        <v>2077785</v>
      </c>
      <c r="H25" s="115">
        <v>1456360</v>
      </c>
      <c r="I25" s="115">
        <v>792057</v>
      </c>
      <c r="J25" s="134">
        <f t="shared" si="9"/>
        <v>2248417</v>
      </c>
      <c r="K25" s="115">
        <v>1569858</v>
      </c>
      <c r="L25" s="115">
        <v>910715</v>
      </c>
      <c r="M25" s="134">
        <f t="shared" si="10"/>
        <v>2480573</v>
      </c>
      <c r="N25" s="115">
        <v>1587226</v>
      </c>
      <c r="O25" s="115">
        <v>952635</v>
      </c>
      <c r="P25" s="134">
        <f t="shared" si="1"/>
        <v>2539861</v>
      </c>
      <c r="Q25" s="115">
        <v>1647070</v>
      </c>
      <c r="R25" s="115">
        <v>991238</v>
      </c>
      <c r="S25" s="134">
        <f t="shared" si="3"/>
        <v>2638308</v>
      </c>
      <c r="T25" s="114">
        <v>1720510</v>
      </c>
      <c r="U25" s="114">
        <v>1025084</v>
      </c>
      <c r="V25" s="134">
        <f t="shared" si="4"/>
        <v>2745594</v>
      </c>
      <c r="W25" s="114">
        <v>1745874</v>
      </c>
      <c r="X25" s="114">
        <v>968673</v>
      </c>
      <c r="Y25" s="134">
        <f t="shared" si="5"/>
        <v>2714547</v>
      </c>
      <c r="Z25" s="113">
        <v>1795058</v>
      </c>
      <c r="AA25" s="113">
        <v>1082698</v>
      </c>
      <c r="AB25" s="134">
        <f t="shared" si="6"/>
        <v>2877756</v>
      </c>
      <c r="AD25" s="112" t="s">
        <v>480</v>
      </c>
      <c r="AE25" s="112">
        <v>5841681</v>
      </c>
      <c r="AF25" s="112">
        <v>3424513</v>
      </c>
      <c r="AG25" s="193">
        <f t="shared" si="11"/>
        <v>9266194</v>
      </c>
      <c r="AH25" s="156">
        <v>213</v>
      </c>
      <c r="AI25" s="168" t="s">
        <v>199</v>
      </c>
      <c r="AJ25" s="147">
        <v>2627238</v>
      </c>
      <c r="AK25" s="147">
        <v>1644618</v>
      </c>
      <c r="AL25" s="182">
        <f t="shared" si="12"/>
        <v>4271856</v>
      </c>
      <c r="AM25" s="147">
        <v>2625531</v>
      </c>
      <c r="AN25" s="147">
        <v>1609452</v>
      </c>
      <c r="AO25" s="182">
        <f t="shared" si="13"/>
        <v>4234983</v>
      </c>
      <c r="AP25" s="156">
        <v>213</v>
      </c>
      <c r="AQ25" s="168" t="s">
        <v>199</v>
      </c>
      <c r="AR25" s="148">
        <v>2532838</v>
      </c>
      <c r="AS25" s="148">
        <v>1577079</v>
      </c>
      <c r="AT25" s="176">
        <f t="shared" si="14"/>
        <v>4109917</v>
      </c>
      <c r="AU25" s="156">
        <v>213</v>
      </c>
      <c r="AV25" s="168" t="s">
        <v>199</v>
      </c>
      <c r="AW25" s="149">
        <v>2511162</v>
      </c>
      <c r="AX25" s="149">
        <v>1557325</v>
      </c>
      <c r="AY25" s="176">
        <f t="shared" si="15"/>
        <v>4068487</v>
      </c>
    </row>
    <row r="26" spans="1:51">
      <c r="A26" s="115" t="s">
        <v>376</v>
      </c>
      <c r="B26" s="115">
        <v>579014</v>
      </c>
      <c r="C26" s="115">
        <v>243402</v>
      </c>
      <c r="D26" s="134">
        <f t="shared" si="7"/>
        <v>822416</v>
      </c>
      <c r="E26" s="115">
        <v>653936</v>
      </c>
      <c r="F26" s="115">
        <v>317613</v>
      </c>
      <c r="G26" s="134">
        <f t="shared" si="8"/>
        <v>971549</v>
      </c>
      <c r="H26" s="115">
        <v>668480</v>
      </c>
      <c r="I26" s="115">
        <v>304907</v>
      </c>
      <c r="J26" s="134">
        <f t="shared" si="9"/>
        <v>973387</v>
      </c>
      <c r="K26" s="115">
        <v>693281</v>
      </c>
      <c r="L26" s="115">
        <v>321404</v>
      </c>
      <c r="M26" s="134">
        <f t="shared" si="10"/>
        <v>1014685</v>
      </c>
      <c r="N26" s="115">
        <v>710863</v>
      </c>
      <c r="O26" s="115">
        <v>405111</v>
      </c>
      <c r="P26" s="134">
        <f t="shared" si="1"/>
        <v>1115974</v>
      </c>
      <c r="Q26" s="115">
        <v>722709</v>
      </c>
      <c r="R26" s="115">
        <v>394098</v>
      </c>
      <c r="S26" s="134">
        <f t="shared" si="3"/>
        <v>1116807</v>
      </c>
      <c r="T26" s="114">
        <v>762647</v>
      </c>
      <c r="U26" s="114">
        <v>392162</v>
      </c>
      <c r="V26" s="134">
        <f t="shared" si="4"/>
        <v>1154809</v>
      </c>
      <c r="W26" s="114">
        <v>789817</v>
      </c>
      <c r="X26" s="114">
        <v>442119</v>
      </c>
      <c r="Y26" s="134">
        <f t="shared" si="5"/>
        <v>1231936</v>
      </c>
      <c r="Z26" s="113">
        <v>733588</v>
      </c>
      <c r="AA26" s="113">
        <v>429216</v>
      </c>
      <c r="AB26" s="134">
        <f t="shared" si="6"/>
        <v>1162804</v>
      </c>
      <c r="AD26" s="112" t="s">
        <v>483</v>
      </c>
      <c r="AE26" s="112">
        <v>3636324</v>
      </c>
      <c r="AF26" s="112">
        <v>1886447</v>
      </c>
      <c r="AG26" s="193">
        <f t="shared" si="11"/>
        <v>5522771</v>
      </c>
      <c r="AH26" s="156">
        <v>215</v>
      </c>
      <c r="AI26" s="168" t="s">
        <v>329</v>
      </c>
      <c r="AJ26" s="151">
        <v>5879970</v>
      </c>
      <c r="AK26" s="151">
        <v>3018076</v>
      </c>
      <c r="AL26" s="182">
        <f t="shared" si="12"/>
        <v>8898046</v>
      </c>
      <c r="AM26" s="151">
        <v>6005341</v>
      </c>
      <c r="AN26" s="151">
        <v>3107626</v>
      </c>
      <c r="AO26" s="182">
        <f t="shared" si="13"/>
        <v>9112967</v>
      </c>
      <c r="AP26" s="156">
        <v>215</v>
      </c>
      <c r="AQ26" s="168" t="s">
        <v>329</v>
      </c>
      <c r="AR26" s="152">
        <v>5819751</v>
      </c>
      <c r="AS26" s="152">
        <v>3019184</v>
      </c>
      <c r="AT26" s="176">
        <f t="shared" si="14"/>
        <v>8838935</v>
      </c>
      <c r="AU26" s="156">
        <v>215</v>
      </c>
      <c r="AV26" s="168" t="s">
        <v>329</v>
      </c>
      <c r="AW26" s="153">
        <v>5731381</v>
      </c>
      <c r="AX26" s="153">
        <v>2839268</v>
      </c>
      <c r="AY26" s="176">
        <f t="shared" si="15"/>
        <v>8570649</v>
      </c>
    </row>
    <row r="27" spans="1:51">
      <c r="A27" s="115" t="s">
        <v>377</v>
      </c>
      <c r="B27" s="115">
        <v>659214</v>
      </c>
      <c r="C27" s="115">
        <v>306629</v>
      </c>
      <c r="D27" s="134">
        <f t="shared" si="7"/>
        <v>965843</v>
      </c>
      <c r="E27" s="115">
        <v>679768</v>
      </c>
      <c r="F27" s="115">
        <v>338418</v>
      </c>
      <c r="G27" s="134">
        <f t="shared" si="8"/>
        <v>1018186</v>
      </c>
      <c r="H27" s="115">
        <v>686845</v>
      </c>
      <c r="I27" s="115">
        <v>377616</v>
      </c>
      <c r="J27" s="134">
        <f t="shared" si="9"/>
        <v>1064461</v>
      </c>
      <c r="K27" s="115">
        <v>755443</v>
      </c>
      <c r="L27" s="115">
        <v>479063</v>
      </c>
      <c r="M27" s="134">
        <f t="shared" si="10"/>
        <v>1234506</v>
      </c>
      <c r="N27" s="115">
        <v>873113</v>
      </c>
      <c r="O27" s="115">
        <v>626482</v>
      </c>
      <c r="P27" s="134">
        <f t="shared" si="1"/>
        <v>1499595</v>
      </c>
      <c r="Q27" s="115">
        <v>877801</v>
      </c>
      <c r="R27" s="115">
        <v>654252</v>
      </c>
      <c r="S27" s="134">
        <f t="shared" si="3"/>
        <v>1532053</v>
      </c>
      <c r="T27" s="114">
        <v>901497</v>
      </c>
      <c r="U27" s="114">
        <v>694078</v>
      </c>
      <c r="V27" s="134">
        <f t="shared" si="4"/>
        <v>1595575</v>
      </c>
      <c r="W27" s="114">
        <v>968641</v>
      </c>
      <c r="X27" s="114">
        <v>718914</v>
      </c>
      <c r="Y27" s="134">
        <f t="shared" si="5"/>
        <v>1687555</v>
      </c>
      <c r="Z27" s="113">
        <v>1028188</v>
      </c>
      <c r="AA27" s="113">
        <v>684859</v>
      </c>
      <c r="AB27" s="134">
        <f t="shared" si="6"/>
        <v>1713047</v>
      </c>
      <c r="AD27" s="112" t="s">
        <v>485</v>
      </c>
      <c r="AE27" s="112">
        <v>4247722</v>
      </c>
      <c r="AF27" s="112">
        <v>2030304</v>
      </c>
      <c r="AG27" s="193">
        <f t="shared" si="11"/>
        <v>6278026</v>
      </c>
      <c r="AH27" s="156">
        <v>218</v>
      </c>
      <c r="AI27" s="168" t="s">
        <v>200</v>
      </c>
      <c r="AJ27" s="151">
        <v>3630648</v>
      </c>
      <c r="AK27" s="151">
        <v>1847406</v>
      </c>
      <c r="AL27" s="182">
        <f t="shared" si="12"/>
        <v>5478054</v>
      </c>
      <c r="AM27" s="151">
        <v>3655199</v>
      </c>
      <c r="AN27" s="151">
        <v>1818242</v>
      </c>
      <c r="AO27" s="182">
        <f t="shared" si="13"/>
        <v>5473441</v>
      </c>
      <c r="AP27" s="156">
        <v>218</v>
      </c>
      <c r="AQ27" s="168" t="s">
        <v>200</v>
      </c>
      <c r="AR27" s="152">
        <v>3558157</v>
      </c>
      <c r="AS27" s="152">
        <v>1813516</v>
      </c>
      <c r="AT27" s="176">
        <f t="shared" si="14"/>
        <v>5371673</v>
      </c>
      <c r="AU27" s="156">
        <v>218</v>
      </c>
      <c r="AV27" s="168" t="s">
        <v>200</v>
      </c>
      <c r="AW27" s="153">
        <v>3436549</v>
      </c>
      <c r="AX27" s="153">
        <v>1847499</v>
      </c>
      <c r="AY27" s="176">
        <f t="shared" si="15"/>
        <v>5284048</v>
      </c>
    </row>
    <row r="28" spans="1:51">
      <c r="A28" s="115" t="s">
        <v>378</v>
      </c>
      <c r="B28" s="115">
        <v>753105</v>
      </c>
      <c r="C28" s="115">
        <v>412138</v>
      </c>
      <c r="D28" s="134">
        <f t="shared" si="7"/>
        <v>1165243</v>
      </c>
      <c r="E28" s="115">
        <v>792067</v>
      </c>
      <c r="F28" s="115">
        <v>485607</v>
      </c>
      <c r="G28" s="134">
        <f t="shared" si="8"/>
        <v>1277674</v>
      </c>
      <c r="H28" s="115">
        <v>803386</v>
      </c>
      <c r="I28" s="115">
        <v>524750</v>
      </c>
      <c r="J28" s="134">
        <f t="shared" si="9"/>
        <v>1328136</v>
      </c>
      <c r="K28" s="115">
        <v>825689</v>
      </c>
      <c r="L28" s="115">
        <v>533548</v>
      </c>
      <c r="M28" s="134">
        <f t="shared" si="10"/>
        <v>1359237</v>
      </c>
      <c r="N28" s="115">
        <v>832613</v>
      </c>
      <c r="O28" s="115">
        <v>578265</v>
      </c>
      <c r="P28" s="134">
        <f t="shared" si="1"/>
        <v>1410878</v>
      </c>
      <c r="Q28" s="115">
        <v>883120</v>
      </c>
      <c r="R28" s="115">
        <v>573617</v>
      </c>
      <c r="S28" s="134">
        <f t="shared" si="3"/>
        <v>1456737</v>
      </c>
      <c r="T28" s="114">
        <v>871364</v>
      </c>
      <c r="U28" s="114">
        <v>594732</v>
      </c>
      <c r="V28" s="134">
        <f t="shared" si="4"/>
        <v>1466096</v>
      </c>
      <c r="W28" s="114">
        <v>883317</v>
      </c>
      <c r="X28" s="114">
        <v>599460</v>
      </c>
      <c r="Y28" s="134">
        <f t="shared" si="5"/>
        <v>1482777</v>
      </c>
      <c r="Z28" s="113">
        <v>907120</v>
      </c>
      <c r="AA28" s="113">
        <v>627405</v>
      </c>
      <c r="AB28" s="134">
        <f t="shared" si="6"/>
        <v>1534525</v>
      </c>
      <c r="AD28" s="112" t="s">
        <v>493</v>
      </c>
      <c r="AE28" s="112">
        <v>955138</v>
      </c>
      <c r="AF28" s="112">
        <v>907469</v>
      </c>
      <c r="AG28" s="193">
        <f t="shared" si="11"/>
        <v>1862607</v>
      </c>
      <c r="AH28" s="156">
        <v>220</v>
      </c>
      <c r="AI28" s="168" t="s">
        <v>201</v>
      </c>
      <c r="AJ28" s="151">
        <v>4176339</v>
      </c>
      <c r="AK28" s="151">
        <v>2076723</v>
      </c>
      <c r="AL28" s="182">
        <f t="shared" si="12"/>
        <v>6253062</v>
      </c>
      <c r="AM28" s="151">
        <v>4255331</v>
      </c>
      <c r="AN28" s="151">
        <v>2278307</v>
      </c>
      <c r="AO28" s="182">
        <f t="shared" si="13"/>
        <v>6533638</v>
      </c>
      <c r="AP28" s="156">
        <v>220</v>
      </c>
      <c r="AQ28" s="168" t="s">
        <v>201</v>
      </c>
      <c r="AR28" s="152">
        <v>4076407</v>
      </c>
      <c r="AS28" s="152">
        <v>2475187</v>
      </c>
      <c r="AT28" s="176">
        <f t="shared" si="14"/>
        <v>6551594</v>
      </c>
      <c r="AU28" s="156">
        <v>220</v>
      </c>
      <c r="AV28" s="168" t="s">
        <v>201</v>
      </c>
      <c r="AW28" s="153">
        <v>4076082</v>
      </c>
      <c r="AX28" s="153">
        <v>2200824</v>
      </c>
      <c r="AY28" s="176">
        <f t="shared" si="15"/>
        <v>6276906</v>
      </c>
    </row>
    <row r="29" spans="1:51">
      <c r="A29" s="115" t="s">
        <v>379</v>
      </c>
      <c r="B29" s="115">
        <v>689744</v>
      </c>
      <c r="C29" s="115">
        <v>352401</v>
      </c>
      <c r="D29" s="134">
        <f t="shared" si="7"/>
        <v>1042145</v>
      </c>
      <c r="E29" s="115">
        <v>734677</v>
      </c>
      <c r="F29" s="115">
        <v>391101</v>
      </c>
      <c r="G29" s="134">
        <f t="shared" si="8"/>
        <v>1125778</v>
      </c>
      <c r="H29" s="115">
        <v>772717</v>
      </c>
      <c r="I29" s="115">
        <v>471886</v>
      </c>
      <c r="J29" s="134">
        <f t="shared" si="9"/>
        <v>1244603</v>
      </c>
      <c r="K29" s="115">
        <v>830050</v>
      </c>
      <c r="L29" s="115">
        <v>452213</v>
      </c>
      <c r="M29" s="134">
        <f t="shared" si="10"/>
        <v>1282263</v>
      </c>
      <c r="N29" s="115">
        <v>866791</v>
      </c>
      <c r="O29" s="115">
        <v>585293</v>
      </c>
      <c r="P29" s="134">
        <f t="shared" si="1"/>
        <v>1452084</v>
      </c>
      <c r="Q29" s="115">
        <v>882995</v>
      </c>
      <c r="R29" s="115">
        <v>637391</v>
      </c>
      <c r="S29" s="134">
        <f t="shared" si="3"/>
        <v>1520386</v>
      </c>
      <c r="T29" s="114">
        <v>953011</v>
      </c>
      <c r="U29" s="114">
        <v>659965</v>
      </c>
      <c r="V29" s="134">
        <f t="shared" si="4"/>
        <v>1612976</v>
      </c>
      <c r="W29" s="114">
        <v>1006931</v>
      </c>
      <c r="X29" s="114">
        <v>691044</v>
      </c>
      <c r="Y29" s="134">
        <f t="shared" si="5"/>
        <v>1697975</v>
      </c>
      <c r="Z29" s="113">
        <v>1043256</v>
      </c>
      <c r="AA29" s="113">
        <v>722824</v>
      </c>
      <c r="AB29" s="134">
        <f t="shared" si="6"/>
        <v>1766080</v>
      </c>
      <c r="AD29" s="112" t="s">
        <v>494</v>
      </c>
      <c r="AE29" s="112">
        <v>1731716</v>
      </c>
      <c r="AF29" s="112">
        <v>1067540</v>
      </c>
      <c r="AG29" s="193">
        <f t="shared" si="11"/>
        <v>2799256</v>
      </c>
      <c r="AH29" s="156">
        <v>321</v>
      </c>
      <c r="AI29" s="168" t="s">
        <v>374</v>
      </c>
      <c r="AJ29" s="151">
        <v>1018451</v>
      </c>
      <c r="AK29" s="151">
        <v>883875</v>
      </c>
      <c r="AL29" s="182">
        <f t="shared" si="12"/>
        <v>1902326</v>
      </c>
      <c r="AM29" s="151">
        <v>1040073</v>
      </c>
      <c r="AN29" s="151">
        <v>914099</v>
      </c>
      <c r="AO29" s="182">
        <f t="shared" si="13"/>
        <v>1954172</v>
      </c>
      <c r="AP29" s="156">
        <v>321</v>
      </c>
      <c r="AQ29" s="168" t="s">
        <v>374</v>
      </c>
      <c r="AR29" s="152">
        <v>1040092</v>
      </c>
      <c r="AS29" s="152">
        <v>847314</v>
      </c>
      <c r="AT29" s="176">
        <f t="shared" si="14"/>
        <v>1887406</v>
      </c>
      <c r="AU29" s="156">
        <v>321</v>
      </c>
      <c r="AV29" s="168" t="s">
        <v>374</v>
      </c>
      <c r="AW29" s="153">
        <v>1046407</v>
      </c>
      <c r="AX29" s="153">
        <v>801050</v>
      </c>
      <c r="AY29" s="176">
        <f t="shared" si="15"/>
        <v>1847457</v>
      </c>
    </row>
    <row r="30" spans="1:51">
      <c r="A30" s="115" t="s">
        <v>380</v>
      </c>
      <c r="B30" s="115">
        <v>596602</v>
      </c>
      <c r="C30" s="115">
        <v>327935</v>
      </c>
      <c r="D30" s="134">
        <f t="shared" si="7"/>
        <v>924537</v>
      </c>
      <c r="E30" s="115">
        <v>620288</v>
      </c>
      <c r="F30" s="115">
        <v>339484</v>
      </c>
      <c r="G30" s="134">
        <f t="shared" si="8"/>
        <v>959772</v>
      </c>
      <c r="H30" s="115">
        <v>596402</v>
      </c>
      <c r="I30" s="115">
        <v>377860</v>
      </c>
      <c r="J30" s="134">
        <f t="shared" si="9"/>
        <v>974262</v>
      </c>
      <c r="K30" s="115">
        <v>679964</v>
      </c>
      <c r="L30" s="115">
        <v>457395</v>
      </c>
      <c r="M30" s="134">
        <f t="shared" si="10"/>
        <v>1137359</v>
      </c>
      <c r="N30" s="115">
        <v>647122</v>
      </c>
      <c r="O30" s="115">
        <v>463872</v>
      </c>
      <c r="P30" s="134">
        <f t="shared" si="1"/>
        <v>1110994</v>
      </c>
      <c r="Q30" s="115">
        <v>659539</v>
      </c>
      <c r="R30" s="115">
        <v>521150</v>
      </c>
      <c r="S30" s="134">
        <f t="shared" si="3"/>
        <v>1180689</v>
      </c>
      <c r="T30" s="114">
        <v>658934</v>
      </c>
      <c r="U30" s="114">
        <v>488398</v>
      </c>
      <c r="V30" s="134">
        <f t="shared" si="4"/>
        <v>1147332</v>
      </c>
      <c r="W30" s="114">
        <v>659472</v>
      </c>
      <c r="X30" s="114">
        <v>555371</v>
      </c>
      <c r="Y30" s="134">
        <f t="shared" si="5"/>
        <v>1214843</v>
      </c>
      <c r="Z30" s="113">
        <v>677357</v>
      </c>
      <c r="AA30" s="113">
        <v>545765</v>
      </c>
      <c r="AB30" s="134">
        <f t="shared" si="6"/>
        <v>1223122</v>
      </c>
      <c r="AD30" s="112" t="s">
        <v>495</v>
      </c>
      <c r="AE30" s="112">
        <v>750374</v>
      </c>
      <c r="AF30" s="112">
        <v>415051</v>
      </c>
      <c r="AG30" s="193">
        <f t="shared" si="11"/>
        <v>1165425</v>
      </c>
      <c r="AH30" s="156">
        <v>341</v>
      </c>
      <c r="AI30" s="168" t="s">
        <v>375</v>
      </c>
      <c r="AJ30" s="151">
        <v>1632173</v>
      </c>
      <c r="AK30" s="151">
        <v>1002199</v>
      </c>
      <c r="AL30" s="182">
        <f t="shared" si="12"/>
        <v>2634372</v>
      </c>
      <c r="AM30" s="151">
        <v>1594565</v>
      </c>
      <c r="AN30" s="151">
        <v>1040389</v>
      </c>
      <c r="AO30" s="182">
        <f t="shared" si="13"/>
        <v>2634954</v>
      </c>
      <c r="AP30" s="156">
        <v>341</v>
      </c>
      <c r="AQ30" s="168" t="s">
        <v>375</v>
      </c>
      <c r="AR30" s="152">
        <v>1578568</v>
      </c>
      <c r="AS30" s="152">
        <v>1054042</v>
      </c>
      <c r="AT30" s="176">
        <f t="shared" si="14"/>
        <v>2632610</v>
      </c>
      <c r="AU30" s="156">
        <v>341</v>
      </c>
      <c r="AV30" s="168" t="s">
        <v>375</v>
      </c>
      <c r="AW30" s="153">
        <v>1561609</v>
      </c>
      <c r="AX30" s="153">
        <v>1036167</v>
      </c>
      <c r="AY30" s="176">
        <f t="shared" si="15"/>
        <v>2597776</v>
      </c>
    </row>
    <row r="31" spans="1:51">
      <c r="A31" s="115" t="s">
        <v>381</v>
      </c>
      <c r="B31" s="115">
        <v>660852</v>
      </c>
      <c r="C31" s="115">
        <v>252604</v>
      </c>
      <c r="D31" s="134">
        <f t="shared" si="7"/>
        <v>913456</v>
      </c>
      <c r="E31" s="115">
        <v>702921</v>
      </c>
      <c r="F31" s="115">
        <v>256530</v>
      </c>
      <c r="G31" s="134">
        <f t="shared" si="8"/>
        <v>959451</v>
      </c>
      <c r="H31" s="115">
        <v>713530</v>
      </c>
      <c r="I31" s="115">
        <v>275903</v>
      </c>
      <c r="J31" s="134">
        <f t="shared" si="9"/>
        <v>989433</v>
      </c>
      <c r="K31" s="115">
        <v>754321</v>
      </c>
      <c r="L31" s="115">
        <v>326257</v>
      </c>
      <c r="M31" s="134">
        <f t="shared" si="10"/>
        <v>1080578</v>
      </c>
      <c r="N31" s="115">
        <v>809211</v>
      </c>
      <c r="O31" s="115">
        <v>334784</v>
      </c>
      <c r="P31" s="134">
        <f t="shared" si="1"/>
        <v>1143995</v>
      </c>
      <c r="Q31" s="115">
        <v>838479</v>
      </c>
      <c r="R31" s="115">
        <v>398493</v>
      </c>
      <c r="S31" s="134">
        <f t="shared" si="3"/>
        <v>1236972</v>
      </c>
      <c r="T31" s="114">
        <v>843262</v>
      </c>
      <c r="U31" s="114">
        <v>382198</v>
      </c>
      <c r="V31" s="134">
        <f t="shared" si="4"/>
        <v>1225460</v>
      </c>
      <c r="W31" s="114">
        <v>870962</v>
      </c>
      <c r="X31" s="114">
        <v>378434</v>
      </c>
      <c r="Y31" s="134">
        <f t="shared" si="5"/>
        <v>1249396</v>
      </c>
      <c r="Z31" s="113">
        <v>858688</v>
      </c>
      <c r="AA31" s="113">
        <v>427663</v>
      </c>
      <c r="AB31" s="134">
        <f t="shared" si="6"/>
        <v>1286351</v>
      </c>
      <c r="AD31" s="112" t="s">
        <v>496</v>
      </c>
      <c r="AE31" s="112">
        <v>1015441</v>
      </c>
      <c r="AF31" s="112">
        <v>702501</v>
      </c>
      <c r="AG31" s="193">
        <f t="shared" si="11"/>
        <v>1717942</v>
      </c>
      <c r="AH31" s="156">
        <v>342</v>
      </c>
      <c r="AI31" s="168" t="s">
        <v>376</v>
      </c>
      <c r="AJ31" s="147">
        <v>746140</v>
      </c>
      <c r="AK31" s="147">
        <v>440531</v>
      </c>
      <c r="AL31" s="182">
        <f t="shared" si="12"/>
        <v>1186671</v>
      </c>
      <c r="AM31" s="147">
        <v>742749</v>
      </c>
      <c r="AN31" s="147">
        <v>511559</v>
      </c>
      <c r="AO31" s="182">
        <f t="shared" si="13"/>
        <v>1254308</v>
      </c>
      <c r="AP31" s="156">
        <v>342</v>
      </c>
      <c r="AQ31" s="168" t="s">
        <v>376</v>
      </c>
      <c r="AR31" s="148">
        <v>766709</v>
      </c>
      <c r="AS31" s="148">
        <v>504399</v>
      </c>
      <c r="AT31" s="176">
        <f t="shared" si="14"/>
        <v>1271108</v>
      </c>
      <c r="AU31" s="156">
        <v>342</v>
      </c>
      <c r="AV31" s="168" t="s">
        <v>376</v>
      </c>
      <c r="AW31" s="149">
        <v>738856</v>
      </c>
      <c r="AX31" s="149">
        <v>566617</v>
      </c>
      <c r="AY31" s="176">
        <f t="shared" si="15"/>
        <v>1305473</v>
      </c>
    </row>
    <row r="32" spans="1:51">
      <c r="A32" s="115" t="s">
        <v>196</v>
      </c>
      <c r="B32" s="115">
        <v>1356694</v>
      </c>
      <c r="C32" s="115">
        <v>766558</v>
      </c>
      <c r="D32" s="134">
        <f t="shared" si="7"/>
        <v>2123252</v>
      </c>
      <c r="E32" s="115">
        <v>1432611</v>
      </c>
      <c r="F32" s="115">
        <v>870864</v>
      </c>
      <c r="G32" s="134">
        <f t="shared" si="8"/>
        <v>2303475</v>
      </c>
      <c r="H32" s="115">
        <v>1501415</v>
      </c>
      <c r="I32" s="115">
        <v>997339</v>
      </c>
      <c r="J32" s="134">
        <f t="shared" si="9"/>
        <v>2498754</v>
      </c>
      <c r="K32" s="115">
        <v>1578753</v>
      </c>
      <c r="L32" s="115">
        <v>985309</v>
      </c>
      <c r="M32" s="134">
        <f t="shared" si="10"/>
        <v>2564062</v>
      </c>
      <c r="N32" s="115">
        <v>1646747</v>
      </c>
      <c r="O32" s="115">
        <v>1031833</v>
      </c>
      <c r="P32" s="134">
        <f t="shared" si="1"/>
        <v>2678580</v>
      </c>
      <c r="Q32" s="115">
        <v>1678836</v>
      </c>
      <c r="R32" s="115">
        <v>1167165</v>
      </c>
      <c r="S32" s="134">
        <f t="shared" si="3"/>
        <v>2846001</v>
      </c>
      <c r="T32" s="114">
        <v>1702020</v>
      </c>
      <c r="U32" s="114">
        <v>1195155</v>
      </c>
      <c r="V32" s="134">
        <f t="shared" si="4"/>
        <v>2897175</v>
      </c>
      <c r="W32" s="114">
        <v>1767195</v>
      </c>
      <c r="X32" s="114">
        <v>1291146</v>
      </c>
      <c r="Y32" s="134">
        <f t="shared" si="5"/>
        <v>3058341</v>
      </c>
      <c r="Z32" s="113">
        <v>1852210</v>
      </c>
      <c r="AA32" s="113">
        <v>1437595</v>
      </c>
      <c r="AB32" s="134">
        <f t="shared" si="6"/>
        <v>3289805</v>
      </c>
      <c r="AD32" s="112" t="s">
        <v>497</v>
      </c>
      <c r="AE32" s="112">
        <v>914217</v>
      </c>
      <c r="AF32" s="112">
        <v>664287</v>
      </c>
      <c r="AG32" s="193">
        <f t="shared" si="11"/>
        <v>1578504</v>
      </c>
      <c r="AH32" s="156">
        <v>343</v>
      </c>
      <c r="AI32" s="168" t="s">
        <v>377</v>
      </c>
      <c r="AJ32" s="151">
        <v>948041</v>
      </c>
      <c r="AK32" s="151">
        <v>560186</v>
      </c>
      <c r="AL32" s="182">
        <f t="shared" si="12"/>
        <v>1508227</v>
      </c>
      <c r="AM32" s="151">
        <v>913367</v>
      </c>
      <c r="AN32" s="151">
        <v>542732</v>
      </c>
      <c r="AO32" s="182">
        <f t="shared" si="13"/>
        <v>1456099</v>
      </c>
      <c r="AP32" s="156">
        <v>343</v>
      </c>
      <c r="AQ32" s="168" t="s">
        <v>377</v>
      </c>
      <c r="AR32" s="152">
        <v>931821</v>
      </c>
      <c r="AS32" s="152">
        <v>538107</v>
      </c>
      <c r="AT32" s="176">
        <f t="shared" si="14"/>
        <v>1469928</v>
      </c>
      <c r="AU32" s="156">
        <v>343</v>
      </c>
      <c r="AV32" s="168" t="s">
        <v>377</v>
      </c>
      <c r="AW32" s="153">
        <v>888515</v>
      </c>
      <c r="AX32" s="153">
        <v>533923</v>
      </c>
      <c r="AY32" s="176">
        <f t="shared" si="15"/>
        <v>1422438</v>
      </c>
    </row>
    <row r="33" spans="1:51">
      <c r="A33" s="115" t="s">
        <v>197</v>
      </c>
      <c r="B33" s="115">
        <v>1307146</v>
      </c>
      <c r="C33" s="115">
        <v>747762</v>
      </c>
      <c r="D33" s="134">
        <f t="shared" si="7"/>
        <v>2054908</v>
      </c>
      <c r="E33" s="115">
        <v>1359324</v>
      </c>
      <c r="F33" s="115">
        <v>847702</v>
      </c>
      <c r="G33" s="134">
        <f t="shared" si="8"/>
        <v>2207026</v>
      </c>
      <c r="H33" s="115">
        <v>1436607</v>
      </c>
      <c r="I33" s="115">
        <v>1002667</v>
      </c>
      <c r="J33" s="134">
        <f t="shared" si="9"/>
        <v>2439274</v>
      </c>
      <c r="K33" s="115">
        <v>1461441</v>
      </c>
      <c r="L33" s="115">
        <v>1062470</v>
      </c>
      <c r="M33" s="134">
        <f t="shared" si="10"/>
        <v>2523911</v>
      </c>
      <c r="N33" s="115">
        <v>1506910</v>
      </c>
      <c r="O33" s="115">
        <v>1215185</v>
      </c>
      <c r="P33" s="134">
        <f t="shared" si="1"/>
        <v>2722095</v>
      </c>
      <c r="Q33" s="115">
        <v>1540778</v>
      </c>
      <c r="R33" s="115">
        <v>1410777</v>
      </c>
      <c r="S33" s="134">
        <f t="shared" si="3"/>
        <v>2951555</v>
      </c>
      <c r="T33" s="114">
        <v>1629467</v>
      </c>
      <c r="U33" s="114">
        <v>1389085</v>
      </c>
      <c r="V33" s="134">
        <f t="shared" si="4"/>
        <v>3018552</v>
      </c>
      <c r="W33" s="114">
        <v>1644096</v>
      </c>
      <c r="X33" s="114">
        <v>1510510</v>
      </c>
      <c r="Y33" s="134">
        <f t="shared" si="5"/>
        <v>3154606</v>
      </c>
      <c r="Z33" s="113">
        <v>1711512</v>
      </c>
      <c r="AA33" s="113">
        <v>1634297</v>
      </c>
      <c r="AB33" s="134">
        <f t="shared" si="6"/>
        <v>3345809</v>
      </c>
      <c r="AD33" s="112" t="s">
        <v>498</v>
      </c>
      <c r="AE33" s="112">
        <v>1037424</v>
      </c>
      <c r="AF33" s="112">
        <v>752407</v>
      </c>
      <c r="AG33" s="193">
        <f t="shared" si="11"/>
        <v>1789831</v>
      </c>
      <c r="AH33" s="156">
        <v>361</v>
      </c>
      <c r="AI33" s="168" t="s">
        <v>378</v>
      </c>
      <c r="AJ33" s="151">
        <v>886958</v>
      </c>
      <c r="AK33" s="151">
        <v>652149</v>
      </c>
      <c r="AL33" s="182">
        <f t="shared" si="12"/>
        <v>1539107</v>
      </c>
      <c r="AM33" s="151">
        <v>861746</v>
      </c>
      <c r="AN33" s="151">
        <v>640771</v>
      </c>
      <c r="AO33" s="182">
        <f t="shared" si="13"/>
        <v>1502517</v>
      </c>
      <c r="AP33" s="156">
        <v>361</v>
      </c>
      <c r="AQ33" s="168" t="s">
        <v>378</v>
      </c>
      <c r="AR33" s="152">
        <v>850819</v>
      </c>
      <c r="AS33" s="152">
        <v>662064</v>
      </c>
      <c r="AT33" s="176">
        <f t="shared" si="14"/>
        <v>1512883</v>
      </c>
      <c r="AU33" s="156">
        <v>361</v>
      </c>
      <c r="AV33" s="168" t="s">
        <v>378</v>
      </c>
      <c r="AW33" s="153">
        <v>858245</v>
      </c>
      <c r="AX33" s="153">
        <v>768202</v>
      </c>
      <c r="AY33" s="176">
        <f t="shared" si="15"/>
        <v>1626447</v>
      </c>
    </row>
    <row r="34" spans="1:51">
      <c r="A34" s="115" t="s">
        <v>205</v>
      </c>
      <c r="B34" s="115">
        <f t="shared" ref="B34:N34" si="19">SUM(B35:B59)</f>
        <v>53695046</v>
      </c>
      <c r="C34" s="115">
        <f t="shared" si="19"/>
        <v>24535530</v>
      </c>
      <c r="D34" s="134">
        <f t="shared" si="7"/>
        <v>78230576</v>
      </c>
      <c r="E34" s="115">
        <f t="shared" si="19"/>
        <v>55748384</v>
      </c>
      <c r="F34" s="115">
        <f t="shared" si="19"/>
        <v>27118451</v>
      </c>
      <c r="G34" s="134">
        <f t="shared" si="8"/>
        <v>82866835</v>
      </c>
      <c r="H34" s="115">
        <f t="shared" si="19"/>
        <v>58118561</v>
      </c>
      <c r="I34" s="115">
        <f t="shared" si="19"/>
        <v>29713195</v>
      </c>
      <c r="J34" s="134">
        <f t="shared" si="9"/>
        <v>87831756</v>
      </c>
      <c r="K34" s="115">
        <f t="shared" si="19"/>
        <v>59823678</v>
      </c>
      <c r="L34" s="115">
        <f t="shared" si="19"/>
        <v>31723756</v>
      </c>
      <c r="M34" s="134">
        <f t="shared" si="10"/>
        <v>91547434</v>
      </c>
      <c r="N34" s="115">
        <f t="shared" si="19"/>
        <v>61411904</v>
      </c>
      <c r="O34" s="115">
        <f>SUM(O35:O59)</f>
        <v>32620993</v>
      </c>
      <c r="P34" s="134">
        <f t="shared" si="1"/>
        <v>94032897</v>
      </c>
      <c r="Q34" s="115">
        <f t="shared" ref="Q34:AA34" si="20">SUM(Q35:Q59)</f>
        <v>62532247</v>
      </c>
      <c r="R34" s="115">
        <f t="shared" si="20"/>
        <v>34936459</v>
      </c>
      <c r="S34" s="134">
        <f t="shared" si="3"/>
        <v>97468706</v>
      </c>
      <c r="T34" s="115">
        <f t="shared" si="20"/>
        <v>63323798</v>
      </c>
      <c r="U34" s="115">
        <f t="shared" si="20"/>
        <v>36399952</v>
      </c>
      <c r="V34" s="134">
        <f t="shared" si="4"/>
        <v>99723750</v>
      </c>
      <c r="W34" s="115">
        <f t="shared" si="20"/>
        <v>65077016</v>
      </c>
      <c r="X34" s="115">
        <f t="shared" si="20"/>
        <v>37735692</v>
      </c>
      <c r="Y34" s="134">
        <f t="shared" si="5"/>
        <v>102812708</v>
      </c>
      <c r="Z34" s="115">
        <f t="shared" si="20"/>
        <v>66052530</v>
      </c>
      <c r="AA34" s="115">
        <f t="shared" si="20"/>
        <v>40110738</v>
      </c>
      <c r="AB34" s="134">
        <f t="shared" si="6"/>
        <v>106163268</v>
      </c>
      <c r="AD34" s="112" t="s">
        <v>499</v>
      </c>
      <c r="AE34" s="112">
        <v>655482</v>
      </c>
      <c r="AF34" s="112">
        <v>543210</v>
      </c>
      <c r="AG34" s="193">
        <f t="shared" si="11"/>
        <v>1198692</v>
      </c>
      <c r="AH34" s="156">
        <v>362</v>
      </c>
      <c r="AI34" s="168" t="s">
        <v>379</v>
      </c>
      <c r="AJ34" s="151">
        <v>1035427</v>
      </c>
      <c r="AK34" s="151">
        <v>715299</v>
      </c>
      <c r="AL34" s="182">
        <f t="shared" si="12"/>
        <v>1750726</v>
      </c>
      <c r="AM34" s="151">
        <v>1017027</v>
      </c>
      <c r="AN34" s="151">
        <v>786368</v>
      </c>
      <c r="AO34" s="182">
        <f t="shared" si="13"/>
        <v>1803395</v>
      </c>
      <c r="AP34" s="156">
        <v>362</v>
      </c>
      <c r="AQ34" s="168" t="s">
        <v>379</v>
      </c>
      <c r="AR34" s="152">
        <v>987531</v>
      </c>
      <c r="AS34" s="152">
        <v>790347</v>
      </c>
      <c r="AT34" s="176">
        <f t="shared" si="14"/>
        <v>1777878</v>
      </c>
      <c r="AU34" s="156">
        <v>362</v>
      </c>
      <c r="AV34" s="168" t="s">
        <v>379</v>
      </c>
      <c r="AW34" s="153">
        <v>976434</v>
      </c>
      <c r="AX34" s="153">
        <v>824220</v>
      </c>
      <c r="AY34" s="176">
        <f t="shared" si="15"/>
        <v>1800654</v>
      </c>
    </row>
    <row r="35" spans="1:51">
      <c r="A35" s="115" t="s">
        <v>382</v>
      </c>
      <c r="B35" s="115">
        <v>26843175</v>
      </c>
      <c r="C35" s="115">
        <f>12382462+3</f>
        <v>12382465</v>
      </c>
      <c r="D35" s="134">
        <f t="shared" si="7"/>
        <v>39225640</v>
      </c>
      <c r="E35" s="115">
        <v>27454274</v>
      </c>
      <c r="F35" s="115">
        <v>13881332</v>
      </c>
      <c r="G35" s="134">
        <f t="shared" si="8"/>
        <v>41335606</v>
      </c>
      <c r="H35" s="115">
        <v>28609279</v>
      </c>
      <c r="I35" s="115">
        <v>14881397</v>
      </c>
      <c r="J35" s="134">
        <f t="shared" si="9"/>
        <v>43490676</v>
      </c>
      <c r="K35" s="115">
        <v>28949721</v>
      </c>
      <c r="L35" s="115">
        <v>16134387</v>
      </c>
      <c r="M35" s="134">
        <f t="shared" si="10"/>
        <v>45084108</v>
      </c>
      <c r="N35" s="115">
        <v>29776835</v>
      </c>
      <c r="O35" s="115">
        <v>16729462</v>
      </c>
      <c r="P35" s="134">
        <f t="shared" si="1"/>
        <v>46506297</v>
      </c>
      <c r="Q35" s="115">
        <v>30085035</v>
      </c>
      <c r="R35" s="115">
        <v>17066080</v>
      </c>
      <c r="S35" s="134">
        <f t="shared" si="3"/>
        <v>47151115</v>
      </c>
      <c r="T35" s="114">
        <v>30129093</v>
      </c>
      <c r="U35" s="114">
        <v>17953308</v>
      </c>
      <c r="V35" s="134">
        <f t="shared" si="4"/>
        <v>48082401</v>
      </c>
      <c r="W35" s="114">
        <v>31133605</v>
      </c>
      <c r="X35" s="114">
        <v>18819556</v>
      </c>
      <c r="Y35" s="134">
        <f t="shared" si="5"/>
        <v>49953161</v>
      </c>
      <c r="Z35" s="113">
        <v>31217488</v>
      </c>
      <c r="AA35" s="113">
        <v>20070270</v>
      </c>
      <c r="AB35" s="134">
        <f t="shared" si="6"/>
        <v>51287758</v>
      </c>
      <c r="AD35" s="112" t="s">
        <v>500</v>
      </c>
      <c r="AE35" s="112">
        <v>846235</v>
      </c>
      <c r="AF35" s="112">
        <v>422652</v>
      </c>
      <c r="AG35" s="193">
        <f t="shared" si="11"/>
        <v>1268887</v>
      </c>
      <c r="AH35" s="156">
        <v>363</v>
      </c>
      <c r="AI35" s="168" t="s">
        <v>380</v>
      </c>
      <c r="AJ35" s="151">
        <v>648881</v>
      </c>
      <c r="AK35" s="151">
        <v>490083</v>
      </c>
      <c r="AL35" s="182">
        <f t="shared" si="12"/>
        <v>1138964</v>
      </c>
      <c r="AM35" s="151">
        <v>653827</v>
      </c>
      <c r="AN35" s="151">
        <v>567407</v>
      </c>
      <c r="AO35" s="182">
        <f t="shared" si="13"/>
        <v>1221234</v>
      </c>
      <c r="AP35" s="156">
        <v>363</v>
      </c>
      <c r="AQ35" s="168" t="s">
        <v>380</v>
      </c>
      <c r="AR35" s="152">
        <v>647056</v>
      </c>
      <c r="AS35" s="152">
        <v>568914</v>
      </c>
      <c r="AT35" s="176">
        <f t="shared" si="14"/>
        <v>1215970</v>
      </c>
      <c r="AU35" s="156">
        <v>363</v>
      </c>
      <c r="AV35" s="168" t="s">
        <v>380</v>
      </c>
      <c r="AW35" s="153">
        <v>609777</v>
      </c>
      <c r="AX35" s="153">
        <v>538961</v>
      </c>
      <c r="AY35" s="176">
        <f t="shared" si="15"/>
        <v>1148738</v>
      </c>
    </row>
    <row r="36" spans="1:51">
      <c r="A36" s="115" t="s">
        <v>206</v>
      </c>
      <c r="B36" s="115">
        <v>2828641</v>
      </c>
      <c r="C36" s="115">
        <v>999629</v>
      </c>
      <c r="D36" s="134">
        <f t="shared" si="7"/>
        <v>3828270</v>
      </c>
      <c r="E36" s="115">
        <v>3014413</v>
      </c>
      <c r="F36" s="115">
        <v>979330</v>
      </c>
      <c r="G36" s="134">
        <f t="shared" si="8"/>
        <v>3993743</v>
      </c>
      <c r="H36" s="115">
        <v>3024278</v>
      </c>
      <c r="I36" s="115">
        <v>1326883</v>
      </c>
      <c r="J36" s="134">
        <f t="shared" si="9"/>
        <v>4351161</v>
      </c>
      <c r="K36" s="115">
        <v>3070030</v>
      </c>
      <c r="L36" s="115">
        <v>1297424</v>
      </c>
      <c r="M36" s="134">
        <f t="shared" si="10"/>
        <v>4367454</v>
      </c>
      <c r="N36" s="115">
        <v>3159831</v>
      </c>
      <c r="O36" s="115">
        <v>1341213</v>
      </c>
      <c r="P36" s="134">
        <f t="shared" si="1"/>
        <v>4501044</v>
      </c>
      <c r="Q36" s="115">
        <v>3009352</v>
      </c>
      <c r="R36" s="115">
        <v>1562162</v>
      </c>
      <c r="S36" s="134">
        <f t="shared" si="3"/>
        <v>4571514</v>
      </c>
      <c r="T36" s="114">
        <v>3039797</v>
      </c>
      <c r="U36" s="114">
        <v>1556364</v>
      </c>
      <c r="V36" s="134">
        <f t="shared" si="4"/>
        <v>4596161</v>
      </c>
      <c r="W36" s="114">
        <v>2960158</v>
      </c>
      <c r="X36" s="114">
        <v>1543798</v>
      </c>
      <c r="Y36" s="134">
        <f t="shared" si="5"/>
        <v>4503956</v>
      </c>
      <c r="Z36" s="113">
        <v>3292522</v>
      </c>
      <c r="AA36" s="113">
        <v>1653962</v>
      </c>
      <c r="AB36" s="134">
        <f t="shared" si="6"/>
        <v>4946484</v>
      </c>
      <c r="AD36" s="112" t="s">
        <v>202</v>
      </c>
      <c r="AE36" s="112">
        <f>SUM(AE37:AE44)</f>
        <v>39474704</v>
      </c>
      <c r="AF36" s="112">
        <f>SUM(AF37:AF44)</f>
        <v>26596549</v>
      </c>
      <c r="AG36" s="193">
        <f t="shared" si="11"/>
        <v>66071253</v>
      </c>
      <c r="AH36" s="156">
        <v>364</v>
      </c>
      <c r="AI36" s="168" t="s">
        <v>381</v>
      </c>
      <c r="AJ36" s="151">
        <v>811785</v>
      </c>
      <c r="AK36" s="151">
        <v>430574</v>
      </c>
      <c r="AL36" s="182">
        <f t="shared" si="12"/>
        <v>1242359</v>
      </c>
      <c r="AM36" s="151">
        <v>801291</v>
      </c>
      <c r="AN36" s="151">
        <v>468909</v>
      </c>
      <c r="AO36" s="182">
        <f t="shared" si="13"/>
        <v>1270200</v>
      </c>
      <c r="AP36" s="156">
        <v>364</v>
      </c>
      <c r="AQ36" s="168" t="s">
        <v>381</v>
      </c>
      <c r="AR36" s="152">
        <v>802928</v>
      </c>
      <c r="AS36" s="152">
        <v>474171</v>
      </c>
      <c r="AT36" s="176">
        <f t="shared" si="14"/>
        <v>1277099</v>
      </c>
      <c r="AU36" s="156">
        <v>364</v>
      </c>
      <c r="AV36" s="168" t="s">
        <v>381</v>
      </c>
      <c r="AW36" s="153">
        <v>802576</v>
      </c>
      <c r="AX36" s="153">
        <v>454386</v>
      </c>
      <c r="AY36" s="176">
        <f t="shared" si="15"/>
        <v>1256962</v>
      </c>
    </row>
    <row r="37" spans="1:51">
      <c r="A37" s="115" t="s">
        <v>383</v>
      </c>
      <c r="B37" s="115">
        <v>2792730</v>
      </c>
      <c r="C37" s="115">
        <v>902268</v>
      </c>
      <c r="D37" s="134">
        <f t="shared" si="7"/>
        <v>3694998</v>
      </c>
      <c r="E37" s="115">
        <v>2945964</v>
      </c>
      <c r="F37" s="115">
        <v>1023407</v>
      </c>
      <c r="G37" s="134">
        <f t="shared" si="8"/>
        <v>3969371</v>
      </c>
      <c r="H37" s="115">
        <v>2856318</v>
      </c>
      <c r="I37" s="115">
        <v>1154751</v>
      </c>
      <c r="J37" s="134">
        <f t="shared" si="9"/>
        <v>4011069</v>
      </c>
      <c r="K37" s="115">
        <v>3182312</v>
      </c>
      <c r="L37" s="115">
        <v>1166694</v>
      </c>
      <c r="M37" s="134">
        <f t="shared" si="10"/>
        <v>4349006</v>
      </c>
      <c r="N37" s="115">
        <v>3238415</v>
      </c>
      <c r="O37" s="115">
        <v>1159744</v>
      </c>
      <c r="P37" s="134">
        <f t="shared" si="1"/>
        <v>4398159</v>
      </c>
      <c r="Q37" s="115">
        <v>3266582</v>
      </c>
      <c r="R37" s="115">
        <v>1271873</v>
      </c>
      <c r="S37" s="134">
        <f t="shared" si="3"/>
        <v>4538455</v>
      </c>
      <c r="T37" s="114">
        <v>3438817</v>
      </c>
      <c r="U37" s="114">
        <v>1274738</v>
      </c>
      <c r="V37" s="134">
        <f t="shared" si="4"/>
        <v>4713555</v>
      </c>
      <c r="W37" s="114">
        <v>3492302</v>
      </c>
      <c r="X37" s="114">
        <v>1283187</v>
      </c>
      <c r="Y37" s="134">
        <f t="shared" si="5"/>
        <v>4775489</v>
      </c>
      <c r="Z37" s="113">
        <v>3491835</v>
      </c>
      <c r="AA37" s="113">
        <v>1370161</v>
      </c>
      <c r="AB37" s="134">
        <f t="shared" si="6"/>
        <v>4861996</v>
      </c>
      <c r="AD37" s="112" t="s">
        <v>466</v>
      </c>
      <c r="AE37" s="112">
        <v>31234806</v>
      </c>
      <c r="AF37" s="112">
        <v>20610682</v>
      </c>
      <c r="AG37" s="193">
        <f t="shared" si="11"/>
        <v>51845488</v>
      </c>
      <c r="AH37" s="135"/>
      <c r="AI37" s="169" t="s">
        <v>202</v>
      </c>
      <c r="AJ37" s="151">
        <v>40136634</v>
      </c>
      <c r="AK37" s="151">
        <v>25253932</v>
      </c>
      <c r="AL37" s="182">
        <f t="shared" si="12"/>
        <v>65390566</v>
      </c>
      <c r="AM37" s="151">
        <v>39332608</v>
      </c>
      <c r="AN37" s="151">
        <v>25529257</v>
      </c>
      <c r="AO37" s="182">
        <f t="shared" si="13"/>
        <v>64861865</v>
      </c>
      <c r="AP37" s="135"/>
      <c r="AQ37" s="169" t="s">
        <v>202</v>
      </c>
      <c r="AR37" s="152">
        <v>38538286</v>
      </c>
      <c r="AS37" s="152">
        <v>25028067</v>
      </c>
      <c r="AT37" s="176">
        <f t="shared" si="14"/>
        <v>63566353</v>
      </c>
      <c r="AU37" s="135"/>
      <c r="AV37" s="169" t="s">
        <v>202</v>
      </c>
      <c r="AW37" s="153">
        <v>37881773</v>
      </c>
      <c r="AX37" s="153">
        <v>24917544</v>
      </c>
      <c r="AY37" s="176">
        <f t="shared" si="15"/>
        <v>62799317</v>
      </c>
    </row>
    <row r="38" spans="1:51">
      <c r="A38" s="115" t="s">
        <v>207</v>
      </c>
      <c r="B38" s="115">
        <v>3467153</v>
      </c>
      <c r="C38" s="115">
        <v>1476153</v>
      </c>
      <c r="D38" s="134">
        <f t="shared" si="7"/>
        <v>4943306</v>
      </c>
      <c r="E38" s="115">
        <v>3720663</v>
      </c>
      <c r="F38" s="115">
        <v>1545760</v>
      </c>
      <c r="G38" s="134">
        <f t="shared" si="8"/>
        <v>5266423</v>
      </c>
      <c r="H38" s="115">
        <v>3923380</v>
      </c>
      <c r="I38" s="115">
        <v>1692856</v>
      </c>
      <c r="J38" s="134">
        <f t="shared" si="9"/>
        <v>5616236</v>
      </c>
      <c r="K38" s="115">
        <v>4063742</v>
      </c>
      <c r="L38" s="115">
        <v>1748157</v>
      </c>
      <c r="M38" s="134">
        <f t="shared" si="10"/>
        <v>5811899</v>
      </c>
      <c r="N38" s="115">
        <v>4136723</v>
      </c>
      <c r="O38" s="115">
        <v>1829927</v>
      </c>
      <c r="P38" s="134">
        <f t="shared" si="1"/>
        <v>5966650</v>
      </c>
      <c r="Q38" s="115">
        <v>4238653</v>
      </c>
      <c r="R38" s="115">
        <v>1881571</v>
      </c>
      <c r="S38" s="134">
        <f t="shared" si="3"/>
        <v>6120224</v>
      </c>
      <c r="T38" s="114">
        <v>4358707</v>
      </c>
      <c r="U38" s="114">
        <v>1951808</v>
      </c>
      <c r="V38" s="134">
        <f t="shared" si="4"/>
        <v>6310515</v>
      </c>
      <c r="W38" s="114">
        <v>4517655</v>
      </c>
      <c r="X38" s="114">
        <v>1991568</v>
      </c>
      <c r="Y38" s="134">
        <f t="shared" si="5"/>
        <v>6509223</v>
      </c>
      <c r="Z38" s="113">
        <v>4727660</v>
      </c>
      <c r="AA38" s="113">
        <v>2260486</v>
      </c>
      <c r="AB38" s="134">
        <f t="shared" si="6"/>
        <v>6988146</v>
      </c>
      <c r="AD38" s="112" t="s">
        <v>503</v>
      </c>
      <c r="AE38" s="112">
        <v>811214</v>
      </c>
      <c r="AF38" s="112">
        <v>593411</v>
      </c>
      <c r="AG38" s="193">
        <f t="shared" si="11"/>
        <v>1404625</v>
      </c>
      <c r="AH38" s="156">
        <v>201</v>
      </c>
      <c r="AI38" s="168" t="s">
        <v>382</v>
      </c>
      <c r="AJ38" s="147">
        <v>31974522</v>
      </c>
      <c r="AK38" s="147">
        <v>19429924</v>
      </c>
      <c r="AL38" s="182">
        <f t="shared" ref="AL38:AL69" si="21">AJ38+AK38</f>
        <v>51404446</v>
      </c>
      <c r="AM38" s="147">
        <v>31155776</v>
      </c>
      <c r="AN38" s="147">
        <v>19629912</v>
      </c>
      <c r="AO38" s="182">
        <f t="shared" ref="AO38:AO69" si="22">AM38+AN38</f>
        <v>50785688</v>
      </c>
      <c r="AP38" s="156">
        <v>201</v>
      </c>
      <c r="AQ38" s="168" t="s">
        <v>382</v>
      </c>
      <c r="AR38" s="148">
        <v>30552688</v>
      </c>
      <c r="AS38" s="148">
        <v>19138601</v>
      </c>
      <c r="AT38" s="176">
        <f t="shared" ref="AT38:AT69" si="23">AR38+AS38</f>
        <v>49691289</v>
      </c>
      <c r="AU38" s="156">
        <v>201</v>
      </c>
      <c r="AV38" s="168" t="s">
        <v>382</v>
      </c>
      <c r="AW38" s="149">
        <v>29929320</v>
      </c>
      <c r="AX38" s="149">
        <v>19214275</v>
      </c>
      <c r="AY38" s="176">
        <f t="shared" ref="AY38:AY69" si="24">AW38+AX38</f>
        <v>49143595</v>
      </c>
    </row>
    <row r="39" spans="1:51">
      <c r="A39" s="115" t="s">
        <v>384</v>
      </c>
      <c r="B39" s="115">
        <v>603607</v>
      </c>
      <c r="C39" s="115">
        <v>356375</v>
      </c>
      <c r="D39" s="134">
        <f t="shared" si="7"/>
        <v>959982</v>
      </c>
      <c r="E39" s="115">
        <v>644311</v>
      </c>
      <c r="F39" s="115">
        <v>385609</v>
      </c>
      <c r="G39" s="134">
        <f t="shared" si="8"/>
        <v>1029920</v>
      </c>
      <c r="H39" s="115">
        <v>688727</v>
      </c>
      <c r="I39" s="115">
        <v>499039</v>
      </c>
      <c r="J39" s="134">
        <f t="shared" si="9"/>
        <v>1187766</v>
      </c>
      <c r="K39" s="115">
        <v>732249</v>
      </c>
      <c r="L39" s="115">
        <v>510591</v>
      </c>
      <c r="M39" s="134">
        <f t="shared" si="10"/>
        <v>1242840</v>
      </c>
      <c r="N39" s="115">
        <v>755365</v>
      </c>
      <c r="O39" s="115">
        <v>559664</v>
      </c>
      <c r="P39" s="134">
        <f t="shared" si="1"/>
        <v>1315029</v>
      </c>
      <c r="Q39" s="115">
        <v>839312</v>
      </c>
      <c r="R39" s="115">
        <v>577158</v>
      </c>
      <c r="S39" s="134">
        <f t="shared" si="3"/>
        <v>1416470</v>
      </c>
      <c r="T39" s="114">
        <v>823330</v>
      </c>
      <c r="U39" s="114">
        <v>582347</v>
      </c>
      <c r="V39" s="134">
        <f t="shared" si="4"/>
        <v>1405677</v>
      </c>
      <c r="W39" s="114">
        <v>817398</v>
      </c>
      <c r="X39" s="114">
        <v>629123</v>
      </c>
      <c r="Y39" s="134">
        <f t="shared" si="5"/>
        <v>1446521</v>
      </c>
      <c r="Z39" s="113">
        <v>818841</v>
      </c>
      <c r="AA39" s="113">
        <v>652812</v>
      </c>
      <c r="AB39" s="134">
        <f t="shared" si="6"/>
        <v>1471653</v>
      </c>
      <c r="AD39" s="112" t="s">
        <v>504</v>
      </c>
      <c r="AE39" s="112">
        <v>1204414</v>
      </c>
      <c r="AF39" s="112">
        <v>1259927</v>
      </c>
      <c r="AG39" s="193">
        <f t="shared" si="11"/>
        <v>2464341</v>
      </c>
      <c r="AH39" s="156">
        <v>421</v>
      </c>
      <c r="AI39" s="168" t="s">
        <v>384</v>
      </c>
      <c r="AJ39" s="151">
        <v>823006</v>
      </c>
      <c r="AK39" s="151">
        <v>595455</v>
      </c>
      <c r="AL39" s="182">
        <f t="shared" si="21"/>
        <v>1418461</v>
      </c>
      <c r="AM39" s="151">
        <v>854280</v>
      </c>
      <c r="AN39" s="151">
        <v>607325</v>
      </c>
      <c r="AO39" s="182">
        <f t="shared" si="22"/>
        <v>1461605</v>
      </c>
      <c r="AP39" s="156">
        <v>421</v>
      </c>
      <c r="AQ39" s="168" t="s">
        <v>384</v>
      </c>
      <c r="AR39" s="152">
        <v>822940</v>
      </c>
      <c r="AS39" s="152">
        <v>572512</v>
      </c>
      <c r="AT39" s="176">
        <f t="shared" si="23"/>
        <v>1395452</v>
      </c>
      <c r="AU39" s="156">
        <v>421</v>
      </c>
      <c r="AV39" s="168" t="s">
        <v>384</v>
      </c>
      <c r="AW39" s="153">
        <v>876127</v>
      </c>
      <c r="AX39" s="153">
        <v>542051</v>
      </c>
      <c r="AY39" s="176">
        <f t="shared" si="24"/>
        <v>1418178</v>
      </c>
    </row>
    <row r="40" spans="1:51">
      <c r="A40" s="115" t="s">
        <v>385</v>
      </c>
      <c r="B40" s="115">
        <v>883229</v>
      </c>
      <c r="C40" s="115">
        <v>694772</v>
      </c>
      <c r="D40" s="134">
        <f t="shared" si="7"/>
        <v>1578001</v>
      </c>
      <c r="E40" s="115">
        <v>926257</v>
      </c>
      <c r="F40" s="115">
        <v>787083</v>
      </c>
      <c r="G40" s="134">
        <f t="shared" si="8"/>
        <v>1713340</v>
      </c>
      <c r="H40" s="115">
        <v>1000299</v>
      </c>
      <c r="I40" s="115">
        <v>955505</v>
      </c>
      <c r="J40" s="134">
        <f t="shared" si="9"/>
        <v>1955804</v>
      </c>
      <c r="K40" s="115">
        <v>1044293</v>
      </c>
      <c r="L40" s="115">
        <v>973355</v>
      </c>
      <c r="M40" s="134">
        <f t="shared" si="10"/>
        <v>2017648</v>
      </c>
      <c r="N40" s="115">
        <v>1115340</v>
      </c>
      <c r="O40" s="115">
        <v>1020690</v>
      </c>
      <c r="P40" s="134">
        <f t="shared" si="1"/>
        <v>2136030</v>
      </c>
      <c r="Q40" s="115">
        <v>1150338</v>
      </c>
      <c r="R40" s="115">
        <v>1077154</v>
      </c>
      <c r="S40" s="134">
        <f t="shared" si="3"/>
        <v>2227492</v>
      </c>
      <c r="T40" s="114">
        <v>1188302</v>
      </c>
      <c r="U40" s="114">
        <v>1120055</v>
      </c>
      <c r="V40" s="134">
        <f t="shared" si="4"/>
        <v>2308357</v>
      </c>
      <c r="W40" s="114">
        <v>1234877</v>
      </c>
      <c r="X40" s="114">
        <v>1179794</v>
      </c>
      <c r="Y40" s="134">
        <f t="shared" si="5"/>
        <v>2414671</v>
      </c>
      <c r="Z40" s="113">
        <v>1233782</v>
      </c>
      <c r="AA40" s="113">
        <v>1234551</v>
      </c>
      <c r="AB40" s="134">
        <f t="shared" si="6"/>
        <v>2468333</v>
      </c>
      <c r="AD40" s="112" t="s">
        <v>505</v>
      </c>
      <c r="AE40" s="112">
        <v>988415</v>
      </c>
      <c r="AF40" s="112">
        <v>428485</v>
      </c>
      <c r="AG40" s="193">
        <f t="shared" si="11"/>
        <v>1416900</v>
      </c>
      <c r="AH40" s="156">
        <v>422</v>
      </c>
      <c r="AI40" s="168" t="s">
        <v>385</v>
      </c>
      <c r="AJ40" s="151">
        <v>1193462</v>
      </c>
      <c r="AK40" s="151">
        <v>1221666</v>
      </c>
      <c r="AL40" s="182">
        <f t="shared" si="21"/>
        <v>2415128</v>
      </c>
      <c r="AM40" s="151">
        <v>1172065</v>
      </c>
      <c r="AN40" s="151">
        <v>1099443</v>
      </c>
      <c r="AO40" s="182">
        <f t="shared" si="22"/>
        <v>2271508</v>
      </c>
      <c r="AP40" s="156">
        <v>422</v>
      </c>
      <c r="AQ40" s="168" t="s">
        <v>385</v>
      </c>
      <c r="AR40" s="152">
        <v>1159106</v>
      </c>
      <c r="AS40" s="152">
        <v>1068123</v>
      </c>
      <c r="AT40" s="176">
        <f t="shared" si="23"/>
        <v>2227229</v>
      </c>
      <c r="AU40" s="156">
        <v>422</v>
      </c>
      <c r="AV40" s="168" t="s">
        <v>385</v>
      </c>
      <c r="AW40" s="153">
        <v>1145637</v>
      </c>
      <c r="AX40" s="153">
        <v>1085510</v>
      </c>
      <c r="AY40" s="176">
        <f t="shared" si="24"/>
        <v>2231147</v>
      </c>
    </row>
    <row r="41" spans="1:51">
      <c r="A41" s="115" t="s">
        <v>386</v>
      </c>
      <c r="B41" s="115">
        <v>681430</v>
      </c>
      <c r="C41" s="115">
        <v>302209</v>
      </c>
      <c r="D41" s="134">
        <f t="shared" si="7"/>
        <v>983639</v>
      </c>
      <c r="E41" s="115">
        <v>697808</v>
      </c>
      <c r="F41" s="115">
        <v>329835</v>
      </c>
      <c r="G41" s="134">
        <f t="shared" si="8"/>
        <v>1027643</v>
      </c>
      <c r="H41" s="115">
        <v>762024</v>
      </c>
      <c r="I41" s="115">
        <v>307562</v>
      </c>
      <c r="J41" s="134">
        <f t="shared" si="9"/>
        <v>1069586</v>
      </c>
      <c r="K41" s="115">
        <v>751862</v>
      </c>
      <c r="L41" s="115">
        <v>327078</v>
      </c>
      <c r="M41" s="134">
        <f t="shared" si="10"/>
        <v>1078940</v>
      </c>
      <c r="N41" s="115">
        <v>808593</v>
      </c>
      <c r="O41" s="115">
        <v>381155</v>
      </c>
      <c r="P41" s="134">
        <f t="shared" si="1"/>
        <v>1189748</v>
      </c>
      <c r="Q41" s="115">
        <v>891267</v>
      </c>
      <c r="R41" s="115">
        <v>409941</v>
      </c>
      <c r="S41" s="134">
        <f t="shared" si="3"/>
        <v>1301208</v>
      </c>
      <c r="T41" s="114">
        <v>939971</v>
      </c>
      <c r="U41" s="114">
        <v>418880</v>
      </c>
      <c r="V41" s="134">
        <f t="shared" si="4"/>
        <v>1358851</v>
      </c>
      <c r="W41" s="114">
        <v>976591</v>
      </c>
      <c r="X41" s="114">
        <v>431040</v>
      </c>
      <c r="Y41" s="134">
        <f t="shared" si="5"/>
        <v>1407631</v>
      </c>
      <c r="Z41" s="113">
        <v>995249</v>
      </c>
      <c r="AA41" s="113">
        <v>423918</v>
      </c>
      <c r="AB41" s="134">
        <f t="shared" si="6"/>
        <v>1419167</v>
      </c>
      <c r="AD41" s="112" t="s">
        <v>506</v>
      </c>
      <c r="AE41" s="112">
        <v>1498289</v>
      </c>
      <c r="AF41" s="112">
        <v>1197050</v>
      </c>
      <c r="AG41" s="193">
        <f t="shared" si="11"/>
        <v>2695339</v>
      </c>
      <c r="AH41" s="156">
        <v>441</v>
      </c>
      <c r="AI41" s="168" t="s">
        <v>386</v>
      </c>
      <c r="AJ41" s="151">
        <v>938740</v>
      </c>
      <c r="AK41" s="151">
        <v>413759</v>
      </c>
      <c r="AL41" s="182">
        <f t="shared" si="21"/>
        <v>1352499</v>
      </c>
      <c r="AM41" s="151">
        <v>969670</v>
      </c>
      <c r="AN41" s="151">
        <v>446798</v>
      </c>
      <c r="AO41" s="182">
        <f t="shared" si="22"/>
        <v>1416468</v>
      </c>
      <c r="AP41" s="156">
        <v>441</v>
      </c>
      <c r="AQ41" s="168" t="s">
        <v>386</v>
      </c>
      <c r="AR41" s="152">
        <v>966486</v>
      </c>
      <c r="AS41" s="152">
        <v>505919</v>
      </c>
      <c r="AT41" s="176">
        <f t="shared" si="23"/>
        <v>1472405</v>
      </c>
      <c r="AU41" s="156">
        <v>441</v>
      </c>
      <c r="AV41" s="168" t="s">
        <v>386</v>
      </c>
      <c r="AW41" s="153">
        <v>987197</v>
      </c>
      <c r="AX41" s="153">
        <v>518961</v>
      </c>
      <c r="AY41" s="176">
        <f t="shared" si="24"/>
        <v>1506158</v>
      </c>
    </row>
    <row r="42" spans="1:51">
      <c r="A42" s="115" t="s">
        <v>203</v>
      </c>
      <c r="B42" s="115">
        <v>1178085</v>
      </c>
      <c r="C42" s="115">
        <v>474035</v>
      </c>
      <c r="D42" s="134">
        <f t="shared" si="7"/>
        <v>1652120</v>
      </c>
      <c r="E42" s="115">
        <v>1228896</v>
      </c>
      <c r="F42" s="115">
        <v>530515</v>
      </c>
      <c r="G42" s="134">
        <f t="shared" si="8"/>
        <v>1759411</v>
      </c>
      <c r="H42" s="115">
        <v>1279745</v>
      </c>
      <c r="I42" s="115">
        <v>617782</v>
      </c>
      <c r="J42" s="134">
        <f t="shared" si="9"/>
        <v>1897527</v>
      </c>
      <c r="K42" s="115">
        <v>1347040</v>
      </c>
      <c r="L42" s="115">
        <v>678630</v>
      </c>
      <c r="M42" s="134">
        <f t="shared" si="10"/>
        <v>2025670</v>
      </c>
      <c r="N42" s="115">
        <v>1347737</v>
      </c>
      <c r="O42" s="115">
        <v>720958</v>
      </c>
      <c r="P42" s="134">
        <f t="shared" si="1"/>
        <v>2068695</v>
      </c>
      <c r="Q42" s="115">
        <v>1408142</v>
      </c>
      <c r="R42" s="115">
        <v>841659</v>
      </c>
      <c r="S42" s="134">
        <f t="shared" si="3"/>
        <v>2249801</v>
      </c>
      <c r="T42" s="114">
        <v>1472901</v>
      </c>
      <c r="U42" s="114">
        <v>957242</v>
      </c>
      <c r="V42" s="134">
        <f t="shared" si="4"/>
        <v>2430143</v>
      </c>
      <c r="W42" s="114">
        <v>1488175</v>
      </c>
      <c r="X42" s="114">
        <v>1141012</v>
      </c>
      <c r="Y42" s="134">
        <f t="shared" si="5"/>
        <v>2629187</v>
      </c>
      <c r="Z42" s="113">
        <v>1532009</v>
      </c>
      <c r="AA42" s="113">
        <v>1142429</v>
      </c>
      <c r="AB42" s="134">
        <f t="shared" si="6"/>
        <v>2674438</v>
      </c>
      <c r="AD42" s="112" t="s">
        <v>507</v>
      </c>
      <c r="AE42" s="112">
        <v>1641442</v>
      </c>
      <c r="AF42" s="112">
        <v>913621</v>
      </c>
      <c r="AG42" s="193">
        <f t="shared" si="11"/>
        <v>2555063</v>
      </c>
      <c r="AH42" s="156">
        <v>442</v>
      </c>
      <c r="AI42" s="168" t="s">
        <v>203</v>
      </c>
      <c r="AJ42" s="151">
        <v>1514246</v>
      </c>
      <c r="AK42" s="151">
        <v>1160774</v>
      </c>
      <c r="AL42" s="182">
        <f t="shared" si="21"/>
        <v>2675020</v>
      </c>
      <c r="AM42" s="151">
        <v>1504498</v>
      </c>
      <c r="AN42" s="151">
        <v>1136054</v>
      </c>
      <c r="AO42" s="182">
        <f t="shared" si="22"/>
        <v>2640552</v>
      </c>
      <c r="AP42" s="156">
        <v>442</v>
      </c>
      <c r="AQ42" s="168" t="s">
        <v>203</v>
      </c>
      <c r="AR42" s="152">
        <v>1459202</v>
      </c>
      <c r="AS42" s="152">
        <v>1124248</v>
      </c>
      <c r="AT42" s="176">
        <f t="shared" si="23"/>
        <v>2583450</v>
      </c>
      <c r="AU42" s="156">
        <v>442</v>
      </c>
      <c r="AV42" s="168" t="s">
        <v>203</v>
      </c>
      <c r="AW42" s="153">
        <v>1458147</v>
      </c>
      <c r="AX42" s="153">
        <v>1035112</v>
      </c>
      <c r="AY42" s="176">
        <f t="shared" si="24"/>
        <v>2493259</v>
      </c>
    </row>
    <row r="43" spans="1:51">
      <c r="A43" s="115" t="s">
        <v>204</v>
      </c>
      <c r="B43" s="115">
        <v>1204756</v>
      </c>
      <c r="C43" s="115">
        <v>608860</v>
      </c>
      <c r="D43" s="134">
        <f t="shared" si="7"/>
        <v>1813616</v>
      </c>
      <c r="E43" s="115">
        <v>1300731</v>
      </c>
      <c r="F43" s="115">
        <v>668830</v>
      </c>
      <c r="G43" s="134">
        <f t="shared" si="8"/>
        <v>1969561</v>
      </c>
      <c r="H43" s="115">
        <v>1401679</v>
      </c>
      <c r="I43" s="115">
        <v>670687</v>
      </c>
      <c r="J43" s="134">
        <f t="shared" si="9"/>
        <v>2072366</v>
      </c>
      <c r="K43" s="115">
        <v>1486354</v>
      </c>
      <c r="L43" s="115">
        <v>743934</v>
      </c>
      <c r="M43" s="134">
        <f t="shared" si="10"/>
        <v>2230288</v>
      </c>
      <c r="N43" s="115">
        <v>1547564</v>
      </c>
      <c r="O43" s="115">
        <v>710470</v>
      </c>
      <c r="P43" s="134">
        <f t="shared" si="1"/>
        <v>2258034</v>
      </c>
      <c r="Q43" s="115">
        <v>1571966</v>
      </c>
      <c r="R43" s="115">
        <v>784992</v>
      </c>
      <c r="S43" s="134">
        <f t="shared" si="3"/>
        <v>2356958</v>
      </c>
      <c r="T43" s="114">
        <v>1594868</v>
      </c>
      <c r="U43" s="114">
        <v>785738</v>
      </c>
      <c r="V43" s="134">
        <f t="shared" si="4"/>
        <v>2380606</v>
      </c>
      <c r="W43" s="114">
        <v>1643801</v>
      </c>
      <c r="X43" s="114">
        <v>906634</v>
      </c>
      <c r="Y43" s="134">
        <f t="shared" si="5"/>
        <v>2550435</v>
      </c>
      <c r="Z43" s="113">
        <v>1664548</v>
      </c>
      <c r="AA43" s="113">
        <v>916840</v>
      </c>
      <c r="AB43" s="134">
        <f t="shared" si="6"/>
        <v>2581388</v>
      </c>
      <c r="AD43" s="112" t="s">
        <v>508</v>
      </c>
      <c r="AE43" s="112">
        <v>1337532</v>
      </c>
      <c r="AF43" s="112">
        <v>1028341</v>
      </c>
      <c r="AG43" s="193">
        <f t="shared" si="11"/>
        <v>2365873</v>
      </c>
      <c r="AH43" s="156">
        <v>443</v>
      </c>
      <c r="AI43" s="168" t="s">
        <v>204</v>
      </c>
      <c r="AJ43" s="151">
        <v>1597941</v>
      </c>
      <c r="AK43" s="151">
        <v>899291</v>
      </c>
      <c r="AL43" s="182">
        <f t="shared" si="21"/>
        <v>2497232</v>
      </c>
      <c r="AM43" s="151">
        <v>1573036</v>
      </c>
      <c r="AN43" s="151">
        <v>973248</v>
      </c>
      <c r="AO43" s="182">
        <f t="shared" si="22"/>
        <v>2546284</v>
      </c>
      <c r="AP43" s="156">
        <v>443</v>
      </c>
      <c r="AQ43" s="168" t="s">
        <v>204</v>
      </c>
      <c r="AR43" s="152">
        <v>1545196</v>
      </c>
      <c r="AS43" s="152">
        <v>985692</v>
      </c>
      <c r="AT43" s="176">
        <f t="shared" si="23"/>
        <v>2530888</v>
      </c>
      <c r="AU43" s="156">
        <v>443</v>
      </c>
      <c r="AV43" s="168" t="s">
        <v>204</v>
      </c>
      <c r="AW43" s="153">
        <v>1493307</v>
      </c>
      <c r="AX43" s="153">
        <v>978675</v>
      </c>
      <c r="AY43" s="176">
        <f t="shared" si="24"/>
        <v>2471982</v>
      </c>
    </row>
    <row r="44" spans="1:51">
      <c r="A44" s="115" t="s">
        <v>387</v>
      </c>
      <c r="B44" s="115">
        <v>1009551</v>
      </c>
      <c r="C44" s="115">
        <v>612518</v>
      </c>
      <c r="D44" s="134">
        <f t="shared" si="7"/>
        <v>1622069</v>
      </c>
      <c r="E44" s="115">
        <v>1080612</v>
      </c>
      <c r="F44" s="115">
        <v>681487</v>
      </c>
      <c r="G44" s="134">
        <f t="shared" si="8"/>
        <v>1762099</v>
      </c>
      <c r="H44" s="115">
        <v>1170409</v>
      </c>
      <c r="I44" s="115">
        <v>813729</v>
      </c>
      <c r="J44" s="134">
        <f t="shared" si="9"/>
        <v>1984138</v>
      </c>
      <c r="K44" s="115">
        <v>1236403</v>
      </c>
      <c r="L44" s="115">
        <v>795313</v>
      </c>
      <c r="M44" s="134">
        <f t="shared" si="10"/>
        <v>2031716</v>
      </c>
      <c r="N44" s="115">
        <v>1220871</v>
      </c>
      <c r="O44" s="115">
        <v>871618</v>
      </c>
      <c r="P44" s="134">
        <f t="shared" si="1"/>
        <v>2092489</v>
      </c>
      <c r="Q44" s="115">
        <v>1270073</v>
      </c>
      <c r="R44" s="115">
        <v>972402</v>
      </c>
      <c r="S44" s="134">
        <f t="shared" si="3"/>
        <v>2242475</v>
      </c>
      <c r="T44" s="114">
        <v>1271473</v>
      </c>
      <c r="U44" s="114">
        <v>963587</v>
      </c>
      <c r="V44" s="134">
        <f t="shared" si="4"/>
        <v>2235060</v>
      </c>
      <c r="W44" s="114">
        <v>1337979</v>
      </c>
      <c r="X44" s="114">
        <v>868941</v>
      </c>
      <c r="Y44" s="134">
        <f t="shared" si="5"/>
        <v>2206920</v>
      </c>
      <c r="Z44" s="113">
        <v>1341257</v>
      </c>
      <c r="AA44" s="113">
        <v>987767</v>
      </c>
      <c r="AB44" s="134">
        <f t="shared" si="6"/>
        <v>2329024</v>
      </c>
      <c r="AD44" s="112" t="s">
        <v>509</v>
      </c>
      <c r="AE44" s="112">
        <v>758592</v>
      </c>
      <c r="AF44" s="112">
        <v>565032</v>
      </c>
      <c r="AG44" s="193">
        <f t="shared" si="11"/>
        <v>1323624</v>
      </c>
      <c r="AH44" s="156">
        <v>444</v>
      </c>
      <c r="AI44" s="168" t="s">
        <v>387</v>
      </c>
      <c r="AJ44" s="151">
        <v>1327540</v>
      </c>
      <c r="AK44" s="151">
        <v>978812</v>
      </c>
      <c r="AL44" s="182">
        <f t="shared" si="21"/>
        <v>2306352</v>
      </c>
      <c r="AM44" s="151">
        <v>1330321</v>
      </c>
      <c r="AN44" s="151">
        <v>1026217</v>
      </c>
      <c r="AO44" s="182">
        <f t="shared" si="22"/>
        <v>2356538</v>
      </c>
      <c r="AP44" s="156">
        <v>444</v>
      </c>
      <c r="AQ44" s="168" t="s">
        <v>387</v>
      </c>
      <c r="AR44" s="152">
        <v>1292951</v>
      </c>
      <c r="AS44" s="152">
        <v>979312</v>
      </c>
      <c r="AT44" s="176">
        <f t="shared" si="23"/>
        <v>2272263</v>
      </c>
      <c r="AU44" s="156">
        <v>444</v>
      </c>
      <c r="AV44" s="168" t="s">
        <v>387</v>
      </c>
      <c r="AW44" s="153">
        <v>1239344</v>
      </c>
      <c r="AX44" s="153">
        <v>937366</v>
      </c>
      <c r="AY44" s="176">
        <f t="shared" si="24"/>
        <v>2176710</v>
      </c>
    </row>
    <row r="45" spans="1:51">
      <c r="A45" s="115" t="s">
        <v>388</v>
      </c>
      <c r="B45" s="115">
        <v>599033</v>
      </c>
      <c r="C45" s="115">
        <v>318479</v>
      </c>
      <c r="D45" s="134">
        <f t="shared" si="7"/>
        <v>917512</v>
      </c>
      <c r="E45" s="115">
        <v>652212</v>
      </c>
      <c r="F45" s="115">
        <v>328190</v>
      </c>
      <c r="G45" s="134">
        <f t="shared" si="8"/>
        <v>980402</v>
      </c>
      <c r="H45" s="115">
        <v>677199</v>
      </c>
      <c r="I45" s="115">
        <v>351692</v>
      </c>
      <c r="J45" s="134">
        <f t="shared" si="9"/>
        <v>1028891</v>
      </c>
      <c r="K45" s="115">
        <v>697576</v>
      </c>
      <c r="L45" s="115">
        <v>387401</v>
      </c>
      <c r="M45" s="134">
        <f t="shared" si="10"/>
        <v>1084977</v>
      </c>
      <c r="N45" s="115">
        <v>734758</v>
      </c>
      <c r="O45" s="115">
        <v>443266</v>
      </c>
      <c r="P45" s="134">
        <f t="shared" si="1"/>
        <v>1178024</v>
      </c>
      <c r="Q45" s="115">
        <v>734013</v>
      </c>
      <c r="R45" s="115">
        <v>530032</v>
      </c>
      <c r="S45" s="134">
        <f t="shared" si="3"/>
        <v>1264045</v>
      </c>
      <c r="T45" s="114">
        <v>768134</v>
      </c>
      <c r="U45" s="114">
        <v>580826</v>
      </c>
      <c r="V45" s="134">
        <f t="shared" si="4"/>
        <v>1348960</v>
      </c>
      <c r="W45" s="114">
        <v>775284</v>
      </c>
      <c r="X45" s="114">
        <v>574231</v>
      </c>
      <c r="Y45" s="134">
        <f t="shared" si="5"/>
        <v>1349515</v>
      </c>
      <c r="Z45" s="113">
        <v>777278</v>
      </c>
      <c r="AA45" s="113">
        <v>542287</v>
      </c>
      <c r="AB45" s="134">
        <f t="shared" si="6"/>
        <v>1319565</v>
      </c>
      <c r="AD45" s="112" t="s">
        <v>205</v>
      </c>
      <c r="AE45" s="112">
        <f>SUM(AE46:AE62)</f>
        <v>26472445</v>
      </c>
      <c r="AF45" s="112">
        <f>SUM(AF46:AF62)</f>
        <v>14074935</v>
      </c>
      <c r="AG45" s="193">
        <f t="shared" si="11"/>
        <v>40547380</v>
      </c>
      <c r="AH45" s="156">
        <v>445</v>
      </c>
      <c r="AI45" s="168" t="s">
        <v>388</v>
      </c>
      <c r="AJ45" s="151">
        <v>767177</v>
      </c>
      <c r="AK45" s="151">
        <v>554251</v>
      </c>
      <c r="AL45" s="182">
        <f t="shared" si="21"/>
        <v>1321428</v>
      </c>
      <c r="AM45" s="151">
        <v>772962</v>
      </c>
      <c r="AN45" s="151">
        <v>610260</v>
      </c>
      <c r="AO45" s="182">
        <f t="shared" si="22"/>
        <v>1383222</v>
      </c>
      <c r="AP45" s="156">
        <v>445</v>
      </c>
      <c r="AQ45" s="168" t="s">
        <v>388</v>
      </c>
      <c r="AR45" s="152">
        <v>739717</v>
      </c>
      <c r="AS45" s="152">
        <v>653660</v>
      </c>
      <c r="AT45" s="176">
        <f t="shared" si="23"/>
        <v>1393377</v>
      </c>
      <c r="AU45" s="156">
        <v>445</v>
      </c>
      <c r="AV45" s="168" t="s">
        <v>388</v>
      </c>
      <c r="AW45" s="153">
        <v>752694</v>
      </c>
      <c r="AX45" s="153">
        <v>605594</v>
      </c>
      <c r="AY45" s="176">
        <f t="shared" si="24"/>
        <v>1358288</v>
      </c>
    </row>
    <row r="46" spans="1:51">
      <c r="A46" s="115" t="s">
        <v>389</v>
      </c>
      <c r="B46" s="115">
        <v>1080744</v>
      </c>
      <c r="C46" s="115">
        <v>439484</v>
      </c>
      <c r="D46" s="134">
        <f t="shared" si="7"/>
        <v>1520228</v>
      </c>
      <c r="E46" s="115">
        <v>1181197</v>
      </c>
      <c r="F46" s="115">
        <v>539879</v>
      </c>
      <c r="G46" s="134">
        <f t="shared" si="8"/>
        <v>1721076</v>
      </c>
      <c r="H46" s="115">
        <v>1256240</v>
      </c>
      <c r="I46" s="115">
        <v>542205</v>
      </c>
      <c r="J46" s="134">
        <f t="shared" si="9"/>
        <v>1798445</v>
      </c>
      <c r="K46" s="115">
        <v>1247797</v>
      </c>
      <c r="L46" s="115">
        <v>621823</v>
      </c>
      <c r="M46" s="134">
        <f t="shared" si="10"/>
        <v>1869620</v>
      </c>
      <c r="N46" s="115">
        <v>1281035</v>
      </c>
      <c r="O46" s="115">
        <v>638487</v>
      </c>
      <c r="P46" s="134">
        <f t="shared" si="1"/>
        <v>1919522</v>
      </c>
      <c r="Q46" s="115">
        <v>1277091</v>
      </c>
      <c r="R46" s="115">
        <v>702359</v>
      </c>
      <c r="S46" s="134">
        <f t="shared" si="3"/>
        <v>1979450</v>
      </c>
      <c r="T46" s="114">
        <v>1281015</v>
      </c>
      <c r="U46" s="114">
        <v>771305</v>
      </c>
      <c r="V46" s="134">
        <f t="shared" si="4"/>
        <v>2052320</v>
      </c>
      <c r="W46" s="114">
        <v>1358753</v>
      </c>
      <c r="X46" s="114">
        <v>871221</v>
      </c>
      <c r="Y46" s="134">
        <f t="shared" si="5"/>
        <v>2229974</v>
      </c>
      <c r="Z46" s="113">
        <v>1370676</v>
      </c>
      <c r="AA46" s="113">
        <v>898303</v>
      </c>
      <c r="AB46" s="134">
        <f t="shared" si="6"/>
        <v>2268979</v>
      </c>
      <c r="AD46" s="112" t="s">
        <v>473</v>
      </c>
      <c r="AE46" s="112">
        <v>3361430</v>
      </c>
      <c r="AF46" s="112">
        <v>1587981</v>
      </c>
      <c r="AG46" s="193">
        <f t="shared" si="11"/>
        <v>4949411</v>
      </c>
      <c r="AH46" s="135"/>
      <c r="AI46" s="169" t="s">
        <v>205</v>
      </c>
      <c r="AJ46" s="151">
        <v>25416351</v>
      </c>
      <c r="AK46" s="151">
        <v>13366828</v>
      </c>
      <c r="AL46" s="182">
        <f t="shared" si="21"/>
        <v>38783179</v>
      </c>
      <c r="AM46" s="151">
        <v>25661708</v>
      </c>
      <c r="AN46" s="151">
        <v>13857320</v>
      </c>
      <c r="AO46" s="182">
        <f t="shared" si="22"/>
        <v>39519028</v>
      </c>
      <c r="AP46" s="135"/>
      <c r="AQ46" s="169" t="s">
        <v>205</v>
      </c>
      <c r="AR46" s="152">
        <v>25699824</v>
      </c>
      <c r="AS46" s="152">
        <v>13771053</v>
      </c>
      <c r="AT46" s="176">
        <f t="shared" si="23"/>
        <v>39470877</v>
      </c>
      <c r="AU46" s="135"/>
      <c r="AV46" s="169" t="s">
        <v>205</v>
      </c>
      <c r="AW46" s="153">
        <v>25284323</v>
      </c>
      <c r="AX46" s="153">
        <v>13761446</v>
      </c>
      <c r="AY46" s="176">
        <f t="shared" si="24"/>
        <v>39045769</v>
      </c>
    </row>
    <row r="47" spans="1:51">
      <c r="A47" s="115" t="s">
        <v>390</v>
      </c>
      <c r="B47" s="115">
        <v>718801</v>
      </c>
      <c r="C47" s="115">
        <v>282760</v>
      </c>
      <c r="D47" s="134">
        <f t="shared" si="7"/>
        <v>1001561</v>
      </c>
      <c r="E47" s="115">
        <v>745848</v>
      </c>
      <c r="F47" s="115">
        <v>420525</v>
      </c>
      <c r="G47" s="134">
        <f t="shared" si="8"/>
        <v>1166373</v>
      </c>
      <c r="H47" s="115">
        <v>826404</v>
      </c>
      <c r="I47" s="115">
        <v>417341</v>
      </c>
      <c r="J47" s="134">
        <f t="shared" si="9"/>
        <v>1243745</v>
      </c>
      <c r="K47" s="115">
        <v>849638</v>
      </c>
      <c r="L47" s="115">
        <v>452308</v>
      </c>
      <c r="M47" s="134">
        <f t="shared" si="10"/>
        <v>1301946</v>
      </c>
      <c r="N47" s="115">
        <v>856906</v>
      </c>
      <c r="O47" s="115">
        <v>443645</v>
      </c>
      <c r="P47" s="134">
        <f t="shared" si="1"/>
        <v>1300551</v>
      </c>
      <c r="Q47" s="115">
        <v>900504</v>
      </c>
      <c r="R47" s="115">
        <v>520667</v>
      </c>
      <c r="S47" s="134">
        <f t="shared" si="3"/>
        <v>1421171</v>
      </c>
      <c r="T47" s="114">
        <v>914481</v>
      </c>
      <c r="U47" s="114">
        <v>563457</v>
      </c>
      <c r="V47" s="134">
        <f t="shared" si="4"/>
        <v>1477938</v>
      </c>
      <c r="W47" s="114">
        <v>915887</v>
      </c>
      <c r="X47" s="114">
        <v>546413</v>
      </c>
      <c r="Y47" s="134">
        <f t="shared" si="5"/>
        <v>1462300</v>
      </c>
      <c r="Z47" s="113">
        <v>945416</v>
      </c>
      <c r="AA47" s="113">
        <v>594142</v>
      </c>
      <c r="AB47" s="134">
        <f t="shared" si="6"/>
        <v>1539558</v>
      </c>
      <c r="AD47" s="112" t="s">
        <v>476</v>
      </c>
      <c r="AE47" s="112">
        <v>3689237</v>
      </c>
      <c r="AF47" s="112">
        <v>1328147</v>
      </c>
      <c r="AG47" s="193">
        <f t="shared" si="11"/>
        <v>5017384</v>
      </c>
      <c r="AH47" s="156">
        <v>208</v>
      </c>
      <c r="AI47" s="168" t="s">
        <v>206</v>
      </c>
      <c r="AJ47" s="151">
        <v>2869628</v>
      </c>
      <c r="AK47" s="151">
        <v>1453676</v>
      </c>
      <c r="AL47" s="182">
        <f t="shared" si="21"/>
        <v>4323304</v>
      </c>
      <c r="AM47" s="151">
        <v>2921166</v>
      </c>
      <c r="AN47" s="151">
        <v>1483607</v>
      </c>
      <c r="AO47" s="182">
        <f t="shared" si="22"/>
        <v>4404773</v>
      </c>
      <c r="AP47" s="156">
        <v>208</v>
      </c>
      <c r="AQ47" s="168" t="s">
        <v>206</v>
      </c>
      <c r="AR47" s="152">
        <v>3005336</v>
      </c>
      <c r="AS47" s="152">
        <v>1557677</v>
      </c>
      <c r="AT47" s="176">
        <f t="shared" si="23"/>
        <v>4563013</v>
      </c>
      <c r="AU47" s="156">
        <v>208</v>
      </c>
      <c r="AV47" s="168" t="s">
        <v>206</v>
      </c>
      <c r="AW47" s="153">
        <v>3073451</v>
      </c>
      <c r="AX47" s="153">
        <v>1509354</v>
      </c>
      <c r="AY47" s="176">
        <f t="shared" si="24"/>
        <v>4582805</v>
      </c>
    </row>
    <row r="48" spans="1:51">
      <c r="A48" s="115" t="s">
        <v>391</v>
      </c>
      <c r="B48" s="115">
        <v>782911</v>
      </c>
      <c r="C48" s="115">
        <v>463240</v>
      </c>
      <c r="D48" s="134">
        <f t="shared" si="7"/>
        <v>1246151</v>
      </c>
      <c r="E48" s="115">
        <v>829641</v>
      </c>
      <c r="F48" s="115">
        <v>479829</v>
      </c>
      <c r="G48" s="134">
        <f t="shared" si="8"/>
        <v>1309470</v>
      </c>
      <c r="H48" s="115">
        <v>879059</v>
      </c>
      <c r="I48" s="115">
        <v>494420</v>
      </c>
      <c r="J48" s="134">
        <f t="shared" si="9"/>
        <v>1373479</v>
      </c>
      <c r="K48" s="115">
        <v>912642</v>
      </c>
      <c r="L48" s="115">
        <v>525787</v>
      </c>
      <c r="M48" s="134">
        <f t="shared" si="10"/>
        <v>1438429</v>
      </c>
      <c r="N48" s="115">
        <v>917701</v>
      </c>
      <c r="O48" s="115">
        <v>543175</v>
      </c>
      <c r="P48" s="134">
        <f t="shared" si="1"/>
        <v>1460876</v>
      </c>
      <c r="Q48" s="115">
        <v>952460</v>
      </c>
      <c r="R48" s="115">
        <v>544304</v>
      </c>
      <c r="S48" s="134">
        <f t="shared" si="3"/>
        <v>1496764</v>
      </c>
      <c r="T48" s="114">
        <v>963100</v>
      </c>
      <c r="U48" s="114">
        <v>548165</v>
      </c>
      <c r="V48" s="134">
        <f t="shared" si="4"/>
        <v>1511265</v>
      </c>
      <c r="W48" s="114">
        <v>984770</v>
      </c>
      <c r="X48" s="114">
        <v>559323</v>
      </c>
      <c r="Y48" s="134">
        <f t="shared" si="5"/>
        <v>1544093</v>
      </c>
      <c r="Z48" s="113">
        <v>1015877</v>
      </c>
      <c r="AA48" s="113">
        <v>606971</v>
      </c>
      <c r="AB48" s="134">
        <f t="shared" si="6"/>
        <v>1622848</v>
      </c>
      <c r="AD48" s="112" t="s">
        <v>477</v>
      </c>
      <c r="AE48" s="112">
        <v>4745603</v>
      </c>
      <c r="AF48" s="112">
        <v>2341458</v>
      </c>
      <c r="AG48" s="193">
        <f t="shared" si="11"/>
        <v>7087061</v>
      </c>
      <c r="AH48" s="156">
        <v>211</v>
      </c>
      <c r="AI48" s="168" t="s">
        <v>383</v>
      </c>
      <c r="AJ48" s="151">
        <v>3447253</v>
      </c>
      <c r="AK48" s="151">
        <v>1316532</v>
      </c>
      <c r="AL48" s="182">
        <f t="shared" si="21"/>
        <v>4763785</v>
      </c>
      <c r="AM48" s="151">
        <v>3623865</v>
      </c>
      <c r="AN48" s="151">
        <v>1376307</v>
      </c>
      <c r="AO48" s="182">
        <f t="shared" si="22"/>
        <v>5000172</v>
      </c>
      <c r="AP48" s="156">
        <v>211</v>
      </c>
      <c r="AQ48" s="168" t="s">
        <v>383</v>
      </c>
      <c r="AR48" s="152">
        <v>3649045</v>
      </c>
      <c r="AS48" s="152">
        <v>1288569</v>
      </c>
      <c r="AT48" s="176">
        <f t="shared" si="23"/>
        <v>4937614</v>
      </c>
      <c r="AU48" s="156">
        <v>211</v>
      </c>
      <c r="AV48" s="168" t="s">
        <v>383</v>
      </c>
      <c r="AW48" s="153">
        <v>3501055</v>
      </c>
      <c r="AX48" s="153">
        <v>1404258</v>
      </c>
      <c r="AY48" s="176">
        <f t="shared" si="24"/>
        <v>4905313</v>
      </c>
    </row>
    <row r="49" spans="1:51">
      <c r="A49" s="115" t="s">
        <v>208</v>
      </c>
      <c r="B49" s="115">
        <v>1366679</v>
      </c>
      <c r="C49" s="115">
        <v>742464</v>
      </c>
      <c r="D49" s="134">
        <f t="shared" si="7"/>
        <v>2109143</v>
      </c>
      <c r="E49" s="115">
        <v>1470641</v>
      </c>
      <c r="F49" s="115">
        <v>840145</v>
      </c>
      <c r="G49" s="134">
        <f t="shared" si="8"/>
        <v>2310786</v>
      </c>
      <c r="H49" s="115">
        <v>1507448</v>
      </c>
      <c r="I49" s="115">
        <v>884892</v>
      </c>
      <c r="J49" s="134">
        <f t="shared" si="9"/>
        <v>2392340</v>
      </c>
      <c r="K49" s="115">
        <v>1556709</v>
      </c>
      <c r="L49" s="115">
        <v>979934</v>
      </c>
      <c r="M49" s="134">
        <f t="shared" si="10"/>
        <v>2536643</v>
      </c>
      <c r="N49" s="115">
        <v>1690699</v>
      </c>
      <c r="O49" s="115">
        <v>874708</v>
      </c>
      <c r="P49" s="134">
        <f t="shared" si="1"/>
        <v>2565407</v>
      </c>
      <c r="Q49" s="115">
        <v>1740580</v>
      </c>
      <c r="R49" s="115">
        <v>1034492</v>
      </c>
      <c r="S49" s="134">
        <f t="shared" si="3"/>
        <v>2775072</v>
      </c>
      <c r="T49" s="114">
        <v>1773082</v>
      </c>
      <c r="U49" s="114">
        <v>1085753</v>
      </c>
      <c r="V49" s="134">
        <f t="shared" si="4"/>
        <v>2858835</v>
      </c>
      <c r="W49" s="114">
        <v>1899304</v>
      </c>
      <c r="X49" s="114">
        <v>1131228</v>
      </c>
      <c r="Y49" s="134">
        <f t="shared" si="5"/>
        <v>3030532</v>
      </c>
      <c r="Z49" s="113">
        <v>1937256</v>
      </c>
      <c r="AA49" s="113">
        <v>1156543</v>
      </c>
      <c r="AB49" s="134">
        <f t="shared" si="6"/>
        <v>3093799</v>
      </c>
      <c r="AD49" s="112" t="s">
        <v>510</v>
      </c>
      <c r="AE49" s="112">
        <v>1255874</v>
      </c>
      <c r="AF49" s="112">
        <v>844961</v>
      </c>
      <c r="AG49" s="193">
        <f t="shared" si="11"/>
        <v>2100835</v>
      </c>
      <c r="AH49" s="156">
        <v>212</v>
      </c>
      <c r="AI49" s="168" t="s">
        <v>207</v>
      </c>
      <c r="AJ49" s="151">
        <v>4645846</v>
      </c>
      <c r="AK49" s="151">
        <v>2197449</v>
      </c>
      <c r="AL49" s="182">
        <f t="shared" si="21"/>
        <v>6843295</v>
      </c>
      <c r="AM49" s="151">
        <v>4634720</v>
      </c>
      <c r="AN49" s="151">
        <v>2353645</v>
      </c>
      <c r="AO49" s="182">
        <f t="shared" si="22"/>
        <v>6988365</v>
      </c>
      <c r="AP49" s="156">
        <v>212</v>
      </c>
      <c r="AQ49" s="168" t="s">
        <v>207</v>
      </c>
      <c r="AR49" s="152">
        <v>4595532</v>
      </c>
      <c r="AS49" s="152">
        <v>2305566</v>
      </c>
      <c r="AT49" s="176">
        <f t="shared" si="23"/>
        <v>6901098</v>
      </c>
      <c r="AU49" s="156">
        <v>212</v>
      </c>
      <c r="AV49" s="168" t="s">
        <v>207</v>
      </c>
      <c r="AW49" s="153">
        <v>4503091</v>
      </c>
      <c r="AX49" s="153">
        <v>2245686</v>
      </c>
      <c r="AY49" s="176">
        <f t="shared" si="24"/>
        <v>6748777</v>
      </c>
    </row>
    <row r="50" spans="1:51">
      <c r="A50" s="115" t="s">
        <v>209</v>
      </c>
      <c r="B50" s="115">
        <v>1102633</v>
      </c>
      <c r="C50" s="115">
        <v>749008</v>
      </c>
      <c r="D50" s="134">
        <f t="shared" si="7"/>
        <v>1851641</v>
      </c>
      <c r="E50" s="115">
        <v>1187903</v>
      </c>
      <c r="F50" s="115">
        <v>766687</v>
      </c>
      <c r="G50" s="134">
        <f t="shared" si="8"/>
        <v>1954590</v>
      </c>
      <c r="H50" s="115">
        <v>1245102</v>
      </c>
      <c r="I50" s="115">
        <v>794288</v>
      </c>
      <c r="J50" s="134">
        <f t="shared" si="9"/>
        <v>2039390</v>
      </c>
      <c r="K50" s="115">
        <v>1284262</v>
      </c>
      <c r="L50" s="115">
        <v>835446</v>
      </c>
      <c r="M50" s="134">
        <f t="shared" si="10"/>
        <v>2119708</v>
      </c>
      <c r="N50" s="115">
        <v>1286290</v>
      </c>
      <c r="O50" s="115">
        <v>927151</v>
      </c>
      <c r="P50" s="134">
        <f t="shared" si="1"/>
        <v>2213441</v>
      </c>
      <c r="Q50" s="115">
        <v>1418180</v>
      </c>
      <c r="R50" s="115">
        <v>1228350</v>
      </c>
      <c r="S50" s="134">
        <f t="shared" si="3"/>
        <v>2646530</v>
      </c>
      <c r="T50" s="114">
        <v>1437784</v>
      </c>
      <c r="U50" s="114">
        <v>1299953</v>
      </c>
      <c r="V50" s="134">
        <f t="shared" si="4"/>
        <v>2737737</v>
      </c>
      <c r="W50" s="114">
        <v>1518992</v>
      </c>
      <c r="X50" s="114">
        <v>1272479</v>
      </c>
      <c r="Y50" s="134">
        <f t="shared" si="5"/>
        <v>2791471</v>
      </c>
      <c r="Z50" s="113">
        <v>1547608</v>
      </c>
      <c r="AA50" s="113">
        <v>1323193</v>
      </c>
      <c r="AB50" s="134">
        <f t="shared" si="6"/>
        <v>2870801</v>
      </c>
      <c r="AD50" s="112" t="s">
        <v>511</v>
      </c>
      <c r="AE50" s="112">
        <v>956177</v>
      </c>
      <c r="AF50" s="112">
        <v>538871</v>
      </c>
      <c r="AG50" s="193">
        <f t="shared" si="11"/>
        <v>1495048</v>
      </c>
      <c r="AH50" s="156">
        <v>461</v>
      </c>
      <c r="AI50" s="168" t="s">
        <v>389</v>
      </c>
      <c r="AJ50" s="151">
        <v>1238917</v>
      </c>
      <c r="AK50" s="151">
        <v>905571</v>
      </c>
      <c r="AL50" s="182">
        <f t="shared" si="21"/>
        <v>2144488</v>
      </c>
      <c r="AM50" s="151">
        <v>1279176</v>
      </c>
      <c r="AN50" s="151">
        <v>978299</v>
      </c>
      <c r="AO50" s="182">
        <f t="shared" si="22"/>
        <v>2257475</v>
      </c>
      <c r="AP50" s="156">
        <v>461</v>
      </c>
      <c r="AQ50" s="168" t="s">
        <v>389</v>
      </c>
      <c r="AR50" s="152">
        <v>1316465</v>
      </c>
      <c r="AS50" s="152">
        <v>1015136</v>
      </c>
      <c r="AT50" s="176">
        <f t="shared" si="23"/>
        <v>2331601</v>
      </c>
      <c r="AU50" s="156">
        <v>227</v>
      </c>
      <c r="AV50" s="168" t="s">
        <v>641</v>
      </c>
      <c r="AW50" s="155">
        <v>4214041</v>
      </c>
      <c r="AX50" s="155">
        <v>2421211</v>
      </c>
      <c r="AY50" s="176">
        <f t="shared" si="24"/>
        <v>6635252</v>
      </c>
    </row>
    <row r="51" spans="1:51">
      <c r="A51" s="115" t="s">
        <v>335</v>
      </c>
      <c r="B51" s="115">
        <v>776500</v>
      </c>
      <c r="C51" s="115">
        <v>265356</v>
      </c>
      <c r="D51" s="134">
        <f t="shared" si="7"/>
        <v>1041856</v>
      </c>
      <c r="E51" s="115">
        <v>826842</v>
      </c>
      <c r="F51" s="115">
        <v>280318</v>
      </c>
      <c r="G51" s="134">
        <f t="shared" si="8"/>
        <v>1107160</v>
      </c>
      <c r="H51" s="115">
        <v>872358</v>
      </c>
      <c r="I51" s="115">
        <v>319505</v>
      </c>
      <c r="J51" s="134">
        <f t="shared" si="9"/>
        <v>1191863</v>
      </c>
      <c r="K51" s="115">
        <v>875660</v>
      </c>
      <c r="L51" s="115">
        <v>401142</v>
      </c>
      <c r="M51" s="134">
        <f t="shared" si="10"/>
        <v>1276802</v>
      </c>
      <c r="N51" s="115">
        <v>953675</v>
      </c>
      <c r="O51" s="115">
        <v>402583</v>
      </c>
      <c r="P51" s="134">
        <f t="shared" si="1"/>
        <v>1356258</v>
      </c>
      <c r="Q51" s="115">
        <v>939362</v>
      </c>
      <c r="R51" s="115">
        <v>492836</v>
      </c>
      <c r="S51" s="134">
        <f t="shared" si="3"/>
        <v>1432198</v>
      </c>
      <c r="T51" s="114">
        <v>992826</v>
      </c>
      <c r="U51" s="114">
        <v>459998</v>
      </c>
      <c r="V51" s="134">
        <f t="shared" si="4"/>
        <v>1452824</v>
      </c>
      <c r="W51" s="114">
        <v>1050733</v>
      </c>
      <c r="X51" s="114">
        <v>447660</v>
      </c>
      <c r="Y51" s="134">
        <f t="shared" si="5"/>
        <v>1498393</v>
      </c>
      <c r="Z51" s="113">
        <v>1061134</v>
      </c>
      <c r="AA51" s="113">
        <v>435557</v>
      </c>
      <c r="AB51" s="134">
        <f t="shared" si="6"/>
        <v>1496691</v>
      </c>
      <c r="AD51" s="112" t="s">
        <v>512</v>
      </c>
      <c r="AE51" s="112">
        <v>1005075</v>
      </c>
      <c r="AF51" s="112">
        <v>612914</v>
      </c>
      <c r="AG51" s="193">
        <f t="shared" si="11"/>
        <v>1617989</v>
      </c>
      <c r="AH51" s="156">
        <v>462</v>
      </c>
      <c r="AI51" s="168" t="s">
        <v>390</v>
      </c>
      <c r="AJ51" s="151">
        <v>886009</v>
      </c>
      <c r="AK51" s="151">
        <v>585143</v>
      </c>
      <c r="AL51" s="182">
        <f t="shared" si="21"/>
        <v>1471152</v>
      </c>
      <c r="AM51" s="151">
        <v>940099</v>
      </c>
      <c r="AN51" s="151">
        <v>638826</v>
      </c>
      <c r="AO51" s="182">
        <f t="shared" si="22"/>
        <v>1578925</v>
      </c>
      <c r="AP51" s="156">
        <v>462</v>
      </c>
      <c r="AQ51" s="168" t="s">
        <v>390</v>
      </c>
      <c r="AR51" s="152">
        <v>892890</v>
      </c>
      <c r="AS51" s="152">
        <v>554005</v>
      </c>
      <c r="AT51" s="176">
        <f t="shared" si="23"/>
        <v>1446895</v>
      </c>
      <c r="AU51" s="156">
        <v>461</v>
      </c>
      <c r="AV51" s="168" t="s">
        <v>389</v>
      </c>
      <c r="AW51" s="153">
        <v>1192112</v>
      </c>
      <c r="AX51" s="153">
        <v>961633</v>
      </c>
      <c r="AY51" s="176">
        <f t="shared" si="24"/>
        <v>2153745</v>
      </c>
    </row>
    <row r="52" spans="1:51">
      <c r="A52" s="115" t="s">
        <v>392</v>
      </c>
      <c r="B52" s="115">
        <v>567515</v>
      </c>
      <c r="C52" s="115">
        <v>255409</v>
      </c>
      <c r="D52" s="134">
        <f t="shared" si="7"/>
        <v>822924</v>
      </c>
      <c r="E52" s="115">
        <v>603656</v>
      </c>
      <c r="F52" s="115">
        <v>310723</v>
      </c>
      <c r="G52" s="134">
        <f t="shared" si="8"/>
        <v>914379</v>
      </c>
      <c r="H52" s="115">
        <v>641584</v>
      </c>
      <c r="I52" s="115">
        <v>296364</v>
      </c>
      <c r="J52" s="134">
        <f t="shared" si="9"/>
        <v>937948</v>
      </c>
      <c r="K52" s="115">
        <v>693928</v>
      </c>
      <c r="L52" s="115">
        <v>354507</v>
      </c>
      <c r="M52" s="134">
        <f t="shared" si="10"/>
        <v>1048435</v>
      </c>
      <c r="N52" s="115">
        <v>662781</v>
      </c>
      <c r="O52" s="115">
        <v>314162</v>
      </c>
      <c r="P52" s="134">
        <f t="shared" si="1"/>
        <v>976943</v>
      </c>
      <c r="Q52" s="115">
        <v>726590</v>
      </c>
      <c r="R52" s="115">
        <v>377649</v>
      </c>
      <c r="S52" s="134">
        <f t="shared" si="3"/>
        <v>1104239</v>
      </c>
      <c r="T52" s="114">
        <v>734434</v>
      </c>
      <c r="U52" s="114">
        <v>365808</v>
      </c>
      <c r="V52" s="134">
        <f t="shared" si="4"/>
        <v>1100242</v>
      </c>
      <c r="W52" s="114">
        <v>754607</v>
      </c>
      <c r="X52" s="114">
        <v>352834</v>
      </c>
      <c r="Y52" s="134">
        <f t="shared" si="5"/>
        <v>1107441</v>
      </c>
      <c r="Z52" s="113">
        <v>790839</v>
      </c>
      <c r="AA52" s="113">
        <v>409971</v>
      </c>
      <c r="AB52" s="134">
        <f t="shared" si="6"/>
        <v>1200810</v>
      </c>
      <c r="AD52" s="112" t="s">
        <v>513</v>
      </c>
      <c r="AE52" s="112">
        <v>1912016</v>
      </c>
      <c r="AF52" s="112">
        <v>1172427</v>
      </c>
      <c r="AG52" s="193">
        <f t="shared" si="11"/>
        <v>3084443</v>
      </c>
      <c r="AH52" s="156">
        <v>463</v>
      </c>
      <c r="AI52" s="168" t="s">
        <v>391</v>
      </c>
      <c r="AJ52" s="147">
        <v>1011683</v>
      </c>
      <c r="AK52" s="147">
        <v>594406</v>
      </c>
      <c r="AL52" s="182">
        <f t="shared" si="21"/>
        <v>1606089</v>
      </c>
      <c r="AM52" s="147">
        <v>997121</v>
      </c>
      <c r="AN52" s="147">
        <v>623444</v>
      </c>
      <c r="AO52" s="182">
        <f t="shared" si="22"/>
        <v>1620565</v>
      </c>
      <c r="AP52" s="156">
        <v>463</v>
      </c>
      <c r="AQ52" s="168" t="s">
        <v>391</v>
      </c>
      <c r="AR52" s="148">
        <v>989755</v>
      </c>
      <c r="AS52" s="148">
        <v>583258</v>
      </c>
      <c r="AT52" s="176">
        <f t="shared" si="23"/>
        <v>1573013</v>
      </c>
      <c r="AU52" s="156">
        <v>462</v>
      </c>
      <c r="AV52" s="168" t="s">
        <v>390</v>
      </c>
      <c r="AW52" s="153">
        <v>955366</v>
      </c>
      <c r="AX52" s="153">
        <v>608842</v>
      </c>
      <c r="AY52" s="176">
        <f t="shared" si="24"/>
        <v>1564208</v>
      </c>
    </row>
    <row r="53" spans="1:51">
      <c r="A53" s="115" t="s">
        <v>393</v>
      </c>
      <c r="B53" s="115">
        <v>542903</v>
      </c>
      <c r="C53" s="115">
        <v>214544</v>
      </c>
      <c r="D53" s="134">
        <f t="shared" si="7"/>
        <v>757447</v>
      </c>
      <c r="E53" s="115">
        <v>543303</v>
      </c>
      <c r="F53" s="115">
        <v>214122</v>
      </c>
      <c r="G53" s="134">
        <f t="shared" si="8"/>
        <v>757425</v>
      </c>
      <c r="H53" s="115">
        <v>570571</v>
      </c>
      <c r="I53" s="115">
        <v>259248</v>
      </c>
      <c r="J53" s="134">
        <f t="shared" si="9"/>
        <v>829819</v>
      </c>
      <c r="K53" s="115">
        <v>607208</v>
      </c>
      <c r="L53" s="115">
        <v>241643</v>
      </c>
      <c r="M53" s="134">
        <f t="shared" si="10"/>
        <v>848851</v>
      </c>
      <c r="N53" s="115">
        <v>601205</v>
      </c>
      <c r="O53" s="115">
        <v>229128</v>
      </c>
      <c r="P53" s="134">
        <f t="shared" si="1"/>
        <v>830333</v>
      </c>
      <c r="Q53" s="115">
        <v>607126</v>
      </c>
      <c r="R53" s="115">
        <v>233148</v>
      </c>
      <c r="S53" s="134">
        <f t="shared" si="3"/>
        <v>840274</v>
      </c>
      <c r="T53" s="114">
        <v>597386</v>
      </c>
      <c r="U53" s="114">
        <v>251991</v>
      </c>
      <c r="V53" s="134">
        <f t="shared" si="4"/>
        <v>849377</v>
      </c>
      <c r="W53" s="114">
        <v>610222</v>
      </c>
      <c r="X53" s="114">
        <v>283744</v>
      </c>
      <c r="Y53" s="134">
        <f t="shared" si="5"/>
        <v>893966</v>
      </c>
      <c r="Z53" s="113">
        <v>651593</v>
      </c>
      <c r="AA53" s="113">
        <v>336450</v>
      </c>
      <c r="AB53" s="134">
        <f t="shared" si="6"/>
        <v>988043</v>
      </c>
      <c r="AD53" s="112" t="s">
        <v>514</v>
      </c>
      <c r="AE53" s="112">
        <v>1507092</v>
      </c>
      <c r="AF53" s="112">
        <v>1326886</v>
      </c>
      <c r="AG53" s="193">
        <f t="shared" si="11"/>
        <v>2833978</v>
      </c>
      <c r="AH53" s="156">
        <v>464</v>
      </c>
      <c r="AI53" s="168" t="s">
        <v>208</v>
      </c>
      <c r="AJ53" s="151">
        <v>1916836</v>
      </c>
      <c r="AK53" s="151">
        <v>1114281</v>
      </c>
      <c r="AL53" s="182">
        <f t="shared" si="21"/>
        <v>3031117</v>
      </c>
      <c r="AM53" s="151">
        <v>1888506</v>
      </c>
      <c r="AN53" s="151">
        <v>1105127</v>
      </c>
      <c r="AO53" s="182">
        <f t="shared" si="22"/>
        <v>2993633</v>
      </c>
      <c r="AP53" s="156">
        <v>464</v>
      </c>
      <c r="AQ53" s="168" t="s">
        <v>208</v>
      </c>
      <c r="AR53" s="152">
        <v>1872238</v>
      </c>
      <c r="AS53" s="152">
        <v>1078448</v>
      </c>
      <c r="AT53" s="176">
        <f t="shared" si="23"/>
        <v>2950686</v>
      </c>
      <c r="AU53" s="156">
        <v>463</v>
      </c>
      <c r="AV53" s="168" t="s">
        <v>391</v>
      </c>
      <c r="AW53" s="149">
        <v>963005</v>
      </c>
      <c r="AX53" s="149">
        <v>527274</v>
      </c>
      <c r="AY53" s="176">
        <f t="shared" si="24"/>
        <v>1490279</v>
      </c>
    </row>
    <row r="54" spans="1:51">
      <c r="A54" s="115" t="s">
        <v>394</v>
      </c>
      <c r="B54" s="115">
        <v>414283</v>
      </c>
      <c r="C54" s="115">
        <v>203548</v>
      </c>
      <c r="D54" s="134">
        <f t="shared" si="7"/>
        <v>617831</v>
      </c>
      <c r="E54" s="115">
        <v>420438</v>
      </c>
      <c r="F54" s="115">
        <v>213022</v>
      </c>
      <c r="G54" s="134">
        <f t="shared" si="8"/>
        <v>633460</v>
      </c>
      <c r="H54" s="115">
        <v>436368</v>
      </c>
      <c r="I54" s="115">
        <v>217958</v>
      </c>
      <c r="J54" s="134">
        <f t="shared" si="9"/>
        <v>654326</v>
      </c>
      <c r="K54" s="115">
        <v>475891</v>
      </c>
      <c r="L54" s="115">
        <v>191596</v>
      </c>
      <c r="M54" s="134">
        <f t="shared" si="10"/>
        <v>667487</v>
      </c>
      <c r="N54" s="115">
        <v>490429</v>
      </c>
      <c r="O54" s="115">
        <v>265119</v>
      </c>
      <c r="P54" s="134">
        <f t="shared" si="1"/>
        <v>755548</v>
      </c>
      <c r="Q54" s="115">
        <v>499588</v>
      </c>
      <c r="R54" s="115">
        <v>337775</v>
      </c>
      <c r="S54" s="134">
        <f t="shared" si="3"/>
        <v>837363</v>
      </c>
      <c r="T54" s="114">
        <v>516372</v>
      </c>
      <c r="U54" s="114">
        <v>333140</v>
      </c>
      <c r="V54" s="134">
        <f t="shared" si="4"/>
        <v>849512</v>
      </c>
      <c r="W54" s="114">
        <v>531324</v>
      </c>
      <c r="X54" s="114">
        <v>322677</v>
      </c>
      <c r="Y54" s="134">
        <f t="shared" si="5"/>
        <v>854001</v>
      </c>
      <c r="Z54" s="113">
        <v>560214</v>
      </c>
      <c r="AA54" s="113">
        <v>361897</v>
      </c>
      <c r="AB54" s="134">
        <f t="shared" si="6"/>
        <v>922111</v>
      </c>
      <c r="AD54" s="112" t="s">
        <v>515</v>
      </c>
      <c r="AE54" s="112">
        <v>1040778</v>
      </c>
      <c r="AF54" s="112">
        <v>458650</v>
      </c>
      <c r="AG54" s="193">
        <f t="shared" si="11"/>
        <v>1499428</v>
      </c>
      <c r="AH54" s="156">
        <v>481</v>
      </c>
      <c r="AI54" s="168" t="s">
        <v>209</v>
      </c>
      <c r="AJ54" s="151">
        <v>1494841</v>
      </c>
      <c r="AK54" s="151">
        <v>1234920</v>
      </c>
      <c r="AL54" s="182">
        <f t="shared" si="21"/>
        <v>2729761</v>
      </c>
      <c r="AM54" s="151">
        <v>1452080</v>
      </c>
      <c r="AN54" s="151">
        <v>1281451</v>
      </c>
      <c r="AO54" s="182">
        <f t="shared" si="22"/>
        <v>2733531</v>
      </c>
      <c r="AP54" s="156">
        <v>481</v>
      </c>
      <c r="AQ54" s="168" t="s">
        <v>209</v>
      </c>
      <c r="AR54" s="152">
        <v>1473552</v>
      </c>
      <c r="AS54" s="152">
        <v>1299112</v>
      </c>
      <c r="AT54" s="176">
        <f t="shared" si="23"/>
        <v>2772664</v>
      </c>
      <c r="AU54" s="156">
        <v>464</v>
      </c>
      <c r="AV54" s="168" t="s">
        <v>208</v>
      </c>
      <c r="AW54" s="153">
        <v>1867529</v>
      </c>
      <c r="AX54" s="153">
        <v>1087665</v>
      </c>
      <c r="AY54" s="176">
        <f t="shared" si="24"/>
        <v>2955194</v>
      </c>
    </row>
    <row r="55" spans="1:51">
      <c r="A55" s="115" t="s">
        <v>395</v>
      </c>
      <c r="B55" s="115">
        <v>1727302</v>
      </c>
      <c r="C55" s="115">
        <v>443170</v>
      </c>
      <c r="D55" s="134">
        <f t="shared" si="7"/>
        <v>2170472</v>
      </c>
      <c r="E55" s="115">
        <v>1697847</v>
      </c>
      <c r="F55" s="115">
        <v>484137</v>
      </c>
      <c r="G55" s="134">
        <f t="shared" si="8"/>
        <v>2181984</v>
      </c>
      <c r="H55" s="115">
        <v>1800513</v>
      </c>
      <c r="I55" s="115">
        <v>581173</v>
      </c>
      <c r="J55" s="134">
        <f t="shared" si="9"/>
        <v>2381686</v>
      </c>
      <c r="K55" s="115">
        <v>1940521</v>
      </c>
      <c r="L55" s="115">
        <v>624742</v>
      </c>
      <c r="M55" s="134">
        <f t="shared" si="10"/>
        <v>2565263</v>
      </c>
      <c r="N55" s="115">
        <v>1975404</v>
      </c>
      <c r="O55" s="115">
        <v>670575</v>
      </c>
      <c r="P55" s="134">
        <f t="shared" si="1"/>
        <v>2645979</v>
      </c>
      <c r="Q55" s="115">
        <v>2063622</v>
      </c>
      <c r="R55" s="115">
        <v>692303</v>
      </c>
      <c r="S55" s="134">
        <f t="shared" si="3"/>
        <v>2755925</v>
      </c>
      <c r="T55" s="114">
        <v>2094225</v>
      </c>
      <c r="U55" s="114">
        <v>780679</v>
      </c>
      <c r="V55" s="134">
        <f t="shared" si="4"/>
        <v>2874904</v>
      </c>
      <c r="W55" s="114">
        <v>2019170</v>
      </c>
      <c r="X55" s="114">
        <v>709496</v>
      </c>
      <c r="Y55" s="134">
        <f t="shared" si="5"/>
        <v>2728666</v>
      </c>
      <c r="Z55" s="113">
        <v>2017545</v>
      </c>
      <c r="AA55" s="113">
        <v>796371</v>
      </c>
      <c r="AB55" s="134">
        <f t="shared" si="6"/>
        <v>2813916</v>
      </c>
      <c r="AD55" s="112" t="s">
        <v>516</v>
      </c>
      <c r="AE55" s="112">
        <v>791515</v>
      </c>
      <c r="AF55" s="112">
        <v>416062</v>
      </c>
      <c r="AG55" s="193">
        <f t="shared" si="11"/>
        <v>1207577</v>
      </c>
      <c r="AH55" s="156">
        <v>501</v>
      </c>
      <c r="AI55" s="168" t="s">
        <v>335</v>
      </c>
      <c r="AJ55" s="151">
        <v>1064099</v>
      </c>
      <c r="AK55" s="151">
        <v>459535</v>
      </c>
      <c r="AL55" s="182">
        <f t="shared" si="21"/>
        <v>1523634</v>
      </c>
      <c r="AM55" s="151">
        <v>1063985</v>
      </c>
      <c r="AN55" s="151">
        <v>461098</v>
      </c>
      <c r="AO55" s="182">
        <f t="shared" si="22"/>
        <v>1525083</v>
      </c>
      <c r="AP55" s="156">
        <v>501</v>
      </c>
      <c r="AQ55" s="168" t="s">
        <v>335</v>
      </c>
      <c r="AR55" s="152">
        <v>1054438</v>
      </c>
      <c r="AS55" s="152">
        <v>457163</v>
      </c>
      <c r="AT55" s="176">
        <f t="shared" si="23"/>
        <v>1511601</v>
      </c>
      <c r="AU55" s="156">
        <v>481</v>
      </c>
      <c r="AV55" s="168" t="s">
        <v>209</v>
      </c>
      <c r="AW55" s="153">
        <v>1436477</v>
      </c>
      <c r="AX55" s="153">
        <v>1295523</v>
      </c>
      <c r="AY55" s="176">
        <f t="shared" si="24"/>
        <v>2732000</v>
      </c>
    </row>
    <row r="56" spans="1:51">
      <c r="A56" s="115" t="s">
        <v>396</v>
      </c>
      <c r="B56" s="115">
        <v>515048</v>
      </c>
      <c r="C56" s="115">
        <v>186024</v>
      </c>
      <c r="D56" s="134">
        <f t="shared" si="7"/>
        <v>701072</v>
      </c>
      <c r="E56" s="115">
        <v>537720</v>
      </c>
      <c r="F56" s="115">
        <v>239650</v>
      </c>
      <c r="G56" s="134">
        <f t="shared" si="8"/>
        <v>777370</v>
      </c>
      <c r="H56" s="115">
        <v>579442</v>
      </c>
      <c r="I56" s="115">
        <v>264276</v>
      </c>
      <c r="J56" s="134">
        <f t="shared" si="9"/>
        <v>843718</v>
      </c>
      <c r="K56" s="115">
        <v>599570</v>
      </c>
      <c r="L56" s="115">
        <v>253544</v>
      </c>
      <c r="M56" s="134">
        <f t="shared" si="10"/>
        <v>853114</v>
      </c>
      <c r="N56" s="115">
        <v>619806</v>
      </c>
      <c r="O56" s="115">
        <v>303957</v>
      </c>
      <c r="P56" s="134">
        <f t="shared" si="1"/>
        <v>923763</v>
      </c>
      <c r="Q56" s="115">
        <v>642115</v>
      </c>
      <c r="R56" s="115">
        <v>385492</v>
      </c>
      <c r="S56" s="134">
        <f t="shared" si="3"/>
        <v>1027607</v>
      </c>
      <c r="T56" s="114">
        <v>650122</v>
      </c>
      <c r="U56" s="114">
        <v>361472</v>
      </c>
      <c r="V56" s="134">
        <f t="shared" si="4"/>
        <v>1011594</v>
      </c>
      <c r="W56" s="114">
        <v>672425</v>
      </c>
      <c r="X56" s="114">
        <v>343754</v>
      </c>
      <c r="Y56" s="134">
        <f t="shared" si="5"/>
        <v>1016179</v>
      </c>
      <c r="Z56" s="113">
        <v>689552</v>
      </c>
      <c r="AA56" s="113">
        <v>354882</v>
      </c>
      <c r="AB56" s="134">
        <f t="shared" si="6"/>
        <v>1044434</v>
      </c>
      <c r="AD56" s="112" t="s">
        <v>517</v>
      </c>
      <c r="AE56" s="112">
        <v>669146</v>
      </c>
      <c r="AF56" s="112">
        <v>354991</v>
      </c>
      <c r="AG56" s="193">
        <f t="shared" si="11"/>
        <v>1024137</v>
      </c>
      <c r="AH56" s="156">
        <v>502</v>
      </c>
      <c r="AI56" s="168" t="s">
        <v>392</v>
      </c>
      <c r="AJ56" s="151">
        <v>798344</v>
      </c>
      <c r="AK56" s="151">
        <v>387592</v>
      </c>
      <c r="AL56" s="182">
        <f t="shared" si="21"/>
        <v>1185936</v>
      </c>
      <c r="AM56" s="151">
        <v>785227</v>
      </c>
      <c r="AN56" s="151">
        <v>336790</v>
      </c>
      <c r="AO56" s="182">
        <f t="shared" si="22"/>
        <v>1122017</v>
      </c>
      <c r="AP56" s="156">
        <v>502</v>
      </c>
      <c r="AQ56" s="168" t="s">
        <v>392</v>
      </c>
      <c r="AR56" s="152">
        <v>784616</v>
      </c>
      <c r="AS56" s="152">
        <v>348423</v>
      </c>
      <c r="AT56" s="176">
        <f t="shared" si="23"/>
        <v>1133039</v>
      </c>
      <c r="AU56" s="156">
        <v>501</v>
      </c>
      <c r="AV56" s="168" t="s">
        <v>335</v>
      </c>
      <c r="AW56" s="153">
        <v>1040715</v>
      </c>
      <c r="AX56" s="153">
        <v>467375</v>
      </c>
      <c r="AY56" s="176">
        <f t="shared" si="24"/>
        <v>1508090</v>
      </c>
    </row>
    <row r="57" spans="1:51">
      <c r="A57" s="115" t="s">
        <v>397</v>
      </c>
      <c r="B57" s="115">
        <v>976416</v>
      </c>
      <c r="C57" s="115">
        <v>458545</v>
      </c>
      <c r="D57" s="134">
        <f t="shared" si="7"/>
        <v>1434961</v>
      </c>
      <c r="E57" s="115">
        <v>1008990</v>
      </c>
      <c r="F57" s="115">
        <v>506155</v>
      </c>
      <c r="G57" s="134">
        <f t="shared" si="8"/>
        <v>1515145</v>
      </c>
      <c r="H57" s="115">
        <v>1043436</v>
      </c>
      <c r="I57" s="115">
        <v>600800</v>
      </c>
      <c r="J57" s="134">
        <f t="shared" si="9"/>
        <v>1644236</v>
      </c>
      <c r="K57" s="115">
        <v>1093829</v>
      </c>
      <c r="L57" s="115">
        <v>602786</v>
      </c>
      <c r="M57" s="134">
        <f t="shared" si="10"/>
        <v>1696615</v>
      </c>
      <c r="N57" s="115">
        <v>1118787</v>
      </c>
      <c r="O57" s="115">
        <v>631270</v>
      </c>
      <c r="P57" s="134">
        <f t="shared" si="1"/>
        <v>1750057</v>
      </c>
      <c r="Q57" s="115">
        <v>1167368</v>
      </c>
      <c r="R57" s="115">
        <v>758386</v>
      </c>
      <c r="S57" s="134">
        <f t="shared" si="3"/>
        <v>1925754</v>
      </c>
      <c r="T57" s="114">
        <v>1185833</v>
      </c>
      <c r="U57" s="114">
        <v>763218</v>
      </c>
      <c r="V57" s="134">
        <f t="shared" si="4"/>
        <v>1949051</v>
      </c>
      <c r="W57" s="114">
        <v>1194494</v>
      </c>
      <c r="X57" s="114">
        <v>814986</v>
      </c>
      <c r="Y57" s="134">
        <f t="shared" si="5"/>
        <v>2009480</v>
      </c>
      <c r="Z57" s="113">
        <v>1192583</v>
      </c>
      <c r="AA57" s="113">
        <v>812565</v>
      </c>
      <c r="AB57" s="134">
        <f t="shared" si="6"/>
        <v>2005148</v>
      </c>
      <c r="AD57" s="112" t="s">
        <v>518</v>
      </c>
      <c r="AE57" s="112">
        <v>552162</v>
      </c>
      <c r="AF57" s="112">
        <v>301130</v>
      </c>
      <c r="AG57" s="193">
        <f t="shared" si="11"/>
        <v>853292</v>
      </c>
      <c r="AH57" s="156">
        <v>503</v>
      </c>
      <c r="AI57" s="168" t="s">
        <v>393</v>
      </c>
      <c r="AJ57" s="151">
        <v>644605</v>
      </c>
      <c r="AK57" s="151">
        <v>341612</v>
      </c>
      <c r="AL57" s="182">
        <f t="shared" si="21"/>
        <v>986217</v>
      </c>
      <c r="AM57" s="151">
        <v>671429</v>
      </c>
      <c r="AN57" s="151">
        <v>334418</v>
      </c>
      <c r="AO57" s="182">
        <f t="shared" si="22"/>
        <v>1005847</v>
      </c>
      <c r="AP57" s="156">
        <v>503</v>
      </c>
      <c r="AQ57" s="168" t="s">
        <v>393</v>
      </c>
      <c r="AR57" s="152">
        <v>670277</v>
      </c>
      <c r="AS57" s="152">
        <v>363642</v>
      </c>
      <c r="AT57" s="176">
        <f t="shared" si="23"/>
        <v>1033919</v>
      </c>
      <c r="AU57" s="156">
        <v>502</v>
      </c>
      <c r="AV57" s="168" t="s">
        <v>392</v>
      </c>
      <c r="AW57" s="153">
        <v>765173</v>
      </c>
      <c r="AX57" s="153">
        <v>354808</v>
      </c>
      <c r="AY57" s="176">
        <f t="shared" si="24"/>
        <v>1119981</v>
      </c>
    </row>
    <row r="58" spans="1:51">
      <c r="A58" s="115" t="s">
        <v>398</v>
      </c>
      <c r="B58" s="115">
        <v>534518</v>
      </c>
      <c r="C58" s="115">
        <v>373905</v>
      </c>
      <c r="D58" s="134">
        <f t="shared" si="7"/>
        <v>908423</v>
      </c>
      <c r="E58" s="115">
        <v>527950</v>
      </c>
      <c r="F58" s="115">
        <v>239255</v>
      </c>
      <c r="G58" s="134">
        <f t="shared" si="8"/>
        <v>767205</v>
      </c>
      <c r="H58" s="115">
        <v>560764</v>
      </c>
      <c r="I58" s="115">
        <v>284325</v>
      </c>
      <c r="J58" s="134">
        <f t="shared" si="9"/>
        <v>845089</v>
      </c>
      <c r="K58" s="115">
        <v>564288</v>
      </c>
      <c r="L58" s="115">
        <v>345144</v>
      </c>
      <c r="M58" s="134">
        <f t="shared" si="10"/>
        <v>909432</v>
      </c>
      <c r="N58" s="115">
        <v>552100</v>
      </c>
      <c r="O58" s="115">
        <v>357129</v>
      </c>
      <c r="P58" s="134">
        <f t="shared" si="1"/>
        <v>909229</v>
      </c>
      <c r="Q58" s="115">
        <v>573412</v>
      </c>
      <c r="R58" s="115">
        <v>368781</v>
      </c>
      <c r="S58" s="134">
        <f t="shared" si="3"/>
        <v>942193</v>
      </c>
      <c r="T58" s="114">
        <v>590247</v>
      </c>
      <c r="U58" s="114">
        <v>396640</v>
      </c>
      <c r="V58" s="134">
        <f t="shared" si="4"/>
        <v>986887</v>
      </c>
      <c r="W58" s="114">
        <v>604084</v>
      </c>
      <c r="X58" s="114">
        <v>427108</v>
      </c>
      <c r="Y58" s="134">
        <f t="shared" si="5"/>
        <v>1031192</v>
      </c>
      <c r="Z58" s="113">
        <v>607018</v>
      </c>
      <c r="AA58" s="113">
        <v>431722</v>
      </c>
      <c r="AB58" s="134">
        <f t="shared" si="6"/>
        <v>1038740</v>
      </c>
      <c r="AD58" s="112" t="s">
        <v>519</v>
      </c>
      <c r="AE58" s="112">
        <v>1968685</v>
      </c>
      <c r="AF58" s="112">
        <v>804384</v>
      </c>
      <c r="AG58" s="193">
        <f t="shared" si="11"/>
        <v>2773069</v>
      </c>
      <c r="AH58" s="156">
        <v>504</v>
      </c>
      <c r="AI58" s="168" t="s">
        <v>394</v>
      </c>
      <c r="AJ58" s="151">
        <v>554226</v>
      </c>
      <c r="AK58" s="151">
        <v>234304</v>
      </c>
      <c r="AL58" s="182">
        <f t="shared" si="21"/>
        <v>788530</v>
      </c>
      <c r="AM58" s="151">
        <v>546539</v>
      </c>
      <c r="AN58" s="151">
        <v>250826</v>
      </c>
      <c r="AO58" s="182">
        <f t="shared" si="22"/>
        <v>797365</v>
      </c>
      <c r="AP58" s="156">
        <v>504</v>
      </c>
      <c r="AQ58" s="168" t="s">
        <v>394</v>
      </c>
      <c r="AR58" s="152">
        <v>560352</v>
      </c>
      <c r="AS58" s="152">
        <v>225630</v>
      </c>
      <c r="AT58" s="176">
        <f t="shared" si="23"/>
        <v>785982</v>
      </c>
      <c r="AU58" s="156">
        <v>503</v>
      </c>
      <c r="AV58" s="168" t="s">
        <v>393</v>
      </c>
      <c r="AW58" s="153">
        <v>645934</v>
      </c>
      <c r="AX58" s="153">
        <v>343407</v>
      </c>
      <c r="AY58" s="176">
        <f t="shared" si="24"/>
        <v>989341</v>
      </c>
    </row>
    <row r="59" spans="1:51">
      <c r="A59" s="115" t="s">
        <v>399</v>
      </c>
      <c r="B59" s="115">
        <v>497403</v>
      </c>
      <c r="C59" s="115">
        <v>330310</v>
      </c>
      <c r="D59" s="134">
        <f t="shared" si="7"/>
        <v>827713</v>
      </c>
      <c r="E59" s="115">
        <v>500267</v>
      </c>
      <c r="F59" s="115">
        <v>442626</v>
      </c>
      <c r="G59" s="134">
        <f t="shared" si="8"/>
        <v>942893</v>
      </c>
      <c r="H59" s="115">
        <v>505935</v>
      </c>
      <c r="I59" s="115">
        <v>484517</v>
      </c>
      <c r="J59" s="134">
        <f t="shared" si="9"/>
        <v>990452</v>
      </c>
      <c r="K59" s="115">
        <v>560153</v>
      </c>
      <c r="L59" s="115">
        <v>530390</v>
      </c>
      <c r="M59" s="134">
        <f t="shared" si="10"/>
        <v>1090543</v>
      </c>
      <c r="N59" s="115">
        <v>563054</v>
      </c>
      <c r="O59" s="115">
        <v>251737</v>
      </c>
      <c r="P59" s="134">
        <f t="shared" si="1"/>
        <v>814791</v>
      </c>
      <c r="Q59" s="115">
        <v>559516</v>
      </c>
      <c r="R59" s="115">
        <v>284893</v>
      </c>
      <c r="S59" s="134">
        <f t="shared" si="3"/>
        <v>844409</v>
      </c>
      <c r="T59" s="114">
        <v>567498</v>
      </c>
      <c r="U59" s="114">
        <v>273480</v>
      </c>
      <c r="V59" s="134">
        <f t="shared" si="4"/>
        <v>840978</v>
      </c>
      <c r="W59" s="114">
        <v>584426</v>
      </c>
      <c r="X59" s="114">
        <v>283885</v>
      </c>
      <c r="Y59" s="134">
        <f t="shared" si="5"/>
        <v>868311</v>
      </c>
      <c r="Z59" s="113">
        <v>572750</v>
      </c>
      <c r="AA59" s="113">
        <v>336688</v>
      </c>
      <c r="AB59" s="134">
        <f t="shared" si="6"/>
        <v>909438</v>
      </c>
      <c r="AD59" s="112" t="s">
        <v>520</v>
      </c>
      <c r="AE59" s="112">
        <v>678976</v>
      </c>
      <c r="AF59" s="112">
        <v>358562</v>
      </c>
      <c r="AG59" s="193">
        <f t="shared" si="11"/>
        <v>1037538</v>
      </c>
      <c r="AH59" s="156">
        <v>521</v>
      </c>
      <c r="AI59" s="168" t="s">
        <v>395</v>
      </c>
      <c r="AJ59" s="151">
        <v>1947775</v>
      </c>
      <c r="AK59" s="151">
        <v>805743</v>
      </c>
      <c r="AL59" s="182">
        <f t="shared" si="21"/>
        <v>2753518</v>
      </c>
      <c r="AM59" s="151">
        <v>1930047</v>
      </c>
      <c r="AN59" s="151">
        <v>831456</v>
      </c>
      <c r="AO59" s="182">
        <f t="shared" si="22"/>
        <v>2761503</v>
      </c>
      <c r="AP59" s="156">
        <v>521</v>
      </c>
      <c r="AQ59" s="168" t="s">
        <v>395</v>
      </c>
      <c r="AR59" s="152">
        <v>1967913</v>
      </c>
      <c r="AS59" s="152">
        <v>841459</v>
      </c>
      <c r="AT59" s="176">
        <f t="shared" si="23"/>
        <v>2809372</v>
      </c>
      <c r="AU59" s="156">
        <v>504</v>
      </c>
      <c r="AV59" s="168" t="s">
        <v>394</v>
      </c>
      <c r="AW59" s="153">
        <v>567367</v>
      </c>
      <c r="AX59" s="153">
        <v>225277</v>
      </c>
      <c r="AY59" s="176">
        <f t="shared" si="24"/>
        <v>792644</v>
      </c>
    </row>
    <row r="60" spans="1:51">
      <c r="A60" s="115" t="s">
        <v>210</v>
      </c>
      <c r="B60" s="115">
        <f t="shared" ref="B60:N60" si="25">SUM(B61:B79)</f>
        <v>17081029</v>
      </c>
      <c r="C60" s="115">
        <f t="shared" si="25"/>
        <v>7034251</v>
      </c>
      <c r="D60" s="134">
        <f t="shared" si="7"/>
        <v>24115280</v>
      </c>
      <c r="E60" s="115">
        <f t="shared" si="25"/>
        <v>18280130</v>
      </c>
      <c r="F60" s="115">
        <f t="shared" si="25"/>
        <v>7513374</v>
      </c>
      <c r="G60" s="134">
        <f t="shared" si="8"/>
        <v>25793504</v>
      </c>
      <c r="H60" s="115">
        <f t="shared" si="25"/>
        <v>19300770</v>
      </c>
      <c r="I60" s="115">
        <f t="shared" si="25"/>
        <v>8760449</v>
      </c>
      <c r="J60" s="134">
        <f t="shared" si="9"/>
        <v>28061219</v>
      </c>
      <c r="K60" s="115">
        <f t="shared" si="25"/>
        <v>19930764</v>
      </c>
      <c r="L60" s="115">
        <f t="shared" si="25"/>
        <v>9948832</v>
      </c>
      <c r="M60" s="134">
        <f t="shared" si="10"/>
        <v>29879596</v>
      </c>
      <c r="N60" s="115">
        <f t="shared" si="25"/>
        <v>20220585</v>
      </c>
      <c r="O60" s="115">
        <f>SUM(O61:O79)</f>
        <v>10807105</v>
      </c>
      <c r="P60" s="134">
        <f t="shared" si="1"/>
        <v>31027690</v>
      </c>
      <c r="Q60" s="115">
        <f t="shared" ref="Q60:AA60" si="26">SUM(Q61:Q79)</f>
        <v>20411920</v>
      </c>
      <c r="R60" s="115">
        <f t="shared" si="26"/>
        <v>10901679</v>
      </c>
      <c r="S60" s="134">
        <f t="shared" si="3"/>
        <v>31313599</v>
      </c>
      <c r="T60" s="115">
        <f t="shared" si="26"/>
        <v>20343869</v>
      </c>
      <c r="U60" s="115">
        <f t="shared" si="26"/>
        <v>11204573</v>
      </c>
      <c r="V60" s="134">
        <f t="shared" si="4"/>
        <v>31548442</v>
      </c>
      <c r="W60" s="115">
        <f t="shared" si="26"/>
        <v>20526798</v>
      </c>
      <c r="X60" s="115">
        <f t="shared" si="26"/>
        <v>11172567</v>
      </c>
      <c r="Y60" s="134">
        <f t="shared" si="5"/>
        <v>31699365</v>
      </c>
      <c r="Z60" s="115">
        <f t="shared" si="26"/>
        <v>20968570</v>
      </c>
      <c r="AA60" s="115">
        <f t="shared" si="26"/>
        <v>11943440</v>
      </c>
      <c r="AB60" s="134">
        <f t="shared" si="6"/>
        <v>32912010</v>
      </c>
      <c r="AD60" s="112" t="s">
        <v>565</v>
      </c>
      <c r="AE60" s="112">
        <v>1175366</v>
      </c>
      <c r="AF60" s="112">
        <v>885058</v>
      </c>
      <c r="AG60" s="193">
        <f t="shared" si="11"/>
        <v>2060424</v>
      </c>
      <c r="AH60" s="156">
        <v>522</v>
      </c>
      <c r="AI60" s="168" t="s">
        <v>396</v>
      </c>
      <c r="AJ60" s="151">
        <v>647974</v>
      </c>
      <c r="AK60" s="151">
        <v>330172</v>
      </c>
      <c r="AL60" s="182">
        <f t="shared" si="21"/>
        <v>978146</v>
      </c>
      <c r="AM60" s="151">
        <v>635032</v>
      </c>
      <c r="AN60" s="151">
        <v>326669</v>
      </c>
      <c r="AO60" s="182">
        <f t="shared" si="22"/>
        <v>961701</v>
      </c>
      <c r="AP60" s="156">
        <v>522</v>
      </c>
      <c r="AQ60" s="168" t="s">
        <v>396</v>
      </c>
      <c r="AR60" s="152">
        <v>608250</v>
      </c>
      <c r="AS60" s="152">
        <v>333294</v>
      </c>
      <c r="AT60" s="176">
        <f t="shared" si="23"/>
        <v>941544</v>
      </c>
      <c r="AU60" s="156">
        <v>522</v>
      </c>
      <c r="AV60" s="168" t="s">
        <v>396</v>
      </c>
      <c r="AW60" s="153">
        <v>559007</v>
      </c>
      <c r="AX60" s="153">
        <v>309133</v>
      </c>
      <c r="AY60" s="176">
        <f t="shared" si="24"/>
        <v>868140</v>
      </c>
    </row>
    <row r="61" spans="1:51">
      <c r="A61" s="115" t="s">
        <v>336</v>
      </c>
      <c r="B61" s="115">
        <v>3356672</v>
      </c>
      <c r="C61" s="115">
        <v>1207077</v>
      </c>
      <c r="D61" s="134">
        <f t="shared" si="7"/>
        <v>4563749</v>
      </c>
      <c r="E61" s="115">
        <v>3832469</v>
      </c>
      <c r="F61" s="115">
        <f>1253765+10</f>
        <v>1253775</v>
      </c>
      <c r="G61" s="134">
        <f t="shared" si="8"/>
        <v>5086244</v>
      </c>
      <c r="H61" s="115">
        <v>4051876</v>
      </c>
      <c r="I61" s="115">
        <v>1370775</v>
      </c>
      <c r="J61" s="134">
        <f t="shared" si="9"/>
        <v>5422651</v>
      </c>
      <c r="K61" s="115">
        <v>4116724</v>
      </c>
      <c r="L61" s="115">
        <v>1471661</v>
      </c>
      <c r="M61" s="134">
        <f t="shared" si="10"/>
        <v>5588385</v>
      </c>
      <c r="N61" s="115">
        <v>4050542</v>
      </c>
      <c r="O61" s="115">
        <v>1472594</v>
      </c>
      <c r="P61" s="134">
        <f t="shared" si="1"/>
        <v>5523136</v>
      </c>
      <c r="Q61" s="115">
        <v>4172698</v>
      </c>
      <c r="R61" s="115">
        <v>1492067</v>
      </c>
      <c r="S61" s="134">
        <f t="shared" si="3"/>
        <v>5664765</v>
      </c>
      <c r="T61" s="114">
        <v>3986770</v>
      </c>
      <c r="U61" s="114">
        <v>1518416</v>
      </c>
      <c r="V61" s="134">
        <f t="shared" si="4"/>
        <v>5505186</v>
      </c>
      <c r="W61" s="114">
        <v>4145264</v>
      </c>
      <c r="X61" s="114">
        <v>1447924</v>
      </c>
      <c r="Y61" s="134">
        <f t="shared" si="5"/>
        <v>5593188</v>
      </c>
      <c r="Z61" s="113">
        <v>4468648</v>
      </c>
      <c r="AA61" s="113">
        <v>1555784</v>
      </c>
      <c r="AB61" s="134">
        <f t="shared" si="6"/>
        <v>6024432</v>
      </c>
      <c r="AD61" s="112" t="s">
        <v>522</v>
      </c>
      <c r="AE61" s="112">
        <v>612812</v>
      </c>
      <c r="AF61" s="112">
        <v>409811</v>
      </c>
      <c r="AG61" s="193">
        <f t="shared" si="11"/>
        <v>1022623</v>
      </c>
      <c r="AH61" s="156">
        <v>523</v>
      </c>
      <c r="AI61" s="168" t="s">
        <v>397</v>
      </c>
      <c r="AJ61" s="147">
        <v>1124925</v>
      </c>
      <c r="AK61" s="147">
        <v>728675</v>
      </c>
      <c r="AL61" s="182">
        <f t="shared" si="21"/>
        <v>1853600</v>
      </c>
      <c r="AM61" s="147">
        <v>1115060</v>
      </c>
      <c r="AN61" s="147">
        <v>743216</v>
      </c>
      <c r="AO61" s="182">
        <f t="shared" si="22"/>
        <v>1858276</v>
      </c>
      <c r="AP61" s="156">
        <v>523</v>
      </c>
      <c r="AQ61" s="168" t="s">
        <v>647</v>
      </c>
      <c r="AR61" s="148">
        <v>1102528</v>
      </c>
      <c r="AS61" s="148">
        <v>731525</v>
      </c>
      <c r="AT61" s="176">
        <f t="shared" si="23"/>
        <v>1834053</v>
      </c>
      <c r="AU61" s="135"/>
      <c r="AV61" s="170" t="s">
        <v>210</v>
      </c>
      <c r="AW61" s="153">
        <v>19314753</v>
      </c>
      <c r="AX61" s="153">
        <v>12131331</v>
      </c>
      <c r="AY61" s="176">
        <f t="shared" si="24"/>
        <v>31446084</v>
      </c>
    </row>
    <row r="62" spans="1:51">
      <c r="A62" s="115" t="s">
        <v>400</v>
      </c>
      <c r="B62" s="115">
        <v>748786</v>
      </c>
      <c r="C62" s="115">
        <v>160841</v>
      </c>
      <c r="D62" s="134">
        <f t="shared" si="7"/>
        <v>909627</v>
      </c>
      <c r="E62" s="115">
        <v>773661</v>
      </c>
      <c r="F62" s="115">
        <v>177150</v>
      </c>
      <c r="G62" s="134">
        <f t="shared" si="8"/>
        <v>950811</v>
      </c>
      <c r="H62" s="115">
        <v>822022</v>
      </c>
      <c r="I62" s="115">
        <v>187852</v>
      </c>
      <c r="J62" s="134">
        <f t="shared" si="9"/>
        <v>1009874</v>
      </c>
      <c r="K62" s="115">
        <v>846022</v>
      </c>
      <c r="L62" s="115">
        <v>219407</v>
      </c>
      <c r="M62" s="134">
        <f t="shared" si="10"/>
        <v>1065429</v>
      </c>
      <c r="N62" s="115">
        <v>848348</v>
      </c>
      <c r="O62" s="115">
        <v>247095</v>
      </c>
      <c r="P62" s="134">
        <f t="shared" si="1"/>
        <v>1095443</v>
      </c>
      <c r="Q62" s="115">
        <v>866930</v>
      </c>
      <c r="R62" s="115">
        <v>241250</v>
      </c>
      <c r="S62" s="134">
        <f t="shared" si="3"/>
        <v>1108180</v>
      </c>
      <c r="T62" s="114">
        <v>659797</v>
      </c>
      <c r="U62" s="114">
        <v>239457</v>
      </c>
      <c r="V62" s="134">
        <f t="shared" si="4"/>
        <v>899254</v>
      </c>
      <c r="W62" s="114">
        <v>649261</v>
      </c>
      <c r="X62" s="114">
        <v>222437</v>
      </c>
      <c r="Y62" s="134">
        <f t="shared" si="5"/>
        <v>871698</v>
      </c>
      <c r="Z62" s="113">
        <v>625010</v>
      </c>
      <c r="AA62" s="113">
        <v>237293</v>
      </c>
      <c r="AB62" s="134">
        <f t="shared" si="6"/>
        <v>862303</v>
      </c>
      <c r="AD62" s="112" t="s">
        <v>523</v>
      </c>
      <c r="AE62" s="112">
        <v>550501</v>
      </c>
      <c r="AF62" s="112">
        <v>332642</v>
      </c>
      <c r="AG62" s="193">
        <f t="shared" si="11"/>
        <v>883143</v>
      </c>
      <c r="AH62" s="156">
        <v>524</v>
      </c>
      <c r="AI62" s="168" t="s">
        <v>398</v>
      </c>
      <c r="AJ62" s="151">
        <v>615789</v>
      </c>
      <c r="AK62" s="151">
        <v>363634</v>
      </c>
      <c r="AL62" s="182">
        <f t="shared" si="21"/>
        <v>979423</v>
      </c>
      <c r="AM62" s="151">
        <v>632607</v>
      </c>
      <c r="AN62" s="151">
        <v>385467</v>
      </c>
      <c r="AO62" s="182">
        <f t="shared" si="22"/>
        <v>1018074</v>
      </c>
      <c r="AP62" s="156">
        <v>524</v>
      </c>
      <c r="AQ62" s="168" t="s">
        <v>398</v>
      </c>
      <c r="AR62" s="152">
        <v>628588</v>
      </c>
      <c r="AS62" s="152">
        <v>416652</v>
      </c>
      <c r="AT62" s="176">
        <f t="shared" si="23"/>
        <v>1045240</v>
      </c>
      <c r="AU62" s="156">
        <v>209</v>
      </c>
      <c r="AV62" s="171" t="s">
        <v>242</v>
      </c>
      <c r="AW62" s="155">
        <v>8143384</v>
      </c>
      <c r="AX62" s="155">
        <v>4525337</v>
      </c>
      <c r="AY62" s="176">
        <f t="shared" si="24"/>
        <v>12668721</v>
      </c>
    </row>
    <row r="63" spans="1:51">
      <c r="A63" s="115" t="s">
        <v>401</v>
      </c>
      <c r="B63" s="115">
        <v>608025</v>
      </c>
      <c r="C63" s="115">
        <v>326646</v>
      </c>
      <c r="D63" s="134">
        <f t="shared" si="7"/>
        <v>934671</v>
      </c>
      <c r="E63" s="115">
        <v>638583</v>
      </c>
      <c r="F63" s="115">
        <v>357158</v>
      </c>
      <c r="G63" s="134">
        <f t="shared" si="8"/>
        <v>995741</v>
      </c>
      <c r="H63" s="115">
        <v>674042</v>
      </c>
      <c r="I63" s="115">
        <v>356989</v>
      </c>
      <c r="J63" s="134">
        <f t="shared" si="9"/>
        <v>1031031</v>
      </c>
      <c r="K63" s="115">
        <v>690224</v>
      </c>
      <c r="L63" s="115">
        <v>476469</v>
      </c>
      <c r="M63" s="134">
        <f t="shared" si="10"/>
        <v>1166693</v>
      </c>
      <c r="N63" s="115">
        <v>713742</v>
      </c>
      <c r="O63" s="115">
        <v>484833</v>
      </c>
      <c r="P63" s="134">
        <f t="shared" si="1"/>
        <v>1198575</v>
      </c>
      <c r="Q63" s="115">
        <v>699707</v>
      </c>
      <c r="R63" s="115">
        <v>396130</v>
      </c>
      <c r="S63" s="134">
        <f t="shared" si="3"/>
        <v>1095837</v>
      </c>
      <c r="T63" s="114">
        <v>730273</v>
      </c>
      <c r="U63" s="114">
        <v>402638</v>
      </c>
      <c r="V63" s="134">
        <f t="shared" si="4"/>
        <v>1132911</v>
      </c>
      <c r="W63" s="114">
        <v>731933</v>
      </c>
      <c r="X63" s="114">
        <v>437634</v>
      </c>
      <c r="Y63" s="134">
        <f t="shared" si="5"/>
        <v>1169567</v>
      </c>
      <c r="Z63" s="113">
        <v>755672</v>
      </c>
      <c r="AA63" s="113">
        <v>464229</v>
      </c>
      <c r="AB63" s="134">
        <f t="shared" si="6"/>
        <v>1219901</v>
      </c>
      <c r="AD63" s="112" t="s">
        <v>463</v>
      </c>
      <c r="AE63" s="112">
        <f>SUM(AE64:AE82)</f>
        <v>20250683</v>
      </c>
      <c r="AF63" s="112">
        <f>SUM(AF64:AF82)</f>
        <v>12349595</v>
      </c>
      <c r="AG63" s="193">
        <f t="shared" si="11"/>
        <v>32600278</v>
      </c>
      <c r="AH63" s="156">
        <v>525</v>
      </c>
      <c r="AI63" s="168" t="s">
        <v>399</v>
      </c>
      <c r="AJ63" s="151">
        <v>507601</v>
      </c>
      <c r="AK63" s="151">
        <v>313583</v>
      </c>
      <c r="AL63" s="182">
        <f t="shared" si="21"/>
        <v>821184</v>
      </c>
      <c r="AM63" s="151">
        <v>545049</v>
      </c>
      <c r="AN63" s="151">
        <v>346674</v>
      </c>
      <c r="AO63" s="182">
        <f t="shared" si="22"/>
        <v>891723</v>
      </c>
      <c r="AP63" s="156">
        <v>525</v>
      </c>
      <c r="AQ63" s="168" t="s">
        <v>399</v>
      </c>
      <c r="AR63" s="152">
        <v>528049</v>
      </c>
      <c r="AS63" s="152">
        <v>371494</v>
      </c>
      <c r="AT63" s="176">
        <f t="shared" si="23"/>
        <v>899543</v>
      </c>
      <c r="AU63" s="156">
        <v>222</v>
      </c>
      <c r="AV63" s="168" t="s">
        <v>218</v>
      </c>
      <c r="AW63" s="155">
        <v>3154823</v>
      </c>
      <c r="AX63" s="155">
        <v>2122583</v>
      </c>
      <c r="AY63" s="176">
        <f t="shared" si="24"/>
        <v>5277406</v>
      </c>
    </row>
    <row r="64" spans="1:51">
      <c r="A64" s="115" t="s">
        <v>402</v>
      </c>
      <c r="B64" s="115">
        <v>1056563</v>
      </c>
      <c r="C64" s="115">
        <v>524552</v>
      </c>
      <c r="D64" s="134">
        <f t="shared" si="7"/>
        <v>1581115</v>
      </c>
      <c r="E64" s="115">
        <v>1150041</v>
      </c>
      <c r="F64" s="115">
        <v>457075</v>
      </c>
      <c r="G64" s="134">
        <f t="shared" si="8"/>
        <v>1607116</v>
      </c>
      <c r="H64" s="115">
        <v>1181447</v>
      </c>
      <c r="I64" s="115">
        <v>482541</v>
      </c>
      <c r="J64" s="134">
        <f t="shared" si="9"/>
        <v>1663988</v>
      </c>
      <c r="K64" s="115">
        <v>1211104</v>
      </c>
      <c r="L64" s="115">
        <v>587625</v>
      </c>
      <c r="M64" s="134">
        <f t="shared" si="10"/>
        <v>1798729</v>
      </c>
      <c r="N64" s="115">
        <v>1212884</v>
      </c>
      <c r="O64" s="115">
        <v>722595</v>
      </c>
      <c r="P64" s="134">
        <f t="shared" si="1"/>
        <v>1935479</v>
      </c>
      <c r="Q64" s="115">
        <v>1253209</v>
      </c>
      <c r="R64" s="115">
        <v>639390</v>
      </c>
      <c r="S64" s="134">
        <f t="shared" si="3"/>
        <v>1892599</v>
      </c>
      <c r="T64" s="114">
        <v>1256929</v>
      </c>
      <c r="U64" s="114">
        <v>723101</v>
      </c>
      <c r="V64" s="134">
        <f t="shared" si="4"/>
        <v>1980030</v>
      </c>
      <c r="W64" s="114">
        <v>1247525</v>
      </c>
      <c r="X64" s="114">
        <v>703925</v>
      </c>
      <c r="Y64" s="134">
        <f t="shared" si="5"/>
        <v>1951450</v>
      </c>
      <c r="Z64" s="113">
        <v>1222659</v>
      </c>
      <c r="AA64" s="113">
        <v>752866</v>
      </c>
      <c r="AB64" s="134">
        <f t="shared" si="6"/>
        <v>1975525</v>
      </c>
      <c r="AD64" s="112" t="s">
        <v>474</v>
      </c>
      <c r="AE64" s="112">
        <v>4060166</v>
      </c>
      <c r="AF64" s="112">
        <v>1636902</v>
      </c>
      <c r="AG64" s="193">
        <f t="shared" si="11"/>
        <v>5697068</v>
      </c>
      <c r="AH64" s="135"/>
      <c r="AI64" s="170" t="s">
        <v>210</v>
      </c>
      <c r="AJ64" s="151">
        <v>19843821</v>
      </c>
      <c r="AK64" s="151">
        <v>11675016</v>
      </c>
      <c r="AL64" s="182">
        <f t="shared" si="21"/>
        <v>31518837</v>
      </c>
      <c r="AM64" s="151">
        <v>19789969</v>
      </c>
      <c r="AN64" s="151">
        <v>11936708</v>
      </c>
      <c r="AO64" s="182">
        <f t="shared" si="22"/>
        <v>31726677</v>
      </c>
      <c r="AP64" s="135"/>
      <c r="AQ64" s="170" t="s">
        <v>210</v>
      </c>
      <c r="AR64" s="152">
        <v>19490293</v>
      </c>
      <c r="AS64" s="152">
        <v>12011580</v>
      </c>
      <c r="AT64" s="176">
        <f t="shared" si="23"/>
        <v>31501873</v>
      </c>
      <c r="AU64" s="156">
        <v>225</v>
      </c>
      <c r="AV64" s="168" t="s">
        <v>642</v>
      </c>
      <c r="AW64" s="155">
        <v>3486044</v>
      </c>
      <c r="AX64" s="155">
        <v>2504737</v>
      </c>
      <c r="AY64" s="176">
        <f t="shared" si="24"/>
        <v>5990781</v>
      </c>
    </row>
    <row r="65" spans="1:51">
      <c r="A65" s="115" t="s">
        <v>403</v>
      </c>
      <c r="B65" s="115">
        <v>1109341</v>
      </c>
      <c r="C65" s="115">
        <v>441968</v>
      </c>
      <c r="D65" s="134">
        <f t="shared" si="7"/>
        <v>1551309</v>
      </c>
      <c r="E65" s="115">
        <v>1195030</v>
      </c>
      <c r="F65" s="115">
        <v>501516</v>
      </c>
      <c r="G65" s="134">
        <f t="shared" si="8"/>
        <v>1696546</v>
      </c>
      <c r="H65" s="115">
        <v>1264137</v>
      </c>
      <c r="I65" s="115">
        <v>656291</v>
      </c>
      <c r="J65" s="134">
        <f t="shared" si="9"/>
        <v>1920428</v>
      </c>
      <c r="K65" s="115">
        <v>1237811</v>
      </c>
      <c r="L65" s="115">
        <v>814705</v>
      </c>
      <c r="M65" s="134">
        <f t="shared" si="10"/>
        <v>2052516</v>
      </c>
      <c r="N65" s="115">
        <v>1350179</v>
      </c>
      <c r="O65" s="115">
        <v>838423</v>
      </c>
      <c r="P65" s="134">
        <f t="shared" si="1"/>
        <v>2188602</v>
      </c>
      <c r="Q65" s="115">
        <v>1377677</v>
      </c>
      <c r="R65" s="115">
        <v>805744</v>
      </c>
      <c r="S65" s="134">
        <f t="shared" si="3"/>
        <v>2183421</v>
      </c>
      <c r="T65" s="114">
        <v>1403229</v>
      </c>
      <c r="U65" s="114">
        <v>798343</v>
      </c>
      <c r="V65" s="134">
        <f t="shared" si="4"/>
        <v>2201572</v>
      </c>
      <c r="W65" s="114">
        <v>1417416</v>
      </c>
      <c r="X65" s="114">
        <v>763880</v>
      </c>
      <c r="Y65" s="134">
        <f t="shared" si="5"/>
        <v>2181296</v>
      </c>
      <c r="Z65" s="113">
        <v>1466784</v>
      </c>
      <c r="AA65" s="113">
        <v>825890</v>
      </c>
      <c r="AB65" s="134">
        <f t="shared" si="6"/>
        <v>2292674</v>
      </c>
      <c r="AD65" s="112" t="s">
        <v>524</v>
      </c>
      <c r="AE65" s="112">
        <v>632654</v>
      </c>
      <c r="AF65" s="112">
        <v>219932</v>
      </c>
      <c r="AG65" s="193">
        <f t="shared" si="11"/>
        <v>852586</v>
      </c>
      <c r="AH65" s="156">
        <v>209</v>
      </c>
      <c r="AI65" s="168" t="s">
        <v>336</v>
      </c>
      <c r="AJ65" s="151">
        <v>3861112</v>
      </c>
      <c r="AK65" s="151">
        <v>1569950</v>
      </c>
      <c r="AL65" s="182">
        <f t="shared" si="21"/>
        <v>5431062</v>
      </c>
      <c r="AM65" s="151">
        <v>3972639</v>
      </c>
      <c r="AN65" s="151">
        <v>1549527</v>
      </c>
      <c r="AO65" s="182">
        <f t="shared" si="22"/>
        <v>5522166</v>
      </c>
      <c r="AP65" s="156">
        <v>209</v>
      </c>
      <c r="AQ65" s="168" t="s">
        <v>336</v>
      </c>
      <c r="AR65" s="152">
        <v>3829008</v>
      </c>
      <c r="AS65" s="152">
        <v>1647196</v>
      </c>
      <c r="AT65" s="176">
        <f t="shared" si="23"/>
        <v>5476204</v>
      </c>
      <c r="AU65" s="156">
        <v>582</v>
      </c>
      <c r="AV65" s="168" t="s">
        <v>407</v>
      </c>
      <c r="AW65" s="153">
        <v>1172222</v>
      </c>
      <c r="AX65" s="153">
        <v>630193</v>
      </c>
      <c r="AY65" s="176">
        <f t="shared" si="24"/>
        <v>1802415</v>
      </c>
    </row>
    <row r="66" spans="1:51">
      <c r="A66" s="115" t="s">
        <v>404</v>
      </c>
      <c r="B66" s="115">
        <v>767360</v>
      </c>
      <c r="C66" s="115">
        <v>359575</v>
      </c>
      <c r="D66" s="134">
        <f t="shared" si="7"/>
        <v>1126935</v>
      </c>
      <c r="E66" s="115">
        <v>795675</v>
      </c>
      <c r="F66" s="115">
        <v>358213</v>
      </c>
      <c r="G66" s="134">
        <f t="shared" si="8"/>
        <v>1153888</v>
      </c>
      <c r="H66" s="115">
        <v>848113</v>
      </c>
      <c r="I66" s="115">
        <v>505952</v>
      </c>
      <c r="J66" s="134">
        <f t="shared" si="9"/>
        <v>1354065</v>
      </c>
      <c r="K66" s="115">
        <v>869466</v>
      </c>
      <c r="L66" s="115">
        <v>476692</v>
      </c>
      <c r="M66" s="134">
        <f t="shared" si="10"/>
        <v>1346158</v>
      </c>
      <c r="N66" s="115">
        <v>889230</v>
      </c>
      <c r="O66" s="115">
        <v>574294</v>
      </c>
      <c r="P66" s="134">
        <f t="shared" si="1"/>
        <v>1463524</v>
      </c>
      <c r="Q66" s="115">
        <v>902546</v>
      </c>
      <c r="R66" s="115">
        <v>609872</v>
      </c>
      <c r="S66" s="134">
        <f t="shared" si="3"/>
        <v>1512418</v>
      </c>
      <c r="T66" s="114">
        <v>913688</v>
      </c>
      <c r="U66" s="114">
        <v>622443</v>
      </c>
      <c r="V66" s="134">
        <f t="shared" si="4"/>
        <v>1536131</v>
      </c>
      <c r="W66" s="114">
        <v>936543</v>
      </c>
      <c r="X66" s="114">
        <v>617291</v>
      </c>
      <c r="Y66" s="134">
        <f t="shared" si="5"/>
        <v>1553834</v>
      </c>
      <c r="Z66" s="113">
        <v>918708</v>
      </c>
      <c r="AA66" s="113">
        <v>620293</v>
      </c>
      <c r="AB66" s="134">
        <f t="shared" si="6"/>
        <v>1539001</v>
      </c>
      <c r="AD66" s="112" t="s">
        <v>525</v>
      </c>
      <c r="AE66" s="112">
        <v>726118</v>
      </c>
      <c r="AF66" s="112">
        <v>437744</v>
      </c>
      <c r="AG66" s="193">
        <f t="shared" si="11"/>
        <v>1163862</v>
      </c>
      <c r="AH66" s="156">
        <v>541</v>
      </c>
      <c r="AI66" s="168" t="s">
        <v>400</v>
      </c>
      <c r="AJ66" s="151">
        <v>586482</v>
      </c>
      <c r="AK66" s="151">
        <v>224344</v>
      </c>
      <c r="AL66" s="182">
        <f t="shared" si="21"/>
        <v>810826</v>
      </c>
      <c r="AM66" s="151">
        <v>572653</v>
      </c>
      <c r="AN66" s="151">
        <v>244999</v>
      </c>
      <c r="AO66" s="182">
        <f t="shared" si="22"/>
        <v>817652</v>
      </c>
      <c r="AP66" s="156">
        <v>222</v>
      </c>
      <c r="AQ66" s="168" t="s">
        <v>218</v>
      </c>
      <c r="AR66" s="154">
        <v>3199289</v>
      </c>
      <c r="AS66" s="154">
        <v>2086388</v>
      </c>
      <c r="AT66" s="176">
        <f t="shared" si="23"/>
        <v>5285677</v>
      </c>
      <c r="AU66" s="156">
        <v>584</v>
      </c>
      <c r="AV66" s="168" t="s">
        <v>409</v>
      </c>
      <c r="AW66" s="153">
        <v>946272</v>
      </c>
      <c r="AX66" s="153">
        <v>768537</v>
      </c>
      <c r="AY66" s="176">
        <f t="shared" si="24"/>
        <v>1714809</v>
      </c>
    </row>
    <row r="67" spans="1:51">
      <c r="A67" s="115" t="s">
        <v>405</v>
      </c>
      <c r="B67" s="115">
        <v>579692</v>
      </c>
      <c r="C67" s="115">
        <v>326888</v>
      </c>
      <c r="D67" s="134">
        <f t="shared" si="7"/>
        <v>906580</v>
      </c>
      <c r="E67" s="115">
        <v>608794</v>
      </c>
      <c r="F67" s="115">
        <v>321284</v>
      </c>
      <c r="G67" s="134">
        <f t="shared" si="8"/>
        <v>930078</v>
      </c>
      <c r="H67" s="115">
        <v>667904</v>
      </c>
      <c r="I67" s="115">
        <v>369184</v>
      </c>
      <c r="J67" s="134">
        <f t="shared" si="9"/>
        <v>1037088</v>
      </c>
      <c r="K67" s="115">
        <v>701439</v>
      </c>
      <c r="L67" s="115">
        <v>397891</v>
      </c>
      <c r="M67" s="134">
        <f t="shared" si="10"/>
        <v>1099330</v>
      </c>
      <c r="N67" s="115">
        <v>692660</v>
      </c>
      <c r="O67" s="115">
        <v>428890</v>
      </c>
      <c r="P67" s="134">
        <f t="shared" si="1"/>
        <v>1121550</v>
      </c>
      <c r="Q67" s="115">
        <v>744402</v>
      </c>
      <c r="R67" s="115">
        <v>401974</v>
      </c>
      <c r="S67" s="134">
        <f t="shared" si="3"/>
        <v>1146376</v>
      </c>
      <c r="T67" s="114">
        <v>760442</v>
      </c>
      <c r="U67" s="114">
        <v>430733</v>
      </c>
      <c r="V67" s="134">
        <f t="shared" si="4"/>
        <v>1191175</v>
      </c>
      <c r="W67" s="114">
        <v>771841</v>
      </c>
      <c r="X67" s="114">
        <v>442043</v>
      </c>
      <c r="Y67" s="134">
        <f t="shared" si="5"/>
        <v>1213884</v>
      </c>
      <c r="Z67" s="113">
        <v>803881</v>
      </c>
      <c r="AA67" s="113">
        <v>484392</v>
      </c>
      <c r="AB67" s="134">
        <f t="shared" si="6"/>
        <v>1288273</v>
      </c>
      <c r="AD67" s="112" t="s">
        <v>526</v>
      </c>
      <c r="AE67" s="112">
        <v>1213847</v>
      </c>
      <c r="AF67" s="112">
        <v>737372</v>
      </c>
      <c r="AG67" s="193">
        <f t="shared" si="11"/>
        <v>1951219</v>
      </c>
      <c r="AH67" s="156">
        <v>542</v>
      </c>
      <c r="AI67" s="168" t="s">
        <v>401</v>
      </c>
      <c r="AJ67" s="151">
        <v>699629</v>
      </c>
      <c r="AK67" s="151">
        <v>445985</v>
      </c>
      <c r="AL67" s="182">
        <f t="shared" si="21"/>
        <v>1145614</v>
      </c>
      <c r="AM67" s="151">
        <v>698310</v>
      </c>
      <c r="AN67" s="151">
        <v>456761</v>
      </c>
      <c r="AO67" s="182">
        <f t="shared" si="22"/>
        <v>1155071</v>
      </c>
      <c r="AP67" s="156">
        <v>541</v>
      </c>
      <c r="AQ67" s="168" t="s">
        <v>400</v>
      </c>
      <c r="AR67" s="152">
        <v>573507</v>
      </c>
      <c r="AS67" s="152">
        <v>251566</v>
      </c>
      <c r="AT67" s="176">
        <f t="shared" si="23"/>
        <v>825073</v>
      </c>
      <c r="AU67" s="156">
        <v>585</v>
      </c>
      <c r="AV67" s="168" t="s">
        <v>643</v>
      </c>
      <c r="AW67" s="155">
        <v>2412008</v>
      </c>
      <c r="AX67" s="155">
        <v>1579944</v>
      </c>
      <c r="AY67" s="176">
        <f t="shared" si="24"/>
        <v>3991952</v>
      </c>
    </row>
    <row r="68" spans="1:51">
      <c r="A68" s="115" t="s">
        <v>406</v>
      </c>
      <c r="B68" s="115">
        <v>779874</v>
      </c>
      <c r="C68" s="115">
        <v>279110</v>
      </c>
      <c r="D68" s="134">
        <f t="shared" si="7"/>
        <v>1058984</v>
      </c>
      <c r="E68" s="115">
        <v>804402</v>
      </c>
      <c r="F68" s="115">
        <v>326406</v>
      </c>
      <c r="G68" s="134">
        <f t="shared" si="8"/>
        <v>1130808</v>
      </c>
      <c r="H68" s="115">
        <v>851291</v>
      </c>
      <c r="I68" s="115">
        <v>389142</v>
      </c>
      <c r="J68" s="134">
        <f t="shared" si="9"/>
        <v>1240433</v>
      </c>
      <c r="K68" s="115">
        <v>872848</v>
      </c>
      <c r="L68" s="115">
        <v>467533</v>
      </c>
      <c r="M68" s="134">
        <f t="shared" si="10"/>
        <v>1340381</v>
      </c>
      <c r="N68" s="115">
        <v>891668</v>
      </c>
      <c r="O68" s="115">
        <v>511446</v>
      </c>
      <c r="P68" s="134">
        <f t="shared" si="1"/>
        <v>1403114</v>
      </c>
      <c r="Q68" s="115">
        <v>878749</v>
      </c>
      <c r="R68" s="115">
        <v>413540</v>
      </c>
      <c r="S68" s="134">
        <f t="shared" si="3"/>
        <v>1292289</v>
      </c>
      <c r="T68" s="114">
        <v>908159</v>
      </c>
      <c r="U68" s="114">
        <v>421841</v>
      </c>
      <c r="V68" s="134">
        <f t="shared" si="4"/>
        <v>1330000</v>
      </c>
      <c r="W68" s="114">
        <v>886370</v>
      </c>
      <c r="X68" s="114">
        <v>421232</v>
      </c>
      <c r="Y68" s="134">
        <f t="shared" si="5"/>
        <v>1307602</v>
      </c>
      <c r="Z68" s="113">
        <v>907453</v>
      </c>
      <c r="AA68" s="113">
        <v>476052</v>
      </c>
      <c r="AB68" s="134">
        <f t="shared" si="6"/>
        <v>1383505</v>
      </c>
      <c r="AD68" s="112" t="s">
        <v>527</v>
      </c>
      <c r="AE68" s="112">
        <v>1431517</v>
      </c>
      <c r="AF68" s="112">
        <v>804581</v>
      </c>
      <c r="AG68" s="193">
        <f t="shared" si="11"/>
        <v>2236098</v>
      </c>
      <c r="AH68" s="156">
        <v>543</v>
      </c>
      <c r="AI68" s="168" t="s">
        <v>402</v>
      </c>
      <c r="AJ68" s="151">
        <v>1171633</v>
      </c>
      <c r="AK68" s="151">
        <v>654997</v>
      </c>
      <c r="AL68" s="182">
        <f t="shared" si="21"/>
        <v>1826630</v>
      </c>
      <c r="AM68" s="151">
        <v>1172060</v>
      </c>
      <c r="AN68" s="151">
        <v>721235</v>
      </c>
      <c r="AO68" s="182">
        <f t="shared" si="22"/>
        <v>1893295</v>
      </c>
      <c r="AP68" s="156">
        <v>542</v>
      </c>
      <c r="AQ68" s="168" t="s">
        <v>401</v>
      </c>
      <c r="AR68" s="152">
        <v>728268</v>
      </c>
      <c r="AS68" s="152">
        <v>467504</v>
      </c>
      <c r="AT68" s="176">
        <f t="shared" si="23"/>
        <v>1195772</v>
      </c>
      <c r="AU68" s="135"/>
      <c r="AV68" s="135" t="s">
        <v>211</v>
      </c>
      <c r="AW68" s="153">
        <v>10535006</v>
      </c>
      <c r="AX68" s="153">
        <v>7914378</v>
      </c>
      <c r="AY68" s="176">
        <f t="shared" si="24"/>
        <v>18449384</v>
      </c>
    </row>
    <row r="69" spans="1:51">
      <c r="A69" s="115" t="s">
        <v>407</v>
      </c>
      <c r="B69" s="115">
        <v>1055709</v>
      </c>
      <c r="C69" s="115">
        <v>426143</v>
      </c>
      <c r="D69" s="134">
        <f t="shared" si="7"/>
        <v>1481852</v>
      </c>
      <c r="E69" s="115">
        <v>1136115</v>
      </c>
      <c r="F69" s="115">
        <v>459307</v>
      </c>
      <c r="G69" s="134">
        <f t="shared" si="8"/>
        <v>1595422</v>
      </c>
      <c r="H69" s="115">
        <v>1162125</v>
      </c>
      <c r="I69" s="115">
        <v>554660</v>
      </c>
      <c r="J69" s="134">
        <f t="shared" si="9"/>
        <v>1716785</v>
      </c>
      <c r="K69" s="115">
        <v>1206085</v>
      </c>
      <c r="L69" s="115">
        <v>667372</v>
      </c>
      <c r="M69" s="134">
        <f t="shared" si="10"/>
        <v>1873457</v>
      </c>
      <c r="N69" s="115">
        <v>1229107</v>
      </c>
      <c r="O69" s="115">
        <v>744645</v>
      </c>
      <c r="P69" s="134">
        <f t="shared" si="1"/>
        <v>1973752</v>
      </c>
      <c r="Q69" s="115">
        <v>1218361</v>
      </c>
      <c r="R69" s="115">
        <v>809492</v>
      </c>
      <c r="S69" s="134">
        <f t="shared" ref="S69:S102" si="27">Q69+R69</f>
        <v>2027853</v>
      </c>
      <c r="T69" s="114">
        <v>1252246</v>
      </c>
      <c r="U69" s="114">
        <v>658466</v>
      </c>
      <c r="V69" s="134">
        <f t="shared" ref="V69:V102" si="28">T69+U69</f>
        <v>1910712</v>
      </c>
      <c r="W69" s="114">
        <v>1239731</v>
      </c>
      <c r="X69" s="114">
        <v>639216</v>
      </c>
      <c r="Y69" s="134">
        <f t="shared" ref="Y69:Y102" si="29">W69+X69</f>
        <v>1878947</v>
      </c>
      <c r="Z69" s="113">
        <v>1262144</v>
      </c>
      <c r="AA69" s="113">
        <v>688635</v>
      </c>
      <c r="AB69" s="134">
        <f t="shared" ref="AB69:AB102" si="30">Z69+AA69</f>
        <v>1950779</v>
      </c>
      <c r="AD69" s="112" t="s">
        <v>528</v>
      </c>
      <c r="AE69" s="112">
        <v>944988</v>
      </c>
      <c r="AF69" s="112">
        <v>688136</v>
      </c>
      <c r="AG69" s="193">
        <f t="shared" si="11"/>
        <v>1633124</v>
      </c>
      <c r="AH69" s="156">
        <v>544</v>
      </c>
      <c r="AI69" s="168" t="s">
        <v>403</v>
      </c>
      <c r="AJ69" s="151">
        <v>1345903</v>
      </c>
      <c r="AK69" s="151">
        <v>851671</v>
      </c>
      <c r="AL69" s="182">
        <f t="shared" si="21"/>
        <v>2197574</v>
      </c>
      <c r="AM69" s="151">
        <v>1342488</v>
      </c>
      <c r="AN69" s="151">
        <v>863554</v>
      </c>
      <c r="AO69" s="182">
        <f t="shared" si="22"/>
        <v>2206042</v>
      </c>
      <c r="AP69" s="156">
        <v>543</v>
      </c>
      <c r="AQ69" s="168" t="s">
        <v>402</v>
      </c>
      <c r="AR69" s="152">
        <v>1137248</v>
      </c>
      <c r="AS69" s="152">
        <v>740652</v>
      </c>
      <c r="AT69" s="176">
        <f t="shared" si="23"/>
        <v>1877900</v>
      </c>
      <c r="AU69" s="156">
        <v>221</v>
      </c>
      <c r="AV69" s="168" t="s">
        <v>1146</v>
      </c>
      <c r="AW69" s="153">
        <v>4592229</v>
      </c>
      <c r="AX69" s="153">
        <v>3594405</v>
      </c>
      <c r="AY69" s="176">
        <f t="shared" si="24"/>
        <v>8186634</v>
      </c>
    </row>
    <row r="70" spans="1:51">
      <c r="A70" s="115" t="s">
        <v>408</v>
      </c>
      <c r="B70" s="115">
        <v>426882</v>
      </c>
      <c r="C70" s="115">
        <v>218643</v>
      </c>
      <c r="D70" s="134">
        <f t="shared" ref="D70:D102" si="31">B70+C70</f>
        <v>645525</v>
      </c>
      <c r="E70" s="115">
        <v>461473</v>
      </c>
      <c r="F70" s="115">
        <v>215605</v>
      </c>
      <c r="G70" s="134">
        <f t="shared" ref="G70:G102" si="32">E70+F70</f>
        <v>677078</v>
      </c>
      <c r="H70" s="115">
        <v>493889</v>
      </c>
      <c r="I70" s="115">
        <v>295916</v>
      </c>
      <c r="J70" s="134">
        <f t="shared" ref="J70:J102" si="33">H70+I70</f>
        <v>789805</v>
      </c>
      <c r="K70" s="115">
        <v>531309</v>
      </c>
      <c r="L70" s="115">
        <v>347353</v>
      </c>
      <c r="M70" s="134">
        <f t="shared" ref="M70:M102" si="34">K70+L70</f>
        <v>878662</v>
      </c>
      <c r="N70" s="115">
        <v>543262</v>
      </c>
      <c r="O70" s="115">
        <v>334437</v>
      </c>
      <c r="P70" s="134">
        <f t="shared" ref="P70:P102" si="35">N70+O70</f>
        <v>877699</v>
      </c>
      <c r="Q70" s="115">
        <v>530009</v>
      </c>
      <c r="R70" s="115">
        <v>316147</v>
      </c>
      <c r="S70" s="134">
        <f t="shared" si="27"/>
        <v>846156</v>
      </c>
      <c r="T70" s="114">
        <v>554284</v>
      </c>
      <c r="U70" s="114">
        <v>304630</v>
      </c>
      <c r="V70" s="134">
        <f t="shared" si="28"/>
        <v>858914</v>
      </c>
      <c r="W70" s="114">
        <v>519666</v>
      </c>
      <c r="X70" s="114">
        <v>314859</v>
      </c>
      <c r="Y70" s="134">
        <f t="shared" si="29"/>
        <v>834525</v>
      </c>
      <c r="Z70" s="113">
        <v>535334</v>
      </c>
      <c r="AA70" s="113">
        <v>309784</v>
      </c>
      <c r="AB70" s="134">
        <f t="shared" si="30"/>
        <v>845118</v>
      </c>
      <c r="AD70" s="112" t="s">
        <v>529</v>
      </c>
      <c r="AE70" s="112">
        <v>778049</v>
      </c>
      <c r="AF70" s="112">
        <v>456360</v>
      </c>
      <c r="AG70" s="193">
        <f t="shared" ref="AG70:AG102" si="36">AE70+AF70</f>
        <v>1234409</v>
      </c>
      <c r="AH70" s="156">
        <v>561</v>
      </c>
      <c r="AI70" s="168" t="s">
        <v>404</v>
      </c>
      <c r="AJ70" s="151">
        <v>922431</v>
      </c>
      <c r="AK70" s="151">
        <v>667341</v>
      </c>
      <c r="AL70" s="182">
        <f t="shared" ref="AL70:AL101" si="37">AJ70+AK70</f>
        <v>1589772</v>
      </c>
      <c r="AM70" s="151">
        <v>926639</v>
      </c>
      <c r="AN70" s="151">
        <v>639987</v>
      </c>
      <c r="AO70" s="182">
        <f t="shared" ref="AO70:AO101" si="38">AM70+AN70</f>
        <v>1566626</v>
      </c>
      <c r="AP70" s="156">
        <v>544</v>
      </c>
      <c r="AQ70" s="168" t="s">
        <v>403</v>
      </c>
      <c r="AR70" s="152">
        <v>1341158</v>
      </c>
      <c r="AS70" s="152">
        <v>885998</v>
      </c>
      <c r="AT70" s="176">
        <f t="shared" ref="AT70:AT80" si="39">AR70+AS70</f>
        <v>2227156</v>
      </c>
      <c r="AU70" s="156">
        <v>223</v>
      </c>
      <c r="AV70" s="168" t="s">
        <v>223</v>
      </c>
      <c r="AW70" s="155">
        <v>5942777</v>
      </c>
      <c r="AX70" s="155">
        <v>4319973</v>
      </c>
      <c r="AY70" s="176">
        <f t="shared" ref="AY70:AY75" si="40">AW70+AX70</f>
        <v>10262750</v>
      </c>
    </row>
    <row r="71" spans="1:51">
      <c r="A71" s="115" t="s">
        <v>409</v>
      </c>
      <c r="B71" s="115">
        <v>863375</v>
      </c>
      <c r="C71" s="115">
        <v>434111</v>
      </c>
      <c r="D71" s="134">
        <f t="shared" si="31"/>
        <v>1297486</v>
      </c>
      <c r="E71" s="115">
        <v>874714</v>
      </c>
      <c r="F71" s="115">
        <v>451507</v>
      </c>
      <c r="G71" s="134">
        <f t="shared" si="32"/>
        <v>1326221</v>
      </c>
      <c r="H71" s="115">
        <v>923641</v>
      </c>
      <c r="I71" s="115">
        <v>486097</v>
      </c>
      <c r="J71" s="134">
        <f t="shared" si="33"/>
        <v>1409738</v>
      </c>
      <c r="K71" s="115">
        <v>982714</v>
      </c>
      <c r="L71" s="115">
        <v>590004</v>
      </c>
      <c r="M71" s="134">
        <f t="shared" si="34"/>
        <v>1572718</v>
      </c>
      <c r="N71" s="115">
        <v>990571</v>
      </c>
      <c r="O71" s="115">
        <v>621315</v>
      </c>
      <c r="P71" s="134">
        <f t="shared" si="35"/>
        <v>1611886</v>
      </c>
      <c r="Q71" s="115">
        <v>977772</v>
      </c>
      <c r="R71" s="115">
        <v>719447</v>
      </c>
      <c r="S71" s="134">
        <f t="shared" si="27"/>
        <v>1697219</v>
      </c>
      <c r="T71" s="114">
        <v>992495</v>
      </c>
      <c r="U71" s="114">
        <v>751890</v>
      </c>
      <c r="V71" s="134">
        <f t="shared" si="28"/>
        <v>1744385</v>
      </c>
      <c r="W71" s="114">
        <v>1021488</v>
      </c>
      <c r="X71" s="114">
        <v>732367</v>
      </c>
      <c r="Y71" s="134">
        <f t="shared" si="29"/>
        <v>1753855</v>
      </c>
      <c r="Z71" s="113">
        <v>991519</v>
      </c>
      <c r="AA71" s="113">
        <v>816525</v>
      </c>
      <c r="AB71" s="134">
        <f t="shared" si="30"/>
        <v>1808044</v>
      </c>
      <c r="AD71" s="112" t="s">
        <v>530</v>
      </c>
      <c r="AE71" s="112">
        <v>873418</v>
      </c>
      <c r="AF71" s="112">
        <v>513093</v>
      </c>
      <c r="AG71" s="193">
        <f t="shared" si="36"/>
        <v>1386511</v>
      </c>
      <c r="AH71" s="156">
        <v>562</v>
      </c>
      <c r="AI71" s="168" t="s">
        <v>405</v>
      </c>
      <c r="AJ71" s="151">
        <v>782688</v>
      </c>
      <c r="AK71" s="151">
        <v>432861</v>
      </c>
      <c r="AL71" s="182">
        <f t="shared" si="37"/>
        <v>1215549</v>
      </c>
      <c r="AM71" s="151">
        <v>762067</v>
      </c>
      <c r="AN71" s="151">
        <v>458627</v>
      </c>
      <c r="AO71" s="182">
        <f t="shared" si="38"/>
        <v>1220694</v>
      </c>
      <c r="AP71" s="156">
        <v>561</v>
      </c>
      <c r="AQ71" s="168" t="s">
        <v>404</v>
      </c>
      <c r="AR71" s="152">
        <v>937127</v>
      </c>
      <c r="AS71" s="152">
        <v>661258</v>
      </c>
      <c r="AT71" s="176">
        <f t="shared" si="39"/>
        <v>1598385</v>
      </c>
      <c r="AU71" s="135"/>
      <c r="AV71" s="172" t="s">
        <v>212</v>
      </c>
      <c r="AW71" s="153">
        <v>13920134</v>
      </c>
      <c r="AX71" s="153">
        <v>9799646</v>
      </c>
      <c r="AY71" s="176">
        <f t="shared" si="40"/>
        <v>23719780</v>
      </c>
    </row>
    <row r="72" spans="1:51">
      <c r="A72" s="115" t="s">
        <v>410</v>
      </c>
      <c r="B72" s="115">
        <v>889293</v>
      </c>
      <c r="C72" s="115">
        <v>316720</v>
      </c>
      <c r="D72" s="134">
        <f t="shared" si="31"/>
        <v>1206013</v>
      </c>
      <c r="E72" s="115">
        <v>920919</v>
      </c>
      <c r="F72" s="115">
        <v>361780</v>
      </c>
      <c r="G72" s="134">
        <f t="shared" si="32"/>
        <v>1282699</v>
      </c>
      <c r="H72" s="115">
        <v>950458</v>
      </c>
      <c r="I72" s="115">
        <v>443567</v>
      </c>
      <c r="J72" s="134">
        <f t="shared" si="33"/>
        <v>1394025</v>
      </c>
      <c r="K72" s="115">
        <v>963951</v>
      </c>
      <c r="L72" s="115">
        <v>524932</v>
      </c>
      <c r="M72" s="134">
        <f t="shared" si="34"/>
        <v>1488883</v>
      </c>
      <c r="N72" s="115">
        <v>1000356</v>
      </c>
      <c r="O72" s="115">
        <v>664411</v>
      </c>
      <c r="P72" s="134">
        <f t="shared" si="35"/>
        <v>1664767</v>
      </c>
      <c r="Q72" s="115">
        <v>980624</v>
      </c>
      <c r="R72" s="115">
        <v>579899</v>
      </c>
      <c r="S72" s="134">
        <f t="shared" si="27"/>
        <v>1560523</v>
      </c>
      <c r="T72" s="114">
        <v>979176</v>
      </c>
      <c r="U72" s="114">
        <v>637600</v>
      </c>
      <c r="V72" s="134">
        <f t="shared" si="28"/>
        <v>1616776</v>
      </c>
      <c r="W72" s="114">
        <v>958053</v>
      </c>
      <c r="X72" s="114">
        <v>664001</v>
      </c>
      <c r="Y72" s="134">
        <f t="shared" si="29"/>
        <v>1622054</v>
      </c>
      <c r="Z72" s="113">
        <v>955019</v>
      </c>
      <c r="AA72" s="113">
        <v>758603</v>
      </c>
      <c r="AB72" s="134">
        <f t="shared" si="30"/>
        <v>1713622</v>
      </c>
      <c r="AD72" s="112" t="s">
        <v>531</v>
      </c>
      <c r="AE72" s="112">
        <v>1229432</v>
      </c>
      <c r="AF72" s="112">
        <v>707737</v>
      </c>
      <c r="AG72" s="193">
        <f t="shared" si="36"/>
        <v>1937169</v>
      </c>
      <c r="AH72" s="156">
        <v>581</v>
      </c>
      <c r="AI72" s="168" t="s">
        <v>406</v>
      </c>
      <c r="AJ72" s="162">
        <v>886441</v>
      </c>
      <c r="AK72" s="162">
        <v>543980</v>
      </c>
      <c r="AL72" s="182">
        <f t="shared" si="37"/>
        <v>1430421</v>
      </c>
      <c r="AM72" s="162">
        <v>874623</v>
      </c>
      <c r="AN72" s="162">
        <v>547523</v>
      </c>
      <c r="AO72" s="182">
        <f t="shared" si="38"/>
        <v>1422146</v>
      </c>
      <c r="AP72" s="156">
        <v>562</v>
      </c>
      <c r="AQ72" s="168" t="s">
        <v>405</v>
      </c>
      <c r="AR72" s="152">
        <v>734174</v>
      </c>
      <c r="AS72" s="152">
        <v>464720</v>
      </c>
      <c r="AT72" s="176">
        <f t="shared" si="39"/>
        <v>1198894</v>
      </c>
      <c r="AU72" s="156">
        <v>205</v>
      </c>
      <c r="AV72" s="168" t="s">
        <v>339</v>
      </c>
      <c r="AW72" s="153">
        <v>3111875</v>
      </c>
      <c r="AX72" s="153">
        <v>2027237</v>
      </c>
      <c r="AY72" s="176">
        <f t="shared" si="40"/>
        <v>5139112</v>
      </c>
    </row>
    <row r="73" spans="1:51">
      <c r="A73" s="115" t="s">
        <v>411</v>
      </c>
      <c r="B73" s="115">
        <v>724691</v>
      </c>
      <c r="C73" s="115">
        <v>361802</v>
      </c>
      <c r="D73" s="134">
        <f t="shared" si="31"/>
        <v>1086493</v>
      </c>
      <c r="E73" s="115">
        <v>763903</v>
      </c>
      <c r="F73" s="115">
        <v>417555</v>
      </c>
      <c r="G73" s="134">
        <f t="shared" si="32"/>
        <v>1181458</v>
      </c>
      <c r="H73" s="115">
        <v>818094</v>
      </c>
      <c r="I73" s="115">
        <v>455684</v>
      </c>
      <c r="J73" s="134">
        <f t="shared" si="33"/>
        <v>1273778</v>
      </c>
      <c r="K73" s="115">
        <v>852067</v>
      </c>
      <c r="L73" s="115">
        <v>464008</v>
      </c>
      <c r="M73" s="134">
        <f t="shared" si="34"/>
        <v>1316075</v>
      </c>
      <c r="N73" s="115">
        <v>881694</v>
      </c>
      <c r="O73" s="115">
        <v>508624</v>
      </c>
      <c r="P73" s="134">
        <f t="shared" si="35"/>
        <v>1390318</v>
      </c>
      <c r="Q73" s="115">
        <v>923627</v>
      </c>
      <c r="R73" s="115">
        <v>515046</v>
      </c>
      <c r="S73" s="134">
        <f t="shared" si="27"/>
        <v>1438673</v>
      </c>
      <c r="T73" s="114">
        <v>930331</v>
      </c>
      <c r="U73" s="114">
        <v>570869</v>
      </c>
      <c r="V73" s="134">
        <f t="shared" si="28"/>
        <v>1501200</v>
      </c>
      <c r="W73" s="114">
        <v>943907</v>
      </c>
      <c r="X73" s="114">
        <v>595895</v>
      </c>
      <c r="Y73" s="134">
        <f t="shared" si="29"/>
        <v>1539802</v>
      </c>
      <c r="Z73" s="113">
        <v>955821</v>
      </c>
      <c r="AA73" s="113">
        <v>659489</v>
      </c>
      <c r="AB73" s="134">
        <f t="shared" si="30"/>
        <v>1615310</v>
      </c>
      <c r="AD73" s="112" t="s">
        <v>532</v>
      </c>
      <c r="AE73" s="112">
        <v>488007</v>
      </c>
      <c r="AF73" s="112">
        <v>313445</v>
      </c>
      <c r="AG73" s="193">
        <f t="shared" si="36"/>
        <v>801452</v>
      </c>
      <c r="AH73" s="156">
        <v>582</v>
      </c>
      <c r="AI73" s="168" t="s">
        <v>407</v>
      </c>
      <c r="AJ73" s="151">
        <v>1207315</v>
      </c>
      <c r="AK73" s="151">
        <v>653191</v>
      </c>
      <c r="AL73" s="182">
        <f t="shared" si="37"/>
        <v>1860506</v>
      </c>
      <c r="AM73" s="151">
        <v>1197095</v>
      </c>
      <c r="AN73" s="151">
        <v>701015</v>
      </c>
      <c r="AO73" s="182">
        <f t="shared" si="38"/>
        <v>1898110</v>
      </c>
      <c r="AP73" s="156">
        <v>581</v>
      </c>
      <c r="AQ73" s="168" t="s">
        <v>406</v>
      </c>
      <c r="AR73" s="163">
        <v>850938</v>
      </c>
      <c r="AS73" s="163">
        <v>527599</v>
      </c>
      <c r="AT73" s="176">
        <f t="shared" si="39"/>
        <v>1378537</v>
      </c>
      <c r="AU73" s="156">
        <v>224</v>
      </c>
      <c r="AV73" s="168" t="s">
        <v>224</v>
      </c>
      <c r="AW73" s="155">
        <v>4536815</v>
      </c>
      <c r="AX73" s="155">
        <v>3181709</v>
      </c>
      <c r="AY73" s="176">
        <f t="shared" si="40"/>
        <v>7718524</v>
      </c>
    </row>
    <row r="74" spans="1:51">
      <c r="A74" s="115" t="s">
        <v>412</v>
      </c>
      <c r="B74" s="115">
        <v>668296</v>
      </c>
      <c r="C74" s="115">
        <v>347980</v>
      </c>
      <c r="D74" s="134">
        <f t="shared" si="31"/>
        <v>1016276</v>
      </c>
      <c r="E74" s="115">
        <v>705614</v>
      </c>
      <c r="F74" s="115">
        <v>398635</v>
      </c>
      <c r="G74" s="134">
        <f t="shared" si="32"/>
        <v>1104249</v>
      </c>
      <c r="H74" s="115">
        <v>748292</v>
      </c>
      <c r="I74" s="115">
        <v>443134</v>
      </c>
      <c r="J74" s="134">
        <f t="shared" si="33"/>
        <v>1191426</v>
      </c>
      <c r="K74" s="115">
        <v>789613</v>
      </c>
      <c r="L74" s="115">
        <v>436982</v>
      </c>
      <c r="M74" s="134">
        <f t="shared" si="34"/>
        <v>1226595</v>
      </c>
      <c r="N74" s="115">
        <v>799320</v>
      </c>
      <c r="O74" s="115">
        <v>476917</v>
      </c>
      <c r="P74" s="134">
        <f t="shared" si="35"/>
        <v>1276237</v>
      </c>
      <c r="Q74" s="115">
        <v>708061</v>
      </c>
      <c r="R74" s="115">
        <v>614725</v>
      </c>
      <c r="S74" s="134">
        <f t="shared" si="27"/>
        <v>1322786</v>
      </c>
      <c r="T74" s="114">
        <v>718473</v>
      </c>
      <c r="U74" s="114">
        <v>635923</v>
      </c>
      <c r="V74" s="134">
        <f t="shared" si="28"/>
        <v>1354396</v>
      </c>
      <c r="W74" s="114">
        <v>720595</v>
      </c>
      <c r="X74" s="114">
        <v>648926</v>
      </c>
      <c r="Y74" s="134">
        <f t="shared" si="29"/>
        <v>1369521</v>
      </c>
      <c r="Z74" s="113">
        <v>698604</v>
      </c>
      <c r="AA74" s="113">
        <v>595751</v>
      </c>
      <c r="AB74" s="134">
        <f t="shared" si="30"/>
        <v>1294355</v>
      </c>
      <c r="AD74" s="112" t="s">
        <v>533</v>
      </c>
      <c r="AE74" s="112">
        <v>985195</v>
      </c>
      <c r="AF74" s="112">
        <v>845501</v>
      </c>
      <c r="AG74" s="193">
        <f t="shared" si="36"/>
        <v>1830696</v>
      </c>
      <c r="AH74" s="156">
        <v>583</v>
      </c>
      <c r="AI74" s="168" t="s">
        <v>408</v>
      </c>
      <c r="AJ74" s="151">
        <v>489201</v>
      </c>
      <c r="AK74" s="151">
        <v>324585</v>
      </c>
      <c r="AL74" s="182">
        <f t="shared" si="37"/>
        <v>813786</v>
      </c>
      <c r="AM74" s="151">
        <v>486125</v>
      </c>
      <c r="AN74" s="151">
        <v>314017</v>
      </c>
      <c r="AO74" s="182">
        <f t="shared" si="38"/>
        <v>800142</v>
      </c>
      <c r="AP74" s="156">
        <v>582</v>
      </c>
      <c r="AQ74" s="168" t="s">
        <v>407</v>
      </c>
      <c r="AR74" s="152">
        <v>1192134</v>
      </c>
      <c r="AS74" s="152">
        <v>664866</v>
      </c>
      <c r="AT74" s="176">
        <f t="shared" si="39"/>
        <v>1857000</v>
      </c>
      <c r="AU74" s="156">
        <v>226</v>
      </c>
      <c r="AV74" s="168" t="s">
        <v>225</v>
      </c>
      <c r="AW74" s="155">
        <v>5047890</v>
      </c>
      <c r="AX74" s="155">
        <v>3723828</v>
      </c>
      <c r="AY74" s="176">
        <f t="shared" si="40"/>
        <v>8771718</v>
      </c>
    </row>
    <row r="75" spans="1:51">
      <c r="A75" s="115" t="s">
        <v>416</v>
      </c>
      <c r="B75" s="115">
        <v>540609</v>
      </c>
      <c r="C75" s="115">
        <v>185121</v>
      </c>
      <c r="D75" s="134">
        <f t="shared" si="31"/>
        <v>725730</v>
      </c>
      <c r="E75" s="115">
        <v>565698</v>
      </c>
      <c r="F75" s="115">
        <v>210687</v>
      </c>
      <c r="G75" s="134">
        <f t="shared" si="32"/>
        <v>776385</v>
      </c>
      <c r="H75" s="115">
        <v>616007</v>
      </c>
      <c r="I75" s="115">
        <v>264064</v>
      </c>
      <c r="J75" s="134">
        <f t="shared" si="33"/>
        <v>880071</v>
      </c>
      <c r="K75" s="115">
        <v>626602</v>
      </c>
      <c r="L75" s="115">
        <v>276251</v>
      </c>
      <c r="M75" s="134">
        <f t="shared" si="34"/>
        <v>902853</v>
      </c>
      <c r="N75" s="115">
        <v>640353</v>
      </c>
      <c r="O75" s="115">
        <v>323992</v>
      </c>
      <c r="P75" s="134">
        <f t="shared" si="35"/>
        <v>964345</v>
      </c>
      <c r="Q75" s="115">
        <v>678167</v>
      </c>
      <c r="R75" s="115">
        <v>357116</v>
      </c>
      <c r="S75" s="134">
        <f t="shared" si="27"/>
        <v>1035283</v>
      </c>
      <c r="T75" s="114">
        <v>701684</v>
      </c>
      <c r="U75" s="114">
        <v>379185</v>
      </c>
      <c r="V75" s="134">
        <f t="shared" si="28"/>
        <v>1080869</v>
      </c>
      <c r="W75" s="114">
        <v>690626</v>
      </c>
      <c r="X75" s="114">
        <v>332425</v>
      </c>
      <c r="Y75" s="134">
        <f t="shared" si="29"/>
        <v>1023051</v>
      </c>
      <c r="Z75" s="113">
        <v>717689</v>
      </c>
      <c r="AA75" s="113">
        <v>362200</v>
      </c>
      <c r="AB75" s="134">
        <f t="shared" si="30"/>
        <v>1079889</v>
      </c>
      <c r="AD75" s="112" t="s">
        <v>546</v>
      </c>
      <c r="AE75" s="112">
        <v>940059</v>
      </c>
      <c r="AF75" s="112">
        <v>807520</v>
      </c>
      <c r="AG75" s="193">
        <f t="shared" si="36"/>
        <v>1747579</v>
      </c>
      <c r="AH75" s="156">
        <v>584</v>
      </c>
      <c r="AI75" s="168" t="s">
        <v>409</v>
      </c>
      <c r="AJ75" s="151">
        <v>995109</v>
      </c>
      <c r="AK75" s="151">
        <v>759054</v>
      </c>
      <c r="AL75" s="182">
        <f t="shared" si="37"/>
        <v>1754163</v>
      </c>
      <c r="AM75" s="151">
        <v>991639</v>
      </c>
      <c r="AN75" s="151">
        <v>762780</v>
      </c>
      <c r="AO75" s="182">
        <f t="shared" si="38"/>
        <v>1754419</v>
      </c>
      <c r="AP75" s="156">
        <v>583</v>
      </c>
      <c r="AQ75" s="168" t="s">
        <v>408</v>
      </c>
      <c r="AR75" s="152">
        <v>486637</v>
      </c>
      <c r="AS75" s="152">
        <v>320524</v>
      </c>
      <c r="AT75" s="176">
        <f t="shared" si="39"/>
        <v>807161</v>
      </c>
      <c r="AU75" s="156">
        <v>685</v>
      </c>
      <c r="AV75" s="168" t="s">
        <v>436</v>
      </c>
      <c r="AW75" s="153">
        <v>1223554</v>
      </c>
      <c r="AX75" s="153">
        <v>866872</v>
      </c>
      <c r="AY75" s="176">
        <f t="shared" si="40"/>
        <v>2090426</v>
      </c>
    </row>
    <row r="76" spans="1:51">
      <c r="A76" s="115" t="s">
        <v>418</v>
      </c>
      <c r="B76" s="115">
        <v>576859</v>
      </c>
      <c r="C76" s="115">
        <v>236600</v>
      </c>
      <c r="D76" s="134">
        <f t="shared" si="31"/>
        <v>813459</v>
      </c>
      <c r="E76" s="115">
        <v>629513</v>
      </c>
      <c r="F76" s="115">
        <v>252846</v>
      </c>
      <c r="G76" s="134">
        <f t="shared" si="32"/>
        <v>882359</v>
      </c>
      <c r="H76" s="115">
        <v>684038</v>
      </c>
      <c r="I76" s="115">
        <v>323651</v>
      </c>
      <c r="J76" s="134">
        <f t="shared" si="33"/>
        <v>1007689</v>
      </c>
      <c r="K76" s="115">
        <v>733000</v>
      </c>
      <c r="L76" s="115">
        <v>401513</v>
      </c>
      <c r="M76" s="134">
        <f t="shared" si="34"/>
        <v>1134513</v>
      </c>
      <c r="N76" s="115">
        <v>717646</v>
      </c>
      <c r="O76" s="115">
        <v>449227</v>
      </c>
      <c r="P76" s="134">
        <f t="shared" si="35"/>
        <v>1166873</v>
      </c>
      <c r="Q76" s="115">
        <v>708307</v>
      </c>
      <c r="R76" s="115">
        <v>433244</v>
      </c>
      <c r="S76" s="134">
        <f t="shared" si="27"/>
        <v>1141551</v>
      </c>
      <c r="T76" s="114">
        <v>746129</v>
      </c>
      <c r="U76" s="114">
        <v>485317</v>
      </c>
      <c r="V76" s="134">
        <f t="shared" si="28"/>
        <v>1231446</v>
      </c>
      <c r="W76" s="114">
        <v>776996</v>
      </c>
      <c r="X76" s="114">
        <v>509939</v>
      </c>
      <c r="Y76" s="134">
        <f t="shared" si="29"/>
        <v>1286935</v>
      </c>
      <c r="Z76" s="113">
        <v>782033</v>
      </c>
      <c r="AA76" s="113">
        <v>532720</v>
      </c>
      <c r="AB76" s="134">
        <f t="shared" si="30"/>
        <v>1314753</v>
      </c>
      <c r="AD76" s="112" t="s">
        <v>547</v>
      </c>
      <c r="AE76" s="112">
        <v>952937</v>
      </c>
      <c r="AF76" s="112">
        <v>665872</v>
      </c>
      <c r="AG76" s="193">
        <f t="shared" si="36"/>
        <v>1618809</v>
      </c>
      <c r="AH76" s="156">
        <v>601</v>
      </c>
      <c r="AI76" s="168" t="s">
        <v>410</v>
      </c>
      <c r="AJ76" s="151">
        <v>951716</v>
      </c>
      <c r="AK76" s="151">
        <v>704510</v>
      </c>
      <c r="AL76" s="182">
        <f t="shared" si="37"/>
        <v>1656226</v>
      </c>
      <c r="AM76" s="151">
        <v>996675</v>
      </c>
      <c r="AN76" s="151">
        <v>674956</v>
      </c>
      <c r="AO76" s="182">
        <f t="shared" si="38"/>
        <v>1671631</v>
      </c>
      <c r="AP76" s="156">
        <v>584</v>
      </c>
      <c r="AQ76" s="168" t="s">
        <v>409</v>
      </c>
      <c r="AR76" s="152">
        <v>971661</v>
      </c>
      <c r="AS76" s="152">
        <v>783552</v>
      </c>
      <c r="AT76" s="176">
        <f t="shared" si="39"/>
        <v>1755213</v>
      </c>
      <c r="AU76" s="156"/>
      <c r="AV76" s="168"/>
      <c r="AW76" s="153"/>
      <c r="AX76" s="153"/>
      <c r="AY76" s="153"/>
    </row>
    <row r="77" spans="1:51">
      <c r="A77" s="115" t="s">
        <v>419</v>
      </c>
      <c r="B77" s="115">
        <v>1007846</v>
      </c>
      <c r="C77" s="115">
        <v>485430</v>
      </c>
      <c r="D77" s="134">
        <f t="shared" si="31"/>
        <v>1493276</v>
      </c>
      <c r="E77" s="115">
        <v>1055430</v>
      </c>
      <c r="F77" s="115">
        <v>533041</v>
      </c>
      <c r="G77" s="134">
        <f t="shared" si="32"/>
        <v>1588471</v>
      </c>
      <c r="H77" s="115">
        <v>1120698</v>
      </c>
      <c r="I77" s="115">
        <v>667782</v>
      </c>
      <c r="J77" s="134">
        <f t="shared" si="33"/>
        <v>1788480</v>
      </c>
      <c r="K77" s="115">
        <v>1195736</v>
      </c>
      <c r="L77" s="115">
        <v>802443</v>
      </c>
      <c r="M77" s="134">
        <f t="shared" si="34"/>
        <v>1998179</v>
      </c>
      <c r="N77" s="115">
        <v>1267757</v>
      </c>
      <c r="O77" s="115">
        <v>815602</v>
      </c>
      <c r="P77" s="134">
        <f t="shared" si="35"/>
        <v>2083359</v>
      </c>
      <c r="Q77" s="115">
        <v>1281325</v>
      </c>
      <c r="R77" s="115">
        <v>930117</v>
      </c>
      <c r="S77" s="134">
        <f t="shared" si="27"/>
        <v>2211442</v>
      </c>
      <c r="T77" s="114">
        <v>1315179</v>
      </c>
      <c r="U77" s="114">
        <v>1002136</v>
      </c>
      <c r="V77" s="134">
        <f t="shared" si="28"/>
        <v>2317315</v>
      </c>
      <c r="W77" s="114">
        <v>1361986</v>
      </c>
      <c r="X77" s="114">
        <v>969644</v>
      </c>
      <c r="Y77" s="134">
        <f t="shared" si="29"/>
        <v>2331630</v>
      </c>
      <c r="Z77" s="113">
        <v>1371150</v>
      </c>
      <c r="AA77" s="113">
        <v>1027950</v>
      </c>
      <c r="AB77" s="134">
        <f t="shared" si="30"/>
        <v>2399100</v>
      </c>
      <c r="AD77" s="112" t="s">
        <v>548</v>
      </c>
      <c r="AE77" s="112">
        <v>698981</v>
      </c>
      <c r="AF77" s="112">
        <v>621358</v>
      </c>
      <c r="AG77" s="193">
        <f t="shared" si="36"/>
        <v>1320339</v>
      </c>
      <c r="AH77" s="156">
        <v>602</v>
      </c>
      <c r="AI77" s="168" t="s">
        <v>411</v>
      </c>
      <c r="AJ77" s="151">
        <v>943549</v>
      </c>
      <c r="AK77" s="151">
        <v>624657</v>
      </c>
      <c r="AL77" s="182">
        <f t="shared" si="37"/>
        <v>1568206</v>
      </c>
      <c r="AM77" s="151">
        <v>896043</v>
      </c>
      <c r="AN77" s="151">
        <v>621156</v>
      </c>
      <c r="AO77" s="182">
        <f t="shared" si="38"/>
        <v>1517199</v>
      </c>
      <c r="AP77" s="156">
        <v>621</v>
      </c>
      <c r="AQ77" s="168" t="s">
        <v>418</v>
      </c>
      <c r="AR77" s="148">
        <v>751357</v>
      </c>
      <c r="AS77" s="148">
        <v>485708</v>
      </c>
      <c r="AT77" s="176">
        <f t="shared" si="39"/>
        <v>1237065</v>
      </c>
      <c r="AU77" s="158"/>
      <c r="AV77" s="158" t="s">
        <v>171</v>
      </c>
      <c r="AW77" s="159"/>
      <c r="AX77" s="159"/>
      <c r="AY77" s="159"/>
    </row>
    <row r="78" spans="1:51">
      <c r="A78" s="115" t="s">
        <v>420</v>
      </c>
      <c r="B78" s="115">
        <v>549567</v>
      </c>
      <c r="C78" s="115">
        <v>250757</v>
      </c>
      <c r="D78" s="134">
        <f t="shared" si="31"/>
        <v>800324</v>
      </c>
      <c r="E78" s="115">
        <v>551921</v>
      </c>
      <c r="F78" s="115">
        <v>287062</v>
      </c>
      <c r="G78" s="134">
        <f t="shared" si="32"/>
        <v>838983</v>
      </c>
      <c r="H78" s="115">
        <v>583351</v>
      </c>
      <c r="I78" s="115">
        <v>321535</v>
      </c>
      <c r="J78" s="134">
        <f t="shared" si="33"/>
        <v>904886</v>
      </c>
      <c r="K78" s="115">
        <v>612322</v>
      </c>
      <c r="L78" s="115">
        <v>310026</v>
      </c>
      <c r="M78" s="134">
        <f t="shared" si="34"/>
        <v>922348</v>
      </c>
      <c r="N78" s="115">
        <v>600981</v>
      </c>
      <c r="O78" s="115">
        <v>335749</v>
      </c>
      <c r="P78" s="134">
        <f t="shared" si="35"/>
        <v>936730</v>
      </c>
      <c r="Q78" s="115">
        <v>628844</v>
      </c>
      <c r="R78" s="115">
        <v>358309</v>
      </c>
      <c r="S78" s="134">
        <f t="shared" si="27"/>
        <v>987153</v>
      </c>
      <c r="T78" s="114">
        <v>673659</v>
      </c>
      <c r="U78" s="114">
        <v>358783</v>
      </c>
      <c r="V78" s="134">
        <f t="shared" si="28"/>
        <v>1032442</v>
      </c>
      <c r="W78" s="114">
        <v>670433</v>
      </c>
      <c r="X78" s="114">
        <v>365329</v>
      </c>
      <c r="Y78" s="134">
        <f t="shared" si="29"/>
        <v>1035762</v>
      </c>
      <c r="Z78" s="113">
        <v>676828</v>
      </c>
      <c r="AA78" s="113">
        <v>400080</v>
      </c>
      <c r="AB78" s="134">
        <f t="shared" si="30"/>
        <v>1076908</v>
      </c>
      <c r="AD78" s="112" t="s">
        <v>549</v>
      </c>
      <c r="AE78" s="112">
        <v>705351</v>
      </c>
      <c r="AF78" s="112">
        <v>407369</v>
      </c>
      <c r="AG78" s="193">
        <f t="shared" si="36"/>
        <v>1112720</v>
      </c>
      <c r="AH78" s="156">
        <v>603</v>
      </c>
      <c r="AI78" s="168" t="s">
        <v>412</v>
      </c>
      <c r="AJ78" s="151">
        <v>677615</v>
      </c>
      <c r="AK78" s="151">
        <v>570789</v>
      </c>
      <c r="AL78" s="182">
        <f t="shared" si="37"/>
        <v>1248404</v>
      </c>
      <c r="AM78" s="151">
        <v>639917</v>
      </c>
      <c r="AN78" s="151">
        <v>589177</v>
      </c>
      <c r="AO78" s="182">
        <f t="shared" si="38"/>
        <v>1229094</v>
      </c>
      <c r="AP78" s="156">
        <v>622</v>
      </c>
      <c r="AQ78" s="168" t="s">
        <v>419</v>
      </c>
      <c r="AR78" s="152">
        <v>1307214</v>
      </c>
      <c r="AS78" s="152">
        <v>1084586</v>
      </c>
      <c r="AT78" s="176">
        <f t="shared" si="39"/>
        <v>2391800</v>
      </c>
      <c r="AU78" s="158"/>
      <c r="AV78" s="158"/>
      <c r="AW78" s="160"/>
      <c r="AX78" s="160"/>
      <c r="AY78" s="160"/>
    </row>
    <row r="79" spans="1:51">
      <c r="A79" s="115" t="s">
        <v>421</v>
      </c>
      <c r="B79" s="115">
        <v>771589</v>
      </c>
      <c r="C79" s="115">
        <v>144287</v>
      </c>
      <c r="D79" s="134">
        <f t="shared" si="31"/>
        <v>915876</v>
      </c>
      <c r="E79" s="115">
        <v>816175</v>
      </c>
      <c r="F79" s="115">
        <v>172772</v>
      </c>
      <c r="G79" s="134">
        <f t="shared" si="32"/>
        <v>988947</v>
      </c>
      <c r="H79" s="115">
        <v>839345</v>
      </c>
      <c r="I79" s="115">
        <v>185633</v>
      </c>
      <c r="J79" s="134">
        <f t="shared" si="33"/>
        <v>1024978</v>
      </c>
      <c r="K79" s="115">
        <v>891727</v>
      </c>
      <c r="L79" s="115">
        <v>215965</v>
      </c>
      <c r="M79" s="134">
        <f t="shared" si="34"/>
        <v>1107692</v>
      </c>
      <c r="N79" s="115">
        <v>900285</v>
      </c>
      <c r="O79" s="115">
        <v>252016</v>
      </c>
      <c r="P79" s="134">
        <f t="shared" si="35"/>
        <v>1152301</v>
      </c>
      <c r="Q79" s="115">
        <v>880905</v>
      </c>
      <c r="R79" s="115">
        <v>268170</v>
      </c>
      <c r="S79" s="134">
        <f t="shared" si="27"/>
        <v>1149075</v>
      </c>
      <c r="T79" s="114">
        <v>860926</v>
      </c>
      <c r="U79" s="114">
        <v>262802</v>
      </c>
      <c r="V79" s="134">
        <f t="shared" si="28"/>
        <v>1123728</v>
      </c>
      <c r="W79" s="114">
        <v>837164</v>
      </c>
      <c r="X79" s="114">
        <v>343600</v>
      </c>
      <c r="Y79" s="134">
        <f t="shared" si="29"/>
        <v>1180764</v>
      </c>
      <c r="Z79" s="113">
        <v>853614</v>
      </c>
      <c r="AA79" s="113">
        <v>374904</v>
      </c>
      <c r="AB79" s="134">
        <f t="shared" si="30"/>
        <v>1228518</v>
      </c>
      <c r="AD79" s="112" t="s">
        <v>534</v>
      </c>
      <c r="AE79" s="112">
        <v>757833</v>
      </c>
      <c r="AF79" s="112">
        <v>506649</v>
      </c>
      <c r="AG79" s="193">
        <f t="shared" si="36"/>
        <v>1264482</v>
      </c>
      <c r="AH79" s="156">
        <v>604</v>
      </c>
      <c r="AI79" s="168" t="s">
        <v>416</v>
      </c>
      <c r="AJ79" s="151">
        <v>717577</v>
      </c>
      <c r="AK79" s="151">
        <v>329927</v>
      </c>
      <c r="AL79" s="182">
        <f t="shared" si="37"/>
        <v>1047504</v>
      </c>
      <c r="AM79" s="151">
        <v>718020</v>
      </c>
      <c r="AN79" s="151">
        <v>329897</v>
      </c>
      <c r="AO79" s="182">
        <f t="shared" si="38"/>
        <v>1047917</v>
      </c>
      <c r="AP79" s="156">
        <v>623</v>
      </c>
      <c r="AQ79" s="168" t="s">
        <v>420</v>
      </c>
      <c r="AR79" s="152">
        <v>648468</v>
      </c>
      <c r="AS79" s="152">
        <v>423638</v>
      </c>
      <c r="AT79" s="176">
        <f t="shared" si="39"/>
        <v>1072106</v>
      </c>
      <c r="AU79" s="158"/>
      <c r="AV79" s="158"/>
      <c r="AW79" s="160"/>
      <c r="AX79" s="160"/>
      <c r="AY79" s="160"/>
    </row>
    <row r="80" spans="1:51">
      <c r="A80" s="115" t="s">
        <v>211</v>
      </c>
      <c r="B80" s="115">
        <f t="shared" ref="B80:N80" si="41">SUM(B81:B90)</f>
        <v>9001393</v>
      </c>
      <c r="C80" s="115">
        <f t="shared" si="41"/>
        <v>3520161</v>
      </c>
      <c r="D80" s="134">
        <f t="shared" si="31"/>
        <v>12521554</v>
      </c>
      <c r="E80" s="115">
        <f t="shared" si="41"/>
        <v>9441896</v>
      </c>
      <c r="F80" s="115">
        <f t="shared" si="41"/>
        <v>3948904</v>
      </c>
      <c r="G80" s="134">
        <f t="shared" si="32"/>
        <v>13390800</v>
      </c>
      <c r="H80" s="115">
        <f t="shared" si="41"/>
        <v>9922208</v>
      </c>
      <c r="I80" s="115">
        <f t="shared" si="41"/>
        <v>4710113</v>
      </c>
      <c r="J80" s="134">
        <f t="shared" si="33"/>
        <v>14632321</v>
      </c>
      <c r="K80" s="115">
        <f t="shared" si="41"/>
        <v>10134390</v>
      </c>
      <c r="L80" s="115">
        <f t="shared" si="41"/>
        <v>4782993</v>
      </c>
      <c r="M80" s="134">
        <f t="shared" si="34"/>
        <v>14917383</v>
      </c>
      <c r="N80" s="115">
        <f t="shared" si="41"/>
        <v>10346609</v>
      </c>
      <c r="O80" s="115">
        <f>SUM(O81:O90)</f>
        <v>5058071</v>
      </c>
      <c r="P80" s="134">
        <f t="shared" si="35"/>
        <v>15404680</v>
      </c>
      <c r="Q80" s="115">
        <f t="shared" ref="Q80:AA80" si="42">SUM(Q81:Q90)</f>
        <v>10603067</v>
      </c>
      <c r="R80" s="115">
        <f t="shared" si="42"/>
        <v>5438709</v>
      </c>
      <c r="S80" s="134">
        <f t="shared" si="27"/>
        <v>16041776</v>
      </c>
      <c r="T80" s="115">
        <f t="shared" si="42"/>
        <v>10797507</v>
      </c>
      <c r="U80" s="115">
        <f t="shared" si="42"/>
        <v>5765813</v>
      </c>
      <c r="V80" s="134">
        <f t="shared" si="28"/>
        <v>16563320</v>
      </c>
      <c r="W80" s="115">
        <f t="shared" si="42"/>
        <v>10992479</v>
      </c>
      <c r="X80" s="115">
        <f t="shared" si="42"/>
        <v>5886998</v>
      </c>
      <c r="Y80" s="134">
        <f t="shared" si="29"/>
        <v>16879477</v>
      </c>
      <c r="Z80" s="115">
        <f t="shared" si="42"/>
        <v>11106370</v>
      </c>
      <c r="AA80" s="115">
        <f t="shared" si="42"/>
        <v>6387515</v>
      </c>
      <c r="AB80" s="134">
        <f t="shared" si="30"/>
        <v>17493885</v>
      </c>
      <c r="AD80" s="112" t="s">
        <v>535</v>
      </c>
      <c r="AE80" s="112">
        <v>1323370</v>
      </c>
      <c r="AF80" s="112">
        <v>1054953</v>
      </c>
      <c r="AG80" s="193">
        <f t="shared" si="36"/>
        <v>2378323</v>
      </c>
      <c r="AH80" s="156">
        <v>621</v>
      </c>
      <c r="AI80" s="168" t="s">
        <v>418</v>
      </c>
      <c r="AJ80" s="147">
        <v>773034</v>
      </c>
      <c r="AK80" s="147">
        <v>497034</v>
      </c>
      <c r="AL80" s="182">
        <f t="shared" si="37"/>
        <v>1270068</v>
      </c>
      <c r="AM80" s="147">
        <v>770383</v>
      </c>
      <c r="AN80" s="147">
        <v>484941</v>
      </c>
      <c r="AO80" s="182">
        <f t="shared" si="38"/>
        <v>1255324</v>
      </c>
      <c r="AP80" s="156">
        <v>624</v>
      </c>
      <c r="AQ80" s="168" t="s">
        <v>421</v>
      </c>
      <c r="AR80" s="152">
        <v>802105</v>
      </c>
      <c r="AS80" s="152">
        <v>515825</v>
      </c>
      <c r="AT80" s="176">
        <f t="shared" si="39"/>
        <v>1317930</v>
      </c>
      <c r="AU80" s="158"/>
      <c r="AV80" s="158"/>
      <c r="AW80" s="160"/>
      <c r="AX80" s="160"/>
      <c r="AY80" s="160"/>
    </row>
    <row r="81" spans="1:51">
      <c r="A81" s="115" t="s">
        <v>422</v>
      </c>
      <c r="B81" s="115">
        <v>802741</v>
      </c>
      <c r="C81" s="115">
        <v>402698</v>
      </c>
      <c r="D81" s="134">
        <f t="shared" si="31"/>
        <v>1205439</v>
      </c>
      <c r="E81" s="115">
        <v>826649</v>
      </c>
      <c r="F81" s="115">
        <v>453906</v>
      </c>
      <c r="G81" s="134">
        <f t="shared" si="32"/>
        <v>1280555</v>
      </c>
      <c r="H81" s="115">
        <v>911530</v>
      </c>
      <c r="I81" s="115">
        <v>500888</v>
      </c>
      <c r="J81" s="134">
        <f t="shared" si="33"/>
        <v>1412418</v>
      </c>
      <c r="K81" s="115">
        <v>932811</v>
      </c>
      <c r="L81" s="115">
        <v>526166</v>
      </c>
      <c r="M81" s="134">
        <f t="shared" si="34"/>
        <v>1458977</v>
      </c>
      <c r="N81" s="115">
        <v>931391</v>
      </c>
      <c r="O81" s="115">
        <v>579700</v>
      </c>
      <c r="P81" s="134">
        <f t="shared" si="35"/>
        <v>1511091</v>
      </c>
      <c r="Q81" s="115">
        <v>956946</v>
      </c>
      <c r="R81" s="115">
        <v>577745</v>
      </c>
      <c r="S81" s="134">
        <f t="shared" si="27"/>
        <v>1534691</v>
      </c>
      <c r="T81" s="114">
        <v>960777</v>
      </c>
      <c r="U81" s="114">
        <v>629428</v>
      </c>
      <c r="V81" s="134">
        <f t="shared" si="28"/>
        <v>1590205</v>
      </c>
      <c r="W81" s="114">
        <v>970196</v>
      </c>
      <c r="X81" s="114">
        <v>651659</v>
      </c>
      <c r="Y81" s="134">
        <f t="shared" si="29"/>
        <v>1621855</v>
      </c>
      <c r="Z81" s="113">
        <v>992671</v>
      </c>
      <c r="AA81" s="113">
        <v>666623</v>
      </c>
      <c r="AB81" s="134">
        <f t="shared" si="30"/>
        <v>1659294</v>
      </c>
      <c r="AD81" s="112" t="s">
        <v>536</v>
      </c>
      <c r="AE81" s="112">
        <v>681179</v>
      </c>
      <c r="AF81" s="112">
        <v>422206</v>
      </c>
      <c r="AG81" s="193">
        <f t="shared" si="36"/>
        <v>1103385</v>
      </c>
      <c r="AH81" s="156">
        <v>622</v>
      </c>
      <c r="AI81" s="168" t="s">
        <v>419</v>
      </c>
      <c r="AJ81" s="151">
        <v>1317141</v>
      </c>
      <c r="AK81" s="151">
        <v>977747</v>
      </c>
      <c r="AL81" s="182">
        <f t="shared" si="37"/>
        <v>2294888</v>
      </c>
      <c r="AM81" s="151">
        <v>1325306</v>
      </c>
      <c r="AN81" s="151">
        <v>1110134</v>
      </c>
      <c r="AO81" s="182">
        <f t="shared" si="38"/>
        <v>2435440</v>
      </c>
      <c r="AT81" s="179"/>
      <c r="AU81" s="158"/>
      <c r="AV81" s="158"/>
      <c r="AW81" s="160"/>
      <c r="AX81" s="160"/>
      <c r="AY81" s="160"/>
    </row>
    <row r="82" spans="1:51">
      <c r="A82" s="115" t="s">
        <v>423</v>
      </c>
      <c r="B82" s="115">
        <v>1213556</v>
      </c>
      <c r="C82" s="115">
        <v>539407</v>
      </c>
      <c r="D82" s="134">
        <f t="shared" si="31"/>
        <v>1752963</v>
      </c>
      <c r="E82" s="115">
        <v>1288651</v>
      </c>
      <c r="F82" s="115">
        <v>575927</v>
      </c>
      <c r="G82" s="134">
        <f t="shared" si="32"/>
        <v>1864578</v>
      </c>
      <c r="H82" s="115">
        <v>1340679</v>
      </c>
      <c r="I82" s="115">
        <v>767388</v>
      </c>
      <c r="J82" s="134">
        <f t="shared" si="33"/>
        <v>2108067</v>
      </c>
      <c r="K82" s="115">
        <v>1346741</v>
      </c>
      <c r="L82" s="115">
        <v>753378</v>
      </c>
      <c r="M82" s="134">
        <f t="shared" si="34"/>
        <v>2100119</v>
      </c>
      <c r="N82" s="115">
        <v>1376948</v>
      </c>
      <c r="O82" s="115">
        <v>746149</v>
      </c>
      <c r="P82" s="134">
        <f t="shared" si="35"/>
        <v>2123097</v>
      </c>
      <c r="Q82" s="115">
        <v>1426341</v>
      </c>
      <c r="R82" s="115">
        <v>854720</v>
      </c>
      <c r="S82" s="134">
        <f t="shared" si="27"/>
        <v>2281061</v>
      </c>
      <c r="T82" s="114">
        <v>1456158</v>
      </c>
      <c r="U82" s="114">
        <v>903354</v>
      </c>
      <c r="V82" s="134">
        <f t="shared" si="28"/>
        <v>2359512</v>
      </c>
      <c r="W82" s="114">
        <v>1468708</v>
      </c>
      <c r="X82" s="114">
        <v>895119</v>
      </c>
      <c r="Y82" s="134">
        <f t="shared" si="29"/>
        <v>2363827</v>
      </c>
      <c r="Z82" s="113">
        <v>1451472</v>
      </c>
      <c r="AA82" s="113">
        <v>990726</v>
      </c>
      <c r="AB82" s="134">
        <f t="shared" si="30"/>
        <v>2442198</v>
      </c>
      <c r="AD82" s="112" t="s">
        <v>537</v>
      </c>
      <c r="AE82" s="112">
        <v>827582</v>
      </c>
      <c r="AF82" s="112">
        <v>502865</v>
      </c>
      <c r="AG82" s="193">
        <f t="shared" si="36"/>
        <v>1330447</v>
      </c>
      <c r="AH82" s="156">
        <v>623</v>
      </c>
      <c r="AI82" s="168" t="s">
        <v>420</v>
      </c>
      <c r="AJ82" s="151">
        <v>694883</v>
      </c>
      <c r="AK82" s="151">
        <v>426378</v>
      </c>
      <c r="AL82" s="182">
        <f t="shared" si="37"/>
        <v>1121261</v>
      </c>
      <c r="AM82" s="151">
        <v>647165</v>
      </c>
      <c r="AN82" s="151">
        <v>449160</v>
      </c>
      <c r="AO82" s="182">
        <f t="shared" si="38"/>
        <v>1096325</v>
      </c>
      <c r="AT82" s="179"/>
      <c r="AU82" s="142"/>
      <c r="AV82" s="142" t="s">
        <v>171</v>
      </c>
      <c r="AW82" s="160"/>
      <c r="AX82" s="160"/>
      <c r="AY82" s="160"/>
    </row>
    <row r="83" spans="1:51" ht="24">
      <c r="A83" s="115" t="s">
        <v>424</v>
      </c>
      <c r="B83" s="115">
        <v>605987</v>
      </c>
      <c r="C83" s="115">
        <v>257205</v>
      </c>
      <c r="D83" s="134">
        <f t="shared" si="31"/>
        <v>863192</v>
      </c>
      <c r="E83" s="115">
        <v>622759</v>
      </c>
      <c r="F83" s="115">
        <v>335223</v>
      </c>
      <c r="G83" s="134">
        <f t="shared" si="32"/>
        <v>957982</v>
      </c>
      <c r="H83" s="115">
        <v>621182</v>
      </c>
      <c r="I83" s="115">
        <v>390780</v>
      </c>
      <c r="J83" s="134">
        <f t="shared" si="33"/>
        <v>1011962</v>
      </c>
      <c r="K83" s="115">
        <v>666812</v>
      </c>
      <c r="L83" s="115">
        <v>376993</v>
      </c>
      <c r="M83" s="134">
        <f t="shared" si="34"/>
        <v>1043805</v>
      </c>
      <c r="N83" s="115">
        <v>691014</v>
      </c>
      <c r="O83" s="115">
        <v>381569</v>
      </c>
      <c r="P83" s="134">
        <f t="shared" si="35"/>
        <v>1072583</v>
      </c>
      <c r="Q83" s="115">
        <v>754678</v>
      </c>
      <c r="R83" s="115">
        <v>451471</v>
      </c>
      <c r="S83" s="134">
        <f t="shared" si="27"/>
        <v>1206149</v>
      </c>
      <c r="T83" s="114">
        <v>748149</v>
      </c>
      <c r="U83" s="114">
        <v>438741</v>
      </c>
      <c r="V83" s="134">
        <f t="shared" si="28"/>
        <v>1186890</v>
      </c>
      <c r="W83" s="114">
        <v>740565</v>
      </c>
      <c r="X83" s="114">
        <v>472890</v>
      </c>
      <c r="Y83" s="134">
        <f t="shared" si="29"/>
        <v>1213455</v>
      </c>
      <c r="Z83" s="113">
        <v>743643</v>
      </c>
      <c r="AA83" s="113">
        <v>487036</v>
      </c>
      <c r="AB83" s="134">
        <f t="shared" si="30"/>
        <v>1230679</v>
      </c>
      <c r="AD83" s="112" t="s">
        <v>464</v>
      </c>
      <c r="AE83" s="112">
        <f>SUM(AE84:AE90)</f>
        <v>11519017</v>
      </c>
      <c r="AF83" s="112">
        <f>SUM(AF84:AF90)</f>
        <v>7308552</v>
      </c>
      <c r="AG83" s="193">
        <f t="shared" si="36"/>
        <v>18827569</v>
      </c>
      <c r="AH83" s="156">
        <v>624</v>
      </c>
      <c r="AI83" s="168" t="s">
        <v>421</v>
      </c>
      <c r="AJ83" s="151">
        <v>820362</v>
      </c>
      <c r="AK83" s="151">
        <v>416015</v>
      </c>
      <c r="AL83" s="182">
        <f t="shared" si="37"/>
        <v>1236377</v>
      </c>
      <c r="AM83" s="151">
        <v>800122</v>
      </c>
      <c r="AN83" s="151">
        <v>417262</v>
      </c>
      <c r="AO83" s="182">
        <f t="shared" si="38"/>
        <v>1217384</v>
      </c>
      <c r="AT83" s="179"/>
      <c r="AU83" s="142"/>
      <c r="AV83" s="142" t="s">
        <v>644</v>
      </c>
      <c r="AW83" s="161" t="s">
        <v>645</v>
      </c>
      <c r="AX83" s="161" t="s">
        <v>645</v>
      </c>
      <c r="AY83" s="161"/>
    </row>
    <row r="84" spans="1:51">
      <c r="A84" s="115" t="s">
        <v>425</v>
      </c>
      <c r="B84" s="115">
        <v>909025</v>
      </c>
      <c r="C84" s="115">
        <v>377297</v>
      </c>
      <c r="D84" s="134">
        <f t="shared" si="31"/>
        <v>1286322</v>
      </c>
      <c r="E84" s="115">
        <v>946571</v>
      </c>
      <c r="F84" s="115">
        <v>423847</v>
      </c>
      <c r="G84" s="134">
        <f t="shared" si="32"/>
        <v>1370418</v>
      </c>
      <c r="H84" s="115">
        <v>1002620</v>
      </c>
      <c r="I84" s="115">
        <v>555034</v>
      </c>
      <c r="J84" s="134">
        <f t="shared" si="33"/>
        <v>1557654</v>
      </c>
      <c r="K84" s="115">
        <v>999010</v>
      </c>
      <c r="L84" s="115">
        <v>435810</v>
      </c>
      <c r="M84" s="134">
        <f t="shared" si="34"/>
        <v>1434820</v>
      </c>
      <c r="N84" s="115">
        <v>1032931</v>
      </c>
      <c r="O84" s="115">
        <v>472999</v>
      </c>
      <c r="P84" s="134">
        <f t="shared" si="35"/>
        <v>1505930</v>
      </c>
      <c r="Q84" s="115">
        <v>1065803</v>
      </c>
      <c r="R84" s="115">
        <v>540446</v>
      </c>
      <c r="S84" s="134">
        <f t="shared" si="27"/>
        <v>1606249</v>
      </c>
      <c r="T84" s="114">
        <v>1077403</v>
      </c>
      <c r="U84" s="114">
        <v>608654</v>
      </c>
      <c r="V84" s="134">
        <f t="shared" si="28"/>
        <v>1686057</v>
      </c>
      <c r="W84" s="114">
        <v>1037450</v>
      </c>
      <c r="X84" s="114">
        <v>608513</v>
      </c>
      <c r="Y84" s="134">
        <f t="shared" si="29"/>
        <v>1645963</v>
      </c>
      <c r="Z84" s="113">
        <v>1044317</v>
      </c>
      <c r="AA84" s="113">
        <v>638094</v>
      </c>
      <c r="AB84" s="134">
        <f t="shared" si="30"/>
        <v>1682411</v>
      </c>
      <c r="AD84" s="112" t="s">
        <v>1151</v>
      </c>
      <c r="AE84" s="112">
        <v>5217956</v>
      </c>
      <c r="AF84" s="112">
        <v>3150693</v>
      </c>
      <c r="AG84" s="193">
        <f t="shared" si="36"/>
        <v>8368649</v>
      </c>
      <c r="AH84" s="135"/>
      <c r="AI84" s="135" t="s">
        <v>211</v>
      </c>
      <c r="AJ84" s="151">
        <v>11046249</v>
      </c>
      <c r="AK84" s="151">
        <v>7038919</v>
      </c>
      <c r="AL84" s="182">
        <f t="shared" si="37"/>
        <v>18085168</v>
      </c>
      <c r="AM84" s="151">
        <v>11016110</v>
      </c>
      <c r="AN84" s="151">
        <v>7605207</v>
      </c>
      <c r="AO84" s="182">
        <f t="shared" si="38"/>
        <v>18621317</v>
      </c>
      <c r="AP84" s="135"/>
      <c r="AQ84" s="135" t="s">
        <v>211</v>
      </c>
      <c r="AR84" s="152">
        <v>10901347</v>
      </c>
      <c r="AS84" s="152">
        <v>7510217</v>
      </c>
      <c r="AT84" s="176">
        <f t="shared" ref="AT84:AT103" si="43">AR84+AS84</f>
        <v>18411564</v>
      </c>
    </row>
    <row r="85" spans="1:51">
      <c r="A85" s="115" t="s">
        <v>426</v>
      </c>
      <c r="B85" s="115">
        <v>1061002</v>
      </c>
      <c r="C85" s="115">
        <v>334688</v>
      </c>
      <c r="D85" s="134">
        <f t="shared" si="31"/>
        <v>1395690</v>
      </c>
      <c r="E85" s="115">
        <v>1089957</v>
      </c>
      <c r="F85" s="115">
        <v>380510</v>
      </c>
      <c r="G85" s="134">
        <f t="shared" si="32"/>
        <v>1470467</v>
      </c>
      <c r="H85" s="115">
        <v>1147421</v>
      </c>
      <c r="I85" s="115">
        <v>399261</v>
      </c>
      <c r="J85" s="134">
        <f t="shared" si="33"/>
        <v>1546682</v>
      </c>
      <c r="K85" s="115">
        <v>1185888</v>
      </c>
      <c r="L85" s="115">
        <v>438689</v>
      </c>
      <c r="M85" s="134">
        <f t="shared" si="34"/>
        <v>1624577</v>
      </c>
      <c r="N85" s="115">
        <v>1228687</v>
      </c>
      <c r="O85" s="115">
        <v>465567</v>
      </c>
      <c r="P85" s="134">
        <f t="shared" si="35"/>
        <v>1694254</v>
      </c>
      <c r="Q85" s="115">
        <v>1251441</v>
      </c>
      <c r="R85" s="115">
        <v>505990</v>
      </c>
      <c r="S85" s="134">
        <f t="shared" si="27"/>
        <v>1757431</v>
      </c>
      <c r="T85" s="114">
        <v>1244222</v>
      </c>
      <c r="U85" s="114">
        <v>546285</v>
      </c>
      <c r="V85" s="134">
        <f t="shared" si="28"/>
        <v>1790507</v>
      </c>
      <c r="W85" s="114">
        <v>1251925</v>
      </c>
      <c r="X85" s="114">
        <v>571259</v>
      </c>
      <c r="Y85" s="134">
        <f t="shared" si="29"/>
        <v>1823184</v>
      </c>
      <c r="Z85" s="113">
        <v>1288887</v>
      </c>
      <c r="AA85" s="113">
        <v>599061</v>
      </c>
      <c r="AB85" s="134">
        <f t="shared" si="30"/>
        <v>1887948</v>
      </c>
      <c r="AD85" s="112" t="s">
        <v>550</v>
      </c>
      <c r="AE85" s="112">
        <v>985070</v>
      </c>
      <c r="AF85" s="112">
        <v>688017</v>
      </c>
      <c r="AG85" s="193">
        <f t="shared" si="36"/>
        <v>1673087</v>
      </c>
      <c r="AH85" s="156">
        <v>221</v>
      </c>
      <c r="AI85" s="168" t="s">
        <v>1146</v>
      </c>
      <c r="AJ85" s="151">
        <v>4792332</v>
      </c>
      <c r="AK85" s="151">
        <v>3104729</v>
      </c>
      <c r="AL85" s="182">
        <f t="shared" si="37"/>
        <v>7897061</v>
      </c>
      <c r="AM85" s="151">
        <v>4775245</v>
      </c>
      <c r="AN85" s="151">
        <v>3412075</v>
      </c>
      <c r="AO85" s="182">
        <f t="shared" si="38"/>
        <v>8187320</v>
      </c>
      <c r="AP85" s="156">
        <v>221</v>
      </c>
      <c r="AQ85" s="168" t="s">
        <v>1146</v>
      </c>
      <c r="AR85" s="152">
        <v>4687084</v>
      </c>
      <c r="AS85" s="152">
        <v>3353010</v>
      </c>
      <c r="AT85" s="176">
        <f t="shared" si="43"/>
        <v>8040094</v>
      </c>
    </row>
    <row r="86" spans="1:51">
      <c r="A86" s="115" t="s">
        <v>427</v>
      </c>
      <c r="B86" s="115">
        <v>629252</v>
      </c>
      <c r="C86" s="115">
        <v>334202</v>
      </c>
      <c r="D86" s="134">
        <f t="shared" si="31"/>
        <v>963454</v>
      </c>
      <c r="E86" s="115">
        <v>699570</v>
      </c>
      <c r="F86" s="115">
        <v>374125</v>
      </c>
      <c r="G86" s="134">
        <f t="shared" si="32"/>
        <v>1073695</v>
      </c>
      <c r="H86" s="115">
        <v>738629</v>
      </c>
      <c r="I86" s="115">
        <v>423122</v>
      </c>
      <c r="J86" s="134">
        <f t="shared" si="33"/>
        <v>1161751</v>
      </c>
      <c r="K86" s="115">
        <v>766623</v>
      </c>
      <c r="L86" s="115">
        <v>473492</v>
      </c>
      <c r="M86" s="134">
        <f t="shared" si="34"/>
        <v>1240115</v>
      </c>
      <c r="N86" s="115">
        <v>761203</v>
      </c>
      <c r="O86" s="115">
        <v>457060</v>
      </c>
      <c r="P86" s="134">
        <f t="shared" si="35"/>
        <v>1218263</v>
      </c>
      <c r="Q86" s="115">
        <v>753668</v>
      </c>
      <c r="R86" s="115">
        <v>564102</v>
      </c>
      <c r="S86" s="134">
        <f t="shared" si="27"/>
        <v>1317770</v>
      </c>
      <c r="T86" s="114">
        <v>804598</v>
      </c>
      <c r="U86" s="114">
        <v>638840</v>
      </c>
      <c r="V86" s="134">
        <f t="shared" si="28"/>
        <v>1443438</v>
      </c>
      <c r="W86" s="114">
        <v>838236</v>
      </c>
      <c r="X86" s="114">
        <v>554677</v>
      </c>
      <c r="Y86" s="134">
        <f t="shared" si="29"/>
        <v>1392913</v>
      </c>
      <c r="Z86" s="113">
        <v>833542</v>
      </c>
      <c r="AA86" s="113">
        <v>608088</v>
      </c>
      <c r="AB86" s="134">
        <f t="shared" si="30"/>
        <v>1441630</v>
      </c>
      <c r="AD86" s="112" t="s">
        <v>551</v>
      </c>
      <c r="AE86" s="112">
        <v>1407814</v>
      </c>
      <c r="AF86" s="112">
        <v>1020390</v>
      </c>
      <c r="AG86" s="193">
        <f t="shared" si="36"/>
        <v>2428204</v>
      </c>
      <c r="AH86" s="156">
        <v>641</v>
      </c>
      <c r="AI86" s="168" t="s">
        <v>422</v>
      </c>
      <c r="AJ86" s="151">
        <v>978407</v>
      </c>
      <c r="AK86" s="151">
        <v>681027</v>
      </c>
      <c r="AL86" s="182">
        <f t="shared" si="37"/>
        <v>1659434</v>
      </c>
      <c r="AM86" s="151">
        <v>981038</v>
      </c>
      <c r="AN86" s="151">
        <v>803117</v>
      </c>
      <c r="AO86" s="182">
        <f t="shared" si="38"/>
        <v>1784155</v>
      </c>
      <c r="AP86" s="156">
        <v>641</v>
      </c>
      <c r="AQ86" s="168" t="s">
        <v>422</v>
      </c>
      <c r="AR86" s="152">
        <v>982005</v>
      </c>
      <c r="AS86" s="152">
        <v>724316</v>
      </c>
      <c r="AT86" s="176">
        <f t="shared" si="43"/>
        <v>1706321</v>
      </c>
    </row>
    <row r="87" spans="1:51">
      <c r="A87" s="115" t="s">
        <v>429</v>
      </c>
      <c r="B87" s="115">
        <v>1820409</v>
      </c>
      <c r="C87" s="115">
        <v>504002</v>
      </c>
      <c r="D87" s="134">
        <f t="shared" si="31"/>
        <v>2324411</v>
      </c>
      <c r="E87" s="115">
        <v>1911645</v>
      </c>
      <c r="F87" s="115">
        <v>573088</v>
      </c>
      <c r="G87" s="134">
        <f t="shared" si="32"/>
        <v>2484733</v>
      </c>
      <c r="H87" s="115">
        <v>1974981</v>
      </c>
      <c r="I87" s="115">
        <v>730570</v>
      </c>
      <c r="J87" s="134">
        <f t="shared" si="33"/>
        <v>2705551</v>
      </c>
      <c r="K87" s="115">
        <v>1994167</v>
      </c>
      <c r="L87" s="115">
        <v>730555</v>
      </c>
      <c r="M87" s="134">
        <f t="shared" si="34"/>
        <v>2724722</v>
      </c>
      <c r="N87" s="115">
        <v>2055145</v>
      </c>
      <c r="O87" s="115">
        <v>860132</v>
      </c>
      <c r="P87" s="134">
        <f t="shared" si="35"/>
        <v>2915277</v>
      </c>
      <c r="Q87" s="115">
        <v>2069061</v>
      </c>
      <c r="R87" s="115">
        <v>813477</v>
      </c>
      <c r="S87" s="134">
        <f t="shared" si="27"/>
        <v>2882538</v>
      </c>
      <c r="T87" s="114">
        <v>2174401</v>
      </c>
      <c r="U87" s="114">
        <v>793320</v>
      </c>
      <c r="V87" s="134">
        <f t="shared" si="28"/>
        <v>2967721</v>
      </c>
      <c r="W87" s="114">
        <v>2211902</v>
      </c>
      <c r="X87" s="114">
        <v>888462</v>
      </c>
      <c r="Y87" s="134">
        <f t="shared" si="29"/>
        <v>3100364</v>
      </c>
      <c r="Z87" s="113">
        <v>2233885</v>
      </c>
      <c r="AA87" s="113">
        <v>1066832</v>
      </c>
      <c r="AB87" s="134">
        <f t="shared" si="30"/>
        <v>3300717</v>
      </c>
      <c r="AD87" s="112" t="s">
        <v>552</v>
      </c>
      <c r="AE87" s="112">
        <v>737962</v>
      </c>
      <c r="AF87" s="112">
        <v>511005</v>
      </c>
      <c r="AG87" s="193">
        <f t="shared" si="36"/>
        <v>1248967</v>
      </c>
      <c r="AH87" s="156">
        <v>642</v>
      </c>
      <c r="AI87" s="168" t="s">
        <v>423</v>
      </c>
      <c r="AJ87" s="151">
        <v>1329878</v>
      </c>
      <c r="AK87" s="151">
        <v>861789</v>
      </c>
      <c r="AL87" s="182">
        <f t="shared" si="37"/>
        <v>2191667</v>
      </c>
      <c r="AM87" s="151">
        <v>1299234</v>
      </c>
      <c r="AN87" s="151">
        <v>882178</v>
      </c>
      <c r="AO87" s="182">
        <f t="shared" si="38"/>
        <v>2181412</v>
      </c>
      <c r="AP87" s="156">
        <v>642</v>
      </c>
      <c r="AQ87" s="168" t="s">
        <v>423</v>
      </c>
      <c r="AR87" s="152">
        <v>1276176</v>
      </c>
      <c r="AS87" s="152">
        <v>927359</v>
      </c>
      <c r="AT87" s="176">
        <f t="shared" si="43"/>
        <v>2203535</v>
      </c>
    </row>
    <row r="88" spans="1:51">
      <c r="A88" s="115" t="s">
        <v>430</v>
      </c>
      <c r="B88" s="115">
        <v>460400</v>
      </c>
      <c r="C88" s="115">
        <v>217396</v>
      </c>
      <c r="D88" s="134">
        <f t="shared" si="31"/>
        <v>677796</v>
      </c>
      <c r="E88" s="115">
        <v>489650</v>
      </c>
      <c r="F88" s="115">
        <v>263771</v>
      </c>
      <c r="G88" s="134">
        <f t="shared" si="32"/>
        <v>753421</v>
      </c>
      <c r="H88" s="115">
        <v>512127</v>
      </c>
      <c r="I88" s="115">
        <v>264082</v>
      </c>
      <c r="J88" s="134">
        <f t="shared" si="33"/>
        <v>776209</v>
      </c>
      <c r="K88" s="115">
        <v>535311</v>
      </c>
      <c r="L88" s="115">
        <v>299827</v>
      </c>
      <c r="M88" s="134">
        <f t="shared" si="34"/>
        <v>835138</v>
      </c>
      <c r="N88" s="115">
        <v>547148</v>
      </c>
      <c r="O88" s="115">
        <v>285006</v>
      </c>
      <c r="P88" s="134">
        <f t="shared" si="35"/>
        <v>832154</v>
      </c>
      <c r="Q88" s="115">
        <v>565500</v>
      </c>
      <c r="R88" s="115">
        <v>278018</v>
      </c>
      <c r="S88" s="134">
        <f t="shared" si="27"/>
        <v>843518</v>
      </c>
      <c r="T88" s="114">
        <v>554448</v>
      </c>
      <c r="U88" s="114">
        <v>304834</v>
      </c>
      <c r="V88" s="134">
        <f t="shared" si="28"/>
        <v>859282</v>
      </c>
      <c r="W88" s="114">
        <v>567335</v>
      </c>
      <c r="X88" s="114">
        <v>345503</v>
      </c>
      <c r="Y88" s="134">
        <f t="shared" si="29"/>
        <v>912838</v>
      </c>
      <c r="Z88" s="113">
        <v>597787</v>
      </c>
      <c r="AA88" s="113">
        <v>395161</v>
      </c>
      <c r="AB88" s="134">
        <f t="shared" si="30"/>
        <v>992948</v>
      </c>
      <c r="AD88" s="112" t="s">
        <v>553</v>
      </c>
      <c r="AE88" s="112">
        <v>1041509</v>
      </c>
      <c r="AF88" s="112">
        <v>661491</v>
      </c>
      <c r="AG88" s="193">
        <f t="shared" si="36"/>
        <v>1703000</v>
      </c>
      <c r="AH88" s="156">
        <v>643</v>
      </c>
      <c r="AI88" s="168" t="s">
        <v>424</v>
      </c>
      <c r="AJ88" s="151">
        <v>732255</v>
      </c>
      <c r="AK88" s="151">
        <v>489301</v>
      </c>
      <c r="AL88" s="182">
        <f t="shared" si="37"/>
        <v>1221556</v>
      </c>
      <c r="AM88" s="151">
        <v>705349</v>
      </c>
      <c r="AN88" s="151">
        <v>476215</v>
      </c>
      <c r="AO88" s="182">
        <f t="shared" si="38"/>
        <v>1181564</v>
      </c>
      <c r="AP88" s="156">
        <v>643</v>
      </c>
      <c r="AQ88" s="168" t="s">
        <v>424</v>
      </c>
      <c r="AR88" s="152">
        <v>769707</v>
      </c>
      <c r="AS88" s="152">
        <v>442283</v>
      </c>
      <c r="AT88" s="176">
        <f t="shared" si="43"/>
        <v>1211990</v>
      </c>
    </row>
    <row r="89" spans="1:51">
      <c r="A89" s="115" t="s">
        <v>431</v>
      </c>
      <c r="B89" s="115">
        <v>1024545</v>
      </c>
      <c r="C89" s="115">
        <v>402509</v>
      </c>
      <c r="D89" s="134">
        <f t="shared" si="31"/>
        <v>1427054</v>
      </c>
      <c r="E89" s="115">
        <v>1076074</v>
      </c>
      <c r="F89" s="115">
        <v>414844</v>
      </c>
      <c r="G89" s="134">
        <f t="shared" si="32"/>
        <v>1490918</v>
      </c>
      <c r="H89" s="115">
        <v>1137081</v>
      </c>
      <c r="I89" s="115">
        <v>491240</v>
      </c>
      <c r="J89" s="134">
        <f t="shared" si="33"/>
        <v>1628321</v>
      </c>
      <c r="K89" s="115">
        <v>1143049</v>
      </c>
      <c r="L89" s="115">
        <v>516223</v>
      </c>
      <c r="M89" s="134">
        <f t="shared" si="34"/>
        <v>1659272</v>
      </c>
      <c r="N89" s="115">
        <v>1180262</v>
      </c>
      <c r="O89" s="115">
        <v>565147</v>
      </c>
      <c r="P89" s="134">
        <f t="shared" si="35"/>
        <v>1745409</v>
      </c>
      <c r="Q89" s="115">
        <v>1202235</v>
      </c>
      <c r="R89" s="115">
        <v>583084</v>
      </c>
      <c r="S89" s="134">
        <f t="shared" si="27"/>
        <v>1785319</v>
      </c>
      <c r="T89" s="114">
        <v>1210151</v>
      </c>
      <c r="U89" s="114">
        <v>641392</v>
      </c>
      <c r="V89" s="134">
        <f t="shared" si="28"/>
        <v>1851543</v>
      </c>
      <c r="W89" s="114">
        <v>1321571</v>
      </c>
      <c r="X89" s="114">
        <v>664614</v>
      </c>
      <c r="Y89" s="134">
        <f t="shared" si="29"/>
        <v>1986185</v>
      </c>
      <c r="Z89" s="113">
        <v>1314819</v>
      </c>
      <c r="AA89" s="113">
        <v>680689</v>
      </c>
      <c r="AB89" s="134">
        <f t="shared" si="30"/>
        <v>1995508</v>
      </c>
      <c r="AD89" s="112" t="s">
        <v>555</v>
      </c>
      <c r="AE89" s="112">
        <v>1292257</v>
      </c>
      <c r="AF89" s="112">
        <v>661711</v>
      </c>
      <c r="AG89" s="193">
        <f t="shared" si="36"/>
        <v>1953968</v>
      </c>
      <c r="AH89" s="156">
        <v>644</v>
      </c>
      <c r="AI89" s="168" t="s">
        <v>425</v>
      </c>
      <c r="AJ89" s="151">
        <v>1121122</v>
      </c>
      <c r="AK89" s="151">
        <v>638098</v>
      </c>
      <c r="AL89" s="182">
        <f t="shared" si="37"/>
        <v>1759220</v>
      </c>
      <c r="AM89" s="151">
        <v>1128499</v>
      </c>
      <c r="AN89" s="151">
        <v>677641</v>
      </c>
      <c r="AO89" s="182">
        <f t="shared" si="38"/>
        <v>1806140</v>
      </c>
      <c r="AP89" s="156">
        <v>644</v>
      </c>
      <c r="AQ89" s="168" t="s">
        <v>425</v>
      </c>
      <c r="AR89" s="152">
        <v>1113711</v>
      </c>
      <c r="AS89" s="152">
        <v>722644</v>
      </c>
      <c r="AT89" s="176">
        <f t="shared" si="43"/>
        <v>1836355</v>
      </c>
    </row>
    <row r="90" spans="1:51">
      <c r="A90" s="115" t="s">
        <v>432</v>
      </c>
      <c r="B90" s="115">
        <v>474476</v>
      </c>
      <c r="C90" s="115">
        <v>150757</v>
      </c>
      <c r="D90" s="134">
        <f t="shared" si="31"/>
        <v>625233</v>
      </c>
      <c r="E90" s="115">
        <v>490370</v>
      </c>
      <c r="F90" s="115">
        <v>153663</v>
      </c>
      <c r="G90" s="134">
        <f t="shared" si="32"/>
        <v>644033</v>
      </c>
      <c r="H90" s="115">
        <v>535958</v>
      </c>
      <c r="I90" s="115">
        <v>187748</v>
      </c>
      <c r="J90" s="134">
        <f t="shared" si="33"/>
        <v>723706</v>
      </c>
      <c r="K90" s="115">
        <v>563978</v>
      </c>
      <c r="L90" s="115">
        <v>231860</v>
      </c>
      <c r="M90" s="134">
        <f t="shared" si="34"/>
        <v>795838</v>
      </c>
      <c r="N90" s="115">
        <v>541880</v>
      </c>
      <c r="O90" s="115">
        <v>244742</v>
      </c>
      <c r="P90" s="134">
        <f t="shared" si="35"/>
        <v>786622</v>
      </c>
      <c r="Q90" s="115">
        <v>557394</v>
      </c>
      <c r="R90" s="115">
        <v>269656</v>
      </c>
      <c r="S90" s="134">
        <f t="shared" si="27"/>
        <v>827050</v>
      </c>
      <c r="T90" s="114">
        <v>567200</v>
      </c>
      <c r="U90" s="114">
        <v>260965</v>
      </c>
      <c r="V90" s="134">
        <f t="shared" si="28"/>
        <v>828165</v>
      </c>
      <c r="W90" s="114">
        <v>584591</v>
      </c>
      <c r="X90" s="114">
        <v>234302</v>
      </c>
      <c r="Y90" s="134">
        <f t="shared" si="29"/>
        <v>818893</v>
      </c>
      <c r="Z90" s="113">
        <v>605347</v>
      </c>
      <c r="AA90" s="113">
        <v>255205</v>
      </c>
      <c r="AB90" s="134">
        <f t="shared" si="30"/>
        <v>860552</v>
      </c>
      <c r="AD90" s="112" t="s">
        <v>556</v>
      </c>
      <c r="AE90" s="112">
        <v>836449</v>
      </c>
      <c r="AF90" s="112">
        <v>615245</v>
      </c>
      <c r="AG90" s="193">
        <f t="shared" si="36"/>
        <v>1451694</v>
      </c>
      <c r="AH90" s="156">
        <v>645</v>
      </c>
      <c r="AI90" s="168" t="s">
        <v>426</v>
      </c>
      <c r="AJ90" s="151">
        <v>1261422</v>
      </c>
      <c r="AK90" s="151">
        <v>660727</v>
      </c>
      <c r="AL90" s="182">
        <f t="shared" si="37"/>
        <v>1922149</v>
      </c>
      <c r="AM90" s="151">
        <v>1246851</v>
      </c>
      <c r="AN90" s="151">
        <v>734841</v>
      </c>
      <c r="AO90" s="182">
        <f t="shared" si="38"/>
        <v>1981692</v>
      </c>
      <c r="AP90" s="156">
        <v>645</v>
      </c>
      <c r="AQ90" s="168" t="s">
        <v>426</v>
      </c>
      <c r="AR90" s="152">
        <v>1233900</v>
      </c>
      <c r="AS90" s="152">
        <v>738829</v>
      </c>
      <c r="AT90" s="176">
        <f t="shared" si="43"/>
        <v>1972729</v>
      </c>
    </row>
    <row r="91" spans="1:51">
      <c r="A91" s="115" t="s">
        <v>212</v>
      </c>
      <c r="B91" s="115">
        <f t="shared" ref="B91:N91" si="44">SUM(B92:B102)</f>
        <v>12539006</v>
      </c>
      <c r="C91" s="115">
        <f t="shared" si="44"/>
        <v>4923431</v>
      </c>
      <c r="D91" s="134">
        <f t="shared" si="31"/>
        <v>17462437</v>
      </c>
      <c r="E91" s="115">
        <f t="shared" si="44"/>
        <v>13203746</v>
      </c>
      <c r="F91" s="115">
        <f t="shared" si="44"/>
        <v>5294306</v>
      </c>
      <c r="G91" s="134">
        <f t="shared" si="32"/>
        <v>18498052</v>
      </c>
      <c r="H91" s="115">
        <f t="shared" si="44"/>
        <v>13858630</v>
      </c>
      <c r="I91" s="115">
        <f t="shared" si="44"/>
        <v>5793194</v>
      </c>
      <c r="J91" s="134">
        <f t="shared" si="33"/>
        <v>19651824</v>
      </c>
      <c r="K91" s="115">
        <f t="shared" si="44"/>
        <v>14237538</v>
      </c>
      <c r="L91" s="115">
        <f t="shared" si="44"/>
        <v>6053484</v>
      </c>
      <c r="M91" s="134">
        <f t="shared" si="34"/>
        <v>20291022</v>
      </c>
      <c r="N91" s="115">
        <f t="shared" si="44"/>
        <v>14877261</v>
      </c>
      <c r="O91" s="115">
        <f>SUM(O92:O102)</f>
        <v>11151212</v>
      </c>
      <c r="P91" s="134">
        <f t="shared" si="35"/>
        <v>26028473</v>
      </c>
      <c r="Q91" s="115">
        <f t="shared" ref="Q91:AA91" si="45">SUM(Q92:Q102)</f>
        <v>14739132</v>
      </c>
      <c r="R91" s="115">
        <f t="shared" si="45"/>
        <v>12573408</v>
      </c>
      <c r="S91" s="134">
        <f t="shared" si="27"/>
        <v>27312540</v>
      </c>
      <c r="T91" s="115">
        <f t="shared" si="45"/>
        <v>14905070</v>
      </c>
      <c r="U91" s="115">
        <f t="shared" si="45"/>
        <v>7463640</v>
      </c>
      <c r="V91" s="134">
        <f t="shared" si="28"/>
        <v>22368710</v>
      </c>
      <c r="W91" s="115">
        <f t="shared" si="45"/>
        <v>15417912</v>
      </c>
      <c r="X91" s="115">
        <f t="shared" si="45"/>
        <v>7911179</v>
      </c>
      <c r="Y91" s="134">
        <f t="shared" si="29"/>
        <v>23329091</v>
      </c>
      <c r="Z91" s="115">
        <f t="shared" si="45"/>
        <v>15390398</v>
      </c>
      <c r="AA91" s="115">
        <f t="shared" si="45"/>
        <v>9282623</v>
      </c>
      <c r="AB91" s="134">
        <f t="shared" si="30"/>
        <v>24673021</v>
      </c>
      <c r="AD91" s="112" t="s">
        <v>465</v>
      </c>
      <c r="AE91" s="112">
        <f>SUM(AE92:AE102)</f>
        <v>15387517</v>
      </c>
      <c r="AF91" s="112">
        <f>SUM(AF92:AF102)</f>
        <v>9366665</v>
      </c>
      <c r="AG91" s="193">
        <f t="shared" si="36"/>
        <v>24754182</v>
      </c>
      <c r="AH91" s="156">
        <v>646</v>
      </c>
      <c r="AI91" s="168" t="s">
        <v>427</v>
      </c>
      <c r="AJ91" s="151">
        <v>830833</v>
      </c>
      <c r="AK91" s="151">
        <v>603248</v>
      </c>
      <c r="AL91" s="182">
        <f t="shared" si="37"/>
        <v>1434081</v>
      </c>
      <c r="AM91" s="151">
        <v>879894</v>
      </c>
      <c r="AN91" s="151">
        <v>619140</v>
      </c>
      <c r="AO91" s="182">
        <f t="shared" si="38"/>
        <v>1499034</v>
      </c>
      <c r="AP91" s="156">
        <v>646</v>
      </c>
      <c r="AQ91" s="168" t="s">
        <v>427</v>
      </c>
      <c r="AR91" s="152">
        <v>838764</v>
      </c>
      <c r="AS91" s="152">
        <v>601776</v>
      </c>
      <c r="AT91" s="176">
        <f t="shared" si="43"/>
        <v>1440540</v>
      </c>
    </row>
    <row r="92" spans="1:51">
      <c r="A92" s="115" t="s">
        <v>339</v>
      </c>
      <c r="B92" s="115">
        <v>3010460</v>
      </c>
      <c r="C92" s="115">
        <v>1172308</v>
      </c>
      <c r="D92" s="134">
        <f t="shared" si="31"/>
        <v>4182768</v>
      </c>
      <c r="E92" s="115">
        <v>3039856</v>
      </c>
      <c r="F92" s="115">
        <v>1177934</v>
      </c>
      <c r="G92" s="134">
        <f t="shared" si="32"/>
        <v>4217790</v>
      </c>
      <c r="H92" s="115">
        <v>3145080</v>
      </c>
      <c r="I92" s="115">
        <v>1345524</v>
      </c>
      <c r="J92" s="134">
        <f t="shared" si="33"/>
        <v>4490604</v>
      </c>
      <c r="K92" s="115">
        <v>3064932</v>
      </c>
      <c r="L92" s="115">
        <v>1353909</v>
      </c>
      <c r="M92" s="134">
        <f t="shared" si="34"/>
        <v>4418841</v>
      </c>
      <c r="N92" s="115">
        <v>3257655</v>
      </c>
      <c r="O92" s="115">
        <v>1757791</v>
      </c>
      <c r="P92" s="134">
        <f t="shared" si="35"/>
        <v>5015446</v>
      </c>
      <c r="Q92" s="115">
        <v>3342501</v>
      </c>
      <c r="R92" s="115">
        <v>1850727</v>
      </c>
      <c r="S92" s="134">
        <f t="shared" si="27"/>
        <v>5193228</v>
      </c>
      <c r="T92" s="114">
        <v>3462703</v>
      </c>
      <c r="U92" s="114">
        <v>1518587</v>
      </c>
      <c r="V92" s="134">
        <f t="shared" si="28"/>
        <v>4981290</v>
      </c>
      <c r="W92" s="114">
        <v>3561637</v>
      </c>
      <c r="X92" s="114">
        <v>1554778</v>
      </c>
      <c r="Y92" s="134">
        <f t="shared" si="29"/>
        <v>5116415</v>
      </c>
      <c r="Z92" s="113">
        <v>3481527</v>
      </c>
      <c r="AA92" s="113">
        <v>1774487</v>
      </c>
      <c r="AB92" s="134">
        <f t="shared" si="30"/>
        <v>5256014</v>
      </c>
      <c r="AD92" s="112" t="s">
        <v>470</v>
      </c>
      <c r="AE92" s="112">
        <v>3494126</v>
      </c>
      <c r="AF92" s="112">
        <v>1849530</v>
      </c>
      <c r="AG92" s="193">
        <f t="shared" si="36"/>
        <v>5343656</v>
      </c>
      <c r="AH92" s="135"/>
      <c r="AI92" s="172" t="s">
        <v>212</v>
      </c>
      <c r="AJ92" s="151">
        <v>14793187</v>
      </c>
      <c r="AK92" s="151">
        <v>9522676</v>
      </c>
      <c r="AL92" s="182">
        <f t="shared" si="37"/>
        <v>24315863</v>
      </c>
      <c r="AM92" s="151">
        <v>14768043</v>
      </c>
      <c r="AN92" s="151">
        <v>10063602</v>
      </c>
      <c r="AO92" s="182">
        <f t="shared" si="38"/>
        <v>24831645</v>
      </c>
      <c r="AP92" s="135"/>
      <c r="AQ92" s="172" t="s">
        <v>212</v>
      </c>
      <c r="AR92" s="152">
        <v>14448500</v>
      </c>
      <c r="AS92" s="152">
        <v>9540655</v>
      </c>
      <c r="AT92" s="176">
        <f t="shared" si="43"/>
        <v>23989155</v>
      </c>
    </row>
    <row r="93" spans="1:51">
      <c r="A93" s="115" t="s">
        <v>433</v>
      </c>
      <c r="B93" s="115">
        <v>1060543</v>
      </c>
      <c r="C93" s="115">
        <v>606883</v>
      </c>
      <c r="D93" s="134">
        <f t="shared" si="31"/>
        <v>1667426</v>
      </c>
      <c r="E93" s="115">
        <v>1165243</v>
      </c>
      <c r="F93" s="115">
        <v>615343</v>
      </c>
      <c r="G93" s="134">
        <f t="shared" si="32"/>
        <v>1780586</v>
      </c>
      <c r="H93" s="115">
        <v>1221976</v>
      </c>
      <c r="I93" s="115">
        <v>676712</v>
      </c>
      <c r="J93" s="134">
        <f t="shared" si="33"/>
        <v>1898688</v>
      </c>
      <c r="K93" s="115">
        <v>1296426</v>
      </c>
      <c r="L93" s="115">
        <v>697635</v>
      </c>
      <c r="M93" s="134">
        <f t="shared" si="34"/>
        <v>1994061</v>
      </c>
      <c r="N93" s="115">
        <v>1308823</v>
      </c>
      <c r="O93" s="115">
        <v>1438529</v>
      </c>
      <c r="P93" s="134">
        <f t="shared" si="35"/>
        <v>2747352</v>
      </c>
      <c r="Q93" s="115">
        <v>1282050</v>
      </c>
      <c r="R93" s="115">
        <v>1484033</v>
      </c>
      <c r="S93" s="134">
        <f t="shared" si="27"/>
        <v>2766083</v>
      </c>
      <c r="T93" s="114">
        <v>1275196</v>
      </c>
      <c r="U93" s="114">
        <v>943560</v>
      </c>
      <c r="V93" s="134">
        <f t="shared" si="28"/>
        <v>2218756</v>
      </c>
      <c r="W93" s="114">
        <v>1282089</v>
      </c>
      <c r="X93" s="114">
        <v>1077029</v>
      </c>
      <c r="Y93" s="134">
        <f t="shared" si="29"/>
        <v>2359118</v>
      </c>
      <c r="Z93" s="113">
        <v>1350250</v>
      </c>
      <c r="AA93" s="113">
        <v>1209621</v>
      </c>
      <c r="AB93" s="134">
        <f t="shared" si="30"/>
        <v>2559871</v>
      </c>
      <c r="AD93" s="112" t="s">
        <v>538</v>
      </c>
      <c r="AE93" s="112">
        <v>1373085</v>
      </c>
      <c r="AF93" s="112">
        <v>1084509</v>
      </c>
      <c r="AG93" s="193">
        <f t="shared" si="36"/>
        <v>2457594</v>
      </c>
      <c r="AH93" s="156">
        <v>205</v>
      </c>
      <c r="AI93" s="168" t="s">
        <v>339</v>
      </c>
      <c r="AJ93" s="151">
        <v>3547120</v>
      </c>
      <c r="AK93" s="151">
        <v>1937620</v>
      </c>
      <c r="AL93" s="182">
        <f t="shared" si="37"/>
        <v>5484740</v>
      </c>
      <c r="AM93" s="151">
        <v>3446392</v>
      </c>
      <c r="AN93" s="151">
        <v>2275163</v>
      </c>
      <c r="AO93" s="182">
        <f t="shared" si="38"/>
        <v>5721555</v>
      </c>
      <c r="AP93" s="156">
        <v>205</v>
      </c>
      <c r="AQ93" s="168" t="s">
        <v>339</v>
      </c>
      <c r="AR93" s="152">
        <v>3480768</v>
      </c>
      <c r="AS93" s="152">
        <v>2023344</v>
      </c>
      <c r="AT93" s="176">
        <f t="shared" si="43"/>
        <v>5504112</v>
      </c>
    </row>
    <row r="94" spans="1:51">
      <c r="A94" s="115" t="s">
        <v>434</v>
      </c>
      <c r="B94" s="115">
        <v>677871</v>
      </c>
      <c r="C94" s="115">
        <v>275696</v>
      </c>
      <c r="D94" s="134">
        <f t="shared" si="31"/>
        <v>953567</v>
      </c>
      <c r="E94" s="115">
        <v>724670</v>
      </c>
      <c r="F94" s="115">
        <v>275218</v>
      </c>
      <c r="G94" s="134">
        <f t="shared" si="32"/>
        <v>999888</v>
      </c>
      <c r="H94" s="115">
        <v>768901</v>
      </c>
      <c r="I94" s="115">
        <v>292225</v>
      </c>
      <c r="J94" s="134">
        <f t="shared" si="33"/>
        <v>1061126</v>
      </c>
      <c r="K94" s="115">
        <v>764604</v>
      </c>
      <c r="L94" s="115">
        <v>304441</v>
      </c>
      <c r="M94" s="134">
        <f t="shared" si="34"/>
        <v>1069045</v>
      </c>
      <c r="N94" s="115">
        <v>787540</v>
      </c>
      <c r="O94" s="115">
        <v>583235</v>
      </c>
      <c r="P94" s="134">
        <f t="shared" si="35"/>
        <v>1370775</v>
      </c>
      <c r="Q94" s="115">
        <v>801832</v>
      </c>
      <c r="R94" s="115">
        <v>760864</v>
      </c>
      <c r="S94" s="134">
        <f t="shared" si="27"/>
        <v>1562696</v>
      </c>
      <c r="T94" s="114">
        <v>786291</v>
      </c>
      <c r="U94" s="114">
        <v>358157</v>
      </c>
      <c r="V94" s="134">
        <f t="shared" si="28"/>
        <v>1144448</v>
      </c>
      <c r="W94" s="114">
        <v>811110</v>
      </c>
      <c r="X94" s="114">
        <v>381277</v>
      </c>
      <c r="Y94" s="134">
        <f t="shared" si="29"/>
        <v>1192387</v>
      </c>
      <c r="Z94" s="113">
        <v>785105</v>
      </c>
      <c r="AA94" s="113">
        <v>486606</v>
      </c>
      <c r="AB94" s="134">
        <f t="shared" si="30"/>
        <v>1271711</v>
      </c>
      <c r="AD94" s="112" t="s">
        <v>539</v>
      </c>
      <c r="AE94" s="112">
        <v>802341</v>
      </c>
      <c r="AF94" s="112">
        <v>517653</v>
      </c>
      <c r="AG94" s="193">
        <f t="shared" si="36"/>
        <v>1319994</v>
      </c>
      <c r="AH94" s="156">
        <v>681</v>
      </c>
      <c r="AI94" s="168" t="s">
        <v>433</v>
      </c>
      <c r="AJ94" s="151">
        <v>1318564</v>
      </c>
      <c r="AK94" s="151">
        <v>1064410</v>
      </c>
      <c r="AL94" s="182">
        <f t="shared" si="37"/>
        <v>2382974</v>
      </c>
      <c r="AM94" s="151">
        <v>1326176</v>
      </c>
      <c r="AN94" s="151">
        <v>1047180</v>
      </c>
      <c r="AO94" s="182">
        <f t="shared" si="38"/>
        <v>2373356</v>
      </c>
      <c r="AP94" s="156">
        <v>681</v>
      </c>
      <c r="AQ94" s="168" t="s">
        <v>433</v>
      </c>
      <c r="AR94" s="152">
        <v>1291292</v>
      </c>
      <c r="AS94" s="152">
        <v>1068340</v>
      </c>
      <c r="AT94" s="176">
        <f t="shared" si="43"/>
        <v>2359632</v>
      </c>
    </row>
    <row r="95" spans="1:51">
      <c r="A95" s="115" t="s">
        <v>435</v>
      </c>
      <c r="B95" s="115">
        <v>1271858</v>
      </c>
      <c r="C95" s="115">
        <v>312198</v>
      </c>
      <c r="D95" s="134">
        <f t="shared" si="31"/>
        <v>1584056</v>
      </c>
      <c r="E95" s="115">
        <v>1306835</v>
      </c>
      <c r="F95" s="115">
        <v>330979</v>
      </c>
      <c r="G95" s="134">
        <f t="shared" si="32"/>
        <v>1637814</v>
      </c>
      <c r="H95" s="115">
        <v>1391453</v>
      </c>
      <c r="I95" s="115">
        <v>361595</v>
      </c>
      <c r="J95" s="134">
        <f t="shared" si="33"/>
        <v>1753048</v>
      </c>
      <c r="K95" s="115">
        <v>1438612</v>
      </c>
      <c r="L95" s="115">
        <v>364140</v>
      </c>
      <c r="M95" s="134">
        <f t="shared" si="34"/>
        <v>1802752</v>
      </c>
      <c r="N95" s="115">
        <v>1533031</v>
      </c>
      <c r="O95" s="115">
        <v>1371483</v>
      </c>
      <c r="P95" s="134">
        <f t="shared" si="35"/>
        <v>2904514</v>
      </c>
      <c r="Q95" s="115">
        <v>1336190</v>
      </c>
      <c r="R95" s="115">
        <v>2264948</v>
      </c>
      <c r="S95" s="134">
        <f t="shared" si="27"/>
        <v>3601138</v>
      </c>
      <c r="T95" s="114">
        <v>1407509</v>
      </c>
      <c r="U95" s="114">
        <v>510610</v>
      </c>
      <c r="V95" s="134">
        <f t="shared" si="28"/>
        <v>1918119</v>
      </c>
      <c r="W95" s="114">
        <v>1446733</v>
      </c>
      <c r="X95" s="114">
        <v>563361</v>
      </c>
      <c r="Y95" s="134">
        <f t="shared" si="29"/>
        <v>2010094</v>
      </c>
      <c r="Z95" s="113">
        <v>1452380</v>
      </c>
      <c r="AA95" s="113">
        <v>929540</v>
      </c>
      <c r="AB95" s="134">
        <f t="shared" si="30"/>
        <v>2381920</v>
      </c>
      <c r="AD95" s="112" t="s">
        <v>540</v>
      </c>
      <c r="AE95" s="112">
        <v>1401147</v>
      </c>
      <c r="AF95" s="112">
        <v>887201</v>
      </c>
      <c r="AG95" s="193">
        <f t="shared" si="36"/>
        <v>2288348</v>
      </c>
      <c r="AH95" s="156">
        <v>682</v>
      </c>
      <c r="AI95" s="168" t="s">
        <v>434</v>
      </c>
      <c r="AJ95" s="151">
        <v>819514</v>
      </c>
      <c r="AK95" s="151">
        <v>543648</v>
      </c>
      <c r="AL95" s="182">
        <f t="shared" si="37"/>
        <v>1363162</v>
      </c>
      <c r="AM95" s="151">
        <v>819751</v>
      </c>
      <c r="AN95" s="151">
        <v>541464</v>
      </c>
      <c r="AO95" s="182">
        <f t="shared" si="38"/>
        <v>1361215</v>
      </c>
      <c r="AP95" s="156">
        <v>682</v>
      </c>
      <c r="AQ95" s="168" t="s">
        <v>434</v>
      </c>
      <c r="AR95" s="152">
        <v>787918</v>
      </c>
      <c r="AS95" s="152">
        <v>544673</v>
      </c>
      <c r="AT95" s="176">
        <f t="shared" si="43"/>
        <v>1332591</v>
      </c>
    </row>
    <row r="96" spans="1:51">
      <c r="A96" s="115" t="s">
        <v>397</v>
      </c>
      <c r="B96" s="115">
        <v>949510</v>
      </c>
      <c r="C96" s="115">
        <v>324614</v>
      </c>
      <c r="D96" s="134">
        <f t="shared" si="31"/>
        <v>1274124</v>
      </c>
      <c r="E96" s="115">
        <v>980228</v>
      </c>
      <c r="F96" s="115">
        <v>386462</v>
      </c>
      <c r="G96" s="134">
        <f t="shared" si="32"/>
        <v>1366690</v>
      </c>
      <c r="H96" s="115">
        <v>1054263</v>
      </c>
      <c r="I96" s="115">
        <v>450402</v>
      </c>
      <c r="J96" s="134">
        <f t="shared" si="33"/>
        <v>1504665</v>
      </c>
      <c r="K96" s="115">
        <v>1088623</v>
      </c>
      <c r="L96" s="115">
        <v>478629</v>
      </c>
      <c r="M96" s="134">
        <f t="shared" si="34"/>
        <v>1567252</v>
      </c>
      <c r="N96" s="115">
        <v>1186724</v>
      </c>
      <c r="O96" s="115">
        <v>1598057</v>
      </c>
      <c r="P96" s="134">
        <f t="shared" si="35"/>
        <v>2784781</v>
      </c>
      <c r="Q96" s="115">
        <v>1166238</v>
      </c>
      <c r="R96" s="115">
        <v>1367784</v>
      </c>
      <c r="S96" s="134">
        <f t="shared" si="27"/>
        <v>2534022</v>
      </c>
      <c r="T96" s="114">
        <v>1163688</v>
      </c>
      <c r="U96" s="114">
        <v>540922</v>
      </c>
      <c r="V96" s="134">
        <f t="shared" si="28"/>
        <v>1704610</v>
      </c>
      <c r="W96" s="114">
        <v>1216279</v>
      </c>
      <c r="X96" s="114">
        <v>602026</v>
      </c>
      <c r="Y96" s="134">
        <f t="shared" si="29"/>
        <v>1818305</v>
      </c>
      <c r="Z96" s="113">
        <v>1171409</v>
      </c>
      <c r="AA96" s="113">
        <v>651046</v>
      </c>
      <c r="AB96" s="134">
        <f t="shared" si="30"/>
        <v>1822455</v>
      </c>
      <c r="AD96" s="112" t="s">
        <v>565</v>
      </c>
      <c r="AE96" s="112">
        <v>1175961</v>
      </c>
      <c r="AF96" s="112">
        <v>599000</v>
      </c>
      <c r="AG96" s="193">
        <f t="shared" si="36"/>
        <v>1774961</v>
      </c>
      <c r="AH96" s="156">
        <v>683</v>
      </c>
      <c r="AI96" s="168" t="s">
        <v>435</v>
      </c>
      <c r="AJ96" s="151">
        <v>1372977</v>
      </c>
      <c r="AK96" s="151">
        <v>902184</v>
      </c>
      <c r="AL96" s="182">
        <f t="shared" si="37"/>
        <v>2275161</v>
      </c>
      <c r="AM96" s="151">
        <v>1321386</v>
      </c>
      <c r="AN96" s="151">
        <v>984954</v>
      </c>
      <c r="AO96" s="182">
        <f t="shared" si="38"/>
        <v>2306340</v>
      </c>
      <c r="AP96" s="156">
        <v>683</v>
      </c>
      <c r="AQ96" s="168" t="s">
        <v>435</v>
      </c>
      <c r="AR96" s="152">
        <v>1164502</v>
      </c>
      <c r="AS96" s="152">
        <v>872795</v>
      </c>
      <c r="AT96" s="176">
        <f t="shared" si="43"/>
        <v>2037297</v>
      </c>
    </row>
    <row r="97" spans="1:46">
      <c r="A97" s="115" t="s">
        <v>436</v>
      </c>
      <c r="B97" s="115">
        <v>885940</v>
      </c>
      <c r="C97" s="115">
        <v>292481</v>
      </c>
      <c r="D97" s="134">
        <f t="shared" si="31"/>
        <v>1178421</v>
      </c>
      <c r="E97" s="115">
        <v>1007554</v>
      </c>
      <c r="F97" s="115">
        <v>319558</v>
      </c>
      <c r="G97" s="134">
        <f t="shared" si="32"/>
        <v>1327112</v>
      </c>
      <c r="H97" s="115">
        <v>1072693</v>
      </c>
      <c r="I97" s="115">
        <v>335165</v>
      </c>
      <c r="J97" s="134">
        <f t="shared" si="33"/>
        <v>1407858</v>
      </c>
      <c r="K97" s="115">
        <v>1141815</v>
      </c>
      <c r="L97" s="115">
        <v>354106</v>
      </c>
      <c r="M97" s="134">
        <f t="shared" si="34"/>
        <v>1495921</v>
      </c>
      <c r="N97" s="115">
        <v>1180254</v>
      </c>
      <c r="O97" s="115">
        <v>723500</v>
      </c>
      <c r="P97" s="134">
        <f t="shared" si="35"/>
        <v>1903754</v>
      </c>
      <c r="Q97" s="115">
        <v>1219302</v>
      </c>
      <c r="R97" s="115">
        <v>869769</v>
      </c>
      <c r="S97" s="134">
        <f t="shared" si="27"/>
        <v>2089071</v>
      </c>
      <c r="T97" s="114">
        <v>1222881</v>
      </c>
      <c r="U97" s="114">
        <v>582346</v>
      </c>
      <c r="V97" s="134">
        <f t="shared" si="28"/>
        <v>1805227</v>
      </c>
      <c r="W97" s="114">
        <v>1324351</v>
      </c>
      <c r="X97" s="114">
        <v>663568</v>
      </c>
      <c r="Y97" s="134">
        <f t="shared" si="29"/>
        <v>1987919</v>
      </c>
      <c r="Z97" s="113">
        <v>1342291</v>
      </c>
      <c r="AA97" s="113">
        <v>889671</v>
      </c>
      <c r="AB97" s="134">
        <f t="shared" si="30"/>
        <v>2231962</v>
      </c>
      <c r="AD97" s="112" t="s">
        <v>542</v>
      </c>
      <c r="AE97" s="112">
        <v>1330628</v>
      </c>
      <c r="AF97" s="112">
        <v>881999</v>
      </c>
      <c r="AG97" s="193">
        <f t="shared" si="36"/>
        <v>2212627</v>
      </c>
      <c r="AH97" s="156">
        <v>684</v>
      </c>
      <c r="AI97" s="168" t="s">
        <v>397</v>
      </c>
      <c r="AJ97" s="151">
        <v>1088548</v>
      </c>
      <c r="AK97" s="151">
        <v>549115</v>
      </c>
      <c r="AL97" s="182">
        <f t="shared" si="37"/>
        <v>1637663</v>
      </c>
      <c r="AM97" s="151">
        <v>1151989</v>
      </c>
      <c r="AN97" s="151">
        <v>628636</v>
      </c>
      <c r="AO97" s="182">
        <f t="shared" si="38"/>
        <v>1780625</v>
      </c>
      <c r="AP97" s="156">
        <v>684</v>
      </c>
      <c r="AQ97" s="168" t="s">
        <v>648</v>
      </c>
      <c r="AR97" s="152">
        <v>1101191</v>
      </c>
      <c r="AS97" s="152">
        <v>580364</v>
      </c>
      <c r="AT97" s="176">
        <f t="shared" si="43"/>
        <v>1681555</v>
      </c>
    </row>
    <row r="98" spans="1:46">
      <c r="A98" s="115" t="s">
        <v>437</v>
      </c>
      <c r="B98" s="115">
        <v>669676</v>
      </c>
      <c r="C98" s="115">
        <v>247808</v>
      </c>
      <c r="D98" s="134">
        <f t="shared" si="31"/>
        <v>917484</v>
      </c>
      <c r="E98" s="115">
        <v>724202</v>
      </c>
      <c r="F98" s="115">
        <v>326888</v>
      </c>
      <c r="G98" s="134">
        <f t="shared" si="32"/>
        <v>1051090</v>
      </c>
      <c r="H98" s="115">
        <v>832227</v>
      </c>
      <c r="I98" s="115">
        <v>318058</v>
      </c>
      <c r="J98" s="134">
        <f t="shared" si="33"/>
        <v>1150285</v>
      </c>
      <c r="K98" s="115">
        <v>929783</v>
      </c>
      <c r="L98" s="115">
        <v>381566</v>
      </c>
      <c r="M98" s="134">
        <f t="shared" si="34"/>
        <v>1311349</v>
      </c>
      <c r="N98" s="115">
        <v>983301</v>
      </c>
      <c r="O98" s="115">
        <v>946940</v>
      </c>
      <c r="P98" s="134">
        <f t="shared" si="35"/>
        <v>1930241</v>
      </c>
      <c r="Q98" s="115">
        <v>955876</v>
      </c>
      <c r="R98" s="115">
        <v>799932</v>
      </c>
      <c r="S98" s="134">
        <f t="shared" si="27"/>
        <v>1755808</v>
      </c>
      <c r="T98" s="114">
        <v>942546</v>
      </c>
      <c r="U98" s="114">
        <v>415236</v>
      </c>
      <c r="V98" s="134">
        <f t="shared" si="28"/>
        <v>1357782</v>
      </c>
      <c r="W98" s="114">
        <v>1009929</v>
      </c>
      <c r="X98" s="114">
        <v>509489</v>
      </c>
      <c r="Y98" s="134">
        <f t="shared" si="29"/>
        <v>1519418</v>
      </c>
      <c r="Z98" s="113">
        <v>1020853</v>
      </c>
      <c r="AA98" s="113">
        <v>538652</v>
      </c>
      <c r="AB98" s="134">
        <f t="shared" si="30"/>
        <v>1559505</v>
      </c>
      <c r="AD98" s="112" t="s">
        <v>543</v>
      </c>
      <c r="AE98" s="112">
        <v>1030553</v>
      </c>
      <c r="AF98" s="112">
        <v>540394</v>
      </c>
      <c r="AG98" s="193">
        <f t="shared" si="36"/>
        <v>1570947</v>
      </c>
      <c r="AH98" s="156">
        <v>685</v>
      </c>
      <c r="AI98" s="168" t="s">
        <v>436</v>
      </c>
      <c r="AJ98" s="151">
        <v>1088043</v>
      </c>
      <c r="AK98" s="151">
        <v>934778</v>
      </c>
      <c r="AL98" s="182">
        <f t="shared" si="37"/>
        <v>2022821</v>
      </c>
      <c r="AM98" s="151">
        <v>1151329</v>
      </c>
      <c r="AN98" s="151">
        <v>939281</v>
      </c>
      <c r="AO98" s="182">
        <f t="shared" si="38"/>
        <v>2090610</v>
      </c>
      <c r="AP98" s="156">
        <v>685</v>
      </c>
      <c r="AQ98" s="168" t="s">
        <v>436</v>
      </c>
      <c r="AR98" s="152">
        <v>1197071</v>
      </c>
      <c r="AS98" s="152">
        <v>869301</v>
      </c>
      <c r="AT98" s="176">
        <f t="shared" si="43"/>
        <v>2066372</v>
      </c>
    </row>
    <row r="99" spans="1:46">
      <c r="A99" s="115" t="s">
        <v>438</v>
      </c>
      <c r="B99" s="115">
        <v>537173</v>
      </c>
      <c r="C99" s="115">
        <v>185556</v>
      </c>
      <c r="D99" s="134">
        <f t="shared" si="31"/>
        <v>722729</v>
      </c>
      <c r="E99" s="115">
        <v>555759</v>
      </c>
      <c r="F99" s="115">
        <v>235011</v>
      </c>
      <c r="G99" s="134">
        <f t="shared" si="32"/>
        <v>790770</v>
      </c>
      <c r="H99" s="115">
        <v>564579</v>
      </c>
      <c r="I99" s="115">
        <v>235726</v>
      </c>
      <c r="J99" s="134">
        <f t="shared" si="33"/>
        <v>800305</v>
      </c>
      <c r="K99" s="115">
        <v>604843</v>
      </c>
      <c r="L99" s="115">
        <v>264310</v>
      </c>
      <c r="M99" s="134">
        <f t="shared" si="34"/>
        <v>869153</v>
      </c>
      <c r="N99" s="115">
        <v>633152</v>
      </c>
      <c r="O99" s="115">
        <v>334006</v>
      </c>
      <c r="P99" s="134">
        <f t="shared" si="35"/>
        <v>967158</v>
      </c>
      <c r="Q99" s="115">
        <v>641562</v>
      </c>
      <c r="R99" s="115">
        <v>351529</v>
      </c>
      <c r="S99" s="134">
        <f t="shared" si="27"/>
        <v>993091</v>
      </c>
      <c r="T99" s="114">
        <v>604107</v>
      </c>
      <c r="U99" s="114">
        <v>288887</v>
      </c>
      <c r="V99" s="134">
        <f t="shared" si="28"/>
        <v>892994</v>
      </c>
      <c r="W99" s="114">
        <v>633033</v>
      </c>
      <c r="X99" s="114">
        <v>308666</v>
      </c>
      <c r="Y99" s="134">
        <f t="shared" si="29"/>
        <v>941699</v>
      </c>
      <c r="Z99" s="113">
        <v>645328</v>
      </c>
      <c r="AA99" s="113">
        <v>333467</v>
      </c>
      <c r="AB99" s="134">
        <f t="shared" si="30"/>
        <v>978795</v>
      </c>
      <c r="AD99" s="112" t="s">
        <v>557</v>
      </c>
      <c r="AE99" s="112">
        <v>633035</v>
      </c>
      <c r="AF99" s="112">
        <v>358547</v>
      </c>
      <c r="AG99" s="193">
        <f t="shared" si="36"/>
        <v>991582</v>
      </c>
      <c r="AH99" s="156">
        <v>686</v>
      </c>
      <c r="AI99" s="168" t="s">
        <v>437</v>
      </c>
      <c r="AJ99" s="151">
        <v>897082</v>
      </c>
      <c r="AK99" s="151">
        <v>574925</v>
      </c>
      <c r="AL99" s="182">
        <f t="shared" si="37"/>
        <v>1472007</v>
      </c>
      <c r="AM99" s="151">
        <v>888692</v>
      </c>
      <c r="AN99" s="151">
        <v>587471</v>
      </c>
      <c r="AO99" s="182">
        <f t="shared" si="38"/>
        <v>1476163</v>
      </c>
      <c r="AP99" s="156">
        <v>686</v>
      </c>
      <c r="AQ99" s="168" t="s">
        <v>437</v>
      </c>
      <c r="AR99" s="152">
        <v>858953</v>
      </c>
      <c r="AS99" s="152">
        <v>575738</v>
      </c>
      <c r="AT99" s="176">
        <f t="shared" si="43"/>
        <v>1434691</v>
      </c>
    </row>
    <row r="100" spans="1:46">
      <c r="A100" s="115" t="s">
        <v>439</v>
      </c>
      <c r="B100" s="115">
        <v>960226</v>
      </c>
      <c r="C100" s="115">
        <v>516550</v>
      </c>
      <c r="D100" s="134">
        <f t="shared" si="31"/>
        <v>1476776</v>
      </c>
      <c r="E100" s="115">
        <v>1051659</v>
      </c>
      <c r="F100" s="115">
        <v>508482</v>
      </c>
      <c r="G100" s="134">
        <f t="shared" si="32"/>
        <v>1560141</v>
      </c>
      <c r="H100" s="115">
        <v>1077327</v>
      </c>
      <c r="I100" s="115">
        <v>586392</v>
      </c>
      <c r="J100" s="134">
        <f t="shared" si="33"/>
        <v>1663719</v>
      </c>
      <c r="K100" s="115">
        <v>1117926</v>
      </c>
      <c r="L100" s="115">
        <v>601580</v>
      </c>
      <c r="M100" s="134">
        <f t="shared" si="34"/>
        <v>1719506</v>
      </c>
      <c r="N100" s="115">
        <v>1094027</v>
      </c>
      <c r="O100" s="115">
        <v>817140</v>
      </c>
      <c r="P100" s="134">
        <f t="shared" si="35"/>
        <v>1911167</v>
      </c>
      <c r="Q100" s="115">
        <v>1112185</v>
      </c>
      <c r="R100" s="115">
        <v>1041965</v>
      </c>
      <c r="S100" s="134">
        <f t="shared" si="27"/>
        <v>2154150</v>
      </c>
      <c r="T100" s="114">
        <v>1123171</v>
      </c>
      <c r="U100" s="114">
        <v>764510</v>
      </c>
      <c r="V100" s="134">
        <f t="shared" si="28"/>
        <v>1887681</v>
      </c>
      <c r="W100" s="114">
        <v>1140268</v>
      </c>
      <c r="X100" s="114">
        <v>649550</v>
      </c>
      <c r="Y100" s="134">
        <f t="shared" si="29"/>
        <v>1789818</v>
      </c>
      <c r="Z100" s="113">
        <v>1195582</v>
      </c>
      <c r="AA100" s="113">
        <v>705792</v>
      </c>
      <c r="AB100" s="134">
        <f t="shared" si="30"/>
        <v>1901374</v>
      </c>
      <c r="AD100" s="112" t="s">
        <v>558</v>
      </c>
      <c r="AE100" s="112">
        <v>1166321</v>
      </c>
      <c r="AF100" s="112">
        <v>695996</v>
      </c>
      <c r="AG100" s="193">
        <f t="shared" si="36"/>
        <v>1862317</v>
      </c>
      <c r="AH100" s="156">
        <v>701</v>
      </c>
      <c r="AI100" s="168" t="s">
        <v>438</v>
      </c>
      <c r="AJ100" s="151">
        <v>619845</v>
      </c>
      <c r="AK100" s="151">
        <v>346368</v>
      </c>
      <c r="AL100" s="182">
        <f t="shared" si="37"/>
        <v>966213</v>
      </c>
      <c r="AM100" s="151">
        <v>608475</v>
      </c>
      <c r="AN100" s="151">
        <v>344217</v>
      </c>
      <c r="AO100" s="182">
        <f t="shared" si="38"/>
        <v>952692</v>
      </c>
      <c r="AP100" s="156">
        <v>701</v>
      </c>
      <c r="AQ100" s="168" t="s">
        <v>438</v>
      </c>
      <c r="AR100" s="152">
        <v>583475</v>
      </c>
      <c r="AS100" s="152">
        <v>334095</v>
      </c>
      <c r="AT100" s="176">
        <f t="shared" si="43"/>
        <v>917570</v>
      </c>
    </row>
    <row r="101" spans="1:46">
      <c r="A101" s="115" t="s">
        <v>440</v>
      </c>
      <c r="B101" s="115">
        <v>1004646</v>
      </c>
      <c r="C101" s="115">
        <v>410667</v>
      </c>
      <c r="D101" s="134">
        <f t="shared" si="31"/>
        <v>1415313</v>
      </c>
      <c r="E101" s="115">
        <v>1009867</v>
      </c>
      <c r="F101" s="115">
        <v>434079</v>
      </c>
      <c r="G101" s="134">
        <f t="shared" si="32"/>
        <v>1443946</v>
      </c>
      <c r="H101" s="115">
        <v>1061485</v>
      </c>
      <c r="I101" s="115">
        <v>467981</v>
      </c>
      <c r="J101" s="134">
        <f t="shared" si="33"/>
        <v>1529466</v>
      </c>
      <c r="K101" s="115">
        <v>1033945</v>
      </c>
      <c r="L101" s="115">
        <v>499080</v>
      </c>
      <c r="M101" s="134">
        <f t="shared" si="34"/>
        <v>1533025</v>
      </c>
      <c r="N101" s="115">
        <v>1117231</v>
      </c>
      <c r="O101" s="115">
        <v>669954</v>
      </c>
      <c r="P101" s="134">
        <f t="shared" si="35"/>
        <v>1787185</v>
      </c>
      <c r="Q101" s="115">
        <v>1094570</v>
      </c>
      <c r="R101" s="115">
        <v>897922</v>
      </c>
      <c r="S101" s="134">
        <f t="shared" si="27"/>
        <v>1992492</v>
      </c>
      <c r="T101" s="114">
        <v>1144006</v>
      </c>
      <c r="U101" s="114">
        <v>650758</v>
      </c>
      <c r="V101" s="134">
        <f t="shared" si="28"/>
        <v>1794764</v>
      </c>
      <c r="W101" s="114">
        <v>1227887</v>
      </c>
      <c r="X101" s="114">
        <v>689891</v>
      </c>
      <c r="Y101" s="134">
        <f t="shared" si="29"/>
        <v>1917778</v>
      </c>
      <c r="Z101" s="113">
        <v>1167639</v>
      </c>
      <c r="AA101" s="113">
        <v>751306</v>
      </c>
      <c r="AB101" s="134">
        <f t="shared" si="30"/>
        <v>1918945</v>
      </c>
      <c r="AD101" s="112" t="s">
        <v>559</v>
      </c>
      <c r="AE101" s="112">
        <v>1188529</v>
      </c>
      <c r="AF101" s="112">
        <v>838520</v>
      </c>
      <c r="AG101" s="193">
        <f t="shared" si="36"/>
        <v>2027049</v>
      </c>
      <c r="AH101" s="156">
        <v>702</v>
      </c>
      <c r="AI101" s="168" t="s">
        <v>439</v>
      </c>
      <c r="AJ101" s="151">
        <v>1152534</v>
      </c>
      <c r="AK101" s="151">
        <v>704199</v>
      </c>
      <c r="AL101" s="182">
        <f t="shared" si="37"/>
        <v>1856733</v>
      </c>
      <c r="AM101" s="151">
        <v>1150660</v>
      </c>
      <c r="AN101" s="151">
        <v>608891</v>
      </c>
      <c r="AO101" s="182">
        <f t="shared" si="38"/>
        <v>1759551</v>
      </c>
      <c r="AP101" s="156">
        <v>702</v>
      </c>
      <c r="AQ101" s="168" t="s">
        <v>439</v>
      </c>
      <c r="AR101" s="152">
        <v>1105668</v>
      </c>
      <c r="AS101" s="152">
        <v>546985</v>
      </c>
      <c r="AT101" s="176">
        <f t="shared" si="43"/>
        <v>1652653</v>
      </c>
    </row>
    <row r="102" spans="1:46">
      <c r="A102" s="115" t="s">
        <v>441</v>
      </c>
      <c r="B102" s="115">
        <v>1511103</v>
      </c>
      <c r="C102" s="115">
        <v>578670</v>
      </c>
      <c r="D102" s="134">
        <f t="shared" si="31"/>
        <v>2089773</v>
      </c>
      <c r="E102" s="115">
        <v>1637873</v>
      </c>
      <c r="F102" s="115">
        <v>684352</v>
      </c>
      <c r="G102" s="134">
        <f t="shared" si="32"/>
        <v>2322225</v>
      </c>
      <c r="H102" s="115">
        <v>1668646</v>
      </c>
      <c r="I102" s="115">
        <v>723414</v>
      </c>
      <c r="J102" s="134">
        <f t="shared" si="33"/>
        <v>2392060</v>
      </c>
      <c r="K102" s="115">
        <v>1756029</v>
      </c>
      <c r="L102" s="115">
        <v>754088</v>
      </c>
      <c r="M102" s="134">
        <f t="shared" si="34"/>
        <v>2510117</v>
      </c>
      <c r="N102" s="115">
        <v>1795523</v>
      </c>
      <c r="O102" s="115">
        <v>910577</v>
      </c>
      <c r="P102" s="134">
        <f t="shared" si="35"/>
        <v>2706100</v>
      </c>
      <c r="Q102" s="115">
        <v>1786826</v>
      </c>
      <c r="R102" s="115">
        <v>883935</v>
      </c>
      <c r="S102" s="134">
        <f t="shared" si="27"/>
        <v>2670761</v>
      </c>
      <c r="T102" s="114">
        <v>1772972</v>
      </c>
      <c r="U102" s="114">
        <v>890067</v>
      </c>
      <c r="V102" s="134">
        <f t="shared" si="28"/>
        <v>2663039</v>
      </c>
      <c r="W102" s="114">
        <v>1764596</v>
      </c>
      <c r="X102" s="114">
        <v>911544</v>
      </c>
      <c r="Y102" s="134">
        <f t="shared" si="29"/>
        <v>2676140</v>
      </c>
      <c r="Z102" s="113">
        <v>1778034</v>
      </c>
      <c r="AA102" s="113">
        <v>1012435</v>
      </c>
      <c r="AB102" s="134">
        <f t="shared" si="30"/>
        <v>2790469</v>
      </c>
      <c r="AD102" s="213" t="s">
        <v>560</v>
      </c>
      <c r="AE102" s="213">
        <v>1791791</v>
      </c>
      <c r="AF102" s="213">
        <v>1113316</v>
      </c>
      <c r="AG102" s="214">
        <f t="shared" si="36"/>
        <v>2905107</v>
      </c>
      <c r="AH102" s="156">
        <v>703</v>
      </c>
      <c r="AI102" s="168" t="s">
        <v>440</v>
      </c>
      <c r="AJ102" s="147">
        <v>1140700</v>
      </c>
      <c r="AK102" s="147">
        <v>840504</v>
      </c>
      <c r="AL102" s="182">
        <f>AJ102+AK102</f>
        <v>1981204</v>
      </c>
      <c r="AM102" s="147">
        <v>1173489</v>
      </c>
      <c r="AN102" s="147">
        <v>959303</v>
      </c>
      <c r="AO102" s="182">
        <f>AM102+AN102</f>
        <v>2132792</v>
      </c>
      <c r="AP102" s="156">
        <v>703</v>
      </c>
      <c r="AQ102" s="168" t="s">
        <v>440</v>
      </c>
      <c r="AR102" s="148">
        <v>1206780</v>
      </c>
      <c r="AS102" s="148">
        <v>1042030</v>
      </c>
      <c r="AT102" s="176">
        <f t="shared" si="43"/>
        <v>2248810</v>
      </c>
    </row>
    <row r="103" spans="1:46">
      <c r="T103" s="114"/>
      <c r="U103" s="114"/>
      <c r="W103" s="114"/>
      <c r="X103" s="114"/>
      <c r="Z103" s="113"/>
      <c r="AA103" s="113"/>
      <c r="AD103" s="118" t="s">
        <v>663</v>
      </c>
      <c r="AE103" s="112"/>
      <c r="AF103" s="112"/>
      <c r="AH103" s="156">
        <v>704</v>
      </c>
      <c r="AI103" s="168" t="s">
        <v>441</v>
      </c>
      <c r="AJ103" s="147">
        <v>1748260</v>
      </c>
      <c r="AK103" s="147">
        <v>1124925</v>
      </c>
      <c r="AL103" s="182">
        <f>AJ103+AK103</f>
        <v>2873185</v>
      </c>
      <c r="AM103" s="147">
        <v>1729704</v>
      </c>
      <c r="AN103" s="147">
        <v>1147042</v>
      </c>
      <c r="AO103" s="182">
        <f>AM103+AN103</f>
        <v>2876746</v>
      </c>
      <c r="AP103" s="156">
        <v>704</v>
      </c>
      <c r="AQ103" s="168" t="s">
        <v>441</v>
      </c>
      <c r="AR103" s="148">
        <v>1670882</v>
      </c>
      <c r="AS103" s="148">
        <v>1082990</v>
      </c>
      <c r="AT103" s="176">
        <f t="shared" si="43"/>
        <v>2753872</v>
      </c>
    </row>
    <row r="104" spans="1:46">
      <c r="AD104" s="112"/>
      <c r="AE104" s="112"/>
      <c r="AF104" s="112"/>
      <c r="AH104" s="156"/>
      <c r="AI104" s="168"/>
      <c r="AJ104" s="151"/>
      <c r="AK104" s="151"/>
      <c r="AL104" s="151"/>
      <c r="AM104" s="151"/>
      <c r="AN104" s="151"/>
      <c r="AO104" s="151"/>
      <c r="AP104" s="156"/>
      <c r="AQ104" s="168"/>
      <c r="AR104" s="152"/>
      <c r="AS104" s="152"/>
      <c r="AT104" s="152"/>
    </row>
    <row r="105" spans="1:46">
      <c r="AI105" s="158" t="s">
        <v>171</v>
      </c>
      <c r="AJ105" s="151"/>
      <c r="AK105" s="151"/>
      <c r="AL105" s="151"/>
      <c r="AM105" s="151"/>
      <c r="AN105" s="151"/>
      <c r="AO105" s="151"/>
      <c r="AQ105" s="158" t="s">
        <v>171</v>
      </c>
      <c r="AR105" s="151"/>
      <c r="AS105" s="151"/>
      <c r="AT105" s="151"/>
    </row>
    <row r="106" spans="1:46">
      <c r="AJ106" s="151"/>
      <c r="AK106" s="151"/>
      <c r="AL106" s="151"/>
      <c r="AM106" s="151"/>
      <c r="AN106" s="151"/>
      <c r="AO106" s="151"/>
      <c r="AR106" s="151"/>
      <c r="AS106" s="151"/>
      <c r="AT106" s="151"/>
    </row>
    <row r="107" spans="1:46">
      <c r="AJ107" s="151"/>
      <c r="AK107" s="151"/>
      <c r="AL107" s="151"/>
      <c r="AM107" s="151"/>
      <c r="AN107" s="151"/>
      <c r="AO107" s="151"/>
      <c r="AR107" s="151"/>
      <c r="AS107" s="151"/>
      <c r="AT107" s="151"/>
    </row>
    <row r="108" spans="1:46">
      <c r="AJ108" s="151"/>
      <c r="AK108" s="151"/>
      <c r="AL108" s="151"/>
      <c r="AM108" s="151"/>
      <c r="AN108" s="151"/>
      <c r="AO108" s="151"/>
      <c r="AR108" s="151"/>
      <c r="AS108" s="151"/>
      <c r="AT108" s="151"/>
    </row>
    <row r="109" spans="1:46">
      <c r="AH109" s="142"/>
      <c r="AI109" s="142" t="s">
        <v>171</v>
      </c>
      <c r="AJ109" s="151"/>
      <c r="AK109" s="151"/>
      <c r="AL109" s="151"/>
      <c r="AM109" s="151"/>
      <c r="AN109" s="151"/>
      <c r="AO109" s="151"/>
      <c r="AP109" s="142"/>
      <c r="AQ109" s="142" t="s">
        <v>171</v>
      </c>
      <c r="AR109" s="151"/>
      <c r="AS109" s="151"/>
      <c r="AT109" s="151"/>
    </row>
    <row r="110" spans="1:46" ht="24">
      <c r="AH110" s="142"/>
      <c r="AI110" s="142" t="s">
        <v>644</v>
      </c>
      <c r="AJ110" s="147"/>
      <c r="AK110" s="147"/>
      <c r="AL110" s="147"/>
      <c r="AM110" s="161" t="s">
        <v>649</v>
      </c>
      <c r="AN110" s="161" t="s">
        <v>649</v>
      </c>
      <c r="AO110" s="161"/>
      <c r="AP110" s="142"/>
      <c r="AQ110" s="142" t="s">
        <v>644</v>
      </c>
      <c r="AR110" s="161" t="s">
        <v>649</v>
      </c>
      <c r="AS110" s="161" t="s">
        <v>649</v>
      </c>
      <c r="AT110" s="161"/>
    </row>
    <row r="111" spans="1:46">
      <c r="AJ111" s="151"/>
      <c r="AK111" s="151"/>
      <c r="AL111" s="151"/>
      <c r="AM111" s="151"/>
      <c r="AN111" s="151"/>
      <c r="AO111" s="151"/>
      <c r="AR111" s="151"/>
      <c r="AS111" s="151"/>
      <c r="AT111" s="151"/>
    </row>
    <row r="112" spans="1:46">
      <c r="AJ112" s="151"/>
      <c r="AK112" s="151"/>
      <c r="AL112" s="151"/>
      <c r="AM112" s="151"/>
      <c r="AN112" s="151"/>
      <c r="AO112" s="151"/>
      <c r="AR112" s="151"/>
      <c r="AS112" s="151"/>
      <c r="AT112" s="151"/>
    </row>
    <row r="113" spans="20:46">
      <c r="AJ113" s="151"/>
      <c r="AK113" s="151"/>
      <c r="AL113" s="151"/>
      <c r="AM113" s="151"/>
      <c r="AN113" s="151"/>
      <c r="AO113" s="151"/>
      <c r="AR113" s="151"/>
      <c r="AS113" s="151"/>
      <c r="AT113" s="151"/>
    </row>
    <row r="114" spans="20:46">
      <c r="AD114" s="112"/>
      <c r="AE114" s="112"/>
      <c r="AF114" s="112"/>
      <c r="AJ114" s="151"/>
      <c r="AK114" s="151"/>
      <c r="AL114" s="151"/>
      <c r="AM114" s="151"/>
      <c r="AN114" s="151"/>
      <c r="AO114" s="151"/>
      <c r="AR114" s="151"/>
      <c r="AS114" s="151"/>
      <c r="AT114" s="151"/>
    </row>
    <row r="115" spans="20:46">
      <c r="AD115" s="112"/>
      <c r="AE115" s="112"/>
      <c r="AF115" s="112"/>
      <c r="AJ115" s="151"/>
      <c r="AK115" s="151"/>
      <c r="AL115" s="151"/>
      <c r="AM115" s="151"/>
      <c r="AN115" s="151"/>
      <c r="AO115" s="151"/>
      <c r="AR115" s="151"/>
      <c r="AS115" s="151"/>
      <c r="AT115" s="151"/>
    </row>
    <row r="116" spans="20:46">
      <c r="T116" s="114"/>
      <c r="U116" s="114"/>
      <c r="W116" s="114"/>
      <c r="X116" s="114"/>
      <c r="Z116" s="113"/>
      <c r="AA116" s="113"/>
      <c r="AD116" s="112"/>
      <c r="AE116" s="112"/>
      <c r="AF116" s="112"/>
      <c r="AJ116" s="151"/>
      <c r="AK116" s="151"/>
      <c r="AL116" s="151"/>
      <c r="AM116" s="151"/>
      <c r="AN116" s="151"/>
      <c r="AO116" s="151"/>
      <c r="AR116" s="151"/>
      <c r="AS116" s="151"/>
      <c r="AT116" s="151"/>
    </row>
    <row r="117" spans="20:46">
      <c r="T117" s="114"/>
      <c r="U117" s="114"/>
      <c r="W117" s="114"/>
      <c r="X117" s="114"/>
      <c r="Z117" s="113"/>
      <c r="AA117" s="113"/>
      <c r="AJ117" s="151"/>
      <c r="AK117" s="151"/>
      <c r="AL117" s="151"/>
      <c r="AM117" s="151"/>
      <c r="AN117" s="151"/>
      <c r="AO117" s="151"/>
      <c r="AR117" s="151"/>
      <c r="AS117" s="151"/>
      <c r="AT117" s="151"/>
    </row>
    <row r="118" spans="20:46">
      <c r="T118" s="114"/>
      <c r="U118" s="114"/>
      <c r="W118" s="114"/>
      <c r="X118" s="114"/>
      <c r="Z118" s="113"/>
      <c r="AA118" s="113"/>
      <c r="AD118" s="112"/>
      <c r="AE118" s="112"/>
      <c r="AF118" s="112"/>
      <c r="AJ118" s="151"/>
      <c r="AK118" s="151"/>
      <c r="AL118" s="151"/>
      <c r="AM118" s="151"/>
      <c r="AN118" s="151"/>
      <c r="AO118" s="151"/>
      <c r="AR118" s="151"/>
      <c r="AS118" s="151"/>
      <c r="AT118" s="151"/>
    </row>
    <row r="119" spans="20:46">
      <c r="T119" s="114"/>
      <c r="U119" s="114"/>
      <c r="W119" s="114"/>
      <c r="X119" s="114"/>
      <c r="Z119" s="113"/>
      <c r="AA119" s="113"/>
      <c r="AD119" s="112"/>
      <c r="AE119" s="112"/>
      <c r="AF119" s="112"/>
      <c r="AJ119" s="151"/>
      <c r="AK119" s="151"/>
      <c r="AL119" s="151"/>
      <c r="AM119" s="151"/>
      <c r="AN119" s="151"/>
      <c r="AO119" s="151"/>
      <c r="AR119" s="151"/>
      <c r="AS119" s="151"/>
      <c r="AT119" s="151"/>
    </row>
    <row r="120" spans="20:46">
      <c r="T120" s="114"/>
      <c r="U120" s="114"/>
      <c r="W120" s="114"/>
      <c r="X120" s="114"/>
      <c r="Z120" s="113"/>
      <c r="AA120" s="113"/>
      <c r="AD120" s="112"/>
      <c r="AE120" s="112"/>
      <c r="AF120" s="112"/>
      <c r="AJ120" s="151"/>
      <c r="AK120" s="151"/>
      <c r="AL120" s="151"/>
      <c r="AM120" s="151"/>
      <c r="AN120" s="151"/>
      <c r="AO120" s="151"/>
      <c r="AR120" s="151"/>
      <c r="AS120" s="151"/>
      <c r="AT120" s="151"/>
    </row>
    <row r="121" spans="20:46">
      <c r="T121" s="114"/>
      <c r="U121" s="114"/>
      <c r="W121" s="114"/>
      <c r="X121" s="114"/>
      <c r="Z121" s="113"/>
      <c r="AA121" s="113"/>
      <c r="AD121" s="112"/>
      <c r="AE121" s="112"/>
      <c r="AF121" s="112"/>
      <c r="AJ121" s="164"/>
      <c r="AK121" s="164"/>
      <c r="AL121" s="164"/>
      <c r="AM121" s="164"/>
      <c r="AN121" s="164"/>
      <c r="AO121" s="164"/>
    </row>
    <row r="122" spans="20:46">
      <c r="T122" s="114"/>
      <c r="U122" s="114"/>
      <c r="W122" s="114"/>
      <c r="X122" s="114"/>
      <c r="AD122" s="112"/>
      <c r="AE122" s="112"/>
      <c r="AF122" s="112"/>
      <c r="AJ122" s="162"/>
      <c r="AK122" s="162"/>
      <c r="AL122" s="162"/>
      <c r="AM122" s="162"/>
      <c r="AN122" s="162"/>
      <c r="AO122" s="162"/>
    </row>
    <row r="123" spans="20:46">
      <c r="T123" s="114"/>
      <c r="U123" s="114"/>
      <c r="W123" s="114"/>
      <c r="X123" s="114"/>
      <c r="Z123" s="113"/>
      <c r="AA123" s="113"/>
      <c r="AD123" s="112"/>
      <c r="AE123" s="112"/>
      <c r="AF123" s="112"/>
    </row>
    <row r="124" spans="20:46">
      <c r="T124" s="114"/>
      <c r="U124" s="114"/>
      <c r="W124" s="114"/>
      <c r="X124" s="114"/>
      <c r="Z124" s="113"/>
      <c r="AA124" s="113"/>
      <c r="AD124" s="112"/>
      <c r="AE124" s="112"/>
      <c r="AF124" s="112"/>
      <c r="AR124" s="161"/>
      <c r="AS124" s="161"/>
      <c r="AT124" s="161"/>
    </row>
    <row r="125" spans="20:46">
      <c r="T125" s="114"/>
      <c r="U125" s="114"/>
      <c r="W125" s="114"/>
      <c r="X125" s="114"/>
      <c r="Z125" s="113"/>
      <c r="AA125" s="113"/>
      <c r="AD125" s="112"/>
      <c r="AE125" s="112"/>
      <c r="AF125" s="112"/>
      <c r="AR125" s="161"/>
      <c r="AS125" s="161"/>
      <c r="AT125" s="161"/>
    </row>
    <row r="126" spans="20:46">
      <c r="T126" s="114"/>
      <c r="U126" s="114"/>
      <c r="W126" s="114"/>
      <c r="X126" s="114"/>
      <c r="Z126" s="113"/>
      <c r="AA126" s="113"/>
      <c r="AD126" s="112"/>
      <c r="AE126" s="112"/>
      <c r="AF126" s="112"/>
    </row>
    <row r="127" spans="20:46">
      <c r="T127" s="114"/>
      <c r="U127" s="114"/>
      <c r="W127" s="114"/>
      <c r="X127" s="114"/>
      <c r="Z127" s="113"/>
      <c r="AA127" s="113"/>
      <c r="AD127" s="112"/>
      <c r="AE127" s="112"/>
      <c r="AF127" s="112"/>
      <c r="AJ127" s="161"/>
      <c r="AK127" s="161"/>
      <c r="AL127" s="161"/>
      <c r="AM127" s="161"/>
      <c r="AN127" s="161"/>
      <c r="AO127" s="161"/>
    </row>
    <row r="128" spans="20:46">
      <c r="T128" s="114"/>
      <c r="U128" s="114"/>
      <c r="W128" s="114"/>
      <c r="X128" s="114"/>
      <c r="Z128" s="113"/>
      <c r="AA128" s="113"/>
      <c r="AD128" s="112"/>
      <c r="AE128" s="112"/>
      <c r="AF128" s="112"/>
      <c r="AJ128" s="161"/>
      <c r="AK128" s="161"/>
      <c r="AL128" s="161"/>
      <c r="AM128" s="161"/>
      <c r="AN128" s="161"/>
      <c r="AO128" s="161"/>
    </row>
    <row r="129" spans="20:32">
      <c r="AD129" s="112"/>
      <c r="AE129" s="112"/>
      <c r="AF129" s="112"/>
    </row>
    <row r="130" spans="20:32">
      <c r="T130" s="114"/>
      <c r="U130" s="114"/>
      <c r="Z130" s="113"/>
      <c r="AA130" s="113"/>
      <c r="AD130" s="112"/>
      <c r="AE130" s="112"/>
      <c r="AF130" s="112"/>
    </row>
    <row r="131" spans="20:32">
      <c r="T131" s="114"/>
      <c r="U131" s="114"/>
      <c r="Z131" s="113"/>
      <c r="AA131" s="113"/>
      <c r="AD131" s="112"/>
      <c r="AE131" s="112"/>
      <c r="AF131" s="112"/>
    </row>
    <row r="132" spans="20:32">
      <c r="T132" s="114"/>
      <c r="U132" s="114"/>
      <c r="Z132" s="113"/>
      <c r="AA132" s="113"/>
      <c r="AD132" s="112"/>
      <c r="AE132" s="112"/>
      <c r="AF132" s="112"/>
    </row>
    <row r="133" spans="20:32">
      <c r="T133" s="114"/>
      <c r="U133" s="114"/>
      <c r="Z133" s="113"/>
      <c r="AA133" s="113"/>
      <c r="AD133" s="112"/>
      <c r="AE133" s="112"/>
      <c r="AF133" s="112"/>
    </row>
    <row r="134" spans="20:32">
      <c r="T134" s="114"/>
      <c r="U134" s="114"/>
      <c r="Z134" s="113"/>
      <c r="AA134" s="113"/>
    </row>
    <row r="135" spans="20:32">
      <c r="T135" s="114"/>
      <c r="U135" s="114"/>
      <c r="Z135" s="113"/>
      <c r="AA135" s="113"/>
    </row>
    <row r="136" spans="20:32">
      <c r="T136" s="114"/>
      <c r="U136" s="114"/>
      <c r="Z136" s="113"/>
      <c r="AA136" s="113"/>
    </row>
    <row r="137" spans="20:32">
      <c r="T137" s="114"/>
      <c r="U137" s="114"/>
      <c r="Z137" s="113"/>
      <c r="AA137" s="113"/>
    </row>
    <row r="138" spans="20:32">
      <c r="T138" s="114"/>
      <c r="U138" s="114"/>
      <c r="Z138" s="113"/>
      <c r="AA138" s="113"/>
    </row>
    <row r="139" spans="20:32">
      <c r="T139" s="114"/>
      <c r="U139" s="114"/>
      <c r="Z139" s="113"/>
      <c r="AA139" s="113"/>
    </row>
    <row r="140" spans="20:32">
      <c r="T140" s="114"/>
      <c r="U140" s="114"/>
      <c r="Z140" s="113"/>
      <c r="AA140" s="113"/>
    </row>
    <row r="141" spans="20:32">
      <c r="T141" s="114"/>
      <c r="U141" s="114"/>
      <c r="Z141" s="113"/>
      <c r="AA141" s="113"/>
    </row>
    <row r="142" spans="20:32">
      <c r="T142" s="114"/>
      <c r="U142" s="114"/>
      <c r="Z142" s="113"/>
      <c r="AA142" s="113"/>
    </row>
    <row r="143" spans="20:32">
      <c r="T143" s="114"/>
      <c r="U143" s="114"/>
      <c r="Z143" s="113"/>
      <c r="AA143" s="113"/>
    </row>
    <row r="144" spans="20:32">
      <c r="Z144" s="113"/>
      <c r="AA144" s="113"/>
    </row>
    <row r="145" spans="20:27">
      <c r="Z145" s="113"/>
      <c r="AA145" s="113"/>
    </row>
    <row r="146" spans="20:27">
      <c r="T146" s="114"/>
      <c r="U146" s="114"/>
    </row>
    <row r="147" spans="20:27">
      <c r="T147" s="114"/>
      <c r="U147" s="114"/>
    </row>
    <row r="148" spans="20:27">
      <c r="T148" s="114"/>
      <c r="U148" s="114"/>
      <c r="Z148" s="113"/>
      <c r="AA148" s="113"/>
    </row>
    <row r="149" spans="20:27">
      <c r="T149" s="114"/>
      <c r="U149" s="114"/>
      <c r="Z149" s="113"/>
      <c r="AA149" s="113"/>
    </row>
    <row r="150" spans="20:27">
      <c r="T150" s="114"/>
      <c r="U150" s="114"/>
      <c r="Z150" s="113"/>
      <c r="AA150" s="113"/>
    </row>
    <row r="151" spans="20:27">
      <c r="T151" s="114"/>
      <c r="U151" s="114"/>
      <c r="Z151" s="113"/>
      <c r="AA151" s="113"/>
    </row>
    <row r="152" spans="20:27">
      <c r="T152" s="114"/>
      <c r="U152" s="114"/>
      <c r="Z152" s="113"/>
      <c r="AA152" s="113"/>
    </row>
    <row r="153" spans="20:27">
      <c r="T153" s="114"/>
      <c r="U153" s="114"/>
      <c r="Z153" s="113"/>
      <c r="AA153" s="113"/>
    </row>
    <row r="154" spans="20:27">
      <c r="T154" s="114"/>
      <c r="U154" s="114"/>
      <c r="Z154" s="113"/>
      <c r="AA154" s="113"/>
    </row>
    <row r="155" spans="20:27">
      <c r="T155" s="114"/>
      <c r="U155" s="114"/>
      <c r="Z155" s="113"/>
      <c r="AA155" s="113"/>
    </row>
    <row r="156" spans="20:27">
      <c r="T156" s="114"/>
      <c r="U156" s="114"/>
      <c r="Z156" s="113"/>
      <c r="AA156" s="113"/>
    </row>
    <row r="157" spans="20:27">
      <c r="T157" s="114"/>
      <c r="U157" s="114"/>
      <c r="Z157" s="113"/>
      <c r="AA157" s="113"/>
    </row>
    <row r="158" spans="20:27">
      <c r="T158" s="114"/>
      <c r="U158" s="114"/>
      <c r="Z158" s="113"/>
      <c r="AA158" s="113"/>
    </row>
    <row r="159" spans="20:27">
      <c r="T159" s="114"/>
      <c r="U159" s="114"/>
      <c r="Z159" s="113"/>
      <c r="AA159" s="113"/>
    </row>
    <row r="160" spans="20:27">
      <c r="T160" s="114"/>
      <c r="U160" s="114"/>
      <c r="Z160" s="113"/>
      <c r="AA160" s="113"/>
    </row>
    <row r="161" spans="26:27">
      <c r="Z161" s="113"/>
      <c r="AA161" s="113"/>
    </row>
    <row r="162" spans="26:27">
      <c r="Z162" s="113"/>
      <c r="AA162" s="113"/>
    </row>
    <row r="163" spans="26:27">
      <c r="Z163" s="113"/>
      <c r="AA163" s="113"/>
    </row>
    <row r="164" spans="26:27">
      <c r="Z164" s="113"/>
      <c r="AA164" s="113"/>
    </row>
    <row r="165" spans="26:27">
      <c r="Z165" s="113"/>
      <c r="AA165" s="113"/>
    </row>
    <row r="166" spans="26:27">
      <c r="Z166" s="113"/>
      <c r="AA166" s="113"/>
    </row>
    <row r="167" spans="26:27">
      <c r="Z167" s="113"/>
      <c r="AA167" s="113"/>
    </row>
    <row r="168" spans="26:27">
      <c r="Z168" s="113"/>
      <c r="AA168" s="113"/>
    </row>
    <row r="169" spans="26:27">
      <c r="Z169" s="113"/>
      <c r="AA169" s="113"/>
    </row>
    <row r="170" spans="26:27">
      <c r="Z170" s="113"/>
      <c r="AA170" s="113"/>
    </row>
    <row r="171" spans="26:27">
      <c r="Z171" s="113"/>
      <c r="AA171" s="113"/>
    </row>
    <row r="172" spans="26:27">
      <c r="Z172" s="113"/>
      <c r="AA172" s="113"/>
    </row>
    <row r="173" spans="26:27">
      <c r="Z173" s="113"/>
      <c r="AA173" s="113"/>
    </row>
    <row r="174" spans="26:27">
      <c r="Z174" s="113"/>
      <c r="AA174" s="113"/>
    </row>
    <row r="175" spans="26:27">
      <c r="Z175" s="113"/>
      <c r="AA175" s="113"/>
    </row>
    <row r="176" spans="26:27">
      <c r="Z176" s="113"/>
      <c r="AA176" s="113"/>
    </row>
    <row r="177" spans="26:27">
      <c r="Z177" s="113"/>
      <c r="AA177" s="113"/>
    </row>
    <row r="178" spans="26:27">
      <c r="Z178" s="113"/>
      <c r="AA178" s="113"/>
    </row>
    <row r="179" spans="26:27">
      <c r="Z179" s="113"/>
      <c r="AA179" s="113"/>
    </row>
    <row r="180" spans="26:27">
      <c r="Z180" s="113"/>
      <c r="AA180" s="113"/>
    </row>
    <row r="181" spans="26:27">
      <c r="Z181" s="113"/>
      <c r="AA181" s="113"/>
    </row>
    <row r="182" spans="26:27">
      <c r="Z182" s="113"/>
      <c r="AA182" s="113"/>
    </row>
    <row r="183" spans="26:27">
      <c r="Z183" s="113"/>
      <c r="AA183" s="113"/>
    </row>
    <row r="184" spans="26:27">
      <c r="Z184" s="113"/>
      <c r="AA184" s="113"/>
    </row>
    <row r="185" spans="26:27">
      <c r="Z185" s="113"/>
      <c r="AA185" s="113"/>
    </row>
    <row r="186" spans="26:27">
      <c r="Z186" s="113"/>
      <c r="AA186" s="113"/>
    </row>
    <row r="187" spans="26:27">
      <c r="Z187" s="113"/>
      <c r="AA187" s="113"/>
    </row>
    <row r="188" spans="26:27">
      <c r="Z188" s="113"/>
      <c r="AA188" s="113"/>
    </row>
    <row r="189" spans="26:27">
      <c r="Z189" s="113"/>
      <c r="AA189" s="113"/>
    </row>
    <row r="190" spans="26:27">
      <c r="Z190" s="113"/>
      <c r="AA190" s="113"/>
    </row>
    <row r="191" spans="26:27">
      <c r="Z191" s="113"/>
      <c r="AA191" s="113"/>
    </row>
    <row r="192" spans="26:27">
      <c r="Z192" s="113"/>
      <c r="AA192" s="113"/>
    </row>
    <row r="193" spans="26:27">
      <c r="Z193" s="113"/>
      <c r="AA193" s="113"/>
    </row>
    <row r="194" spans="26:27">
      <c r="Z194" s="113"/>
      <c r="AA194" s="113"/>
    </row>
    <row r="195" spans="26:27">
      <c r="Z195" s="113"/>
      <c r="AA195" s="113"/>
    </row>
    <row r="196" spans="26:27">
      <c r="Z196" s="113"/>
      <c r="AA196" s="113"/>
    </row>
    <row r="197" spans="26:27">
      <c r="Z197" s="113"/>
      <c r="AA197" s="113"/>
    </row>
    <row r="198" spans="26:27">
      <c r="Z198" s="113"/>
      <c r="AA198" s="113"/>
    </row>
    <row r="199" spans="26:27">
      <c r="Z199" s="113"/>
      <c r="AA199" s="113"/>
    </row>
    <row r="200" spans="26:27">
      <c r="Z200" s="113"/>
      <c r="AA200" s="113"/>
    </row>
    <row r="201" spans="26:27">
      <c r="Z201" s="113"/>
      <c r="AA201" s="113"/>
    </row>
    <row r="202" spans="26:27">
      <c r="Z202" s="113"/>
      <c r="AA202" s="113"/>
    </row>
    <row r="203" spans="26:27">
      <c r="Z203" s="113"/>
      <c r="AA203" s="113"/>
    </row>
    <row r="204" spans="26:27">
      <c r="Z204" s="113"/>
      <c r="AA204" s="113"/>
    </row>
    <row r="205" spans="26:27">
      <c r="Z205" s="113"/>
      <c r="AA205" s="113"/>
    </row>
    <row r="206" spans="26:27">
      <c r="Z206" s="113"/>
      <c r="AA206" s="113"/>
    </row>
    <row r="207" spans="26:27">
      <c r="Z207" s="113"/>
      <c r="AA207" s="113"/>
    </row>
    <row r="208" spans="26:27">
      <c r="Z208" s="113"/>
      <c r="AA208" s="113"/>
    </row>
    <row r="209" spans="26:27">
      <c r="Z209" s="113"/>
      <c r="AA209" s="113"/>
    </row>
    <row r="210" spans="26:27">
      <c r="Z210" s="113"/>
      <c r="AA210" s="113"/>
    </row>
    <row r="211" spans="26:27">
      <c r="Z211" s="113"/>
      <c r="AA211" s="113"/>
    </row>
    <row r="212" spans="26:27">
      <c r="Z212" s="113"/>
      <c r="AA212" s="113"/>
    </row>
    <row r="213" spans="26:27">
      <c r="Z213" s="113"/>
      <c r="AA213" s="113"/>
    </row>
    <row r="214" spans="26:27">
      <c r="Z214" s="113"/>
      <c r="AA214" s="113"/>
    </row>
    <row r="215" spans="26:27">
      <c r="Z215" s="113"/>
      <c r="AA215" s="113"/>
    </row>
    <row r="216" spans="26:27">
      <c r="Z216" s="113"/>
      <c r="AA216" s="113"/>
    </row>
    <row r="217" spans="26:27">
      <c r="Z217" s="113"/>
      <c r="AA217" s="113"/>
    </row>
    <row r="218" spans="26:27">
      <c r="Z218" s="113"/>
      <c r="AA218" s="113"/>
    </row>
    <row r="219" spans="26:27">
      <c r="Z219" s="113"/>
      <c r="AA219" s="113"/>
    </row>
    <row r="220" spans="26:27">
      <c r="Z220" s="113"/>
      <c r="AA220" s="113"/>
    </row>
    <row r="221" spans="26:27">
      <c r="Z221" s="113"/>
      <c r="AA221" s="113"/>
    </row>
    <row r="222" spans="26:27">
      <c r="Z222" s="113"/>
      <c r="AA222" s="113"/>
    </row>
    <row r="223" spans="26:27">
      <c r="Z223" s="113"/>
      <c r="AA223" s="113"/>
    </row>
    <row r="224" spans="26:27">
      <c r="Z224" s="113"/>
      <c r="AA224" s="113"/>
    </row>
    <row r="225" spans="26:27">
      <c r="Z225" s="113"/>
      <c r="AA225" s="113"/>
    </row>
    <row r="226" spans="26:27">
      <c r="Z226" s="113"/>
      <c r="AA226" s="113"/>
    </row>
    <row r="227" spans="26:27">
      <c r="Z227" s="113"/>
      <c r="AA227" s="113"/>
    </row>
    <row r="228" spans="26:27">
      <c r="Z228" s="113"/>
      <c r="AA228" s="113"/>
    </row>
    <row r="229" spans="26:27">
      <c r="Z229" s="113"/>
      <c r="AA229" s="113"/>
    </row>
    <row r="230" spans="26:27">
      <c r="Z230" s="113"/>
      <c r="AA230" s="113"/>
    </row>
    <row r="231" spans="26:27">
      <c r="Z231" s="113"/>
      <c r="AA231" s="113"/>
    </row>
    <row r="232" spans="26:27">
      <c r="Z232" s="113"/>
      <c r="AA232" s="113"/>
    </row>
    <row r="233" spans="26:27">
      <c r="Z233" s="113"/>
      <c r="AA233" s="113"/>
    </row>
    <row r="234" spans="26:27">
      <c r="Z234" s="113"/>
      <c r="AA234" s="113"/>
    </row>
    <row r="235" spans="26:27">
      <c r="Z235" s="113"/>
      <c r="AA235" s="113"/>
    </row>
    <row r="236" spans="26:27">
      <c r="Z236" s="113"/>
      <c r="AA236" s="113"/>
    </row>
    <row r="237" spans="26:27">
      <c r="Z237" s="113"/>
      <c r="AA237" s="113"/>
    </row>
    <row r="238" spans="26:27">
      <c r="Z238" s="113"/>
      <c r="AA238" s="113"/>
    </row>
    <row r="239" spans="26:27">
      <c r="Z239" s="113"/>
      <c r="AA239" s="113"/>
    </row>
    <row r="240" spans="26:27">
      <c r="Z240" s="113"/>
      <c r="AA240" s="113"/>
    </row>
    <row r="241" spans="26:27">
      <c r="Z241" s="113"/>
      <c r="AA241" s="113"/>
    </row>
    <row r="242" spans="26:27">
      <c r="Z242" s="113"/>
      <c r="AA242" s="113"/>
    </row>
    <row r="243" spans="26:27">
      <c r="Z243" s="113"/>
      <c r="AA243" s="113"/>
    </row>
    <row r="244" spans="26:27">
      <c r="Z244" s="113"/>
      <c r="AA244" s="113"/>
    </row>
    <row r="245" spans="26:27">
      <c r="Z245" s="113"/>
      <c r="AA245" s="113"/>
    </row>
    <row r="246" spans="26:27">
      <c r="Z246" s="113"/>
      <c r="AA246" s="113"/>
    </row>
    <row r="247" spans="26:27">
      <c r="Z247" s="113"/>
      <c r="AA247" s="113"/>
    </row>
    <row r="248" spans="26:27">
      <c r="Z248" s="113"/>
      <c r="AA248" s="113"/>
    </row>
    <row r="249" spans="26:27">
      <c r="Z249" s="113"/>
      <c r="AA249" s="113"/>
    </row>
    <row r="250" spans="26:27">
      <c r="Z250" s="113"/>
      <c r="AA250" s="113"/>
    </row>
    <row r="251" spans="26:27">
      <c r="Z251" s="113"/>
      <c r="AA251" s="113"/>
    </row>
    <row r="252" spans="26:27">
      <c r="Z252" s="113"/>
      <c r="AA252" s="113"/>
    </row>
    <row r="253" spans="26:27">
      <c r="Z253" s="113"/>
      <c r="AA253" s="113"/>
    </row>
    <row r="254" spans="26:27">
      <c r="Z254" s="113"/>
      <c r="AA254" s="113"/>
    </row>
    <row r="255" spans="26:27">
      <c r="Z255" s="113"/>
      <c r="AA255" s="113"/>
    </row>
    <row r="256" spans="26:27">
      <c r="Z256" s="113"/>
      <c r="AA256" s="113"/>
    </row>
    <row r="257" spans="26:27">
      <c r="Z257" s="113"/>
      <c r="AA257" s="113"/>
    </row>
    <row r="258" spans="26:27">
      <c r="Z258" s="113"/>
      <c r="AA258" s="113"/>
    </row>
    <row r="259" spans="26:27">
      <c r="Z259" s="113"/>
      <c r="AA259" s="113"/>
    </row>
    <row r="260" spans="26:27">
      <c r="Z260" s="113"/>
      <c r="AA260" s="113"/>
    </row>
    <row r="261" spans="26:27">
      <c r="Z261" s="113"/>
      <c r="AA261" s="113"/>
    </row>
  </sheetData>
  <mergeCells count="9">
    <mergeCell ref="AH3:AI3"/>
    <mergeCell ref="AH4:AI4"/>
    <mergeCell ref="AH5:AI5"/>
    <mergeCell ref="AU3:AV3"/>
    <mergeCell ref="AU4:AV4"/>
    <mergeCell ref="AU5:AV5"/>
    <mergeCell ref="AP3:AQ3"/>
    <mergeCell ref="AP4:AQ4"/>
    <mergeCell ref="AP5:AQ5"/>
  </mergeCells>
  <phoneticPr fontId="13"/>
  <pageMargins left="0.75" right="0.75" top="1" bottom="1" header="0.51200000000000001" footer="0.5120000000000000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tabColor indexed="43"/>
  </sheetPr>
  <dimension ref="A1:Y68"/>
  <sheetViews>
    <sheetView workbookViewId="0">
      <pane xSplit="2" ySplit="4" topLeftCell="L54" activePane="bottomRight" state="frozen"/>
      <selection pane="topRight" activeCell="C1" sqref="C1"/>
      <selection pane="bottomLeft" activeCell="A5" sqref="A5"/>
      <selection pane="bottomRight" activeCell="Q61" sqref="Q61"/>
    </sheetView>
  </sheetViews>
  <sheetFormatPr defaultColWidth="8.7109375" defaultRowHeight="13"/>
  <cols>
    <col min="1" max="1" width="3.2109375" style="75" customWidth="1"/>
    <col min="2" max="16384" width="8.7109375" style="75"/>
  </cols>
  <sheetData>
    <row r="1" spans="1:24">
      <c r="B1" s="65" t="s">
        <v>758</v>
      </c>
      <c r="C1" s="74"/>
      <c r="F1" s="75" t="s">
        <v>957</v>
      </c>
      <c r="G1" s="75" t="s">
        <v>347</v>
      </c>
      <c r="H1" s="74" t="s">
        <v>351</v>
      </c>
      <c r="I1" s="75" t="s">
        <v>11</v>
      </c>
      <c r="J1" s="75" t="s">
        <v>11</v>
      </c>
      <c r="K1" s="75" t="s">
        <v>11</v>
      </c>
      <c r="L1" s="75" t="s">
        <v>11</v>
      </c>
      <c r="M1" s="75" t="s">
        <v>627</v>
      </c>
      <c r="N1" s="75" t="s">
        <v>627</v>
      </c>
      <c r="O1" s="75" t="s">
        <v>11</v>
      </c>
      <c r="R1" s="628"/>
      <c r="S1" s="935"/>
      <c r="T1" s="935" t="s">
        <v>11</v>
      </c>
      <c r="U1" s="75" t="s">
        <v>948</v>
      </c>
      <c r="V1" s="75" t="s">
        <v>14</v>
      </c>
      <c r="W1" s="75" t="s">
        <v>14</v>
      </c>
      <c r="X1" s="75" t="s">
        <v>14</v>
      </c>
    </row>
    <row r="2" spans="1:24">
      <c r="A2" s="728"/>
      <c r="B2" s="729" t="s">
        <v>319</v>
      </c>
      <c r="C2" s="83">
        <v>2006</v>
      </c>
      <c r="D2" s="83">
        <v>2007</v>
      </c>
      <c r="E2" s="83">
        <v>2008</v>
      </c>
      <c r="F2" s="83">
        <v>2009</v>
      </c>
      <c r="G2" s="83">
        <v>2010</v>
      </c>
      <c r="H2" s="83">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7" t="s">
        <v>858</v>
      </c>
      <c r="F3" s="77" t="s">
        <v>859</v>
      </c>
      <c r="G3" s="77" t="s">
        <v>912</v>
      </c>
      <c r="H3" s="77" t="s">
        <v>101</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1561</v>
      </c>
      <c r="V3" s="75" t="s">
        <v>1603</v>
      </c>
      <c r="W3" s="75" t="s">
        <v>1745</v>
      </c>
      <c r="X3" s="491" t="s">
        <v>1783</v>
      </c>
    </row>
    <row r="4" spans="1:24">
      <c r="A4" s="730"/>
      <c r="B4" s="730" t="s">
        <v>320</v>
      </c>
      <c r="C4" s="78"/>
      <c r="D4" s="78" t="s">
        <v>672</v>
      </c>
      <c r="E4" s="78" t="s">
        <v>672</v>
      </c>
      <c r="F4" s="78" t="s">
        <v>672</v>
      </c>
      <c r="G4" s="78" t="s">
        <v>672</v>
      </c>
      <c r="H4" s="77" t="s">
        <v>117</v>
      </c>
      <c r="I4" s="132"/>
      <c r="J4" s="132"/>
      <c r="K4" s="132"/>
      <c r="L4" s="132"/>
      <c r="M4" s="132"/>
      <c r="N4" s="132"/>
      <c r="O4" s="132"/>
      <c r="P4" s="132"/>
      <c r="Q4" s="132"/>
      <c r="R4" s="132"/>
      <c r="S4" s="132"/>
      <c r="T4" s="132"/>
      <c r="X4" s="477"/>
    </row>
    <row r="5" spans="1:24">
      <c r="A5" s="895" t="s">
        <v>1349</v>
      </c>
      <c r="B5" s="732"/>
      <c r="C5" s="382">
        <f>名目県内総支出!H29</f>
        <v>958034</v>
      </c>
      <c r="D5" s="382">
        <f>名目県内総支出!I29</f>
        <v>845424</v>
      </c>
      <c r="E5" s="382">
        <f>名目県内総支出!J29</f>
        <v>789486</v>
      </c>
      <c r="F5" s="382">
        <f>名目県内総支出!K29</f>
        <v>609131</v>
      </c>
      <c r="G5" s="382">
        <f>名目県内総支出!L29</f>
        <v>637901</v>
      </c>
      <c r="H5" s="382">
        <f>名目県内総支出!M29</f>
        <v>666390</v>
      </c>
      <c r="I5" s="382">
        <f>名目県内総支出!N29</f>
        <v>676351</v>
      </c>
      <c r="J5" s="382">
        <f>名目県内総支出!O29</f>
        <v>725868</v>
      </c>
      <c r="K5" s="382">
        <f>名目県内総支出!P29</f>
        <v>709621</v>
      </c>
      <c r="L5" s="382">
        <f>名目県内総支出!Q29</f>
        <v>746870</v>
      </c>
      <c r="M5" s="382">
        <f>名目県内総支出!R29</f>
        <v>752059</v>
      </c>
      <c r="N5" s="382">
        <f>名目県内総支出!S29</f>
        <v>706383</v>
      </c>
      <c r="O5" s="382">
        <f>名目県内総支出!T29</f>
        <v>672430</v>
      </c>
      <c r="P5" s="382">
        <f>名目県内総支出!U29</f>
        <v>721016</v>
      </c>
      <c r="Q5" s="462">
        <f>名目県内総支出!V29</f>
        <v>668534</v>
      </c>
      <c r="R5" s="462">
        <f>名目県内総支出!W29</f>
        <v>761641</v>
      </c>
      <c r="S5" s="462">
        <f>名目県内総支出!X29</f>
        <v>745739</v>
      </c>
      <c r="T5" s="462">
        <f>名目県内総支出!Y29</f>
        <v>777461</v>
      </c>
      <c r="U5" s="462">
        <f>名目県内総支出!Z29</f>
        <v>766156</v>
      </c>
      <c r="V5" s="462">
        <f>名目県内総支出!AA29</f>
        <v>760372.28163933067</v>
      </c>
      <c r="W5" s="462">
        <f>名目県内総支出!AB29</f>
        <v>761253</v>
      </c>
      <c r="X5" s="462">
        <f>名目県内総支出!AC29</f>
        <v>761253</v>
      </c>
    </row>
    <row r="6" spans="1:24">
      <c r="A6" s="732"/>
      <c r="B6" s="732" t="s">
        <v>322</v>
      </c>
      <c r="C6" s="736">
        <f>SUM(C7:C16)</f>
        <v>958034</v>
      </c>
      <c r="D6" s="736">
        <f>SUM(D7:D16)</f>
        <v>845424</v>
      </c>
      <c r="E6" s="736">
        <f t="shared" ref="E6:J6" si="0">SUM(E7:E16)</f>
        <v>789486</v>
      </c>
      <c r="F6" s="736">
        <f t="shared" si="0"/>
        <v>609131</v>
      </c>
      <c r="G6" s="736">
        <f t="shared" si="0"/>
        <v>637901</v>
      </c>
      <c r="H6" s="736">
        <f t="shared" si="0"/>
        <v>666390</v>
      </c>
      <c r="I6" s="736">
        <f t="shared" si="0"/>
        <v>676351</v>
      </c>
      <c r="J6" s="736">
        <f t="shared" si="0"/>
        <v>725868</v>
      </c>
      <c r="K6" s="736">
        <f t="shared" ref="K6:P6" si="1">SUM(K7:K16)</f>
        <v>709621</v>
      </c>
      <c r="L6" s="736">
        <f t="shared" si="1"/>
        <v>746870</v>
      </c>
      <c r="M6" s="736">
        <f t="shared" si="1"/>
        <v>752059</v>
      </c>
      <c r="N6" s="736">
        <f t="shared" si="1"/>
        <v>706383</v>
      </c>
      <c r="O6" s="736">
        <f t="shared" si="1"/>
        <v>672430</v>
      </c>
      <c r="P6" s="736">
        <f t="shared" si="1"/>
        <v>721016</v>
      </c>
      <c r="Q6" s="736">
        <f t="shared" ref="Q6:V6" si="2">SUM(Q7:Q16)</f>
        <v>668534</v>
      </c>
      <c r="R6" s="736">
        <f t="shared" si="2"/>
        <v>761641</v>
      </c>
      <c r="S6" s="736">
        <f t="shared" si="2"/>
        <v>745739</v>
      </c>
      <c r="T6" s="736">
        <f t="shared" si="2"/>
        <v>777461</v>
      </c>
      <c r="U6" s="736">
        <f t="shared" si="2"/>
        <v>766156</v>
      </c>
      <c r="V6" s="736">
        <f t="shared" si="2"/>
        <v>760372.28163933067</v>
      </c>
      <c r="W6" s="736">
        <f t="shared" ref="W6:X6" si="3">SUM(W7:W16)</f>
        <v>761253</v>
      </c>
      <c r="X6" s="736">
        <f t="shared" si="3"/>
        <v>761253</v>
      </c>
    </row>
    <row r="7" spans="1:24">
      <c r="A7" s="730">
        <v>100</v>
      </c>
      <c r="B7" s="730" t="s">
        <v>172</v>
      </c>
      <c r="C7" s="733">
        <f>C18</f>
        <v>316256</v>
      </c>
      <c r="D7" s="733">
        <f>D18</f>
        <v>248723</v>
      </c>
      <c r="E7" s="733">
        <f t="shared" ref="E7:G8" si="4">E18</f>
        <v>218727</v>
      </c>
      <c r="F7" s="733">
        <f t="shared" si="4"/>
        <v>154243</v>
      </c>
      <c r="G7" s="733">
        <f t="shared" si="4"/>
        <v>171088</v>
      </c>
      <c r="H7" s="733">
        <f t="shared" ref="H7:J8" si="5">H18</f>
        <v>189685</v>
      </c>
      <c r="I7" s="733">
        <f t="shared" si="5"/>
        <v>177511</v>
      </c>
      <c r="J7" s="733">
        <f t="shared" si="5"/>
        <v>212260</v>
      </c>
      <c r="K7" s="733">
        <f t="shared" ref="K7:M8" si="6">K18</f>
        <v>210388</v>
      </c>
      <c r="L7" s="733">
        <f t="shared" si="6"/>
        <v>214843</v>
      </c>
      <c r="M7" s="733">
        <f t="shared" si="6"/>
        <v>191860</v>
      </c>
      <c r="N7" s="733">
        <f t="shared" ref="N7:P8" si="7">N18</f>
        <v>212969</v>
      </c>
      <c r="O7" s="733">
        <f t="shared" si="7"/>
        <v>158000</v>
      </c>
      <c r="P7" s="733">
        <f t="shared" si="7"/>
        <v>185948</v>
      </c>
      <c r="Q7" s="733">
        <f t="shared" ref="Q7:S8" si="8">Q18</f>
        <v>184360</v>
      </c>
      <c r="R7" s="733">
        <f t="shared" si="8"/>
        <v>191227</v>
      </c>
      <c r="S7" s="733">
        <f t="shared" si="8"/>
        <v>198500</v>
      </c>
      <c r="T7" s="733">
        <f t="shared" ref="T7:U7" si="9">T18</f>
        <v>211657</v>
      </c>
      <c r="U7" s="733">
        <f t="shared" si="9"/>
        <v>197822</v>
      </c>
      <c r="V7" s="733">
        <f t="shared" ref="V7:W7" si="10">V18</f>
        <v>201920.28163933067</v>
      </c>
      <c r="W7" s="733">
        <f t="shared" si="10"/>
        <v>201966</v>
      </c>
      <c r="X7" s="733">
        <f t="shared" ref="X7" si="11">X18</f>
        <v>200261</v>
      </c>
    </row>
    <row r="8" spans="1:24">
      <c r="A8" s="730">
        <v>1</v>
      </c>
      <c r="B8" s="730" t="s">
        <v>323</v>
      </c>
      <c r="C8" s="733">
        <f>C19</f>
        <v>184656</v>
      </c>
      <c r="D8" s="733">
        <f>D19</f>
        <v>144354</v>
      </c>
      <c r="E8" s="733">
        <f t="shared" si="4"/>
        <v>156756</v>
      </c>
      <c r="F8" s="733">
        <f t="shared" si="4"/>
        <v>94485</v>
      </c>
      <c r="G8" s="733">
        <f t="shared" si="4"/>
        <v>135610</v>
      </c>
      <c r="H8" s="733">
        <f t="shared" si="5"/>
        <v>146367</v>
      </c>
      <c r="I8" s="733">
        <f t="shared" si="5"/>
        <v>144992</v>
      </c>
      <c r="J8" s="733">
        <f t="shared" si="5"/>
        <v>143519</v>
      </c>
      <c r="K8" s="733">
        <f t="shared" si="6"/>
        <v>129519</v>
      </c>
      <c r="L8" s="733">
        <f t="shared" si="6"/>
        <v>170448</v>
      </c>
      <c r="M8" s="733">
        <f t="shared" si="6"/>
        <v>148777</v>
      </c>
      <c r="N8" s="733">
        <f t="shared" si="7"/>
        <v>145273</v>
      </c>
      <c r="O8" s="733">
        <f t="shared" si="7"/>
        <v>146744</v>
      </c>
      <c r="P8" s="733">
        <f t="shared" si="7"/>
        <v>171489</v>
      </c>
      <c r="Q8" s="733">
        <f t="shared" si="8"/>
        <v>161712</v>
      </c>
      <c r="R8" s="733">
        <f t="shared" si="8"/>
        <v>172877</v>
      </c>
      <c r="S8" s="733">
        <f t="shared" si="8"/>
        <v>158677</v>
      </c>
      <c r="T8" s="733">
        <f t="shared" ref="T8:U8" si="12">T19</f>
        <v>181521</v>
      </c>
      <c r="U8" s="733">
        <f t="shared" si="12"/>
        <v>177532</v>
      </c>
      <c r="V8" s="733">
        <f t="shared" ref="V8:W8" si="13">V19</f>
        <v>171477</v>
      </c>
      <c r="W8" s="733">
        <f t="shared" si="13"/>
        <v>175213</v>
      </c>
      <c r="X8" s="733">
        <f t="shared" ref="X8" si="14">X19</f>
        <v>174400</v>
      </c>
    </row>
    <row r="9" spans="1:24">
      <c r="A9" s="730">
        <v>2</v>
      </c>
      <c r="B9" s="730" t="s">
        <v>324</v>
      </c>
      <c r="C9" s="733">
        <f>C23</f>
        <v>136214</v>
      </c>
      <c r="D9" s="733">
        <f>D23</f>
        <v>106910</v>
      </c>
      <c r="E9" s="733">
        <f t="shared" ref="E9:J9" si="15">E23</f>
        <v>92874</v>
      </c>
      <c r="F9" s="733">
        <f t="shared" si="15"/>
        <v>89279</v>
      </c>
      <c r="G9" s="733">
        <f t="shared" si="15"/>
        <v>80224</v>
      </c>
      <c r="H9" s="733">
        <f t="shared" si="15"/>
        <v>82761</v>
      </c>
      <c r="I9" s="733">
        <f t="shared" si="15"/>
        <v>86134</v>
      </c>
      <c r="J9" s="733">
        <f t="shared" si="15"/>
        <v>91840</v>
      </c>
      <c r="K9" s="733">
        <f t="shared" ref="K9:P9" si="16">K23</f>
        <v>98061</v>
      </c>
      <c r="L9" s="733">
        <f t="shared" si="16"/>
        <v>93191</v>
      </c>
      <c r="M9" s="733">
        <f t="shared" si="16"/>
        <v>96339</v>
      </c>
      <c r="N9" s="733">
        <f t="shared" si="16"/>
        <v>80705</v>
      </c>
      <c r="O9" s="733">
        <f t="shared" si="16"/>
        <v>71320</v>
      </c>
      <c r="P9" s="733">
        <f t="shared" si="16"/>
        <v>78847</v>
      </c>
      <c r="Q9" s="733">
        <f t="shared" ref="Q9:V9" si="17">Q23</f>
        <v>72956</v>
      </c>
      <c r="R9" s="733">
        <f t="shared" si="17"/>
        <v>80237</v>
      </c>
      <c r="S9" s="733">
        <f t="shared" si="17"/>
        <v>106260</v>
      </c>
      <c r="T9" s="733">
        <f t="shared" si="17"/>
        <v>89160</v>
      </c>
      <c r="U9" s="733">
        <f t="shared" si="17"/>
        <v>103307</v>
      </c>
      <c r="V9" s="733">
        <f t="shared" si="17"/>
        <v>99695</v>
      </c>
      <c r="W9" s="733">
        <f t="shared" ref="W9:X9" si="18">W23</f>
        <v>96615</v>
      </c>
      <c r="X9" s="733">
        <f t="shared" si="18"/>
        <v>99672</v>
      </c>
    </row>
    <row r="10" spans="1:24">
      <c r="A10" s="730">
        <v>3</v>
      </c>
      <c r="B10" s="730" t="s">
        <v>192</v>
      </c>
      <c r="C10" s="733">
        <f>C29</f>
        <v>104801</v>
      </c>
      <c r="D10" s="733">
        <f>D29</f>
        <v>117610</v>
      </c>
      <c r="E10" s="733">
        <f t="shared" ref="E10:J10" si="19">E29</f>
        <v>118699</v>
      </c>
      <c r="F10" s="733">
        <f t="shared" si="19"/>
        <v>104731</v>
      </c>
      <c r="G10" s="733">
        <f t="shared" si="19"/>
        <v>93870</v>
      </c>
      <c r="H10" s="733">
        <f t="shared" si="19"/>
        <v>94105</v>
      </c>
      <c r="I10" s="733">
        <f t="shared" si="19"/>
        <v>99751</v>
      </c>
      <c r="J10" s="733">
        <f t="shared" si="19"/>
        <v>95587</v>
      </c>
      <c r="K10" s="733">
        <f t="shared" ref="K10:P10" si="20">K29</f>
        <v>103564</v>
      </c>
      <c r="L10" s="733">
        <f t="shared" si="20"/>
        <v>95280</v>
      </c>
      <c r="M10" s="733">
        <f t="shared" si="20"/>
        <v>118667</v>
      </c>
      <c r="N10" s="733">
        <f t="shared" si="20"/>
        <v>95215</v>
      </c>
      <c r="O10" s="733">
        <f t="shared" si="20"/>
        <v>112334</v>
      </c>
      <c r="P10" s="733">
        <f t="shared" si="20"/>
        <v>110640</v>
      </c>
      <c r="Q10" s="733">
        <f t="shared" ref="Q10:V10" si="21">Q29</f>
        <v>100769</v>
      </c>
      <c r="R10" s="733">
        <f t="shared" si="21"/>
        <v>112444</v>
      </c>
      <c r="S10" s="733">
        <f t="shared" si="21"/>
        <v>107452</v>
      </c>
      <c r="T10" s="733">
        <f t="shared" si="21"/>
        <v>103022</v>
      </c>
      <c r="U10" s="733">
        <f t="shared" si="21"/>
        <v>120441</v>
      </c>
      <c r="V10" s="733">
        <f t="shared" si="21"/>
        <v>109947</v>
      </c>
      <c r="W10" s="733">
        <f t="shared" ref="W10:X10" si="22">W29</f>
        <v>110200</v>
      </c>
      <c r="X10" s="733">
        <f t="shared" si="22"/>
        <v>113280</v>
      </c>
    </row>
    <row r="11" spans="1:24">
      <c r="A11" s="730">
        <v>4</v>
      </c>
      <c r="B11" s="730" t="s">
        <v>325</v>
      </c>
      <c r="C11" s="733">
        <f>C35</f>
        <v>36907</v>
      </c>
      <c r="D11" s="733">
        <f>D35</f>
        <v>42022</v>
      </c>
      <c r="E11" s="733">
        <f t="shared" ref="E11:J11" si="23">E35</f>
        <v>33687</v>
      </c>
      <c r="F11" s="733">
        <f t="shared" si="23"/>
        <v>29718</v>
      </c>
      <c r="G11" s="733">
        <f t="shared" si="23"/>
        <v>24935</v>
      </c>
      <c r="H11" s="733">
        <f t="shared" si="23"/>
        <v>24849</v>
      </c>
      <c r="I11" s="733">
        <f t="shared" si="23"/>
        <v>27623</v>
      </c>
      <c r="J11" s="733">
        <f t="shared" si="23"/>
        <v>31350</v>
      </c>
      <c r="K11" s="733">
        <f t="shared" ref="K11:P11" si="24">K35</f>
        <v>23224</v>
      </c>
      <c r="L11" s="733">
        <f t="shared" si="24"/>
        <v>31211</v>
      </c>
      <c r="M11" s="733">
        <f t="shared" si="24"/>
        <v>35557</v>
      </c>
      <c r="N11" s="733">
        <f t="shared" si="24"/>
        <v>34576</v>
      </c>
      <c r="O11" s="733">
        <f t="shared" si="24"/>
        <v>30116</v>
      </c>
      <c r="P11" s="733">
        <f t="shared" si="24"/>
        <v>31612</v>
      </c>
      <c r="Q11" s="733">
        <f t="shared" ref="Q11:V11" si="25">Q35</f>
        <v>23589</v>
      </c>
      <c r="R11" s="733">
        <f t="shared" si="25"/>
        <v>29962</v>
      </c>
      <c r="S11" s="733">
        <f t="shared" si="25"/>
        <v>25963</v>
      </c>
      <c r="T11" s="733">
        <f t="shared" si="25"/>
        <v>28563</v>
      </c>
      <c r="U11" s="733">
        <f t="shared" si="25"/>
        <v>24430</v>
      </c>
      <c r="V11" s="733">
        <f t="shared" si="25"/>
        <v>26203</v>
      </c>
      <c r="W11" s="733">
        <f t="shared" ref="W11:X11" si="26">W35</f>
        <v>26173</v>
      </c>
      <c r="X11" s="733">
        <f t="shared" si="26"/>
        <v>25570</v>
      </c>
    </row>
    <row r="12" spans="1:24">
      <c r="A12" s="730">
        <v>5</v>
      </c>
      <c r="B12" s="730" t="s">
        <v>326</v>
      </c>
      <c r="C12" s="733">
        <f>C42</f>
        <v>98740</v>
      </c>
      <c r="D12" s="733">
        <f>D42</f>
        <v>104494</v>
      </c>
      <c r="E12" s="733">
        <f t="shared" ref="E12:J12" si="27">E42</f>
        <v>99398</v>
      </c>
      <c r="F12" s="733">
        <f t="shared" si="27"/>
        <v>79679</v>
      </c>
      <c r="G12" s="733">
        <f t="shared" si="27"/>
        <v>77848</v>
      </c>
      <c r="H12" s="733">
        <f t="shared" si="27"/>
        <v>75756</v>
      </c>
      <c r="I12" s="733">
        <f t="shared" si="27"/>
        <v>90340</v>
      </c>
      <c r="J12" s="733">
        <f t="shared" si="27"/>
        <v>86099</v>
      </c>
      <c r="K12" s="733">
        <f t="shared" ref="K12:P12" si="28">K42</f>
        <v>94989</v>
      </c>
      <c r="L12" s="733">
        <f t="shared" si="28"/>
        <v>85805</v>
      </c>
      <c r="M12" s="733">
        <f t="shared" si="28"/>
        <v>109179</v>
      </c>
      <c r="N12" s="733">
        <f t="shared" si="28"/>
        <v>90864</v>
      </c>
      <c r="O12" s="733">
        <f t="shared" si="28"/>
        <v>98322</v>
      </c>
      <c r="P12" s="733">
        <f t="shared" si="28"/>
        <v>86726</v>
      </c>
      <c r="Q12" s="733">
        <f t="shared" ref="Q12:V12" si="29">Q42</f>
        <v>80987</v>
      </c>
      <c r="R12" s="733">
        <f t="shared" si="29"/>
        <v>107724</v>
      </c>
      <c r="S12" s="733">
        <f t="shared" si="29"/>
        <v>94295</v>
      </c>
      <c r="T12" s="733">
        <f t="shared" si="29"/>
        <v>105978</v>
      </c>
      <c r="U12" s="733">
        <f t="shared" si="29"/>
        <v>81229</v>
      </c>
      <c r="V12" s="733">
        <f t="shared" si="29"/>
        <v>93561</v>
      </c>
      <c r="W12" s="733">
        <f t="shared" ref="W12:X12" si="30">W42</f>
        <v>92734</v>
      </c>
      <c r="X12" s="733">
        <f t="shared" si="30"/>
        <v>89119</v>
      </c>
    </row>
    <row r="13" spans="1:24">
      <c r="A13" s="730">
        <v>6</v>
      </c>
      <c r="B13" s="730" t="s">
        <v>327</v>
      </c>
      <c r="C13" s="733">
        <f>C47</f>
        <v>38264</v>
      </c>
      <c r="D13" s="733">
        <f>D47</f>
        <v>37062</v>
      </c>
      <c r="E13" s="733">
        <f t="shared" ref="E13:J13" si="31">E47</f>
        <v>30883</v>
      </c>
      <c r="F13" s="733">
        <f t="shared" si="31"/>
        <v>23904</v>
      </c>
      <c r="G13" s="733">
        <f t="shared" si="31"/>
        <v>26544</v>
      </c>
      <c r="H13" s="733">
        <f t="shared" si="31"/>
        <v>24364</v>
      </c>
      <c r="I13" s="733">
        <f t="shared" si="31"/>
        <v>24255</v>
      </c>
      <c r="J13" s="733">
        <f t="shared" si="31"/>
        <v>28382</v>
      </c>
      <c r="K13" s="733">
        <f t="shared" ref="K13:P13" si="32">K47</f>
        <v>21827</v>
      </c>
      <c r="L13" s="733">
        <f t="shared" si="32"/>
        <v>20683</v>
      </c>
      <c r="M13" s="733">
        <f t="shared" si="32"/>
        <v>19388</v>
      </c>
      <c r="N13" s="733">
        <f t="shared" si="32"/>
        <v>16664</v>
      </c>
      <c r="O13" s="733">
        <f t="shared" si="32"/>
        <v>21331</v>
      </c>
      <c r="P13" s="733">
        <f t="shared" si="32"/>
        <v>19575</v>
      </c>
      <c r="Q13" s="733">
        <f t="shared" ref="Q13:V13" si="33">Q47</f>
        <v>17266</v>
      </c>
      <c r="R13" s="733">
        <f t="shared" si="33"/>
        <v>27358</v>
      </c>
      <c r="S13" s="733">
        <f t="shared" si="33"/>
        <v>19327</v>
      </c>
      <c r="T13" s="733">
        <f t="shared" si="33"/>
        <v>21456</v>
      </c>
      <c r="U13" s="733">
        <f t="shared" si="33"/>
        <v>23414</v>
      </c>
      <c r="V13" s="733">
        <f t="shared" si="33"/>
        <v>21244</v>
      </c>
      <c r="W13" s="733">
        <f t="shared" ref="W13:X13" si="34">W47</f>
        <v>21845</v>
      </c>
      <c r="X13" s="733">
        <f t="shared" si="34"/>
        <v>22096</v>
      </c>
    </row>
    <row r="14" spans="1:24">
      <c r="A14" s="730">
        <v>7</v>
      </c>
      <c r="B14" s="730" t="s">
        <v>210</v>
      </c>
      <c r="C14" s="733">
        <f>C55</f>
        <v>19068</v>
      </c>
      <c r="D14" s="733">
        <f>D55</f>
        <v>16954</v>
      </c>
      <c r="E14" s="733">
        <f t="shared" ref="E14:J14" si="35">E55</f>
        <v>14913</v>
      </c>
      <c r="F14" s="733">
        <f t="shared" si="35"/>
        <v>11180</v>
      </c>
      <c r="G14" s="733">
        <f t="shared" si="35"/>
        <v>10485</v>
      </c>
      <c r="H14" s="733">
        <f t="shared" si="35"/>
        <v>10033</v>
      </c>
      <c r="I14" s="733">
        <f t="shared" si="35"/>
        <v>9963</v>
      </c>
      <c r="J14" s="733">
        <f t="shared" si="35"/>
        <v>13473</v>
      </c>
      <c r="K14" s="733">
        <f t="shared" ref="K14:P14" si="36">K55</f>
        <v>9737</v>
      </c>
      <c r="L14" s="733">
        <f t="shared" si="36"/>
        <v>11012</v>
      </c>
      <c r="M14" s="733">
        <f t="shared" si="36"/>
        <v>11261</v>
      </c>
      <c r="N14" s="733">
        <f t="shared" si="36"/>
        <v>10412</v>
      </c>
      <c r="O14" s="733">
        <f t="shared" si="36"/>
        <v>12084</v>
      </c>
      <c r="P14" s="733">
        <f t="shared" si="36"/>
        <v>13246</v>
      </c>
      <c r="Q14" s="733">
        <f t="shared" ref="Q14:V14" si="37">Q55</f>
        <v>9891</v>
      </c>
      <c r="R14" s="733">
        <f t="shared" si="37"/>
        <v>11867</v>
      </c>
      <c r="S14" s="733">
        <f t="shared" si="37"/>
        <v>12152</v>
      </c>
      <c r="T14" s="733">
        <f t="shared" si="37"/>
        <v>10985</v>
      </c>
      <c r="U14" s="733">
        <f t="shared" si="37"/>
        <v>11386</v>
      </c>
      <c r="V14" s="733">
        <f t="shared" si="37"/>
        <v>11528</v>
      </c>
      <c r="W14" s="733">
        <f t="shared" ref="W14:X14" si="38">W55</f>
        <v>11225</v>
      </c>
      <c r="X14" s="733">
        <f t="shared" si="38"/>
        <v>11362</v>
      </c>
    </row>
    <row r="15" spans="1:24">
      <c r="A15" s="730">
        <v>8</v>
      </c>
      <c r="B15" s="730" t="s">
        <v>211</v>
      </c>
      <c r="C15" s="733">
        <f>C61</f>
        <v>9938</v>
      </c>
      <c r="D15" s="733">
        <f>D61</f>
        <v>13118</v>
      </c>
      <c r="E15" s="733">
        <f t="shared" ref="E15:J15" si="39">E61</f>
        <v>10444</v>
      </c>
      <c r="F15" s="733">
        <f t="shared" si="39"/>
        <v>5635</v>
      </c>
      <c r="G15" s="733">
        <f t="shared" si="39"/>
        <v>6027</v>
      </c>
      <c r="H15" s="733">
        <f t="shared" si="39"/>
        <v>6419</v>
      </c>
      <c r="I15" s="733">
        <f t="shared" si="39"/>
        <v>6717</v>
      </c>
      <c r="J15" s="733">
        <f t="shared" si="39"/>
        <v>10005</v>
      </c>
      <c r="K15" s="733">
        <f t="shared" ref="K15:P15" si="40">K61</f>
        <v>6775</v>
      </c>
      <c r="L15" s="733">
        <f t="shared" si="40"/>
        <v>11605</v>
      </c>
      <c r="M15" s="733">
        <f t="shared" si="40"/>
        <v>10072</v>
      </c>
      <c r="N15" s="733">
        <f t="shared" si="40"/>
        <v>9441</v>
      </c>
      <c r="O15" s="733">
        <f t="shared" si="40"/>
        <v>12465</v>
      </c>
      <c r="P15" s="733">
        <f t="shared" si="40"/>
        <v>11878</v>
      </c>
      <c r="Q15" s="733">
        <f t="shared" ref="Q15:V15" si="41">Q61</f>
        <v>8491</v>
      </c>
      <c r="R15" s="733">
        <f t="shared" si="41"/>
        <v>11152</v>
      </c>
      <c r="S15" s="733">
        <f t="shared" si="41"/>
        <v>10166</v>
      </c>
      <c r="T15" s="733">
        <f t="shared" si="41"/>
        <v>9033</v>
      </c>
      <c r="U15" s="733">
        <f t="shared" si="41"/>
        <v>11065</v>
      </c>
      <c r="V15" s="733">
        <f t="shared" si="41"/>
        <v>10072</v>
      </c>
      <c r="W15" s="733">
        <f t="shared" ref="W15:X15" si="42">W61</f>
        <v>9992</v>
      </c>
      <c r="X15" s="733">
        <f t="shared" si="42"/>
        <v>10344</v>
      </c>
    </row>
    <row r="16" spans="1:24">
      <c r="A16" s="730">
        <v>9</v>
      </c>
      <c r="B16" s="730" t="s">
        <v>212</v>
      </c>
      <c r="C16" s="733">
        <f>C64</f>
        <v>13190</v>
      </c>
      <c r="D16" s="733">
        <f>D64</f>
        <v>14177</v>
      </c>
      <c r="E16" s="733">
        <f t="shared" ref="E16:J16" si="43">E64</f>
        <v>13105</v>
      </c>
      <c r="F16" s="733">
        <f t="shared" si="43"/>
        <v>16277</v>
      </c>
      <c r="G16" s="733">
        <f t="shared" si="43"/>
        <v>11270</v>
      </c>
      <c r="H16" s="735">
        <f t="shared" si="43"/>
        <v>12051</v>
      </c>
      <c r="I16" s="735">
        <f t="shared" si="43"/>
        <v>9065</v>
      </c>
      <c r="J16" s="735">
        <f t="shared" si="43"/>
        <v>13353</v>
      </c>
      <c r="K16" s="735">
        <f t="shared" ref="K16:P16" si="44">K64</f>
        <v>11537</v>
      </c>
      <c r="L16" s="735">
        <f t="shared" si="44"/>
        <v>12792</v>
      </c>
      <c r="M16" s="735">
        <f t="shared" si="44"/>
        <v>10959</v>
      </c>
      <c r="N16" s="735">
        <f t="shared" si="44"/>
        <v>10264</v>
      </c>
      <c r="O16" s="735">
        <f t="shared" si="44"/>
        <v>9714</v>
      </c>
      <c r="P16" s="735">
        <f t="shared" si="44"/>
        <v>11055</v>
      </c>
      <c r="Q16" s="735">
        <f t="shared" ref="Q16:V16" si="45">Q64</f>
        <v>8513</v>
      </c>
      <c r="R16" s="735">
        <f t="shared" si="45"/>
        <v>16793</v>
      </c>
      <c r="S16" s="735">
        <f t="shared" si="45"/>
        <v>12947</v>
      </c>
      <c r="T16" s="735">
        <f t="shared" si="45"/>
        <v>16086</v>
      </c>
      <c r="U16" s="735">
        <f t="shared" si="45"/>
        <v>15530</v>
      </c>
      <c r="V16" s="735">
        <f t="shared" si="45"/>
        <v>14725</v>
      </c>
      <c r="W16" s="735">
        <f t="shared" ref="W16:X16" si="46">W64</f>
        <v>15290</v>
      </c>
      <c r="X16" s="735">
        <f t="shared" si="46"/>
        <v>15149</v>
      </c>
    </row>
    <row r="17" spans="1:25">
      <c r="A17" s="816" t="s">
        <v>1352</v>
      </c>
      <c r="B17" s="732"/>
      <c r="C17" s="896">
        <f>ROUND(C$5*民間住宅2!T17/民間住宅2!T$5,0)-C18</f>
        <v>3</v>
      </c>
      <c r="D17" s="896">
        <f>ROUND(D$5*民間住宅2!U17/民間住宅2!U$5,0)-D18</f>
        <v>-2</v>
      </c>
      <c r="E17" s="896">
        <f>ROUND(E$5*民間住宅2!V17/民間住宅2!V$5,0)-E18</f>
        <v>-1</v>
      </c>
      <c r="F17" s="896">
        <f>ROUND(F$5*民間住宅2!W17/民間住宅2!W$5,0)-F18</f>
        <v>0</v>
      </c>
      <c r="G17" s="896">
        <f>ROUND(G$5*民間住宅2!X17/民間住宅2!X$5,0)-G18</f>
        <v>1</v>
      </c>
      <c r="H17" s="896">
        <f>ROUND(H$5*民間住宅2!Y17/民間住宅2!Y$5,0)-H18</f>
        <v>0</v>
      </c>
      <c r="I17" s="896">
        <f>ROUND(I$5*民間住宅2!Z17/民間住宅2!Z$5,0)-I18</f>
        <v>3</v>
      </c>
      <c r="J17" s="896">
        <f>ROUND(J$5*民間住宅2!AA17/民間住宅2!AA$5,0)-J18</f>
        <v>0</v>
      </c>
      <c r="K17" s="896">
        <f>ROUND(K$5*民間住宅2!AB17/民間住宅2!AB$5,0)-K18</f>
        <v>0</v>
      </c>
      <c r="L17" s="896">
        <f>ROUND(L$5*民間住宅2!AC17/民間住宅2!AC$5,0)-L18</f>
        <v>2</v>
      </c>
      <c r="M17" s="896">
        <f>ROUND(M$5*民間住宅2!AD17/民間住宅2!AD$5,0)-M18</f>
        <v>-3</v>
      </c>
      <c r="N17" s="896">
        <f>ROUND(N$5*民間住宅2!AE17/民間住宅2!AE$5,0)-N18</f>
        <v>-2</v>
      </c>
      <c r="O17" s="896">
        <f>ROUND(O$5*民間住宅2!AF17/民間住宅2!AF$5,0)-O18</f>
        <v>2</v>
      </c>
      <c r="P17" s="897">
        <f>ROUND(P$5*民間住宅2!AG17/民間住宅2!AG$5,0)-P18</f>
        <v>-1</v>
      </c>
      <c r="Q17" s="75">
        <f>ROUND(Q$5*民間住宅2!AH17/民間住宅2!AH$5,0)-Q18</f>
        <v>1</v>
      </c>
      <c r="Y17" s="899" t="s">
        <v>1335</v>
      </c>
    </row>
    <row r="18" spans="1:25">
      <c r="A18" s="728">
        <v>100</v>
      </c>
      <c r="B18" s="728" t="s">
        <v>172</v>
      </c>
      <c r="C18" s="734">
        <f>C5-SUM(C8:C16)</f>
        <v>316256</v>
      </c>
      <c r="D18" s="734">
        <f>D5-SUM(D8:D16)</f>
        <v>248723</v>
      </c>
      <c r="E18" s="734">
        <f>E5-SUM(E8:E16)</f>
        <v>218727</v>
      </c>
      <c r="F18" s="734">
        <f>F5-SUM(F8:F16)</f>
        <v>154243</v>
      </c>
      <c r="G18" s="734">
        <f t="shared" ref="G18:L18" si="47">G5-SUM(G8:G16)</f>
        <v>171088</v>
      </c>
      <c r="H18" s="734">
        <f t="shared" si="47"/>
        <v>189685</v>
      </c>
      <c r="I18" s="734">
        <f t="shared" si="47"/>
        <v>177511</v>
      </c>
      <c r="J18" s="734">
        <f t="shared" si="47"/>
        <v>212260</v>
      </c>
      <c r="K18" s="734">
        <f t="shared" si="47"/>
        <v>210388</v>
      </c>
      <c r="L18" s="734">
        <f t="shared" si="47"/>
        <v>214843</v>
      </c>
      <c r="M18" s="734">
        <f t="shared" ref="M18:R18" si="48">M5-SUM(M8:M16)</f>
        <v>191860</v>
      </c>
      <c r="N18" s="734">
        <f t="shared" si="48"/>
        <v>212969</v>
      </c>
      <c r="O18" s="734">
        <f t="shared" si="48"/>
        <v>158000</v>
      </c>
      <c r="P18" s="734">
        <f t="shared" si="48"/>
        <v>185948</v>
      </c>
      <c r="Q18" s="734">
        <f t="shared" si="48"/>
        <v>184360</v>
      </c>
      <c r="R18" s="734">
        <f t="shared" si="48"/>
        <v>191227</v>
      </c>
      <c r="S18" s="734">
        <f t="shared" ref="S18:X18" si="49">S5-SUM(S8:S16)</f>
        <v>198500</v>
      </c>
      <c r="T18" s="734">
        <f t="shared" si="49"/>
        <v>211657</v>
      </c>
      <c r="U18" s="734">
        <f t="shared" si="49"/>
        <v>197822</v>
      </c>
      <c r="V18" s="734">
        <f t="shared" si="49"/>
        <v>201920.28163933067</v>
      </c>
      <c r="W18" s="734">
        <f t="shared" si="49"/>
        <v>201966</v>
      </c>
      <c r="X18" s="734">
        <f t="shared" si="49"/>
        <v>200261</v>
      </c>
    </row>
    <row r="19" spans="1:25">
      <c r="A19" s="728">
        <v>1</v>
      </c>
      <c r="B19" s="728" t="s">
        <v>328</v>
      </c>
      <c r="C19" s="734">
        <f t="shared" ref="C19:L19" si="50">SUM(C20:C22)</f>
        <v>184656</v>
      </c>
      <c r="D19" s="734">
        <f t="shared" si="50"/>
        <v>144354</v>
      </c>
      <c r="E19" s="734">
        <f t="shared" si="50"/>
        <v>156756</v>
      </c>
      <c r="F19" s="734">
        <f t="shared" si="50"/>
        <v>94485</v>
      </c>
      <c r="G19" s="734">
        <f t="shared" si="50"/>
        <v>135610</v>
      </c>
      <c r="H19" s="734">
        <f t="shared" si="50"/>
        <v>146367</v>
      </c>
      <c r="I19" s="734">
        <f t="shared" si="50"/>
        <v>144992</v>
      </c>
      <c r="J19" s="734">
        <f t="shared" si="50"/>
        <v>143519</v>
      </c>
      <c r="K19" s="734">
        <f t="shared" si="50"/>
        <v>129519</v>
      </c>
      <c r="L19" s="734">
        <f t="shared" si="50"/>
        <v>170448</v>
      </c>
      <c r="M19" s="734">
        <f t="shared" ref="M19:R19" si="51">SUM(M20:M22)</f>
        <v>148777</v>
      </c>
      <c r="N19" s="734">
        <f t="shared" si="51"/>
        <v>145273</v>
      </c>
      <c r="O19" s="734">
        <f t="shared" si="51"/>
        <v>146744</v>
      </c>
      <c r="P19" s="734">
        <f t="shared" si="51"/>
        <v>171489</v>
      </c>
      <c r="Q19" s="734">
        <f t="shared" si="51"/>
        <v>161712</v>
      </c>
      <c r="R19" s="734">
        <f t="shared" si="51"/>
        <v>172877</v>
      </c>
      <c r="S19" s="734">
        <f t="shared" ref="S19:X19" si="52">SUM(S20:S22)</f>
        <v>158677</v>
      </c>
      <c r="T19" s="734">
        <f t="shared" si="52"/>
        <v>181521</v>
      </c>
      <c r="U19" s="734">
        <f t="shared" si="52"/>
        <v>177532</v>
      </c>
      <c r="V19" s="734">
        <f t="shared" si="52"/>
        <v>171477</v>
      </c>
      <c r="W19" s="734">
        <f t="shared" si="52"/>
        <v>175213</v>
      </c>
      <c r="X19" s="734">
        <f t="shared" si="52"/>
        <v>174400</v>
      </c>
    </row>
    <row r="20" spans="1:25">
      <c r="A20" s="730">
        <v>202</v>
      </c>
      <c r="B20" s="730" t="s">
        <v>183</v>
      </c>
      <c r="C20" s="733">
        <f>ROUND(C$5*民間住宅2!T19/民間住宅2!T$5,0)</f>
        <v>98482</v>
      </c>
      <c r="D20" s="733">
        <f>ROUND(D$5*民間住宅2!U19/民間住宅2!U$5,0)</f>
        <v>71838</v>
      </c>
      <c r="E20" s="733">
        <f>ROUND(E$5*民間住宅2!V19/民間住宅2!V$5,0)</f>
        <v>58334</v>
      </c>
      <c r="F20" s="733">
        <f>ROUND(F$5*民間住宅2!W19/民間住宅2!W$5,0)</f>
        <v>45762</v>
      </c>
      <c r="G20" s="733">
        <f>ROUND(G$5*民間住宅2!X19/民間住宅2!X$5,0)</f>
        <v>58685</v>
      </c>
      <c r="H20" s="733">
        <f>ROUND(H$5*民間住宅2!Y19/民間住宅2!Y$5,0)</f>
        <v>75838</v>
      </c>
      <c r="I20" s="733">
        <f>ROUND(I$5*民間住宅2!Z19/民間住宅2!Z$5,0)</f>
        <v>64942</v>
      </c>
      <c r="J20" s="733">
        <f>ROUND(J$5*民間住宅2!AA19/民間住宅2!AA$5,0)</f>
        <v>59612</v>
      </c>
      <c r="K20" s="733">
        <f>ROUND(K$5*民間住宅2!AB19/民間住宅2!AB$5,0)</f>
        <v>64505</v>
      </c>
      <c r="L20" s="733">
        <f>ROUND(L$5*民間住宅2!AC19/民間住宅2!AC$5,0)</f>
        <v>85828</v>
      </c>
      <c r="M20" s="733">
        <f>ROUND(M$5*民間住宅2!AD19/民間住宅2!AD$5,0)</f>
        <v>74248</v>
      </c>
      <c r="N20" s="733">
        <f>ROUND(N$5*民間住宅2!AE19/民間住宅2!AE$5,0)</f>
        <v>72172</v>
      </c>
      <c r="O20" s="733">
        <f>ROUND(O$5*民間住宅2!AF19/民間住宅2!AF$5,0)</f>
        <v>72314</v>
      </c>
      <c r="P20" s="733">
        <f>ROUND(P$5*民間住宅2!AG19/民間住宅2!AG$5,0)</f>
        <v>92574</v>
      </c>
      <c r="Q20" s="733">
        <f>ROUND(Q$5*民間住宅2!AH19/民間住宅2!AH$5,0)</f>
        <v>72716</v>
      </c>
      <c r="R20" s="733">
        <f>ROUND(R$5*民間住宅2!AI19/民間住宅2!AI$5,0)</f>
        <v>89450</v>
      </c>
      <c r="S20" s="733">
        <f>ROUND(S$5*民間住宅2!AJ19/民間住宅2!AJ$5,0)</f>
        <v>77282</v>
      </c>
      <c r="T20" s="733">
        <f>ROUND(T$5*民間住宅2!AK19/民間住宅2!AK$5,0)</f>
        <v>97325</v>
      </c>
      <c r="U20" s="733">
        <f>ROUND(U$5*民間住宅2!AL19/民間住宅2!AL$5,0)</f>
        <v>96571</v>
      </c>
      <c r="V20" s="733">
        <f>ROUND(V$5*民間住宅2!AM19/民間住宅2!AM$5,0)</f>
        <v>89547</v>
      </c>
      <c r="W20" s="733">
        <f>ROUND(W$5*民間住宅2!AN19/民間住宅2!AN$5,0)</f>
        <v>93573</v>
      </c>
      <c r="X20" s="733">
        <f>ROUND(X$5*民間住宅2!AO19/民間住宅2!AO$5,0)</f>
        <v>93012</v>
      </c>
    </row>
    <row r="21" spans="1:25">
      <c r="A21" s="730">
        <v>204</v>
      </c>
      <c r="B21" s="730" t="s">
        <v>184</v>
      </c>
      <c r="C21" s="733">
        <f>ROUND(C$5*民間住宅2!T20/民間住宅2!T$5,0)</f>
        <v>69292</v>
      </c>
      <c r="D21" s="733">
        <f>ROUND(D$5*民間住宅2!U20/民間住宅2!U$5,0)</f>
        <v>58742</v>
      </c>
      <c r="E21" s="733">
        <f>ROUND(E$5*民間住宅2!V20/民間住宅2!V$5,0)</f>
        <v>87206</v>
      </c>
      <c r="F21" s="733">
        <f>ROUND(F$5*民間住宅2!W20/民間住宅2!W$5,0)</f>
        <v>43016</v>
      </c>
      <c r="G21" s="733">
        <f>ROUND(G$5*民間住宅2!X20/民間住宅2!X$5,0)</f>
        <v>66009</v>
      </c>
      <c r="H21" s="733">
        <f>ROUND(H$5*民間住宅2!Y20/民間住宅2!Y$5,0)</f>
        <v>61163</v>
      </c>
      <c r="I21" s="733">
        <f>ROUND(I$5*民間住宅2!Z20/民間住宅2!Z$5,0)</f>
        <v>71802</v>
      </c>
      <c r="J21" s="733">
        <f>ROUND(J$5*民間住宅2!AA20/民間住宅2!AA$5,0)</f>
        <v>69637</v>
      </c>
      <c r="K21" s="733">
        <f>ROUND(K$5*民間住宅2!AB20/民間住宅2!AB$5,0)</f>
        <v>57837</v>
      </c>
      <c r="L21" s="733">
        <f>ROUND(L$5*民間住宅2!AC20/民間住宅2!AC$5,0)</f>
        <v>77037</v>
      </c>
      <c r="M21" s="733">
        <f>ROUND(M$5*民間住宅2!AD20/民間住宅2!AD$5,0)</f>
        <v>57734</v>
      </c>
      <c r="N21" s="733">
        <f>ROUND(N$5*民間住宅2!AE20/民間住宅2!AE$5,0)</f>
        <v>63765</v>
      </c>
      <c r="O21" s="733">
        <f>ROUND(O$5*民間住宅2!AF20/民間住宅2!AF$5,0)</f>
        <v>63912</v>
      </c>
      <c r="P21" s="733">
        <f>ROUND(P$5*民間住宅2!AG20/民間住宅2!AG$5,0)</f>
        <v>69299</v>
      </c>
      <c r="Q21" s="733">
        <f>ROUND(Q$5*民間住宅2!AH20/民間住宅2!AH$5,0)</f>
        <v>81009</v>
      </c>
      <c r="R21" s="733">
        <f>ROUND(R$5*民間住宅2!AI20/民間住宅2!AI$5,0)</f>
        <v>75465</v>
      </c>
      <c r="S21" s="733">
        <f>ROUND(S$5*民間住宅2!AJ20/民間住宅2!AJ$5,0)</f>
        <v>73613</v>
      </c>
      <c r="T21" s="733">
        <f>ROUND(T$5*民間住宅2!AK20/民間住宅2!AK$5,0)</f>
        <v>76520</v>
      </c>
      <c r="U21" s="733">
        <f>ROUND(U$5*民間住宅2!AL20/民間住宅2!AL$5,0)</f>
        <v>73905</v>
      </c>
      <c r="V21" s="733">
        <f>ROUND(V$5*民間住宅2!AM20/民間住宅2!AM$5,0)</f>
        <v>74440</v>
      </c>
      <c r="W21" s="733">
        <f>ROUND(W$5*民間住宅2!AN20/民間住宅2!AN$5,0)</f>
        <v>74297</v>
      </c>
      <c r="X21" s="733">
        <f>ROUND(X$5*民間住宅2!AO20/民間住宅2!AO$5,0)</f>
        <v>74101</v>
      </c>
    </row>
    <row r="22" spans="1:25">
      <c r="A22" s="731">
        <v>206</v>
      </c>
      <c r="B22" s="731" t="s">
        <v>185</v>
      </c>
      <c r="C22" s="735">
        <f>ROUND(C$5*民間住宅2!T21/民間住宅2!T$5,0)</f>
        <v>16882</v>
      </c>
      <c r="D22" s="735">
        <f>ROUND(D$5*民間住宅2!U21/民間住宅2!U$5,0)</f>
        <v>13774</v>
      </c>
      <c r="E22" s="735">
        <f>ROUND(E$5*民間住宅2!V21/民間住宅2!V$5,0)</f>
        <v>11216</v>
      </c>
      <c r="F22" s="735">
        <f>ROUND(F$5*民間住宅2!W21/民間住宅2!W$5,0)</f>
        <v>5707</v>
      </c>
      <c r="G22" s="735">
        <f>ROUND(G$5*民間住宅2!X21/民間住宅2!X$5,0)</f>
        <v>10916</v>
      </c>
      <c r="H22" s="735">
        <f>ROUND(H$5*民間住宅2!Y21/民間住宅2!Y$5,0)</f>
        <v>9366</v>
      </c>
      <c r="I22" s="735">
        <f>ROUND(I$5*民間住宅2!Z21/民間住宅2!Z$5,0)</f>
        <v>8248</v>
      </c>
      <c r="J22" s="735">
        <f>ROUND(J$5*民間住宅2!AA21/民間住宅2!AA$5,0)</f>
        <v>14270</v>
      </c>
      <c r="K22" s="735">
        <f>ROUND(K$5*民間住宅2!AB21/民間住宅2!AB$5,0)</f>
        <v>7177</v>
      </c>
      <c r="L22" s="735">
        <f>ROUND(L$5*民間住宅2!AC21/民間住宅2!AC$5,0)</f>
        <v>7583</v>
      </c>
      <c r="M22" s="735">
        <f>ROUND(M$5*民間住宅2!AD21/民間住宅2!AD$5,0)</f>
        <v>16795</v>
      </c>
      <c r="N22" s="735">
        <f>ROUND(N$5*民間住宅2!AE21/民間住宅2!AE$5,0)</f>
        <v>9336</v>
      </c>
      <c r="O22" s="735">
        <f>ROUND(O$5*民間住宅2!AF21/民間住宅2!AF$5,0)</f>
        <v>10518</v>
      </c>
      <c r="P22" s="735">
        <f>ROUND(P$5*民間住宅2!AG21/民間住宅2!AG$5,0)</f>
        <v>9616</v>
      </c>
      <c r="Q22" s="735">
        <f>ROUND(Q$5*民間住宅2!AH21/民間住宅2!AH$5,0)</f>
        <v>7987</v>
      </c>
      <c r="R22" s="735">
        <f>ROUND(R$5*民間住宅2!AI21/民間住宅2!AI$5,0)</f>
        <v>7962</v>
      </c>
      <c r="S22" s="735">
        <f>ROUND(S$5*民間住宅2!AJ21/民間住宅2!AJ$5,0)</f>
        <v>7782</v>
      </c>
      <c r="T22" s="735">
        <f>ROUND(T$5*民間住宅2!AK21/民間住宅2!AK$5,0)</f>
        <v>7676</v>
      </c>
      <c r="U22" s="735">
        <f>ROUND(U$5*民間住宅2!AL21/民間住宅2!AL$5,0)</f>
        <v>7056</v>
      </c>
      <c r="V22" s="735">
        <f>ROUND(V$5*民間住宅2!AM21/民間住宅2!AM$5,0)</f>
        <v>7490</v>
      </c>
      <c r="W22" s="735">
        <f>ROUND(W$5*民間住宅2!AN21/民間住宅2!AN$5,0)</f>
        <v>7343</v>
      </c>
      <c r="X22" s="735">
        <f>ROUND(X$5*民間住宅2!AO21/民間住宅2!AO$5,0)</f>
        <v>7287</v>
      </c>
    </row>
    <row r="23" spans="1:25">
      <c r="A23" s="730">
        <v>2</v>
      </c>
      <c r="B23" s="730" t="s">
        <v>324</v>
      </c>
      <c r="C23" s="733">
        <f t="shared" ref="C23:L23" si="53">SUM(C24:C28)</f>
        <v>136214</v>
      </c>
      <c r="D23" s="733">
        <f t="shared" si="53"/>
        <v>106910</v>
      </c>
      <c r="E23" s="733">
        <f t="shared" si="53"/>
        <v>92874</v>
      </c>
      <c r="F23" s="733">
        <f t="shared" si="53"/>
        <v>89279</v>
      </c>
      <c r="G23" s="733">
        <f t="shared" si="53"/>
        <v>80224</v>
      </c>
      <c r="H23" s="733">
        <f t="shared" si="53"/>
        <v>82761</v>
      </c>
      <c r="I23" s="733">
        <f t="shared" si="53"/>
        <v>86134</v>
      </c>
      <c r="J23" s="733">
        <f t="shared" si="53"/>
        <v>91840</v>
      </c>
      <c r="K23" s="733">
        <f t="shared" si="53"/>
        <v>98061</v>
      </c>
      <c r="L23" s="733">
        <f t="shared" si="53"/>
        <v>93191</v>
      </c>
      <c r="M23" s="733">
        <f t="shared" ref="M23:R23" si="54">SUM(M24:M28)</f>
        <v>96339</v>
      </c>
      <c r="N23" s="733">
        <f t="shared" si="54"/>
        <v>80705</v>
      </c>
      <c r="O23" s="733">
        <f t="shared" si="54"/>
        <v>71320</v>
      </c>
      <c r="P23" s="733">
        <f t="shared" si="54"/>
        <v>78847</v>
      </c>
      <c r="Q23" s="733">
        <f t="shared" si="54"/>
        <v>72956</v>
      </c>
      <c r="R23" s="733">
        <f t="shared" si="54"/>
        <v>80237</v>
      </c>
      <c r="S23" s="733">
        <f t="shared" ref="S23:X23" si="55">SUM(S24:S28)</f>
        <v>106260</v>
      </c>
      <c r="T23" s="733">
        <f t="shared" si="55"/>
        <v>89160</v>
      </c>
      <c r="U23" s="733">
        <f t="shared" si="55"/>
        <v>103307</v>
      </c>
      <c r="V23" s="733">
        <f t="shared" si="55"/>
        <v>99695</v>
      </c>
      <c r="W23" s="733">
        <f t="shared" si="55"/>
        <v>96615</v>
      </c>
      <c r="X23" s="733">
        <f t="shared" si="55"/>
        <v>99672</v>
      </c>
    </row>
    <row r="24" spans="1:25">
      <c r="A24" s="730">
        <v>207</v>
      </c>
      <c r="B24" s="730" t="s">
        <v>187</v>
      </c>
      <c r="C24" s="733">
        <f>ROUND(C$5*民間住宅2!T23/民間住宅2!T$5,0)</f>
        <v>46568</v>
      </c>
      <c r="D24" s="733">
        <f>ROUND(D$5*民間住宅2!U23/民間住宅2!U$5,0)</f>
        <v>30452</v>
      </c>
      <c r="E24" s="733">
        <f>ROUND(E$5*民間住宅2!V23/民間住宅2!V$5,0)</f>
        <v>22655</v>
      </c>
      <c r="F24" s="733">
        <f>ROUND(F$5*民間住宅2!W23/民間住宅2!W$5,0)</f>
        <v>31297</v>
      </c>
      <c r="G24" s="733">
        <f>ROUND(G$5*民間住宅2!X23/民間住宅2!X$5,0)</f>
        <v>23835</v>
      </c>
      <c r="H24" s="733">
        <f>ROUND(H$5*民間住宅2!Y23/民間住宅2!Y$5,0)</f>
        <v>29491</v>
      </c>
      <c r="I24" s="733">
        <f>ROUND(I$5*民間住宅2!Z23/民間住宅2!Z$5,0)</f>
        <v>27051</v>
      </c>
      <c r="J24" s="733">
        <f>ROUND(J$5*民間住宅2!AA23/民間住宅2!AA$5,0)</f>
        <v>28999</v>
      </c>
      <c r="K24" s="733">
        <f>ROUND(K$5*民間住宅2!AB23/民間住宅2!AB$5,0)</f>
        <v>22843</v>
      </c>
      <c r="L24" s="733">
        <f>ROUND(L$5*民間住宅2!AC23/民間住宅2!AC$5,0)</f>
        <v>27935</v>
      </c>
      <c r="M24" s="733">
        <f>ROUND(M$5*民間住宅2!AD23/民間住宅2!AD$5,0)</f>
        <v>36011</v>
      </c>
      <c r="N24" s="733">
        <f>ROUND(N$5*民間住宅2!AE23/民間住宅2!AE$5,0)</f>
        <v>26550</v>
      </c>
      <c r="O24" s="733">
        <f>ROUND(O$5*民間住宅2!AF23/民間住宅2!AF$5,0)</f>
        <v>24485</v>
      </c>
      <c r="P24" s="733">
        <f>ROUND(P$5*民間住宅2!AG23/民間住宅2!AG$5,0)</f>
        <v>23298</v>
      </c>
      <c r="Q24" s="733">
        <f>ROUND(Q$5*民間住宅2!AH23/民間住宅2!AH$5,0)</f>
        <v>25406</v>
      </c>
      <c r="R24" s="733">
        <f>ROUND(R$5*民間住宅2!AI23/民間住宅2!AI$5,0)</f>
        <v>25750</v>
      </c>
      <c r="S24" s="733">
        <f>ROUND(S$5*民間住宅2!AJ23/民間住宅2!AJ$5,0)</f>
        <v>35895</v>
      </c>
      <c r="T24" s="733">
        <f>ROUND(T$5*民間住宅2!AK23/民間住宅2!AK$5,0)</f>
        <v>29566</v>
      </c>
      <c r="U24" s="733">
        <f>ROUND(U$5*民間住宅2!AL23/民間住宅2!AL$5,0)</f>
        <v>29936</v>
      </c>
      <c r="V24" s="733">
        <f>ROUND(V$5*民間住宅2!AM23/民間住宅2!AM$5,0)</f>
        <v>31928</v>
      </c>
      <c r="W24" s="733">
        <f>ROUND(W$5*民間住宅2!AN23/民間住宅2!AN$5,0)</f>
        <v>30238</v>
      </c>
      <c r="X24" s="733">
        <f>ROUND(X$5*民間住宅2!AO23/民間住宅2!AO$5,0)</f>
        <v>30664</v>
      </c>
    </row>
    <row r="25" spans="1:25">
      <c r="A25" s="730">
        <v>214</v>
      </c>
      <c r="B25" s="730" t="s">
        <v>188</v>
      </c>
      <c r="C25" s="733">
        <f>ROUND(C$5*民間住宅2!T24/民間住宅2!T$5,0)</f>
        <v>49562</v>
      </c>
      <c r="D25" s="733">
        <f>ROUND(D$5*民間住宅2!U24/民間住宅2!U$5,0)</f>
        <v>31511</v>
      </c>
      <c r="E25" s="733">
        <f>ROUND(E$5*民間住宅2!V24/民間住宅2!V$5,0)</f>
        <v>29482</v>
      </c>
      <c r="F25" s="733">
        <f>ROUND(F$5*民間住宅2!W24/民間住宅2!W$5,0)</f>
        <v>31172</v>
      </c>
      <c r="G25" s="733">
        <f>ROUND(G$5*民間住宅2!X24/民間住宅2!X$5,0)</f>
        <v>25544</v>
      </c>
      <c r="H25" s="733">
        <f>ROUND(H$5*民間住宅2!Y24/民間住宅2!Y$5,0)</f>
        <v>24445</v>
      </c>
      <c r="I25" s="733">
        <f>ROUND(I$5*民間住宅2!Z24/民間住宅2!Z$5,0)</f>
        <v>21171</v>
      </c>
      <c r="J25" s="733">
        <f>ROUND(J$5*民間住宅2!AA24/民間住宅2!AA$5,0)</f>
        <v>32786</v>
      </c>
      <c r="K25" s="733">
        <f>ROUND(K$5*民間住宅2!AB24/民間住宅2!AB$5,0)</f>
        <v>36836</v>
      </c>
      <c r="L25" s="733">
        <f>ROUND(L$5*民間住宅2!AC24/民間住宅2!AC$5,0)</f>
        <v>32771</v>
      </c>
      <c r="M25" s="733">
        <f>ROUND(M$5*民間住宅2!AD24/民間住宅2!AD$5,0)</f>
        <v>26565</v>
      </c>
      <c r="N25" s="733">
        <f>ROUND(N$5*民間住宅2!AE24/民間住宅2!AE$5,0)</f>
        <v>25557</v>
      </c>
      <c r="O25" s="733">
        <f>ROUND(O$5*民間住宅2!AF24/民間住宅2!AF$5,0)</f>
        <v>22031</v>
      </c>
      <c r="P25" s="733">
        <f>ROUND(P$5*民間住宅2!AG24/民間住宅2!AG$5,0)</f>
        <v>24919</v>
      </c>
      <c r="Q25" s="733">
        <f>ROUND(Q$5*民間住宅2!AH24/民間住宅2!AH$5,0)</f>
        <v>19344</v>
      </c>
      <c r="R25" s="733">
        <f>ROUND(R$5*民間住宅2!AI24/民間住宅2!AI$5,0)</f>
        <v>27384</v>
      </c>
      <c r="S25" s="733">
        <f>ROUND(S$5*民間住宅2!AJ24/民間住宅2!AJ$5,0)</f>
        <v>38069</v>
      </c>
      <c r="T25" s="733">
        <f>ROUND(T$5*民間住宅2!AK24/民間住宅2!AK$5,0)</f>
        <v>25443</v>
      </c>
      <c r="U25" s="733">
        <f>ROUND(U$5*民間住宅2!AL24/民間住宅2!AL$5,0)</f>
        <v>27103</v>
      </c>
      <c r="V25" s="733">
        <f>ROUND(V$5*民間住宅2!AM24/民間住宅2!AM$5,0)</f>
        <v>30522</v>
      </c>
      <c r="W25" s="733">
        <f>ROUND(W$5*民間住宅2!AN24/民間住宅2!AN$5,0)</f>
        <v>27511</v>
      </c>
      <c r="X25" s="733">
        <f>ROUND(X$5*民間住宅2!AO24/民間住宅2!AO$5,0)</f>
        <v>28366</v>
      </c>
    </row>
    <row r="26" spans="1:25">
      <c r="A26" s="730">
        <v>217</v>
      </c>
      <c r="B26" s="730" t="s">
        <v>189</v>
      </c>
      <c r="C26" s="733">
        <f>ROUND(C$5*民間住宅2!T25/民間住宅2!T$5,0)</f>
        <v>17507</v>
      </c>
      <c r="D26" s="733">
        <f>ROUND(D$5*民間住宅2!U25/民間住宅2!U$5,0)</f>
        <v>25175</v>
      </c>
      <c r="E26" s="733">
        <f>ROUND(E$5*民間住宅2!V25/民間住宅2!V$5,0)</f>
        <v>22756</v>
      </c>
      <c r="F26" s="733">
        <f>ROUND(F$5*民間住宅2!W25/民間住宅2!W$5,0)</f>
        <v>15379</v>
      </c>
      <c r="G26" s="733">
        <f>ROUND(G$5*民間住宅2!X25/民間住宅2!X$5,0)</f>
        <v>19614</v>
      </c>
      <c r="H26" s="733">
        <f>ROUND(H$5*民間住宅2!Y25/民間住宅2!Y$5,0)</f>
        <v>17521</v>
      </c>
      <c r="I26" s="733">
        <f>ROUND(I$5*民間住宅2!Z25/民間住宅2!Z$5,0)</f>
        <v>22376</v>
      </c>
      <c r="J26" s="733">
        <f>ROUND(J$5*民間住宅2!AA25/民間住宅2!AA$5,0)</f>
        <v>15366</v>
      </c>
      <c r="K26" s="733">
        <f>ROUND(K$5*民間住宅2!AB25/民間住宅2!AB$5,0)</f>
        <v>20747</v>
      </c>
      <c r="L26" s="733">
        <f>ROUND(L$5*民間住宅2!AC25/民間住宅2!AC$5,0)</f>
        <v>15056</v>
      </c>
      <c r="M26" s="733">
        <f>ROUND(M$5*民間住宅2!AD25/民間住宅2!AD$5,0)</f>
        <v>15930</v>
      </c>
      <c r="N26" s="733">
        <f>ROUND(N$5*民間住宅2!AE25/民間住宅2!AE$5,0)</f>
        <v>16242</v>
      </c>
      <c r="O26" s="733">
        <f>ROUND(O$5*民間住宅2!AF25/民間住宅2!AF$5,0)</f>
        <v>14772</v>
      </c>
      <c r="P26" s="733">
        <f>ROUND(P$5*民間住宅2!AG25/民間住宅2!AG$5,0)</f>
        <v>23024</v>
      </c>
      <c r="Q26" s="733">
        <f>ROUND(Q$5*民間住宅2!AH25/民間住宅2!AH$5,0)</f>
        <v>21029</v>
      </c>
      <c r="R26" s="733">
        <f>ROUND(R$5*民間住宅2!AI25/民間住宅2!AI$5,0)</f>
        <v>17303</v>
      </c>
      <c r="S26" s="733">
        <f>ROUND(S$5*民間住宅2!AJ25/民間住宅2!AJ$5,0)</f>
        <v>21687</v>
      </c>
      <c r="T26" s="733">
        <f>ROUND(T$5*民間住宅2!AK25/民間住宅2!AK$5,0)</f>
        <v>18255</v>
      </c>
      <c r="U26" s="733">
        <f>ROUND(U$5*民間住宅2!AL25/民間住宅2!AL$5,0)</f>
        <v>23789</v>
      </c>
      <c r="V26" s="733">
        <f>ROUND(V$5*民間住宅2!AM25/民間住宅2!AM$5,0)</f>
        <v>21217</v>
      </c>
      <c r="W26" s="733">
        <f>ROUND(W$5*民間住宅2!AN25/民間住宅2!AN$5,0)</f>
        <v>20928</v>
      </c>
      <c r="X26" s="733">
        <f>ROUND(X$5*民間住宅2!AO25/民間住宅2!AO$5,0)</f>
        <v>21914</v>
      </c>
    </row>
    <row r="27" spans="1:25">
      <c r="A27" s="730">
        <v>219</v>
      </c>
      <c r="B27" s="730" t="s">
        <v>190</v>
      </c>
      <c r="C27" s="733">
        <f>ROUND(C$5*民間住宅2!T26/民間住宅2!T$5,0)</f>
        <v>16166</v>
      </c>
      <c r="D27" s="733">
        <f>ROUND(D$5*民間住宅2!U26/民間住宅2!U$5,0)</f>
        <v>14601</v>
      </c>
      <c r="E27" s="733">
        <f>ROUND(E$5*民間住宅2!V26/民間住宅2!V$5,0)</f>
        <v>14121</v>
      </c>
      <c r="F27" s="733">
        <f>ROUND(F$5*民間住宅2!W26/民間住宅2!W$5,0)</f>
        <v>9493</v>
      </c>
      <c r="G27" s="733">
        <f>ROUND(G$5*民間住宅2!X26/民間住宅2!X$5,0)</f>
        <v>9248</v>
      </c>
      <c r="H27" s="733">
        <f>ROUND(H$5*民間住宅2!Y26/民間住宅2!Y$5,0)</f>
        <v>9104</v>
      </c>
      <c r="I27" s="733">
        <f>ROUND(I$5*民間住宅2!Z26/民間住宅2!Z$5,0)</f>
        <v>13658</v>
      </c>
      <c r="J27" s="733">
        <f>ROUND(J$5*民間住宅2!AA26/民間住宅2!AA$5,0)</f>
        <v>12277</v>
      </c>
      <c r="K27" s="733">
        <f>ROUND(K$5*民間住宅2!AB26/民間住宅2!AB$5,0)</f>
        <v>14819</v>
      </c>
      <c r="L27" s="733">
        <f>ROUND(L$5*民間住宅2!AC26/民間住宅2!AC$5,0)</f>
        <v>14682</v>
      </c>
      <c r="M27" s="733">
        <f>ROUND(M$5*民間住宅2!AD26/民間住宅2!AD$5,0)</f>
        <v>14720</v>
      </c>
      <c r="N27" s="733">
        <f>ROUND(N$5*民間住宅2!AE26/民間住宅2!AE$5,0)</f>
        <v>10202</v>
      </c>
      <c r="O27" s="733">
        <f>ROUND(O$5*民間住宅2!AF26/民間住宅2!AF$5,0)</f>
        <v>8910</v>
      </c>
      <c r="P27" s="733">
        <f>ROUND(P$5*民間住宅2!AG26/民間住宅2!AG$5,0)</f>
        <v>6807</v>
      </c>
      <c r="Q27" s="733">
        <f>ROUND(Q$5*民間住宅2!AH26/民間住宅2!AH$5,0)</f>
        <v>6630</v>
      </c>
      <c r="R27" s="733">
        <f>ROUND(R$5*民間住宅2!AI26/民間住宅2!AI$5,0)</f>
        <v>8983</v>
      </c>
      <c r="S27" s="733">
        <f>ROUND(S$5*民間住宅2!AJ26/民間住宅2!AJ$5,0)</f>
        <v>9768</v>
      </c>
      <c r="T27" s="733">
        <f>ROUND(T$5*民間住宅2!AK26/民間住宅2!AK$5,0)</f>
        <v>14892</v>
      </c>
      <c r="U27" s="733">
        <f>ROUND(U$5*民間住宅2!AL26/民間住宅2!AL$5,0)</f>
        <v>21704</v>
      </c>
      <c r="V27" s="733">
        <f>ROUND(V$5*民間住宅2!AM26/民間住宅2!AM$5,0)</f>
        <v>15159</v>
      </c>
      <c r="W27" s="733">
        <f>ROUND(W$5*民間住宅2!AN26/民間住宅2!AN$5,0)</f>
        <v>17073</v>
      </c>
      <c r="X27" s="733">
        <f>ROUND(X$5*民間住宅2!AO26/民間住宅2!AO$5,0)</f>
        <v>17892</v>
      </c>
    </row>
    <row r="28" spans="1:25">
      <c r="A28" s="730">
        <v>301</v>
      </c>
      <c r="B28" s="730" t="s">
        <v>191</v>
      </c>
      <c r="C28" s="733">
        <f>ROUND(C$5*民間住宅2!T27/民間住宅2!T$5,0)</f>
        <v>6411</v>
      </c>
      <c r="D28" s="733">
        <f>ROUND(D$5*民間住宅2!U27/民間住宅2!U$5,0)</f>
        <v>5171</v>
      </c>
      <c r="E28" s="733">
        <f>ROUND(E$5*民間住宅2!V27/民間住宅2!V$5,0)</f>
        <v>3860</v>
      </c>
      <c r="F28" s="733">
        <f>ROUND(F$5*民間住宅2!W27/民間住宅2!W$5,0)</f>
        <v>1938</v>
      </c>
      <c r="G28" s="733">
        <f>ROUND(G$5*民間住宅2!X27/民間住宅2!X$5,0)</f>
        <v>1983</v>
      </c>
      <c r="H28" s="733">
        <f>ROUND(H$5*民間住宅2!Y27/民間住宅2!Y$5,0)</f>
        <v>2200</v>
      </c>
      <c r="I28" s="733">
        <f>ROUND(I$5*民間住宅2!Z27/民間住宅2!Z$5,0)</f>
        <v>1878</v>
      </c>
      <c r="J28" s="733">
        <f>ROUND(J$5*民間住宅2!AA27/民間住宅2!AA$5,0)</f>
        <v>2412</v>
      </c>
      <c r="K28" s="733">
        <f>ROUND(K$5*民間住宅2!AB27/民間住宅2!AB$5,0)</f>
        <v>2816</v>
      </c>
      <c r="L28" s="733">
        <f>ROUND(L$5*民間住宅2!AC27/民間住宅2!AC$5,0)</f>
        <v>2747</v>
      </c>
      <c r="M28" s="733">
        <f>ROUND(M$5*民間住宅2!AD27/民間住宅2!AD$5,0)</f>
        <v>3113</v>
      </c>
      <c r="N28" s="733">
        <f>ROUND(N$5*民間住宅2!AE27/民間住宅2!AE$5,0)</f>
        <v>2154</v>
      </c>
      <c r="O28" s="733">
        <f>ROUND(O$5*民間住宅2!AF27/民間住宅2!AF$5,0)</f>
        <v>1122</v>
      </c>
      <c r="P28" s="733">
        <f>ROUND(P$5*民間住宅2!AG27/民間住宅2!AG$5,0)</f>
        <v>799</v>
      </c>
      <c r="Q28" s="733">
        <f>ROUND(Q$5*民間住宅2!AH27/民間住宅2!AH$5,0)</f>
        <v>547</v>
      </c>
      <c r="R28" s="733">
        <f>ROUND(R$5*民間住宅2!AI27/民間住宅2!AI$5,0)</f>
        <v>817</v>
      </c>
      <c r="S28" s="733">
        <f>ROUND(S$5*民間住宅2!AJ27/民間住宅2!AJ$5,0)</f>
        <v>841</v>
      </c>
      <c r="T28" s="733">
        <f>ROUND(T$5*民間住宅2!AK27/民間住宅2!AK$5,0)</f>
        <v>1004</v>
      </c>
      <c r="U28" s="733">
        <f>ROUND(U$5*民間住宅2!AL27/民間住宅2!AL$5,0)</f>
        <v>775</v>
      </c>
      <c r="V28" s="733">
        <f>ROUND(V$5*民間住宅2!AM27/民間住宅2!AM$5,0)</f>
        <v>869</v>
      </c>
      <c r="W28" s="733">
        <f>ROUND(W$5*民間住宅2!AN27/民間住宅2!AN$5,0)</f>
        <v>865</v>
      </c>
      <c r="X28" s="733">
        <f>ROUND(X$5*民間住宅2!AO27/民間住宅2!AO$5,0)</f>
        <v>836</v>
      </c>
    </row>
    <row r="29" spans="1:25">
      <c r="A29" s="728">
        <v>3</v>
      </c>
      <c r="B29" s="728" t="s">
        <v>192</v>
      </c>
      <c r="C29" s="734">
        <f t="shared" ref="C29:L29" si="56">SUM(C30:C34)</f>
        <v>104801</v>
      </c>
      <c r="D29" s="734">
        <f t="shared" si="56"/>
        <v>117610</v>
      </c>
      <c r="E29" s="734">
        <f t="shared" si="56"/>
        <v>118699</v>
      </c>
      <c r="F29" s="734">
        <f t="shared" si="56"/>
        <v>104731</v>
      </c>
      <c r="G29" s="734">
        <f t="shared" si="56"/>
        <v>93870</v>
      </c>
      <c r="H29" s="734">
        <f t="shared" si="56"/>
        <v>94105</v>
      </c>
      <c r="I29" s="734">
        <f t="shared" si="56"/>
        <v>99751</v>
      </c>
      <c r="J29" s="734">
        <f t="shared" si="56"/>
        <v>95587</v>
      </c>
      <c r="K29" s="734">
        <f t="shared" si="56"/>
        <v>103564</v>
      </c>
      <c r="L29" s="734">
        <f t="shared" si="56"/>
        <v>95280</v>
      </c>
      <c r="M29" s="734">
        <f t="shared" ref="M29:R29" si="57">SUM(M30:M34)</f>
        <v>118667</v>
      </c>
      <c r="N29" s="734">
        <f t="shared" si="57"/>
        <v>95215</v>
      </c>
      <c r="O29" s="734">
        <f t="shared" si="57"/>
        <v>112334</v>
      </c>
      <c r="P29" s="734">
        <f t="shared" si="57"/>
        <v>110640</v>
      </c>
      <c r="Q29" s="734">
        <f t="shared" si="57"/>
        <v>100769</v>
      </c>
      <c r="R29" s="734">
        <f t="shared" si="57"/>
        <v>112444</v>
      </c>
      <c r="S29" s="734">
        <f t="shared" ref="S29:X29" si="58">SUM(S30:S34)</f>
        <v>107452</v>
      </c>
      <c r="T29" s="734">
        <f t="shared" si="58"/>
        <v>103022</v>
      </c>
      <c r="U29" s="734">
        <f t="shared" si="58"/>
        <v>120441</v>
      </c>
      <c r="V29" s="734">
        <f t="shared" si="58"/>
        <v>109947</v>
      </c>
      <c r="W29" s="734">
        <f t="shared" si="58"/>
        <v>110200</v>
      </c>
      <c r="X29" s="734">
        <f t="shared" si="58"/>
        <v>113280</v>
      </c>
    </row>
    <row r="30" spans="1:25">
      <c r="A30" s="730">
        <v>203</v>
      </c>
      <c r="B30" s="730" t="s">
        <v>193</v>
      </c>
      <c r="C30" s="733">
        <f>ROUND(C$5*民間住宅2!T29/民間住宅2!T$5,0)</f>
        <v>46035</v>
      </c>
      <c r="D30" s="733">
        <f>ROUND(D$5*民間住宅2!U29/民間住宅2!U$5,0)</f>
        <v>53423</v>
      </c>
      <c r="E30" s="733">
        <f>ROUND(E$5*民間住宅2!V29/民間住宅2!V$5,0)</f>
        <v>45655</v>
      </c>
      <c r="F30" s="733">
        <f>ROUND(F$5*民間住宅2!W29/民間住宅2!W$5,0)</f>
        <v>35856</v>
      </c>
      <c r="G30" s="733">
        <f>ROUND(G$5*民間住宅2!X29/民間住宅2!X$5,0)</f>
        <v>37913</v>
      </c>
      <c r="H30" s="733">
        <f>ROUND(H$5*民間住宅2!Y29/民間住宅2!Y$5,0)</f>
        <v>43863</v>
      </c>
      <c r="I30" s="733">
        <f>ROUND(I$5*民間住宅2!Z29/民間住宅2!Z$5,0)</f>
        <v>44833</v>
      </c>
      <c r="J30" s="733">
        <f>ROUND(J$5*民間住宅2!AA29/民間住宅2!AA$5,0)</f>
        <v>43329</v>
      </c>
      <c r="K30" s="733">
        <f>ROUND(K$5*民間住宅2!AB29/民間住宅2!AB$5,0)</f>
        <v>46786</v>
      </c>
      <c r="L30" s="733">
        <f>ROUND(L$5*民間住宅2!AC29/民間住宅2!AC$5,0)</f>
        <v>44332</v>
      </c>
      <c r="M30" s="733">
        <f>ROUND(M$5*民間住宅2!AD29/民間住宅2!AD$5,0)</f>
        <v>55205</v>
      </c>
      <c r="N30" s="733">
        <f>ROUND(N$5*民間住宅2!AE29/民間住宅2!AE$5,0)</f>
        <v>46847</v>
      </c>
      <c r="O30" s="733">
        <f>ROUND(O$5*民間住宅2!AF29/民間住宅2!AF$5,0)</f>
        <v>50008</v>
      </c>
      <c r="P30" s="733">
        <f>ROUND(P$5*民間住宅2!AG29/民間住宅2!AG$5,0)</f>
        <v>49313</v>
      </c>
      <c r="Q30" s="733">
        <f>ROUND(Q$5*民間住宅2!AH29/民間住宅2!AH$5,0)</f>
        <v>51665</v>
      </c>
      <c r="R30" s="733">
        <f>ROUND(R$5*民間住宅2!AI29/民間住宅2!AI$5,0)</f>
        <v>50939</v>
      </c>
      <c r="S30" s="733">
        <f>ROUND(S$5*民間住宅2!AJ29/民間住宅2!AJ$5,0)</f>
        <v>48842</v>
      </c>
      <c r="T30" s="733">
        <f>ROUND(T$5*民間住宅2!AK29/民間住宅2!AK$5,0)</f>
        <v>51456</v>
      </c>
      <c r="U30" s="733">
        <f>ROUND(U$5*民間住宅2!AL29/民間住宅2!AL$5,0)</f>
        <v>63829</v>
      </c>
      <c r="V30" s="733">
        <f>ROUND(V$5*民間住宅2!AM29/民間住宅2!AM$5,0)</f>
        <v>54321</v>
      </c>
      <c r="W30" s="733">
        <f>ROUND(W$5*民間住宅2!AN29/民間住宅2!AN$5,0)</f>
        <v>56044</v>
      </c>
      <c r="X30" s="733">
        <f>ROUND(X$5*民間住宅2!AO29/民間住宅2!AO$5,0)</f>
        <v>57907</v>
      </c>
    </row>
    <row r="31" spans="1:25">
      <c r="A31" s="730">
        <v>210</v>
      </c>
      <c r="B31" s="730" t="s">
        <v>194</v>
      </c>
      <c r="C31" s="733">
        <f>ROUND(C$5*民間住宅2!T30/民間住宅2!T$5,0)</f>
        <v>39477</v>
      </c>
      <c r="D31" s="733">
        <f>ROUND(D$5*民間住宅2!U30/民間住宅2!U$5,0)</f>
        <v>43272</v>
      </c>
      <c r="E31" s="733">
        <f>ROUND(E$5*民間住宅2!V30/民間住宅2!V$5,0)</f>
        <v>48987</v>
      </c>
      <c r="F31" s="733">
        <f>ROUND(F$5*民間住宅2!W30/民間住宅2!W$5,0)</f>
        <v>48148</v>
      </c>
      <c r="G31" s="733">
        <f>ROUND(G$5*民間住宅2!X30/民間住宅2!X$5,0)</f>
        <v>36735</v>
      </c>
      <c r="H31" s="733">
        <f>ROUND(H$5*民間住宅2!Y30/民間住宅2!Y$5,0)</f>
        <v>32499</v>
      </c>
      <c r="I31" s="733">
        <f>ROUND(I$5*民間住宅2!Z30/民間住宅2!Z$5,0)</f>
        <v>35074</v>
      </c>
      <c r="J31" s="733">
        <f>ROUND(J$5*民間住宅2!AA30/民間住宅2!AA$5,0)</f>
        <v>31391</v>
      </c>
      <c r="K31" s="733">
        <f>ROUND(K$5*民間住宅2!AB30/民間住宅2!AB$5,0)</f>
        <v>37217</v>
      </c>
      <c r="L31" s="733">
        <f>ROUND(L$5*民間住宅2!AC30/民間住宅2!AC$5,0)</f>
        <v>30617</v>
      </c>
      <c r="M31" s="733">
        <f>ROUND(M$5*民間住宅2!AD30/民間住宅2!AD$5,0)</f>
        <v>40334</v>
      </c>
      <c r="N31" s="733">
        <f>ROUND(N$5*民間住宅2!AE30/民間住宅2!AE$5,0)</f>
        <v>31260</v>
      </c>
      <c r="O31" s="733">
        <f>ROUND(O$5*民間住宅2!AF30/民間住宅2!AF$5,0)</f>
        <v>43638</v>
      </c>
      <c r="P31" s="733">
        <f>ROUND(P$5*民間住宅2!AG30/民間住宅2!AG$5,0)</f>
        <v>40177</v>
      </c>
      <c r="Q31" s="733">
        <f>ROUND(Q$5*民間住宅2!AH30/民間住宅2!AH$5,0)</f>
        <v>29541</v>
      </c>
      <c r="R31" s="733">
        <f>ROUND(R$5*民間住宅2!AI30/民間住宅2!AI$5,0)</f>
        <v>38613</v>
      </c>
      <c r="S31" s="733">
        <f>ROUND(S$5*民間住宅2!AJ30/民間住宅2!AJ$5,0)</f>
        <v>38022</v>
      </c>
      <c r="T31" s="733">
        <f>ROUND(T$5*民間住宅2!AK30/民間住宅2!AK$5,0)</f>
        <v>33798</v>
      </c>
      <c r="U31" s="733">
        <f>ROUND(U$5*民間住宅2!AL30/民間住宅2!AL$5,0)</f>
        <v>32743</v>
      </c>
      <c r="V31" s="733">
        <f>ROUND(V$5*民間住宅2!AM30/民間住宅2!AM$5,0)</f>
        <v>34919</v>
      </c>
      <c r="W31" s="733">
        <f>ROUND(W$5*民間住宅2!AN30/民間住宅2!AN$5,0)</f>
        <v>33543</v>
      </c>
      <c r="X31" s="733">
        <f>ROUND(X$5*民間住宅2!AO30/民間住宅2!AO$5,0)</f>
        <v>33694</v>
      </c>
    </row>
    <row r="32" spans="1:25">
      <c r="A32" s="730">
        <v>216</v>
      </c>
      <c r="B32" s="730" t="s">
        <v>195</v>
      </c>
      <c r="C32" s="733">
        <f>ROUND(C$5*民間住宅2!T31/民間住宅2!T$5,0)</f>
        <v>11426</v>
      </c>
      <c r="D32" s="733">
        <f>ROUND(D$5*民間住宅2!U31/民間住宅2!U$5,0)</f>
        <v>13541</v>
      </c>
      <c r="E32" s="733">
        <f>ROUND(E$5*民間住宅2!V31/民間住宅2!V$5,0)</f>
        <v>16295</v>
      </c>
      <c r="F32" s="733">
        <f>ROUND(F$5*民間住宅2!W31/民間住宅2!W$5,0)</f>
        <v>13136</v>
      </c>
      <c r="G32" s="733">
        <f>ROUND(G$5*民間住宅2!X31/民間住宅2!X$5,0)</f>
        <v>8796</v>
      </c>
      <c r="H32" s="733">
        <f>ROUND(H$5*民間住宅2!Y31/民間住宅2!Y$5,0)</f>
        <v>9063</v>
      </c>
      <c r="I32" s="733">
        <f>ROUND(I$5*民間住宅2!Z31/民間住宅2!Z$5,0)</f>
        <v>12229</v>
      </c>
      <c r="J32" s="733">
        <f>ROUND(J$5*民間住宅2!AA31/民間住宅2!AA$5,0)</f>
        <v>12795</v>
      </c>
      <c r="K32" s="733">
        <f>ROUND(K$5*民間住宅2!AB31/民間住宅2!AB$5,0)</f>
        <v>12152</v>
      </c>
      <c r="L32" s="733">
        <f>ROUND(L$5*民間住宅2!AC31/民間住宅2!AC$5,0)</f>
        <v>12484</v>
      </c>
      <c r="M32" s="733">
        <f>ROUND(M$5*民間住宅2!AD31/民間住宅2!AD$5,0)</f>
        <v>13920</v>
      </c>
      <c r="N32" s="733">
        <f>ROUND(N$5*民間住宅2!AE31/民間住宅2!AE$5,0)</f>
        <v>9695</v>
      </c>
      <c r="O32" s="733">
        <f>ROUND(O$5*民間住宅2!AF31/民間住宅2!AF$5,0)</f>
        <v>10878</v>
      </c>
      <c r="P32" s="733">
        <f>ROUND(P$5*民間住宅2!AG31/民間住宅2!AG$5,0)</f>
        <v>11580</v>
      </c>
      <c r="Q32" s="733">
        <f>ROUND(Q$5*民間住宅2!AH31/民間住宅2!AH$5,0)</f>
        <v>8950</v>
      </c>
      <c r="R32" s="733">
        <f>ROUND(R$5*民間住宅2!AI31/民間住宅2!AI$5,0)</f>
        <v>10897</v>
      </c>
      <c r="S32" s="733">
        <f>ROUND(S$5*民間住宅2!AJ31/民間住宅2!AJ$5,0)</f>
        <v>10025</v>
      </c>
      <c r="T32" s="733">
        <f>ROUND(T$5*民間住宅2!AK31/民間住宅2!AK$5,0)</f>
        <v>9223</v>
      </c>
      <c r="U32" s="733">
        <f>ROUND(U$5*民間住宅2!AL31/民間住宅2!AL$5,0)</f>
        <v>11413</v>
      </c>
      <c r="V32" s="733">
        <f>ROUND(V$5*民間住宅2!AM31/民間住宅2!AM$5,0)</f>
        <v>10200</v>
      </c>
      <c r="W32" s="733">
        <f>ROUND(W$5*民間住宅2!AN31/民間住宅2!AN$5,0)</f>
        <v>10202</v>
      </c>
      <c r="X32" s="733">
        <f>ROUND(X$5*民間住宅2!AO31/民間住宅2!AO$5,0)</f>
        <v>10578</v>
      </c>
    </row>
    <row r="33" spans="1:24">
      <c r="A33" s="730">
        <v>381</v>
      </c>
      <c r="B33" s="730" t="s">
        <v>196</v>
      </c>
      <c r="C33" s="733">
        <f>ROUND(C$5*民間住宅2!T32/民間住宅2!T$5,0)</f>
        <v>3362</v>
      </c>
      <c r="D33" s="733">
        <f>ROUND(D$5*民間住宅2!U32/民間住宅2!U$5,0)</f>
        <v>3136</v>
      </c>
      <c r="E33" s="733">
        <f>ROUND(E$5*民間住宅2!V32/民間住宅2!V$5,0)</f>
        <v>2154</v>
      </c>
      <c r="F33" s="733">
        <f>ROUND(F$5*民間住宅2!W32/民間住宅2!W$5,0)</f>
        <v>3822</v>
      </c>
      <c r="G33" s="733">
        <f>ROUND(G$5*民間住宅2!X32/民間住宅2!X$5,0)</f>
        <v>4025</v>
      </c>
      <c r="H33" s="733">
        <f>ROUND(H$5*民間住宅2!Y32/民間住宅2!Y$5,0)</f>
        <v>3351</v>
      </c>
      <c r="I33" s="733">
        <f>ROUND(I$5*民間住宅2!Z32/民間住宅2!Z$5,0)</f>
        <v>3695</v>
      </c>
      <c r="J33" s="733">
        <f>ROUND(J$5*民間住宅2!AA32/民間住宅2!AA$5,0)</f>
        <v>3827</v>
      </c>
      <c r="K33" s="733">
        <f>ROUND(K$5*民間住宅2!AB32/民間住宅2!AB$5,0)</f>
        <v>2900</v>
      </c>
      <c r="L33" s="733">
        <f>ROUND(L$5*民間住宅2!AC32/民間住宅2!AC$5,0)</f>
        <v>2616</v>
      </c>
      <c r="M33" s="733">
        <f>ROUND(M$5*民間住宅2!AD32/民間住宅2!AD$5,0)</f>
        <v>3091</v>
      </c>
      <c r="N33" s="733">
        <f>ROUND(N$5*民間住宅2!AE32/民間住宅2!AE$5,0)</f>
        <v>3020</v>
      </c>
      <c r="O33" s="733">
        <f>ROUND(O$5*民間住宅2!AF32/民間住宅2!AF$5,0)</f>
        <v>3577</v>
      </c>
      <c r="P33" s="733">
        <f>ROUND(P$5*民間住宅2!AG32/民間住宅2!AG$5,0)</f>
        <v>3609</v>
      </c>
      <c r="Q33" s="733">
        <f>ROUND(Q$5*民間住宅2!AH32/民間住宅2!AH$5,0)</f>
        <v>3479</v>
      </c>
      <c r="R33" s="733">
        <f>ROUND(R$5*民間住宅2!AI32/民間住宅2!AI$5,0)</f>
        <v>4390</v>
      </c>
      <c r="S33" s="733">
        <f>ROUND(S$5*民間住宅2!AJ32/民間住宅2!AJ$5,0)</f>
        <v>4557</v>
      </c>
      <c r="T33" s="733">
        <f>ROUND(T$5*民間住宅2!AK32/民間住宅2!AK$5,0)</f>
        <v>3825</v>
      </c>
      <c r="U33" s="733">
        <f>ROUND(U$5*民間住宅2!AL32/民間住宅2!AL$5,0)</f>
        <v>4063</v>
      </c>
      <c r="V33" s="733">
        <f>ROUND(V$5*民間住宅2!AM32/民間住宅2!AM$5,0)</f>
        <v>4167</v>
      </c>
      <c r="W33" s="733">
        <f>ROUND(W$5*民間住宅2!AN32/民間住宅2!AN$5,0)</f>
        <v>3986</v>
      </c>
      <c r="X33" s="733">
        <f>ROUND(X$5*民間住宅2!AO32/民間住宅2!AO$5,0)</f>
        <v>4075</v>
      </c>
    </row>
    <row r="34" spans="1:24">
      <c r="A34" s="731">
        <v>382</v>
      </c>
      <c r="B34" s="731" t="s">
        <v>197</v>
      </c>
      <c r="C34" s="735">
        <f>ROUND(C$5*民間住宅2!T33/民間住宅2!T$5,0)</f>
        <v>4501</v>
      </c>
      <c r="D34" s="735">
        <f>ROUND(D$5*民間住宅2!U33/民間住宅2!U$5,0)</f>
        <v>4238</v>
      </c>
      <c r="E34" s="735">
        <f>ROUND(E$5*民間住宅2!V33/民間住宅2!V$5,0)</f>
        <v>5608</v>
      </c>
      <c r="F34" s="735">
        <f>ROUND(F$5*民間住宅2!W33/民間住宅2!W$5,0)</f>
        <v>3769</v>
      </c>
      <c r="G34" s="735">
        <f>ROUND(G$5*民間住宅2!X33/民間住宅2!X$5,0)</f>
        <v>6401</v>
      </c>
      <c r="H34" s="735">
        <f>ROUND(H$5*民間住宅2!Y33/民間住宅2!Y$5,0)</f>
        <v>5329</v>
      </c>
      <c r="I34" s="735">
        <f>ROUND(I$5*民間住宅2!Z33/民間住宅2!Z$5,0)</f>
        <v>3920</v>
      </c>
      <c r="J34" s="735">
        <f>ROUND(J$5*民間住宅2!AA33/民間住宅2!AA$5,0)</f>
        <v>4245</v>
      </c>
      <c r="K34" s="735">
        <f>ROUND(K$5*民間住宅2!AB33/民間住宅2!AB$5,0)</f>
        <v>4509</v>
      </c>
      <c r="L34" s="735">
        <f>ROUND(L$5*民間住宅2!AC33/民間住宅2!AC$5,0)</f>
        <v>5231</v>
      </c>
      <c r="M34" s="735">
        <f>ROUND(M$5*民間住宅2!AD33/民間住宅2!AD$5,0)</f>
        <v>6117</v>
      </c>
      <c r="N34" s="735">
        <f>ROUND(N$5*民間住宅2!AE33/民間住宅2!AE$5,0)</f>
        <v>4393</v>
      </c>
      <c r="O34" s="735">
        <f>ROUND(O$5*民間住宅2!AF33/民間住宅2!AF$5,0)</f>
        <v>4233</v>
      </c>
      <c r="P34" s="735">
        <f>ROUND(P$5*民間住宅2!AG33/民間住宅2!AG$5,0)</f>
        <v>5961</v>
      </c>
      <c r="Q34" s="735">
        <f>ROUND(Q$5*民間住宅2!AH33/民間住宅2!AH$5,0)</f>
        <v>7134</v>
      </c>
      <c r="R34" s="735">
        <f>ROUND(R$5*民間住宅2!AI33/民間住宅2!AI$5,0)</f>
        <v>7605</v>
      </c>
      <c r="S34" s="735">
        <f>ROUND(S$5*民間住宅2!AJ33/民間住宅2!AJ$5,0)</f>
        <v>6006</v>
      </c>
      <c r="T34" s="735">
        <f>ROUND(T$5*民間住宅2!AK33/民間住宅2!AK$5,0)</f>
        <v>4720</v>
      </c>
      <c r="U34" s="735">
        <f>ROUND(U$5*民間住宅2!AL33/民間住宅2!AL$5,0)</f>
        <v>8393</v>
      </c>
      <c r="V34" s="735">
        <f>ROUND(V$5*民間住宅2!AM33/民間住宅2!AM$5,0)</f>
        <v>6340</v>
      </c>
      <c r="W34" s="735">
        <f>ROUND(W$5*民間住宅2!AN33/民間住宅2!AN$5,0)</f>
        <v>6425</v>
      </c>
      <c r="X34" s="735">
        <f>ROUND(X$5*民間住宅2!AO33/民間住宅2!AO$5,0)</f>
        <v>7026</v>
      </c>
    </row>
    <row r="35" spans="1:24">
      <c r="A35" s="730">
        <v>4</v>
      </c>
      <c r="B35" s="730" t="s">
        <v>325</v>
      </c>
      <c r="C35" s="733">
        <f t="shared" ref="C35:L35" si="59">SUM(C36:C41)</f>
        <v>36907</v>
      </c>
      <c r="D35" s="733">
        <f t="shared" si="59"/>
        <v>42022</v>
      </c>
      <c r="E35" s="733">
        <f t="shared" si="59"/>
        <v>33687</v>
      </c>
      <c r="F35" s="733">
        <f t="shared" si="59"/>
        <v>29718</v>
      </c>
      <c r="G35" s="733">
        <f t="shared" si="59"/>
        <v>24935</v>
      </c>
      <c r="H35" s="733">
        <f t="shared" si="59"/>
        <v>24849</v>
      </c>
      <c r="I35" s="733">
        <f t="shared" si="59"/>
        <v>27623</v>
      </c>
      <c r="J35" s="733">
        <f t="shared" si="59"/>
        <v>31350</v>
      </c>
      <c r="K35" s="733">
        <f t="shared" si="59"/>
        <v>23224</v>
      </c>
      <c r="L35" s="733">
        <f t="shared" si="59"/>
        <v>31211</v>
      </c>
      <c r="M35" s="733">
        <f t="shared" ref="M35:R35" si="60">SUM(M36:M41)</f>
        <v>35557</v>
      </c>
      <c r="N35" s="733">
        <f t="shared" si="60"/>
        <v>34576</v>
      </c>
      <c r="O35" s="733">
        <f t="shared" si="60"/>
        <v>30116</v>
      </c>
      <c r="P35" s="733">
        <f t="shared" si="60"/>
        <v>31612</v>
      </c>
      <c r="Q35" s="733">
        <f t="shared" si="60"/>
        <v>23589</v>
      </c>
      <c r="R35" s="733">
        <f t="shared" si="60"/>
        <v>29962</v>
      </c>
      <c r="S35" s="733">
        <f t="shared" ref="S35:X35" si="61">SUM(S36:S41)</f>
        <v>25963</v>
      </c>
      <c r="T35" s="733">
        <f t="shared" si="61"/>
        <v>28563</v>
      </c>
      <c r="U35" s="733">
        <f t="shared" si="61"/>
        <v>24430</v>
      </c>
      <c r="V35" s="733">
        <f t="shared" si="61"/>
        <v>26203</v>
      </c>
      <c r="W35" s="733">
        <f t="shared" si="61"/>
        <v>26173</v>
      </c>
      <c r="X35" s="733">
        <f t="shared" si="61"/>
        <v>25570</v>
      </c>
    </row>
    <row r="36" spans="1:24">
      <c r="A36" s="730">
        <v>213</v>
      </c>
      <c r="B36" s="730" t="s">
        <v>199</v>
      </c>
      <c r="C36" s="733">
        <f>ROUND(C$5*民間住宅2!T35/民間住宅2!T$5,0)</f>
        <v>8469</v>
      </c>
      <c r="D36" s="733">
        <f>ROUND(D$5*民間住宅2!U35/民間住宅2!U$5,0)</f>
        <v>7438</v>
      </c>
      <c r="E36" s="733">
        <f>ROUND(E$5*民間住宅2!V35/民間住宅2!V$5,0)</f>
        <v>6197</v>
      </c>
      <c r="F36" s="733">
        <f>ROUND(F$5*民間住宅2!W35/民間住宅2!W$5,0)</f>
        <v>4307</v>
      </c>
      <c r="G36" s="733">
        <f>ROUND(G$5*民間住宅2!X35/民間住宅2!X$5,0)</f>
        <v>2651</v>
      </c>
      <c r="H36" s="733">
        <f>ROUND(H$5*民間住宅2!Y35/民間住宅2!Y$5,0)</f>
        <v>3896</v>
      </c>
      <c r="I36" s="733">
        <f>ROUND(I$5*民間住宅2!Z35/民間住宅2!Z$5,0)</f>
        <v>5778</v>
      </c>
      <c r="J36" s="733">
        <f>ROUND(J$5*民間住宅2!AA35/民間住宅2!AA$5,0)</f>
        <v>3448</v>
      </c>
      <c r="K36" s="733">
        <f>ROUND(K$5*民間住宅2!AB35/民間住宅2!AB$5,0)</f>
        <v>2202</v>
      </c>
      <c r="L36" s="733">
        <f>ROUND(L$5*民間住宅2!AC35/民間住宅2!AC$5,0)</f>
        <v>2594</v>
      </c>
      <c r="M36" s="733">
        <f>ROUND(M$5*民間住宅2!AD35/民間住宅2!AD$5,0)</f>
        <v>3026</v>
      </c>
      <c r="N36" s="733">
        <f>ROUND(N$5*民間住宅2!AE35/民間住宅2!AE$5,0)</f>
        <v>3401</v>
      </c>
      <c r="O36" s="733">
        <f>ROUND(O$5*民間住宅2!AF35/民間住宅2!AF$5,0)</f>
        <v>4402</v>
      </c>
      <c r="P36" s="733">
        <f>ROUND(P$5*民間住宅2!AG35/民間住宅2!AG$5,0)</f>
        <v>3563</v>
      </c>
      <c r="Q36" s="733">
        <f>ROUND(Q$5*民間住宅2!AH35/民間住宅2!AH$5,0)</f>
        <v>2823</v>
      </c>
      <c r="R36" s="733">
        <f>ROUND(R$5*民間住宅2!AI35/民間住宅2!AI$5,0)</f>
        <v>3675</v>
      </c>
      <c r="S36" s="733">
        <f>ROUND(S$5*民間住宅2!AJ35/民間住宅2!AJ$5,0)</f>
        <v>4627</v>
      </c>
      <c r="T36" s="733">
        <f>ROUND(T$5*民間住宅2!AK35/民間住宅2!AK$5,0)</f>
        <v>4042</v>
      </c>
      <c r="U36" s="733">
        <f>ROUND(U$5*民間住宅2!AL35/民間住宅2!AL$5,0)</f>
        <v>2218</v>
      </c>
      <c r="V36" s="733">
        <f>ROUND(V$5*民間住宅2!AM35/民間住宅2!AM$5,0)</f>
        <v>3656</v>
      </c>
      <c r="W36" s="733">
        <f>ROUND(W$5*民間住宅2!AN35/民間住宅2!AN$5,0)</f>
        <v>3278</v>
      </c>
      <c r="X36" s="733">
        <f>ROUND(X$5*民間住宅2!AO35/民間住宅2!AO$5,0)</f>
        <v>3056</v>
      </c>
    </row>
    <row r="37" spans="1:24">
      <c r="A37" s="730">
        <v>215</v>
      </c>
      <c r="B37" s="730" t="s">
        <v>329</v>
      </c>
      <c r="C37" s="733">
        <f>ROUND(C$5*民間住宅2!T36/民間住宅2!T$5,0)</f>
        <v>9681</v>
      </c>
      <c r="D37" s="733">
        <f>ROUND(D$5*民間住宅2!U36/民間住宅2!U$5,0)</f>
        <v>12037</v>
      </c>
      <c r="E37" s="733">
        <f>ROUND(E$5*民間住宅2!V36/民間住宅2!V$5,0)</f>
        <v>9387</v>
      </c>
      <c r="F37" s="733">
        <f>ROUND(F$5*民間住宅2!W36/民間住宅2!W$5,0)</f>
        <v>8596</v>
      </c>
      <c r="G37" s="733">
        <f>ROUND(G$5*民間住宅2!X36/民間住宅2!X$5,0)</f>
        <v>7441</v>
      </c>
      <c r="H37" s="733">
        <f>ROUND(H$5*民間住宅2!Y36/民間住宅2!Y$5,0)</f>
        <v>5228</v>
      </c>
      <c r="I37" s="733">
        <f>ROUND(I$5*民間住宅2!Z36/民間住宅2!Z$5,0)</f>
        <v>7452</v>
      </c>
      <c r="J37" s="733">
        <f>ROUND(J$5*民間住宅2!AA36/民間住宅2!AA$5,0)</f>
        <v>9626</v>
      </c>
      <c r="K37" s="733">
        <f>ROUND(K$5*民間住宅2!AB36/民間住宅2!AB$5,0)</f>
        <v>6499</v>
      </c>
      <c r="L37" s="733">
        <f>ROUND(L$5*民間住宅2!AC36/民間住宅2!AC$5,0)</f>
        <v>9693</v>
      </c>
      <c r="M37" s="733">
        <f>ROUND(M$5*民間住宅2!AD36/民間住宅2!AD$5,0)</f>
        <v>12494</v>
      </c>
      <c r="N37" s="733">
        <f>ROUND(N$5*民間住宅2!AE36/民間住宅2!AE$5,0)</f>
        <v>10265</v>
      </c>
      <c r="O37" s="733">
        <f>ROUND(O$5*民間住宅2!AF36/民間住宅2!AF$5,0)</f>
        <v>7407</v>
      </c>
      <c r="P37" s="733">
        <f>ROUND(P$5*民間住宅2!AG36/民間住宅2!AG$5,0)</f>
        <v>8520</v>
      </c>
      <c r="Q37" s="733">
        <f>ROUND(Q$5*民間住宅2!AH36/民間住宅2!AH$5,0)</f>
        <v>6805</v>
      </c>
      <c r="R37" s="733">
        <f>ROUND(R$5*民間住宅2!AI36/民間住宅2!AI$5,0)</f>
        <v>6942</v>
      </c>
      <c r="S37" s="733">
        <f>ROUND(S$5*民間住宅2!AJ36/民間住宅2!AJ$5,0)</f>
        <v>6263</v>
      </c>
      <c r="T37" s="733">
        <f>ROUND(T$5*民間住宅2!AK36/民間住宅2!AK$5,0)</f>
        <v>6917</v>
      </c>
      <c r="U37" s="733">
        <f>ROUND(U$5*民間住宅2!AL36/民間住宅2!AL$5,0)</f>
        <v>7350</v>
      </c>
      <c r="V37" s="733">
        <f>ROUND(V$5*民間住宅2!AM36/民間住宅2!AM$5,0)</f>
        <v>6800</v>
      </c>
      <c r="W37" s="733">
        <f>ROUND(W$5*民間住宅2!AN36/民間住宅2!AN$5,0)</f>
        <v>6950</v>
      </c>
      <c r="X37" s="733">
        <f>ROUND(X$5*民間住宅2!AO36/民間住宅2!AO$5,0)</f>
        <v>7026</v>
      </c>
    </row>
    <row r="38" spans="1:24">
      <c r="A38" s="730">
        <v>218</v>
      </c>
      <c r="B38" s="730" t="s">
        <v>200</v>
      </c>
      <c r="C38" s="733">
        <f>ROUND(C$5*民間住宅2!T37/民間住宅2!T$5,0)</f>
        <v>6485</v>
      </c>
      <c r="D38" s="733">
        <f>ROUND(D$5*民間住宅2!U37/民間住宅2!U$5,0)</f>
        <v>5743</v>
      </c>
      <c r="E38" s="733">
        <f>ROUND(E$5*民間住宅2!V37/民間住宅2!V$5,0)</f>
        <v>6217</v>
      </c>
      <c r="F38" s="733">
        <f>ROUND(F$5*民間住宅2!W37/民間住宅2!W$5,0)</f>
        <v>5061</v>
      </c>
      <c r="G38" s="733">
        <f>ROUND(G$5*民間住宅2!X37/民間住宅2!X$5,0)</f>
        <v>5007</v>
      </c>
      <c r="H38" s="733">
        <f>ROUND(H$5*民間住宅2!Y37/民間住宅2!Y$5,0)</f>
        <v>4400</v>
      </c>
      <c r="I38" s="733">
        <f>ROUND(I$5*民間住宅2!Z37/民間住宅2!Z$5,0)</f>
        <v>4900</v>
      </c>
      <c r="J38" s="733">
        <f>ROUND(J$5*民間住宅2!AA37/民間住宅2!AA$5,0)</f>
        <v>5541</v>
      </c>
      <c r="K38" s="733">
        <f>ROUND(K$5*民間住宅2!AB37/民間住宅2!AB$5,0)</f>
        <v>4530</v>
      </c>
      <c r="L38" s="733">
        <f>ROUND(L$5*民間住宅2!AC37/民間住宅2!AC$5,0)</f>
        <v>4066</v>
      </c>
      <c r="M38" s="733">
        <f>ROUND(M$5*民間住宅2!AD37/民間住宅2!AD$5,0)</f>
        <v>5382</v>
      </c>
      <c r="N38" s="733">
        <f>ROUND(N$5*民間住宅2!AE37/民間住宅2!AE$5,0)</f>
        <v>6695</v>
      </c>
      <c r="O38" s="733">
        <f>ROUND(O$5*民間住宅2!AF37/民間住宅2!AF$5,0)</f>
        <v>6730</v>
      </c>
      <c r="P38" s="733">
        <f>ROUND(P$5*民間住宅2!AG37/民間住宅2!AG$5,0)</f>
        <v>4774</v>
      </c>
      <c r="Q38" s="733">
        <f>ROUND(Q$5*民間住宅2!AH37/民間住宅2!AH$5,0)</f>
        <v>5121</v>
      </c>
      <c r="R38" s="733">
        <f>ROUND(R$5*民間住宅2!AI37/民間住宅2!AI$5,0)</f>
        <v>5053</v>
      </c>
      <c r="S38" s="733">
        <f>ROUND(S$5*民間住宅2!AJ37/民間住宅2!AJ$5,0)</f>
        <v>5048</v>
      </c>
      <c r="T38" s="733">
        <f>ROUND(T$5*民間住宅2!AK37/民間住宅2!AK$5,0)</f>
        <v>7595</v>
      </c>
      <c r="U38" s="733">
        <f>ROUND(U$5*民間住宅2!AL37/民間住宅2!AL$5,0)</f>
        <v>6950</v>
      </c>
      <c r="V38" s="733">
        <f>ROUND(V$5*民間住宅2!AM37/民間住宅2!AM$5,0)</f>
        <v>6442</v>
      </c>
      <c r="W38" s="733">
        <f>ROUND(W$5*民間住宅2!AN37/民間住宅2!AN$5,0)</f>
        <v>6924</v>
      </c>
      <c r="X38" s="733">
        <f>ROUND(X$5*民間住宅2!AO37/民間住宅2!AO$5,0)</f>
        <v>6765</v>
      </c>
    </row>
    <row r="39" spans="1:24">
      <c r="A39" s="730">
        <v>220</v>
      </c>
      <c r="B39" s="730" t="s">
        <v>201</v>
      </c>
      <c r="C39" s="733">
        <f>ROUND(C$5*民間住宅2!T38/民間住宅2!T$5,0)</f>
        <v>4648</v>
      </c>
      <c r="D39" s="733">
        <f>ROUND(D$5*民間住宅2!U38/民間住宅2!U$5,0)</f>
        <v>5128</v>
      </c>
      <c r="E39" s="733">
        <f>ROUND(E$5*民間住宅2!V38/民間住宅2!V$5,0)</f>
        <v>2966</v>
      </c>
      <c r="F39" s="733">
        <f>ROUND(F$5*民間住宅2!W38/民間住宅2!W$5,0)</f>
        <v>5186</v>
      </c>
      <c r="G39" s="733">
        <f>ROUND(G$5*民間住宅2!X38/民間住宅2!X$5,0)</f>
        <v>4319</v>
      </c>
      <c r="H39" s="733">
        <f>ROUND(H$5*民間住宅2!Y38/民間住宅2!Y$5,0)</f>
        <v>4784</v>
      </c>
      <c r="I39" s="733">
        <f>ROUND(I$5*民間住宅2!Z38/民間住宅2!Z$5,0)</f>
        <v>3471</v>
      </c>
      <c r="J39" s="733">
        <f>ROUND(J$5*民間住宅2!AA38/民間住宅2!AA$5,0)</f>
        <v>5620</v>
      </c>
      <c r="K39" s="733">
        <f>ROUND(K$5*民間住宅2!AB38/民間住宅2!AB$5,0)</f>
        <v>3599</v>
      </c>
      <c r="L39" s="733">
        <f>ROUND(L$5*民間住宅2!AC38/民間住宅2!AC$5,0)</f>
        <v>6550</v>
      </c>
      <c r="M39" s="733">
        <f>ROUND(M$5*民間住宅2!AD38/民間住宅2!AD$5,0)</f>
        <v>6139</v>
      </c>
      <c r="N39" s="733">
        <f>ROUND(N$5*民間住宅2!AE38/民間住宅2!AE$5,0)</f>
        <v>5935</v>
      </c>
      <c r="O39" s="733">
        <f>ROUND(O$5*民間住宅2!AF38/民間住宅2!AF$5,0)</f>
        <v>3725</v>
      </c>
      <c r="P39" s="733">
        <f>ROUND(P$5*民間住宅2!AG38/民間住宅2!AG$5,0)</f>
        <v>5893</v>
      </c>
      <c r="Q39" s="733">
        <f>ROUND(Q$5*民間住宅2!AH38/民間住宅2!AH$5,0)</f>
        <v>3129</v>
      </c>
      <c r="R39" s="733">
        <f>ROUND(R$5*民間住宅2!AI38/民間住宅2!AI$5,0)</f>
        <v>4441</v>
      </c>
      <c r="S39" s="733">
        <f>ROUND(S$5*民間住宅2!AJ38/民間住宅2!AJ$5,0)</f>
        <v>3622</v>
      </c>
      <c r="T39" s="733">
        <f>ROUND(T$5*民間住宅2!AK38/民間住宅2!AK$5,0)</f>
        <v>3228</v>
      </c>
      <c r="U39" s="733">
        <f>ROUND(U$5*民間住宅2!AL38/民間住宅2!AL$5,0)</f>
        <v>3769</v>
      </c>
      <c r="V39" s="733">
        <f>ROUND(V$5*民間住宅2!AM38/民間住宅2!AM$5,0)</f>
        <v>3528</v>
      </c>
      <c r="W39" s="733">
        <f>ROUND(W$5*民間住宅2!AN38/民間住宅2!AN$5,0)</f>
        <v>3488</v>
      </c>
      <c r="X39" s="733">
        <f>ROUND(X$5*民間住宅2!AO38/民間住宅2!AO$5,0)</f>
        <v>3578</v>
      </c>
    </row>
    <row r="40" spans="1:24">
      <c r="A40" s="730">
        <v>228</v>
      </c>
      <c r="B40" s="730" t="s">
        <v>330</v>
      </c>
      <c r="C40" s="733">
        <f>ROUND(C$5*民間住宅2!T39/民間住宅2!T$5,0)</f>
        <v>5805</v>
      </c>
      <c r="D40" s="733">
        <f>ROUND(D$5*民間住宅2!U39/民間住宅2!U$5,0)</f>
        <v>10087</v>
      </c>
      <c r="E40" s="733">
        <f>ROUND(E$5*民間住宅2!V39/民間住宅2!V$5,0)</f>
        <v>7477</v>
      </c>
      <c r="F40" s="733">
        <f>ROUND(F$5*民間住宅2!W39/民間住宅2!W$5,0)</f>
        <v>5850</v>
      </c>
      <c r="G40" s="733">
        <f>ROUND(G$5*民間住宅2!X39/民間住宅2!X$5,0)</f>
        <v>4653</v>
      </c>
      <c r="H40" s="733">
        <f>ROUND(H$5*民間住宅2!Y39/民間住宅2!Y$5,0)</f>
        <v>5491</v>
      </c>
      <c r="I40" s="733">
        <f>ROUND(I$5*民間住宅2!Z39/民間住宅2!Z$5,0)</f>
        <v>5124</v>
      </c>
      <c r="J40" s="733">
        <f>ROUND(J$5*民間住宅2!AA39/民間住宅2!AA$5,0)</f>
        <v>6198</v>
      </c>
      <c r="K40" s="733">
        <f>ROUND(K$5*民間住宅2!AB39/民間住宅2!AB$5,0)</f>
        <v>5801</v>
      </c>
      <c r="L40" s="733">
        <f>ROUND(L$5*民間住宅2!AC39/民間住宅2!AC$5,0)</f>
        <v>7319</v>
      </c>
      <c r="M40" s="733">
        <f>ROUND(M$5*民間住宅2!AD39/民間住宅2!AD$5,0)</f>
        <v>7500</v>
      </c>
      <c r="N40" s="733">
        <f>ROUND(N$5*民間住宅2!AE39/民間住宅2!AE$5,0)</f>
        <v>7414</v>
      </c>
      <c r="O40" s="733">
        <f>ROUND(O$5*民間住宅2!AF39/民間住宅2!AF$5,0)</f>
        <v>6963</v>
      </c>
      <c r="P40" s="733">
        <f>ROUND(P$5*民間住宅2!AG39/民間住宅2!AG$5,0)</f>
        <v>7903</v>
      </c>
      <c r="Q40" s="733">
        <f>ROUND(Q$5*民間住宅2!AH39/民間住宅2!AH$5,0)</f>
        <v>5033</v>
      </c>
      <c r="R40" s="733">
        <f>ROUND(R$5*民間住宅2!AI39/民間住宅2!AI$5,0)</f>
        <v>9213</v>
      </c>
      <c r="S40" s="733">
        <f>ROUND(S$5*民間住宅2!AJ39/民間住宅2!AJ$5,0)</f>
        <v>5515</v>
      </c>
      <c r="T40" s="733">
        <f>ROUND(T$5*民間住宅2!AK39/民間住宅2!AK$5,0)</f>
        <v>5506</v>
      </c>
      <c r="U40" s="733">
        <f>ROUND(U$5*民間住宅2!AL39/民間住宅2!AL$5,0)</f>
        <v>3689</v>
      </c>
      <c r="V40" s="733">
        <f>ROUND(V$5*民間住宅2!AM39/民間住宅2!AM$5,0)</f>
        <v>4908</v>
      </c>
      <c r="W40" s="733">
        <f>ROUND(W$5*民間住宅2!AN39/民間住宅2!AN$5,0)</f>
        <v>4668</v>
      </c>
      <c r="X40" s="733">
        <f>ROUND(X$5*民間住宅2!AO39/民間住宅2!AO$5,0)</f>
        <v>4414</v>
      </c>
    </row>
    <row r="41" spans="1:24">
      <c r="A41" s="730">
        <v>365</v>
      </c>
      <c r="B41" s="730" t="s">
        <v>331</v>
      </c>
      <c r="C41" s="733">
        <f>ROUND(C$5*民間住宅2!T40/民間住宅2!T$5,0)</f>
        <v>1819</v>
      </c>
      <c r="D41" s="733">
        <f>ROUND(D$5*民間住宅2!U40/民間住宅2!U$5,0)</f>
        <v>1589</v>
      </c>
      <c r="E41" s="733">
        <f>ROUND(E$5*民間住宅2!V40/民間住宅2!V$5,0)</f>
        <v>1443</v>
      </c>
      <c r="F41" s="733">
        <f>ROUND(F$5*民間住宅2!W40/民間住宅2!W$5,0)</f>
        <v>718</v>
      </c>
      <c r="G41" s="733">
        <f>ROUND(G$5*民間住宅2!X40/民間住宅2!X$5,0)</f>
        <v>864</v>
      </c>
      <c r="H41" s="733">
        <f>ROUND(H$5*民間住宅2!Y40/民間住宅2!Y$5,0)</f>
        <v>1050</v>
      </c>
      <c r="I41" s="733">
        <f>ROUND(I$5*民間住宅2!Z40/民間住宅2!Z$5,0)</f>
        <v>898</v>
      </c>
      <c r="J41" s="733">
        <f>ROUND(J$5*民間住宅2!AA40/民間住宅2!AA$5,0)</f>
        <v>917</v>
      </c>
      <c r="K41" s="733">
        <f>ROUND(K$5*民間住宅2!AB40/民間住宅2!AB$5,0)</f>
        <v>593</v>
      </c>
      <c r="L41" s="733">
        <f>ROUND(L$5*民間住宅2!AC40/民間住宅2!AC$5,0)</f>
        <v>989</v>
      </c>
      <c r="M41" s="733">
        <f>ROUND(M$5*民間住宅2!AD40/民間住宅2!AD$5,0)</f>
        <v>1016</v>
      </c>
      <c r="N41" s="733">
        <f>ROUND(N$5*民間住宅2!AE40/民間住宅2!AE$5,0)</f>
        <v>866</v>
      </c>
      <c r="O41" s="733">
        <f>ROUND(O$5*民間住宅2!AF40/民間住宅2!AF$5,0)</f>
        <v>889</v>
      </c>
      <c r="P41" s="733">
        <f>ROUND(P$5*民間住宅2!AG40/民間住宅2!AG$5,0)</f>
        <v>959</v>
      </c>
      <c r="Q41" s="733">
        <f>ROUND(Q$5*民間住宅2!AH40/民間住宅2!AH$5,0)</f>
        <v>678</v>
      </c>
      <c r="R41" s="733">
        <f>ROUND(R$5*民間住宅2!AI40/民間住宅2!AI$5,0)</f>
        <v>638</v>
      </c>
      <c r="S41" s="733">
        <f>ROUND(S$5*民間住宅2!AJ40/民間住宅2!AJ$5,0)</f>
        <v>888</v>
      </c>
      <c r="T41" s="733">
        <f>ROUND(T$5*民間住宅2!AK40/民間住宅2!AK$5,0)</f>
        <v>1275</v>
      </c>
      <c r="U41" s="733">
        <f>ROUND(U$5*民間住宅2!AL40/民間住宅2!AL$5,0)</f>
        <v>454</v>
      </c>
      <c r="V41" s="733">
        <f>ROUND(V$5*民間住宅2!AM40/民間住宅2!AM$5,0)</f>
        <v>869</v>
      </c>
      <c r="W41" s="733">
        <f>ROUND(W$5*民間住宅2!AN40/民間住宅2!AN$5,0)</f>
        <v>865</v>
      </c>
      <c r="X41" s="733">
        <f>ROUND(X$5*民間住宅2!AO40/民間住宅2!AO$5,0)</f>
        <v>731</v>
      </c>
    </row>
    <row r="42" spans="1:24">
      <c r="A42" s="728">
        <v>5</v>
      </c>
      <c r="B42" s="728" t="s">
        <v>326</v>
      </c>
      <c r="C42" s="734">
        <f t="shared" ref="C42:L42" si="62">SUM(C43:C46)</f>
        <v>98740</v>
      </c>
      <c r="D42" s="734">
        <f t="shared" si="62"/>
        <v>104494</v>
      </c>
      <c r="E42" s="734">
        <f t="shared" si="62"/>
        <v>99398</v>
      </c>
      <c r="F42" s="734">
        <f t="shared" si="62"/>
        <v>79679</v>
      </c>
      <c r="G42" s="734">
        <f t="shared" si="62"/>
        <v>77848</v>
      </c>
      <c r="H42" s="734">
        <f t="shared" si="62"/>
        <v>75756</v>
      </c>
      <c r="I42" s="734">
        <f t="shared" si="62"/>
        <v>90340</v>
      </c>
      <c r="J42" s="734">
        <f t="shared" si="62"/>
        <v>86099</v>
      </c>
      <c r="K42" s="734">
        <f t="shared" si="62"/>
        <v>94989</v>
      </c>
      <c r="L42" s="734">
        <f t="shared" si="62"/>
        <v>85805</v>
      </c>
      <c r="M42" s="734">
        <f t="shared" ref="M42:R42" si="63">SUM(M43:M46)</f>
        <v>109179</v>
      </c>
      <c r="N42" s="734">
        <f t="shared" si="63"/>
        <v>90864</v>
      </c>
      <c r="O42" s="734">
        <f t="shared" si="63"/>
        <v>98322</v>
      </c>
      <c r="P42" s="734">
        <f t="shared" si="63"/>
        <v>86726</v>
      </c>
      <c r="Q42" s="734">
        <f t="shared" si="63"/>
        <v>80987</v>
      </c>
      <c r="R42" s="734">
        <f t="shared" si="63"/>
        <v>107724</v>
      </c>
      <c r="S42" s="734">
        <f t="shared" ref="S42:X42" si="64">SUM(S43:S46)</f>
        <v>94295</v>
      </c>
      <c r="T42" s="734">
        <f t="shared" si="64"/>
        <v>105978</v>
      </c>
      <c r="U42" s="734">
        <f t="shared" si="64"/>
        <v>81229</v>
      </c>
      <c r="V42" s="734">
        <f t="shared" si="64"/>
        <v>93561</v>
      </c>
      <c r="W42" s="734">
        <f t="shared" si="64"/>
        <v>92734</v>
      </c>
      <c r="X42" s="734">
        <f t="shared" si="64"/>
        <v>89119</v>
      </c>
    </row>
    <row r="43" spans="1:24">
      <c r="A43" s="730">
        <v>201</v>
      </c>
      <c r="B43" s="730" t="s">
        <v>332</v>
      </c>
      <c r="C43" s="733">
        <f>ROUND(C$5*民間住宅2!T42/民間住宅2!T$5,0)</f>
        <v>94073</v>
      </c>
      <c r="D43" s="733">
        <f>ROUND(D$5*民間住宅2!U42/民間住宅2!U$5,0)</f>
        <v>98348</v>
      </c>
      <c r="E43" s="733">
        <f>ROUND(E$5*民間住宅2!V42/民間住宅2!V$5,0)</f>
        <v>93566</v>
      </c>
      <c r="F43" s="733">
        <f>ROUND(F$5*民間住宅2!W42/民間住宅2!W$5,0)</f>
        <v>76180</v>
      </c>
      <c r="G43" s="733">
        <f>ROUND(G$5*民間住宅2!X42/民間住宅2!X$5,0)</f>
        <v>74196</v>
      </c>
      <c r="H43" s="733">
        <f>ROUND(H$5*民間住宅2!Y42/民間住宅2!Y$5,0)</f>
        <v>72002</v>
      </c>
      <c r="I43" s="733">
        <f>ROUND(I$5*民間住宅2!Z42/民間住宅2!Z$5,0)</f>
        <v>87257</v>
      </c>
      <c r="J43" s="733">
        <f>ROUND(J$5*民間住宅2!AA42/民間住宅2!AA$5,0)</f>
        <v>81416</v>
      </c>
      <c r="K43" s="733">
        <f>ROUND(K$5*民間住宅2!AB42/民間住宅2!AB$5,0)</f>
        <v>91412</v>
      </c>
      <c r="L43" s="733">
        <f>ROUND(L$5*民間住宅2!AC42/民間住宅2!AC$5,0)</f>
        <v>81784</v>
      </c>
      <c r="M43" s="733">
        <f>ROUND(M$5*民間住宅2!AD42/民間住宅2!AD$5,0)</f>
        <v>105915</v>
      </c>
      <c r="N43" s="733">
        <f>ROUND(N$5*民間住宅2!AE42/民間住宅2!AE$5,0)</f>
        <v>87907</v>
      </c>
      <c r="O43" s="733">
        <f>ROUND(O$5*民間住宅2!AF42/民間住宅2!AF$5,0)</f>
        <v>93688</v>
      </c>
      <c r="P43" s="733">
        <f>ROUND(P$5*民間住宅2!AG42/民間住宅2!AG$5,0)</f>
        <v>82204</v>
      </c>
      <c r="Q43" s="733">
        <f>ROUND(Q$5*民間住宅2!AH42/民間住宅2!AH$5,0)</f>
        <v>78427</v>
      </c>
      <c r="R43" s="733">
        <f>ROUND(R$5*民間住宅2!AI42/民間住宅2!AI$5,0)</f>
        <v>104712</v>
      </c>
      <c r="S43" s="733">
        <f>ROUND(S$5*民間住宅2!AJ42/民間住宅2!AJ$5,0)</f>
        <v>91374</v>
      </c>
      <c r="T43" s="733">
        <f>ROUND(T$5*民間住宅2!AK42/民間住宅2!AK$5,0)</f>
        <v>102289</v>
      </c>
      <c r="U43" s="733">
        <f>ROUND(U$5*民間住宅2!AL42/民間住宅2!AL$5,0)</f>
        <v>78556</v>
      </c>
      <c r="V43" s="733">
        <f>ROUND(V$5*民間住宅2!AM42/民間住宅2!AM$5,0)</f>
        <v>90493</v>
      </c>
      <c r="W43" s="733">
        <f>ROUND(W$5*民間住宅2!AN42/民間住宅2!AN$5,0)</f>
        <v>89613</v>
      </c>
      <c r="X43" s="733">
        <f>ROUND(X$5*民間住宅2!AO42/民間住宅2!AO$5,0)</f>
        <v>86168</v>
      </c>
    </row>
    <row r="44" spans="1:24">
      <c r="A44" s="730">
        <v>442</v>
      </c>
      <c r="B44" s="730" t="s">
        <v>203</v>
      </c>
      <c r="C44" s="733">
        <f>ROUND(C$5*民間住宅2!T43/民間住宅2!T$5,0)</f>
        <v>919</v>
      </c>
      <c r="D44" s="733">
        <f>ROUND(D$5*民間住宅2!U43/民間住宅2!U$5,0)</f>
        <v>1166</v>
      </c>
      <c r="E44" s="733">
        <f>ROUND(E$5*民間住宅2!V43/民間住宅2!V$5,0)</f>
        <v>1016</v>
      </c>
      <c r="F44" s="733">
        <f>ROUND(F$5*民間住宅2!W43/民間住宅2!W$5,0)</f>
        <v>700</v>
      </c>
      <c r="G44" s="733">
        <f>ROUND(G$5*民間住宅2!X43/民間住宅2!X$5,0)</f>
        <v>491</v>
      </c>
      <c r="H44" s="733">
        <f>ROUND(H$5*民間住宅2!Y43/民間住宅2!Y$5,0)</f>
        <v>585</v>
      </c>
      <c r="I44" s="733">
        <f>ROUND(I$5*民間住宅2!Z43/民間住宅2!Z$5,0)</f>
        <v>674</v>
      </c>
      <c r="J44" s="733">
        <f>ROUND(J$5*民間住宅2!AA43/民間住宅2!AA$5,0)</f>
        <v>518</v>
      </c>
      <c r="K44" s="733">
        <f>ROUND(K$5*民間住宅2!AB43/民間住宅2!AB$5,0)</f>
        <v>783</v>
      </c>
      <c r="L44" s="733">
        <f>ROUND(L$5*民間住宅2!AC43/民間住宅2!AC$5,0)</f>
        <v>681</v>
      </c>
      <c r="M44" s="733">
        <f>ROUND(M$5*民間住宅2!AD43/民間住宅2!AD$5,0)</f>
        <v>540</v>
      </c>
      <c r="N44" s="733">
        <f>ROUND(N$5*民間住宅2!AE43/民間住宅2!AE$5,0)</f>
        <v>486</v>
      </c>
      <c r="O44" s="733">
        <f>ROUND(O$5*民間住宅2!AF43/民間住宅2!AF$5,0)</f>
        <v>571</v>
      </c>
      <c r="P44" s="733">
        <f>ROUND(P$5*民間住宅2!AG43/民間住宅2!AG$5,0)</f>
        <v>480</v>
      </c>
      <c r="Q44" s="733">
        <f>ROUND(Q$5*民間住宅2!AH43/民間住宅2!AH$5,0)</f>
        <v>306</v>
      </c>
      <c r="R44" s="733">
        <f>ROUND(R$5*民間住宅2!AI43/民間住宅2!AI$5,0)</f>
        <v>459</v>
      </c>
      <c r="S44" s="733">
        <f>ROUND(S$5*民間住宅2!AJ43/民間住宅2!AJ$5,0)</f>
        <v>397</v>
      </c>
      <c r="T44" s="733">
        <f>ROUND(T$5*民間住宅2!AK43/民間住宅2!AK$5,0)</f>
        <v>353</v>
      </c>
      <c r="U44" s="733">
        <f>ROUND(U$5*民間住宅2!AL43/民間住宅2!AL$5,0)</f>
        <v>535</v>
      </c>
      <c r="V44" s="733">
        <f>ROUND(V$5*民間住宅2!AM43/民間住宅2!AM$5,0)</f>
        <v>435</v>
      </c>
      <c r="W44" s="733">
        <f>ROUND(W$5*民間住宅2!AN43/民間住宅2!AN$5,0)</f>
        <v>446</v>
      </c>
      <c r="X44" s="733">
        <f>ROUND(X$5*民間住宅2!AO43/民間住宅2!AO$5,0)</f>
        <v>470</v>
      </c>
    </row>
    <row r="45" spans="1:24">
      <c r="A45" s="730">
        <v>443</v>
      </c>
      <c r="B45" s="730" t="s">
        <v>204</v>
      </c>
      <c r="C45" s="733">
        <f>ROUND(C$5*民間住宅2!T44/民間住宅2!T$5,0)</f>
        <v>3307</v>
      </c>
      <c r="D45" s="733">
        <f>ROUND(D$5*民間住宅2!U44/民間住宅2!U$5,0)</f>
        <v>4514</v>
      </c>
      <c r="E45" s="733">
        <f>ROUND(E$5*民間住宅2!V44/民間住宅2!V$5,0)</f>
        <v>4145</v>
      </c>
      <c r="F45" s="733">
        <f>ROUND(F$5*民間住宅2!W44/民間住宅2!W$5,0)</f>
        <v>2207</v>
      </c>
      <c r="G45" s="733">
        <f>ROUND(G$5*民間住宅2!X44/民間住宅2!X$5,0)</f>
        <v>2474</v>
      </c>
      <c r="H45" s="733">
        <f>ROUND(H$5*民間住宅2!Y44/民間住宅2!Y$5,0)</f>
        <v>2806</v>
      </c>
      <c r="I45" s="733">
        <f>ROUND(I$5*民間住宅2!Z44/民間住宅2!Z$5,0)</f>
        <v>1837</v>
      </c>
      <c r="J45" s="733">
        <f>ROUND(J$5*民間住宅2!AA44/民間住宅2!AA$5,0)</f>
        <v>3587</v>
      </c>
      <c r="K45" s="733">
        <f>ROUND(K$5*民間住宅2!AB44/民間住宅2!AB$5,0)</f>
        <v>2011</v>
      </c>
      <c r="L45" s="733">
        <f>ROUND(L$5*民間住宅2!AC44/民間住宅2!AC$5,0)</f>
        <v>2747</v>
      </c>
      <c r="M45" s="733">
        <f>ROUND(M$5*民間住宅2!AD44/民間住宅2!AD$5,0)</f>
        <v>2205</v>
      </c>
      <c r="N45" s="733">
        <f>ROUND(N$5*民間住宅2!AE44/民間住宅2!AE$5,0)</f>
        <v>1901</v>
      </c>
      <c r="O45" s="733">
        <f>ROUND(O$5*民間住宅2!AF44/民間住宅2!AF$5,0)</f>
        <v>3259</v>
      </c>
      <c r="P45" s="733">
        <f>ROUND(P$5*民間住宅2!AG44/民間住宅2!AG$5,0)</f>
        <v>3677</v>
      </c>
      <c r="Q45" s="733">
        <f>ROUND(Q$5*民間住宅2!AH44/民間住宅2!AH$5,0)</f>
        <v>1860</v>
      </c>
      <c r="R45" s="733">
        <f>ROUND(R$5*民間住宅2!AI44/民間住宅2!AI$5,0)</f>
        <v>1889</v>
      </c>
      <c r="S45" s="733">
        <f>ROUND(S$5*民間住宅2!AJ44/民間住宅2!AJ$5,0)</f>
        <v>1963</v>
      </c>
      <c r="T45" s="733">
        <f>ROUND(T$5*民間住宅2!AK44/民間住宅2!AK$5,0)</f>
        <v>2902</v>
      </c>
      <c r="U45" s="733">
        <f>ROUND(U$5*民間住宅2!AL44/民間住宅2!AL$5,0)</f>
        <v>1737</v>
      </c>
      <c r="V45" s="733">
        <f>ROUND(V$5*民間住宅2!AM44/民間住宅2!AM$5,0)</f>
        <v>2173</v>
      </c>
      <c r="W45" s="733">
        <f>ROUND(W$5*民間住宅2!AN44/民間住宅2!AN$5,0)</f>
        <v>2255</v>
      </c>
      <c r="X45" s="733">
        <f>ROUND(X$5*民間住宅2!AO44/民間住宅2!AO$5,0)</f>
        <v>2063</v>
      </c>
    </row>
    <row r="46" spans="1:24">
      <c r="A46" s="731">
        <v>446</v>
      </c>
      <c r="B46" s="731" t="s">
        <v>333</v>
      </c>
      <c r="C46" s="735">
        <f>ROUND(C$5*民間住宅2!T45/民間住宅2!T$5,0)</f>
        <v>441</v>
      </c>
      <c r="D46" s="735">
        <f>ROUND(D$5*民間住宅2!U45/民間住宅2!U$5,0)</f>
        <v>466</v>
      </c>
      <c r="E46" s="735">
        <f>ROUND(E$5*民間住宅2!V45/民間住宅2!V$5,0)</f>
        <v>671</v>
      </c>
      <c r="F46" s="735">
        <f>ROUND(F$5*民間住宅2!W45/民間住宅2!W$5,0)</f>
        <v>592</v>
      </c>
      <c r="G46" s="735">
        <f>ROUND(G$5*民間住宅2!X45/民間住宅2!X$5,0)</f>
        <v>687</v>
      </c>
      <c r="H46" s="735">
        <f>ROUND(H$5*民間住宅2!Y45/民間住宅2!Y$5,0)</f>
        <v>363</v>
      </c>
      <c r="I46" s="735">
        <f>ROUND(I$5*民間住宅2!Z45/民間住宅2!Z$5,0)</f>
        <v>572</v>
      </c>
      <c r="J46" s="735">
        <f>ROUND(J$5*民間住宅2!AA45/民間住宅2!AA$5,0)</f>
        <v>578</v>
      </c>
      <c r="K46" s="735">
        <f>ROUND(K$5*民間住宅2!AB45/民間住宅2!AB$5,0)</f>
        <v>783</v>
      </c>
      <c r="L46" s="735">
        <f>ROUND(L$5*民間住宅2!AC45/民間住宅2!AC$5,0)</f>
        <v>593</v>
      </c>
      <c r="M46" s="735">
        <f>ROUND(M$5*民間住宅2!AD45/民間住宅2!AD$5,0)</f>
        <v>519</v>
      </c>
      <c r="N46" s="735">
        <f>ROUND(N$5*民間住宅2!AE45/民間住宅2!AE$5,0)</f>
        <v>570</v>
      </c>
      <c r="O46" s="735">
        <f>ROUND(O$5*民間住宅2!AF45/民間住宅2!AF$5,0)</f>
        <v>804</v>
      </c>
      <c r="P46" s="735">
        <f>ROUND(P$5*民間住宅2!AG45/民間住宅2!AG$5,0)</f>
        <v>365</v>
      </c>
      <c r="Q46" s="735">
        <f>ROUND(Q$5*民間住宅2!AH45/民間住宅2!AH$5,0)</f>
        <v>394</v>
      </c>
      <c r="R46" s="735">
        <f>ROUND(R$5*民間住宅2!AI45/民間住宅2!AI$5,0)</f>
        <v>664</v>
      </c>
      <c r="S46" s="735">
        <f>ROUND(S$5*民間住宅2!AJ45/民間住宅2!AJ$5,0)</f>
        <v>561</v>
      </c>
      <c r="T46" s="735">
        <f>ROUND(T$5*民間住宅2!AK45/民間住宅2!AK$5,0)</f>
        <v>434</v>
      </c>
      <c r="U46" s="735">
        <f>ROUND(U$5*民間住宅2!AL45/民間住宅2!AL$5,0)</f>
        <v>401</v>
      </c>
      <c r="V46" s="735">
        <f>ROUND(V$5*民間住宅2!AM45/民間住宅2!AM$5,0)</f>
        <v>460</v>
      </c>
      <c r="W46" s="735">
        <f>ROUND(W$5*民間住宅2!AN45/民間住宅2!AN$5,0)</f>
        <v>420</v>
      </c>
      <c r="X46" s="735">
        <f>ROUND(X$5*民間住宅2!AO45/民間住宅2!AO$5,0)</f>
        <v>418</v>
      </c>
    </row>
    <row r="47" spans="1:24">
      <c r="A47" s="730">
        <v>6</v>
      </c>
      <c r="B47" s="730" t="s">
        <v>327</v>
      </c>
      <c r="C47" s="733">
        <f t="shared" ref="C47:L47" si="65">SUM(C48:C54)</f>
        <v>38264</v>
      </c>
      <c r="D47" s="733">
        <f t="shared" si="65"/>
        <v>37062</v>
      </c>
      <c r="E47" s="733">
        <f t="shared" si="65"/>
        <v>30883</v>
      </c>
      <c r="F47" s="733">
        <f t="shared" si="65"/>
        <v>23904</v>
      </c>
      <c r="G47" s="733">
        <f t="shared" si="65"/>
        <v>26544</v>
      </c>
      <c r="H47" s="733">
        <f t="shared" si="65"/>
        <v>24364</v>
      </c>
      <c r="I47" s="733">
        <f t="shared" si="65"/>
        <v>24255</v>
      </c>
      <c r="J47" s="733">
        <f t="shared" si="65"/>
        <v>28382</v>
      </c>
      <c r="K47" s="733">
        <f t="shared" si="65"/>
        <v>21827</v>
      </c>
      <c r="L47" s="733">
        <f t="shared" si="65"/>
        <v>20683</v>
      </c>
      <c r="M47" s="733">
        <f t="shared" ref="M47:R47" si="66">SUM(M48:M54)</f>
        <v>19388</v>
      </c>
      <c r="N47" s="733">
        <f t="shared" si="66"/>
        <v>16664</v>
      </c>
      <c r="O47" s="733">
        <f t="shared" si="66"/>
        <v>21331</v>
      </c>
      <c r="P47" s="733">
        <f t="shared" si="66"/>
        <v>19575</v>
      </c>
      <c r="Q47" s="733">
        <f t="shared" si="66"/>
        <v>17266</v>
      </c>
      <c r="R47" s="733">
        <f t="shared" si="66"/>
        <v>27358</v>
      </c>
      <c r="S47" s="733">
        <f t="shared" ref="S47:X47" si="67">SUM(S48:S54)</f>
        <v>19327</v>
      </c>
      <c r="T47" s="733">
        <f t="shared" si="67"/>
        <v>21456</v>
      </c>
      <c r="U47" s="733">
        <f t="shared" si="67"/>
        <v>23414</v>
      </c>
      <c r="V47" s="733">
        <f t="shared" si="67"/>
        <v>21244</v>
      </c>
      <c r="W47" s="733">
        <f t="shared" si="67"/>
        <v>21845</v>
      </c>
      <c r="X47" s="733">
        <f t="shared" si="67"/>
        <v>22096</v>
      </c>
    </row>
    <row r="48" spans="1:24">
      <c r="A48" s="730">
        <v>208</v>
      </c>
      <c r="B48" s="730" t="s">
        <v>206</v>
      </c>
      <c r="C48" s="733">
        <f>ROUND(C$5*民間住宅2!T47/民間住宅2!T$5,0)</f>
        <v>3747</v>
      </c>
      <c r="D48" s="733">
        <f>ROUND(D$5*民間住宅2!U47/民間住宅2!U$5,0)</f>
        <v>5107</v>
      </c>
      <c r="E48" s="733">
        <f>ROUND(E$5*民間住宅2!V47/民間住宅2!V$5,0)</f>
        <v>3027</v>
      </c>
      <c r="F48" s="733">
        <f>ROUND(F$5*民間住宅2!W47/民間住宅2!W$5,0)</f>
        <v>2136</v>
      </c>
      <c r="G48" s="733">
        <f>ROUND(G$5*民間住宅2!X47/民間住宅2!X$5,0)</f>
        <v>3907</v>
      </c>
      <c r="H48" s="733">
        <f>ROUND(H$5*民間住宅2!Y47/民間住宅2!Y$5,0)</f>
        <v>2987</v>
      </c>
      <c r="I48" s="733">
        <f>ROUND(I$5*民間住宅2!Z47/民間住宅2!Z$5,0)</f>
        <v>2797</v>
      </c>
      <c r="J48" s="733">
        <f>ROUND(J$5*民間住宅2!AA47/民間住宅2!AA$5,0)</f>
        <v>2950</v>
      </c>
      <c r="K48" s="733">
        <f>ROUND(K$5*民間住宅2!AB47/民間住宅2!AB$5,0)</f>
        <v>2519</v>
      </c>
      <c r="L48" s="733">
        <f>ROUND(L$5*民間住宅2!AC47/民間住宅2!AC$5,0)</f>
        <v>3583</v>
      </c>
      <c r="M48" s="733">
        <f>ROUND(M$5*民間住宅2!AD47/民間住宅2!AD$5,0)</f>
        <v>3286</v>
      </c>
      <c r="N48" s="733">
        <f>ROUND(N$5*民間住宅2!AE47/民間住宅2!AE$5,0)</f>
        <v>380</v>
      </c>
      <c r="O48" s="733">
        <f>ROUND(O$5*民間住宅2!AF47/民間住宅2!AF$5,0)</f>
        <v>2518</v>
      </c>
      <c r="P48" s="733">
        <f>ROUND(P$5*民間住宅2!AG47/民間住宅2!AG$5,0)</f>
        <v>1667</v>
      </c>
      <c r="Q48" s="733">
        <f>ROUND(Q$5*民間住宅2!AH47/民間住宅2!AH$5,0)</f>
        <v>1554</v>
      </c>
      <c r="R48" s="733">
        <f>ROUND(R$5*民間住宅2!AI47/民間住宅2!AI$5,0)</f>
        <v>2578</v>
      </c>
      <c r="S48" s="733">
        <f>ROUND(S$5*民間住宅2!AJ47/民間住宅2!AJ$5,0)</f>
        <v>3015</v>
      </c>
      <c r="T48" s="733">
        <f>ROUND(T$5*民間住宅2!AK47/民間住宅2!AK$5,0)</f>
        <v>2007</v>
      </c>
      <c r="U48" s="733">
        <f>ROUND(U$5*民間住宅2!AL47/民間住宅2!AL$5,0)</f>
        <v>1737</v>
      </c>
      <c r="V48" s="733">
        <f>ROUND(V$5*民間住宅2!AM47/民間住宅2!AM$5,0)</f>
        <v>2275</v>
      </c>
      <c r="W48" s="733">
        <f>ROUND(W$5*民間住宅2!AN47/民間住宅2!AN$5,0)</f>
        <v>1993</v>
      </c>
      <c r="X48" s="733">
        <f>ROUND(X$5*民間住宅2!AO47/民間住宅2!AO$5,0)</f>
        <v>2011</v>
      </c>
    </row>
    <row r="49" spans="1:24">
      <c r="A49" s="730">
        <v>212</v>
      </c>
      <c r="B49" s="730" t="s">
        <v>207</v>
      </c>
      <c r="C49" s="733">
        <f>ROUND(C$5*民間住宅2!T48/民間住宅2!T$5,0)</f>
        <v>8303</v>
      </c>
      <c r="D49" s="733">
        <f>ROUND(D$5*民間住宅2!U48/民間住宅2!U$5,0)</f>
        <v>6675</v>
      </c>
      <c r="E49" s="733">
        <f>ROUND(E$5*民間住宅2!V48/民間住宅2!V$5,0)</f>
        <v>6461</v>
      </c>
      <c r="F49" s="733">
        <f>ROUND(F$5*民間住宅2!W48/民間住宅2!W$5,0)</f>
        <v>4971</v>
      </c>
      <c r="G49" s="733">
        <f>ROUND(G$5*民間住宅2!X48/民間住宅2!X$5,0)</f>
        <v>5046</v>
      </c>
      <c r="H49" s="733">
        <f>ROUND(H$5*民間住宅2!Y48/民間住宅2!Y$5,0)</f>
        <v>4199</v>
      </c>
      <c r="I49" s="733">
        <f>ROUND(I$5*民間住宅2!Z48/民間住宅2!Z$5,0)</f>
        <v>4798</v>
      </c>
      <c r="J49" s="733">
        <f>ROUND(J$5*民間住宅2!AA48/民間住宅2!AA$5,0)</f>
        <v>5780</v>
      </c>
      <c r="K49" s="733">
        <f>ROUND(K$5*民間住宅2!AB48/民間住宅2!AB$5,0)</f>
        <v>4933</v>
      </c>
      <c r="L49" s="733">
        <f>ROUND(L$5*民間住宅2!AC48/民間住宅2!AC$5,0)</f>
        <v>4418</v>
      </c>
      <c r="M49" s="733">
        <f>ROUND(M$5*民間住宅2!AD48/民間住宅2!AD$5,0)</f>
        <v>4301</v>
      </c>
      <c r="N49" s="733">
        <f>ROUND(N$5*民間住宅2!AE48/民間住宅2!AE$5,0)</f>
        <v>3781</v>
      </c>
      <c r="O49" s="733">
        <f>ROUND(O$5*民間住宅2!AF48/民間住宅2!AF$5,0)</f>
        <v>4867</v>
      </c>
      <c r="P49" s="733">
        <f>ROUND(P$5*民間住宅2!AG48/民間住宅2!AG$5,0)</f>
        <v>4454</v>
      </c>
      <c r="Q49" s="733">
        <f>ROUND(Q$5*民間住宅2!AH48/民間住宅2!AH$5,0)</f>
        <v>5602</v>
      </c>
      <c r="R49" s="733">
        <f>ROUND(R$5*民間住宅2!AI48/民間住宅2!AI$5,0)</f>
        <v>6635</v>
      </c>
      <c r="S49" s="733">
        <f>ROUND(S$5*民間住宅2!AJ48/民間住宅2!AJ$5,0)</f>
        <v>4113</v>
      </c>
      <c r="T49" s="733">
        <f>ROUND(T$5*民間住宅2!AK48/民間住宅2!AK$5,0)</f>
        <v>4720</v>
      </c>
      <c r="U49" s="733">
        <f>ROUND(U$5*民間住宅2!AL48/民間住宅2!AL$5,0)</f>
        <v>4651</v>
      </c>
      <c r="V49" s="733">
        <f>ROUND(V$5*民間住宅2!AM48/民間住宅2!AM$5,0)</f>
        <v>4474</v>
      </c>
      <c r="W49" s="733">
        <f>ROUND(W$5*民間住宅2!AN48/民間住宅2!AN$5,0)</f>
        <v>4563</v>
      </c>
      <c r="X49" s="733">
        <f>ROUND(X$5*民間住宅2!AO48/民間住宅2!AO$5,0)</f>
        <v>4545</v>
      </c>
    </row>
    <row r="50" spans="1:24">
      <c r="A50" s="730">
        <v>227</v>
      </c>
      <c r="B50" s="730" t="s">
        <v>219</v>
      </c>
      <c r="C50" s="733">
        <f>ROUND(C$5*民間住宅2!T49/民間住宅2!T$5,0)</f>
        <v>2535</v>
      </c>
      <c r="D50" s="733">
        <f>ROUND(D$5*民間住宅2!U49/民間住宅2!U$5,0)</f>
        <v>3454</v>
      </c>
      <c r="E50" s="733">
        <f>ROUND(E$5*民間住宅2!V49/民間住宅2!V$5,0)</f>
        <v>3149</v>
      </c>
      <c r="F50" s="733">
        <f>ROUND(F$5*民間住宅2!W49/民間住宅2!W$5,0)</f>
        <v>2279</v>
      </c>
      <c r="G50" s="733">
        <f>ROUND(G$5*民間住宅2!X49/民間住宅2!X$5,0)</f>
        <v>1806</v>
      </c>
      <c r="H50" s="733">
        <f>ROUND(H$5*民間住宅2!Y49/民間住宅2!Y$5,0)</f>
        <v>2564</v>
      </c>
      <c r="I50" s="733">
        <f>ROUND(I$5*民間住宅2!Z49/民間住宅2!Z$5,0)</f>
        <v>3348</v>
      </c>
      <c r="J50" s="733">
        <f>ROUND(J$5*民間住宅2!AA49/民間住宅2!AA$5,0)</f>
        <v>3189</v>
      </c>
      <c r="K50" s="733">
        <f>ROUND(K$5*民間住宅2!AB49/民間住宅2!AB$5,0)</f>
        <v>3112</v>
      </c>
      <c r="L50" s="733">
        <f>ROUND(L$5*民間住宅2!AC49/民間住宅2!AC$5,0)</f>
        <v>2154</v>
      </c>
      <c r="M50" s="733">
        <f>ROUND(M$5*民間住宅2!AD49/民間住宅2!AD$5,0)</f>
        <v>1686</v>
      </c>
      <c r="N50" s="733">
        <f>ROUND(N$5*民間住宅2!AE49/民間住宅2!AE$5,0)</f>
        <v>1795</v>
      </c>
      <c r="O50" s="733">
        <f>ROUND(O$5*民間住宅2!AF49/民間住宅2!AF$5,0)</f>
        <v>2963</v>
      </c>
      <c r="P50" s="733">
        <f>ROUND(P$5*民間住宅2!AG49/民間住宅2!AG$5,0)</f>
        <v>2079</v>
      </c>
      <c r="Q50" s="733">
        <f>ROUND(Q$5*民間住宅2!AH49/民間住宅2!AH$5,0)</f>
        <v>1685</v>
      </c>
      <c r="R50" s="733">
        <f>ROUND(R$5*民間住宅2!AI49/民間住宅2!AI$5,0)</f>
        <v>2322</v>
      </c>
      <c r="S50" s="733">
        <f>ROUND(S$5*民間住宅2!AJ49/民間住宅2!AJ$5,0)</f>
        <v>1589</v>
      </c>
      <c r="T50" s="733">
        <f>ROUND(T$5*民間住宅2!AK49/民間住宅2!AK$5,0)</f>
        <v>1194</v>
      </c>
      <c r="U50" s="733">
        <f>ROUND(U$5*民間住宅2!AL49/民間住宅2!AL$5,0)</f>
        <v>1470</v>
      </c>
      <c r="V50" s="733">
        <f>ROUND(V$5*民間住宅2!AM49/民間住宅2!AM$5,0)</f>
        <v>1432</v>
      </c>
      <c r="W50" s="733">
        <f>ROUND(W$5*民間住宅2!AN49/民間住宅2!AN$5,0)</f>
        <v>1364</v>
      </c>
      <c r="X50" s="733">
        <f>ROUND(X$5*民間住宅2!AO49/民間住宅2!AO$5,0)</f>
        <v>1410</v>
      </c>
    </row>
    <row r="51" spans="1:24">
      <c r="A51" s="730">
        <v>229</v>
      </c>
      <c r="B51" s="730" t="s">
        <v>334</v>
      </c>
      <c r="C51" s="733">
        <f>ROUND(C$5*民間住宅2!T50/民間住宅2!T$5,0)</f>
        <v>13006</v>
      </c>
      <c r="D51" s="733">
        <f>ROUND(D$5*民間住宅2!U50/民間住宅2!U$5,0)</f>
        <v>12015</v>
      </c>
      <c r="E51" s="733">
        <f>ROUND(E$5*民間住宅2!V50/民間住宅2!V$5,0)</f>
        <v>11256</v>
      </c>
      <c r="F51" s="733">
        <f>ROUND(F$5*民間住宅2!W50/民間住宅2!W$5,0)</f>
        <v>6227</v>
      </c>
      <c r="G51" s="733">
        <f>ROUND(G$5*民間住宅2!X50/民間住宅2!X$5,0)</f>
        <v>8600</v>
      </c>
      <c r="H51" s="733">
        <f>ROUND(H$5*民間住宅2!Y50/民間住宅2!Y$5,0)</f>
        <v>7792</v>
      </c>
      <c r="I51" s="733">
        <f>ROUND(I$5*民間住宅2!Z50/民間住宅2!Z$5,0)</f>
        <v>6492</v>
      </c>
      <c r="J51" s="733">
        <f>ROUND(J$5*民間住宅2!AA50/民間住宅2!AA$5,0)</f>
        <v>9646</v>
      </c>
      <c r="K51" s="733">
        <f>ROUND(K$5*民間住宅2!AB50/民間住宅2!AB$5,0)</f>
        <v>6605</v>
      </c>
      <c r="L51" s="733">
        <f>ROUND(L$5*民間住宅2!AC50/民間住宅2!AC$5,0)</f>
        <v>6330</v>
      </c>
      <c r="M51" s="733">
        <f>ROUND(M$5*民間住宅2!AD50/民間住宅2!AD$5,0)</f>
        <v>5879</v>
      </c>
      <c r="N51" s="733">
        <f>ROUND(N$5*民間住宅2!AE50/民間住宅2!AE$5,0)</f>
        <v>6738</v>
      </c>
      <c r="O51" s="733">
        <f>ROUND(O$5*民間住宅2!AF50/民間住宅2!AF$5,0)</f>
        <v>4825</v>
      </c>
      <c r="P51" s="733">
        <f>ROUND(P$5*民間住宅2!AG50/民間住宅2!AG$5,0)</f>
        <v>7035</v>
      </c>
      <c r="Q51" s="733">
        <f>ROUND(Q$5*民間住宅2!AH50/民間住宅2!AH$5,0)</f>
        <v>4311</v>
      </c>
      <c r="R51" s="733">
        <f>ROUND(R$5*民間住宅2!AI50/民間住宅2!AI$5,0)</f>
        <v>8345</v>
      </c>
      <c r="S51" s="733">
        <f>ROUND(S$5*民間住宅2!AJ50/民間住宅2!AJ$5,0)</f>
        <v>5819</v>
      </c>
      <c r="T51" s="733">
        <f>ROUND(T$5*民間住宅2!AK50/民間住宅2!AK$5,0)</f>
        <v>7459</v>
      </c>
      <c r="U51" s="733">
        <f>ROUND(U$5*民間住宅2!AL50/民間住宅2!AL$5,0)</f>
        <v>8393</v>
      </c>
      <c r="V51" s="733">
        <f>ROUND(V$5*民間住宅2!AM50/民間住宅2!AM$5,0)</f>
        <v>7132</v>
      </c>
      <c r="W51" s="733">
        <f>ROUND(W$5*民間住宅2!AN50/民間住宅2!AN$5,0)</f>
        <v>7579</v>
      </c>
      <c r="X51" s="733">
        <f>ROUND(X$5*民間住宅2!AO50/民間住宅2!AO$5,0)</f>
        <v>7679</v>
      </c>
    </row>
    <row r="52" spans="1:24">
      <c r="A52" s="730">
        <v>464</v>
      </c>
      <c r="B52" s="730" t="s">
        <v>208</v>
      </c>
      <c r="C52" s="733">
        <f>ROUND(C$5*民間住宅2!T51/民間住宅2!T$5,0)</f>
        <v>6466</v>
      </c>
      <c r="D52" s="733">
        <f>ROUND(D$5*民間住宅2!U51/民間住宅2!U$5,0)</f>
        <v>6463</v>
      </c>
      <c r="E52" s="733">
        <f>ROUND(E$5*民間住宅2!V51/民間住宅2!V$5,0)</f>
        <v>4592</v>
      </c>
      <c r="F52" s="733">
        <f>ROUND(F$5*民間住宅2!W51/民間住宅2!W$5,0)</f>
        <v>5940</v>
      </c>
      <c r="G52" s="733">
        <f>ROUND(G$5*民間住宅2!X51/民間住宅2!X$5,0)</f>
        <v>4319</v>
      </c>
      <c r="H52" s="733">
        <f>ROUND(H$5*民間住宅2!Y51/民間住宅2!Y$5,0)</f>
        <v>3795</v>
      </c>
      <c r="I52" s="733">
        <f>ROUND(I$5*民間住宅2!Z51/民間住宅2!Z$5,0)</f>
        <v>4594</v>
      </c>
      <c r="J52" s="733">
        <f>ROUND(J$5*民間住宅2!AA51/民間住宅2!AA$5,0)</f>
        <v>4405</v>
      </c>
      <c r="K52" s="733">
        <f>ROUND(K$5*民間住宅2!AB51/民間住宅2!AB$5,0)</f>
        <v>3218</v>
      </c>
      <c r="L52" s="733">
        <f>ROUND(L$5*民間住宅2!AC51/民間住宅2!AC$5,0)</f>
        <v>3143</v>
      </c>
      <c r="M52" s="733">
        <f>ROUND(M$5*民間住宅2!AD51/民間住宅2!AD$5,0)</f>
        <v>2983</v>
      </c>
      <c r="N52" s="733">
        <f>ROUND(N$5*民間住宅2!AE51/民間住宅2!AE$5,0)</f>
        <v>3041</v>
      </c>
      <c r="O52" s="733">
        <f>ROUND(O$5*民間住宅2!AF51/民間住宅2!AF$5,0)</f>
        <v>5100</v>
      </c>
      <c r="P52" s="733">
        <f>ROUND(P$5*民間住宅2!AG51/民間住宅2!AG$5,0)</f>
        <v>3221</v>
      </c>
      <c r="Q52" s="733">
        <f>ROUND(Q$5*民間住宅2!AH51/民間住宅2!AH$5,0)</f>
        <v>3085</v>
      </c>
      <c r="R52" s="733">
        <f>ROUND(R$5*民間住宅2!AI51/民間住宅2!AI$5,0)</f>
        <v>5002</v>
      </c>
      <c r="S52" s="733">
        <f>ROUND(S$5*民間住宅2!AJ51/民間住宅2!AJ$5,0)</f>
        <v>4183</v>
      </c>
      <c r="T52" s="733">
        <f>ROUND(T$5*民間住宅2!AK51/民間住宅2!AK$5,0)</f>
        <v>4991</v>
      </c>
      <c r="U52" s="733">
        <f>ROUND(U$5*民間住宅2!AL51/民間住宅2!AL$5,0)</f>
        <v>6281</v>
      </c>
      <c r="V52" s="733">
        <f>ROUND(V$5*民間住宅2!AM51/民間住宅2!AM$5,0)</f>
        <v>5087</v>
      </c>
      <c r="W52" s="733">
        <f>ROUND(W$5*民間住宅2!AN51/民間住宅2!AN$5,0)</f>
        <v>5402</v>
      </c>
      <c r="X52" s="733">
        <f>ROUND(X$5*民間住宅2!AO51/民間住宅2!AO$5,0)</f>
        <v>5563</v>
      </c>
    </row>
    <row r="53" spans="1:24">
      <c r="A53" s="730">
        <v>481</v>
      </c>
      <c r="B53" s="730" t="s">
        <v>209</v>
      </c>
      <c r="C53" s="733">
        <f>ROUND(C$5*民間住宅2!T52/民間住宅2!T$5,0)</f>
        <v>3086</v>
      </c>
      <c r="D53" s="733">
        <f>ROUND(D$5*民間住宅2!U52/民間住宅2!U$5,0)</f>
        <v>2543</v>
      </c>
      <c r="E53" s="733">
        <f>ROUND(E$5*民間住宅2!V52/民間住宅2!V$5,0)</f>
        <v>1341</v>
      </c>
      <c r="F53" s="733">
        <f>ROUND(F$5*民間住宅2!W52/民間住宅2!W$5,0)</f>
        <v>682</v>
      </c>
      <c r="G53" s="733">
        <f>ROUND(G$5*民間住宅2!X52/民間住宅2!X$5,0)</f>
        <v>1060</v>
      </c>
      <c r="H53" s="733">
        <f>ROUND(H$5*民間住宅2!Y52/民間住宅2!Y$5,0)</f>
        <v>807</v>
      </c>
      <c r="I53" s="733">
        <f>ROUND(I$5*民間住宅2!Z52/民間住宅2!Z$5,0)</f>
        <v>817</v>
      </c>
      <c r="J53" s="733">
        <f>ROUND(J$5*民間住宅2!AA52/民間住宅2!AA$5,0)</f>
        <v>1276</v>
      </c>
      <c r="K53" s="733">
        <f>ROUND(K$5*民間住宅2!AB52/民間住宅2!AB$5,0)</f>
        <v>699</v>
      </c>
      <c r="L53" s="733">
        <f>ROUND(L$5*民間住宅2!AC52/民間住宅2!AC$5,0)</f>
        <v>637</v>
      </c>
      <c r="M53" s="733">
        <f>ROUND(M$5*民間住宅2!AD52/民間住宅2!AD$5,0)</f>
        <v>540</v>
      </c>
      <c r="N53" s="733">
        <f>ROUND(N$5*民間住宅2!AE52/民間住宅2!AE$5,0)</f>
        <v>422</v>
      </c>
      <c r="O53" s="733">
        <f>ROUND(O$5*民間住宅2!AF52/民間住宅2!AF$5,0)</f>
        <v>487</v>
      </c>
      <c r="P53" s="733">
        <f>ROUND(P$5*民間住宅2!AG52/民間住宅2!AG$5,0)</f>
        <v>320</v>
      </c>
      <c r="Q53" s="733">
        <f>ROUND(Q$5*民間住宅2!AH52/民間住宅2!AH$5,0)</f>
        <v>635</v>
      </c>
      <c r="R53" s="733">
        <f>ROUND(R$5*民間住宅2!AI52/民間住宅2!AI$5,0)</f>
        <v>919</v>
      </c>
      <c r="S53" s="733">
        <f>ROUND(S$5*民間住宅2!AJ52/民間住宅2!AJ$5,0)</f>
        <v>351</v>
      </c>
      <c r="T53" s="733">
        <f>ROUND(T$5*民間住宅2!AK52/民間住宅2!AK$5,0)</f>
        <v>651</v>
      </c>
      <c r="U53" s="733">
        <f>ROUND(U$5*民間住宅2!AL52/民間住宅2!AL$5,0)</f>
        <v>508</v>
      </c>
      <c r="V53" s="733">
        <f>ROUND(V$5*民間住宅2!AM52/民間住宅2!AM$5,0)</f>
        <v>486</v>
      </c>
      <c r="W53" s="733">
        <f>ROUND(W$5*民間住宅2!AN52/民間住宅2!AN$5,0)</f>
        <v>551</v>
      </c>
      <c r="X53" s="733">
        <f>ROUND(X$5*民間住宅2!AO52/民間住宅2!AO$5,0)</f>
        <v>522</v>
      </c>
    </row>
    <row r="54" spans="1:24">
      <c r="A54" s="730">
        <v>501</v>
      </c>
      <c r="B54" s="730" t="s">
        <v>335</v>
      </c>
      <c r="C54" s="733">
        <f>ROUND(C$5*民間住宅2!T53/民間住宅2!T$5,0)</f>
        <v>1121</v>
      </c>
      <c r="D54" s="733">
        <f>ROUND(D$5*民間住宅2!U53/民間住宅2!U$5,0)</f>
        <v>805</v>
      </c>
      <c r="E54" s="733">
        <f>ROUND(E$5*民間住宅2!V53/民間住宅2!V$5,0)</f>
        <v>1057</v>
      </c>
      <c r="F54" s="733">
        <f>ROUND(F$5*民間住宅2!W53/民間住宅2!W$5,0)</f>
        <v>1669</v>
      </c>
      <c r="G54" s="733">
        <f>ROUND(G$5*民間住宅2!X53/民間住宅2!X$5,0)</f>
        <v>1806</v>
      </c>
      <c r="H54" s="733">
        <f>ROUND(H$5*民間住宅2!Y53/民間住宅2!Y$5,0)</f>
        <v>2220</v>
      </c>
      <c r="I54" s="733">
        <f>ROUND(I$5*民間住宅2!Z53/民間住宅2!Z$5,0)</f>
        <v>1409</v>
      </c>
      <c r="J54" s="733">
        <f>ROUND(J$5*民間住宅2!AA53/民間住宅2!AA$5,0)</f>
        <v>1136</v>
      </c>
      <c r="K54" s="733">
        <f>ROUND(K$5*民間住宅2!AB53/民間住宅2!AB$5,0)</f>
        <v>741</v>
      </c>
      <c r="L54" s="733">
        <f>ROUND(L$5*民間住宅2!AC53/民間住宅2!AC$5,0)</f>
        <v>418</v>
      </c>
      <c r="M54" s="733">
        <f>ROUND(M$5*民間住宅2!AD53/民間住宅2!AD$5,0)</f>
        <v>713</v>
      </c>
      <c r="N54" s="733">
        <f>ROUND(N$5*民間住宅2!AE53/民間住宅2!AE$5,0)</f>
        <v>507</v>
      </c>
      <c r="O54" s="733">
        <f>ROUND(O$5*民間住宅2!AF53/民間住宅2!AF$5,0)</f>
        <v>571</v>
      </c>
      <c r="P54" s="733">
        <f>ROUND(P$5*民間住宅2!AG53/民間住宅2!AG$5,0)</f>
        <v>799</v>
      </c>
      <c r="Q54" s="733">
        <f>ROUND(Q$5*民間住宅2!AH53/民間住宅2!AH$5,0)</f>
        <v>394</v>
      </c>
      <c r="R54" s="733">
        <f>ROUND(R$5*民間住宅2!AI53/民間住宅2!AI$5,0)</f>
        <v>1557</v>
      </c>
      <c r="S54" s="733">
        <f>ROUND(S$5*民間住宅2!AJ53/民間住宅2!AJ$5,0)</f>
        <v>257</v>
      </c>
      <c r="T54" s="733">
        <f>ROUND(T$5*民間住宅2!AK53/民間住宅2!AK$5,0)</f>
        <v>434</v>
      </c>
      <c r="U54" s="733">
        <f>ROUND(U$5*民間住宅2!AL53/民間住宅2!AL$5,0)</f>
        <v>374</v>
      </c>
      <c r="V54" s="733">
        <f>ROUND(V$5*民間住宅2!AM53/民間住宅2!AM$5,0)</f>
        <v>358</v>
      </c>
      <c r="W54" s="733">
        <f>ROUND(W$5*民間住宅2!AN53/民間住宅2!AN$5,0)</f>
        <v>393</v>
      </c>
      <c r="X54" s="733">
        <f>ROUND(X$5*民間住宅2!AO53/民間住宅2!AO$5,0)</f>
        <v>366</v>
      </c>
    </row>
    <row r="55" spans="1:24">
      <c r="A55" s="728">
        <v>7</v>
      </c>
      <c r="B55" s="728" t="s">
        <v>210</v>
      </c>
      <c r="C55" s="734">
        <f t="shared" ref="C55:L55" si="68">SUM(C56:C60)</f>
        <v>19068</v>
      </c>
      <c r="D55" s="734">
        <f t="shared" si="68"/>
        <v>16954</v>
      </c>
      <c r="E55" s="734">
        <f t="shared" si="68"/>
        <v>14913</v>
      </c>
      <c r="F55" s="734">
        <f t="shared" si="68"/>
        <v>11180</v>
      </c>
      <c r="G55" s="734">
        <f t="shared" si="68"/>
        <v>10485</v>
      </c>
      <c r="H55" s="734">
        <f t="shared" si="68"/>
        <v>10033</v>
      </c>
      <c r="I55" s="734">
        <f t="shared" si="68"/>
        <v>9963</v>
      </c>
      <c r="J55" s="734">
        <f t="shared" si="68"/>
        <v>13473</v>
      </c>
      <c r="K55" s="734">
        <f t="shared" si="68"/>
        <v>9737</v>
      </c>
      <c r="L55" s="734">
        <f t="shared" si="68"/>
        <v>11012</v>
      </c>
      <c r="M55" s="734">
        <f t="shared" ref="M55:R55" si="69">SUM(M56:M60)</f>
        <v>11261</v>
      </c>
      <c r="N55" s="734">
        <f t="shared" si="69"/>
        <v>10412</v>
      </c>
      <c r="O55" s="734">
        <f t="shared" si="69"/>
        <v>12084</v>
      </c>
      <c r="P55" s="734">
        <f t="shared" si="69"/>
        <v>13246</v>
      </c>
      <c r="Q55" s="734">
        <f t="shared" si="69"/>
        <v>9891</v>
      </c>
      <c r="R55" s="734">
        <f t="shared" si="69"/>
        <v>11867</v>
      </c>
      <c r="S55" s="734">
        <f t="shared" ref="S55:X55" si="70">SUM(S56:S60)</f>
        <v>12152</v>
      </c>
      <c r="T55" s="734">
        <f t="shared" si="70"/>
        <v>10985</v>
      </c>
      <c r="U55" s="734">
        <f t="shared" si="70"/>
        <v>11386</v>
      </c>
      <c r="V55" s="734">
        <f t="shared" si="70"/>
        <v>11528</v>
      </c>
      <c r="W55" s="734">
        <f t="shared" si="70"/>
        <v>11225</v>
      </c>
      <c r="X55" s="734">
        <f t="shared" si="70"/>
        <v>11362</v>
      </c>
    </row>
    <row r="56" spans="1:24">
      <c r="A56" s="730">
        <v>209</v>
      </c>
      <c r="B56" s="730" t="s">
        <v>336</v>
      </c>
      <c r="C56" s="733">
        <f>ROUND(C$5*民間住宅2!T55/民間住宅2!T$5,0)</f>
        <v>11959</v>
      </c>
      <c r="D56" s="733">
        <f>ROUND(D$5*民間住宅2!U55/民間住宅2!U$5,0)</f>
        <v>9812</v>
      </c>
      <c r="E56" s="733">
        <f>ROUND(E$5*民間住宅2!V55/民間住宅2!V$5,0)</f>
        <v>7416</v>
      </c>
      <c r="F56" s="733">
        <f>ROUND(F$5*民間住宅2!W55/民間住宅2!W$5,0)</f>
        <v>6963</v>
      </c>
      <c r="G56" s="733">
        <f>ROUND(G$5*民間住宅2!X55/民間住宅2!X$5,0)</f>
        <v>5596</v>
      </c>
      <c r="H56" s="733">
        <f>ROUND(H$5*民間住宅2!Y55/民間住宅2!Y$5,0)</f>
        <v>6581</v>
      </c>
      <c r="I56" s="733">
        <f>ROUND(I$5*民間住宅2!Z55/民間住宅2!Z$5,0)</f>
        <v>6166</v>
      </c>
      <c r="J56" s="733">
        <f>ROUND(J$5*民間住宅2!AA55/民間住宅2!AA$5,0)</f>
        <v>8690</v>
      </c>
      <c r="K56" s="733">
        <f>ROUND(K$5*民間住宅2!AB55/民間住宅2!AB$5,0)</f>
        <v>6139</v>
      </c>
      <c r="L56" s="733">
        <f>ROUND(L$5*民間住宅2!AC55/民間住宅2!AC$5,0)</f>
        <v>5824</v>
      </c>
      <c r="M56" s="733">
        <f>ROUND(M$5*民間住宅2!AD55/民間住宅2!AD$5,0)</f>
        <v>6744</v>
      </c>
      <c r="N56" s="733">
        <f>ROUND(N$5*民間住宅2!AE55/民間住宅2!AE$5,0)</f>
        <v>5914</v>
      </c>
      <c r="O56" s="733">
        <f>ROUND(O$5*民間住宅2!AF55/民間住宅2!AF$5,0)</f>
        <v>7365</v>
      </c>
      <c r="P56" s="733">
        <f>ROUND(P$5*民間住宅2!AG55/民間住宅2!AG$5,0)</f>
        <v>8268</v>
      </c>
      <c r="Q56" s="733">
        <f>ROUND(Q$5*民間住宅2!AH55/民間住宅2!AH$5,0)</f>
        <v>6061</v>
      </c>
      <c r="R56" s="733">
        <f>ROUND(R$5*民間住宅2!AI55/民間住宅2!AI$5,0)</f>
        <v>7401</v>
      </c>
      <c r="S56" s="733">
        <f>ROUND(S$5*民間住宅2!AJ55/民間住宅2!AJ$5,0)</f>
        <v>7548</v>
      </c>
      <c r="T56" s="733">
        <f>ROUND(T$5*民間住宅2!AK55/民間住宅2!AK$5,0)</f>
        <v>7161</v>
      </c>
      <c r="U56" s="733">
        <f>ROUND(U$5*民間住宅2!AL55/民間住宅2!AL$5,0)</f>
        <v>6896</v>
      </c>
      <c r="V56" s="733">
        <f>ROUND(V$5*民間住宅2!AM55/民間住宅2!AM$5,0)</f>
        <v>7209</v>
      </c>
      <c r="W56" s="733">
        <f>ROUND(W$5*民間住宅2!AN55/民間住宅2!AN$5,0)</f>
        <v>7028</v>
      </c>
      <c r="X56" s="733">
        <f>ROUND(X$5*民間住宅2!AO55/民間住宅2!AO$5,0)</f>
        <v>7026</v>
      </c>
    </row>
    <row r="57" spans="1:24">
      <c r="A57" s="730">
        <v>222</v>
      </c>
      <c r="B57" s="730" t="s">
        <v>337</v>
      </c>
      <c r="C57" s="733">
        <f>ROUND(C$5*民間住宅2!T56/民間住宅2!T$5,0)</f>
        <v>1837</v>
      </c>
      <c r="D57" s="733">
        <f>ROUND(D$5*民間住宅2!U56/民間住宅2!U$5,0)</f>
        <v>1547</v>
      </c>
      <c r="E57" s="733">
        <f>ROUND(E$5*民間住宅2!V56/民間住宅2!V$5,0)</f>
        <v>1788</v>
      </c>
      <c r="F57" s="733">
        <f>ROUND(F$5*民間住宅2!W56/民間住宅2!W$5,0)</f>
        <v>1059</v>
      </c>
      <c r="G57" s="733">
        <f>ROUND(G$5*民間住宅2!X56/民間住宅2!X$5,0)</f>
        <v>1747</v>
      </c>
      <c r="H57" s="733">
        <f>ROUND(H$5*民間住宅2!Y56/民間住宅2!Y$5,0)</f>
        <v>706</v>
      </c>
      <c r="I57" s="733">
        <f>ROUND(I$5*民間住宅2!Z56/民間住宅2!Z$5,0)</f>
        <v>1143</v>
      </c>
      <c r="J57" s="733">
        <f>ROUND(J$5*民間住宅2!AA56/民間住宅2!AA$5,0)</f>
        <v>1535</v>
      </c>
      <c r="K57" s="733">
        <f>ROUND(K$5*民間住宅2!AB56/民間住宅2!AB$5,0)</f>
        <v>868</v>
      </c>
      <c r="L57" s="733">
        <f>ROUND(L$5*民間住宅2!AC56/民間住宅2!AC$5,0)</f>
        <v>1495</v>
      </c>
      <c r="M57" s="733">
        <f>ROUND(M$5*民間住宅2!AD56/民間住宅2!AD$5,0)</f>
        <v>1556</v>
      </c>
      <c r="N57" s="733">
        <f>ROUND(N$5*民間住宅2!AE56/民間住宅2!AE$5,0)</f>
        <v>1288</v>
      </c>
      <c r="O57" s="733">
        <f>ROUND(O$5*民間住宅2!AF56/民間住宅2!AF$5,0)</f>
        <v>1185</v>
      </c>
      <c r="P57" s="733">
        <f>ROUND(P$5*民間住宅2!AG56/民間住宅2!AG$5,0)</f>
        <v>1119</v>
      </c>
      <c r="Q57" s="733">
        <f>ROUND(Q$5*民間住宅2!AH56/民間住宅2!AH$5,0)</f>
        <v>1116</v>
      </c>
      <c r="R57" s="733">
        <f>ROUND(R$5*民間住宅2!AI56/民間住宅2!AI$5,0)</f>
        <v>1021</v>
      </c>
      <c r="S57" s="733">
        <f>ROUND(S$5*民間住宅2!AJ56/民間住宅2!AJ$5,0)</f>
        <v>1192</v>
      </c>
      <c r="T57" s="733">
        <f>ROUND(T$5*民間住宅2!AK56/民間住宅2!AK$5,0)</f>
        <v>895</v>
      </c>
      <c r="U57" s="733">
        <f>ROUND(U$5*民間住宅2!AL56/民間住宅2!AL$5,0)</f>
        <v>1363</v>
      </c>
      <c r="V57" s="733">
        <f>ROUND(V$5*民間住宅2!AM56/民間住宅2!AM$5,0)</f>
        <v>1150</v>
      </c>
      <c r="W57" s="733">
        <f>ROUND(W$5*民間住宅2!AN56/民間住宅2!AN$5,0)</f>
        <v>1128</v>
      </c>
      <c r="X57" s="733">
        <f>ROUND(X$5*民間住宅2!AO56/民間住宅2!AO$5,0)</f>
        <v>1201</v>
      </c>
    </row>
    <row r="58" spans="1:24">
      <c r="A58" s="730">
        <v>225</v>
      </c>
      <c r="B58" s="730" t="s">
        <v>222</v>
      </c>
      <c r="C58" s="733">
        <f>ROUND(C$5*民間住宅2!T57/民間住宅2!T$5,0)</f>
        <v>3325</v>
      </c>
      <c r="D58" s="733">
        <f>ROUND(D$5*民間住宅2!U57/民間住宅2!U$5,0)</f>
        <v>3603</v>
      </c>
      <c r="E58" s="733">
        <f>ROUND(E$5*民間住宅2!V57/民間住宅2!V$5,0)</f>
        <v>3982</v>
      </c>
      <c r="F58" s="733">
        <f>ROUND(F$5*民間住宅2!W57/民間住宅2!W$5,0)</f>
        <v>1938</v>
      </c>
      <c r="G58" s="733">
        <f>ROUND(G$5*民間住宅2!X57/民間住宅2!X$5,0)</f>
        <v>2062</v>
      </c>
      <c r="H58" s="733">
        <f>ROUND(H$5*民間住宅2!Y57/民間住宅2!Y$5,0)</f>
        <v>1595</v>
      </c>
      <c r="I58" s="733">
        <f>ROUND(I$5*民間住宅2!Z57/民間住宅2!Z$5,0)</f>
        <v>1674</v>
      </c>
      <c r="J58" s="733">
        <f>ROUND(J$5*民間住宅2!AA57/民間住宅2!AA$5,0)</f>
        <v>2152</v>
      </c>
      <c r="K58" s="733">
        <f>ROUND(K$5*民間住宅2!AB57/民間住宅2!AB$5,0)</f>
        <v>1778</v>
      </c>
      <c r="L58" s="733">
        <f>ROUND(L$5*民間住宅2!AC57/民間住宅2!AC$5,0)</f>
        <v>2616</v>
      </c>
      <c r="M58" s="733">
        <f>ROUND(M$5*民間住宅2!AD57/民間住宅2!AD$5,0)</f>
        <v>1902</v>
      </c>
      <c r="N58" s="733">
        <f>ROUND(N$5*民間住宅2!AE57/民間住宅2!AE$5,0)</f>
        <v>1943</v>
      </c>
      <c r="O58" s="733">
        <f>ROUND(O$5*民間住宅2!AF57/民間住宅2!AF$5,0)</f>
        <v>2349</v>
      </c>
      <c r="P58" s="733">
        <f>ROUND(P$5*民間住宅2!AG57/民間住宅2!AG$5,0)</f>
        <v>2512</v>
      </c>
      <c r="Q58" s="733">
        <f>ROUND(Q$5*民間住宅2!AH57/民間住宅2!AH$5,0)</f>
        <v>2079</v>
      </c>
      <c r="R58" s="733">
        <f>ROUND(R$5*民間住宅2!AI57/民間住宅2!AI$5,0)</f>
        <v>2169</v>
      </c>
      <c r="S58" s="733">
        <f>ROUND(S$5*民間住宅2!AJ57/民間住宅2!AJ$5,0)</f>
        <v>2501</v>
      </c>
      <c r="T58" s="733">
        <f>ROUND(T$5*民間住宅2!AK57/民間住宅2!AK$5,0)</f>
        <v>1953</v>
      </c>
      <c r="U58" s="733">
        <f>ROUND(U$5*民間住宅2!AL57/民間住宅2!AL$5,0)</f>
        <v>2085</v>
      </c>
      <c r="V58" s="733">
        <f>ROUND(V$5*民間住宅2!AM57/民間住宅2!AM$5,0)</f>
        <v>2198</v>
      </c>
      <c r="W58" s="733">
        <f>ROUND(W$5*民間住宅2!AN57/民間住宅2!AN$5,0)</f>
        <v>2072</v>
      </c>
      <c r="X58" s="733">
        <f>ROUND(X$5*民間住宅2!AO57/民間住宅2!AO$5,0)</f>
        <v>2116</v>
      </c>
    </row>
    <row r="59" spans="1:24">
      <c r="A59" s="730">
        <v>585</v>
      </c>
      <c r="B59" s="730" t="s">
        <v>220</v>
      </c>
      <c r="C59" s="733">
        <f>ROUND(C$5*民間住宅2!T58/民間住宅2!T$5,0)</f>
        <v>900</v>
      </c>
      <c r="D59" s="733">
        <f>ROUND(D$5*民間住宅2!U58/民間住宅2!U$5,0)</f>
        <v>1250</v>
      </c>
      <c r="E59" s="733">
        <f>ROUND(E$5*民間住宅2!V58/民間住宅2!V$5,0)</f>
        <v>955</v>
      </c>
      <c r="F59" s="733">
        <f>ROUND(F$5*民間住宅2!W58/民間住宅2!W$5,0)</f>
        <v>646</v>
      </c>
      <c r="G59" s="733">
        <f>ROUND(G$5*民間住宅2!X58/民間住宅2!X$5,0)</f>
        <v>452</v>
      </c>
      <c r="H59" s="733">
        <f>ROUND(H$5*民間住宅2!Y58/民間住宅2!Y$5,0)</f>
        <v>727</v>
      </c>
      <c r="I59" s="733">
        <f>ROUND(I$5*民間住宅2!Z58/民間住宅2!Z$5,0)</f>
        <v>694</v>
      </c>
      <c r="J59" s="733">
        <f>ROUND(J$5*民間住宅2!AA58/民間住宅2!AA$5,0)</f>
        <v>438</v>
      </c>
      <c r="K59" s="733">
        <f>ROUND(K$5*民間住宅2!AB58/民間住宅2!AB$5,0)</f>
        <v>529</v>
      </c>
      <c r="L59" s="733">
        <f>ROUND(L$5*民間住宅2!AC58/民間住宅2!AC$5,0)</f>
        <v>703</v>
      </c>
      <c r="M59" s="733">
        <f>ROUND(M$5*民間住宅2!AD58/民間住宅2!AD$5,0)</f>
        <v>411</v>
      </c>
      <c r="N59" s="733">
        <f>ROUND(N$5*民間住宅2!AE58/民間住宅2!AE$5,0)</f>
        <v>845</v>
      </c>
      <c r="O59" s="733">
        <f>ROUND(O$5*民間住宅2!AF58/民間住宅2!AF$5,0)</f>
        <v>677</v>
      </c>
      <c r="P59" s="733">
        <f>ROUND(P$5*民間住宅2!AG58/民間住宅2!AG$5,0)</f>
        <v>662</v>
      </c>
      <c r="Q59" s="733">
        <f>ROUND(Q$5*民間住宅2!AH58/民間住宅2!AH$5,0)</f>
        <v>263</v>
      </c>
      <c r="R59" s="733">
        <f>ROUND(R$5*民間住宅2!AI58/民間住宅2!AI$5,0)</f>
        <v>434</v>
      </c>
      <c r="S59" s="733">
        <f>ROUND(S$5*民間住宅2!AJ58/民間住宅2!AJ$5,0)</f>
        <v>327</v>
      </c>
      <c r="T59" s="733">
        <f>ROUND(T$5*民間住宅2!AK58/民間住宅2!AK$5,0)</f>
        <v>488</v>
      </c>
      <c r="U59" s="733">
        <f>ROUND(U$5*民間住宅2!AL58/民間住宅2!AL$5,0)</f>
        <v>454</v>
      </c>
      <c r="V59" s="733">
        <f>ROUND(V$5*民間住宅2!AM58/民間住宅2!AM$5,0)</f>
        <v>409</v>
      </c>
      <c r="W59" s="733">
        <f>ROUND(W$5*民間住宅2!AN58/民間住宅2!AN$5,0)</f>
        <v>446</v>
      </c>
      <c r="X59" s="733">
        <f>ROUND(X$5*民間住宅2!AO58/民間住宅2!AO$5,0)</f>
        <v>444</v>
      </c>
    </row>
    <row r="60" spans="1:24">
      <c r="A60" s="731">
        <v>586</v>
      </c>
      <c r="B60" s="731" t="s">
        <v>338</v>
      </c>
      <c r="C60" s="735">
        <f>ROUND(C$5*民間住宅2!T59/民間住宅2!T$5,0)</f>
        <v>1047</v>
      </c>
      <c r="D60" s="735">
        <f>ROUND(D$5*民間住宅2!U59/民間住宅2!U$5,0)</f>
        <v>742</v>
      </c>
      <c r="E60" s="735">
        <f>ROUND(E$5*民間住宅2!V59/民間住宅2!V$5,0)</f>
        <v>772</v>
      </c>
      <c r="F60" s="735">
        <f>ROUND(F$5*民間住宅2!W59/民間住宅2!W$5,0)</f>
        <v>574</v>
      </c>
      <c r="G60" s="735">
        <f>ROUND(G$5*民間住宅2!X59/民間住宅2!X$5,0)</f>
        <v>628</v>
      </c>
      <c r="H60" s="735">
        <f>ROUND(H$5*民間住宅2!Y59/民間住宅2!Y$5,0)</f>
        <v>424</v>
      </c>
      <c r="I60" s="735">
        <f>ROUND(I$5*民間住宅2!Z59/民間住宅2!Z$5,0)</f>
        <v>286</v>
      </c>
      <c r="J60" s="735">
        <f>ROUND(J$5*民間住宅2!AA59/民間住宅2!AA$5,0)</f>
        <v>658</v>
      </c>
      <c r="K60" s="735">
        <f>ROUND(K$5*民間住宅2!AB59/民間住宅2!AB$5,0)</f>
        <v>423</v>
      </c>
      <c r="L60" s="735">
        <f>ROUND(L$5*民間住宅2!AC59/民間住宅2!AC$5,0)</f>
        <v>374</v>
      </c>
      <c r="M60" s="735">
        <f>ROUND(M$5*民間住宅2!AD59/民間住宅2!AD$5,0)</f>
        <v>648</v>
      </c>
      <c r="N60" s="735">
        <f>ROUND(N$5*民間住宅2!AE59/民間住宅2!AE$5,0)</f>
        <v>422</v>
      </c>
      <c r="O60" s="735">
        <f>ROUND(O$5*民間住宅2!AF59/民間住宅2!AF$5,0)</f>
        <v>508</v>
      </c>
      <c r="P60" s="735">
        <f>ROUND(P$5*民間住宅2!AG59/民間住宅2!AG$5,0)</f>
        <v>685</v>
      </c>
      <c r="Q60" s="735">
        <f>ROUND(Q$5*民間住宅2!AH59/民間住宅2!AH$5,0)</f>
        <v>372</v>
      </c>
      <c r="R60" s="735">
        <f>ROUND(R$5*民間住宅2!AI59/民間住宅2!AI$5,0)</f>
        <v>842</v>
      </c>
      <c r="S60" s="735">
        <f>ROUND(S$5*民間住宅2!AJ59/民間住宅2!AJ$5,0)</f>
        <v>584</v>
      </c>
      <c r="T60" s="735">
        <f>ROUND(T$5*民間住宅2!AK59/民間住宅2!AK$5,0)</f>
        <v>488</v>
      </c>
      <c r="U60" s="735">
        <f>ROUND(U$5*民間住宅2!AL59/民間住宅2!AL$5,0)</f>
        <v>588</v>
      </c>
      <c r="V60" s="735">
        <f>ROUND(V$5*民間住宅2!AM59/民間住宅2!AM$5,0)</f>
        <v>562</v>
      </c>
      <c r="W60" s="735">
        <f>ROUND(W$5*民間住宅2!AN59/民間住宅2!AN$5,0)</f>
        <v>551</v>
      </c>
      <c r="X60" s="735">
        <f>ROUND(X$5*民間住宅2!AO59/民間住宅2!AO$5,0)</f>
        <v>575</v>
      </c>
    </row>
    <row r="61" spans="1:24">
      <c r="A61" s="730">
        <v>8</v>
      </c>
      <c r="B61" s="730" t="s">
        <v>211</v>
      </c>
      <c r="C61" s="733">
        <f t="shared" ref="C61:L61" si="71">SUM(C62:C63)</f>
        <v>9938</v>
      </c>
      <c r="D61" s="733">
        <f t="shared" si="71"/>
        <v>13118</v>
      </c>
      <c r="E61" s="733">
        <f t="shared" si="71"/>
        <v>10444</v>
      </c>
      <c r="F61" s="733">
        <f t="shared" si="71"/>
        <v>5635</v>
      </c>
      <c r="G61" s="733">
        <f t="shared" si="71"/>
        <v>6027</v>
      </c>
      <c r="H61" s="733">
        <f t="shared" si="71"/>
        <v>6419</v>
      </c>
      <c r="I61" s="733">
        <f t="shared" si="71"/>
        <v>6717</v>
      </c>
      <c r="J61" s="733">
        <f t="shared" si="71"/>
        <v>10005</v>
      </c>
      <c r="K61" s="733">
        <f t="shared" si="71"/>
        <v>6775</v>
      </c>
      <c r="L61" s="733">
        <f t="shared" si="71"/>
        <v>11605</v>
      </c>
      <c r="M61" s="733">
        <f t="shared" ref="M61:R61" si="72">SUM(M62:M63)</f>
        <v>10072</v>
      </c>
      <c r="N61" s="733">
        <f t="shared" si="72"/>
        <v>9441</v>
      </c>
      <c r="O61" s="733">
        <f t="shared" si="72"/>
        <v>12465</v>
      </c>
      <c r="P61" s="733">
        <f t="shared" si="72"/>
        <v>11878</v>
      </c>
      <c r="Q61" s="733">
        <f t="shared" si="72"/>
        <v>8491</v>
      </c>
      <c r="R61" s="733">
        <f t="shared" si="72"/>
        <v>11152</v>
      </c>
      <c r="S61" s="733">
        <f t="shared" ref="S61:X61" si="73">SUM(S62:S63)</f>
        <v>10166</v>
      </c>
      <c r="T61" s="733">
        <f t="shared" si="73"/>
        <v>9033</v>
      </c>
      <c r="U61" s="733">
        <f t="shared" si="73"/>
        <v>11065</v>
      </c>
      <c r="V61" s="733">
        <f t="shared" si="73"/>
        <v>10072</v>
      </c>
      <c r="W61" s="733">
        <f t="shared" si="73"/>
        <v>9992</v>
      </c>
      <c r="X61" s="733">
        <f t="shared" si="73"/>
        <v>10344</v>
      </c>
    </row>
    <row r="62" spans="1:24">
      <c r="A62" s="730">
        <v>221</v>
      </c>
      <c r="B62" s="730" t="s">
        <v>1150</v>
      </c>
      <c r="C62" s="733">
        <f>ROUND(C$5*民間住宅2!T61/民間住宅2!T$5,0)</f>
        <v>4280</v>
      </c>
      <c r="D62" s="733">
        <f>ROUND(D$5*民間住宅2!U61/民間住宅2!U$5,0)</f>
        <v>5192</v>
      </c>
      <c r="E62" s="733">
        <f>ROUND(E$5*民間住宅2!V61/民間住宅2!V$5,0)</f>
        <v>4775</v>
      </c>
      <c r="F62" s="733">
        <f>ROUND(F$5*民間住宅2!W61/民間住宅2!W$5,0)</f>
        <v>2692</v>
      </c>
      <c r="G62" s="733">
        <f>ROUND(G$5*民間住宅2!X61/民間住宅2!X$5,0)</f>
        <v>2513</v>
      </c>
      <c r="H62" s="733">
        <f>ROUND(H$5*民間住宅2!Y61/民間住宅2!Y$5,0)</f>
        <v>2644</v>
      </c>
      <c r="I62" s="733">
        <f>ROUND(I$5*民間住宅2!Z61/民間住宅2!Z$5,0)</f>
        <v>2940</v>
      </c>
      <c r="J62" s="733">
        <f>ROUND(J$5*民間住宅2!AA61/民間住宅2!AA$5,0)</f>
        <v>4066</v>
      </c>
      <c r="K62" s="733">
        <f>ROUND(K$5*民間住宅2!AB61/民間住宅2!AB$5,0)</f>
        <v>3324</v>
      </c>
      <c r="L62" s="733">
        <f>ROUND(L$5*民間住宅2!AC61/民間住宅2!AC$5,0)</f>
        <v>4945</v>
      </c>
      <c r="M62" s="733">
        <f>ROUND(M$5*民間住宅2!AD61/民間住宅2!AD$5,0)</f>
        <v>3696</v>
      </c>
      <c r="N62" s="733">
        <f>ROUND(N$5*民間住宅2!AE61/民間住宅2!AE$5,0)</f>
        <v>3675</v>
      </c>
      <c r="O62" s="733">
        <f>ROUND(O$5*民間住宅2!AF61/民間住宅2!AF$5,0)</f>
        <v>4021</v>
      </c>
      <c r="P62" s="733">
        <f>ROUND(P$5*民間住宅2!AG61/民間住宅2!AG$5,0)</f>
        <v>4363</v>
      </c>
      <c r="Q62" s="733">
        <f>ROUND(Q$5*民間住宅2!AH61/民間住宅2!AH$5,0)</f>
        <v>2254</v>
      </c>
      <c r="R62" s="733">
        <f>ROUND(R$5*民間住宅2!AI61/民間住宅2!AI$5,0)</f>
        <v>3547</v>
      </c>
      <c r="S62" s="733">
        <f>ROUND(S$5*民間住宅2!AJ61/民間住宅2!AJ$5,0)</f>
        <v>4908</v>
      </c>
      <c r="T62" s="733">
        <f>ROUND(T$5*民間住宅2!AK61/民間住宅2!AK$5,0)</f>
        <v>4557</v>
      </c>
      <c r="U62" s="733">
        <f>ROUND(U$5*民間住宅2!AL61/民間住宅2!AL$5,0)</f>
        <v>4784</v>
      </c>
      <c r="V62" s="733">
        <f>ROUND(V$5*民間住宅2!AM61/民間住宅2!AM$5,0)</f>
        <v>4755</v>
      </c>
      <c r="W62" s="733">
        <f>ROUND(W$5*民間住宅2!AN61/民間住宅2!AN$5,0)</f>
        <v>4668</v>
      </c>
      <c r="X62" s="733">
        <f>ROUND(X$5*民間住宅2!AO61/民間住宅2!AO$5,0)</f>
        <v>4728</v>
      </c>
    </row>
    <row r="63" spans="1:24">
      <c r="A63" s="730">
        <v>223</v>
      </c>
      <c r="B63" s="730" t="s">
        <v>223</v>
      </c>
      <c r="C63" s="733">
        <f>ROUND(C$5*民間住宅2!T62/民間住宅2!T$5,0)</f>
        <v>5658</v>
      </c>
      <c r="D63" s="733">
        <f>ROUND(D$5*民間住宅2!U62/民間住宅2!U$5,0)</f>
        <v>7926</v>
      </c>
      <c r="E63" s="733">
        <f>ROUND(E$5*民間住宅2!V62/民間住宅2!V$5,0)</f>
        <v>5669</v>
      </c>
      <c r="F63" s="733">
        <f>ROUND(F$5*民間住宅2!W62/民間住宅2!W$5,0)</f>
        <v>2943</v>
      </c>
      <c r="G63" s="733">
        <f>ROUND(G$5*民間住宅2!X62/民間住宅2!X$5,0)</f>
        <v>3514</v>
      </c>
      <c r="H63" s="733">
        <f>ROUND(H$5*民間住宅2!Y62/民間住宅2!Y$5,0)</f>
        <v>3775</v>
      </c>
      <c r="I63" s="733">
        <f>ROUND(I$5*民間住宅2!Z62/民間住宅2!Z$5,0)</f>
        <v>3777</v>
      </c>
      <c r="J63" s="733">
        <f>ROUND(J$5*民間住宅2!AA62/民間住宅2!AA$5,0)</f>
        <v>5939</v>
      </c>
      <c r="K63" s="733">
        <f>ROUND(K$5*民間住宅2!AB62/民間住宅2!AB$5,0)</f>
        <v>3451</v>
      </c>
      <c r="L63" s="733">
        <f>ROUND(L$5*民間住宅2!AC62/民間住宅2!AC$5,0)</f>
        <v>6660</v>
      </c>
      <c r="M63" s="733">
        <f>ROUND(M$5*民間住宅2!AD62/民間住宅2!AD$5,0)</f>
        <v>6376</v>
      </c>
      <c r="N63" s="733">
        <f>ROUND(N$5*民間住宅2!AE62/民間住宅2!AE$5,0)</f>
        <v>5766</v>
      </c>
      <c r="O63" s="733">
        <f>ROUND(O$5*民間住宅2!AF62/民間住宅2!AF$5,0)</f>
        <v>8444</v>
      </c>
      <c r="P63" s="733">
        <f>ROUND(P$5*民間住宅2!AG62/民間住宅2!AG$5,0)</f>
        <v>7515</v>
      </c>
      <c r="Q63" s="733">
        <f>ROUND(Q$5*民間住宅2!AH62/民間住宅2!AH$5,0)</f>
        <v>6237</v>
      </c>
      <c r="R63" s="733">
        <f>ROUND(R$5*民間住宅2!AI62/民間住宅2!AI$5,0)</f>
        <v>7605</v>
      </c>
      <c r="S63" s="733">
        <f>ROUND(S$5*民間住宅2!AJ62/民間住宅2!AJ$5,0)</f>
        <v>5258</v>
      </c>
      <c r="T63" s="733">
        <f>ROUND(T$5*民間住宅2!AK62/民間住宅2!AK$5,0)</f>
        <v>4476</v>
      </c>
      <c r="U63" s="733">
        <f>ROUND(U$5*民間住宅2!AL62/民間住宅2!AL$5,0)</f>
        <v>6281</v>
      </c>
      <c r="V63" s="733">
        <f>ROUND(V$5*民間住宅2!AM62/民間住宅2!AM$5,0)</f>
        <v>5317</v>
      </c>
      <c r="W63" s="733">
        <f>ROUND(W$5*民間住宅2!AN62/民間住宅2!AN$5,0)</f>
        <v>5324</v>
      </c>
      <c r="X63" s="733">
        <f>ROUND(X$5*民間住宅2!AO62/民間住宅2!AO$5,0)</f>
        <v>5616</v>
      </c>
    </row>
    <row r="64" spans="1:24">
      <c r="A64" s="728">
        <v>9</v>
      </c>
      <c r="B64" s="728" t="s">
        <v>212</v>
      </c>
      <c r="C64" s="734">
        <f t="shared" ref="C64:L64" si="74">SUM(C65:C67)</f>
        <v>13190</v>
      </c>
      <c r="D64" s="734">
        <f t="shared" si="74"/>
        <v>14177</v>
      </c>
      <c r="E64" s="734">
        <f t="shared" si="74"/>
        <v>13105</v>
      </c>
      <c r="F64" s="734">
        <f t="shared" si="74"/>
        <v>16277</v>
      </c>
      <c r="G64" s="734">
        <f t="shared" si="74"/>
        <v>11270</v>
      </c>
      <c r="H64" s="734">
        <f t="shared" si="74"/>
        <v>12051</v>
      </c>
      <c r="I64" s="734">
        <f t="shared" si="74"/>
        <v>9065</v>
      </c>
      <c r="J64" s="734">
        <f t="shared" si="74"/>
        <v>13353</v>
      </c>
      <c r="K64" s="734">
        <f t="shared" si="74"/>
        <v>11537</v>
      </c>
      <c r="L64" s="734">
        <f t="shared" si="74"/>
        <v>12792</v>
      </c>
      <c r="M64" s="734">
        <f t="shared" ref="M64:R64" si="75">SUM(M65:M67)</f>
        <v>10959</v>
      </c>
      <c r="N64" s="734">
        <f t="shared" si="75"/>
        <v>10264</v>
      </c>
      <c r="O64" s="734">
        <f t="shared" si="75"/>
        <v>9714</v>
      </c>
      <c r="P64" s="734">
        <f t="shared" si="75"/>
        <v>11055</v>
      </c>
      <c r="Q64" s="734">
        <f t="shared" si="75"/>
        <v>8513</v>
      </c>
      <c r="R64" s="734">
        <f t="shared" si="75"/>
        <v>16793</v>
      </c>
      <c r="S64" s="734">
        <f t="shared" ref="S64:X64" si="76">SUM(S65:S67)</f>
        <v>12947</v>
      </c>
      <c r="T64" s="734">
        <f t="shared" si="76"/>
        <v>16086</v>
      </c>
      <c r="U64" s="734">
        <f t="shared" si="76"/>
        <v>15530</v>
      </c>
      <c r="V64" s="734">
        <f t="shared" si="76"/>
        <v>14725</v>
      </c>
      <c r="W64" s="734">
        <f t="shared" si="76"/>
        <v>15290</v>
      </c>
      <c r="X64" s="734">
        <f t="shared" si="76"/>
        <v>15149</v>
      </c>
    </row>
    <row r="65" spans="1:24">
      <c r="A65" s="730">
        <v>205</v>
      </c>
      <c r="B65" s="730" t="s">
        <v>339</v>
      </c>
      <c r="C65" s="733">
        <f>ROUND(C$5*民間住宅2!T64/民間住宅2!T$5,0)</f>
        <v>4097</v>
      </c>
      <c r="D65" s="733">
        <f>ROUND(D$5*民間住宅2!U64/民間住宅2!U$5,0)</f>
        <v>3730</v>
      </c>
      <c r="E65" s="733">
        <f>ROUND(E$5*民間住宅2!V64/民間住宅2!V$5,0)</f>
        <v>4307</v>
      </c>
      <c r="F65" s="733">
        <f>ROUND(F$5*民間住宅2!W64/民間住宅2!W$5,0)</f>
        <v>3661</v>
      </c>
      <c r="G65" s="733">
        <f>ROUND(G$5*民間住宅2!X64/民間住宅2!X$5,0)</f>
        <v>2572</v>
      </c>
      <c r="H65" s="733">
        <f>ROUND(H$5*民間住宅2!Y64/民間住宅2!Y$5,0)</f>
        <v>3694</v>
      </c>
      <c r="I65" s="733">
        <f>ROUND(I$5*民間住宅2!Z64/民間住宅2!Z$5,0)</f>
        <v>2552</v>
      </c>
      <c r="J65" s="733">
        <f>ROUND(J$5*民間住宅2!AA64/民間住宅2!AA$5,0)</f>
        <v>4245</v>
      </c>
      <c r="K65" s="733">
        <f>ROUND(K$5*民間住宅2!AB64/民間住宅2!AB$5,0)</f>
        <v>3535</v>
      </c>
      <c r="L65" s="733">
        <f>ROUND(L$5*民間住宅2!AC64/民間住宅2!AC$5,0)</f>
        <v>4022</v>
      </c>
      <c r="M65" s="733">
        <f>ROUND(M$5*民間住宅2!AD64/民間住宅2!AD$5,0)</f>
        <v>3415</v>
      </c>
      <c r="N65" s="733">
        <f>ROUND(N$5*民間住宅2!AE64/民間住宅2!AE$5,0)</f>
        <v>4435</v>
      </c>
      <c r="O65" s="733">
        <f>ROUND(O$5*民間住宅2!AF64/民間住宅2!AF$5,0)</f>
        <v>2857</v>
      </c>
      <c r="P65" s="733">
        <f>ROUND(P$5*民間住宅2!AG64/民間住宅2!AG$5,0)</f>
        <v>3974</v>
      </c>
      <c r="Q65" s="733">
        <f>ROUND(Q$5*民間住宅2!AH64/民間住宅2!AH$5,0)</f>
        <v>2276</v>
      </c>
      <c r="R65" s="733">
        <f>ROUND(R$5*民間住宅2!AI64/民間住宅2!AI$5,0)</f>
        <v>4594</v>
      </c>
      <c r="S65" s="733">
        <f>ROUND(S$5*民間住宅2!AJ64/民間住宅2!AJ$5,0)</f>
        <v>4791</v>
      </c>
      <c r="T65" s="733">
        <f>ROUND(T$5*民間住宅2!AK64/民間住宅2!AK$5,0)</f>
        <v>4042</v>
      </c>
      <c r="U65" s="733">
        <f>ROUND(U$5*民間住宅2!AL64/民間住宅2!AL$5,0)</f>
        <v>4464</v>
      </c>
      <c r="V65" s="733">
        <f>ROUND(V$5*民間住宅2!AM64/民間住宅2!AM$5,0)</f>
        <v>4448</v>
      </c>
      <c r="W65" s="733">
        <f>ROUND(W$5*民間住宅2!AN64/民間住宅2!AN$5,0)</f>
        <v>4275</v>
      </c>
      <c r="X65" s="733">
        <f>ROUND(X$5*民間住宅2!AO64/民間住宅2!AO$5,0)</f>
        <v>4388</v>
      </c>
    </row>
    <row r="66" spans="1:24">
      <c r="A66" s="730">
        <v>224</v>
      </c>
      <c r="B66" s="730" t="s">
        <v>224</v>
      </c>
      <c r="C66" s="733">
        <f>ROUND(C$5*民間住宅2!T65/民間住宅2!T$5,0)</f>
        <v>3619</v>
      </c>
      <c r="D66" s="733">
        <f>ROUND(D$5*民間住宅2!U65/民間住宅2!U$5,0)</f>
        <v>6018</v>
      </c>
      <c r="E66" s="733">
        <f>ROUND(E$5*民間住宅2!V65/民間住宅2!V$5,0)</f>
        <v>5506</v>
      </c>
      <c r="F66" s="733">
        <f>ROUND(F$5*民間住宅2!W65/民間住宅2!W$5,0)</f>
        <v>3320</v>
      </c>
      <c r="G66" s="733">
        <f>ROUND(G$5*民間住宅2!X65/民間住宅2!X$5,0)</f>
        <v>5301</v>
      </c>
      <c r="H66" s="733">
        <f>ROUND(H$5*民間住宅2!Y65/民間住宅2!Y$5,0)</f>
        <v>4421</v>
      </c>
      <c r="I66" s="733">
        <f>ROUND(I$5*民間住宅2!Z65/民間住宅2!Z$5,0)</f>
        <v>3614</v>
      </c>
      <c r="J66" s="733">
        <f>ROUND(J$5*民間住宅2!AA65/民間住宅2!AA$5,0)</f>
        <v>4863</v>
      </c>
      <c r="K66" s="733">
        <f>ROUND(K$5*民間住宅2!AB65/民間住宅2!AB$5,0)</f>
        <v>4530</v>
      </c>
      <c r="L66" s="733">
        <f>ROUND(L$5*民間住宅2!AC65/民間住宅2!AC$5,0)</f>
        <v>5495</v>
      </c>
      <c r="M66" s="733">
        <f>ROUND(M$5*民間住宅2!AD65/民間住宅2!AD$5,0)</f>
        <v>3761</v>
      </c>
      <c r="N66" s="733">
        <f>ROUND(N$5*民間住宅2!AE65/民間住宅2!AE$5,0)</f>
        <v>3358</v>
      </c>
      <c r="O66" s="733">
        <f>ROUND(O$5*民間住宅2!AF65/民間住宅2!AF$5,0)</f>
        <v>3725</v>
      </c>
      <c r="P66" s="733">
        <f>ROUND(P$5*民間住宅2!AG65/民間住宅2!AG$5,0)</f>
        <v>3152</v>
      </c>
      <c r="Q66" s="733">
        <f>ROUND(Q$5*民間住宅2!AH65/民間住宅2!AH$5,0)</f>
        <v>2823</v>
      </c>
      <c r="R66" s="733">
        <f>ROUND(R$5*民間住宅2!AI65/民間住宅2!AI$5,0)</f>
        <v>4134</v>
      </c>
      <c r="S66" s="733">
        <f>ROUND(S$5*民間住宅2!AJ65/民間住宅2!AJ$5,0)</f>
        <v>3529</v>
      </c>
      <c r="T66" s="733">
        <f>ROUND(T$5*民間住宅2!AK65/民間住宅2!AK$5,0)</f>
        <v>2523</v>
      </c>
      <c r="U66" s="733">
        <f>ROUND(U$5*民間住宅2!AL65/民間住宅2!AL$5,0)</f>
        <v>3689</v>
      </c>
      <c r="V66" s="733">
        <f>ROUND(V$5*民間住宅2!AM65/民間住宅2!AM$5,0)</f>
        <v>3247</v>
      </c>
      <c r="W66" s="733">
        <f>ROUND(W$5*民間住宅2!AN65/民間住宅2!AN$5,0)</f>
        <v>3121</v>
      </c>
      <c r="X66" s="733">
        <f>ROUND(X$5*民間住宅2!AO65/民間住宅2!AO$5,0)</f>
        <v>3343</v>
      </c>
    </row>
    <row r="67" spans="1:24">
      <c r="A67" s="731">
        <v>226</v>
      </c>
      <c r="B67" s="731" t="s">
        <v>225</v>
      </c>
      <c r="C67" s="735">
        <f>ROUND(C$5*民間住宅2!T66/民間住宅2!T$5,0)</f>
        <v>5474</v>
      </c>
      <c r="D67" s="735">
        <f>ROUND(D$5*民間住宅2!U66/民間住宅2!U$5,0)</f>
        <v>4429</v>
      </c>
      <c r="E67" s="735">
        <f>ROUND(E$5*民間住宅2!V66/民間住宅2!V$5,0)</f>
        <v>3292</v>
      </c>
      <c r="F67" s="735">
        <f>ROUND(F$5*民間住宅2!W66/民間住宅2!W$5,0)</f>
        <v>9296</v>
      </c>
      <c r="G67" s="735">
        <f>ROUND(G$5*民間住宅2!X66/民間住宅2!X$5,0)</f>
        <v>3397</v>
      </c>
      <c r="H67" s="735">
        <f>ROUND(H$5*民間住宅2!Y66/民間住宅2!Y$5,0)</f>
        <v>3936</v>
      </c>
      <c r="I67" s="735">
        <f>ROUND(I$5*民間住宅2!Z66/民間住宅2!Z$5,0)</f>
        <v>2899</v>
      </c>
      <c r="J67" s="735">
        <f>ROUND(J$5*民間住宅2!AA66/民間住宅2!AA$5,0)</f>
        <v>4245</v>
      </c>
      <c r="K67" s="735">
        <f>ROUND(K$5*民間住宅2!AB66/民間住宅2!AB$5,0)</f>
        <v>3472</v>
      </c>
      <c r="L67" s="735">
        <f>ROUND(L$5*民間住宅2!AC66/民間住宅2!AC$5,0)</f>
        <v>3275</v>
      </c>
      <c r="M67" s="735">
        <f>ROUND(M$5*民間住宅2!AD66/民間住宅2!AD$5,0)</f>
        <v>3783</v>
      </c>
      <c r="N67" s="735">
        <f>ROUND(N$5*民間住宅2!AE66/民間住宅2!AE$5,0)</f>
        <v>2471</v>
      </c>
      <c r="O67" s="735">
        <f>ROUND(O$5*民間住宅2!AF66/民間住宅2!AF$5,0)</f>
        <v>3132</v>
      </c>
      <c r="P67" s="735">
        <f>ROUND(P$5*民間住宅2!AG66/民間住宅2!AG$5,0)</f>
        <v>3929</v>
      </c>
      <c r="Q67" s="735">
        <f>ROUND(Q$5*民間住宅2!AH66/民間住宅2!AH$5,0)</f>
        <v>3414</v>
      </c>
      <c r="R67" s="735">
        <f>ROUND(R$5*民間住宅2!AI66/民間住宅2!AI$5,0)</f>
        <v>8065</v>
      </c>
      <c r="S67" s="735">
        <f>ROUND(S$5*民間住宅2!AJ66/民間住宅2!AJ$5,0)</f>
        <v>4627</v>
      </c>
      <c r="T67" s="735">
        <f>ROUND(T$5*民間住宅2!AK66/民間住宅2!AK$5,0)</f>
        <v>9521</v>
      </c>
      <c r="U67" s="735">
        <f>ROUND(U$5*民間住宅2!AL66/民間住宅2!AL$5,0)</f>
        <v>7377</v>
      </c>
      <c r="V67" s="735">
        <f>ROUND(V$5*民間住宅2!AM66/民間住宅2!AM$5,0)</f>
        <v>7030</v>
      </c>
      <c r="W67" s="735">
        <f>ROUND(W$5*民間住宅2!AN66/民間住宅2!AN$5,0)</f>
        <v>7894</v>
      </c>
      <c r="X67" s="735">
        <f>ROUND(X$5*民間住宅2!AO66/民間住宅2!AO$5,0)</f>
        <v>7418</v>
      </c>
    </row>
    <row r="68" spans="1:24">
      <c r="H68" s="75" t="s">
        <v>678</v>
      </c>
    </row>
  </sheetData>
  <phoneticPr fontId="13"/>
  <pageMargins left="0.75" right="0.75" top="1" bottom="1" header="0.51200000000000001" footer="0.51200000000000001"/>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dimension ref="A1:AO170"/>
  <sheetViews>
    <sheetView workbookViewId="0">
      <pane xSplit="19" ySplit="4" topLeftCell="AF54" activePane="bottomRight" state="frozen"/>
      <selection pane="topRight" activeCell="T1" sqref="T1"/>
      <selection pane="bottomLeft" activeCell="A5" sqref="A5"/>
      <selection pane="bottomRight" activeCell="AM68" sqref="AM68"/>
    </sheetView>
  </sheetViews>
  <sheetFormatPr defaultColWidth="8.7109375" defaultRowHeight="13"/>
  <cols>
    <col min="1" max="1" width="2.42578125" style="75" customWidth="1"/>
    <col min="2" max="2" width="3.5703125" style="75" customWidth="1"/>
    <col min="3" max="3" width="8.7109375" style="75"/>
    <col min="4" max="19" width="0" style="75" hidden="1" customWidth="1"/>
    <col min="20" max="16384" width="8.7109375" style="75"/>
  </cols>
  <sheetData>
    <row r="1" spans="1:41">
      <c r="A1" s="65" t="s">
        <v>955</v>
      </c>
      <c r="D1" s="76"/>
      <c r="V1" s="75" t="s">
        <v>953</v>
      </c>
      <c r="W1" s="470" t="s">
        <v>627</v>
      </c>
      <c r="X1" s="75" t="s">
        <v>347</v>
      </c>
      <c r="Y1" s="132" t="s">
        <v>347</v>
      </c>
      <c r="Z1" s="75" t="s">
        <v>11</v>
      </c>
      <c r="AA1" s="75" t="s">
        <v>11</v>
      </c>
      <c r="AB1" s="75" t="s">
        <v>627</v>
      </c>
      <c r="AC1" s="75" t="s">
        <v>11</v>
      </c>
      <c r="AD1" s="75" t="s">
        <v>11</v>
      </c>
      <c r="AE1" s="75" t="s">
        <v>627</v>
      </c>
      <c r="AF1" s="75" t="s">
        <v>11</v>
      </c>
      <c r="AG1" s="75" t="s">
        <v>11</v>
      </c>
      <c r="AH1" s="628"/>
      <c r="AI1" s="628"/>
      <c r="AJ1" s="935"/>
      <c r="AK1" s="935"/>
      <c r="AL1" s="935" t="s">
        <v>948</v>
      </c>
      <c r="AM1" s="75" t="s">
        <v>14</v>
      </c>
      <c r="AN1" s="75" t="s">
        <v>14</v>
      </c>
      <c r="AO1" s="75" t="s">
        <v>14</v>
      </c>
    </row>
    <row r="2" spans="1:41">
      <c r="A2" s="67"/>
      <c r="B2" s="68"/>
      <c r="C2" s="60" t="s">
        <v>319</v>
      </c>
      <c r="D2" s="321">
        <v>1990</v>
      </c>
      <c r="E2" s="321">
        <v>1991</v>
      </c>
      <c r="F2" s="321">
        <v>1992</v>
      </c>
      <c r="G2" s="321">
        <v>1993</v>
      </c>
      <c r="H2" s="321">
        <v>1994</v>
      </c>
      <c r="I2" s="321">
        <v>1995</v>
      </c>
      <c r="J2" s="321">
        <v>1996</v>
      </c>
      <c r="K2" s="321">
        <v>1997</v>
      </c>
      <c r="L2" s="321">
        <v>1998</v>
      </c>
      <c r="M2" s="321">
        <v>1999</v>
      </c>
      <c r="N2" s="321">
        <v>2000</v>
      </c>
      <c r="O2" s="321">
        <v>2001</v>
      </c>
      <c r="P2" s="321">
        <v>2002</v>
      </c>
      <c r="Q2" s="321">
        <v>2003</v>
      </c>
      <c r="R2" s="321">
        <v>2004</v>
      </c>
      <c r="S2" s="321">
        <v>2005</v>
      </c>
      <c r="T2" s="83">
        <v>2006</v>
      </c>
      <c r="U2" s="83">
        <v>2007</v>
      </c>
      <c r="V2" s="83">
        <v>2008</v>
      </c>
      <c r="W2" s="83">
        <v>2009</v>
      </c>
      <c r="X2" s="83">
        <v>2010</v>
      </c>
      <c r="Y2" s="803">
        <v>2011</v>
      </c>
      <c r="Z2" s="804">
        <v>2012</v>
      </c>
      <c r="AA2" s="804">
        <v>2013</v>
      </c>
      <c r="AB2" s="804">
        <v>2014</v>
      </c>
      <c r="AC2" s="804">
        <v>2015</v>
      </c>
      <c r="AD2" s="804">
        <v>2016</v>
      </c>
      <c r="AE2" s="804">
        <v>2017</v>
      </c>
      <c r="AF2" s="804">
        <v>2018</v>
      </c>
      <c r="AG2" s="1077">
        <v>2019</v>
      </c>
      <c r="AH2" s="1077">
        <v>2020</v>
      </c>
      <c r="AI2" s="1077">
        <v>2021</v>
      </c>
      <c r="AJ2" s="1077">
        <v>2022</v>
      </c>
      <c r="AK2" s="1077">
        <v>2023</v>
      </c>
      <c r="AL2" s="675">
        <v>2024</v>
      </c>
      <c r="AM2" s="804">
        <v>2025</v>
      </c>
      <c r="AN2" s="804">
        <v>2026</v>
      </c>
      <c r="AO2" s="476">
        <v>2027</v>
      </c>
    </row>
    <row r="3" spans="1:41">
      <c r="A3" s="61"/>
      <c r="B3" s="62"/>
      <c r="C3" s="62"/>
      <c r="D3" s="322" t="s">
        <v>352</v>
      </c>
      <c r="E3" s="322" t="s">
        <v>353</v>
      </c>
      <c r="F3" s="322" t="s">
        <v>354</v>
      </c>
      <c r="G3" s="322" t="s">
        <v>355</v>
      </c>
      <c r="H3" s="322" t="s">
        <v>356</v>
      </c>
      <c r="I3" s="322" t="s">
        <v>357</v>
      </c>
      <c r="J3" s="322" t="s">
        <v>358</v>
      </c>
      <c r="K3" s="322" t="s">
        <v>359</v>
      </c>
      <c r="L3" s="322" t="s">
        <v>361</v>
      </c>
      <c r="M3" s="322" t="s">
        <v>362</v>
      </c>
      <c r="N3" s="322" t="s">
        <v>363</v>
      </c>
      <c r="O3" s="322" t="s">
        <v>364</v>
      </c>
      <c r="P3" s="322" t="s">
        <v>365</v>
      </c>
      <c r="Q3" s="322" t="s">
        <v>366</v>
      </c>
      <c r="R3" s="322" t="s">
        <v>367</v>
      </c>
      <c r="S3" s="322" t="s">
        <v>368</v>
      </c>
      <c r="T3" s="77" t="s">
        <v>369</v>
      </c>
      <c r="U3" s="77" t="s">
        <v>370</v>
      </c>
      <c r="V3" s="77" t="s">
        <v>858</v>
      </c>
      <c r="W3" s="77" t="s">
        <v>859</v>
      </c>
      <c r="X3" s="77" t="s">
        <v>912</v>
      </c>
      <c r="Y3" s="77" t="s">
        <v>101</v>
      </c>
      <c r="Z3" s="75" t="s">
        <v>118</v>
      </c>
      <c r="AA3" s="75" t="s">
        <v>119</v>
      </c>
      <c r="AB3" s="75" t="s">
        <v>67</v>
      </c>
      <c r="AC3" s="75" t="s">
        <v>157</v>
      </c>
      <c r="AD3" s="75" t="s">
        <v>1000</v>
      </c>
      <c r="AE3" s="75" t="s">
        <v>1036</v>
      </c>
      <c r="AF3" s="75" t="s">
        <v>1062</v>
      </c>
      <c r="AG3" s="453" t="s">
        <v>1161</v>
      </c>
      <c r="AH3" s="453" t="s">
        <v>1129</v>
      </c>
      <c r="AI3" s="453" t="s">
        <v>1160</v>
      </c>
      <c r="AJ3" s="453" t="s">
        <v>1200</v>
      </c>
      <c r="AK3" s="453" t="s">
        <v>1234</v>
      </c>
      <c r="AL3" s="456" t="s">
        <v>1561</v>
      </c>
      <c r="AM3" s="75" t="s">
        <v>1603</v>
      </c>
      <c r="AN3" s="75" t="s">
        <v>1745</v>
      </c>
      <c r="AO3" s="491" t="s">
        <v>1783</v>
      </c>
    </row>
    <row r="4" spans="1:41">
      <c r="A4" s="61"/>
      <c r="B4" s="62"/>
      <c r="C4" s="62" t="s">
        <v>320</v>
      </c>
      <c r="D4" s="323"/>
      <c r="E4" s="323"/>
      <c r="F4" s="323"/>
      <c r="G4" s="323"/>
      <c r="H4" s="323"/>
      <c r="I4" s="323"/>
      <c r="J4" s="323"/>
      <c r="K4" s="323"/>
      <c r="L4" s="323"/>
      <c r="M4" s="323"/>
      <c r="N4" s="323"/>
      <c r="O4" s="323"/>
      <c r="P4" s="323"/>
      <c r="Q4" s="323"/>
      <c r="R4" s="323"/>
      <c r="S4" s="324"/>
      <c r="T4" s="78"/>
      <c r="U4" s="78" t="s">
        <v>672</v>
      </c>
      <c r="X4" s="75">
        <v>32490</v>
      </c>
      <c r="Y4" s="75">
        <v>33013</v>
      </c>
      <c r="Z4" s="75">
        <f t="shared" ref="Z4:AO4" si="0">Z5</f>
        <v>33129</v>
      </c>
      <c r="AA4" s="75">
        <f t="shared" si="0"/>
        <v>36420</v>
      </c>
      <c r="AB4" s="75">
        <f t="shared" si="0"/>
        <v>33520</v>
      </c>
      <c r="AC4" s="75">
        <f t="shared" si="0"/>
        <v>33981</v>
      </c>
      <c r="AD4" s="75">
        <f t="shared" si="0"/>
        <v>34793</v>
      </c>
      <c r="AE4" s="75">
        <f t="shared" si="0"/>
        <v>33444</v>
      </c>
      <c r="AF4" s="75">
        <f t="shared" si="0"/>
        <v>31774</v>
      </c>
      <c r="AG4" s="453">
        <f t="shared" si="0"/>
        <v>31567</v>
      </c>
      <c r="AH4" s="453">
        <f t="shared" si="0"/>
        <v>30551</v>
      </c>
      <c r="AI4" s="453">
        <f t="shared" si="0"/>
        <v>29844</v>
      </c>
      <c r="AJ4" s="453">
        <f t="shared" si="0"/>
        <v>31911</v>
      </c>
      <c r="AK4" s="453">
        <f t="shared" si="0"/>
        <v>28662</v>
      </c>
      <c r="AL4" s="456">
        <f t="shared" si="0"/>
        <v>28664</v>
      </c>
      <c r="AM4" s="456">
        <f t="shared" si="0"/>
        <v>29745</v>
      </c>
      <c r="AN4" s="456">
        <f t="shared" si="0"/>
        <v>29027</v>
      </c>
      <c r="AO4" s="456">
        <f t="shared" si="0"/>
        <v>29145</v>
      </c>
    </row>
    <row r="5" spans="1:41">
      <c r="A5" s="63" t="s">
        <v>321</v>
      </c>
      <c r="B5" s="64"/>
      <c r="C5" s="64" t="s">
        <v>322</v>
      </c>
      <c r="D5" s="82">
        <f t="shared" ref="D5:U5" si="1">SUM(D6:D15)</f>
        <v>62568</v>
      </c>
      <c r="E5" s="82">
        <f t="shared" si="1"/>
        <v>49456</v>
      </c>
      <c r="F5" s="82">
        <f t="shared" si="1"/>
        <v>53864</v>
      </c>
      <c r="G5" s="82">
        <f t="shared" si="1"/>
        <v>61281</v>
      </c>
      <c r="H5" s="82">
        <f t="shared" si="1"/>
        <v>68126</v>
      </c>
      <c r="I5" s="82">
        <f t="shared" si="1"/>
        <v>116227</v>
      </c>
      <c r="J5" s="82">
        <f t="shared" si="1"/>
        <v>125623</v>
      </c>
      <c r="K5" s="82">
        <f t="shared" si="1"/>
        <v>79923</v>
      </c>
      <c r="L5" s="82">
        <f t="shared" si="1"/>
        <v>54587</v>
      </c>
      <c r="M5" s="82">
        <f t="shared" si="1"/>
        <v>53303</v>
      </c>
      <c r="N5" s="82">
        <f t="shared" si="1"/>
        <v>49571</v>
      </c>
      <c r="O5" s="82">
        <f t="shared" si="1"/>
        <v>48494</v>
      </c>
      <c r="P5" s="82">
        <f t="shared" si="1"/>
        <v>42988</v>
      </c>
      <c r="Q5" s="82">
        <f t="shared" si="1"/>
        <v>41583</v>
      </c>
      <c r="R5" s="82">
        <f t="shared" si="1"/>
        <v>45996</v>
      </c>
      <c r="S5" s="82">
        <f t="shared" si="1"/>
        <v>45927</v>
      </c>
      <c r="T5" s="736">
        <f t="shared" si="1"/>
        <v>52152</v>
      </c>
      <c r="U5" s="736">
        <f t="shared" si="1"/>
        <v>39895</v>
      </c>
      <c r="V5" s="736">
        <f t="shared" ref="V5:AA5" si="2">SUM(V6:V15)</f>
        <v>38856</v>
      </c>
      <c r="W5" s="736">
        <f t="shared" si="2"/>
        <v>33943</v>
      </c>
      <c r="X5" s="736">
        <f t="shared" si="2"/>
        <v>32490</v>
      </c>
      <c r="Y5" s="736">
        <f t="shared" si="2"/>
        <v>33013</v>
      </c>
      <c r="Z5" s="736">
        <f t="shared" si="2"/>
        <v>33129</v>
      </c>
      <c r="AA5" s="736">
        <f t="shared" si="2"/>
        <v>36420</v>
      </c>
      <c r="AB5" s="736">
        <f t="shared" ref="AB5:AG5" si="3">SUM(AB6:AB15)</f>
        <v>33520</v>
      </c>
      <c r="AC5" s="736">
        <f t="shared" si="3"/>
        <v>33981</v>
      </c>
      <c r="AD5" s="736">
        <f t="shared" si="3"/>
        <v>34793</v>
      </c>
      <c r="AE5" s="736">
        <f t="shared" si="3"/>
        <v>33444</v>
      </c>
      <c r="AF5" s="736">
        <f t="shared" si="3"/>
        <v>31774</v>
      </c>
      <c r="AG5" s="1141">
        <f t="shared" si="3"/>
        <v>31567</v>
      </c>
      <c r="AH5" s="1141">
        <f t="shared" ref="AH5:AM5" si="4">SUM(AH6:AH15)</f>
        <v>30551</v>
      </c>
      <c r="AI5" s="1141">
        <f t="shared" si="4"/>
        <v>29844</v>
      </c>
      <c r="AJ5" s="1141">
        <f t="shared" si="4"/>
        <v>31911</v>
      </c>
      <c r="AK5" s="1141">
        <f t="shared" si="4"/>
        <v>28662</v>
      </c>
      <c r="AL5" s="457">
        <f t="shared" si="4"/>
        <v>28664</v>
      </c>
      <c r="AM5" s="457">
        <f t="shared" si="4"/>
        <v>29745</v>
      </c>
      <c r="AN5" s="457">
        <f t="shared" ref="AN5:AO5" si="5">SUM(AN6:AN15)</f>
        <v>29027</v>
      </c>
      <c r="AO5" s="457">
        <f t="shared" si="5"/>
        <v>29145</v>
      </c>
    </row>
    <row r="6" spans="1:41">
      <c r="A6" s="61"/>
      <c r="B6" s="62">
        <v>100</v>
      </c>
      <c r="C6" s="62" t="s">
        <v>172</v>
      </c>
      <c r="D6" s="79">
        <f t="shared" ref="D6:U6" si="6">D17</f>
        <v>19989</v>
      </c>
      <c r="E6" s="79">
        <f t="shared" si="6"/>
        <v>14794</v>
      </c>
      <c r="F6" s="79">
        <f t="shared" si="6"/>
        <v>15565</v>
      </c>
      <c r="G6" s="79">
        <f t="shared" si="6"/>
        <v>17457</v>
      </c>
      <c r="H6" s="79">
        <f t="shared" si="6"/>
        <v>19358</v>
      </c>
      <c r="I6" s="79">
        <f t="shared" si="6"/>
        <v>43315</v>
      </c>
      <c r="J6" s="79">
        <f t="shared" si="6"/>
        <v>47377</v>
      </c>
      <c r="K6" s="79">
        <f t="shared" si="6"/>
        <v>27983</v>
      </c>
      <c r="L6" s="79">
        <f t="shared" si="6"/>
        <v>16412</v>
      </c>
      <c r="M6" s="79">
        <f t="shared" si="6"/>
        <v>17038</v>
      </c>
      <c r="N6" s="79">
        <f t="shared" si="6"/>
        <v>14014</v>
      </c>
      <c r="O6" s="79">
        <f t="shared" si="6"/>
        <v>13472</v>
      </c>
      <c r="P6" s="79">
        <f t="shared" si="6"/>
        <v>12868</v>
      </c>
      <c r="Q6" s="79">
        <f t="shared" si="6"/>
        <v>12292</v>
      </c>
      <c r="R6" s="79">
        <f t="shared" si="6"/>
        <v>14900</v>
      </c>
      <c r="S6" s="79">
        <f t="shared" si="6"/>
        <v>13828</v>
      </c>
      <c r="T6" s="733">
        <f t="shared" si="6"/>
        <v>17216</v>
      </c>
      <c r="U6" s="733">
        <f t="shared" si="6"/>
        <v>11737</v>
      </c>
      <c r="V6" s="733">
        <f t="shared" ref="V6:X7" si="7">V17</f>
        <v>10765</v>
      </c>
      <c r="W6" s="733">
        <f t="shared" si="7"/>
        <v>8595</v>
      </c>
      <c r="X6" s="734">
        <f t="shared" si="7"/>
        <v>8714</v>
      </c>
      <c r="Y6" s="734">
        <f t="shared" ref="Y6:AA7" si="8">Y17</f>
        <v>9397</v>
      </c>
      <c r="Z6" s="734">
        <f t="shared" si="8"/>
        <v>8695</v>
      </c>
      <c r="AA6" s="734">
        <f t="shared" si="8"/>
        <v>10650</v>
      </c>
      <c r="AB6" s="734">
        <f t="shared" ref="AB6:AD7" si="9">AB17</f>
        <v>9938</v>
      </c>
      <c r="AC6" s="734">
        <f t="shared" si="9"/>
        <v>9775</v>
      </c>
      <c r="AD6" s="734">
        <f t="shared" si="9"/>
        <v>8876</v>
      </c>
      <c r="AE6" s="734">
        <f t="shared" ref="AE6:AG7" si="10">AE17</f>
        <v>10083</v>
      </c>
      <c r="AF6" s="734">
        <f t="shared" si="10"/>
        <v>7466</v>
      </c>
      <c r="AG6" s="1142">
        <f t="shared" si="10"/>
        <v>8141</v>
      </c>
      <c r="AH6" s="1142">
        <f t="shared" ref="AH6:AJ7" si="11">AH17</f>
        <v>8425</v>
      </c>
      <c r="AI6" s="1142">
        <f t="shared" si="11"/>
        <v>7493</v>
      </c>
      <c r="AJ6" s="1142">
        <f t="shared" si="11"/>
        <v>8494</v>
      </c>
      <c r="AK6" s="1142">
        <f t="shared" ref="AK6:AL6" si="12">AK17</f>
        <v>7803</v>
      </c>
      <c r="AL6" s="458">
        <f t="shared" si="12"/>
        <v>7401</v>
      </c>
      <c r="AM6" s="458">
        <f t="shared" ref="AM6:AN6" si="13">AM17</f>
        <v>7899</v>
      </c>
      <c r="AN6" s="458">
        <f t="shared" si="13"/>
        <v>7701</v>
      </c>
      <c r="AO6" s="458">
        <f t="shared" ref="AO6" si="14">AO17</f>
        <v>7667</v>
      </c>
    </row>
    <row r="7" spans="1:41">
      <c r="A7" s="61"/>
      <c r="B7" s="62">
        <v>1</v>
      </c>
      <c r="C7" s="62" t="s">
        <v>323</v>
      </c>
      <c r="D7" s="79">
        <f t="shared" ref="D7:U7" si="15">D18</f>
        <v>10978</v>
      </c>
      <c r="E7" s="79">
        <f t="shared" si="15"/>
        <v>8095</v>
      </c>
      <c r="F7" s="79">
        <f t="shared" si="15"/>
        <v>8772</v>
      </c>
      <c r="G7" s="79">
        <f t="shared" si="15"/>
        <v>10097</v>
      </c>
      <c r="H7" s="79">
        <f t="shared" si="15"/>
        <v>13007</v>
      </c>
      <c r="I7" s="79">
        <f t="shared" si="15"/>
        <v>30196</v>
      </c>
      <c r="J7" s="79">
        <f t="shared" si="15"/>
        <v>32944</v>
      </c>
      <c r="K7" s="79">
        <f t="shared" si="15"/>
        <v>18362</v>
      </c>
      <c r="L7" s="79">
        <f t="shared" si="15"/>
        <v>11370</v>
      </c>
      <c r="M7" s="79">
        <f t="shared" si="15"/>
        <v>10453</v>
      </c>
      <c r="N7" s="79">
        <f t="shared" si="15"/>
        <v>10991</v>
      </c>
      <c r="O7" s="79">
        <f t="shared" si="15"/>
        <v>10854</v>
      </c>
      <c r="P7" s="79">
        <f t="shared" si="15"/>
        <v>8825</v>
      </c>
      <c r="Q7" s="79">
        <f t="shared" si="15"/>
        <v>9729</v>
      </c>
      <c r="R7" s="79">
        <f t="shared" si="15"/>
        <v>10553</v>
      </c>
      <c r="S7" s="79">
        <f t="shared" si="15"/>
        <v>10462</v>
      </c>
      <c r="T7" s="733">
        <f t="shared" si="15"/>
        <v>10052</v>
      </c>
      <c r="U7" s="733">
        <f t="shared" si="15"/>
        <v>6812</v>
      </c>
      <c r="V7" s="733">
        <f t="shared" si="7"/>
        <v>7715</v>
      </c>
      <c r="W7" s="733">
        <f t="shared" si="7"/>
        <v>5265</v>
      </c>
      <c r="X7" s="733">
        <f t="shared" si="7"/>
        <v>6907</v>
      </c>
      <c r="Y7" s="733">
        <f t="shared" si="8"/>
        <v>7251</v>
      </c>
      <c r="Z7" s="733">
        <f t="shared" si="8"/>
        <v>7102</v>
      </c>
      <c r="AA7" s="733">
        <f t="shared" si="8"/>
        <v>7201</v>
      </c>
      <c r="AB7" s="733">
        <f t="shared" si="9"/>
        <v>6118</v>
      </c>
      <c r="AC7" s="733">
        <f t="shared" si="9"/>
        <v>7755</v>
      </c>
      <c r="AD7" s="733">
        <f t="shared" si="9"/>
        <v>6883</v>
      </c>
      <c r="AE7" s="733">
        <f t="shared" si="10"/>
        <v>6878</v>
      </c>
      <c r="AF7" s="733">
        <f t="shared" si="10"/>
        <v>6934</v>
      </c>
      <c r="AG7" s="1143">
        <f t="shared" si="10"/>
        <v>7508</v>
      </c>
      <c r="AH7" s="1143">
        <f t="shared" si="11"/>
        <v>7390</v>
      </c>
      <c r="AI7" s="1143">
        <f t="shared" si="11"/>
        <v>6774</v>
      </c>
      <c r="AJ7" s="1143">
        <f t="shared" si="11"/>
        <v>6790</v>
      </c>
      <c r="AK7" s="1143">
        <f t="shared" ref="AK7:AL7" si="16">AK18</f>
        <v>6692</v>
      </c>
      <c r="AL7" s="459">
        <f t="shared" si="16"/>
        <v>6642</v>
      </c>
      <c r="AM7" s="459">
        <f t="shared" ref="AM7:AN7" si="17">AM18</f>
        <v>6708</v>
      </c>
      <c r="AN7" s="459">
        <f t="shared" si="17"/>
        <v>6681</v>
      </c>
      <c r="AO7" s="459">
        <f t="shared" ref="AO7" si="18">AO18</f>
        <v>6677</v>
      </c>
    </row>
    <row r="8" spans="1:41">
      <c r="A8" s="61"/>
      <c r="B8" s="62">
        <v>2</v>
      </c>
      <c r="C8" s="62" t="s">
        <v>324</v>
      </c>
      <c r="D8" s="79">
        <f t="shared" ref="D8:U8" si="19">D22</f>
        <v>7092</v>
      </c>
      <c r="E8" s="79">
        <f t="shared" si="19"/>
        <v>7480</v>
      </c>
      <c r="F8" s="79">
        <f t="shared" si="19"/>
        <v>9979</v>
      </c>
      <c r="G8" s="79">
        <f t="shared" si="19"/>
        <v>10129</v>
      </c>
      <c r="H8" s="79">
        <f t="shared" si="19"/>
        <v>10669</v>
      </c>
      <c r="I8" s="79">
        <f t="shared" si="19"/>
        <v>14969</v>
      </c>
      <c r="J8" s="79">
        <f t="shared" si="19"/>
        <v>14274</v>
      </c>
      <c r="K8" s="79">
        <f t="shared" si="19"/>
        <v>9266</v>
      </c>
      <c r="L8" s="79">
        <f t="shared" si="19"/>
        <v>6870</v>
      </c>
      <c r="M8" s="79">
        <f t="shared" si="19"/>
        <v>5708</v>
      </c>
      <c r="N8" s="79">
        <f t="shared" si="19"/>
        <v>5827</v>
      </c>
      <c r="O8" s="79">
        <f t="shared" si="19"/>
        <v>7364</v>
      </c>
      <c r="P8" s="79">
        <f t="shared" si="19"/>
        <v>5541</v>
      </c>
      <c r="Q8" s="79">
        <f t="shared" si="19"/>
        <v>5487</v>
      </c>
      <c r="R8" s="79">
        <f t="shared" si="19"/>
        <v>5822</v>
      </c>
      <c r="S8" s="79">
        <f t="shared" si="19"/>
        <v>6482</v>
      </c>
      <c r="T8" s="733">
        <f t="shared" si="19"/>
        <v>7415</v>
      </c>
      <c r="U8" s="733">
        <f t="shared" si="19"/>
        <v>5045</v>
      </c>
      <c r="V8" s="733">
        <f t="shared" ref="V8:AA8" si="20">V22</f>
        <v>4571</v>
      </c>
      <c r="W8" s="733">
        <f t="shared" si="20"/>
        <v>4975</v>
      </c>
      <c r="X8" s="733">
        <f t="shared" si="20"/>
        <v>4086</v>
      </c>
      <c r="Y8" s="733">
        <f t="shared" si="20"/>
        <v>4100</v>
      </c>
      <c r="Z8" s="733">
        <f t="shared" si="20"/>
        <v>4219</v>
      </c>
      <c r="AA8" s="733">
        <f t="shared" si="20"/>
        <v>4608</v>
      </c>
      <c r="AB8" s="733">
        <f t="shared" ref="AB8:AG8" si="21">AB22</f>
        <v>4632</v>
      </c>
      <c r="AC8" s="733">
        <f t="shared" si="21"/>
        <v>4240</v>
      </c>
      <c r="AD8" s="733">
        <f t="shared" si="21"/>
        <v>4457</v>
      </c>
      <c r="AE8" s="733">
        <f t="shared" si="21"/>
        <v>3821</v>
      </c>
      <c r="AF8" s="733">
        <f t="shared" si="21"/>
        <v>3370</v>
      </c>
      <c r="AG8" s="1143">
        <f t="shared" si="21"/>
        <v>3452</v>
      </c>
      <c r="AH8" s="1143">
        <f t="shared" ref="AH8:AM8" si="22">AH22</f>
        <v>3334</v>
      </c>
      <c r="AI8" s="1143">
        <f t="shared" si="22"/>
        <v>3144</v>
      </c>
      <c r="AJ8" s="1143">
        <f t="shared" si="22"/>
        <v>4547</v>
      </c>
      <c r="AK8" s="1143">
        <f t="shared" si="22"/>
        <v>3287</v>
      </c>
      <c r="AL8" s="459">
        <f t="shared" si="22"/>
        <v>3865</v>
      </c>
      <c r="AM8" s="459">
        <f t="shared" si="22"/>
        <v>3900</v>
      </c>
      <c r="AN8" s="459">
        <f t="shared" ref="AN8:AO8" si="23">AN22</f>
        <v>3684</v>
      </c>
      <c r="AO8" s="459">
        <f t="shared" si="23"/>
        <v>3816</v>
      </c>
    </row>
    <row r="9" spans="1:41">
      <c r="A9" s="61"/>
      <c r="B9" s="62">
        <v>3</v>
      </c>
      <c r="C9" s="62" t="s">
        <v>192</v>
      </c>
      <c r="D9" s="79">
        <f t="shared" ref="D9:U9" si="24">D28</f>
        <v>8701</v>
      </c>
      <c r="E9" s="79">
        <f t="shared" si="24"/>
        <v>6132</v>
      </c>
      <c r="F9" s="79">
        <f t="shared" si="24"/>
        <v>6704</v>
      </c>
      <c r="G9" s="79">
        <f t="shared" si="24"/>
        <v>8701</v>
      </c>
      <c r="H9" s="79">
        <f t="shared" si="24"/>
        <v>8198</v>
      </c>
      <c r="I9" s="79">
        <f t="shared" si="24"/>
        <v>10775</v>
      </c>
      <c r="J9" s="79">
        <f t="shared" si="24"/>
        <v>11448</v>
      </c>
      <c r="K9" s="79">
        <f t="shared" si="24"/>
        <v>8417</v>
      </c>
      <c r="L9" s="79">
        <f t="shared" si="24"/>
        <v>7016</v>
      </c>
      <c r="M9" s="79">
        <f t="shared" si="24"/>
        <v>7192</v>
      </c>
      <c r="N9" s="79">
        <f t="shared" si="24"/>
        <v>6102</v>
      </c>
      <c r="O9" s="79">
        <f t="shared" si="24"/>
        <v>5394</v>
      </c>
      <c r="P9" s="79">
        <f t="shared" si="24"/>
        <v>5298</v>
      </c>
      <c r="Q9" s="79">
        <f t="shared" si="24"/>
        <v>4283</v>
      </c>
      <c r="R9" s="79">
        <f t="shared" si="24"/>
        <v>4814</v>
      </c>
      <c r="S9" s="79">
        <f t="shared" si="24"/>
        <v>5050</v>
      </c>
      <c r="T9" s="733">
        <f t="shared" si="24"/>
        <v>5705</v>
      </c>
      <c r="U9" s="733">
        <f t="shared" si="24"/>
        <v>5550</v>
      </c>
      <c r="V9" s="733">
        <f t="shared" ref="V9:AA9" si="25">V28</f>
        <v>5842</v>
      </c>
      <c r="W9" s="733">
        <f t="shared" si="25"/>
        <v>5836</v>
      </c>
      <c r="X9" s="733">
        <f t="shared" si="25"/>
        <v>4781</v>
      </c>
      <c r="Y9" s="733">
        <f t="shared" si="25"/>
        <v>4662</v>
      </c>
      <c r="Z9" s="733">
        <f t="shared" si="25"/>
        <v>4886</v>
      </c>
      <c r="AA9" s="733">
        <f t="shared" si="25"/>
        <v>4796</v>
      </c>
      <c r="AB9" s="733">
        <f t="shared" ref="AB9:AG9" si="26">AB28</f>
        <v>4892</v>
      </c>
      <c r="AC9" s="733">
        <f t="shared" si="26"/>
        <v>4335</v>
      </c>
      <c r="AD9" s="733">
        <f t="shared" si="26"/>
        <v>5490</v>
      </c>
      <c r="AE9" s="733">
        <f t="shared" si="26"/>
        <v>4508</v>
      </c>
      <c r="AF9" s="733">
        <f t="shared" si="26"/>
        <v>5308</v>
      </c>
      <c r="AG9" s="1143">
        <f t="shared" si="26"/>
        <v>4844</v>
      </c>
      <c r="AH9" s="1143">
        <f t="shared" ref="AH9:AM9" si="27">AH28</f>
        <v>4605</v>
      </c>
      <c r="AI9" s="1143">
        <f t="shared" si="27"/>
        <v>4406</v>
      </c>
      <c r="AJ9" s="1143">
        <f t="shared" si="27"/>
        <v>4598</v>
      </c>
      <c r="AK9" s="1143">
        <f t="shared" si="27"/>
        <v>3798</v>
      </c>
      <c r="AL9" s="459">
        <f t="shared" si="27"/>
        <v>4506</v>
      </c>
      <c r="AM9" s="459">
        <f t="shared" si="27"/>
        <v>4301</v>
      </c>
      <c r="AN9" s="459">
        <f t="shared" ref="AN9:AO9" si="28">AN28</f>
        <v>4202</v>
      </c>
      <c r="AO9" s="459">
        <f t="shared" si="28"/>
        <v>4337</v>
      </c>
    </row>
    <row r="10" spans="1:41">
      <c r="A10" s="61"/>
      <c r="B10" s="62">
        <v>4</v>
      </c>
      <c r="C10" s="62" t="s">
        <v>325</v>
      </c>
      <c r="D10" s="79">
        <f t="shared" ref="D10:U10" si="29">D34</f>
        <v>2651</v>
      </c>
      <c r="E10" s="79">
        <f t="shared" si="29"/>
        <v>2270</v>
      </c>
      <c r="F10" s="79">
        <f t="shared" si="29"/>
        <v>2662</v>
      </c>
      <c r="G10" s="79">
        <f t="shared" si="29"/>
        <v>2538</v>
      </c>
      <c r="H10" s="79">
        <f t="shared" si="29"/>
        <v>3073</v>
      </c>
      <c r="I10" s="79">
        <f t="shared" si="29"/>
        <v>2674</v>
      </c>
      <c r="J10" s="79">
        <f t="shared" si="29"/>
        <v>3166</v>
      </c>
      <c r="K10" s="79">
        <f t="shared" si="29"/>
        <v>2364</v>
      </c>
      <c r="L10" s="79">
        <f t="shared" si="29"/>
        <v>2220</v>
      </c>
      <c r="M10" s="79">
        <f t="shared" si="29"/>
        <v>1986</v>
      </c>
      <c r="N10" s="79">
        <f t="shared" si="29"/>
        <v>2009</v>
      </c>
      <c r="O10" s="79">
        <f t="shared" si="29"/>
        <v>2070</v>
      </c>
      <c r="P10" s="79">
        <f t="shared" si="29"/>
        <v>1588</v>
      </c>
      <c r="Q10" s="79">
        <f t="shared" si="29"/>
        <v>1703</v>
      </c>
      <c r="R10" s="79">
        <f t="shared" si="29"/>
        <v>1670</v>
      </c>
      <c r="S10" s="79">
        <f t="shared" si="29"/>
        <v>1801</v>
      </c>
      <c r="T10" s="733">
        <f t="shared" si="29"/>
        <v>2009</v>
      </c>
      <c r="U10" s="733">
        <f t="shared" si="29"/>
        <v>1983</v>
      </c>
      <c r="V10" s="733">
        <f t="shared" ref="V10:AA10" si="30">V34</f>
        <v>1658</v>
      </c>
      <c r="W10" s="733">
        <f t="shared" si="30"/>
        <v>1656</v>
      </c>
      <c r="X10" s="733">
        <f t="shared" si="30"/>
        <v>1270</v>
      </c>
      <c r="Y10" s="733">
        <f t="shared" si="30"/>
        <v>1231</v>
      </c>
      <c r="Z10" s="733">
        <f t="shared" si="30"/>
        <v>1353</v>
      </c>
      <c r="AA10" s="733">
        <f t="shared" si="30"/>
        <v>1573</v>
      </c>
      <c r="AB10" s="733">
        <f t="shared" ref="AB10:AG10" si="31">AB34</f>
        <v>1097</v>
      </c>
      <c r="AC10" s="733">
        <f t="shared" si="31"/>
        <v>1420</v>
      </c>
      <c r="AD10" s="733">
        <f t="shared" si="31"/>
        <v>1645</v>
      </c>
      <c r="AE10" s="733">
        <f t="shared" si="31"/>
        <v>1637</v>
      </c>
      <c r="AF10" s="733">
        <f t="shared" si="31"/>
        <v>1423</v>
      </c>
      <c r="AG10" s="1143">
        <f t="shared" si="31"/>
        <v>1384</v>
      </c>
      <c r="AH10" s="1143">
        <f t="shared" ref="AH10:AM10" si="32">AH34</f>
        <v>1078</v>
      </c>
      <c r="AI10" s="1143">
        <f t="shared" si="32"/>
        <v>1174</v>
      </c>
      <c r="AJ10" s="1143">
        <f t="shared" si="32"/>
        <v>1111</v>
      </c>
      <c r="AK10" s="1143">
        <f t="shared" si="32"/>
        <v>1053</v>
      </c>
      <c r="AL10" s="459">
        <f t="shared" si="32"/>
        <v>914</v>
      </c>
      <c r="AM10" s="459">
        <f t="shared" si="32"/>
        <v>1025</v>
      </c>
      <c r="AN10" s="459">
        <f t="shared" ref="AN10:AO10" si="33">AN34</f>
        <v>998</v>
      </c>
      <c r="AO10" s="459">
        <f t="shared" si="33"/>
        <v>979</v>
      </c>
    </row>
    <row r="11" spans="1:41">
      <c r="A11" s="61"/>
      <c r="B11" s="62">
        <v>5</v>
      </c>
      <c r="C11" s="62" t="s">
        <v>326</v>
      </c>
      <c r="D11" s="79">
        <f t="shared" ref="D11:U11" si="34">D41</f>
        <v>7413</v>
      </c>
      <c r="E11" s="79">
        <f t="shared" si="34"/>
        <v>5493</v>
      </c>
      <c r="F11" s="79">
        <f t="shared" si="34"/>
        <v>5008</v>
      </c>
      <c r="G11" s="79">
        <f t="shared" si="34"/>
        <v>5996</v>
      </c>
      <c r="H11" s="79">
        <f t="shared" si="34"/>
        <v>7383</v>
      </c>
      <c r="I11" s="79">
        <f t="shared" si="34"/>
        <v>6882</v>
      </c>
      <c r="J11" s="79">
        <f t="shared" si="34"/>
        <v>7886</v>
      </c>
      <c r="K11" s="79">
        <f t="shared" si="34"/>
        <v>6433</v>
      </c>
      <c r="L11" s="79">
        <f t="shared" si="34"/>
        <v>5027</v>
      </c>
      <c r="M11" s="79">
        <f t="shared" si="34"/>
        <v>5432</v>
      </c>
      <c r="N11" s="79">
        <f t="shared" si="34"/>
        <v>5416</v>
      </c>
      <c r="O11" s="79">
        <f t="shared" si="34"/>
        <v>5240</v>
      </c>
      <c r="P11" s="79">
        <f t="shared" si="34"/>
        <v>4890</v>
      </c>
      <c r="Q11" s="79">
        <f t="shared" si="34"/>
        <v>4343</v>
      </c>
      <c r="R11" s="79">
        <f t="shared" si="34"/>
        <v>4287</v>
      </c>
      <c r="S11" s="79">
        <f t="shared" si="34"/>
        <v>4634</v>
      </c>
      <c r="T11" s="733">
        <f t="shared" si="34"/>
        <v>5375</v>
      </c>
      <c r="U11" s="733">
        <f t="shared" si="34"/>
        <v>4931</v>
      </c>
      <c r="V11" s="733">
        <f t="shared" ref="V11:AA11" si="35">V41</f>
        <v>4892</v>
      </c>
      <c r="W11" s="733">
        <f t="shared" si="35"/>
        <v>4440</v>
      </c>
      <c r="X11" s="733">
        <f t="shared" si="35"/>
        <v>3965</v>
      </c>
      <c r="Y11" s="733">
        <f t="shared" si="35"/>
        <v>3753</v>
      </c>
      <c r="Z11" s="733">
        <f t="shared" si="35"/>
        <v>4425</v>
      </c>
      <c r="AA11" s="733">
        <f t="shared" si="35"/>
        <v>4320</v>
      </c>
      <c r="AB11" s="733">
        <f t="shared" ref="AB11:AG11" si="36">AB41</f>
        <v>4487</v>
      </c>
      <c r="AC11" s="733">
        <f t="shared" si="36"/>
        <v>3904</v>
      </c>
      <c r="AD11" s="733">
        <f t="shared" si="36"/>
        <v>5051</v>
      </c>
      <c r="AE11" s="733">
        <f t="shared" si="36"/>
        <v>4302</v>
      </c>
      <c r="AF11" s="733">
        <f t="shared" si="36"/>
        <v>4646</v>
      </c>
      <c r="AG11" s="1143">
        <f t="shared" si="36"/>
        <v>3797</v>
      </c>
      <c r="AH11" s="1143">
        <f t="shared" ref="AH11:AM11" si="37">AH41</f>
        <v>3701</v>
      </c>
      <c r="AI11" s="1143">
        <f t="shared" si="37"/>
        <v>4221</v>
      </c>
      <c r="AJ11" s="1143">
        <f t="shared" si="37"/>
        <v>4035</v>
      </c>
      <c r="AK11" s="1143">
        <f t="shared" si="37"/>
        <v>3907</v>
      </c>
      <c r="AL11" s="459">
        <f t="shared" si="37"/>
        <v>3039</v>
      </c>
      <c r="AM11" s="459">
        <f t="shared" si="37"/>
        <v>3660</v>
      </c>
      <c r="AN11" s="459">
        <f t="shared" ref="AN11:AO11" si="38">AN41</f>
        <v>3536</v>
      </c>
      <c r="AO11" s="459">
        <f t="shared" si="38"/>
        <v>3412</v>
      </c>
    </row>
    <row r="12" spans="1:41">
      <c r="A12" s="61"/>
      <c r="B12" s="62">
        <v>6</v>
      </c>
      <c r="C12" s="62" t="s">
        <v>327</v>
      </c>
      <c r="D12" s="79">
        <f t="shared" ref="D12:U12" si="39">D46</f>
        <v>2050</v>
      </c>
      <c r="E12" s="79">
        <f t="shared" si="39"/>
        <v>1948</v>
      </c>
      <c r="F12" s="79">
        <f t="shared" si="39"/>
        <v>2135</v>
      </c>
      <c r="G12" s="79">
        <f t="shared" si="39"/>
        <v>2456</v>
      </c>
      <c r="H12" s="79">
        <f t="shared" si="39"/>
        <v>2434</v>
      </c>
      <c r="I12" s="79">
        <f t="shared" si="39"/>
        <v>2535</v>
      </c>
      <c r="J12" s="79">
        <f t="shared" si="39"/>
        <v>3322</v>
      </c>
      <c r="K12" s="79">
        <f t="shared" si="39"/>
        <v>2987</v>
      </c>
      <c r="L12" s="79">
        <f t="shared" si="39"/>
        <v>2133</v>
      </c>
      <c r="M12" s="79">
        <f t="shared" si="39"/>
        <v>2148</v>
      </c>
      <c r="N12" s="79">
        <f t="shared" si="39"/>
        <v>2313</v>
      </c>
      <c r="O12" s="79">
        <f t="shared" si="39"/>
        <v>1726</v>
      </c>
      <c r="P12" s="79">
        <f t="shared" si="39"/>
        <v>1702</v>
      </c>
      <c r="Q12" s="79">
        <f t="shared" si="39"/>
        <v>1485</v>
      </c>
      <c r="R12" s="79">
        <f t="shared" si="39"/>
        <v>1669</v>
      </c>
      <c r="S12" s="79">
        <f t="shared" si="39"/>
        <v>1733</v>
      </c>
      <c r="T12" s="733">
        <f t="shared" si="39"/>
        <v>2083</v>
      </c>
      <c r="U12" s="733">
        <f t="shared" si="39"/>
        <v>1749</v>
      </c>
      <c r="V12" s="733">
        <f t="shared" ref="V12:AA12" si="40">V46</f>
        <v>1520</v>
      </c>
      <c r="W12" s="733">
        <f t="shared" si="40"/>
        <v>1332</v>
      </c>
      <c r="X12" s="733">
        <f t="shared" si="40"/>
        <v>1352</v>
      </c>
      <c r="Y12" s="733">
        <f t="shared" si="40"/>
        <v>1207</v>
      </c>
      <c r="Z12" s="733">
        <f t="shared" si="40"/>
        <v>1188</v>
      </c>
      <c r="AA12" s="733">
        <f t="shared" si="40"/>
        <v>1424</v>
      </c>
      <c r="AB12" s="733">
        <f t="shared" ref="AB12:AG12" si="41">AB46</f>
        <v>1031</v>
      </c>
      <c r="AC12" s="733">
        <f t="shared" si="41"/>
        <v>941</v>
      </c>
      <c r="AD12" s="733">
        <f t="shared" si="41"/>
        <v>897</v>
      </c>
      <c r="AE12" s="733">
        <f t="shared" si="41"/>
        <v>789</v>
      </c>
      <c r="AF12" s="733">
        <f t="shared" si="41"/>
        <v>1008</v>
      </c>
      <c r="AG12" s="1143">
        <f t="shared" si="41"/>
        <v>857</v>
      </c>
      <c r="AH12" s="1143">
        <f t="shared" ref="AH12:AM12" si="42">AH46</f>
        <v>789</v>
      </c>
      <c r="AI12" s="1143">
        <f t="shared" si="42"/>
        <v>1072</v>
      </c>
      <c r="AJ12" s="1143">
        <f t="shared" si="42"/>
        <v>827</v>
      </c>
      <c r="AK12" s="1143">
        <f t="shared" si="42"/>
        <v>791</v>
      </c>
      <c r="AL12" s="459">
        <f t="shared" si="42"/>
        <v>876</v>
      </c>
      <c r="AM12" s="459">
        <f t="shared" si="42"/>
        <v>831</v>
      </c>
      <c r="AN12" s="459">
        <f t="shared" ref="AN12:AO12" si="43">AN46</f>
        <v>833</v>
      </c>
      <c r="AO12" s="459">
        <f t="shared" si="43"/>
        <v>846</v>
      </c>
    </row>
    <row r="13" spans="1:41">
      <c r="A13" s="61"/>
      <c r="B13" s="62">
        <v>7</v>
      </c>
      <c r="C13" s="62" t="s">
        <v>210</v>
      </c>
      <c r="D13" s="79">
        <f t="shared" ref="D13:U13" si="44">D54</f>
        <v>1271</v>
      </c>
      <c r="E13" s="79">
        <f t="shared" si="44"/>
        <v>1105</v>
      </c>
      <c r="F13" s="79">
        <f t="shared" si="44"/>
        <v>1133</v>
      </c>
      <c r="G13" s="79">
        <f t="shared" si="44"/>
        <v>1484</v>
      </c>
      <c r="H13" s="79">
        <f t="shared" si="44"/>
        <v>1428</v>
      </c>
      <c r="I13" s="79">
        <f t="shared" si="44"/>
        <v>1035</v>
      </c>
      <c r="J13" s="79">
        <f t="shared" si="44"/>
        <v>1374</v>
      </c>
      <c r="K13" s="79">
        <f t="shared" si="44"/>
        <v>1481</v>
      </c>
      <c r="L13" s="79">
        <f t="shared" si="44"/>
        <v>1426</v>
      </c>
      <c r="M13" s="79">
        <f t="shared" si="44"/>
        <v>1409</v>
      </c>
      <c r="N13" s="79">
        <f t="shared" si="44"/>
        <v>1144</v>
      </c>
      <c r="O13" s="79">
        <f t="shared" si="44"/>
        <v>959</v>
      </c>
      <c r="P13" s="79">
        <f t="shared" si="44"/>
        <v>804</v>
      </c>
      <c r="Q13" s="79">
        <f t="shared" si="44"/>
        <v>943</v>
      </c>
      <c r="R13" s="79">
        <f t="shared" si="44"/>
        <v>1142</v>
      </c>
      <c r="S13" s="79">
        <f t="shared" si="44"/>
        <v>802</v>
      </c>
      <c r="T13" s="733">
        <f t="shared" si="44"/>
        <v>1038</v>
      </c>
      <c r="U13" s="733">
        <f t="shared" si="44"/>
        <v>800</v>
      </c>
      <c r="V13" s="733">
        <f t="shared" ref="V13:AA13" si="45">V54</f>
        <v>734</v>
      </c>
      <c r="W13" s="733">
        <f t="shared" si="45"/>
        <v>623</v>
      </c>
      <c r="X13" s="733">
        <f t="shared" si="45"/>
        <v>534</v>
      </c>
      <c r="Y13" s="733">
        <f t="shared" si="45"/>
        <v>497</v>
      </c>
      <c r="Z13" s="733">
        <f t="shared" si="45"/>
        <v>488</v>
      </c>
      <c r="AA13" s="733">
        <f t="shared" si="45"/>
        <v>676</v>
      </c>
      <c r="AB13" s="733">
        <f t="shared" ref="AB13:AG13" si="46">AB54</f>
        <v>460</v>
      </c>
      <c r="AC13" s="733">
        <f t="shared" si="46"/>
        <v>501</v>
      </c>
      <c r="AD13" s="733">
        <f t="shared" si="46"/>
        <v>521</v>
      </c>
      <c r="AE13" s="733">
        <f t="shared" si="46"/>
        <v>493</v>
      </c>
      <c r="AF13" s="733">
        <f t="shared" si="46"/>
        <v>571</v>
      </c>
      <c r="AG13" s="1143">
        <f t="shared" si="46"/>
        <v>580</v>
      </c>
      <c r="AH13" s="1143">
        <f t="shared" ref="AH13:AM13" si="47">AH54</f>
        <v>452</v>
      </c>
      <c r="AI13" s="1143">
        <f t="shared" si="47"/>
        <v>465</v>
      </c>
      <c r="AJ13" s="1143">
        <f t="shared" si="47"/>
        <v>520</v>
      </c>
      <c r="AK13" s="1143">
        <f t="shared" si="47"/>
        <v>405</v>
      </c>
      <c r="AL13" s="459">
        <f t="shared" si="47"/>
        <v>426</v>
      </c>
      <c r="AM13" s="459">
        <f t="shared" si="47"/>
        <v>451</v>
      </c>
      <c r="AN13" s="459">
        <f t="shared" ref="AN13:AO13" si="48">AN54</f>
        <v>428</v>
      </c>
      <c r="AO13" s="459">
        <f t="shared" si="48"/>
        <v>435</v>
      </c>
    </row>
    <row r="14" spans="1:41">
      <c r="A14" s="61"/>
      <c r="B14" s="62">
        <v>8</v>
      </c>
      <c r="C14" s="62" t="s">
        <v>211</v>
      </c>
      <c r="D14" s="79">
        <f t="shared" ref="D14:U14" si="49">D60</f>
        <v>896</v>
      </c>
      <c r="E14" s="79">
        <f t="shared" si="49"/>
        <v>1036</v>
      </c>
      <c r="F14" s="79">
        <f t="shared" si="49"/>
        <v>876</v>
      </c>
      <c r="G14" s="79">
        <f t="shared" si="49"/>
        <v>1061</v>
      </c>
      <c r="H14" s="79">
        <f t="shared" si="49"/>
        <v>1157</v>
      </c>
      <c r="I14" s="79">
        <f t="shared" si="49"/>
        <v>1164</v>
      </c>
      <c r="J14" s="79">
        <f t="shared" si="49"/>
        <v>1383</v>
      </c>
      <c r="K14" s="79">
        <f t="shared" si="49"/>
        <v>1072</v>
      </c>
      <c r="L14" s="79">
        <f t="shared" si="49"/>
        <v>919</v>
      </c>
      <c r="M14" s="79">
        <f t="shared" si="49"/>
        <v>858</v>
      </c>
      <c r="N14" s="79">
        <f t="shared" si="49"/>
        <v>718</v>
      </c>
      <c r="O14" s="79">
        <f t="shared" si="49"/>
        <v>573</v>
      </c>
      <c r="P14" s="79">
        <f t="shared" si="49"/>
        <v>617</v>
      </c>
      <c r="Q14" s="79">
        <f t="shared" si="49"/>
        <v>507</v>
      </c>
      <c r="R14" s="79">
        <f t="shared" si="49"/>
        <v>566</v>
      </c>
      <c r="S14" s="79">
        <f t="shared" si="49"/>
        <v>465</v>
      </c>
      <c r="T14" s="733">
        <f t="shared" si="49"/>
        <v>541</v>
      </c>
      <c r="U14" s="733">
        <f t="shared" si="49"/>
        <v>619</v>
      </c>
      <c r="V14" s="733">
        <f t="shared" ref="V14:AA14" si="50">V60</f>
        <v>514</v>
      </c>
      <c r="W14" s="733">
        <f t="shared" si="50"/>
        <v>314</v>
      </c>
      <c r="X14" s="733">
        <f t="shared" si="50"/>
        <v>307</v>
      </c>
      <c r="Y14" s="733">
        <f t="shared" si="50"/>
        <v>318</v>
      </c>
      <c r="Z14" s="733">
        <f t="shared" si="50"/>
        <v>329</v>
      </c>
      <c r="AA14" s="733">
        <f t="shared" si="50"/>
        <v>502</v>
      </c>
      <c r="AB14" s="733">
        <f t="shared" ref="AB14:AG14" si="51">AB60</f>
        <v>320</v>
      </c>
      <c r="AC14" s="733">
        <f t="shared" si="51"/>
        <v>528</v>
      </c>
      <c r="AD14" s="733">
        <f t="shared" si="51"/>
        <v>466</v>
      </c>
      <c r="AE14" s="733">
        <f t="shared" si="51"/>
        <v>447</v>
      </c>
      <c r="AF14" s="733">
        <f t="shared" si="51"/>
        <v>589</v>
      </c>
      <c r="AG14" s="1143">
        <f t="shared" si="51"/>
        <v>520</v>
      </c>
      <c r="AH14" s="1143">
        <f t="shared" ref="AH14:AM14" si="52">AH60</f>
        <v>388</v>
      </c>
      <c r="AI14" s="1143">
        <f t="shared" si="52"/>
        <v>437</v>
      </c>
      <c r="AJ14" s="1143">
        <f t="shared" si="52"/>
        <v>435</v>
      </c>
      <c r="AK14" s="1143">
        <f t="shared" si="52"/>
        <v>333</v>
      </c>
      <c r="AL14" s="459">
        <f t="shared" si="52"/>
        <v>414</v>
      </c>
      <c r="AM14" s="459">
        <f t="shared" si="52"/>
        <v>394</v>
      </c>
      <c r="AN14" s="459">
        <f t="shared" ref="AN14:AO14" si="53">AN60</f>
        <v>381</v>
      </c>
      <c r="AO14" s="459">
        <f t="shared" si="53"/>
        <v>396</v>
      </c>
    </row>
    <row r="15" spans="1:41">
      <c r="A15" s="61"/>
      <c r="B15" s="62">
        <v>9</v>
      </c>
      <c r="C15" s="62" t="s">
        <v>212</v>
      </c>
      <c r="D15" s="79">
        <f t="shared" ref="D15:U15" si="54">D63</f>
        <v>1527</v>
      </c>
      <c r="E15" s="79">
        <f t="shared" si="54"/>
        <v>1103</v>
      </c>
      <c r="F15" s="79">
        <f t="shared" si="54"/>
        <v>1030</v>
      </c>
      <c r="G15" s="79">
        <f t="shared" si="54"/>
        <v>1362</v>
      </c>
      <c r="H15" s="79">
        <f t="shared" si="54"/>
        <v>1419</v>
      </c>
      <c r="I15" s="79">
        <f t="shared" si="54"/>
        <v>2682</v>
      </c>
      <c r="J15" s="79">
        <f t="shared" si="54"/>
        <v>2449</v>
      </c>
      <c r="K15" s="79">
        <f t="shared" si="54"/>
        <v>1558</v>
      </c>
      <c r="L15" s="79">
        <f t="shared" si="54"/>
        <v>1194</v>
      </c>
      <c r="M15" s="79">
        <f t="shared" si="54"/>
        <v>1079</v>
      </c>
      <c r="N15" s="79">
        <f t="shared" si="54"/>
        <v>1037</v>
      </c>
      <c r="O15" s="79">
        <f t="shared" si="54"/>
        <v>842</v>
      </c>
      <c r="P15" s="79">
        <f t="shared" si="54"/>
        <v>855</v>
      </c>
      <c r="Q15" s="79">
        <f t="shared" si="54"/>
        <v>811</v>
      </c>
      <c r="R15" s="79">
        <f t="shared" si="54"/>
        <v>573</v>
      </c>
      <c r="S15" s="79">
        <f t="shared" si="54"/>
        <v>670</v>
      </c>
      <c r="T15" s="733">
        <f t="shared" si="54"/>
        <v>718</v>
      </c>
      <c r="U15" s="733">
        <f t="shared" si="54"/>
        <v>669</v>
      </c>
      <c r="V15" s="733">
        <f t="shared" ref="V15:AA15" si="55">V63</f>
        <v>645</v>
      </c>
      <c r="W15" s="733">
        <f t="shared" si="55"/>
        <v>907</v>
      </c>
      <c r="X15" s="735">
        <f t="shared" si="55"/>
        <v>574</v>
      </c>
      <c r="Y15" s="735">
        <f t="shared" si="55"/>
        <v>597</v>
      </c>
      <c r="Z15" s="735">
        <f t="shared" si="55"/>
        <v>444</v>
      </c>
      <c r="AA15" s="735">
        <f t="shared" si="55"/>
        <v>670</v>
      </c>
      <c r="AB15" s="735">
        <f t="shared" ref="AB15:AG15" si="56">AB63</f>
        <v>545</v>
      </c>
      <c r="AC15" s="735">
        <f t="shared" si="56"/>
        <v>582</v>
      </c>
      <c r="AD15" s="735">
        <f t="shared" si="56"/>
        <v>507</v>
      </c>
      <c r="AE15" s="735">
        <f t="shared" si="56"/>
        <v>486</v>
      </c>
      <c r="AF15" s="735">
        <f t="shared" si="56"/>
        <v>459</v>
      </c>
      <c r="AG15" s="1144">
        <f t="shared" si="56"/>
        <v>484</v>
      </c>
      <c r="AH15" s="1144">
        <f t="shared" ref="AH15:AM15" si="57">AH63</f>
        <v>389</v>
      </c>
      <c r="AI15" s="1144">
        <f t="shared" si="57"/>
        <v>658</v>
      </c>
      <c r="AJ15" s="1144">
        <f t="shared" si="57"/>
        <v>554</v>
      </c>
      <c r="AK15" s="1144">
        <f t="shared" si="57"/>
        <v>593</v>
      </c>
      <c r="AL15" s="460">
        <f t="shared" si="57"/>
        <v>581</v>
      </c>
      <c r="AM15" s="460">
        <f t="shared" si="57"/>
        <v>576</v>
      </c>
      <c r="AN15" s="460">
        <f t="shared" ref="AN15:AO15" si="58">AN63</f>
        <v>583</v>
      </c>
      <c r="AO15" s="460">
        <f t="shared" si="58"/>
        <v>580</v>
      </c>
    </row>
    <row r="16" spans="1:41">
      <c r="A16" s="71"/>
      <c r="B16" s="64"/>
      <c r="C16" s="64"/>
      <c r="D16" s="320"/>
      <c r="E16" s="320"/>
      <c r="F16" s="320"/>
      <c r="G16" s="320"/>
      <c r="H16" s="320"/>
      <c r="I16" s="320"/>
      <c r="J16" s="320"/>
      <c r="K16" s="320"/>
      <c r="L16" s="320"/>
      <c r="M16" s="320"/>
      <c r="N16" s="320"/>
      <c r="O16" s="320"/>
      <c r="P16" s="320"/>
      <c r="Q16" s="320"/>
      <c r="R16" s="320"/>
      <c r="S16" s="320"/>
      <c r="T16" s="382"/>
      <c r="U16" s="382"/>
      <c r="V16" s="736"/>
      <c r="W16" s="736"/>
      <c r="Y16" s="75" t="s">
        <v>901</v>
      </c>
      <c r="Z16" s="75" t="s">
        <v>627</v>
      </c>
      <c r="AA16" s="75" t="s">
        <v>136</v>
      </c>
      <c r="AB16" s="75" t="s">
        <v>1026</v>
      </c>
      <c r="AC16" s="75" t="s">
        <v>1055</v>
      </c>
      <c r="AD16" s="75" t="s">
        <v>1080</v>
      </c>
      <c r="AE16" s="75" t="s">
        <v>1126</v>
      </c>
      <c r="AF16" s="75" t="s">
        <v>1126</v>
      </c>
      <c r="AG16" s="453" t="s">
        <v>627</v>
      </c>
      <c r="AH16" s="453" t="s">
        <v>11</v>
      </c>
      <c r="AI16" s="453" t="s">
        <v>11</v>
      </c>
      <c r="AJ16" s="453" t="s">
        <v>627</v>
      </c>
      <c r="AK16" s="453"/>
      <c r="AL16" s="456" t="s">
        <v>11</v>
      </c>
      <c r="AM16" s="456" t="s">
        <v>1728</v>
      </c>
      <c r="AN16" s="456" t="s">
        <v>1812</v>
      </c>
      <c r="AO16" s="456" t="s">
        <v>1813</v>
      </c>
    </row>
    <row r="17" spans="1:41">
      <c r="A17" s="61" t="s">
        <v>321</v>
      </c>
      <c r="B17" s="62">
        <v>100</v>
      </c>
      <c r="C17" s="62" t="s">
        <v>172</v>
      </c>
      <c r="D17" s="200">
        <f>D73</f>
        <v>19989</v>
      </c>
      <c r="E17" s="200">
        <f t="shared" ref="E17:Q17" si="59">E73</f>
        <v>14794</v>
      </c>
      <c r="F17" s="200">
        <f t="shared" si="59"/>
        <v>15565</v>
      </c>
      <c r="G17" s="200">
        <f t="shared" si="59"/>
        <v>17457</v>
      </c>
      <c r="H17" s="200">
        <f t="shared" si="59"/>
        <v>19358</v>
      </c>
      <c r="I17" s="200">
        <f t="shared" si="59"/>
        <v>43315</v>
      </c>
      <c r="J17" s="200">
        <f t="shared" si="59"/>
        <v>47377</v>
      </c>
      <c r="K17" s="200">
        <f t="shared" si="59"/>
        <v>27983</v>
      </c>
      <c r="L17" s="200">
        <f t="shared" si="59"/>
        <v>16412</v>
      </c>
      <c r="M17" s="200">
        <f t="shared" si="59"/>
        <v>17038</v>
      </c>
      <c r="N17" s="200">
        <f t="shared" si="59"/>
        <v>14014</v>
      </c>
      <c r="O17" s="200">
        <f t="shared" si="59"/>
        <v>13472</v>
      </c>
      <c r="P17" s="200">
        <f t="shared" si="59"/>
        <v>12868</v>
      </c>
      <c r="Q17" s="200">
        <f t="shared" si="59"/>
        <v>12292</v>
      </c>
      <c r="R17" s="200">
        <v>14900</v>
      </c>
      <c r="S17" s="200">
        <v>13828</v>
      </c>
      <c r="T17" s="75">
        <v>17216</v>
      </c>
      <c r="U17" s="75">
        <v>11737</v>
      </c>
      <c r="V17" s="733">
        <v>10765</v>
      </c>
      <c r="W17" s="733">
        <v>8595</v>
      </c>
      <c r="X17" s="382">
        <v>8714</v>
      </c>
      <c r="Y17" s="382">
        <v>9397</v>
      </c>
      <c r="Z17" s="382">
        <v>8695</v>
      </c>
      <c r="AA17" s="130">
        <v>10650</v>
      </c>
      <c r="AB17" s="382">
        <v>9938</v>
      </c>
      <c r="AC17" s="382">
        <v>9775</v>
      </c>
      <c r="AD17" s="382">
        <v>8876</v>
      </c>
      <c r="AE17" s="382">
        <v>10083</v>
      </c>
      <c r="AF17" s="382">
        <v>7466</v>
      </c>
      <c r="AG17" s="929">
        <v>8141</v>
      </c>
      <c r="AH17" s="929">
        <v>8425</v>
      </c>
      <c r="AI17" s="929">
        <v>7493</v>
      </c>
      <c r="AJ17" s="929">
        <v>8494</v>
      </c>
      <c r="AK17" s="929">
        <v>7803</v>
      </c>
      <c r="AL17" s="462">
        <v>7401</v>
      </c>
      <c r="AM17" s="462">
        <f>ROUND(SUM(AJ17:AL17)/3,0)</f>
        <v>7899</v>
      </c>
      <c r="AN17" s="462">
        <f>ROUND(SUM(AK17:AM17)/3,0)</f>
        <v>7701</v>
      </c>
      <c r="AO17" s="462">
        <f>ROUND(SUM(AL17:AN17)/3,0)</f>
        <v>7667</v>
      </c>
    </row>
    <row r="18" spans="1:41">
      <c r="A18" s="67" t="s">
        <v>341</v>
      </c>
      <c r="B18" s="68">
        <v>1</v>
      </c>
      <c r="C18" s="68" t="s">
        <v>328</v>
      </c>
      <c r="D18" s="318">
        <f t="shared" ref="D18:Q18" si="60">SUM(D19:D21)</f>
        <v>10978</v>
      </c>
      <c r="E18" s="318">
        <f t="shared" si="60"/>
        <v>8095</v>
      </c>
      <c r="F18" s="318">
        <f t="shared" si="60"/>
        <v>8772</v>
      </c>
      <c r="G18" s="318">
        <f t="shared" si="60"/>
        <v>10097</v>
      </c>
      <c r="H18" s="318">
        <f t="shared" si="60"/>
        <v>13007</v>
      </c>
      <c r="I18" s="318">
        <f t="shared" si="60"/>
        <v>30196</v>
      </c>
      <c r="J18" s="318">
        <f t="shared" si="60"/>
        <v>32944</v>
      </c>
      <c r="K18" s="318">
        <f t="shared" si="60"/>
        <v>18362</v>
      </c>
      <c r="L18" s="318">
        <f t="shared" si="60"/>
        <v>11370</v>
      </c>
      <c r="M18" s="318">
        <f t="shared" si="60"/>
        <v>10453</v>
      </c>
      <c r="N18" s="318">
        <f t="shared" si="60"/>
        <v>10991</v>
      </c>
      <c r="O18" s="318">
        <f t="shared" si="60"/>
        <v>10854</v>
      </c>
      <c r="P18" s="318">
        <f t="shared" si="60"/>
        <v>8825</v>
      </c>
      <c r="Q18" s="318">
        <f t="shared" si="60"/>
        <v>9729</v>
      </c>
      <c r="R18" s="318">
        <v>10553</v>
      </c>
      <c r="S18" s="318">
        <v>10462</v>
      </c>
      <c r="T18" s="734">
        <v>10052</v>
      </c>
      <c r="U18" s="734">
        <v>6812</v>
      </c>
      <c r="V18" s="734">
        <f t="shared" ref="V18:AD18" si="61">SUM(V19:V21)</f>
        <v>7715</v>
      </c>
      <c r="W18" s="734">
        <f t="shared" si="61"/>
        <v>5265</v>
      </c>
      <c r="X18" s="734">
        <f t="shared" si="61"/>
        <v>6907</v>
      </c>
      <c r="Y18" s="734">
        <f t="shared" si="61"/>
        <v>7251</v>
      </c>
      <c r="Z18" s="734">
        <f t="shared" si="61"/>
        <v>7102</v>
      </c>
      <c r="AA18" s="734">
        <f t="shared" si="61"/>
        <v>7201</v>
      </c>
      <c r="AB18" s="734">
        <f t="shared" si="61"/>
        <v>6118</v>
      </c>
      <c r="AC18" s="734">
        <f t="shared" si="61"/>
        <v>7755</v>
      </c>
      <c r="AD18" s="734">
        <f t="shared" si="61"/>
        <v>6883</v>
      </c>
      <c r="AE18" s="734">
        <f t="shared" ref="AE18:AJ18" si="62">SUM(AE19:AE21)</f>
        <v>6878</v>
      </c>
      <c r="AF18" s="734">
        <f t="shared" si="62"/>
        <v>6934</v>
      </c>
      <c r="AG18" s="1142">
        <f t="shared" si="62"/>
        <v>7508</v>
      </c>
      <c r="AH18" s="1142">
        <f t="shared" si="62"/>
        <v>7390</v>
      </c>
      <c r="AI18" s="1142">
        <f t="shared" si="62"/>
        <v>6774</v>
      </c>
      <c r="AJ18" s="1142">
        <f t="shared" si="62"/>
        <v>6790</v>
      </c>
      <c r="AK18" s="1142">
        <f t="shared" ref="AK18:AL18" si="63">SUM(AK19:AK21)</f>
        <v>6692</v>
      </c>
      <c r="AL18" s="458">
        <f t="shared" si="63"/>
        <v>6642</v>
      </c>
      <c r="AM18" s="458">
        <f t="shared" ref="AM18:AN18" si="64">SUM(AM19:AM21)</f>
        <v>6708</v>
      </c>
      <c r="AN18" s="458">
        <f t="shared" si="64"/>
        <v>6681</v>
      </c>
      <c r="AO18" s="458">
        <f t="shared" ref="AO18" si="65">SUM(AO19:AO21)</f>
        <v>6677</v>
      </c>
    </row>
    <row r="19" spans="1:41">
      <c r="A19" s="61"/>
      <c r="B19" s="62">
        <v>202</v>
      </c>
      <c r="C19" s="62" t="s">
        <v>183</v>
      </c>
      <c r="D19" s="200">
        <f>D75</f>
        <v>5636</v>
      </c>
      <c r="E19" s="200">
        <f t="shared" ref="E19:Q19" si="66">E75</f>
        <v>3928</v>
      </c>
      <c r="F19" s="200">
        <f t="shared" si="66"/>
        <v>4829</v>
      </c>
      <c r="G19" s="200">
        <f t="shared" si="66"/>
        <v>5227</v>
      </c>
      <c r="H19" s="200">
        <f t="shared" si="66"/>
        <v>6555</v>
      </c>
      <c r="I19" s="200">
        <f t="shared" si="66"/>
        <v>9718</v>
      </c>
      <c r="J19" s="200">
        <f t="shared" si="66"/>
        <v>9813</v>
      </c>
      <c r="K19" s="200">
        <f t="shared" si="66"/>
        <v>6419</v>
      </c>
      <c r="L19" s="200">
        <f t="shared" si="66"/>
        <v>4579</v>
      </c>
      <c r="M19" s="200">
        <f t="shared" si="66"/>
        <v>3845</v>
      </c>
      <c r="N19" s="200">
        <f t="shared" si="66"/>
        <v>4305</v>
      </c>
      <c r="O19" s="200">
        <f t="shared" si="66"/>
        <v>4457</v>
      </c>
      <c r="P19" s="200">
        <f t="shared" si="66"/>
        <v>4206</v>
      </c>
      <c r="Q19" s="200">
        <f t="shared" si="66"/>
        <v>3368</v>
      </c>
      <c r="R19" s="200">
        <v>4211</v>
      </c>
      <c r="S19" s="200">
        <v>4163</v>
      </c>
      <c r="T19" s="75">
        <v>5361</v>
      </c>
      <c r="U19" s="75">
        <v>3390</v>
      </c>
      <c r="V19" s="733">
        <v>2871</v>
      </c>
      <c r="W19" s="733">
        <v>2550</v>
      </c>
      <c r="X19" s="75">
        <v>2989</v>
      </c>
      <c r="Y19" s="75">
        <v>3757</v>
      </c>
      <c r="Z19" s="75">
        <v>3181</v>
      </c>
      <c r="AA19" s="75">
        <v>2991</v>
      </c>
      <c r="AB19" s="75">
        <v>3047</v>
      </c>
      <c r="AC19" s="75">
        <v>3905</v>
      </c>
      <c r="AD19" s="75">
        <v>3435</v>
      </c>
      <c r="AE19" s="75">
        <v>3417</v>
      </c>
      <c r="AF19" s="75">
        <v>3417</v>
      </c>
      <c r="AG19" s="453">
        <v>4053</v>
      </c>
      <c r="AH19" s="453">
        <v>3323</v>
      </c>
      <c r="AI19" s="453">
        <v>3505</v>
      </c>
      <c r="AJ19" s="453">
        <v>3307</v>
      </c>
      <c r="AK19" s="453">
        <v>3588</v>
      </c>
      <c r="AL19" s="456">
        <v>3613</v>
      </c>
      <c r="AM19" s="456">
        <f t="shared" ref="AM19:AO21" si="67">ROUND(SUM(AJ19:AL19)/3,0)</f>
        <v>3503</v>
      </c>
      <c r="AN19" s="456">
        <f t="shared" si="67"/>
        <v>3568</v>
      </c>
      <c r="AO19" s="456">
        <f t="shared" si="67"/>
        <v>3561</v>
      </c>
    </row>
    <row r="20" spans="1:41">
      <c r="A20" s="61"/>
      <c r="B20" s="62">
        <v>204</v>
      </c>
      <c r="C20" s="62" t="s">
        <v>184</v>
      </c>
      <c r="D20" s="200">
        <f t="shared" ref="D20:Q21" si="68">D76</f>
        <v>4206</v>
      </c>
      <c r="E20" s="200">
        <f t="shared" si="68"/>
        <v>3478</v>
      </c>
      <c r="F20" s="200">
        <f t="shared" si="68"/>
        <v>3539</v>
      </c>
      <c r="G20" s="200">
        <f t="shared" si="68"/>
        <v>4325</v>
      </c>
      <c r="H20" s="200">
        <f t="shared" si="68"/>
        <v>5572</v>
      </c>
      <c r="I20" s="200">
        <f t="shared" si="68"/>
        <v>17261</v>
      </c>
      <c r="J20" s="200">
        <f t="shared" si="68"/>
        <v>19557</v>
      </c>
      <c r="K20" s="200">
        <f t="shared" si="68"/>
        <v>10386</v>
      </c>
      <c r="L20" s="200">
        <f t="shared" si="68"/>
        <v>5596</v>
      </c>
      <c r="M20" s="200">
        <f t="shared" si="68"/>
        <v>5663</v>
      </c>
      <c r="N20" s="200">
        <f t="shared" si="68"/>
        <v>5458</v>
      </c>
      <c r="O20" s="200">
        <f t="shared" si="68"/>
        <v>5119</v>
      </c>
      <c r="P20" s="200">
        <f t="shared" si="68"/>
        <v>3635</v>
      </c>
      <c r="Q20" s="200">
        <f t="shared" si="68"/>
        <v>5492</v>
      </c>
      <c r="R20" s="200">
        <v>4928</v>
      </c>
      <c r="S20" s="200">
        <v>5462</v>
      </c>
      <c r="T20" s="75">
        <v>3772</v>
      </c>
      <c r="U20" s="75">
        <v>2772</v>
      </c>
      <c r="V20" s="733">
        <v>4292</v>
      </c>
      <c r="W20" s="733">
        <v>2397</v>
      </c>
      <c r="X20" s="75">
        <v>3362</v>
      </c>
      <c r="Y20" s="75">
        <v>3030</v>
      </c>
      <c r="Z20" s="75">
        <v>3517</v>
      </c>
      <c r="AA20" s="75">
        <v>3494</v>
      </c>
      <c r="AB20" s="75">
        <v>2732</v>
      </c>
      <c r="AC20" s="75">
        <v>3505</v>
      </c>
      <c r="AD20" s="75">
        <v>2671</v>
      </c>
      <c r="AE20" s="75">
        <v>3019</v>
      </c>
      <c r="AF20" s="75">
        <v>3020</v>
      </c>
      <c r="AG20" s="453">
        <v>3034</v>
      </c>
      <c r="AH20" s="453">
        <v>3702</v>
      </c>
      <c r="AI20" s="453">
        <v>2957</v>
      </c>
      <c r="AJ20" s="453">
        <v>3150</v>
      </c>
      <c r="AK20" s="453">
        <v>2821</v>
      </c>
      <c r="AL20" s="456">
        <v>2765</v>
      </c>
      <c r="AM20" s="456">
        <f t="shared" si="67"/>
        <v>2912</v>
      </c>
      <c r="AN20" s="456">
        <f t="shared" si="67"/>
        <v>2833</v>
      </c>
      <c r="AO20" s="456">
        <f t="shared" si="67"/>
        <v>2837</v>
      </c>
    </row>
    <row r="21" spans="1:41">
      <c r="A21" s="69"/>
      <c r="B21" s="70">
        <v>206</v>
      </c>
      <c r="C21" s="70" t="s">
        <v>185</v>
      </c>
      <c r="D21" s="195">
        <f t="shared" si="68"/>
        <v>1136</v>
      </c>
      <c r="E21" s="195">
        <f t="shared" si="68"/>
        <v>689</v>
      </c>
      <c r="F21" s="195">
        <f t="shared" si="68"/>
        <v>404</v>
      </c>
      <c r="G21" s="195">
        <f t="shared" si="68"/>
        <v>545</v>
      </c>
      <c r="H21" s="195">
        <f t="shared" si="68"/>
        <v>880</v>
      </c>
      <c r="I21" s="195">
        <f t="shared" si="68"/>
        <v>3217</v>
      </c>
      <c r="J21" s="195">
        <f t="shared" si="68"/>
        <v>3574</v>
      </c>
      <c r="K21" s="195">
        <f t="shared" si="68"/>
        <v>1557</v>
      </c>
      <c r="L21" s="195">
        <f t="shared" si="68"/>
        <v>1195</v>
      </c>
      <c r="M21" s="195">
        <f t="shared" si="68"/>
        <v>945</v>
      </c>
      <c r="N21" s="195">
        <f t="shared" si="68"/>
        <v>1228</v>
      </c>
      <c r="O21" s="195">
        <f t="shared" si="68"/>
        <v>1278</v>
      </c>
      <c r="P21" s="195">
        <f t="shared" si="68"/>
        <v>984</v>
      </c>
      <c r="Q21" s="195">
        <f t="shared" si="68"/>
        <v>869</v>
      </c>
      <c r="R21" s="195">
        <v>1414</v>
      </c>
      <c r="S21" s="195">
        <v>837</v>
      </c>
      <c r="T21" s="132">
        <v>919</v>
      </c>
      <c r="U21" s="132">
        <v>650</v>
      </c>
      <c r="V21" s="735">
        <v>552</v>
      </c>
      <c r="W21" s="735">
        <v>318</v>
      </c>
      <c r="X21" s="132">
        <v>556</v>
      </c>
      <c r="Y21" s="132">
        <v>464</v>
      </c>
      <c r="Z21" s="132">
        <v>404</v>
      </c>
      <c r="AA21" s="132">
        <v>716</v>
      </c>
      <c r="AB21" s="132">
        <v>339</v>
      </c>
      <c r="AC21" s="132">
        <v>345</v>
      </c>
      <c r="AD21" s="132">
        <v>777</v>
      </c>
      <c r="AE21" s="132">
        <v>442</v>
      </c>
      <c r="AF21" s="132">
        <v>497</v>
      </c>
      <c r="AG21" s="450">
        <v>421</v>
      </c>
      <c r="AH21" s="450">
        <v>365</v>
      </c>
      <c r="AI21" s="450">
        <v>312</v>
      </c>
      <c r="AJ21" s="450">
        <v>333</v>
      </c>
      <c r="AK21" s="450">
        <v>283</v>
      </c>
      <c r="AL21" s="461">
        <v>264</v>
      </c>
      <c r="AM21" s="461">
        <f t="shared" si="67"/>
        <v>293</v>
      </c>
      <c r="AN21" s="461">
        <f t="shared" si="67"/>
        <v>280</v>
      </c>
      <c r="AO21" s="461">
        <f t="shared" si="67"/>
        <v>279</v>
      </c>
    </row>
    <row r="22" spans="1:41">
      <c r="A22" s="61" t="s">
        <v>342</v>
      </c>
      <c r="B22" s="62">
        <v>2</v>
      </c>
      <c r="C22" s="62" t="s">
        <v>324</v>
      </c>
      <c r="D22" s="317">
        <f t="shared" ref="D22:Q22" si="69">SUM(D23:D27)</f>
        <v>7092</v>
      </c>
      <c r="E22" s="317">
        <f t="shared" si="69"/>
        <v>7480</v>
      </c>
      <c r="F22" s="317">
        <f t="shared" si="69"/>
        <v>9979</v>
      </c>
      <c r="G22" s="317">
        <f t="shared" si="69"/>
        <v>10129</v>
      </c>
      <c r="H22" s="317">
        <f t="shared" si="69"/>
        <v>10669</v>
      </c>
      <c r="I22" s="317">
        <f t="shared" si="69"/>
        <v>14969</v>
      </c>
      <c r="J22" s="317">
        <f t="shared" si="69"/>
        <v>14274</v>
      </c>
      <c r="K22" s="317">
        <f t="shared" si="69"/>
        <v>9266</v>
      </c>
      <c r="L22" s="317">
        <f t="shared" si="69"/>
        <v>6870</v>
      </c>
      <c r="M22" s="317">
        <f t="shared" si="69"/>
        <v>5708</v>
      </c>
      <c r="N22" s="317">
        <f t="shared" si="69"/>
        <v>5827</v>
      </c>
      <c r="O22" s="317">
        <f t="shared" si="69"/>
        <v>7364</v>
      </c>
      <c r="P22" s="317">
        <f t="shared" si="69"/>
        <v>5541</v>
      </c>
      <c r="Q22" s="317">
        <f t="shared" si="69"/>
        <v>5487</v>
      </c>
      <c r="R22" s="317">
        <v>5822</v>
      </c>
      <c r="S22" s="317">
        <v>6482</v>
      </c>
      <c r="T22" s="733">
        <v>7415</v>
      </c>
      <c r="U22" s="733">
        <v>5045</v>
      </c>
      <c r="V22" s="733">
        <f t="shared" ref="V22:AC22" si="70">SUM(V23:V27)</f>
        <v>4571</v>
      </c>
      <c r="W22" s="733">
        <f t="shared" si="70"/>
        <v>4975</v>
      </c>
      <c r="X22" s="733">
        <f t="shared" si="70"/>
        <v>4086</v>
      </c>
      <c r="Y22" s="733">
        <f t="shared" si="70"/>
        <v>4100</v>
      </c>
      <c r="Z22" s="733">
        <f t="shared" si="70"/>
        <v>4219</v>
      </c>
      <c r="AA22" s="733">
        <f t="shared" si="70"/>
        <v>4608</v>
      </c>
      <c r="AB22" s="734">
        <f t="shared" si="70"/>
        <v>4632</v>
      </c>
      <c r="AC22" s="734">
        <f t="shared" si="70"/>
        <v>4240</v>
      </c>
      <c r="AD22" s="734">
        <f t="shared" ref="AD22:AI22" si="71">SUM(AD23:AD27)</f>
        <v>4457</v>
      </c>
      <c r="AE22" s="734">
        <f t="shared" si="71"/>
        <v>3821</v>
      </c>
      <c r="AF22" s="734">
        <f t="shared" si="71"/>
        <v>3370</v>
      </c>
      <c r="AG22" s="1142">
        <f t="shared" si="71"/>
        <v>3452</v>
      </c>
      <c r="AH22" s="1142">
        <f t="shared" si="71"/>
        <v>3334</v>
      </c>
      <c r="AI22" s="1142">
        <f t="shared" si="71"/>
        <v>3144</v>
      </c>
      <c r="AJ22" s="1142">
        <f t="shared" ref="AJ22:AO22" si="72">SUM(AJ23:AJ27)</f>
        <v>4547</v>
      </c>
      <c r="AK22" s="1142">
        <f t="shared" si="72"/>
        <v>3287</v>
      </c>
      <c r="AL22" s="458">
        <f t="shared" si="72"/>
        <v>3865</v>
      </c>
      <c r="AM22" s="458">
        <f t="shared" si="72"/>
        <v>3900</v>
      </c>
      <c r="AN22" s="458">
        <f t="shared" si="72"/>
        <v>3684</v>
      </c>
      <c r="AO22" s="458">
        <f t="shared" si="72"/>
        <v>3816</v>
      </c>
    </row>
    <row r="23" spans="1:41">
      <c r="A23" s="61"/>
      <c r="B23" s="62">
        <v>207</v>
      </c>
      <c r="C23" s="62" t="s">
        <v>187</v>
      </c>
      <c r="D23" s="200">
        <f>D78</f>
        <v>1328</v>
      </c>
      <c r="E23" s="200">
        <f t="shared" ref="E23:Q23" si="73">E78</f>
        <v>1643</v>
      </c>
      <c r="F23" s="200">
        <f t="shared" si="73"/>
        <v>2834</v>
      </c>
      <c r="G23" s="200">
        <f t="shared" si="73"/>
        <v>2881</v>
      </c>
      <c r="H23" s="200">
        <f t="shared" si="73"/>
        <v>2966</v>
      </c>
      <c r="I23" s="200">
        <f t="shared" si="73"/>
        <v>4821</v>
      </c>
      <c r="J23" s="200">
        <f t="shared" si="73"/>
        <v>4089</v>
      </c>
      <c r="K23" s="200">
        <f t="shared" si="73"/>
        <v>2115</v>
      </c>
      <c r="L23" s="200">
        <f t="shared" si="73"/>
        <v>1525</v>
      </c>
      <c r="M23" s="200">
        <f t="shared" si="73"/>
        <v>1379</v>
      </c>
      <c r="N23" s="200">
        <f t="shared" si="73"/>
        <v>1382</v>
      </c>
      <c r="O23" s="200">
        <f t="shared" si="73"/>
        <v>2410</v>
      </c>
      <c r="P23" s="200">
        <f t="shared" si="73"/>
        <v>1604</v>
      </c>
      <c r="Q23" s="200">
        <f t="shared" si="73"/>
        <v>1548</v>
      </c>
      <c r="R23" s="200">
        <v>1597</v>
      </c>
      <c r="S23" s="200">
        <v>2177</v>
      </c>
      <c r="T23" s="75">
        <v>2535</v>
      </c>
      <c r="U23" s="75">
        <v>1437</v>
      </c>
      <c r="V23" s="733">
        <v>1115</v>
      </c>
      <c r="W23" s="733">
        <v>1744</v>
      </c>
      <c r="X23" s="75">
        <v>1214</v>
      </c>
      <c r="Y23" s="75">
        <v>1461</v>
      </c>
      <c r="Z23" s="75">
        <v>1325</v>
      </c>
      <c r="AA23" s="75">
        <v>1455</v>
      </c>
      <c r="AB23" s="75">
        <v>1079</v>
      </c>
      <c r="AC23" s="75">
        <v>1271</v>
      </c>
      <c r="AD23" s="75">
        <v>1666</v>
      </c>
      <c r="AE23" s="75">
        <v>1257</v>
      </c>
      <c r="AF23" s="75">
        <v>1157</v>
      </c>
      <c r="AG23" s="453">
        <v>1020</v>
      </c>
      <c r="AH23" s="453">
        <v>1161</v>
      </c>
      <c r="AI23" s="453">
        <v>1009</v>
      </c>
      <c r="AJ23" s="453">
        <v>1536</v>
      </c>
      <c r="AK23" s="453">
        <v>1090</v>
      </c>
      <c r="AL23" s="456">
        <v>1120</v>
      </c>
      <c r="AM23" s="456">
        <f t="shared" ref="AM23:AO27" si="74">ROUND(SUM(AJ23:AL23)/3,0)</f>
        <v>1249</v>
      </c>
      <c r="AN23" s="456">
        <f t="shared" si="74"/>
        <v>1153</v>
      </c>
      <c r="AO23" s="456">
        <f t="shared" si="74"/>
        <v>1174</v>
      </c>
    </row>
    <row r="24" spans="1:41">
      <c r="A24" s="61"/>
      <c r="B24" s="62">
        <v>214</v>
      </c>
      <c r="C24" s="62" t="s">
        <v>188</v>
      </c>
      <c r="D24" s="200">
        <f t="shared" ref="D24:Q27" si="75">D79</f>
        <v>2143</v>
      </c>
      <c r="E24" s="200">
        <f t="shared" si="75"/>
        <v>1553</v>
      </c>
      <c r="F24" s="200">
        <f t="shared" si="75"/>
        <v>2178</v>
      </c>
      <c r="G24" s="200">
        <f t="shared" si="75"/>
        <v>2813</v>
      </c>
      <c r="H24" s="200">
        <f t="shared" si="75"/>
        <v>3065</v>
      </c>
      <c r="I24" s="200">
        <f t="shared" si="75"/>
        <v>5529</v>
      </c>
      <c r="J24" s="200">
        <f t="shared" si="75"/>
        <v>4984</v>
      </c>
      <c r="K24" s="200">
        <f t="shared" si="75"/>
        <v>3342</v>
      </c>
      <c r="L24" s="200">
        <f t="shared" si="75"/>
        <v>2014</v>
      </c>
      <c r="M24" s="200">
        <f t="shared" si="75"/>
        <v>2362</v>
      </c>
      <c r="N24" s="200">
        <f t="shared" si="75"/>
        <v>2060</v>
      </c>
      <c r="O24" s="200">
        <f t="shared" si="75"/>
        <v>2566</v>
      </c>
      <c r="P24" s="200">
        <f t="shared" si="75"/>
        <v>1851</v>
      </c>
      <c r="Q24" s="200">
        <f t="shared" si="75"/>
        <v>1974</v>
      </c>
      <c r="R24" s="200">
        <v>2000</v>
      </c>
      <c r="S24" s="200">
        <v>1944</v>
      </c>
      <c r="T24" s="75">
        <v>2698</v>
      </c>
      <c r="U24" s="75">
        <v>1487</v>
      </c>
      <c r="V24" s="733">
        <v>1451</v>
      </c>
      <c r="W24" s="733">
        <v>1737</v>
      </c>
      <c r="X24" s="75">
        <v>1301</v>
      </c>
      <c r="Y24" s="75">
        <v>1211</v>
      </c>
      <c r="Z24" s="75">
        <v>1037</v>
      </c>
      <c r="AA24" s="75">
        <v>1645</v>
      </c>
      <c r="AB24" s="75">
        <v>1740</v>
      </c>
      <c r="AC24" s="75">
        <v>1491</v>
      </c>
      <c r="AD24" s="75">
        <v>1229</v>
      </c>
      <c r="AE24" s="75">
        <v>1210</v>
      </c>
      <c r="AF24" s="75">
        <v>1041</v>
      </c>
      <c r="AG24" s="453">
        <v>1091</v>
      </c>
      <c r="AH24" s="453">
        <v>884</v>
      </c>
      <c r="AI24" s="453">
        <v>1073</v>
      </c>
      <c r="AJ24" s="453">
        <v>1629</v>
      </c>
      <c r="AK24" s="453">
        <v>938</v>
      </c>
      <c r="AL24" s="456">
        <v>1014</v>
      </c>
      <c r="AM24" s="456">
        <f t="shared" si="74"/>
        <v>1194</v>
      </c>
      <c r="AN24" s="456">
        <f t="shared" si="74"/>
        <v>1049</v>
      </c>
      <c r="AO24" s="456">
        <f t="shared" si="74"/>
        <v>1086</v>
      </c>
    </row>
    <row r="25" spans="1:41">
      <c r="A25" s="61"/>
      <c r="B25" s="62">
        <v>217</v>
      </c>
      <c r="C25" s="62" t="s">
        <v>189</v>
      </c>
      <c r="D25" s="200">
        <f t="shared" si="75"/>
        <v>1442</v>
      </c>
      <c r="E25" s="200">
        <f t="shared" si="75"/>
        <v>1304</v>
      </c>
      <c r="F25" s="200">
        <f t="shared" si="75"/>
        <v>1675</v>
      </c>
      <c r="G25" s="200">
        <f t="shared" si="75"/>
        <v>1712</v>
      </c>
      <c r="H25" s="200">
        <f t="shared" si="75"/>
        <v>1769</v>
      </c>
      <c r="I25" s="200">
        <f t="shared" si="75"/>
        <v>3107</v>
      </c>
      <c r="J25" s="200">
        <f t="shared" si="75"/>
        <v>2509</v>
      </c>
      <c r="K25" s="200">
        <f t="shared" si="75"/>
        <v>2221</v>
      </c>
      <c r="L25" s="200">
        <f t="shared" si="75"/>
        <v>1984</v>
      </c>
      <c r="M25" s="200">
        <f t="shared" si="75"/>
        <v>1127</v>
      </c>
      <c r="N25" s="200">
        <f t="shared" si="75"/>
        <v>1468</v>
      </c>
      <c r="O25" s="200">
        <f t="shared" si="75"/>
        <v>1714</v>
      </c>
      <c r="P25" s="200">
        <f t="shared" si="75"/>
        <v>1293</v>
      </c>
      <c r="Q25" s="200">
        <f t="shared" si="75"/>
        <v>1118</v>
      </c>
      <c r="R25" s="200">
        <v>1208</v>
      </c>
      <c r="S25" s="200">
        <v>1268</v>
      </c>
      <c r="T25" s="75">
        <v>953</v>
      </c>
      <c r="U25" s="75">
        <v>1188</v>
      </c>
      <c r="V25" s="733">
        <v>1120</v>
      </c>
      <c r="W25" s="733">
        <v>857</v>
      </c>
      <c r="X25" s="75">
        <v>999</v>
      </c>
      <c r="Y25" s="75">
        <v>868</v>
      </c>
      <c r="Z25" s="75">
        <v>1096</v>
      </c>
      <c r="AA25" s="75">
        <v>771</v>
      </c>
      <c r="AB25" s="75">
        <v>980</v>
      </c>
      <c r="AC25" s="75">
        <v>685</v>
      </c>
      <c r="AD25" s="75">
        <v>737</v>
      </c>
      <c r="AE25" s="75">
        <v>769</v>
      </c>
      <c r="AF25" s="75">
        <v>698</v>
      </c>
      <c r="AG25" s="453">
        <v>1008</v>
      </c>
      <c r="AH25" s="453">
        <v>961</v>
      </c>
      <c r="AI25" s="453">
        <v>678</v>
      </c>
      <c r="AJ25" s="453">
        <v>928</v>
      </c>
      <c r="AK25" s="453">
        <v>673</v>
      </c>
      <c r="AL25" s="456">
        <v>890</v>
      </c>
      <c r="AM25" s="456">
        <f t="shared" si="74"/>
        <v>830</v>
      </c>
      <c r="AN25" s="456">
        <f t="shared" si="74"/>
        <v>798</v>
      </c>
      <c r="AO25" s="456">
        <f t="shared" si="74"/>
        <v>839</v>
      </c>
    </row>
    <row r="26" spans="1:41">
      <c r="A26" s="61"/>
      <c r="B26" s="62">
        <v>219</v>
      </c>
      <c r="C26" s="62" t="s">
        <v>190</v>
      </c>
      <c r="D26" s="200">
        <f t="shared" si="75"/>
        <v>1422</v>
      </c>
      <c r="E26" s="200">
        <f t="shared" si="75"/>
        <v>2611</v>
      </c>
      <c r="F26" s="200">
        <f t="shared" si="75"/>
        <v>2810</v>
      </c>
      <c r="G26" s="200">
        <f t="shared" si="75"/>
        <v>2332</v>
      </c>
      <c r="H26" s="200">
        <f t="shared" si="75"/>
        <v>2551</v>
      </c>
      <c r="I26" s="200">
        <f t="shared" si="75"/>
        <v>1196</v>
      </c>
      <c r="J26" s="200">
        <f t="shared" si="75"/>
        <v>2390</v>
      </c>
      <c r="K26" s="200">
        <f t="shared" si="75"/>
        <v>1201</v>
      </c>
      <c r="L26" s="200">
        <f t="shared" si="75"/>
        <v>1114</v>
      </c>
      <c r="M26" s="200">
        <f t="shared" si="75"/>
        <v>686</v>
      </c>
      <c r="N26" s="200">
        <f t="shared" si="75"/>
        <v>772</v>
      </c>
      <c r="O26" s="200">
        <f t="shared" si="75"/>
        <v>559</v>
      </c>
      <c r="P26" s="200">
        <f t="shared" si="75"/>
        <v>662</v>
      </c>
      <c r="Q26" s="200">
        <f t="shared" si="75"/>
        <v>525</v>
      </c>
      <c r="R26" s="200">
        <v>659</v>
      </c>
      <c r="S26" s="200">
        <v>809</v>
      </c>
      <c r="T26" s="75">
        <v>880</v>
      </c>
      <c r="U26" s="75">
        <v>689</v>
      </c>
      <c r="V26" s="733">
        <v>695</v>
      </c>
      <c r="W26" s="733">
        <v>529</v>
      </c>
      <c r="X26" s="75">
        <v>471</v>
      </c>
      <c r="Y26" s="75">
        <v>451</v>
      </c>
      <c r="Z26" s="75">
        <v>669</v>
      </c>
      <c r="AA26" s="75">
        <v>616</v>
      </c>
      <c r="AB26" s="75">
        <v>700</v>
      </c>
      <c r="AC26" s="75">
        <v>668</v>
      </c>
      <c r="AD26" s="75">
        <v>681</v>
      </c>
      <c r="AE26" s="75">
        <v>483</v>
      </c>
      <c r="AF26" s="75">
        <v>421</v>
      </c>
      <c r="AG26" s="453">
        <v>298</v>
      </c>
      <c r="AH26" s="453">
        <v>303</v>
      </c>
      <c r="AI26" s="453">
        <v>352</v>
      </c>
      <c r="AJ26" s="453">
        <v>418</v>
      </c>
      <c r="AK26" s="453">
        <v>549</v>
      </c>
      <c r="AL26" s="456">
        <v>812</v>
      </c>
      <c r="AM26" s="456">
        <f t="shared" si="74"/>
        <v>593</v>
      </c>
      <c r="AN26" s="456">
        <f t="shared" si="74"/>
        <v>651</v>
      </c>
      <c r="AO26" s="456">
        <f t="shared" si="74"/>
        <v>685</v>
      </c>
    </row>
    <row r="27" spans="1:41">
      <c r="A27" s="61"/>
      <c r="B27" s="62">
        <v>301</v>
      </c>
      <c r="C27" s="62" t="s">
        <v>191</v>
      </c>
      <c r="D27" s="200">
        <f t="shared" si="75"/>
        <v>757</v>
      </c>
      <c r="E27" s="200">
        <f t="shared" si="75"/>
        <v>369</v>
      </c>
      <c r="F27" s="200">
        <f t="shared" si="75"/>
        <v>482</v>
      </c>
      <c r="G27" s="200">
        <f t="shared" si="75"/>
        <v>391</v>
      </c>
      <c r="H27" s="200">
        <f t="shared" si="75"/>
        <v>318</v>
      </c>
      <c r="I27" s="200">
        <f t="shared" si="75"/>
        <v>316</v>
      </c>
      <c r="J27" s="200">
        <f t="shared" si="75"/>
        <v>302</v>
      </c>
      <c r="K27" s="200">
        <f t="shared" si="75"/>
        <v>387</v>
      </c>
      <c r="L27" s="200">
        <f t="shared" si="75"/>
        <v>233</v>
      </c>
      <c r="M27" s="200">
        <f t="shared" si="75"/>
        <v>154</v>
      </c>
      <c r="N27" s="200">
        <f t="shared" si="75"/>
        <v>145</v>
      </c>
      <c r="O27" s="200">
        <f t="shared" si="75"/>
        <v>115</v>
      </c>
      <c r="P27" s="200">
        <f t="shared" si="75"/>
        <v>131</v>
      </c>
      <c r="Q27" s="200">
        <f t="shared" si="75"/>
        <v>322</v>
      </c>
      <c r="R27" s="200">
        <v>358</v>
      </c>
      <c r="S27" s="200">
        <v>284</v>
      </c>
      <c r="T27" s="75">
        <v>349</v>
      </c>
      <c r="U27" s="75">
        <v>244</v>
      </c>
      <c r="V27" s="733">
        <v>190</v>
      </c>
      <c r="W27" s="733">
        <v>108</v>
      </c>
      <c r="X27" s="75">
        <v>101</v>
      </c>
      <c r="Y27" s="75">
        <v>109</v>
      </c>
      <c r="Z27" s="132">
        <v>92</v>
      </c>
      <c r="AA27" s="75">
        <v>121</v>
      </c>
      <c r="AB27" s="132">
        <v>133</v>
      </c>
      <c r="AC27" s="132">
        <v>125</v>
      </c>
      <c r="AD27" s="132">
        <v>144</v>
      </c>
      <c r="AE27" s="132">
        <v>102</v>
      </c>
      <c r="AF27" s="132">
        <v>53</v>
      </c>
      <c r="AG27" s="450">
        <v>35</v>
      </c>
      <c r="AH27" s="450">
        <v>25</v>
      </c>
      <c r="AI27" s="450">
        <v>32</v>
      </c>
      <c r="AJ27" s="450">
        <v>36</v>
      </c>
      <c r="AK27" s="450">
        <v>37</v>
      </c>
      <c r="AL27" s="461">
        <v>29</v>
      </c>
      <c r="AM27" s="461">
        <f t="shared" si="74"/>
        <v>34</v>
      </c>
      <c r="AN27" s="461">
        <f t="shared" si="74"/>
        <v>33</v>
      </c>
      <c r="AO27" s="461">
        <f t="shared" si="74"/>
        <v>32</v>
      </c>
    </row>
    <row r="28" spans="1:41">
      <c r="A28" s="67" t="s">
        <v>343</v>
      </c>
      <c r="B28" s="68">
        <v>3</v>
      </c>
      <c r="C28" s="68" t="s">
        <v>192</v>
      </c>
      <c r="D28" s="318">
        <f t="shared" ref="D28:Q28" si="76">SUM(D29:D33)</f>
        <v>8701</v>
      </c>
      <c r="E28" s="318">
        <f t="shared" si="76"/>
        <v>6132</v>
      </c>
      <c r="F28" s="318">
        <f t="shared" si="76"/>
        <v>6704</v>
      </c>
      <c r="G28" s="318">
        <f t="shared" si="76"/>
        <v>8701</v>
      </c>
      <c r="H28" s="318">
        <f t="shared" si="76"/>
        <v>8198</v>
      </c>
      <c r="I28" s="318">
        <f t="shared" si="76"/>
        <v>10775</v>
      </c>
      <c r="J28" s="318">
        <f t="shared" si="76"/>
        <v>11448</v>
      </c>
      <c r="K28" s="318">
        <f t="shared" si="76"/>
        <v>8417</v>
      </c>
      <c r="L28" s="318">
        <f t="shared" si="76"/>
        <v>7016</v>
      </c>
      <c r="M28" s="318">
        <f t="shared" si="76"/>
        <v>7192</v>
      </c>
      <c r="N28" s="318">
        <f t="shared" si="76"/>
        <v>6102</v>
      </c>
      <c r="O28" s="318">
        <f t="shared" si="76"/>
        <v>5394</v>
      </c>
      <c r="P28" s="318">
        <f t="shared" si="76"/>
        <v>5298</v>
      </c>
      <c r="Q28" s="318">
        <f t="shared" si="76"/>
        <v>4283</v>
      </c>
      <c r="R28" s="318">
        <v>4814</v>
      </c>
      <c r="S28" s="318">
        <v>5050</v>
      </c>
      <c r="T28" s="734">
        <v>5705</v>
      </c>
      <c r="U28" s="734">
        <v>5550</v>
      </c>
      <c r="V28" s="734">
        <f t="shared" ref="V28:AD28" si="77">SUM(V29:V33)</f>
        <v>5842</v>
      </c>
      <c r="W28" s="734">
        <f t="shared" si="77"/>
        <v>5836</v>
      </c>
      <c r="X28" s="734">
        <f t="shared" si="77"/>
        <v>4781</v>
      </c>
      <c r="Y28" s="734">
        <f t="shared" si="77"/>
        <v>4662</v>
      </c>
      <c r="Z28" s="734">
        <f t="shared" si="77"/>
        <v>4886</v>
      </c>
      <c r="AA28" s="734">
        <f t="shared" si="77"/>
        <v>4796</v>
      </c>
      <c r="AB28" s="734">
        <f t="shared" si="77"/>
        <v>4892</v>
      </c>
      <c r="AC28" s="734">
        <f t="shared" si="77"/>
        <v>4335</v>
      </c>
      <c r="AD28" s="734">
        <f t="shared" si="77"/>
        <v>5490</v>
      </c>
      <c r="AE28" s="734">
        <f t="shared" ref="AE28:AJ28" si="78">SUM(AE29:AE33)</f>
        <v>4508</v>
      </c>
      <c r="AF28" s="734">
        <f t="shared" si="78"/>
        <v>5308</v>
      </c>
      <c r="AG28" s="1142">
        <f t="shared" si="78"/>
        <v>4844</v>
      </c>
      <c r="AH28" s="1142">
        <f t="shared" si="78"/>
        <v>4605</v>
      </c>
      <c r="AI28" s="1142">
        <f t="shared" si="78"/>
        <v>4406</v>
      </c>
      <c r="AJ28" s="1142">
        <f t="shared" si="78"/>
        <v>4598</v>
      </c>
      <c r="AK28" s="1142">
        <f t="shared" ref="AK28:AL28" si="79">SUM(AK29:AK33)</f>
        <v>3798</v>
      </c>
      <c r="AL28" s="458">
        <f t="shared" si="79"/>
        <v>4506</v>
      </c>
      <c r="AM28" s="458">
        <f t="shared" ref="AM28:AN28" si="80">SUM(AM29:AM33)</f>
        <v>4301</v>
      </c>
      <c r="AN28" s="458">
        <f t="shared" si="80"/>
        <v>4202</v>
      </c>
      <c r="AO28" s="458">
        <f t="shared" ref="AO28" si="81">SUM(AO29:AO33)</f>
        <v>4337</v>
      </c>
    </row>
    <row r="29" spans="1:41">
      <c r="A29" s="61"/>
      <c r="B29" s="62">
        <v>203</v>
      </c>
      <c r="C29" s="62" t="s">
        <v>193</v>
      </c>
      <c r="D29" s="200">
        <f>D84</f>
        <v>3363</v>
      </c>
      <c r="E29" s="200">
        <f t="shared" ref="E29:Q29" si="82">E84</f>
        <v>2361</v>
      </c>
      <c r="F29" s="200">
        <f t="shared" si="82"/>
        <v>2446</v>
      </c>
      <c r="G29" s="200">
        <f t="shared" si="82"/>
        <v>3723</v>
      </c>
      <c r="H29" s="200">
        <f t="shared" si="82"/>
        <v>3258</v>
      </c>
      <c r="I29" s="200">
        <f t="shared" si="82"/>
        <v>6109</v>
      </c>
      <c r="J29" s="200">
        <f t="shared" si="82"/>
        <v>5662</v>
      </c>
      <c r="K29" s="200">
        <f t="shared" si="82"/>
        <v>3962</v>
      </c>
      <c r="L29" s="200">
        <f t="shared" si="82"/>
        <v>3077</v>
      </c>
      <c r="M29" s="200">
        <f t="shared" si="82"/>
        <v>2615</v>
      </c>
      <c r="N29" s="200">
        <f t="shared" si="82"/>
        <v>2474</v>
      </c>
      <c r="O29" s="200">
        <f t="shared" si="82"/>
        <v>2163</v>
      </c>
      <c r="P29" s="200">
        <f t="shared" si="82"/>
        <v>2311</v>
      </c>
      <c r="Q29" s="200">
        <f t="shared" si="82"/>
        <v>1609</v>
      </c>
      <c r="R29" s="200">
        <v>2052</v>
      </c>
      <c r="S29" s="200">
        <v>2371</v>
      </c>
      <c r="T29" s="75">
        <v>2506</v>
      </c>
      <c r="U29" s="75">
        <v>2521</v>
      </c>
      <c r="V29" s="733">
        <v>2247</v>
      </c>
      <c r="W29" s="733">
        <v>1998</v>
      </c>
      <c r="X29" s="75">
        <v>1931</v>
      </c>
      <c r="Y29" s="75">
        <v>2173</v>
      </c>
      <c r="Z29" s="75">
        <v>2196</v>
      </c>
      <c r="AA29" s="75">
        <v>2174</v>
      </c>
      <c r="AB29" s="75">
        <v>2210</v>
      </c>
      <c r="AC29" s="75">
        <v>2017</v>
      </c>
      <c r="AD29" s="75">
        <v>2554</v>
      </c>
      <c r="AE29" s="75">
        <v>2218</v>
      </c>
      <c r="AF29" s="75">
        <v>2363</v>
      </c>
      <c r="AG29" s="453">
        <v>2159</v>
      </c>
      <c r="AH29" s="453">
        <v>2361</v>
      </c>
      <c r="AI29" s="453">
        <v>1996</v>
      </c>
      <c r="AJ29" s="453">
        <v>2090</v>
      </c>
      <c r="AK29" s="453">
        <v>1897</v>
      </c>
      <c r="AL29" s="456">
        <v>2388</v>
      </c>
      <c r="AM29" s="456">
        <f t="shared" ref="AM29:AO33" si="83">ROUND(SUM(AJ29:AL29)/3,0)</f>
        <v>2125</v>
      </c>
      <c r="AN29" s="456">
        <f t="shared" si="83"/>
        <v>2137</v>
      </c>
      <c r="AO29" s="456">
        <f t="shared" si="83"/>
        <v>2217</v>
      </c>
    </row>
    <row r="30" spans="1:41">
      <c r="A30" s="61"/>
      <c r="B30" s="62">
        <v>210</v>
      </c>
      <c r="C30" s="62" t="s">
        <v>194</v>
      </c>
      <c r="D30" s="200">
        <f>D85</f>
        <v>3570</v>
      </c>
      <c r="E30" s="200">
        <f t="shared" ref="E30:Q30" si="84">E85</f>
        <v>2653</v>
      </c>
      <c r="F30" s="200">
        <f t="shared" si="84"/>
        <v>2879</v>
      </c>
      <c r="G30" s="200">
        <f t="shared" si="84"/>
        <v>3428</v>
      </c>
      <c r="H30" s="200">
        <f t="shared" si="84"/>
        <v>3333</v>
      </c>
      <c r="I30" s="200">
        <f t="shared" si="84"/>
        <v>3021</v>
      </c>
      <c r="J30" s="200">
        <f t="shared" si="84"/>
        <v>3925</v>
      </c>
      <c r="K30" s="200">
        <f t="shared" si="84"/>
        <v>3033</v>
      </c>
      <c r="L30" s="200">
        <f t="shared" si="84"/>
        <v>2347</v>
      </c>
      <c r="M30" s="200">
        <f t="shared" si="84"/>
        <v>3310</v>
      </c>
      <c r="N30" s="200">
        <f t="shared" si="84"/>
        <v>2312</v>
      </c>
      <c r="O30" s="200">
        <f t="shared" si="84"/>
        <v>2068</v>
      </c>
      <c r="P30" s="200">
        <f t="shared" si="84"/>
        <v>1966</v>
      </c>
      <c r="Q30" s="200">
        <f t="shared" si="84"/>
        <v>1598</v>
      </c>
      <c r="R30" s="200">
        <v>1866</v>
      </c>
      <c r="S30" s="200">
        <v>1591</v>
      </c>
      <c r="T30" s="75">
        <v>2149</v>
      </c>
      <c r="U30" s="75">
        <v>2042</v>
      </c>
      <c r="V30" s="733">
        <v>2411</v>
      </c>
      <c r="W30" s="733">
        <v>2683</v>
      </c>
      <c r="X30" s="75">
        <v>1871</v>
      </c>
      <c r="Y30" s="75">
        <v>1610</v>
      </c>
      <c r="Z30" s="75">
        <v>1718</v>
      </c>
      <c r="AA30" s="75">
        <v>1575</v>
      </c>
      <c r="AB30" s="75">
        <v>1758</v>
      </c>
      <c r="AC30" s="75">
        <v>1393</v>
      </c>
      <c r="AD30" s="75">
        <v>1866</v>
      </c>
      <c r="AE30" s="75">
        <v>1480</v>
      </c>
      <c r="AF30" s="75">
        <v>2062</v>
      </c>
      <c r="AG30" s="453">
        <v>1759</v>
      </c>
      <c r="AH30" s="453">
        <v>1350</v>
      </c>
      <c r="AI30" s="453">
        <v>1513</v>
      </c>
      <c r="AJ30" s="453">
        <v>1627</v>
      </c>
      <c r="AK30" s="453">
        <v>1246</v>
      </c>
      <c r="AL30" s="456">
        <v>1225</v>
      </c>
      <c r="AM30" s="456">
        <f t="shared" si="83"/>
        <v>1366</v>
      </c>
      <c r="AN30" s="456">
        <f t="shared" si="83"/>
        <v>1279</v>
      </c>
      <c r="AO30" s="456">
        <f t="shared" si="83"/>
        <v>1290</v>
      </c>
    </row>
    <row r="31" spans="1:41">
      <c r="A31" s="61"/>
      <c r="B31" s="62">
        <v>216</v>
      </c>
      <c r="C31" s="62" t="s">
        <v>195</v>
      </c>
      <c r="D31" s="200">
        <f>D88</f>
        <v>993</v>
      </c>
      <c r="E31" s="200">
        <f t="shared" ref="E31:Q31" si="85">E88</f>
        <v>691</v>
      </c>
      <c r="F31" s="200">
        <f t="shared" si="85"/>
        <v>777</v>
      </c>
      <c r="G31" s="200">
        <f t="shared" si="85"/>
        <v>893</v>
      </c>
      <c r="H31" s="200">
        <f t="shared" si="85"/>
        <v>942</v>
      </c>
      <c r="I31" s="200">
        <f t="shared" si="85"/>
        <v>929</v>
      </c>
      <c r="J31" s="200">
        <f t="shared" si="85"/>
        <v>1021</v>
      </c>
      <c r="K31" s="200">
        <f t="shared" si="85"/>
        <v>817</v>
      </c>
      <c r="L31" s="200">
        <f t="shared" si="85"/>
        <v>955</v>
      </c>
      <c r="M31" s="200">
        <f t="shared" si="85"/>
        <v>764</v>
      </c>
      <c r="N31" s="200">
        <f t="shared" si="85"/>
        <v>788</v>
      </c>
      <c r="O31" s="200">
        <f t="shared" si="85"/>
        <v>699</v>
      </c>
      <c r="P31" s="200">
        <f t="shared" si="85"/>
        <v>621</v>
      </c>
      <c r="Q31" s="200">
        <f t="shared" si="85"/>
        <v>605</v>
      </c>
      <c r="R31" s="200">
        <v>569</v>
      </c>
      <c r="S31" s="200">
        <v>626</v>
      </c>
      <c r="T31" s="75">
        <v>622</v>
      </c>
      <c r="U31" s="75">
        <v>639</v>
      </c>
      <c r="V31" s="733">
        <v>802</v>
      </c>
      <c r="W31" s="733">
        <v>732</v>
      </c>
      <c r="X31" s="75">
        <v>448</v>
      </c>
      <c r="Y31" s="75">
        <v>449</v>
      </c>
      <c r="Z31" s="75">
        <v>599</v>
      </c>
      <c r="AA31" s="75">
        <v>642</v>
      </c>
      <c r="AB31" s="75">
        <v>574</v>
      </c>
      <c r="AC31" s="75">
        <v>568</v>
      </c>
      <c r="AD31" s="75">
        <v>644</v>
      </c>
      <c r="AE31" s="75">
        <v>459</v>
      </c>
      <c r="AF31" s="75">
        <v>514</v>
      </c>
      <c r="AG31" s="453">
        <v>507</v>
      </c>
      <c r="AH31" s="453">
        <v>409</v>
      </c>
      <c r="AI31" s="453">
        <v>427</v>
      </c>
      <c r="AJ31" s="453">
        <v>429</v>
      </c>
      <c r="AK31" s="453">
        <v>340</v>
      </c>
      <c r="AL31" s="456">
        <v>427</v>
      </c>
      <c r="AM31" s="456">
        <f t="shared" si="83"/>
        <v>399</v>
      </c>
      <c r="AN31" s="456">
        <f t="shared" si="83"/>
        <v>389</v>
      </c>
      <c r="AO31" s="456">
        <f t="shared" si="83"/>
        <v>405</v>
      </c>
    </row>
    <row r="32" spans="1:41">
      <c r="A32" s="61"/>
      <c r="B32" s="62">
        <v>381</v>
      </c>
      <c r="C32" s="62" t="s">
        <v>196</v>
      </c>
      <c r="D32" s="200">
        <f>D99</f>
        <v>298</v>
      </c>
      <c r="E32" s="200">
        <f t="shared" ref="E32:Q32" si="86">E99</f>
        <v>181</v>
      </c>
      <c r="F32" s="200">
        <f t="shared" si="86"/>
        <v>240</v>
      </c>
      <c r="G32" s="200">
        <f t="shared" si="86"/>
        <v>241</v>
      </c>
      <c r="H32" s="200">
        <f t="shared" si="86"/>
        <v>255</v>
      </c>
      <c r="I32" s="200">
        <f t="shared" si="86"/>
        <v>257</v>
      </c>
      <c r="J32" s="200">
        <f t="shared" si="86"/>
        <v>423</v>
      </c>
      <c r="K32" s="200">
        <f t="shared" si="86"/>
        <v>252</v>
      </c>
      <c r="L32" s="200">
        <f t="shared" si="86"/>
        <v>384</v>
      </c>
      <c r="M32" s="200">
        <f t="shared" si="86"/>
        <v>280</v>
      </c>
      <c r="N32" s="200">
        <f t="shared" si="86"/>
        <v>250</v>
      </c>
      <c r="O32" s="200">
        <f t="shared" si="86"/>
        <v>169</v>
      </c>
      <c r="P32" s="200">
        <f t="shared" si="86"/>
        <v>191</v>
      </c>
      <c r="Q32" s="200">
        <f t="shared" si="86"/>
        <v>231</v>
      </c>
      <c r="R32" s="200">
        <v>157</v>
      </c>
      <c r="S32" s="200">
        <v>166</v>
      </c>
      <c r="T32" s="75">
        <v>183</v>
      </c>
      <c r="U32" s="75">
        <v>148</v>
      </c>
      <c r="V32" s="733">
        <v>106</v>
      </c>
      <c r="W32" s="733">
        <v>213</v>
      </c>
      <c r="X32" s="75">
        <v>205</v>
      </c>
      <c r="Y32" s="75">
        <v>166</v>
      </c>
      <c r="Z32" s="75">
        <v>181</v>
      </c>
      <c r="AA32" s="75">
        <v>192</v>
      </c>
      <c r="AB32" s="75">
        <v>137</v>
      </c>
      <c r="AC32" s="75">
        <v>119</v>
      </c>
      <c r="AD32" s="75">
        <v>143</v>
      </c>
      <c r="AE32" s="75">
        <v>143</v>
      </c>
      <c r="AF32" s="75">
        <v>169</v>
      </c>
      <c r="AG32" s="453">
        <v>158</v>
      </c>
      <c r="AH32" s="453">
        <v>159</v>
      </c>
      <c r="AI32" s="453">
        <v>172</v>
      </c>
      <c r="AJ32" s="453">
        <v>195</v>
      </c>
      <c r="AK32" s="453">
        <v>141</v>
      </c>
      <c r="AL32" s="456">
        <v>152</v>
      </c>
      <c r="AM32" s="456">
        <f t="shared" si="83"/>
        <v>163</v>
      </c>
      <c r="AN32" s="456">
        <f t="shared" si="83"/>
        <v>152</v>
      </c>
      <c r="AO32" s="456">
        <f t="shared" si="83"/>
        <v>156</v>
      </c>
    </row>
    <row r="33" spans="1:41">
      <c r="A33" s="69"/>
      <c r="B33" s="70">
        <v>382</v>
      </c>
      <c r="C33" s="70" t="s">
        <v>197</v>
      </c>
      <c r="D33" s="195">
        <f>D100</f>
        <v>477</v>
      </c>
      <c r="E33" s="195">
        <f t="shared" ref="E33:Q33" si="87">E100</f>
        <v>246</v>
      </c>
      <c r="F33" s="195">
        <f t="shared" si="87"/>
        <v>362</v>
      </c>
      <c r="G33" s="195">
        <f t="shared" si="87"/>
        <v>416</v>
      </c>
      <c r="H33" s="195">
        <f t="shared" si="87"/>
        <v>410</v>
      </c>
      <c r="I33" s="195">
        <f t="shared" si="87"/>
        <v>459</v>
      </c>
      <c r="J33" s="195">
        <f t="shared" si="87"/>
        <v>417</v>
      </c>
      <c r="K33" s="195">
        <f t="shared" si="87"/>
        <v>353</v>
      </c>
      <c r="L33" s="195">
        <f t="shared" si="87"/>
        <v>253</v>
      </c>
      <c r="M33" s="195">
        <f t="shared" si="87"/>
        <v>223</v>
      </c>
      <c r="N33" s="195">
        <f t="shared" si="87"/>
        <v>278</v>
      </c>
      <c r="O33" s="195">
        <f t="shared" si="87"/>
        <v>295</v>
      </c>
      <c r="P33" s="195">
        <f t="shared" si="87"/>
        <v>209</v>
      </c>
      <c r="Q33" s="195">
        <f t="shared" si="87"/>
        <v>240</v>
      </c>
      <c r="R33" s="195">
        <v>170</v>
      </c>
      <c r="S33" s="195">
        <v>296</v>
      </c>
      <c r="T33" s="132">
        <v>245</v>
      </c>
      <c r="U33" s="132">
        <v>200</v>
      </c>
      <c r="V33" s="735">
        <v>276</v>
      </c>
      <c r="W33" s="735">
        <v>210</v>
      </c>
      <c r="X33" s="132">
        <v>326</v>
      </c>
      <c r="Y33" s="75">
        <v>264</v>
      </c>
      <c r="Z33" s="132">
        <v>192</v>
      </c>
      <c r="AA33" s="75">
        <v>213</v>
      </c>
      <c r="AB33" s="132">
        <v>213</v>
      </c>
      <c r="AC33" s="132">
        <v>238</v>
      </c>
      <c r="AD33" s="132">
        <v>283</v>
      </c>
      <c r="AE33" s="132">
        <v>208</v>
      </c>
      <c r="AF33" s="132">
        <v>200</v>
      </c>
      <c r="AG33" s="450">
        <v>261</v>
      </c>
      <c r="AH33" s="450">
        <v>326</v>
      </c>
      <c r="AI33" s="450">
        <v>298</v>
      </c>
      <c r="AJ33" s="450">
        <v>257</v>
      </c>
      <c r="AK33" s="450">
        <v>174</v>
      </c>
      <c r="AL33" s="461">
        <v>314</v>
      </c>
      <c r="AM33" s="461">
        <f t="shared" si="83"/>
        <v>248</v>
      </c>
      <c r="AN33" s="461">
        <f t="shared" si="83"/>
        <v>245</v>
      </c>
      <c r="AO33" s="461">
        <f t="shared" si="83"/>
        <v>269</v>
      </c>
    </row>
    <row r="34" spans="1:41">
      <c r="A34" s="61" t="s">
        <v>343</v>
      </c>
      <c r="B34" s="62">
        <v>4</v>
      </c>
      <c r="C34" s="62" t="s">
        <v>325</v>
      </c>
      <c r="D34" s="317">
        <f t="shared" ref="D34:Q34" si="88">SUM(D35:D40)</f>
        <v>2651</v>
      </c>
      <c r="E34" s="317">
        <f t="shared" si="88"/>
        <v>2270</v>
      </c>
      <c r="F34" s="317">
        <f t="shared" si="88"/>
        <v>2662</v>
      </c>
      <c r="G34" s="317">
        <f t="shared" si="88"/>
        <v>2538</v>
      </c>
      <c r="H34" s="317">
        <f t="shared" si="88"/>
        <v>3073</v>
      </c>
      <c r="I34" s="317">
        <f t="shared" si="88"/>
        <v>2674</v>
      </c>
      <c r="J34" s="317">
        <f t="shared" si="88"/>
        <v>3166</v>
      </c>
      <c r="K34" s="317">
        <f t="shared" si="88"/>
        <v>2364</v>
      </c>
      <c r="L34" s="317">
        <f t="shared" si="88"/>
        <v>2220</v>
      </c>
      <c r="M34" s="317">
        <f t="shared" si="88"/>
        <v>1986</v>
      </c>
      <c r="N34" s="317">
        <f t="shared" si="88"/>
        <v>2009</v>
      </c>
      <c r="O34" s="317">
        <f t="shared" si="88"/>
        <v>2070</v>
      </c>
      <c r="P34" s="317">
        <f t="shared" si="88"/>
        <v>1588</v>
      </c>
      <c r="Q34" s="317">
        <f t="shared" si="88"/>
        <v>1703</v>
      </c>
      <c r="R34" s="317">
        <v>1670</v>
      </c>
      <c r="S34" s="317">
        <v>1801</v>
      </c>
      <c r="T34" s="733">
        <v>2009</v>
      </c>
      <c r="U34" s="733">
        <v>1983</v>
      </c>
      <c r="V34" s="733">
        <f t="shared" ref="V34:AD34" si="89">SUM(V35:V40)</f>
        <v>1658</v>
      </c>
      <c r="W34" s="733">
        <f t="shared" si="89"/>
        <v>1656</v>
      </c>
      <c r="X34" s="733">
        <f t="shared" si="89"/>
        <v>1270</v>
      </c>
      <c r="Y34" s="734">
        <f t="shared" si="89"/>
        <v>1231</v>
      </c>
      <c r="Z34" s="734">
        <f t="shared" si="89"/>
        <v>1353</v>
      </c>
      <c r="AA34" s="734">
        <f t="shared" si="89"/>
        <v>1573</v>
      </c>
      <c r="AB34" s="734">
        <f t="shared" si="89"/>
        <v>1097</v>
      </c>
      <c r="AC34" s="734">
        <f t="shared" si="89"/>
        <v>1420</v>
      </c>
      <c r="AD34" s="734">
        <f t="shared" si="89"/>
        <v>1645</v>
      </c>
      <c r="AE34" s="734">
        <f t="shared" ref="AE34:AJ34" si="90">SUM(AE35:AE40)</f>
        <v>1637</v>
      </c>
      <c r="AF34" s="734">
        <f t="shared" si="90"/>
        <v>1423</v>
      </c>
      <c r="AG34" s="1142">
        <f t="shared" si="90"/>
        <v>1384</v>
      </c>
      <c r="AH34" s="1142">
        <f t="shared" si="90"/>
        <v>1078</v>
      </c>
      <c r="AI34" s="1142">
        <f t="shared" si="90"/>
        <v>1174</v>
      </c>
      <c r="AJ34" s="1142">
        <f t="shared" si="90"/>
        <v>1111</v>
      </c>
      <c r="AK34" s="1142">
        <f t="shared" ref="AK34:AL34" si="91">SUM(AK35:AK40)</f>
        <v>1053</v>
      </c>
      <c r="AL34" s="458">
        <f t="shared" si="91"/>
        <v>914</v>
      </c>
      <c r="AM34" s="458">
        <f t="shared" ref="AM34:AN34" si="92">SUM(AM35:AM40)</f>
        <v>1025</v>
      </c>
      <c r="AN34" s="458">
        <f t="shared" si="92"/>
        <v>998</v>
      </c>
      <c r="AO34" s="458">
        <f t="shared" ref="AO34" si="93">SUM(AO35:AO40)</f>
        <v>979</v>
      </c>
    </row>
    <row r="35" spans="1:41">
      <c r="A35" s="61"/>
      <c r="B35" s="62">
        <v>213</v>
      </c>
      <c r="C35" s="62" t="s">
        <v>199</v>
      </c>
      <c r="D35" s="200">
        <f>D86+D98</f>
        <v>309</v>
      </c>
      <c r="E35" s="200">
        <f t="shared" ref="E35:Q35" si="94">E86+E98</f>
        <v>326</v>
      </c>
      <c r="F35" s="200">
        <f t="shared" si="94"/>
        <v>453</v>
      </c>
      <c r="G35" s="200">
        <f t="shared" si="94"/>
        <v>321</v>
      </c>
      <c r="H35" s="200">
        <f t="shared" si="94"/>
        <v>432</v>
      </c>
      <c r="I35" s="200">
        <f t="shared" si="94"/>
        <v>402</v>
      </c>
      <c r="J35" s="200">
        <f t="shared" si="94"/>
        <v>499</v>
      </c>
      <c r="K35" s="200">
        <f t="shared" si="94"/>
        <v>378</v>
      </c>
      <c r="L35" s="200">
        <f t="shared" si="94"/>
        <v>300</v>
      </c>
      <c r="M35" s="200">
        <f t="shared" si="94"/>
        <v>220</v>
      </c>
      <c r="N35" s="200">
        <f t="shared" si="94"/>
        <v>302</v>
      </c>
      <c r="O35" s="200">
        <f t="shared" si="94"/>
        <v>356</v>
      </c>
      <c r="P35" s="200">
        <f t="shared" si="94"/>
        <v>270</v>
      </c>
      <c r="Q35" s="200">
        <f t="shared" si="94"/>
        <v>233</v>
      </c>
      <c r="R35" s="200">
        <v>302</v>
      </c>
      <c r="S35" s="200">
        <v>297</v>
      </c>
      <c r="T35" s="75">
        <v>461</v>
      </c>
      <c r="U35" s="75">
        <v>351</v>
      </c>
      <c r="V35" s="733">
        <v>305</v>
      </c>
      <c r="W35" s="733">
        <v>240</v>
      </c>
      <c r="X35" s="75">
        <v>135</v>
      </c>
      <c r="Y35" s="75">
        <v>193</v>
      </c>
      <c r="Z35" s="75">
        <v>283</v>
      </c>
      <c r="AA35" s="75">
        <v>173</v>
      </c>
      <c r="AB35" s="75">
        <v>104</v>
      </c>
      <c r="AC35" s="75">
        <v>118</v>
      </c>
      <c r="AD35" s="75">
        <v>140</v>
      </c>
      <c r="AE35" s="75">
        <v>161</v>
      </c>
      <c r="AF35" s="75">
        <v>208</v>
      </c>
      <c r="AG35" s="453">
        <v>156</v>
      </c>
      <c r="AH35" s="453">
        <v>129</v>
      </c>
      <c r="AI35" s="453">
        <v>144</v>
      </c>
      <c r="AJ35" s="453">
        <v>198</v>
      </c>
      <c r="AK35" s="453">
        <v>149</v>
      </c>
      <c r="AL35" s="456">
        <v>83</v>
      </c>
      <c r="AM35" s="456">
        <f t="shared" ref="AM35:AO40" si="95">ROUND(SUM(AJ35:AL35)/3,0)</f>
        <v>143</v>
      </c>
      <c r="AN35" s="456">
        <f t="shared" si="95"/>
        <v>125</v>
      </c>
      <c r="AO35" s="456">
        <f t="shared" si="95"/>
        <v>117</v>
      </c>
    </row>
    <row r="36" spans="1:41">
      <c r="A36" s="61"/>
      <c r="B36" s="62">
        <v>215</v>
      </c>
      <c r="C36" s="62" t="s">
        <v>329</v>
      </c>
      <c r="D36" s="200">
        <f>D87+D91</f>
        <v>709</v>
      </c>
      <c r="E36" s="200">
        <f t="shared" ref="E36:Q36" si="96">E87+E91</f>
        <v>578</v>
      </c>
      <c r="F36" s="200">
        <f t="shared" si="96"/>
        <v>653</v>
      </c>
      <c r="G36" s="200">
        <f t="shared" si="96"/>
        <v>677</v>
      </c>
      <c r="H36" s="200">
        <f t="shared" si="96"/>
        <v>805</v>
      </c>
      <c r="I36" s="200">
        <f t="shared" si="96"/>
        <v>792</v>
      </c>
      <c r="J36" s="200">
        <f t="shared" si="96"/>
        <v>925</v>
      </c>
      <c r="K36" s="200">
        <f t="shared" si="96"/>
        <v>609</v>
      </c>
      <c r="L36" s="200">
        <f t="shared" si="96"/>
        <v>640</v>
      </c>
      <c r="M36" s="200">
        <f t="shared" si="96"/>
        <v>557</v>
      </c>
      <c r="N36" s="200">
        <f t="shared" si="96"/>
        <v>642</v>
      </c>
      <c r="O36" s="200">
        <f t="shared" si="96"/>
        <v>474</v>
      </c>
      <c r="P36" s="200">
        <f t="shared" si="96"/>
        <v>369</v>
      </c>
      <c r="Q36" s="200">
        <f t="shared" si="96"/>
        <v>555</v>
      </c>
      <c r="R36" s="200">
        <v>455</v>
      </c>
      <c r="S36" s="200">
        <v>494</v>
      </c>
      <c r="T36" s="75">
        <v>527</v>
      </c>
      <c r="U36" s="75">
        <v>568</v>
      </c>
      <c r="V36" s="733">
        <v>462</v>
      </c>
      <c r="W36" s="733">
        <v>479</v>
      </c>
      <c r="X36" s="75">
        <v>379</v>
      </c>
      <c r="Y36" s="75">
        <v>259</v>
      </c>
      <c r="Z36" s="75">
        <v>365</v>
      </c>
      <c r="AA36" s="75">
        <v>483</v>
      </c>
      <c r="AB36" s="75">
        <v>307</v>
      </c>
      <c r="AC36" s="75">
        <v>441</v>
      </c>
      <c r="AD36" s="75">
        <v>578</v>
      </c>
      <c r="AE36" s="75">
        <v>486</v>
      </c>
      <c r="AF36" s="75">
        <v>350</v>
      </c>
      <c r="AG36" s="453">
        <v>373</v>
      </c>
      <c r="AH36" s="453">
        <v>311</v>
      </c>
      <c r="AI36" s="453">
        <v>272</v>
      </c>
      <c r="AJ36" s="453">
        <v>268</v>
      </c>
      <c r="AK36" s="453">
        <v>255</v>
      </c>
      <c r="AL36" s="456">
        <v>275</v>
      </c>
      <c r="AM36" s="456">
        <f t="shared" si="95"/>
        <v>266</v>
      </c>
      <c r="AN36" s="456">
        <f t="shared" si="95"/>
        <v>265</v>
      </c>
      <c r="AO36" s="456">
        <f t="shared" si="95"/>
        <v>269</v>
      </c>
    </row>
    <row r="37" spans="1:41">
      <c r="A37" s="61"/>
      <c r="B37" s="62">
        <v>218</v>
      </c>
      <c r="C37" s="62" t="s">
        <v>200</v>
      </c>
      <c r="D37" s="200">
        <f>D89</f>
        <v>664</v>
      </c>
      <c r="E37" s="200">
        <f t="shared" ref="E37:Q37" si="97">E89</f>
        <v>468</v>
      </c>
      <c r="F37" s="200">
        <f t="shared" si="97"/>
        <v>516</v>
      </c>
      <c r="G37" s="200">
        <f t="shared" si="97"/>
        <v>513</v>
      </c>
      <c r="H37" s="200">
        <f t="shared" si="97"/>
        <v>645</v>
      </c>
      <c r="I37" s="200">
        <f t="shared" si="97"/>
        <v>399</v>
      </c>
      <c r="J37" s="200">
        <f t="shared" si="97"/>
        <v>594</v>
      </c>
      <c r="K37" s="200">
        <f t="shared" si="97"/>
        <v>435</v>
      </c>
      <c r="L37" s="200">
        <f t="shared" si="97"/>
        <v>502</v>
      </c>
      <c r="M37" s="200">
        <f t="shared" si="97"/>
        <v>450</v>
      </c>
      <c r="N37" s="200">
        <f t="shared" si="97"/>
        <v>306</v>
      </c>
      <c r="O37" s="200">
        <f t="shared" si="97"/>
        <v>331</v>
      </c>
      <c r="P37" s="200">
        <f t="shared" si="97"/>
        <v>323</v>
      </c>
      <c r="Q37" s="200">
        <f t="shared" si="97"/>
        <v>273</v>
      </c>
      <c r="R37" s="200">
        <v>279</v>
      </c>
      <c r="S37" s="200">
        <v>354</v>
      </c>
      <c r="T37" s="75">
        <v>353</v>
      </c>
      <c r="U37" s="75">
        <v>271</v>
      </c>
      <c r="V37" s="733">
        <v>306</v>
      </c>
      <c r="W37" s="733">
        <v>282</v>
      </c>
      <c r="X37" s="75">
        <v>255</v>
      </c>
      <c r="Y37" s="75">
        <v>218</v>
      </c>
      <c r="Z37" s="75">
        <v>240</v>
      </c>
      <c r="AA37" s="75">
        <v>278</v>
      </c>
      <c r="AB37" s="75">
        <v>214</v>
      </c>
      <c r="AC37" s="75">
        <v>185</v>
      </c>
      <c r="AD37" s="75">
        <v>249</v>
      </c>
      <c r="AE37" s="75">
        <v>317</v>
      </c>
      <c r="AF37" s="75">
        <v>318</v>
      </c>
      <c r="AG37" s="453">
        <v>209</v>
      </c>
      <c r="AH37" s="453">
        <v>234</v>
      </c>
      <c r="AI37" s="453">
        <v>198</v>
      </c>
      <c r="AJ37" s="453">
        <v>216</v>
      </c>
      <c r="AK37" s="453">
        <v>280</v>
      </c>
      <c r="AL37" s="456">
        <v>260</v>
      </c>
      <c r="AM37" s="456">
        <f t="shared" si="95"/>
        <v>252</v>
      </c>
      <c r="AN37" s="456">
        <f t="shared" si="95"/>
        <v>264</v>
      </c>
      <c r="AO37" s="456">
        <f t="shared" si="95"/>
        <v>259</v>
      </c>
    </row>
    <row r="38" spans="1:41">
      <c r="A38" s="61"/>
      <c r="B38" s="62">
        <v>220</v>
      </c>
      <c r="C38" s="62" t="s">
        <v>201</v>
      </c>
      <c r="D38" s="200">
        <f>D90</f>
        <v>328</v>
      </c>
      <c r="E38" s="200">
        <f t="shared" ref="E38:Q38" si="98">E90</f>
        <v>325</v>
      </c>
      <c r="F38" s="200">
        <f t="shared" si="98"/>
        <v>561</v>
      </c>
      <c r="G38" s="200">
        <f t="shared" si="98"/>
        <v>388</v>
      </c>
      <c r="H38" s="200">
        <f t="shared" si="98"/>
        <v>424</v>
      </c>
      <c r="I38" s="200">
        <f t="shared" si="98"/>
        <v>410</v>
      </c>
      <c r="J38" s="200">
        <f t="shared" si="98"/>
        <v>452</v>
      </c>
      <c r="K38" s="200">
        <f t="shared" si="98"/>
        <v>348</v>
      </c>
      <c r="L38" s="200">
        <f t="shared" si="98"/>
        <v>265</v>
      </c>
      <c r="M38" s="200">
        <f t="shared" si="98"/>
        <v>324</v>
      </c>
      <c r="N38" s="200">
        <f t="shared" si="98"/>
        <v>297</v>
      </c>
      <c r="O38" s="200">
        <f t="shared" si="98"/>
        <v>404</v>
      </c>
      <c r="P38" s="200">
        <f t="shared" si="98"/>
        <v>313</v>
      </c>
      <c r="Q38" s="200">
        <f t="shared" si="98"/>
        <v>225</v>
      </c>
      <c r="R38" s="200">
        <v>256</v>
      </c>
      <c r="S38" s="200">
        <v>165</v>
      </c>
      <c r="T38" s="75">
        <v>253</v>
      </c>
      <c r="U38" s="75">
        <v>242</v>
      </c>
      <c r="V38" s="733">
        <v>146</v>
      </c>
      <c r="W38" s="733">
        <v>289</v>
      </c>
      <c r="X38" s="75">
        <v>220</v>
      </c>
      <c r="Y38" s="75">
        <v>237</v>
      </c>
      <c r="Z38" s="75">
        <v>170</v>
      </c>
      <c r="AA38" s="75">
        <v>282</v>
      </c>
      <c r="AB38" s="75">
        <v>170</v>
      </c>
      <c r="AC38" s="75">
        <v>298</v>
      </c>
      <c r="AD38" s="75">
        <v>284</v>
      </c>
      <c r="AE38" s="75">
        <v>281</v>
      </c>
      <c r="AF38" s="75">
        <v>176</v>
      </c>
      <c r="AG38" s="453">
        <v>258</v>
      </c>
      <c r="AH38" s="453">
        <v>143</v>
      </c>
      <c r="AI38" s="453">
        <v>174</v>
      </c>
      <c r="AJ38" s="453">
        <v>155</v>
      </c>
      <c r="AK38" s="453">
        <v>119</v>
      </c>
      <c r="AL38" s="456">
        <v>141</v>
      </c>
      <c r="AM38" s="456">
        <f t="shared" si="95"/>
        <v>138</v>
      </c>
      <c r="AN38" s="456">
        <f t="shared" si="95"/>
        <v>133</v>
      </c>
      <c r="AO38" s="456">
        <f t="shared" si="95"/>
        <v>137</v>
      </c>
    </row>
    <row r="39" spans="1:41">
      <c r="A39" s="61"/>
      <c r="B39" s="62">
        <v>228</v>
      </c>
      <c r="C39" s="62" t="s">
        <v>330</v>
      </c>
      <c r="D39" s="200">
        <f>SUM(D92:D94)</f>
        <v>542</v>
      </c>
      <c r="E39" s="200">
        <f t="shared" ref="E39:Q39" si="99">SUM(E92:E94)</f>
        <v>483</v>
      </c>
      <c r="F39" s="200">
        <f t="shared" si="99"/>
        <v>370</v>
      </c>
      <c r="G39" s="200">
        <f t="shared" si="99"/>
        <v>491</v>
      </c>
      <c r="H39" s="200">
        <f t="shared" si="99"/>
        <v>572</v>
      </c>
      <c r="I39" s="200">
        <f t="shared" si="99"/>
        <v>519</v>
      </c>
      <c r="J39" s="200">
        <f t="shared" si="99"/>
        <v>539</v>
      </c>
      <c r="K39" s="200">
        <f t="shared" si="99"/>
        <v>463</v>
      </c>
      <c r="L39" s="200">
        <f t="shared" si="99"/>
        <v>389</v>
      </c>
      <c r="M39" s="200">
        <f t="shared" si="99"/>
        <v>321</v>
      </c>
      <c r="N39" s="200">
        <f t="shared" si="99"/>
        <v>352</v>
      </c>
      <c r="O39" s="200">
        <f t="shared" si="99"/>
        <v>340</v>
      </c>
      <c r="P39" s="200">
        <f t="shared" si="99"/>
        <v>242</v>
      </c>
      <c r="Q39" s="200">
        <f t="shared" si="99"/>
        <v>340</v>
      </c>
      <c r="R39" s="200">
        <v>300</v>
      </c>
      <c r="S39" s="200">
        <v>428</v>
      </c>
      <c r="T39" s="75">
        <v>316</v>
      </c>
      <c r="U39" s="75">
        <v>476</v>
      </c>
      <c r="V39" s="733">
        <v>368</v>
      </c>
      <c r="W39" s="733">
        <v>326</v>
      </c>
      <c r="X39" s="75">
        <v>237</v>
      </c>
      <c r="Y39" s="75">
        <v>272</v>
      </c>
      <c r="Z39" s="75">
        <v>251</v>
      </c>
      <c r="AA39" s="75">
        <v>311</v>
      </c>
      <c r="AB39" s="75">
        <v>274</v>
      </c>
      <c r="AC39" s="75">
        <v>333</v>
      </c>
      <c r="AD39" s="75">
        <v>347</v>
      </c>
      <c r="AE39" s="75">
        <v>351</v>
      </c>
      <c r="AF39" s="75">
        <v>329</v>
      </c>
      <c r="AG39" s="453">
        <v>346</v>
      </c>
      <c r="AH39" s="453">
        <v>230</v>
      </c>
      <c r="AI39" s="453">
        <v>361</v>
      </c>
      <c r="AJ39" s="453">
        <v>236</v>
      </c>
      <c r="AK39" s="453">
        <v>203</v>
      </c>
      <c r="AL39" s="456">
        <v>138</v>
      </c>
      <c r="AM39" s="456">
        <f t="shared" si="95"/>
        <v>192</v>
      </c>
      <c r="AN39" s="456">
        <f t="shared" si="95"/>
        <v>178</v>
      </c>
      <c r="AO39" s="456">
        <f t="shared" si="95"/>
        <v>169</v>
      </c>
    </row>
    <row r="40" spans="1:41">
      <c r="A40" s="61"/>
      <c r="B40" s="62">
        <v>365</v>
      </c>
      <c r="C40" s="62" t="s">
        <v>331</v>
      </c>
      <c r="D40" s="200">
        <f>SUM(D95:D97)</f>
        <v>99</v>
      </c>
      <c r="E40" s="200">
        <f t="shared" ref="E40:Q40" si="100">SUM(E95:E97)</f>
        <v>90</v>
      </c>
      <c r="F40" s="200">
        <f t="shared" si="100"/>
        <v>109</v>
      </c>
      <c r="G40" s="200">
        <f t="shared" si="100"/>
        <v>148</v>
      </c>
      <c r="H40" s="200">
        <f t="shared" si="100"/>
        <v>195</v>
      </c>
      <c r="I40" s="200">
        <f t="shared" si="100"/>
        <v>152</v>
      </c>
      <c r="J40" s="200">
        <f t="shared" si="100"/>
        <v>157</v>
      </c>
      <c r="K40" s="200">
        <f t="shared" si="100"/>
        <v>131</v>
      </c>
      <c r="L40" s="200">
        <f t="shared" si="100"/>
        <v>124</v>
      </c>
      <c r="M40" s="200">
        <f t="shared" si="100"/>
        <v>114</v>
      </c>
      <c r="N40" s="200">
        <f t="shared" si="100"/>
        <v>110</v>
      </c>
      <c r="O40" s="200">
        <f t="shared" si="100"/>
        <v>165</v>
      </c>
      <c r="P40" s="200">
        <f t="shared" si="100"/>
        <v>71</v>
      </c>
      <c r="Q40" s="200">
        <f t="shared" si="100"/>
        <v>77</v>
      </c>
      <c r="R40" s="200">
        <v>78</v>
      </c>
      <c r="S40" s="200">
        <v>63</v>
      </c>
      <c r="T40" s="75">
        <v>99</v>
      </c>
      <c r="U40" s="75">
        <v>75</v>
      </c>
      <c r="V40" s="733">
        <v>71</v>
      </c>
      <c r="W40" s="733">
        <v>40</v>
      </c>
      <c r="X40" s="75">
        <v>44</v>
      </c>
      <c r="Y40" s="132">
        <v>52</v>
      </c>
      <c r="Z40" s="132">
        <v>44</v>
      </c>
      <c r="AA40" s="75">
        <v>46</v>
      </c>
      <c r="AB40" s="132">
        <v>28</v>
      </c>
      <c r="AC40" s="132">
        <v>45</v>
      </c>
      <c r="AD40" s="132">
        <v>47</v>
      </c>
      <c r="AE40" s="132">
        <v>41</v>
      </c>
      <c r="AF40" s="132">
        <v>42</v>
      </c>
      <c r="AG40" s="450">
        <v>42</v>
      </c>
      <c r="AH40" s="450">
        <v>31</v>
      </c>
      <c r="AI40" s="450">
        <v>25</v>
      </c>
      <c r="AJ40" s="450">
        <v>38</v>
      </c>
      <c r="AK40" s="450">
        <v>47</v>
      </c>
      <c r="AL40" s="461">
        <v>17</v>
      </c>
      <c r="AM40" s="461">
        <f t="shared" si="95"/>
        <v>34</v>
      </c>
      <c r="AN40" s="461">
        <f t="shared" si="95"/>
        <v>33</v>
      </c>
      <c r="AO40" s="461">
        <f t="shared" si="95"/>
        <v>28</v>
      </c>
    </row>
    <row r="41" spans="1:41">
      <c r="A41" s="67" t="s">
        <v>344</v>
      </c>
      <c r="B41" s="68">
        <v>5</v>
      </c>
      <c r="C41" s="68" t="s">
        <v>326</v>
      </c>
      <c r="D41" s="318">
        <f t="shared" ref="D41:Q41" si="101">SUM(D42:D45)</f>
        <v>7413</v>
      </c>
      <c r="E41" s="318">
        <f t="shared" si="101"/>
        <v>5493</v>
      </c>
      <c r="F41" s="318">
        <f t="shared" si="101"/>
        <v>5008</v>
      </c>
      <c r="G41" s="318">
        <f t="shared" si="101"/>
        <v>5996</v>
      </c>
      <c r="H41" s="318">
        <f t="shared" si="101"/>
        <v>7383</v>
      </c>
      <c r="I41" s="318">
        <f t="shared" si="101"/>
        <v>6882</v>
      </c>
      <c r="J41" s="318">
        <f t="shared" si="101"/>
        <v>7886</v>
      </c>
      <c r="K41" s="318">
        <f t="shared" si="101"/>
        <v>6433</v>
      </c>
      <c r="L41" s="318">
        <f t="shared" si="101"/>
        <v>5027</v>
      </c>
      <c r="M41" s="318">
        <f t="shared" si="101"/>
        <v>5432</v>
      </c>
      <c r="N41" s="318">
        <f t="shared" si="101"/>
        <v>5416</v>
      </c>
      <c r="O41" s="318">
        <f t="shared" si="101"/>
        <v>5240</v>
      </c>
      <c r="P41" s="318">
        <f t="shared" si="101"/>
        <v>4890</v>
      </c>
      <c r="Q41" s="318">
        <f t="shared" si="101"/>
        <v>4343</v>
      </c>
      <c r="R41" s="318">
        <v>4287</v>
      </c>
      <c r="S41" s="318">
        <v>4634</v>
      </c>
      <c r="T41" s="734">
        <v>5375</v>
      </c>
      <c r="U41" s="734">
        <v>4931</v>
      </c>
      <c r="V41" s="734">
        <f t="shared" ref="V41:AD41" si="102">SUM(V42:V45)</f>
        <v>4892</v>
      </c>
      <c r="W41" s="734">
        <f t="shared" si="102"/>
        <v>4440</v>
      </c>
      <c r="X41" s="734">
        <f t="shared" si="102"/>
        <v>3965</v>
      </c>
      <c r="Y41" s="734">
        <f t="shared" si="102"/>
        <v>3753</v>
      </c>
      <c r="Z41" s="734">
        <f t="shared" si="102"/>
        <v>4425</v>
      </c>
      <c r="AA41" s="734">
        <f t="shared" si="102"/>
        <v>4320</v>
      </c>
      <c r="AB41" s="734">
        <f t="shared" si="102"/>
        <v>4487</v>
      </c>
      <c r="AC41" s="734">
        <f t="shared" si="102"/>
        <v>3904</v>
      </c>
      <c r="AD41" s="734">
        <f t="shared" si="102"/>
        <v>5051</v>
      </c>
      <c r="AE41" s="734">
        <f t="shared" ref="AE41:AJ41" si="103">SUM(AE42:AE45)</f>
        <v>4302</v>
      </c>
      <c r="AF41" s="734">
        <f t="shared" si="103"/>
        <v>4646</v>
      </c>
      <c r="AG41" s="1142">
        <f t="shared" si="103"/>
        <v>3797</v>
      </c>
      <c r="AH41" s="1142">
        <f t="shared" si="103"/>
        <v>3701</v>
      </c>
      <c r="AI41" s="1142">
        <f t="shared" si="103"/>
        <v>4221</v>
      </c>
      <c r="AJ41" s="1142">
        <f t="shared" si="103"/>
        <v>4035</v>
      </c>
      <c r="AK41" s="1142">
        <f t="shared" ref="AK41:AL41" si="104">SUM(AK42:AK45)</f>
        <v>3907</v>
      </c>
      <c r="AL41" s="458">
        <f t="shared" si="104"/>
        <v>3039</v>
      </c>
      <c r="AM41" s="458">
        <f t="shared" ref="AM41:AN41" si="105">SUM(AM42:AM45)</f>
        <v>3660</v>
      </c>
      <c r="AN41" s="458">
        <f t="shared" si="105"/>
        <v>3536</v>
      </c>
      <c r="AO41" s="458">
        <f t="shared" ref="AO41" si="106">SUM(AO42:AO45)</f>
        <v>3412</v>
      </c>
    </row>
    <row r="42" spans="1:41">
      <c r="A42" s="61"/>
      <c r="B42" s="62">
        <v>201</v>
      </c>
      <c r="C42" s="62" t="s">
        <v>332</v>
      </c>
      <c r="D42" s="200">
        <f>D102+D106+D107+D111+D123</f>
        <v>7124</v>
      </c>
      <c r="E42" s="200">
        <f t="shared" ref="E42:Q42" si="107">E102+E106+E107+E111+E123</f>
        <v>5311</v>
      </c>
      <c r="F42" s="200">
        <f t="shared" si="107"/>
        <v>4784</v>
      </c>
      <c r="G42" s="200">
        <f t="shared" si="107"/>
        <v>5759</v>
      </c>
      <c r="H42" s="200">
        <f t="shared" si="107"/>
        <v>7033</v>
      </c>
      <c r="I42" s="200">
        <f t="shared" si="107"/>
        <v>6656</v>
      </c>
      <c r="J42" s="200">
        <f t="shared" si="107"/>
        <v>7555</v>
      </c>
      <c r="K42" s="200">
        <f t="shared" si="107"/>
        <v>6141</v>
      </c>
      <c r="L42" s="200">
        <f t="shared" si="107"/>
        <v>4788</v>
      </c>
      <c r="M42" s="200">
        <f t="shared" si="107"/>
        <v>5096</v>
      </c>
      <c r="N42" s="200">
        <f t="shared" si="107"/>
        <v>5075</v>
      </c>
      <c r="O42" s="200">
        <f t="shared" si="107"/>
        <v>4725</v>
      </c>
      <c r="P42" s="200">
        <f t="shared" si="107"/>
        <v>4720</v>
      </c>
      <c r="Q42" s="200">
        <f t="shared" si="107"/>
        <v>4165</v>
      </c>
      <c r="R42" s="200">
        <v>4067</v>
      </c>
      <c r="S42" s="200">
        <v>4386</v>
      </c>
      <c r="T42" s="75">
        <v>5121</v>
      </c>
      <c r="U42" s="75">
        <v>4641</v>
      </c>
      <c r="V42" s="733">
        <v>4605</v>
      </c>
      <c r="W42" s="733">
        <v>4245</v>
      </c>
      <c r="X42" s="75">
        <v>3779</v>
      </c>
      <c r="Y42" s="75">
        <v>3567</v>
      </c>
      <c r="Z42" s="75">
        <v>4274</v>
      </c>
      <c r="AA42" s="75">
        <v>4085</v>
      </c>
      <c r="AB42" s="75">
        <v>4318</v>
      </c>
      <c r="AC42" s="75">
        <v>3721</v>
      </c>
      <c r="AD42" s="75">
        <v>4900</v>
      </c>
      <c r="AE42" s="75">
        <v>4162</v>
      </c>
      <c r="AF42" s="75">
        <v>4427</v>
      </c>
      <c r="AG42" s="453">
        <v>3599</v>
      </c>
      <c r="AH42" s="453">
        <v>3584</v>
      </c>
      <c r="AI42" s="453">
        <v>4103</v>
      </c>
      <c r="AJ42" s="453">
        <v>3910</v>
      </c>
      <c r="AK42" s="453">
        <v>3771</v>
      </c>
      <c r="AL42" s="456">
        <v>2939</v>
      </c>
      <c r="AM42" s="456">
        <f t="shared" ref="AM42:AO45" si="108">ROUND(SUM(AJ42:AL42)/3,0)</f>
        <v>3540</v>
      </c>
      <c r="AN42" s="456">
        <f t="shared" si="108"/>
        <v>3417</v>
      </c>
      <c r="AO42" s="456">
        <f t="shared" si="108"/>
        <v>3299</v>
      </c>
    </row>
    <row r="43" spans="1:41">
      <c r="A43" s="61"/>
      <c r="B43" s="62">
        <v>442</v>
      </c>
      <c r="C43" s="62" t="s">
        <v>203</v>
      </c>
      <c r="D43" s="200">
        <f>D109</f>
        <v>71</v>
      </c>
      <c r="E43" s="200">
        <f t="shared" ref="E43:Q43" si="109">E109</f>
        <v>40</v>
      </c>
      <c r="F43" s="200">
        <f t="shared" si="109"/>
        <v>46</v>
      </c>
      <c r="G43" s="200">
        <f t="shared" si="109"/>
        <v>50</v>
      </c>
      <c r="H43" s="200">
        <f t="shared" si="109"/>
        <v>100</v>
      </c>
      <c r="I43" s="200">
        <f t="shared" si="109"/>
        <v>56</v>
      </c>
      <c r="J43" s="200">
        <f t="shared" si="109"/>
        <v>104</v>
      </c>
      <c r="K43" s="200">
        <f t="shared" si="109"/>
        <v>52</v>
      </c>
      <c r="L43" s="200">
        <f t="shared" si="109"/>
        <v>41</v>
      </c>
      <c r="M43" s="200">
        <f t="shared" si="109"/>
        <v>71</v>
      </c>
      <c r="N43" s="200">
        <f t="shared" si="109"/>
        <v>75</v>
      </c>
      <c r="O43" s="200">
        <f t="shared" si="109"/>
        <v>52</v>
      </c>
      <c r="P43" s="200">
        <f t="shared" si="109"/>
        <v>37</v>
      </c>
      <c r="Q43" s="200">
        <f t="shared" si="109"/>
        <v>30</v>
      </c>
      <c r="R43" s="200">
        <v>46</v>
      </c>
      <c r="S43" s="200">
        <v>47</v>
      </c>
      <c r="T43" s="75">
        <v>50</v>
      </c>
      <c r="U43" s="75">
        <v>55</v>
      </c>
      <c r="V43" s="733">
        <v>50</v>
      </c>
      <c r="W43" s="733">
        <v>39</v>
      </c>
      <c r="X43" s="75">
        <v>25</v>
      </c>
      <c r="Y43" s="75">
        <v>29</v>
      </c>
      <c r="Z43" s="75">
        <v>33</v>
      </c>
      <c r="AA43" s="75">
        <v>26</v>
      </c>
      <c r="AB43" s="75">
        <v>37</v>
      </c>
      <c r="AC43" s="75">
        <v>31</v>
      </c>
      <c r="AD43" s="75">
        <v>25</v>
      </c>
      <c r="AE43" s="75">
        <v>23</v>
      </c>
      <c r="AF43" s="75">
        <v>27</v>
      </c>
      <c r="AG43" s="453">
        <v>21</v>
      </c>
      <c r="AH43" s="453">
        <v>14</v>
      </c>
      <c r="AI43" s="453">
        <v>18</v>
      </c>
      <c r="AJ43" s="453">
        <v>17</v>
      </c>
      <c r="AK43" s="453">
        <v>13</v>
      </c>
      <c r="AL43" s="456">
        <v>20</v>
      </c>
      <c r="AM43" s="456">
        <f t="shared" si="108"/>
        <v>17</v>
      </c>
      <c r="AN43" s="456">
        <f t="shared" si="108"/>
        <v>17</v>
      </c>
      <c r="AO43" s="456">
        <f t="shared" si="108"/>
        <v>18</v>
      </c>
    </row>
    <row r="44" spans="1:41">
      <c r="A44" s="61"/>
      <c r="B44" s="62">
        <v>443</v>
      </c>
      <c r="C44" s="62" t="s">
        <v>204</v>
      </c>
      <c r="D44" s="200">
        <f>D110</f>
        <v>173</v>
      </c>
      <c r="E44" s="200">
        <f t="shared" ref="E44:Q44" si="110">E110</f>
        <v>106</v>
      </c>
      <c r="F44" s="200">
        <f t="shared" si="110"/>
        <v>129</v>
      </c>
      <c r="G44" s="200">
        <f t="shared" si="110"/>
        <v>130</v>
      </c>
      <c r="H44" s="200">
        <f t="shared" si="110"/>
        <v>180</v>
      </c>
      <c r="I44" s="200">
        <f t="shared" si="110"/>
        <v>99</v>
      </c>
      <c r="J44" s="200">
        <f t="shared" si="110"/>
        <v>176</v>
      </c>
      <c r="K44" s="200">
        <f t="shared" si="110"/>
        <v>167</v>
      </c>
      <c r="L44" s="200">
        <f t="shared" si="110"/>
        <v>111</v>
      </c>
      <c r="M44" s="200">
        <f t="shared" si="110"/>
        <v>176</v>
      </c>
      <c r="N44" s="200">
        <f t="shared" si="110"/>
        <v>204</v>
      </c>
      <c r="O44" s="200">
        <f t="shared" si="110"/>
        <v>433</v>
      </c>
      <c r="P44" s="200">
        <f t="shared" si="110"/>
        <v>78</v>
      </c>
      <c r="Q44" s="200">
        <f t="shared" si="110"/>
        <v>133</v>
      </c>
      <c r="R44" s="200">
        <v>157</v>
      </c>
      <c r="S44" s="200">
        <v>181</v>
      </c>
      <c r="T44" s="75">
        <v>180</v>
      </c>
      <c r="U44" s="75">
        <v>213</v>
      </c>
      <c r="V44" s="733">
        <v>204</v>
      </c>
      <c r="W44" s="733">
        <v>123</v>
      </c>
      <c r="X44" s="75">
        <v>126</v>
      </c>
      <c r="Y44" s="75">
        <v>139</v>
      </c>
      <c r="Z44" s="75">
        <v>90</v>
      </c>
      <c r="AA44" s="75">
        <v>180</v>
      </c>
      <c r="AB44" s="75">
        <v>95</v>
      </c>
      <c r="AC44" s="75">
        <v>125</v>
      </c>
      <c r="AD44" s="75">
        <v>102</v>
      </c>
      <c r="AE44" s="75">
        <v>90</v>
      </c>
      <c r="AF44" s="75">
        <v>154</v>
      </c>
      <c r="AG44" s="453">
        <v>161</v>
      </c>
      <c r="AH44" s="453">
        <v>85</v>
      </c>
      <c r="AI44" s="453">
        <v>74</v>
      </c>
      <c r="AJ44" s="453">
        <v>84</v>
      </c>
      <c r="AK44" s="453">
        <v>107</v>
      </c>
      <c r="AL44" s="456">
        <v>65</v>
      </c>
      <c r="AM44" s="456">
        <f t="shared" si="108"/>
        <v>85</v>
      </c>
      <c r="AN44" s="456">
        <f t="shared" si="108"/>
        <v>86</v>
      </c>
      <c r="AO44" s="456">
        <f t="shared" si="108"/>
        <v>79</v>
      </c>
    </row>
    <row r="45" spans="1:41">
      <c r="A45" s="69"/>
      <c r="B45" s="70">
        <v>446</v>
      </c>
      <c r="C45" s="70" t="s">
        <v>333</v>
      </c>
      <c r="D45" s="200">
        <f>D108+D112</f>
        <v>45</v>
      </c>
      <c r="E45" s="200">
        <f t="shared" ref="E45:Q45" si="111">E108+E112</f>
        <v>36</v>
      </c>
      <c r="F45" s="200">
        <f t="shared" si="111"/>
        <v>49</v>
      </c>
      <c r="G45" s="200">
        <f t="shared" si="111"/>
        <v>57</v>
      </c>
      <c r="H45" s="200">
        <f t="shared" si="111"/>
        <v>70</v>
      </c>
      <c r="I45" s="200">
        <f t="shared" si="111"/>
        <v>71</v>
      </c>
      <c r="J45" s="200">
        <f t="shared" si="111"/>
        <v>51</v>
      </c>
      <c r="K45" s="200">
        <f t="shared" si="111"/>
        <v>73</v>
      </c>
      <c r="L45" s="200">
        <f t="shared" si="111"/>
        <v>87</v>
      </c>
      <c r="M45" s="200">
        <f t="shared" si="111"/>
        <v>89</v>
      </c>
      <c r="N45" s="200">
        <f t="shared" si="111"/>
        <v>62</v>
      </c>
      <c r="O45" s="200">
        <f t="shared" si="111"/>
        <v>30</v>
      </c>
      <c r="P45" s="200">
        <f t="shared" si="111"/>
        <v>55</v>
      </c>
      <c r="Q45" s="200">
        <f t="shared" si="111"/>
        <v>15</v>
      </c>
      <c r="R45" s="200">
        <v>17</v>
      </c>
      <c r="S45" s="200">
        <v>20</v>
      </c>
      <c r="T45" s="75">
        <v>24</v>
      </c>
      <c r="U45" s="75">
        <v>22</v>
      </c>
      <c r="V45" s="733">
        <v>33</v>
      </c>
      <c r="W45" s="733">
        <v>33</v>
      </c>
      <c r="X45" s="75">
        <v>35</v>
      </c>
      <c r="Y45" s="75">
        <v>18</v>
      </c>
      <c r="Z45" s="132">
        <v>28</v>
      </c>
      <c r="AA45" s="75">
        <v>29</v>
      </c>
      <c r="AB45" s="132">
        <v>37</v>
      </c>
      <c r="AC45" s="132">
        <v>27</v>
      </c>
      <c r="AD45" s="132">
        <v>24</v>
      </c>
      <c r="AE45" s="132">
        <v>27</v>
      </c>
      <c r="AF45" s="132">
        <v>38</v>
      </c>
      <c r="AG45" s="450">
        <v>16</v>
      </c>
      <c r="AH45" s="450">
        <v>18</v>
      </c>
      <c r="AI45" s="450">
        <v>26</v>
      </c>
      <c r="AJ45" s="450">
        <v>24</v>
      </c>
      <c r="AK45" s="450">
        <v>16</v>
      </c>
      <c r="AL45" s="461">
        <v>15</v>
      </c>
      <c r="AM45" s="461">
        <f t="shared" si="108"/>
        <v>18</v>
      </c>
      <c r="AN45" s="461">
        <f t="shared" si="108"/>
        <v>16</v>
      </c>
      <c r="AO45" s="461">
        <f t="shared" si="108"/>
        <v>16</v>
      </c>
    </row>
    <row r="46" spans="1:41">
      <c r="A46" s="61" t="s">
        <v>345</v>
      </c>
      <c r="B46" s="62">
        <v>6</v>
      </c>
      <c r="C46" s="62" t="s">
        <v>327</v>
      </c>
      <c r="D46" s="318">
        <f t="shared" ref="D46:Q46" si="112">SUM(D47:D53)</f>
        <v>2050</v>
      </c>
      <c r="E46" s="318">
        <f t="shared" si="112"/>
        <v>1948</v>
      </c>
      <c r="F46" s="318">
        <f t="shared" si="112"/>
        <v>2135</v>
      </c>
      <c r="G46" s="318">
        <f t="shared" si="112"/>
        <v>2456</v>
      </c>
      <c r="H46" s="318">
        <f t="shared" si="112"/>
        <v>2434</v>
      </c>
      <c r="I46" s="318">
        <f t="shared" si="112"/>
        <v>2535</v>
      </c>
      <c r="J46" s="318">
        <f t="shared" si="112"/>
        <v>3322</v>
      </c>
      <c r="K46" s="318">
        <f t="shared" si="112"/>
        <v>2987</v>
      </c>
      <c r="L46" s="318">
        <f t="shared" si="112"/>
        <v>2133</v>
      </c>
      <c r="M46" s="318">
        <f t="shared" si="112"/>
        <v>2148</v>
      </c>
      <c r="N46" s="318">
        <f t="shared" si="112"/>
        <v>2313</v>
      </c>
      <c r="O46" s="318">
        <f t="shared" si="112"/>
        <v>1726</v>
      </c>
      <c r="P46" s="318">
        <f t="shared" si="112"/>
        <v>1702</v>
      </c>
      <c r="Q46" s="318">
        <f t="shared" si="112"/>
        <v>1485</v>
      </c>
      <c r="R46" s="318">
        <v>1669</v>
      </c>
      <c r="S46" s="318">
        <v>1733</v>
      </c>
      <c r="T46" s="734">
        <v>2083</v>
      </c>
      <c r="U46" s="734">
        <v>1749</v>
      </c>
      <c r="V46" s="734">
        <f t="shared" ref="V46:AD46" si="113">SUM(V47:V53)</f>
        <v>1520</v>
      </c>
      <c r="W46" s="734">
        <f t="shared" si="113"/>
        <v>1332</v>
      </c>
      <c r="X46" s="734">
        <f t="shared" si="113"/>
        <v>1352</v>
      </c>
      <c r="Y46" s="734">
        <f t="shared" si="113"/>
        <v>1207</v>
      </c>
      <c r="Z46" s="734">
        <f t="shared" si="113"/>
        <v>1188</v>
      </c>
      <c r="AA46" s="734">
        <f t="shared" si="113"/>
        <v>1424</v>
      </c>
      <c r="AB46" s="734">
        <f t="shared" si="113"/>
        <v>1031</v>
      </c>
      <c r="AC46" s="734">
        <f t="shared" si="113"/>
        <v>941</v>
      </c>
      <c r="AD46" s="734">
        <f t="shared" si="113"/>
        <v>897</v>
      </c>
      <c r="AE46" s="734">
        <f t="shared" ref="AE46:AJ46" si="114">SUM(AE47:AE53)</f>
        <v>789</v>
      </c>
      <c r="AF46" s="734">
        <f t="shared" si="114"/>
        <v>1008</v>
      </c>
      <c r="AG46" s="1142">
        <f t="shared" si="114"/>
        <v>857</v>
      </c>
      <c r="AH46" s="1142">
        <f t="shared" si="114"/>
        <v>789</v>
      </c>
      <c r="AI46" s="1142">
        <f t="shared" si="114"/>
        <v>1072</v>
      </c>
      <c r="AJ46" s="1142">
        <f t="shared" si="114"/>
        <v>827</v>
      </c>
      <c r="AK46" s="1142">
        <f t="shared" ref="AK46:AL46" si="115">SUM(AK47:AK53)</f>
        <v>791</v>
      </c>
      <c r="AL46" s="458">
        <f t="shared" si="115"/>
        <v>876</v>
      </c>
      <c r="AM46" s="458">
        <f t="shared" ref="AM46:AN46" si="116">SUM(AM47:AM53)</f>
        <v>831</v>
      </c>
      <c r="AN46" s="458">
        <f t="shared" si="116"/>
        <v>833</v>
      </c>
      <c r="AO46" s="458">
        <f t="shared" ref="AO46" si="117">SUM(AO47:AO53)</f>
        <v>846</v>
      </c>
    </row>
    <row r="47" spans="1:41">
      <c r="A47" s="61"/>
      <c r="B47" s="62">
        <v>208</v>
      </c>
      <c r="C47" s="62" t="s">
        <v>206</v>
      </c>
      <c r="D47" s="200">
        <f>D103</f>
        <v>218</v>
      </c>
      <c r="E47" s="200">
        <f t="shared" ref="E47:Q47" si="118">E103</f>
        <v>266</v>
      </c>
      <c r="F47" s="200">
        <f t="shared" si="118"/>
        <v>330</v>
      </c>
      <c r="G47" s="200">
        <f t="shared" si="118"/>
        <v>363</v>
      </c>
      <c r="H47" s="200">
        <f t="shared" si="118"/>
        <v>288</v>
      </c>
      <c r="I47" s="200">
        <f t="shared" si="118"/>
        <v>389</v>
      </c>
      <c r="J47" s="200">
        <f t="shared" si="118"/>
        <v>314</v>
      </c>
      <c r="K47" s="200">
        <f t="shared" si="118"/>
        <v>249</v>
      </c>
      <c r="L47" s="200">
        <f t="shared" si="118"/>
        <v>275</v>
      </c>
      <c r="M47" s="200">
        <f t="shared" si="118"/>
        <v>289</v>
      </c>
      <c r="N47" s="200">
        <f t="shared" si="118"/>
        <v>288</v>
      </c>
      <c r="O47" s="200">
        <f t="shared" si="118"/>
        <v>189</v>
      </c>
      <c r="P47" s="200">
        <f t="shared" si="118"/>
        <v>194</v>
      </c>
      <c r="Q47" s="200">
        <f t="shared" si="118"/>
        <v>140</v>
      </c>
      <c r="R47" s="200">
        <v>183</v>
      </c>
      <c r="S47" s="200">
        <v>190</v>
      </c>
      <c r="T47" s="75">
        <v>204</v>
      </c>
      <c r="U47" s="75">
        <v>241</v>
      </c>
      <c r="V47" s="733">
        <v>149</v>
      </c>
      <c r="W47" s="733">
        <v>119</v>
      </c>
      <c r="X47" s="75">
        <v>199</v>
      </c>
      <c r="Y47" s="75">
        <v>148</v>
      </c>
      <c r="Z47" s="75">
        <v>137</v>
      </c>
      <c r="AA47" s="75">
        <v>148</v>
      </c>
      <c r="AB47" s="75">
        <v>119</v>
      </c>
      <c r="AC47" s="75">
        <v>163</v>
      </c>
      <c r="AD47" s="75">
        <v>152</v>
      </c>
      <c r="AE47" s="75">
        <v>18</v>
      </c>
      <c r="AF47" s="75">
        <v>119</v>
      </c>
      <c r="AG47" s="453">
        <v>73</v>
      </c>
      <c r="AH47" s="453">
        <v>71</v>
      </c>
      <c r="AI47" s="453">
        <v>101</v>
      </c>
      <c r="AJ47" s="453">
        <v>129</v>
      </c>
      <c r="AK47" s="453">
        <v>74</v>
      </c>
      <c r="AL47" s="456">
        <v>65</v>
      </c>
      <c r="AM47" s="456">
        <f t="shared" ref="AM47:AO53" si="119">ROUND(SUM(AJ47:AL47)/3,0)</f>
        <v>89</v>
      </c>
      <c r="AN47" s="456">
        <f t="shared" si="119"/>
        <v>76</v>
      </c>
      <c r="AO47" s="456">
        <f t="shared" si="119"/>
        <v>77</v>
      </c>
    </row>
    <row r="48" spans="1:41">
      <c r="A48" s="61"/>
      <c r="B48" s="62">
        <v>212</v>
      </c>
      <c r="C48" s="62" t="s">
        <v>207</v>
      </c>
      <c r="D48" s="200">
        <f>D105</f>
        <v>365</v>
      </c>
      <c r="E48" s="200">
        <f t="shared" ref="E48:Q48" si="120">E105</f>
        <v>358</v>
      </c>
      <c r="F48" s="200">
        <f t="shared" si="120"/>
        <v>462</v>
      </c>
      <c r="G48" s="200">
        <f t="shared" si="120"/>
        <v>526</v>
      </c>
      <c r="H48" s="200">
        <f t="shared" si="120"/>
        <v>609</v>
      </c>
      <c r="I48" s="200">
        <f t="shared" si="120"/>
        <v>483</v>
      </c>
      <c r="J48" s="200">
        <f t="shared" si="120"/>
        <v>978</v>
      </c>
      <c r="K48" s="200">
        <f t="shared" si="120"/>
        <v>1073</v>
      </c>
      <c r="L48" s="200">
        <f t="shared" si="120"/>
        <v>446</v>
      </c>
      <c r="M48" s="200">
        <f t="shared" si="120"/>
        <v>498</v>
      </c>
      <c r="N48" s="200">
        <f t="shared" si="120"/>
        <v>506</v>
      </c>
      <c r="O48" s="200">
        <f t="shared" si="120"/>
        <v>332</v>
      </c>
      <c r="P48" s="200">
        <f t="shared" si="120"/>
        <v>300</v>
      </c>
      <c r="Q48" s="200">
        <f t="shared" si="120"/>
        <v>240</v>
      </c>
      <c r="R48" s="200">
        <v>270</v>
      </c>
      <c r="S48" s="200">
        <v>328</v>
      </c>
      <c r="T48" s="75">
        <v>452</v>
      </c>
      <c r="U48" s="75">
        <v>315</v>
      </c>
      <c r="V48" s="733">
        <v>318</v>
      </c>
      <c r="W48" s="733">
        <v>277</v>
      </c>
      <c r="X48" s="75">
        <v>257</v>
      </c>
      <c r="Y48" s="75">
        <v>208</v>
      </c>
      <c r="Z48" s="75">
        <v>235</v>
      </c>
      <c r="AA48" s="75">
        <v>290</v>
      </c>
      <c r="AB48" s="75">
        <v>233</v>
      </c>
      <c r="AC48" s="75">
        <v>201</v>
      </c>
      <c r="AD48" s="75">
        <v>199</v>
      </c>
      <c r="AE48" s="75">
        <v>179</v>
      </c>
      <c r="AF48" s="75">
        <v>230</v>
      </c>
      <c r="AG48" s="453">
        <v>195</v>
      </c>
      <c r="AH48" s="453">
        <v>256</v>
      </c>
      <c r="AI48" s="453">
        <v>260</v>
      </c>
      <c r="AJ48" s="453">
        <v>176</v>
      </c>
      <c r="AK48" s="453">
        <v>174</v>
      </c>
      <c r="AL48" s="456">
        <v>174</v>
      </c>
      <c r="AM48" s="456">
        <f t="shared" si="119"/>
        <v>175</v>
      </c>
      <c r="AN48" s="456">
        <f t="shared" si="119"/>
        <v>174</v>
      </c>
      <c r="AO48" s="456">
        <f t="shared" si="119"/>
        <v>174</v>
      </c>
    </row>
    <row r="49" spans="1:41">
      <c r="A49" s="61"/>
      <c r="B49" s="62">
        <v>227</v>
      </c>
      <c r="C49" s="62" t="s">
        <v>219</v>
      </c>
      <c r="D49" s="200">
        <f>D122+SUM(D124:D126)</f>
        <v>185</v>
      </c>
      <c r="E49" s="200">
        <f t="shared" ref="E49:Q49" si="121">E122+SUM(E124:E126)</f>
        <v>206</v>
      </c>
      <c r="F49" s="200">
        <f t="shared" si="121"/>
        <v>247</v>
      </c>
      <c r="G49" s="200">
        <f t="shared" si="121"/>
        <v>268</v>
      </c>
      <c r="H49" s="200">
        <f t="shared" si="121"/>
        <v>316</v>
      </c>
      <c r="I49" s="200">
        <f t="shared" si="121"/>
        <v>222</v>
      </c>
      <c r="J49" s="200">
        <f t="shared" si="121"/>
        <v>274</v>
      </c>
      <c r="K49" s="200">
        <f t="shared" si="121"/>
        <v>193</v>
      </c>
      <c r="L49" s="200">
        <f t="shared" si="121"/>
        <v>302</v>
      </c>
      <c r="M49" s="200">
        <f t="shared" si="121"/>
        <v>237</v>
      </c>
      <c r="N49" s="200">
        <f t="shared" si="121"/>
        <v>263</v>
      </c>
      <c r="O49" s="200">
        <f t="shared" si="121"/>
        <v>139</v>
      </c>
      <c r="P49" s="200">
        <f t="shared" si="121"/>
        <v>164</v>
      </c>
      <c r="Q49" s="200">
        <f t="shared" si="121"/>
        <v>105</v>
      </c>
      <c r="R49" s="200">
        <v>131</v>
      </c>
      <c r="S49" s="200">
        <v>144</v>
      </c>
      <c r="T49" s="75">
        <v>138</v>
      </c>
      <c r="U49" s="75">
        <v>163</v>
      </c>
      <c r="V49" s="733">
        <v>155</v>
      </c>
      <c r="W49" s="733">
        <v>127</v>
      </c>
      <c r="X49" s="75">
        <v>92</v>
      </c>
      <c r="Y49" s="75">
        <v>127</v>
      </c>
      <c r="Z49" s="75">
        <v>164</v>
      </c>
      <c r="AA49" s="75">
        <v>160</v>
      </c>
      <c r="AB49" s="75">
        <v>147</v>
      </c>
      <c r="AC49" s="75">
        <v>98</v>
      </c>
      <c r="AD49" s="75">
        <v>78</v>
      </c>
      <c r="AE49" s="75">
        <v>85</v>
      </c>
      <c r="AF49" s="75">
        <v>140</v>
      </c>
      <c r="AG49" s="453">
        <v>91</v>
      </c>
      <c r="AH49" s="453">
        <v>77</v>
      </c>
      <c r="AI49" s="453">
        <v>91</v>
      </c>
      <c r="AJ49" s="453">
        <v>68</v>
      </c>
      <c r="AK49" s="453">
        <v>44</v>
      </c>
      <c r="AL49" s="456">
        <v>55</v>
      </c>
      <c r="AM49" s="456">
        <f t="shared" si="119"/>
        <v>56</v>
      </c>
      <c r="AN49" s="456">
        <f t="shared" si="119"/>
        <v>52</v>
      </c>
      <c r="AO49" s="456">
        <f t="shared" si="119"/>
        <v>54</v>
      </c>
    </row>
    <row r="50" spans="1:41">
      <c r="A50" s="61"/>
      <c r="B50" s="62">
        <v>229</v>
      </c>
      <c r="C50" s="62" t="s">
        <v>334</v>
      </c>
      <c r="D50" s="200">
        <f>D104+SUM(D113:D115)</f>
        <v>696</v>
      </c>
      <c r="E50" s="200">
        <f t="shared" ref="E50:Q50" si="122">E104+SUM(E113:E115)</f>
        <v>520</v>
      </c>
      <c r="F50" s="200">
        <f t="shared" si="122"/>
        <v>464</v>
      </c>
      <c r="G50" s="200">
        <f t="shared" si="122"/>
        <v>687</v>
      </c>
      <c r="H50" s="200">
        <f t="shared" si="122"/>
        <v>639</v>
      </c>
      <c r="I50" s="200">
        <f t="shared" si="122"/>
        <v>744</v>
      </c>
      <c r="J50" s="200">
        <f t="shared" si="122"/>
        <v>911</v>
      </c>
      <c r="K50" s="200">
        <f t="shared" si="122"/>
        <v>823</v>
      </c>
      <c r="L50" s="200">
        <f t="shared" si="122"/>
        <v>596</v>
      </c>
      <c r="M50" s="200">
        <f t="shared" si="122"/>
        <v>646</v>
      </c>
      <c r="N50" s="200">
        <f t="shared" si="122"/>
        <v>651</v>
      </c>
      <c r="O50" s="200">
        <f t="shared" si="122"/>
        <v>590</v>
      </c>
      <c r="P50" s="200">
        <f t="shared" si="122"/>
        <v>622</v>
      </c>
      <c r="Q50" s="200">
        <f t="shared" si="122"/>
        <v>596</v>
      </c>
      <c r="R50" s="200">
        <v>555</v>
      </c>
      <c r="S50" s="200">
        <v>619</v>
      </c>
      <c r="T50" s="75">
        <v>708</v>
      </c>
      <c r="U50" s="75">
        <v>567</v>
      </c>
      <c r="V50" s="733">
        <v>554</v>
      </c>
      <c r="W50" s="733">
        <v>347</v>
      </c>
      <c r="X50" s="75">
        <v>438</v>
      </c>
      <c r="Y50" s="75">
        <v>386</v>
      </c>
      <c r="Z50" s="75">
        <v>318</v>
      </c>
      <c r="AA50" s="75">
        <v>484</v>
      </c>
      <c r="AB50" s="75">
        <v>312</v>
      </c>
      <c r="AC50" s="75">
        <v>288</v>
      </c>
      <c r="AD50" s="75">
        <v>272</v>
      </c>
      <c r="AE50" s="75">
        <v>319</v>
      </c>
      <c r="AF50" s="75">
        <v>228</v>
      </c>
      <c r="AG50" s="453">
        <v>308</v>
      </c>
      <c r="AH50" s="453">
        <v>197</v>
      </c>
      <c r="AI50" s="453">
        <v>327</v>
      </c>
      <c r="AJ50" s="453">
        <v>249</v>
      </c>
      <c r="AK50" s="453">
        <v>275</v>
      </c>
      <c r="AL50" s="456">
        <v>314</v>
      </c>
      <c r="AM50" s="456">
        <f t="shared" si="119"/>
        <v>279</v>
      </c>
      <c r="AN50" s="456">
        <f t="shared" si="119"/>
        <v>289</v>
      </c>
      <c r="AO50" s="456">
        <f t="shared" si="119"/>
        <v>294</v>
      </c>
    </row>
    <row r="51" spans="1:41">
      <c r="A51" s="61"/>
      <c r="B51" s="62">
        <v>464</v>
      </c>
      <c r="C51" s="62" t="s">
        <v>208</v>
      </c>
      <c r="D51" s="200">
        <f>D116</f>
        <v>286</v>
      </c>
      <c r="E51" s="200">
        <f t="shared" ref="E51:Q51" si="123">E116</f>
        <v>315</v>
      </c>
      <c r="F51" s="200">
        <f t="shared" si="123"/>
        <v>340</v>
      </c>
      <c r="G51" s="200">
        <f t="shared" si="123"/>
        <v>281</v>
      </c>
      <c r="H51" s="200">
        <f t="shared" si="123"/>
        <v>317</v>
      </c>
      <c r="I51" s="200">
        <f t="shared" si="123"/>
        <v>309</v>
      </c>
      <c r="J51" s="200">
        <f t="shared" si="123"/>
        <v>448</v>
      </c>
      <c r="K51" s="200">
        <f t="shared" si="123"/>
        <v>321</v>
      </c>
      <c r="L51" s="200">
        <f t="shared" si="123"/>
        <v>285</v>
      </c>
      <c r="M51" s="200">
        <f t="shared" si="123"/>
        <v>270</v>
      </c>
      <c r="N51" s="200">
        <f t="shared" si="123"/>
        <v>306</v>
      </c>
      <c r="O51" s="200">
        <f t="shared" si="123"/>
        <v>287</v>
      </c>
      <c r="P51" s="200">
        <f t="shared" si="123"/>
        <v>286</v>
      </c>
      <c r="Q51" s="200">
        <f t="shared" si="123"/>
        <v>243</v>
      </c>
      <c r="R51" s="200">
        <v>296</v>
      </c>
      <c r="S51" s="200">
        <v>279</v>
      </c>
      <c r="T51" s="75">
        <v>352</v>
      </c>
      <c r="U51" s="75">
        <v>305</v>
      </c>
      <c r="V51" s="733">
        <v>226</v>
      </c>
      <c r="W51" s="733">
        <v>331</v>
      </c>
      <c r="X51" s="75">
        <v>220</v>
      </c>
      <c r="Y51" s="75">
        <v>188</v>
      </c>
      <c r="Z51" s="75">
        <v>225</v>
      </c>
      <c r="AA51" s="75">
        <v>221</v>
      </c>
      <c r="AB51" s="75">
        <v>152</v>
      </c>
      <c r="AC51" s="75">
        <v>143</v>
      </c>
      <c r="AD51" s="75">
        <v>138</v>
      </c>
      <c r="AE51" s="75">
        <v>144</v>
      </c>
      <c r="AF51" s="75">
        <v>241</v>
      </c>
      <c r="AG51" s="453">
        <v>141</v>
      </c>
      <c r="AH51" s="453">
        <v>141</v>
      </c>
      <c r="AI51" s="453">
        <v>196</v>
      </c>
      <c r="AJ51" s="453">
        <v>179</v>
      </c>
      <c r="AK51" s="453">
        <v>184</v>
      </c>
      <c r="AL51" s="456">
        <v>235</v>
      </c>
      <c r="AM51" s="456">
        <f t="shared" si="119"/>
        <v>199</v>
      </c>
      <c r="AN51" s="456">
        <f t="shared" si="119"/>
        <v>206</v>
      </c>
      <c r="AO51" s="456">
        <f t="shared" si="119"/>
        <v>213</v>
      </c>
    </row>
    <row r="52" spans="1:41">
      <c r="A52" s="61"/>
      <c r="B52" s="62">
        <v>481</v>
      </c>
      <c r="C52" s="62" t="s">
        <v>209</v>
      </c>
      <c r="D52" s="200">
        <f>D117</f>
        <v>172</v>
      </c>
      <c r="E52" s="200">
        <f t="shared" ref="E52:Q52" si="124">E117</f>
        <v>143</v>
      </c>
      <c r="F52" s="200">
        <f t="shared" si="124"/>
        <v>186</v>
      </c>
      <c r="G52" s="200">
        <f t="shared" si="124"/>
        <v>148</v>
      </c>
      <c r="H52" s="200">
        <f t="shared" si="124"/>
        <v>128</v>
      </c>
      <c r="I52" s="200">
        <f t="shared" si="124"/>
        <v>267</v>
      </c>
      <c r="J52" s="200">
        <f t="shared" si="124"/>
        <v>206</v>
      </c>
      <c r="K52" s="200">
        <f t="shared" si="124"/>
        <v>151</v>
      </c>
      <c r="L52" s="200">
        <f t="shared" si="124"/>
        <v>113</v>
      </c>
      <c r="M52" s="200">
        <f t="shared" si="124"/>
        <v>106</v>
      </c>
      <c r="N52" s="200">
        <f t="shared" si="124"/>
        <v>180</v>
      </c>
      <c r="O52" s="200">
        <f t="shared" si="124"/>
        <v>121</v>
      </c>
      <c r="P52" s="200">
        <f t="shared" si="124"/>
        <v>49</v>
      </c>
      <c r="Q52" s="200">
        <f t="shared" si="124"/>
        <v>98</v>
      </c>
      <c r="R52" s="200">
        <v>113</v>
      </c>
      <c r="S52" s="200">
        <v>110</v>
      </c>
      <c r="T52" s="75">
        <v>168</v>
      </c>
      <c r="U52" s="75">
        <v>120</v>
      </c>
      <c r="V52" s="733">
        <v>66</v>
      </c>
      <c r="W52" s="733">
        <v>38</v>
      </c>
      <c r="X52" s="75">
        <v>54</v>
      </c>
      <c r="Y52" s="75">
        <v>40</v>
      </c>
      <c r="Z52" s="75">
        <v>40</v>
      </c>
      <c r="AA52" s="75">
        <v>64</v>
      </c>
      <c r="AB52" s="75">
        <v>33</v>
      </c>
      <c r="AC52" s="75">
        <v>29</v>
      </c>
      <c r="AD52" s="75">
        <v>25</v>
      </c>
      <c r="AE52" s="75">
        <v>20</v>
      </c>
      <c r="AF52" s="75">
        <v>23</v>
      </c>
      <c r="AG52" s="453">
        <v>14</v>
      </c>
      <c r="AH52" s="453">
        <v>29</v>
      </c>
      <c r="AI52" s="453">
        <v>36</v>
      </c>
      <c r="AJ52" s="453">
        <v>15</v>
      </c>
      <c r="AK52" s="453">
        <v>24</v>
      </c>
      <c r="AL52" s="456">
        <v>19</v>
      </c>
      <c r="AM52" s="456">
        <f t="shared" si="119"/>
        <v>19</v>
      </c>
      <c r="AN52" s="456">
        <f t="shared" si="119"/>
        <v>21</v>
      </c>
      <c r="AO52" s="456">
        <f t="shared" si="119"/>
        <v>20</v>
      </c>
    </row>
    <row r="53" spans="1:41">
      <c r="A53" s="61"/>
      <c r="B53" s="62">
        <v>501</v>
      </c>
      <c r="C53" s="62" t="s">
        <v>335</v>
      </c>
      <c r="D53" s="195">
        <f>SUM(D118:D121)</f>
        <v>128</v>
      </c>
      <c r="E53" s="195">
        <f t="shared" ref="E53:Q53" si="125">SUM(E118:E121)</f>
        <v>140</v>
      </c>
      <c r="F53" s="195">
        <f t="shared" si="125"/>
        <v>106</v>
      </c>
      <c r="G53" s="195">
        <f t="shared" si="125"/>
        <v>183</v>
      </c>
      <c r="H53" s="195">
        <f t="shared" si="125"/>
        <v>137</v>
      </c>
      <c r="I53" s="195">
        <f t="shared" si="125"/>
        <v>121</v>
      </c>
      <c r="J53" s="195">
        <f t="shared" si="125"/>
        <v>191</v>
      </c>
      <c r="K53" s="195">
        <f t="shared" si="125"/>
        <v>177</v>
      </c>
      <c r="L53" s="195">
        <f t="shared" si="125"/>
        <v>116</v>
      </c>
      <c r="M53" s="195">
        <f t="shared" si="125"/>
        <v>102</v>
      </c>
      <c r="N53" s="195">
        <f t="shared" si="125"/>
        <v>119</v>
      </c>
      <c r="O53" s="195">
        <f t="shared" si="125"/>
        <v>68</v>
      </c>
      <c r="P53" s="195">
        <f t="shared" si="125"/>
        <v>87</v>
      </c>
      <c r="Q53" s="195">
        <f t="shared" si="125"/>
        <v>63</v>
      </c>
      <c r="R53" s="195">
        <v>121</v>
      </c>
      <c r="S53" s="195">
        <v>63</v>
      </c>
      <c r="T53" s="132">
        <v>61</v>
      </c>
      <c r="U53" s="132">
        <v>38</v>
      </c>
      <c r="V53" s="735">
        <v>52</v>
      </c>
      <c r="W53" s="735">
        <v>93</v>
      </c>
      <c r="X53" s="75">
        <v>92</v>
      </c>
      <c r="Y53" s="75">
        <v>110</v>
      </c>
      <c r="Z53" s="132">
        <v>69</v>
      </c>
      <c r="AA53" s="75">
        <v>57</v>
      </c>
      <c r="AB53" s="132">
        <v>35</v>
      </c>
      <c r="AC53" s="132">
        <v>19</v>
      </c>
      <c r="AD53" s="132">
        <v>33</v>
      </c>
      <c r="AE53" s="132">
        <v>24</v>
      </c>
      <c r="AF53" s="132">
        <v>27</v>
      </c>
      <c r="AG53" s="450">
        <v>35</v>
      </c>
      <c r="AH53" s="450">
        <v>18</v>
      </c>
      <c r="AI53" s="450">
        <v>61</v>
      </c>
      <c r="AJ53" s="450">
        <v>11</v>
      </c>
      <c r="AK53" s="450">
        <v>16</v>
      </c>
      <c r="AL53" s="461">
        <v>14</v>
      </c>
      <c r="AM53" s="461">
        <f t="shared" si="119"/>
        <v>14</v>
      </c>
      <c r="AN53" s="461">
        <f t="shared" si="119"/>
        <v>15</v>
      </c>
      <c r="AO53" s="461">
        <f t="shared" si="119"/>
        <v>14</v>
      </c>
    </row>
    <row r="54" spans="1:41">
      <c r="A54" s="67" t="s">
        <v>346</v>
      </c>
      <c r="B54" s="68">
        <v>7</v>
      </c>
      <c r="C54" s="68" t="s">
        <v>210</v>
      </c>
      <c r="D54" s="318">
        <f t="shared" ref="D54:Q54" si="126">SUM(D55:D59)</f>
        <v>1271</v>
      </c>
      <c r="E54" s="318">
        <f t="shared" si="126"/>
        <v>1105</v>
      </c>
      <c r="F54" s="318">
        <f t="shared" si="126"/>
        <v>1133</v>
      </c>
      <c r="G54" s="318">
        <f t="shared" si="126"/>
        <v>1484</v>
      </c>
      <c r="H54" s="318">
        <f t="shared" si="126"/>
        <v>1428</v>
      </c>
      <c r="I54" s="318">
        <f t="shared" si="126"/>
        <v>1035</v>
      </c>
      <c r="J54" s="318">
        <f t="shared" si="126"/>
        <v>1374</v>
      </c>
      <c r="K54" s="318">
        <f t="shared" si="126"/>
        <v>1481</v>
      </c>
      <c r="L54" s="318">
        <f t="shared" si="126"/>
        <v>1426</v>
      </c>
      <c r="M54" s="318">
        <f t="shared" si="126"/>
        <v>1409</v>
      </c>
      <c r="N54" s="318">
        <f t="shared" si="126"/>
        <v>1144</v>
      </c>
      <c r="O54" s="318">
        <f t="shared" si="126"/>
        <v>959</v>
      </c>
      <c r="P54" s="318">
        <f t="shared" si="126"/>
        <v>804</v>
      </c>
      <c r="Q54" s="318">
        <f t="shared" si="126"/>
        <v>943</v>
      </c>
      <c r="R54" s="318">
        <v>1142</v>
      </c>
      <c r="S54" s="318">
        <v>802</v>
      </c>
      <c r="T54" s="734">
        <v>1038</v>
      </c>
      <c r="U54" s="734">
        <v>800</v>
      </c>
      <c r="V54" s="734">
        <f t="shared" ref="V54:AD54" si="127">SUM(V55:V59)</f>
        <v>734</v>
      </c>
      <c r="W54" s="734">
        <f t="shared" si="127"/>
        <v>623</v>
      </c>
      <c r="X54" s="734">
        <f t="shared" si="127"/>
        <v>534</v>
      </c>
      <c r="Y54" s="734">
        <f t="shared" si="127"/>
        <v>497</v>
      </c>
      <c r="Z54" s="734">
        <f t="shared" si="127"/>
        <v>488</v>
      </c>
      <c r="AA54" s="734">
        <f t="shared" si="127"/>
        <v>676</v>
      </c>
      <c r="AB54" s="734">
        <f t="shared" si="127"/>
        <v>460</v>
      </c>
      <c r="AC54" s="734">
        <f t="shared" si="127"/>
        <v>501</v>
      </c>
      <c r="AD54" s="734">
        <f t="shared" si="127"/>
        <v>521</v>
      </c>
      <c r="AE54" s="734">
        <f t="shared" ref="AE54:AJ54" si="128">SUM(AE55:AE59)</f>
        <v>493</v>
      </c>
      <c r="AF54" s="734">
        <f t="shared" si="128"/>
        <v>571</v>
      </c>
      <c r="AG54" s="1142">
        <f t="shared" si="128"/>
        <v>580</v>
      </c>
      <c r="AH54" s="1142">
        <f t="shared" si="128"/>
        <v>452</v>
      </c>
      <c r="AI54" s="1142">
        <f t="shared" si="128"/>
        <v>465</v>
      </c>
      <c r="AJ54" s="1142">
        <f t="shared" si="128"/>
        <v>520</v>
      </c>
      <c r="AK54" s="1142">
        <f t="shared" ref="AK54:AL54" si="129">SUM(AK55:AK59)</f>
        <v>405</v>
      </c>
      <c r="AL54" s="458">
        <f t="shared" si="129"/>
        <v>426</v>
      </c>
      <c r="AM54" s="458">
        <f t="shared" ref="AM54:AN54" si="130">SUM(AM55:AM59)</f>
        <v>451</v>
      </c>
      <c r="AN54" s="458">
        <f t="shared" si="130"/>
        <v>428</v>
      </c>
      <c r="AO54" s="458">
        <f t="shared" ref="AO54" si="131">SUM(AO55:AO59)</f>
        <v>435</v>
      </c>
    </row>
    <row r="55" spans="1:41">
      <c r="A55" s="61"/>
      <c r="B55" s="62">
        <v>209</v>
      </c>
      <c r="C55" s="62" t="s">
        <v>336</v>
      </c>
      <c r="D55" s="200">
        <f>D128+D129+D130+SUM(D132:D134)</f>
        <v>866</v>
      </c>
      <c r="E55" s="200">
        <f t="shared" ref="E55:Q55" si="132">E128+E129+E130+SUM(E132:E134)</f>
        <v>654</v>
      </c>
      <c r="F55" s="200">
        <f t="shared" si="132"/>
        <v>637</v>
      </c>
      <c r="G55" s="200">
        <f t="shared" si="132"/>
        <v>832</v>
      </c>
      <c r="H55" s="200">
        <f t="shared" si="132"/>
        <v>632</v>
      </c>
      <c r="I55" s="200">
        <f t="shared" si="132"/>
        <v>475</v>
      </c>
      <c r="J55" s="200">
        <f t="shared" si="132"/>
        <v>651</v>
      </c>
      <c r="K55" s="200">
        <f t="shared" si="132"/>
        <v>715</v>
      </c>
      <c r="L55" s="200">
        <f t="shared" si="132"/>
        <v>731</v>
      </c>
      <c r="M55" s="200">
        <f t="shared" si="132"/>
        <v>709</v>
      </c>
      <c r="N55" s="200">
        <f t="shared" si="132"/>
        <v>644</v>
      </c>
      <c r="O55" s="200">
        <f t="shared" si="132"/>
        <v>463</v>
      </c>
      <c r="P55" s="200">
        <f t="shared" si="132"/>
        <v>490</v>
      </c>
      <c r="Q55" s="200">
        <f t="shared" si="132"/>
        <v>552</v>
      </c>
      <c r="R55" s="200">
        <v>733</v>
      </c>
      <c r="S55" s="200">
        <v>514</v>
      </c>
      <c r="T55" s="75">
        <v>651</v>
      </c>
      <c r="U55" s="75">
        <v>463</v>
      </c>
      <c r="V55" s="733">
        <v>365</v>
      </c>
      <c r="W55" s="733">
        <v>388</v>
      </c>
      <c r="X55" s="75">
        <v>285</v>
      </c>
      <c r="Y55" s="75">
        <v>326</v>
      </c>
      <c r="Z55" s="75">
        <v>302</v>
      </c>
      <c r="AA55" s="75">
        <v>436</v>
      </c>
      <c r="AB55" s="75">
        <v>290</v>
      </c>
      <c r="AC55" s="75">
        <v>265</v>
      </c>
      <c r="AD55" s="75">
        <v>312</v>
      </c>
      <c r="AE55" s="75">
        <v>280</v>
      </c>
      <c r="AF55" s="75">
        <v>348</v>
      </c>
      <c r="AG55" s="453">
        <v>362</v>
      </c>
      <c r="AH55" s="453">
        <v>277</v>
      </c>
      <c r="AI55" s="453">
        <v>290</v>
      </c>
      <c r="AJ55" s="453">
        <v>323</v>
      </c>
      <c r="AK55" s="453">
        <v>264</v>
      </c>
      <c r="AL55" s="456">
        <v>258</v>
      </c>
      <c r="AM55" s="456">
        <f t="shared" ref="AM55:AO59" si="133">ROUND(SUM(AJ55:AL55)/3,0)</f>
        <v>282</v>
      </c>
      <c r="AN55" s="456">
        <f t="shared" si="133"/>
        <v>268</v>
      </c>
      <c r="AO55" s="456">
        <f t="shared" si="133"/>
        <v>269</v>
      </c>
    </row>
    <row r="56" spans="1:41">
      <c r="A56" s="61"/>
      <c r="B56" s="62">
        <v>222</v>
      </c>
      <c r="C56" s="62" t="s">
        <v>337</v>
      </c>
      <c r="D56" s="200">
        <f>SUM(D139:D142)</f>
        <v>109</v>
      </c>
      <c r="E56" s="200">
        <f t="shared" ref="E56:Q56" si="134">SUM(E139:E142)</f>
        <v>142</v>
      </c>
      <c r="F56" s="200">
        <f t="shared" si="134"/>
        <v>117</v>
      </c>
      <c r="G56" s="200">
        <f t="shared" si="134"/>
        <v>201</v>
      </c>
      <c r="H56" s="200">
        <f t="shared" si="134"/>
        <v>281</v>
      </c>
      <c r="I56" s="200">
        <f t="shared" si="134"/>
        <v>139</v>
      </c>
      <c r="J56" s="200">
        <f t="shared" si="134"/>
        <v>166</v>
      </c>
      <c r="K56" s="200">
        <f t="shared" si="134"/>
        <v>162</v>
      </c>
      <c r="L56" s="200">
        <f t="shared" si="134"/>
        <v>158</v>
      </c>
      <c r="M56" s="200">
        <f t="shared" si="134"/>
        <v>202</v>
      </c>
      <c r="N56" s="200">
        <f t="shared" si="134"/>
        <v>148</v>
      </c>
      <c r="O56" s="200">
        <f t="shared" si="134"/>
        <v>117</v>
      </c>
      <c r="P56" s="200">
        <f t="shared" si="134"/>
        <v>91</v>
      </c>
      <c r="Q56" s="200">
        <f t="shared" si="134"/>
        <v>116</v>
      </c>
      <c r="R56" s="200">
        <v>109</v>
      </c>
      <c r="S56" s="200">
        <v>68</v>
      </c>
      <c r="T56" s="75">
        <v>100</v>
      </c>
      <c r="U56" s="75">
        <v>73</v>
      </c>
      <c r="V56" s="733">
        <v>88</v>
      </c>
      <c r="W56" s="733">
        <v>59</v>
      </c>
      <c r="X56" s="75">
        <v>89</v>
      </c>
      <c r="Y56" s="75">
        <v>35</v>
      </c>
      <c r="Z56" s="75">
        <v>56</v>
      </c>
      <c r="AA56" s="75">
        <v>77</v>
      </c>
      <c r="AB56" s="75">
        <v>41</v>
      </c>
      <c r="AC56" s="75">
        <v>68</v>
      </c>
      <c r="AD56" s="75">
        <v>72</v>
      </c>
      <c r="AE56" s="75">
        <v>61</v>
      </c>
      <c r="AF56" s="75">
        <v>56</v>
      </c>
      <c r="AG56" s="453">
        <v>49</v>
      </c>
      <c r="AH56" s="453">
        <v>51</v>
      </c>
      <c r="AI56" s="453">
        <v>40</v>
      </c>
      <c r="AJ56" s="453">
        <v>51</v>
      </c>
      <c r="AK56" s="453">
        <v>33</v>
      </c>
      <c r="AL56" s="456">
        <v>51</v>
      </c>
      <c r="AM56" s="456">
        <f t="shared" si="133"/>
        <v>45</v>
      </c>
      <c r="AN56" s="456">
        <f t="shared" si="133"/>
        <v>43</v>
      </c>
      <c r="AO56" s="456">
        <f t="shared" si="133"/>
        <v>46</v>
      </c>
    </row>
    <row r="57" spans="1:41">
      <c r="A57" s="61"/>
      <c r="B57" s="62">
        <v>225</v>
      </c>
      <c r="C57" s="62" t="s">
        <v>222</v>
      </c>
      <c r="D57" s="200">
        <f>SUM(D143:D146)</f>
        <v>175</v>
      </c>
      <c r="E57" s="200">
        <f t="shared" ref="E57:Q57" si="135">SUM(E143:E146)</f>
        <v>170</v>
      </c>
      <c r="F57" s="200">
        <f t="shared" si="135"/>
        <v>190</v>
      </c>
      <c r="G57" s="200">
        <f t="shared" si="135"/>
        <v>301</v>
      </c>
      <c r="H57" s="200">
        <f t="shared" si="135"/>
        <v>352</v>
      </c>
      <c r="I57" s="200">
        <f t="shared" si="135"/>
        <v>246</v>
      </c>
      <c r="J57" s="200">
        <f t="shared" si="135"/>
        <v>356</v>
      </c>
      <c r="K57" s="200">
        <f t="shared" si="135"/>
        <v>445</v>
      </c>
      <c r="L57" s="200">
        <f t="shared" si="135"/>
        <v>340</v>
      </c>
      <c r="M57" s="200">
        <f t="shared" si="135"/>
        <v>331</v>
      </c>
      <c r="N57" s="200">
        <f t="shared" si="135"/>
        <v>219</v>
      </c>
      <c r="O57" s="200">
        <f t="shared" si="135"/>
        <v>208</v>
      </c>
      <c r="P57" s="200">
        <f t="shared" si="135"/>
        <v>159</v>
      </c>
      <c r="Q57" s="200">
        <f t="shared" si="135"/>
        <v>128</v>
      </c>
      <c r="R57" s="200">
        <v>174</v>
      </c>
      <c r="S57" s="200">
        <v>132</v>
      </c>
      <c r="T57" s="75">
        <v>181</v>
      </c>
      <c r="U57" s="75">
        <v>170</v>
      </c>
      <c r="V57" s="733">
        <v>196</v>
      </c>
      <c r="W57" s="733">
        <v>108</v>
      </c>
      <c r="X57" s="75">
        <v>105</v>
      </c>
      <c r="Y57" s="75">
        <v>79</v>
      </c>
      <c r="Z57" s="75">
        <v>82</v>
      </c>
      <c r="AA57" s="75">
        <v>108</v>
      </c>
      <c r="AB57" s="75">
        <v>84</v>
      </c>
      <c r="AC57" s="75">
        <v>119</v>
      </c>
      <c r="AD57" s="75">
        <v>88</v>
      </c>
      <c r="AE57" s="75">
        <v>92</v>
      </c>
      <c r="AF57" s="75">
        <v>111</v>
      </c>
      <c r="AG57" s="453">
        <v>110</v>
      </c>
      <c r="AH57" s="453">
        <v>95</v>
      </c>
      <c r="AI57" s="453">
        <v>85</v>
      </c>
      <c r="AJ57" s="453">
        <v>107</v>
      </c>
      <c r="AK57" s="453">
        <v>72</v>
      </c>
      <c r="AL57" s="456">
        <v>78</v>
      </c>
      <c r="AM57" s="456">
        <f t="shared" si="133"/>
        <v>86</v>
      </c>
      <c r="AN57" s="456">
        <f t="shared" si="133"/>
        <v>79</v>
      </c>
      <c r="AO57" s="456">
        <f t="shared" si="133"/>
        <v>81</v>
      </c>
    </row>
    <row r="58" spans="1:41">
      <c r="A58" s="61"/>
      <c r="B58" s="62">
        <v>585</v>
      </c>
      <c r="C58" s="62" t="s">
        <v>220</v>
      </c>
      <c r="D58" s="200">
        <f>D131+D135+D137</f>
        <v>63</v>
      </c>
      <c r="E58" s="200">
        <f t="shared" ref="E58:Q58" si="136">E131+E135+E137</f>
        <v>71</v>
      </c>
      <c r="F58" s="200">
        <f t="shared" si="136"/>
        <v>85</v>
      </c>
      <c r="G58" s="200">
        <f t="shared" si="136"/>
        <v>74</v>
      </c>
      <c r="H58" s="200">
        <f t="shared" si="136"/>
        <v>77</v>
      </c>
      <c r="I58" s="200">
        <f t="shared" si="136"/>
        <v>92</v>
      </c>
      <c r="J58" s="200">
        <f t="shared" si="136"/>
        <v>112</v>
      </c>
      <c r="K58" s="200">
        <f t="shared" si="136"/>
        <v>80</v>
      </c>
      <c r="L58" s="200">
        <f t="shared" si="136"/>
        <v>78</v>
      </c>
      <c r="M58" s="200">
        <f t="shared" si="136"/>
        <v>96</v>
      </c>
      <c r="N58" s="200">
        <f t="shared" si="136"/>
        <v>60</v>
      </c>
      <c r="O58" s="200">
        <f t="shared" si="136"/>
        <v>78</v>
      </c>
      <c r="P58" s="200">
        <f t="shared" si="136"/>
        <v>33</v>
      </c>
      <c r="Q58" s="200">
        <f t="shared" si="136"/>
        <v>52</v>
      </c>
      <c r="R58" s="200">
        <v>56</v>
      </c>
      <c r="S58" s="200">
        <v>36</v>
      </c>
      <c r="T58" s="75">
        <v>49</v>
      </c>
      <c r="U58" s="75">
        <v>59</v>
      </c>
      <c r="V58" s="733">
        <v>47</v>
      </c>
      <c r="W58" s="733">
        <v>36</v>
      </c>
      <c r="X58" s="75">
        <v>23</v>
      </c>
      <c r="Y58" s="75">
        <v>36</v>
      </c>
      <c r="Z58" s="75">
        <v>34</v>
      </c>
      <c r="AA58" s="75">
        <v>22</v>
      </c>
      <c r="AB58" s="75">
        <v>25</v>
      </c>
      <c r="AC58" s="75">
        <v>32</v>
      </c>
      <c r="AD58" s="75">
        <v>19</v>
      </c>
      <c r="AE58" s="75">
        <v>40</v>
      </c>
      <c r="AF58" s="75">
        <v>32</v>
      </c>
      <c r="AG58" s="453">
        <v>29</v>
      </c>
      <c r="AH58" s="453">
        <v>12</v>
      </c>
      <c r="AI58" s="453">
        <v>17</v>
      </c>
      <c r="AJ58" s="453">
        <v>14</v>
      </c>
      <c r="AK58" s="453">
        <v>18</v>
      </c>
      <c r="AL58" s="456">
        <v>17</v>
      </c>
      <c r="AM58" s="456">
        <f t="shared" si="133"/>
        <v>16</v>
      </c>
      <c r="AN58" s="456">
        <f t="shared" si="133"/>
        <v>17</v>
      </c>
      <c r="AO58" s="456">
        <f t="shared" si="133"/>
        <v>17</v>
      </c>
    </row>
    <row r="59" spans="1:41">
      <c r="A59" s="69"/>
      <c r="B59" s="70">
        <v>586</v>
      </c>
      <c r="C59" s="70" t="s">
        <v>338</v>
      </c>
      <c r="D59" s="195">
        <f>D136+D138</f>
        <v>58</v>
      </c>
      <c r="E59" s="195">
        <f t="shared" ref="E59:Q59" si="137">E136+E138</f>
        <v>68</v>
      </c>
      <c r="F59" s="195">
        <f t="shared" si="137"/>
        <v>104</v>
      </c>
      <c r="G59" s="195">
        <f t="shared" si="137"/>
        <v>76</v>
      </c>
      <c r="H59" s="195">
        <f t="shared" si="137"/>
        <v>86</v>
      </c>
      <c r="I59" s="195">
        <f t="shared" si="137"/>
        <v>83</v>
      </c>
      <c r="J59" s="195">
        <f t="shared" si="137"/>
        <v>89</v>
      </c>
      <c r="K59" s="195">
        <f t="shared" si="137"/>
        <v>79</v>
      </c>
      <c r="L59" s="195">
        <f t="shared" si="137"/>
        <v>119</v>
      </c>
      <c r="M59" s="195">
        <f t="shared" si="137"/>
        <v>71</v>
      </c>
      <c r="N59" s="195">
        <f t="shared" si="137"/>
        <v>73</v>
      </c>
      <c r="O59" s="195">
        <f t="shared" si="137"/>
        <v>93</v>
      </c>
      <c r="P59" s="195">
        <f t="shared" si="137"/>
        <v>31</v>
      </c>
      <c r="Q59" s="195">
        <f t="shared" si="137"/>
        <v>95</v>
      </c>
      <c r="R59" s="195">
        <v>70</v>
      </c>
      <c r="S59" s="195">
        <v>52</v>
      </c>
      <c r="T59" s="132">
        <v>57</v>
      </c>
      <c r="U59" s="132">
        <v>35</v>
      </c>
      <c r="V59" s="735">
        <v>38</v>
      </c>
      <c r="W59" s="735">
        <v>32</v>
      </c>
      <c r="X59" s="132">
        <v>32</v>
      </c>
      <c r="Y59" s="132">
        <v>21</v>
      </c>
      <c r="Z59" s="132">
        <v>14</v>
      </c>
      <c r="AA59" s="132">
        <v>33</v>
      </c>
      <c r="AB59" s="132">
        <v>20</v>
      </c>
      <c r="AC59" s="132">
        <v>17</v>
      </c>
      <c r="AD59" s="132">
        <v>30</v>
      </c>
      <c r="AE59" s="132">
        <v>20</v>
      </c>
      <c r="AF59" s="132">
        <v>24</v>
      </c>
      <c r="AG59" s="450">
        <v>30</v>
      </c>
      <c r="AH59" s="450">
        <v>17</v>
      </c>
      <c r="AI59" s="450">
        <v>33</v>
      </c>
      <c r="AJ59" s="450">
        <v>25</v>
      </c>
      <c r="AK59" s="450">
        <v>18</v>
      </c>
      <c r="AL59" s="461">
        <v>22</v>
      </c>
      <c r="AM59" s="461">
        <f t="shared" si="133"/>
        <v>22</v>
      </c>
      <c r="AN59" s="461">
        <f t="shared" si="133"/>
        <v>21</v>
      </c>
      <c r="AO59" s="461">
        <f t="shared" si="133"/>
        <v>22</v>
      </c>
    </row>
    <row r="60" spans="1:41">
      <c r="A60" s="61" t="s">
        <v>346</v>
      </c>
      <c r="B60" s="62">
        <v>8</v>
      </c>
      <c r="C60" s="62" t="s">
        <v>211</v>
      </c>
      <c r="D60" s="317">
        <f t="shared" ref="D60:Q60" si="138">SUM(D61:D62)</f>
        <v>896</v>
      </c>
      <c r="E60" s="317">
        <f t="shared" si="138"/>
        <v>1036</v>
      </c>
      <c r="F60" s="317">
        <f t="shared" si="138"/>
        <v>876</v>
      </c>
      <c r="G60" s="317">
        <f t="shared" si="138"/>
        <v>1061</v>
      </c>
      <c r="H60" s="317">
        <f t="shared" si="138"/>
        <v>1157</v>
      </c>
      <c r="I60" s="317">
        <f t="shared" si="138"/>
        <v>1164</v>
      </c>
      <c r="J60" s="317">
        <f t="shared" si="138"/>
        <v>1383</v>
      </c>
      <c r="K60" s="317">
        <f t="shared" si="138"/>
        <v>1072</v>
      </c>
      <c r="L60" s="317">
        <f t="shared" si="138"/>
        <v>919</v>
      </c>
      <c r="M60" s="317">
        <f t="shared" si="138"/>
        <v>858</v>
      </c>
      <c r="N60" s="317">
        <f t="shared" si="138"/>
        <v>718</v>
      </c>
      <c r="O60" s="317">
        <f t="shared" si="138"/>
        <v>573</v>
      </c>
      <c r="P60" s="317">
        <f t="shared" si="138"/>
        <v>617</v>
      </c>
      <c r="Q60" s="317">
        <f t="shared" si="138"/>
        <v>507</v>
      </c>
      <c r="R60" s="317">
        <v>566</v>
      </c>
      <c r="S60" s="317">
        <v>465</v>
      </c>
      <c r="T60" s="733">
        <v>541</v>
      </c>
      <c r="U60" s="733">
        <v>619</v>
      </c>
      <c r="V60" s="733">
        <f t="shared" ref="V60:AD60" si="139">SUM(V61:V62)</f>
        <v>514</v>
      </c>
      <c r="W60" s="733">
        <f t="shared" si="139"/>
        <v>314</v>
      </c>
      <c r="X60" s="733">
        <f t="shared" si="139"/>
        <v>307</v>
      </c>
      <c r="Y60" s="733">
        <f t="shared" si="139"/>
        <v>318</v>
      </c>
      <c r="Z60" s="733">
        <f t="shared" si="139"/>
        <v>329</v>
      </c>
      <c r="AA60" s="733">
        <f t="shared" si="139"/>
        <v>502</v>
      </c>
      <c r="AB60" s="734">
        <f t="shared" si="139"/>
        <v>320</v>
      </c>
      <c r="AC60" s="734">
        <f t="shared" si="139"/>
        <v>528</v>
      </c>
      <c r="AD60" s="734">
        <f t="shared" si="139"/>
        <v>466</v>
      </c>
      <c r="AE60" s="734">
        <f t="shared" ref="AE60:AJ60" si="140">SUM(AE61:AE62)</f>
        <v>447</v>
      </c>
      <c r="AF60" s="734">
        <f t="shared" si="140"/>
        <v>589</v>
      </c>
      <c r="AG60" s="1142">
        <f t="shared" si="140"/>
        <v>520</v>
      </c>
      <c r="AH60" s="1142">
        <f t="shared" si="140"/>
        <v>388</v>
      </c>
      <c r="AI60" s="1142">
        <f t="shared" si="140"/>
        <v>437</v>
      </c>
      <c r="AJ60" s="1142">
        <f t="shared" si="140"/>
        <v>435</v>
      </c>
      <c r="AK60" s="1142">
        <f t="shared" ref="AK60:AL60" si="141">SUM(AK61:AK62)</f>
        <v>333</v>
      </c>
      <c r="AL60" s="458">
        <f t="shared" si="141"/>
        <v>414</v>
      </c>
      <c r="AM60" s="458">
        <f t="shared" ref="AM60:AN60" si="142">SUM(AM61:AM62)</f>
        <v>394</v>
      </c>
      <c r="AN60" s="458">
        <f t="shared" si="142"/>
        <v>381</v>
      </c>
      <c r="AO60" s="458">
        <f t="shared" ref="AO60" si="143">SUM(AO61:AO62)</f>
        <v>396</v>
      </c>
    </row>
    <row r="61" spans="1:41">
      <c r="A61" s="61"/>
      <c r="B61" s="62">
        <v>221</v>
      </c>
      <c r="C61" s="62" t="s">
        <v>1149</v>
      </c>
      <c r="D61" s="200">
        <f>SUM(D155:D158)</f>
        <v>488</v>
      </c>
      <c r="E61" s="200">
        <f t="shared" ref="E61:L61" si="144">SUM(E155:E158)</f>
        <v>445</v>
      </c>
      <c r="F61" s="200">
        <f t="shared" si="144"/>
        <v>452</v>
      </c>
      <c r="G61" s="200">
        <f t="shared" si="144"/>
        <v>470</v>
      </c>
      <c r="H61" s="200">
        <f t="shared" si="144"/>
        <v>632</v>
      </c>
      <c r="I61" s="200">
        <f t="shared" si="144"/>
        <v>589</v>
      </c>
      <c r="J61" s="200">
        <f t="shared" si="144"/>
        <v>740</v>
      </c>
      <c r="K61" s="200">
        <f t="shared" si="144"/>
        <v>592</v>
      </c>
      <c r="L61" s="200">
        <f t="shared" si="144"/>
        <v>449</v>
      </c>
      <c r="M61" s="200">
        <f>M154</f>
        <v>370</v>
      </c>
      <c r="N61" s="200">
        <f>N154</f>
        <v>301</v>
      </c>
      <c r="O61" s="200">
        <f>O154</f>
        <v>291</v>
      </c>
      <c r="P61" s="200">
        <f>P154</f>
        <v>334</v>
      </c>
      <c r="Q61" s="200">
        <f>Q154</f>
        <v>261</v>
      </c>
      <c r="R61" s="200">
        <v>290</v>
      </c>
      <c r="S61" s="200">
        <v>204</v>
      </c>
      <c r="T61" s="75">
        <v>233</v>
      </c>
      <c r="U61" s="75">
        <v>245</v>
      </c>
      <c r="V61" s="733">
        <v>235</v>
      </c>
      <c r="W61" s="733">
        <v>150</v>
      </c>
      <c r="X61" s="75">
        <v>128</v>
      </c>
      <c r="Y61" s="75">
        <v>131</v>
      </c>
      <c r="Z61" s="75">
        <v>144</v>
      </c>
      <c r="AA61" s="75">
        <v>204</v>
      </c>
      <c r="AB61" s="75">
        <v>157</v>
      </c>
      <c r="AC61" s="75">
        <v>225</v>
      </c>
      <c r="AD61" s="75">
        <v>171</v>
      </c>
      <c r="AE61" s="75">
        <v>174</v>
      </c>
      <c r="AF61" s="75">
        <f>ROUND(SUM(AC61:AE61)/3,0)</f>
        <v>190</v>
      </c>
      <c r="AG61" s="453">
        <v>191</v>
      </c>
      <c r="AH61" s="453">
        <v>103</v>
      </c>
      <c r="AI61" s="453">
        <v>139</v>
      </c>
      <c r="AJ61" s="453">
        <v>210</v>
      </c>
      <c r="AK61" s="453">
        <v>168</v>
      </c>
      <c r="AL61" s="456">
        <v>179</v>
      </c>
      <c r="AM61" s="456">
        <f t="shared" ref="AM61:AO62" si="145">ROUND(SUM(AJ61:AL61)/3,0)</f>
        <v>186</v>
      </c>
      <c r="AN61" s="456">
        <f t="shared" si="145"/>
        <v>178</v>
      </c>
      <c r="AO61" s="456">
        <f t="shared" si="145"/>
        <v>181</v>
      </c>
    </row>
    <row r="62" spans="1:41">
      <c r="A62" s="61"/>
      <c r="B62" s="62">
        <v>223</v>
      </c>
      <c r="C62" s="62" t="s">
        <v>223</v>
      </c>
      <c r="D62" s="200">
        <f>SUM(D148:D153)</f>
        <v>408</v>
      </c>
      <c r="E62" s="200">
        <f t="shared" ref="E62:Q62" si="146">SUM(E148:E153)</f>
        <v>591</v>
      </c>
      <c r="F62" s="200">
        <f t="shared" si="146"/>
        <v>424</v>
      </c>
      <c r="G62" s="200">
        <f t="shared" si="146"/>
        <v>591</v>
      </c>
      <c r="H62" s="200">
        <f t="shared" si="146"/>
        <v>525</v>
      </c>
      <c r="I62" s="200">
        <f t="shared" si="146"/>
        <v>575</v>
      </c>
      <c r="J62" s="200">
        <f t="shared" si="146"/>
        <v>643</v>
      </c>
      <c r="K62" s="200">
        <f t="shared" si="146"/>
        <v>480</v>
      </c>
      <c r="L62" s="200">
        <f t="shared" si="146"/>
        <v>470</v>
      </c>
      <c r="M62" s="200">
        <f t="shared" si="146"/>
        <v>488</v>
      </c>
      <c r="N62" s="200">
        <f t="shared" si="146"/>
        <v>417</v>
      </c>
      <c r="O62" s="200">
        <f t="shared" si="146"/>
        <v>282</v>
      </c>
      <c r="P62" s="200">
        <f t="shared" si="146"/>
        <v>283</v>
      </c>
      <c r="Q62" s="200">
        <f t="shared" si="146"/>
        <v>246</v>
      </c>
      <c r="R62" s="200">
        <v>276</v>
      </c>
      <c r="S62" s="200">
        <v>261</v>
      </c>
      <c r="T62" s="75">
        <v>308</v>
      </c>
      <c r="U62" s="75">
        <v>374</v>
      </c>
      <c r="V62" s="733">
        <v>279</v>
      </c>
      <c r="W62" s="733">
        <v>164</v>
      </c>
      <c r="X62" s="75">
        <v>179</v>
      </c>
      <c r="Y62" s="75">
        <v>187</v>
      </c>
      <c r="Z62" s="75">
        <v>185</v>
      </c>
      <c r="AA62" s="75">
        <v>298</v>
      </c>
      <c r="AB62" s="132">
        <v>163</v>
      </c>
      <c r="AC62" s="132">
        <v>303</v>
      </c>
      <c r="AD62" s="132">
        <v>295</v>
      </c>
      <c r="AE62" s="132">
        <v>273</v>
      </c>
      <c r="AF62" s="132">
        <v>399</v>
      </c>
      <c r="AG62" s="450">
        <v>329</v>
      </c>
      <c r="AH62" s="450">
        <v>285</v>
      </c>
      <c r="AI62" s="450">
        <v>298</v>
      </c>
      <c r="AJ62" s="450">
        <v>225</v>
      </c>
      <c r="AK62" s="450">
        <v>165</v>
      </c>
      <c r="AL62" s="461">
        <v>235</v>
      </c>
      <c r="AM62" s="461">
        <f t="shared" si="145"/>
        <v>208</v>
      </c>
      <c r="AN62" s="461">
        <f t="shared" si="145"/>
        <v>203</v>
      </c>
      <c r="AO62" s="461">
        <f t="shared" si="145"/>
        <v>215</v>
      </c>
    </row>
    <row r="63" spans="1:41">
      <c r="A63" s="67" t="s">
        <v>344</v>
      </c>
      <c r="B63" s="68">
        <v>9</v>
      </c>
      <c r="C63" s="68" t="s">
        <v>212</v>
      </c>
      <c r="D63" s="318">
        <f t="shared" ref="D63:Q63" si="147">SUM(D64:D66)</f>
        <v>1527</v>
      </c>
      <c r="E63" s="318">
        <f t="shared" si="147"/>
        <v>1103</v>
      </c>
      <c r="F63" s="318">
        <f t="shared" si="147"/>
        <v>1030</v>
      </c>
      <c r="G63" s="318">
        <f t="shared" si="147"/>
        <v>1362</v>
      </c>
      <c r="H63" s="318">
        <f t="shared" si="147"/>
        <v>1419</v>
      </c>
      <c r="I63" s="318">
        <f t="shared" si="147"/>
        <v>2682</v>
      </c>
      <c r="J63" s="318">
        <f t="shared" si="147"/>
        <v>2449</v>
      </c>
      <c r="K63" s="318">
        <f t="shared" si="147"/>
        <v>1558</v>
      </c>
      <c r="L63" s="318">
        <f t="shared" si="147"/>
        <v>1194</v>
      </c>
      <c r="M63" s="318">
        <f t="shared" si="147"/>
        <v>1079</v>
      </c>
      <c r="N63" s="318">
        <f t="shared" si="147"/>
        <v>1037</v>
      </c>
      <c r="O63" s="318">
        <f t="shared" si="147"/>
        <v>842</v>
      </c>
      <c r="P63" s="318">
        <f t="shared" si="147"/>
        <v>855</v>
      </c>
      <c r="Q63" s="318">
        <f t="shared" si="147"/>
        <v>811</v>
      </c>
      <c r="R63" s="318">
        <v>573</v>
      </c>
      <c r="S63" s="318">
        <v>670</v>
      </c>
      <c r="T63" s="734">
        <v>718</v>
      </c>
      <c r="U63" s="734">
        <v>669</v>
      </c>
      <c r="V63" s="734">
        <f t="shared" ref="V63:AD63" si="148">SUM(V64:V66)</f>
        <v>645</v>
      </c>
      <c r="W63" s="734">
        <f t="shared" si="148"/>
        <v>907</v>
      </c>
      <c r="X63" s="734">
        <f t="shared" si="148"/>
        <v>574</v>
      </c>
      <c r="Y63" s="734">
        <f t="shared" si="148"/>
        <v>597</v>
      </c>
      <c r="Z63" s="734">
        <f t="shared" si="148"/>
        <v>444</v>
      </c>
      <c r="AA63" s="734">
        <f t="shared" si="148"/>
        <v>670</v>
      </c>
      <c r="AB63" s="734">
        <f t="shared" si="148"/>
        <v>545</v>
      </c>
      <c r="AC63" s="734">
        <f t="shared" si="148"/>
        <v>582</v>
      </c>
      <c r="AD63" s="734">
        <f t="shared" si="148"/>
        <v>507</v>
      </c>
      <c r="AE63" s="734">
        <f t="shared" ref="AE63:AJ63" si="149">SUM(AE64:AE66)</f>
        <v>486</v>
      </c>
      <c r="AF63" s="734">
        <f t="shared" si="149"/>
        <v>459</v>
      </c>
      <c r="AG63" s="1142">
        <f t="shared" si="149"/>
        <v>484</v>
      </c>
      <c r="AH63" s="1142">
        <f t="shared" si="149"/>
        <v>389</v>
      </c>
      <c r="AI63" s="1142">
        <f t="shared" si="149"/>
        <v>658</v>
      </c>
      <c r="AJ63" s="1142">
        <f t="shared" si="149"/>
        <v>554</v>
      </c>
      <c r="AK63" s="1142">
        <f t="shared" ref="AK63:AL63" si="150">SUM(AK64:AK66)</f>
        <v>593</v>
      </c>
      <c r="AL63" s="458">
        <f t="shared" si="150"/>
        <v>581</v>
      </c>
      <c r="AM63" s="458">
        <f t="shared" ref="AM63:AN63" si="151">SUM(AM64:AM66)</f>
        <v>576</v>
      </c>
      <c r="AN63" s="458">
        <f t="shared" si="151"/>
        <v>583</v>
      </c>
      <c r="AO63" s="458">
        <f t="shared" ref="AO63" si="152">SUM(AO64:AO66)</f>
        <v>580</v>
      </c>
    </row>
    <row r="64" spans="1:41">
      <c r="A64" s="61"/>
      <c r="B64" s="62">
        <v>205</v>
      </c>
      <c r="C64" s="62" t="s">
        <v>339</v>
      </c>
      <c r="D64" s="200">
        <f>D160+D165</f>
        <v>634</v>
      </c>
      <c r="E64" s="200">
        <f t="shared" ref="E64:Q64" si="153">E160+E165</f>
        <v>495</v>
      </c>
      <c r="F64" s="200">
        <f t="shared" si="153"/>
        <v>355</v>
      </c>
      <c r="G64" s="200">
        <f t="shared" si="153"/>
        <v>418</v>
      </c>
      <c r="H64" s="200">
        <f t="shared" si="153"/>
        <v>532</v>
      </c>
      <c r="I64" s="200">
        <f t="shared" si="153"/>
        <v>678</v>
      </c>
      <c r="J64" s="200">
        <f t="shared" si="153"/>
        <v>662</v>
      </c>
      <c r="K64" s="200">
        <f t="shared" si="153"/>
        <v>598</v>
      </c>
      <c r="L64" s="200">
        <f t="shared" si="153"/>
        <v>454</v>
      </c>
      <c r="M64" s="200">
        <f t="shared" si="153"/>
        <v>370</v>
      </c>
      <c r="N64" s="200">
        <f t="shared" si="153"/>
        <v>318</v>
      </c>
      <c r="O64" s="200">
        <f t="shared" si="153"/>
        <v>300</v>
      </c>
      <c r="P64" s="200">
        <f t="shared" si="153"/>
        <v>344</v>
      </c>
      <c r="Q64" s="200">
        <f t="shared" si="153"/>
        <v>320</v>
      </c>
      <c r="R64" s="200">
        <v>200</v>
      </c>
      <c r="S64" s="200">
        <v>234</v>
      </c>
      <c r="T64" s="75">
        <v>223</v>
      </c>
      <c r="U64" s="75">
        <v>176</v>
      </c>
      <c r="V64" s="733">
        <v>212</v>
      </c>
      <c r="W64" s="733">
        <v>204</v>
      </c>
      <c r="X64" s="75">
        <v>131</v>
      </c>
      <c r="Y64" s="75">
        <v>183</v>
      </c>
      <c r="Z64" s="75">
        <v>125</v>
      </c>
      <c r="AA64" s="75">
        <v>213</v>
      </c>
      <c r="AB64" s="75">
        <v>167</v>
      </c>
      <c r="AC64" s="75">
        <v>183</v>
      </c>
      <c r="AD64" s="75">
        <v>158</v>
      </c>
      <c r="AE64" s="75">
        <v>210</v>
      </c>
      <c r="AF64" s="75">
        <v>135</v>
      </c>
      <c r="AG64" s="453">
        <v>174</v>
      </c>
      <c r="AH64" s="453">
        <v>104</v>
      </c>
      <c r="AI64" s="453">
        <v>180</v>
      </c>
      <c r="AJ64" s="453">
        <v>205</v>
      </c>
      <c r="AK64" s="453">
        <v>149</v>
      </c>
      <c r="AL64" s="456">
        <v>167</v>
      </c>
      <c r="AM64" s="456">
        <f t="shared" ref="AM64:AO66" si="154">ROUND(SUM(AJ64:AL64)/3,0)</f>
        <v>174</v>
      </c>
      <c r="AN64" s="456">
        <f t="shared" si="154"/>
        <v>163</v>
      </c>
      <c r="AO64" s="456">
        <f t="shared" si="154"/>
        <v>168</v>
      </c>
    </row>
    <row r="65" spans="1:41">
      <c r="A65" s="61"/>
      <c r="B65" s="62">
        <v>224</v>
      </c>
      <c r="C65" s="62" t="s">
        <v>224</v>
      </c>
      <c r="D65" s="200">
        <f>SUM(D167:D170)</f>
        <v>427</v>
      </c>
      <c r="E65" s="200">
        <f t="shared" ref="E65:Q65" si="155">SUM(E167:E170)</f>
        <v>299</v>
      </c>
      <c r="F65" s="200">
        <f t="shared" si="155"/>
        <v>298</v>
      </c>
      <c r="G65" s="200">
        <f t="shared" si="155"/>
        <v>350</v>
      </c>
      <c r="H65" s="200">
        <f t="shared" si="155"/>
        <v>362</v>
      </c>
      <c r="I65" s="200">
        <f t="shared" si="155"/>
        <v>490</v>
      </c>
      <c r="J65" s="200">
        <f t="shared" si="155"/>
        <v>401</v>
      </c>
      <c r="K65" s="200">
        <f t="shared" si="155"/>
        <v>343</v>
      </c>
      <c r="L65" s="200">
        <f t="shared" si="155"/>
        <v>416</v>
      </c>
      <c r="M65" s="200">
        <f t="shared" si="155"/>
        <v>297</v>
      </c>
      <c r="N65" s="200">
        <f t="shared" si="155"/>
        <v>322</v>
      </c>
      <c r="O65" s="200">
        <f t="shared" si="155"/>
        <v>253</v>
      </c>
      <c r="P65" s="200">
        <f t="shared" si="155"/>
        <v>210</v>
      </c>
      <c r="Q65" s="200">
        <f t="shared" si="155"/>
        <v>270</v>
      </c>
      <c r="R65" s="200">
        <v>200</v>
      </c>
      <c r="S65" s="200">
        <v>262</v>
      </c>
      <c r="T65" s="75">
        <v>197</v>
      </c>
      <c r="U65" s="75">
        <v>284</v>
      </c>
      <c r="V65" s="733">
        <v>271</v>
      </c>
      <c r="W65" s="733">
        <v>185</v>
      </c>
      <c r="X65" s="75">
        <v>270</v>
      </c>
      <c r="Y65" s="75">
        <v>219</v>
      </c>
      <c r="Z65" s="75">
        <v>177</v>
      </c>
      <c r="AA65" s="75">
        <v>244</v>
      </c>
      <c r="AB65" s="75">
        <v>214</v>
      </c>
      <c r="AC65" s="75">
        <v>250</v>
      </c>
      <c r="AD65" s="75">
        <v>174</v>
      </c>
      <c r="AE65" s="75">
        <v>159</v>
      </c>
      <c r="AF65" s="75">
        <v>176</v>
      </c>
      <c r="AG65" s="453">
        <v>138</v>
      </c>
      <c r="AH65" s="453">
        <v>129</v>
      </c>
      <c r="AI65" s="453">
        <v>162</v>
      </c>
      <c r="AJ65" s="453">
        <v>151</v>
      </c>
      <c r="AK65" s="453">
        <v>93</v>
      </c>
      <c r="AL65" s="456">
        <v>138</v>
      </c>
      <c r="AM65" s="456">
        <f t="shared" si="154"/>
        <v>127</v>
      </c>
      <c r="AN65" s="456">
        <f t="shared" si="154"/>
        <v>119</v>
      </c>
      <c r="AO65" s="456">
        <f t="shared" si="154"/>
        <v>128</v>
      </c>
    </row>
    <row r="66" spans="1:41">
      <c r="A66" s="69"/>
      <c r="B66" s="70">
        <v>226</v>
      </c>
      <c r="C66" s="70" t="s">
        <v>225</v>
      </c>
      <c r="D66" s="195">
        <f>SUM(D161:D164)+D166</f>
        <v>466</v>
      </c>
      <c r="E66" s="195">
        <f t="shared" ref="E66:Q66" si="156">SUM(E161:E164)+E166</f>
        <v>309</v>
      </c>
      <c r="F66" s="195">
        <f t="shared" si="156"/>
        <v>377</v>
      </c>
      <c r="G66" s="195">
        <f t="shared" si="156"/>
        <v>594</v>
      </c>
      <c r="H66" s="195">
        <f t="shared" si="156"/>
        <v>525</v>
      </c>
      <c r="I66" s="195">
        <f t="shared" si="156"/>
        <v>1514</v>
      </c>
      <c r="J66" s="195">
        <f t="shared" si="156"/>
        <v>1386</v>
      </c>
      <c r="K66" s="195">
        <f t="shared" si="156"/>
        <v>617</v>
      </c>
      <c r="L66" s="195">
        <f t="shared" si="156"/>
        <v>324</v>
      </c>
      <c r="M66" s="195">
        <f t="shared" si="156"/>
        <v>412</v>
      </c>
      <c r="N66" s="195">
        <f t="shared" si="156"/>
        <v>397</v>
      </c>
      <c r="O66" s="195">
        <f t="shared" si="156"/>
        <v>289</v>
      </c>
      <c r="P66" s="195">
        <f t="shared" si="156"/>
        <v>301</v>
      </c>
      <c r="Q66" s="195">
        <f t="shared" si="156"/>
        <v>221</v>
      </c>
      <c r="R66" s="195">
        <v>173</v>
      </c>
      <c r="S66" s="195">
        <v>174</v>
      </c>
      <c r="T66" s="132">
        <v>298</v>
      </c>
      <c r="U66" s="132">
        <v>209</v>
      </c>
      <c r="V66" s="735">
        <v>162</v>
      </c>
      <c r="W66" s="735">
        <v>518</v>
      </c>
      <c r="X66" s="132">
        <v>173</v>
      </c>
      <c r="Y66" s="132">
        <v>195</v>
      </c>
      <c r="Z66" s="132">
        <v>142</v>
      </c>
      <c r="AA66" s="132">
        <v>213</v>
      </c>
      <c r="AB66" s="132">
        <v>164</v>
      </c>
      <c r="AC66" s="132">
        <v>149</v>
      </c>
      <c r="AD66" s="132">
        <v>175</v>
      </c>
      <c r="AE66" s="132">
        <v>117</v>
      </c>
      <c r="AF66" s="132">
        <v>148</v>
      </c>
      <c r="AG66" s="450">
        <v>172</v>
      </c>
      <c r="AH66" s="450">
        <v>156</v>
      </c>
      <c r="AI66" s="450">
        <v>316</v>
      </c>
      <c r="AJ66" s="450">
        <v>198</v>
      </c>
      <c r="AK66" s="450">
        <v>351</v>
      </c>
      <c r="AL66" s="461">
        <v>276</v>
      </c>
      <c r="AM66" s="461">
        <f t="shared" si="154"/>
        <v>275</v>
      </c>
      <c r="AN66" s="461">
        <f t="shared" si="154"/>
        <v>301</v>
      </c>
      <c r="AO66" s="461">
        <f t="shared" si="154"/>
        <v>284</v>
      </c>
    </row>
    <row r="67" spans="1:41">
      <c r="A67" s="75" t="s">
        <v>951</v>
      </c>
      <c r="V67" s="75" t="s">
        <v>164</v>
      </c>
      <c r="X67" s="676" t="s">
        <v>761</v>
      </c>
      <c r="Y67" s="676" t="s">
        <v>857</v>
      </c>
      <c r="Z67" s="676" t="s">
        <v>162</v>
      </c>
      <c r="AA67" s="676" t="s">
        <v>995</v>
      </c>
      <c r="AB67" s="676" t="s">
        <v>1025</v>
      </c>
      <c r="AD67" s="676" t="s">
        <v>1081</v>
      </c>
      <c r="AE67" s="676" t="s">
        <v>1115</v>
      </c>
      <c r="AF67" s="676" t="s">
        <v>1127</v>
      </c>
      <c r="AG67" s="676" t="s">
        <v>1195</v>
      </c>
      <c r="AH67" s="676" t="s">
        <v>1233</v>
      </c>
      <c r="AI67" s="1145" t="s">
        <v>1543</v>
      </c>
      <c r="AJ67" s="676" t="s">
        <v>1585</v>
      </c>
      <c r="AK67" s="676" t="s">
        <v>1708</v>
      </c>
      <c r="AL67" s="676" t="s">
        <v>1765</v>
      </c>
    </row>
    <row r="68" spans="1:41">
      <c r="B68" s="75" t="s">
        <v>952</v>
      </c>
    </row>
    <row r="70" spans="1:41">
      <c r="A70" s="130"/>
      <c r="B70" s="130"/>
      <c r="C70" s="130"/>
      <c r="D70" s="83">
        <v>1990</v>
      </c>
      <c r="E70" s="83">
        <v>1991</v>
      </c>
      <c r="F70" s="83">
        <v>1992</v>
      </c>
      <c r="G70" s="83">
        <v>1993</v>
      </c>
      <c r="H70" s="83">
        <v>1994</v>
      </c>
      <c r="I70" s="83">
        <v>1995</v>
      </c>
      <c r="J70" s="83">
        <v>1996</v>
      </c>
      <c r="K70" s="83">
        <v>1997</v>
      </c>
      <c r="L70" s="83">
        <v>1998</v>
      </c>
      <c r="M70" s="83">
        <v>1999</v>
      </c>
      <c r="N70" s="83">
        <v>2000</v>
      </c>
      <c r="O70" s="83">
        <v>2001</v>
      </c>
      <c r="P70" s="83">
        <v>2002</v>
      </c>
      <c r="Q70" s="83">
        <v>2003</v>
      </c>
    </row>
    <row r="71" spans="1:41">
      <c r="A71" s="132"/>
      <c r="B71" s="132"/>
      <c r="C71" s="326" t="s">
        <v>954</v>
      </c>
      <c r="D71" s="325" t="s">
        <v>352</v>
      </c>
      <c r="E71" s="325" t="s">
        <v>353</v>
      </c>
      <c r="F71" s="325" t="s">
        <v>354</v>
      </c>
      <c r="G71" s="325" t="s">
        <v>355</v>
      </c>
      <c r="H71" s="325" t="s">
        <v>356</v>
      </c>
      <c r="I71" s="325" t="s">
        <v>357</v>
      </c>
      <c r="J71" s="325" t="s">
        <v>358</v>
      </c>
      <c r="K71" s="325" t="s">
        <v>359</v>
      </c>
      <c r="L71" s="325" t="s">
        <v>361</v>
      </c>
      <c r="M71" s="325" t="s">
        <v>362</v>
      </c>
      <c r="N71" s="325" t="s">
        <v>363</v>
      </c>
      <c r="O71" s="325" t="s">
        <v>364</v>
      </c>
      <c r="P71" s="325" t="s">
        <v>365</v>
      </c>
      <c r="Q71" s="325" t="s">
        <v>366</v>
      </c>
    </row>
    <row r="72" spans="1:41">
      <c r="A72" s="130"/>
      <c r="B72" s="130"/>
      <c r="C72" s="328" t="s">
        <v>603</v>
      </c>
      <c r="D72" s="130">
        <v>62568</v>
      </c>
      <c r="E72" s="130">
        <v>49456</v>
      </c>
      <c r="F72" s="130">
        <v>53864</v>
      </c>
      <c r="G72" s="130">
        <v>61281</v>
      </c>
      <c r="H72" s="130">
        <v>68126</v>
      </c>
      <c r="I72" s="130">
        <v>116227</v>
      </c>
      <c r="J72" s="130">
        <v>125623</v>
      </c>
      <c r="K72" s="130">
        <v>79923</v>
      </c>
      <c r="L72" s="130">
        <v>54587</v>
      </c>
      <c r="M72" s="130">
        <v>53303</v>
      </c>
      <c r="N72" s="130">
        <v>49571</v>
      </c>
      <c r="O72" s="130">
        <v>48494</v>
      </c>
      <c r="P72" s="130">
        <v>42988</v>
      </c>
      <c r="Q72" s="130">
        <v>41583</v>
      </c>
    </row>
    <row r="73" spans="1:41">
      <c r="C73" s="327" t="s">
        <v>172</v>
      </c>
      <c r="D73" s="75">
        <v>19989</v>
      </c>
      <c r="E73" s="75">
        <v>14794</v>
      </c>
      <c r="F73" s="75">
        <v>15565</v>
      </c>
      <c r="G73" s="75">
        <v>17457</v>
      </c>
      <c r="H73" s="75">
        <v>19358</v>
      </c>
      <c r="I73" s="75">
        <v>43315</v>
      </c>
      <c r="J73" s="75">
        <v>47377</v>
      </c>
      <c r="K73" s="75">
        <v>27983</v>
      </c>
      <c r="L73" s="75">
        <v>16412</v>
      </c>
      <c r="M73" s="75">
        <v>17038</v>
      </c>
      <c r="N73" s="75">
        <v>14014</v>
      </c>
      <c r="O73" s="75">
        <v>13472</v>
      </c>
      <c r="P73" s="75">
        <v>12868</v>
      </c>
      <c r="Q73" s="75">
        <v>12292</v>
      </c>
    </row>
    <row r="74" spans="1:41">
      <c r="C74" s="327" t="s">
        <v>373</v>
      </c>
      <c r="D74" s="75">
        <v>18070</v>
      </c>
      <c r="E74" s="75">
        <v>15575</v>
      </c>
      <c r="F74" s="75">
        <v>18751</v>
      </c>
      <c r="G74" s="75">
        <v>20226</v>
      </c>
      <c r="H74" s="75">
        <v>23676</v>
      </c>
      <c r="I74" s="75">
        <v>45165</v>
      </c>
      <c r="J74" s="75">
        <v>47218</v>
      </c>
      <c r="K74" s="75">
        <v>27628</v>
      </c>
      <c r="L74" s="75">
        <v>18240</v>
      </c>
      <c r="M74" s="75">
        <v>16161</v>
      </c>
      <c r="N74" s="75">
        <v>16818</v>
      </c>
      <c r="O74" s="75">
        <v>18218</v>
      </c>
      <c r="P74" s="75">
        <v>14366</v>
      </c>
      <c r="Q74" s="75">
        <v>15216</v>
      </c>
    </row>
    <row r="75" spans="1:41">
      <c r="C75" s="327" t="s">
        <v>183</v>
      </c>
      <c r="D75" s="75">
        <v>5636</v>
      </c>
      <c r="E75" s="75">
        <v>3928</v>
      </c>
      <c r="F75" s="75">
        <v>4829</v>
      </c>
      <c r="G75" s="75">
        <v>5227</v>
      </c>
      <c r="H75" s="75">
        <v>6555</v>
      </c>
      <c r="I75" s="75">
        <v>9718</v>
      </c>
      <c r="J75" s="75">
        <v>9813</v>
      </c>
      <c r="K75" s="75">
        <v>6419</v>
      </c>
      <c r="L75" s="75">
        <v>4579</v>
      </c>
      <c r="M75" s="75">
        <v>3845</v>
      </c>
      <c r="N75" s="75">
        <v>4305</v>
      </c>
      <c r="O75" s="75">
        <v>4457</v>
      </c>
      <c r="P75" s="75">
        <v>4206</v>
      </c>
      <c r="Q75" s="75">
        <v>3368</v>
      </c>
    </row>
    <row r="76" spans="1:41">
      <c r="C76" s="327" t="s">
        <v>184</v>
      </c>
      <c r="D76" s="75">
        <v>4206</v>
      </c>
      <c r="E76" s="75">
        <v>3478</v>
      </c>
      <c r="F76" s="75">
        <v>3539</v>
      </c>
      <c r="G76" s="75">
        <v>4325</v>
      </c>
      <c r="H76" s="75">
        <v>5572</v>
      </c>
      <c r="I76" s="75">
        <v>17261</v>
      </c>
      <c r="J76" s="75">
        <v>19557</v>
      </c>
      <c r="K76" s="75">
        <v>10386</v>
      </c>
      <c r="L76" s="75">
        <v>5596</v>
      </c>
      <c r="M76" s="75">
        <v>5663</v>
      </c>
      <c r="N76" s="75">
        <v>5458</v>
      </c>
      <c r="O76" s="75">
        <v>5119</v>
      </c>
      <c r="P76" s="75">
        <v>3635</v>
      </c>
      <c r="Q76" s="75">
        <v>5492</v>
      </c>
    </row>
    <row r="77" spans="1:41">
      <c r="C77" s="327" t="s">
        <v>185</v>
      </c>
      <c r="D77" s="75">
        <v>1136</v>
      </c>
      <c r="E77" s="75">
        <v>689</v>
      </c>
      <c r="F77" s="75">
        <v>404</v>
      </c>
      <c r="G77" s="75">
        <v>545</v>
      </c>
      <c r="H77" s="75">
        <v>880</v>
      </c>
      <c r="I77" s="75">
        <v>3217</v>
      </c>
      <c r="J77" s="75">
        <v>3574</v>
      </c>
      <c r="K77" s="75">
        <v>1557</v>
      </c>
      <c r="L77" s="75">
        <v>1195</v>
      </c>
      <c r="M77" s="75">
        <v>945</v>
      </c>
      <c r="N77" s="75">
        <v>1228</v>
      </c>
      <c r="O77" s="75">
        <v>1278</v>
      </c>
      <c r="P77" s="75">
        <v>984</v>
      </c>
      <c r="Q77" s="75">
        <v>869</v>
      </c>
    </row>
    <row r="78" spans="1:41">
      <c r="C78" s="327" t="s">
        <v>187</v>
      </c>
      <c r="D78" s="75">
        <v>1328</v>
      </c>
      <c r="E78" s="75">
        <v>1643</v>
      </c>
      <c r="F78" s="75">
        <v>2834</v>
      </c>
      <c r="G78" s="75">
        <v>2881</v>
      </c>
      <c r="H78" s="75">
        <v>2966</v>
      </c>
      <c r="I78" s="75">
        <v>4821</v>
      </c>
      <c r="J78" s="75">
        <v>4089</v>
      </c>
      <c r="K78" s="75">
        <v>2115</v>
      </c>
      <c r="L78" s="75">
        <v>1525</v>
      </c>
      <c r="M78" s="75">
        <v>1379</v>
      </c>
      <c r="N78" s="75">
        <v>1382</v>
      </c>
      <c r="O78" s="75">
        <v>2410</v>
      </c>
      <c r="P78" s="75">
        <v>1604</v>
      </c>
      <c r="Q78" s="75">
        <v>1548</v>
      </c>
    </row>
    <row r="79" spans="1:41">
      <c r="C79" s="327" t="s">
        <v>188</v>
      </c>
      <c r="D79" s="75">
        <v>2143</v>
      </c>
      <c r="E79" s="75">
        <v>1553</v>
      </c>
      <c r="F79" s="75">
        <v>2178</v>
      </c>
      <c r="G79" s="75">
        <v>2813</v>
      </c>
      <c r="H79" s="75">
        <v>3065</v>
      </c>
      <c r="I79" s="75">
        <v>5529</v>
      </c>
      <c r="J79" s="75">
        <v>4984</v>
      </c>
      <c r="K79" s="75">
        <v>3342</v>
      </c>
      <c r="L79" s="75">
        <v>2014</v>
      </c>
      <c r="M79" s="75">
        <v>2362</v>
      </c>
      <c r="N79" s="75">
        <v>2060</v>
      </c>
      <c r="O79" s="75">
        <v>2566</v>
      </c>
      <c r="P79" s="75">
        <v>1851</v>
      </c>
      <c r="Q79" s="75">
        <v>1974</v>
      </c>
    </row>
    <row r="80" spans="1:41">
      <c r="C80" s="327" t="s">
        <v>189</v>
      </c>
      <c r="D80" s="75">
        <v>1442</v>
      </c>
      <c r="E80" s="75">
        <v>1304</v>
      </c>
      <c r="F80" s="75">
        <v>1675</v>
      </c>
      <c r="G80" s="75">
        <v>1712</v>
      </c>
      <c r="H80" s="75">
        <v>1769</v>
      </c>
      <c r="I80" s="75">
        <v>3107</v>
      </c>
      <c r="J80" s="75">
        <v>2509</v>
      </c>
      <c r="K80" s="75">
        <v>2221</v>
      </c>
      <c r="L80" s="75">
        <v>1984</v>
      </c>
      <c r="M80" s="75">
        <v>1127</v>
      </c>
      <c r="N80" s="75">
        <v>1468</v>
      </c>
      <c r="O80" s="75">
        <v>1714</v>
      </c>
      <c r="P80" s="75">
        <v>1293</v>
      </c>
      <c r="Q80" s="75">
        <v>1118</v>
      </c>
    </row>
    <row r="81" spans="3:17">
      <c r="C81" s="327" t="s">
        <v>190</v>
      </c>
      <c r="D81" s="75">
        <v>1422</v>
      </c>
      <c r="E81" s="75">
        <v>2611</v>
      </c>
      <c r="F81" s="75">
        <v>2810</v>
      </c>
      <c r="G81" s="75">
        <v>2332</v>
      </c>
      <c r="H81" s="75">
        <v>2551</v>
      </c>
      <c r="I81" s="75">
        <v>1196</v>
      </c>
      <c r="J81" s="75">
        <v>2390</v>
      </c>
      <c r="K81" s="75">
        <v>1201</v>
      </c>
      <c r="L81" s="75">
        <v>1114</v>
      </c>
      <c r="M81" s="75">
        <v>686</v>
      </c>
      <c r="N81" s="75">
        <v>772</v>
      </c>
      <c r="O81" s="75">
        <v>559</v>
      </c>
      <c r="P81" s="75">
        <v>662</v>
      </c>
      <c r="Q81" s="75">
        <v>525</v>
      </c>
    </row>
    <row r="82" spans="3:17">
      <c r="C82" s="327" t="s">
        <v>191</v>
      </c>
      <c r="D82" s="75">
        <v>757</v>
      </c>
      <c r="E82" s="75">
        <v>369</v>
      </c>
      <c r="F82" s="75">
        <v>482</v>
      </c>
      <c r="G82" s="75">
        <v>391</v>
      </c>
      <c r="H82" s="75">
        <v>318</v>
      </c>
      <c r="I82" s="75">
        <v>316</v>
      </c>
      <c r="J82" s="75">
        <v>302</v>
      </c>
      <c r="K82" s="75">
        <v>387</v>
      </c>
      <c r="L82" s="75">
        <v>233</v>
      </c>
      <c r="M82" s="75">
        <v>154</v>
      </c>
      <c r="N82" s="75">
        <v>145</v>
      </c>
      <c r="O82" s="75">
        <v>115</v>
      </c>
      <c r="P82" s="75">
        <v>131</v>
      </c>
      <c r="Q82" s="75">
        <v>322</v>
      </c>
    </row>
    <row r="83" spans="3:17">
      <c r="C83" s="327" t="s">
        <v>192</v>
      </c>
      <c r="D83" s="75">
        <v>11352</v>
      </c>
      <c r="E83" s="75">
        <v>8402</v>
      </c>
      <c r="F83" s="75">
        <v>9366</v>
      </c>
      <c r="G83" s="75">
        <v>11239</v>
      </c>
      <c r="H83" s="75">
        <v>11271</v>
      </c>
      <c r="I83" s="75">
        <v>13449</v>
      </c>
      <c r="J83" s="75">
        <v>14614</v>
      </c>
      <c r="K83" s="75">
        <v>10781</v>
      </c>
      <c r="L83" s="75">
        <v>9236</v>
      </c>
      <c r="M83" s="75">
        <v>9178</v>
      </c>
      <c r="N83" s="75">
        <v>8111</v>
      </c>
      <c r="O83" s="75">
        <v>7464</v>
      </c>
      <c r="P83" s="75">
        <v>6886</v>
      </c>
      <c r="Q83" s="75">
        <v>5986</v>
      </c>
    </row>
    <row r="84" spans="3:17">
      <c r="C84" s="327" t="s">
        <v>193</v>
      </c>
      <c r="D84" s="75">
        <v>3363</v>
      </c>
      <c r="E84" s="75">
        <v>2361</v>
      </c>
      <c r="F84" s="75">
        <v>2446</v>
      </c>
      <c r="G84" s="75">
        <v>3723</v>
      </c>
      <c r="H84" s="75">
        <v>3258</v>
      </c>
      <c r="I84" s="75">
        <v>6109</v>
      </c>
      <c r="J84" s="75">
        <v>5662</v>
      </c>
      <c r="K84" s="75">
        <v>3962</v>
      </c>
      <c r="L84" s="75">
        <v>3077</v>
      </c>
      <c r="M84" s="75">
        <v>2615</v>
      </c>
      <c r="N84" s="75">
        <v>2474</v>
      </c>
      <c r="O84" s="75">
        <v>2163</v>
      </c>
      <c r="P84" s="75">
        <v>2311</v>
      </c>
      <c r="Q84" s="75">
        <v>1609</v>
      </c>
    </row>
    <row r="85" spans="3:17">
      <c r="C85" s="327" t="s">
        <v>194</v>
      </c>
      <c r="D85" s="75">
        <v>3570</v>
      </c>
      <c r="E85" s="75">
        <v>2653</v>
      </c>
      <c r="F85" s="75">
        <v>2879</v>
      </c>
      <c r="G85" s="75">
        <v>3428</v>
      </c>
      <c r="H85" s="75">
        <v>3333</v>
      </c>
      <c r="I85" s="75">
        <v>3021</v>
      </c>
      <c r="J85" s="75">
        <v>3925</v>
      </c>
      <c r="K85" s="75">
        <v>3033</v>
      </c>
      <c r="L85" s="75">
        <v>2347</v>
      </c>
      <c r="M85" s="75">
        <v>3310</v>
      </c>
      <c r="N85" s="75">
        <v>2312</v>
      </c>
      <c r="O85" s="75">
        <v>2068</v>
      </c>
      <c r="P85" s="75">
        <v>1966</v>
      </c>
      <c r="Q85" s="75">
        <v>1598</v>
      </c>
    </row>
    <row r="86" spans="3:17">
      <c r="C86" s="327" t="s">
        <v>199</v>
      </c>
      <c r="D86" s="75">
        <v>274</v>
      </c>
      <c r="E86" s="75">
        <v>303</v>
      </c>
      <c r="F86" s="75">
        <v>401</v>
      </c>
      <c r="G86" s="75">
        <v>283</v>
      </c>
      <c r="H86" s="75">
        <v>395</v>
      </c>
      <c r="I86" s="75">
        <v>373</v>
      </c>
      <c r="J86" s="75">
        <v>430</v>
      </c>
      <c r="K86" s="75">
        <v>325</v>
      </c>
      <c r="L86" s="75">
        <v>251</v>
      </c>
      <c r="M86" s="75">
        <v>186</v>
      </c>
      <c r="N86" s="75">
        <v>255</v>
      </c>
      <c r="O86" s="75">
        <v>290</v>
      </c>
      <c r="P86" s="75">
        <v>232</v>
      </c>
      <c r="Q86" s="75">
        <v>209</v>
      </c>
    </row>
    <row r="87" spans="3:17">
      <c r="C87" s="327" t="s">
        <v>329</v>
      </c>
      <c r="D87" s="75">
        <v>656</v>
      </c>
      <c r="E87" s="75">
        <v>541</v>
      </c>
      <c r="F87" s="75">
        <v>614</v>
      </c>
      <c r="G87" s="75">
        <v>653</v>
      </c>
      <c r="H87" s="75">
        <v>708</v>
      </c>
      <c r="I87" s="75">
        <v>624</v>
      </c>
      <c r="J87" s="75">
        <v>724</v>
      </c>
      <c r="K87" s="75">
        <v>502</v>
      </c>
      <c r="L87" s="75">
        <v>527</v>
      </c>
      <c r="M87" s="75">
        <v>455</v>
      </c>
      <c r="N87" s="75">
        <v>517</v>
      </c>
      <c r="O87" s="75">
        <v>442</v>
      </c>
      <c r="P87" s="75">
        <v>342</v>
      </c>
      <c r="Q87" s="75">
        <v>520</v>
      </c>
    </row>
    <row r="88" spans="3:17">
      <c r="C88" s="327" t="s">
        <v>195</v>
      </c>
      <c r="D88" s="75">
        <v>993</v>
      </c>
      <c r="E88" s="75">
        <v>691</v>
      </c>
      <c r="F88" s="75">
        <v>777</v>
      </c>
      <c r="G88" s="75">
        <v>893</v>
      </c>
      <c r="H88" s="75">
        <v>942</v>
      </c>
      <c r="I88" s="75">
        <v>929</v>
      </c>
      <c r="J88" s="75">
        <v>1021</v>
      </c>
      <c r="K88" s="75">
        <v>817</v>
      </c>
      <c r="L88" s="75">
        <v>955</v>
      </c>
      <c r="M88" s="75">
        <v>764</v>
      </c>
      <c r="N88" s="75">
        <v>788</v>
      </c>
      <c r="O88" s="75">
        <v>699</v>
      </c>
      <c r="P88" s="75">
        <v>621</v>
      </c>
      <c r="Q88" s="75">
        <v>605</v>
      </c>
    </row>
    <row r="89" spans="3:17">
      <c r="C89" s="327" t="s">
        <v>200</v>
      </c>
      <c r="D89" s="75">
        <v>664</v>
      </c>
      <c r="E89" s="75">
        <v>468</v>
      </c>
      <c r="F89" s="75">
        <v>516</v>
      </c>
      <c r="G89" s="75">
        <v>513</v>
      </c>
      <c r="H89" s="75">
        <v>645</v>
      </c>
      <c r="I89" s="75">
        <v>399</v>
      </c>
      <c r="J89" s="75">
        <v>594</v>
      </c>
      <c r="K89" s="75">
        <v>435</v>
      </c>
      <c r="L89" s="75">
        <v>502</v>
      </c>
      <c r="M89" s="75">
        <v>450</v>
      </c>
      <c r="N89" s="75">
        <v>306</v>
      </c>
      <c r="O89" s="75">
        <v>331</v>
      </c>
      <c r="P89" s="75">
        <v>323</v>
      </c>
      <c r="Q89" s="75">
        <v>273</v>
      </c>
    </row>
    <row r="90" spans="3:17">
      <c r="C90" s="327" t="s">
        <v>201</v>
      </c>
      <c r="D90" s="75">
        <v>328</v>
      </c>
      <c r="E90" s="75">
        <v>325</v>
      </c>
      <c r="F90" s="75">
        <v>561</v>
      </c>
      <c r="G90" s="75">
        <v>388</v>
      </c>
      <c r="H90" s="75">
        <v>424</v>
      </c>
      <c r="I90" s="75">
        <v>410</v>
      </c>
      <c r="J90" s="75">
        <v>452</v>
      </c>
      <c r="K90" s="75">
        <v>348</v>
      </c>
      <c r="L90" s="75">
        <v>265</v>
      </c>
      <c r="M90" s="75">
        <v>324</v>
      </c>
      <c r="N90" s="75">
        <v>297</v>
      </c>
      <c r="O90" s="75">
        <v>404</v>
      </c>
      <c r="P90" s="75">
        <v>313</v>
      </c>
      <c r="Q90" s="75">
        <v>225</v>
      </c>
    </row>
    <row r="91" spans="3:17">
      <c r="C91" s="327" t="s">
        <v>374</v>
      </c>
      <c r="D91" s="75">
        <v>53</v>
      </c>
      <c r="E91" s="75">
        <v>37</v>
      </c>
      <c r="F91" s="75">
        <v>39</v>
      </c>
      <c r="G91" s="75">
        <v>24</v>
      </c>
      <c r="H91" s="75">
        <v>97</v>
      </c>
      <c r="I91" s="75">
        <v>168</v>
      </c>
      <c r="J91" s="75">
        <v>201</v>
      </c>
      <c r="K91" s="75">
        <v>107</v>
      </c>
      <c r="L91" s="75">
        <v>113</v>
      </c>
      <c r="M91" s="75">
        <v>102</v>
      </c>
      <c r="N91" s="75">
        <v>125</v>
      </c>
      <c r="O91" s="75">
        <v>32</v>
      </c>
      <c r="P91" s="75">
        <v>27</v>
      </c>
      <c r="Q91" s="75">
        <v>35</v>
      </c>
    </row>
    <row r="92" spans="3:17">
      <c r="C92" s="327" t="s">
        <v>375</v>
      </c>
      <c r="D92" s="75">
        <v>256</v>
      </c>
      <c r="E92" s="75">
        <v>285</v>
      </c>
      <c r="F92" s="75">
        <v>216</v>
      </c>
      <c r="G92" s="75">
        <v>155</v>
      </c>
      <c r="H92" s="75">
        <v>387</v>
      </c>
      <c r="I92" s="75">
        <v>184</v>
      </c>
      <c r="J92" s="75">
        <v>254</v>
      </c>
      <c r="K92" s="75">
        <v>215</v>
      </c>
      <c r="L92" s="75">
        <v>191</v>
      </c>
      <c r="M92" s="75">
        <v>152</v>
      </c>
      <c r="N92" s="75">
        <v>171</v>
      </c>
      <c r="O92" s="75">
        <v>196</v>
      </c>
      <c r="P92" s="75">
        <v>134</v>
      </c>
      <c r="Q92" s="75">
        <v>162</v>
      </c>
    </row>
    <row r="93" spans="3:17">
      <c r="C93" s="327" t="s">
        <v>376</v>
      </c>
      <c r="D93" s="75">
        <v>185</v>
      </c>
      <c r="E93" s="75">
        <v>107</v>
      </c>
      <c r="F93" s="75">
        <v>81</v>
      </c>
      <c r="G93" s="75">
        <v>258</v>
      </c>
      <c r="H93" s="75">
        <v>126</v>
      </c>
      <c r="I93" s="75">
        <v>278</v>
      </c>
      <c r="J93" s="75">
        <v>221</v>
      </c>
      <c r="K93" s="75">
        <v>198</v>
      </c>
      <c r="L93" s="75">
        <v>150</v>
      </c>
      <c r="M93" s="75">
        <v>119</v>
      </c>
      <c r="N93" s="75">
        <v>100</v>
      </c>
      <c r="O93" s="75">
        <v>85</v>
      </c>
      <c r="P93" s="75">
        <v>54</v>
      </c>
      <c r="Q93" s="75">
        <v>98</v>
      </c>
    </row>
    <row r="94" spans="3:17">
      <c r="C94" s="327" t="s">
        <v>377</v>
      </c>
      <c r="D94" s="75">
        <v>101</v>
      </c>
      <c r="E94" s="75">
        <v>91</v>
      </c>
      <c r="F94" s="75">
        <v>73</v>
      </c>
      <c r="G94" s="75">
        <v>78</v>
      </c>
      <c r="H94" s="75">
        <v>59</v>
      </c>
      <c r="I94" s="75">
        <v>57</v>
      </c>
      <c r="J94" s="75">
        <v>64</v>
      </c>
      <c r="K94" s="75">
        <v>50</v>
      </c>
      <c r="L94" s="75">
        <v>48</v>
      </c>
      <c r="M94" s="75">
        <v>50</v>
      </c>
      <c r="N94" s="75">
        <v>81</v>
      </c>
      <c r="O94" s="75">
        <v>59</v>
      </c>
      <c r="P94" s="75">
        <v>54</v>
      </c>
      <c r="Q94" s="75">
        <v>80</v>
      </c>
    </row>
    <row r="95" spans="3:17">
      <c r="C95" s="327" t="s">
        <v>378</v>
      </c>
      <c r="D95" s="75">
        <v>68</v>
      </c>
      <c r="E95" s="75">
        <v>37</v>
      </c>
      <c r="F95" s="75">
        <v>75</v>
      </c>
      <c r="G95" s="75">
        <v>72</v>
      </c>
      <c r="H95" s="75">
        <v>115</v>
      </c>
      <c r="I95" s="75">
        <v>74</v>
      </c>
      <c r="J95" s="75">
        <v>95</v>
      </c>
      <c r="K95" s="75">
        <v>52</v>
      </c>
      <c r="L95" s="75">
        <v>87</v>
      </c>
      <c r="M95" s="75">
        <v>57</v>
      </c>
      <c r="N95" s="75">
        <v>71</v>
      </c>
      <c r="O95" s="75">
        <v>103</v>
      </c>
      <c r="P95" s="75">
        <v>48</v>
      </c>
      <c r="Q95" s="75">
        <v>49</v>
      </c>
    </row>
    <row r="96" spans="3:17">
      <c r="C96" s="327" t="s">
        <v>379</v>
      </c>
      <c r="D96" s="75">
        <v>19</v>
      </c>
      <c r="E96" s="75">
        <v>35</v>
      </c>
      <c r="F96" s="75">
        <v>13</v>
      </c>
      <c r="G96" s="75">
        <v>39</v>
      </c>
      <c r="H96" s="75">
        <v>43</v>
      </c>
      <c r="I96" s="75">
        <v>52</v>
      </c>
      <c r="J96" s="75">
        <v>29</v>
      </c>
      <c r="K96" s="75">
        <v>22</v>
      </c>
      <c r="L96" s="75">
        <v>14</v>
      </c>
      <c r="M96" s="75">
        <v>39</v>
      </c>
      <c r="N96" s="75">
        <v>12</v>
      </c>
      <c r="O96" s="75">
        <v>16</v>
      </c>
      <c r="P96" s="75">
        <v>9</v>
      </c>
      <c r="Q96" s="75">
        <v>14</v>
      </c>
    </row>
    <row r="97" spans="3:17">
      <c r="C97" s="327" t="s">
        <v>380</v>
      </c>
      <c r="D97" s="75">
        <v>12</v>
      </c>
      <c r="E97" s="75">
        <v>18</v>
      </c>
      <c r="F97" s="75">
        <v>21</v>
      </c>
      <c r="G97" s="75">
        <v>37</v>
      </c>
      <c r="H97" s="75">
        <v>37</v>
      </c>
      <c r="I97" s="75">
        <v>26</v>
      </c>
      <c r="J97" s="75">
        <v>33</v>
      </c>
      <c r="K97" s="75">
        <v>57</v>
      </c>
      <c r="L97" s="75">
        <v>23</v>
      </c>
      <c r="M97" s="75">
        <v>18</v>
      </c>
      <c r="N97" s="75">
        <v>27</v>
      </c>
      <c r="O97" s="75">
        <v>46</v>
      </c>
      <c r="P97" s="75">
        <v>14</v>
      </c>
      <c r="Q97" s="75">
        <v>14</v>
      </c>
    </row>
    <row r="98" spans="3:17">
      <c r="C98" s="327" t="s">
        <v>381</v>
      </c>
      <c r="D98" s="75">
        <v>35</v>
      </c>
      <c r="E98" s="75">
        <v>23</v>
      </c>
      <c r="F98" s="75">
        <v>52</v>
      </c>
      <c r="G98" s="75">
        <v>38</v>
      </c>
      <c r="H98" s="75">
        <v>37</v>
      </c>
      <c r="I98" s="75">
        <v>29</v>
      </c>
      <c r="J98" s="75">
        <v>69</v>
      </c>
      <c r="K98" s="75">
        <v>53</v>
      </c>
      <c r="L98" s="75">
        <v>49</v>
      </c>
      <c r="M98" s="75">
        <v>34</v>
      </c>
      <c r="N98" s="75">
        <v>47</v>
      </c>
      <c r="O98" s="75">
        <v>66</v>
      </c>
      <c r="P98" s="75">
        <v>38</v>
      </c>
      <c r="Q98" s="75">
        <v>24</v>
      </c>
    </row>
    <row r="99" spans="3:17">
      <c r="C99" s="327" t="s">
        <v>196</v>
      </c>
      <c r="D99" s="75">
        <v>298</v>
      </c>
      <c r="E99" s="75">
        <v>181</v>
      </c>
      <c r="F99" s="75">
        <v>240</v>
      </c>
      <c r="G99" s="75">
        <v>241</v>
      </c>
      <c r="H99" s="75">
        <v>255</v>
      </c>
      <c r="I99" s="75">
        <v>257</v>
      </c>
      <c r="J99" s="75">
        <v>423</v>
      </c>
      <c r="K99" s="75">
        <v>252</v>
      </c>
      <c r="L99" s="75">
        <v>384</v>
      </c>
      <c r="M99" s="75">
        <v>280</v>
      </c>
      <c r="N99" s="75">
        <v>250</v>
      </c>
      <c r="O99" s="75">
        <v>169</v>
      </c>
      <c r="P99" s="75">
        <v>191</v>
      </c>
      <c r="Q99" s="75">
        <v>231</v>
      </c>
    </row>
    <row r="100" spans="3:17">
      <c r="C100" s="327" t="s">
        <v>197</v>
      </c>
      <c r="D100" s="75">
        <v>477</v>
      </c>
      <c r="E100" s="75">
        <v>246</v>
      </c>
      <c r="F100" s="75">
        <v>362</v>
      </c>
      <c r="G100" s="75">
        <v>416</v>
      </c>
      <c r="H100" s="75">
        <v>410</v>
      </c>
      <c r="I100" s="75">
        <v>459</v>
      </c>
      <c r="J100" s="75">
        <v>417</v>
      </c>
      <c r="K100" s="75">
        <v>353</v>
      </c>
      <c r="L100" s="75">
        <v>253</v>
      </c>
      <c r="M100" s="75">
        <v>223</v>
      </c>
      <c r="N100" s="75">
        <v>278</v>
      </c>
      <c r="O100" s="75">
        <v>295</v>
      </c>
      <c r="P100" s="75">
        <v>209</v>
      </c>
      <c r="Q100" s="75">
        <v>240</v>
      </c>
    </row>
    <row r="101" spans="3:17">
      <c r="C101" s="327" t="s">
        <v>205</v>
      </c>
      <c r="D101" s="75">
        <v>9463</v>
      </c>
      <c r="E101" s="75">
        <v>7441</v>
      </c>
      <c r="F101" s="75">
        <v>7143</v>
      </c>
      <c r="G101" s="75">
        <v>8452</v>
      </c>
      <c r="H101" s="75">
        <v>9817</v>
      </c>
      <c r="I101" s="75">
        <v>9417</v>
      </c>
      <c r="J101" s="75">
        <v>11208</v>
      </c>
      <c r="K101" s="75">
        <v>9420</v>
      </c>
      <c r="L101" s="75">
        <v>7160</v>
      </c>
      <c r="M101" s="75">
        <v>7580</v>
      </c>
      <c r="N101" s="75">
        <v>7729</v>
      </c>
      <c r="O101" s="75">
        <v>6966</v>
      </c>
      <c r="P101" s="75">
        <v>6592</v>
      </c>
      <c r="Q101" s="75">
        <v>5828</v>
      </c>
    </row>
    <row r="102" spans="3:17">
      <c r="C102" s="327" t="s">
        <v>382</v>
      </c>
      <c r="D102" s="75">
        <v>6439</v>
      </c>
      <c r="E102" s="75">
        <v>4869</v>
      </c>
      <c r="F102" s="75">
        <v>4392</v>
      </c>
      <c r="G102" s="75">
        <v>5310</v>
      </c>
      <c r="H102" s="75">
        <v>6547</v>
      </c>
      <c r="I102" s="75">
        <v>6055</v>
      </c>
      <c r="J102" s="75">
        <v>7092</v>
      </c>
      <c r="K102" s="75">
        <v>5723</v>
      </c>
      <c r="L102" s="75">
        <v>4512</v>
      </c>
      <c r="M102" s="75">
        <v>4792</v>
      </c>
      <c r="N102" s="75">
        <v>4829</v>
      </c>
      <c r="O102" s="75">
        <v>4485</v>
      </c>
      <c r="P102" s="75">
        <v>4448</v>
      </c>
      <c r="Q102" s="75">
        <v>3912</v>
      </c>
    </row>
    <row r="103" spans="3:17">
      <c r="C103" s="327" t="s">
        <v>206</v>
      </c>
      <c r="D103" s="75">
        <v>218</v>
      </c>
      <c r="E103" s="75">
        <v>266</v>
      </c>
      <c r="F103" s="75">
        <v>330</v>
      </c>
      <c r="G103" s="75">
        <v>363</v>
      </c>
      <c r="H103" s="75">
        <v>288</v>
      </c>
      <c r="I103" s="75">
        <v>389</v>
      </c>
      <c r="J103" s="75">
        <v>314</v>
      </c>
      <c r="K103" s="75">
        <v>249</v>
      </c>
      <c r="L103" s="75">
        <v>275</v>
      </c>
      <c r="M103" s="75">
        <v>289</v>
      </c>
      <c r="N103" s="75">
        <v>288</v>
      </c>
      <c r="O103" s="75">
        <v>189</v>
      </c>
      <c r="P103" s="75">
        <v>194</v>
      </c>
      <c r="Q103" s="75">
        <v>140</v>
      </c>
    </row>
    <row r="104" spans="3:17">
      <c r="C104" s="327" t="s">
        <v>383</v>
      </c>
      <c r="D104" s="75">
        <v>419</v>
      </c>
      <c r="E104" s="75">
        <v>224</v>
      </c>
      <c r="F104" s="75">
        <v>268</v>
      </c>
      <c r="G104" s="75">
        <v>378</v>
      </c>
      <c r="H104" s="75">
        <v>352</v>
      </c>
      <c r="I104" s="75">
        <v>395</v>
      </c>
      <c r="J104" s="75">
        <v>414</v>
      </c>
      <c r="K104" s="75">
        <v>421</v>
      </c>
      <c r="L104" s="75">
        <v>273</v>
      </c>
      <c r="M104" s="75">
        <v>314</v>
      </c>
      <c r="N104" s="75">
        <v>362</v>
      </c>
      <c r="O104" s="75">
        <v>335</v>
      </c>
      <c r="P104" s="75">
        <v>388</v>
      </c>
      <c r="Q104" s="75">
        <v>301</v>
      </c>
    </row>
    <row r="105" spans="3:17">
      <c r="C105" s="327" t="s">
        <v>207</v>
      </c>
      <c r="D105" s="75">
        <v>365</v>
      </c>
      <c r="E105" s="75">
        <v>358</v>
      </c>
      <c r="F105" s="75">
        <v>462</v>
      </c>
      <c r="G105" s="75">
        <v>526</v>
      </c>
      <c r="H105" s="75">
        <v>609</v>
      </c>
      <c r="I105" s="75">
        <v>483</v>
      </c>
      <c r="J105" s="75">
        <v>978</v>
      </c>
      <c r="K105" s="75">
        <v>1073</v>
      </c>
      <c r="L105" s="75">
        <v>446</v>
      </c>
      <c r="M105" s="75">
        <v>498</v>
      </c>
      <c r="N105" s="75">
        <v>506</v>
      </c>
      <c r="O105" s="75">
        <v>332</v>
      </c>
      <c r="P105" s="75">
        <v>300</v>
      </c>
      <c r="Q105" s="75">
        <v>240</v>
      </c>
    </row>
    <row r="106" spans="3:17">
      <c r="C106" s="327" t="s">
        <v>384</v>
      </c>
      <c r="D106" s="75">
        <v>39</v>
      </c>
      <c r="E106" s="75">
        <v>30</v>
      </c>
      <c r="F106" s="75">
        <v>25</v>
      </c>
      <c r="G106" s="75">
        <v>27</v>
      </c>
      <c r="H106" s="75">
        <v>42</v>
      </c>
      <c r="I106" s="75">
        <v>28</v>
      </c>
      <c r="J106" s="75">
        <v>40</v>
      </c>
      <c r="K106" s="75">
        <v>14</v>
      </c>
      <c r="L106" s="75">
        <v>13</v>
      </c>
      <c r="M106" s="75">
        <v>13</v>
      </c>
      <c r="N106" s="75">
        <v>10</v>
      </c>
      <c r="O106" s="75">
        <v>7</v>
      </c>
      <c r="P106" s="75">
        <v>4</v>
      </c>
      <c r="Q106" s="75">
        <v>7</v>
      </c>
    </row>
    <row r="107" spans="3:17">
      <c r="C107" s="327" t="s">
        <v>385</v>
      </c>
      <c r="D107" s="75">
        <v>453</v>
      </c>
      <c r="E107" s="75">
        <v>193</v>
      </c>
      <c r="F107" s="75">
        <v>182</v>
      </c>
      <c r="G107" s="75">
        <v>213</v>
      </c>
      <c r="H107" s="75">
        <v>228</v>
      </c>
      <c r="I107" s="75">
        <v>195</v>
      </c>
      <c r="J107" s="75">
        <v>199</v>
      </c>
      <c r="K107" s="75">
        <v>184</v>
      </c>
      <c r="L107" s="75">
        <v>129</v>
      </c>
      <c r="M107" s="75">
        <v>140</v>
      </c>
      <c r="N107" s="75">
        <v>103</v>
      </c>
      <c r="O107" s="75">
        <v>93</v>
      </c>
      <c r="P107" s="75">
        <v>139</v>
      </c>
      <c r="Q107" s="75">
        <v>111</v>
      </c>
    </row>
    <row r="108" spans="3:17">
      <c r="C108" s="327" t="s">
        <v>386</v>
      </c>
      <c r="D108" s="75">
        <v>29</v>
      </c>
      <c r="E108" s="75">
        <v>12</v>
      </c>
      <c r="F108" s="75">
        <v>42</v>
      </c>
      <c r="G108" s="75">
        <v>44</v>
      </c>
      <c r="H108" s="75">
        <v>48</v>
      </c>
      <c r="I108" s="75">
        <v>58</v>
      </c>
      <c r="J108" s="75">
        <v>38</v>
      </c>
      <c r="K108" s="75">
        <v>58</v>
      </c>
      <c r="L108" s="75">
        <v>32</v>
      </c>
      <c r="M108" s="75">
        <v>40</v>
      </c>
      <c r="N108" s="75">
        <v>44</v>
      </c>
      <c r="O108" s="75">
        <v>19</v>
      </c>
      <c r="P108" s="75">
        <v>38</v>
      </c>
      <c r="Q108" s="75">
        <v>7</v>
      </c>
    </row>
    <row r="109" spans="3:17">
      <c r="C109" s="327" t="s">
        <v>203</v>
      </c>
      <c r="D109" s="75">
        <v>71</v>
      </c>
      <c r="E109" s="75">
        <v>40</v>
      </c>
      <c r="F109" s="75">
        <v>46</v>
      </c>
      <c r="G109" s="75">
        <v>50</v>
      </c>
      <c r="H109" s="75">
        <v>100</v>
      </c>
      <c r="I109" s="75">
        <v>56</v>
      </c>
      <c r="J109" s="75">
        <v>104</v>
      </c>
      <c r="K109" s="75">
        <v>52</v>
      </c>
      <c r="L109" s="75">
        <v>41</v>
      </c>
      <c r="M109" s="75">
        <v>71</v>
      </c>
      <c r="N109" s="75">
        <v>75</v>
      </c>
      <c r="O109" s="75">
        <v>52</v>
      </c>
      <c r="P109" s="75">
        <v>37</v>
      </c>
      <c r="Q109" s="75">
        <v>30</v>
      </c>
    </row>
    <row r="110" spans="3:17">
      <c r="C110" s="327" t="s">
        <v>204</v>
      </c>
      <c r="D110" s="75">
        <v>173</v>
      </c>
      <c r="E110" s="75">
        <v>106</v>
      </c>
      <c r="F110" s="75">
        <v>129</v>
      </c>
      <c r="G110" s="75">
        <v>130</v>
      </c>
      <c r="H110" s="75">
        <v>180</v>
      </c>
      <c r="I110" s="75">
        <v>99</v>
      </c>
      <c r="J110" s="75">
        <v>176</v>
      </c>
      <c r="K110" s="75">
        <v>167</v>
      </c>
      <c r="L110" s="75">
        <v>111</v>
      </c>
      <c r="M110" s="75">
        <v>176</v>
      </c>
      <c r="N110" s="75">
        <v>204</v>
      </c>
      <c r="O110" s="75">
        <v>433</v>
      </c>
      <c r="P110" s="75">
        <v>78</v>
      </c>
      <c r="Q110" s="75">
        <v>133</v>
      </c>
    </row>
    <row r="111" spans="3:17">
      <c r="C111" s="327" t="s">
        <v>387</v>
      </c>
      <c r="D111" s="75">
        <v>151</v>
      </c>
      <c r="E111" s="75">
        <v>168</v>
      </c>
      <c r="F111" s="75">
        <v>153</v>
      </c>
      <c r="G111" s="75">
        <v>149</v>
      </c>
      <c r="H111" s="75">
        <v>156</v>
      </c>
      <c r="I111" s="75">
        <v>119</v>
      </c>
      <c r="J111" s="75">
        <v>175</v>
      </c>
      <c r="K111" s="75">
        <v>176</v>
      </c>
      <c r="L111" s="75">
        <v>94</v>
      </c>
      <c r="M111" s="75">
        <v>113</v>
      </c>
      <c r="N111" s="75">
        <v>105</v>
      </c>
      <c r="O111" s="75">
        <v>122</v>
      </c>
      <c r="P111" s="75">
        <v>117</v>
      </c>
      <c r="Q111" s="75">
        <v>122</v>
      </c>
    </row>
    <row r="112" spans="3:17">
      <c r="C112" s="327" t="s">
        <v>388</v>
      </c>
      <c r="D112" s="75">
        <v>16</v>
      </c>
      <c r="E112" s="75">
        <v>24</v>
      </c>
      <c r="F112" s="75">
        <v>7</v>
      </c>
      <c r="G112" s="75">
        <v>13</v>
      </c>
      <c r="H112" s="75">
        <v>22</v>
      </c>
      <c r="I112" s="75">
        <v>13</v>
      </c>
      <c r="J112" s="75">
        <v>13</v>
      </c>
      <c r="K112" s="75">
        <v>15</v>
      </c>
      <c r="L112" s="75">
        <v>55</v>
      </c>
      <c r="M112" s="75">
        <v>49</v>
      </c>
      <c r="N112" s="75">
        <v>18</v>
      </c>
      <c r="O112" s="75">
        <v>11</v>
      </c>
      <c r="P112" s="75">
        <v>17</v>
      </c>
      <c r="Q112" s="75">
        <v>8</v>
      </c>
    </row>
    <row r="113" spans="3:17">
      <c r="C113" s="327" t="s">
        <v>389</v>
      </c>
      <c r="D113" s="75">
        <v>125</v>
      </c>
      <c r="E113" s="75">
        <v>75</v>
      </c>
      <c r="F113" s="75">
        <v>64</v>
      </c>
      <c r="G113" s="75">
        <v>108</v>
      </c>
      <c r="H113" s="75">
        <v>109</v>
      </c>
      <c r="I113" s="75">
        <v>125</v>
      </c>
      <c r="J113" s="75">
        <v>206</v>
      </c>
      <c r="K113" s="75">
        <v>129</v>
      </c>
      <c r="L113" s="75">
        <v>117</v>
      </c>
      <c r="M113" s="75">
        <v>180</v>
      </c>
      <c r="N113" s="75">
        <v>95</v>
      </c>
      <c r="O113" s="75">
        <v>123</v>
      </c>
      <c r="P113" s="75">
        <v>113</v>
      </c>
      <c r="Q113" s="75">
        <v>118</v>
      </c>
    </row>
    <row r="114" spans="3:17">
      <c r="C114" s="327" t="s">
        <v>390</v>
      </c>
      <c r="D114" s="75">
        <v>86</v>
      </c>
      <c r="E114" s="75">
        <v>122</v>
      </c>
      <c r="F114" s="75">
        <v>54</v>
      </c>
      <c r="G114" s="75">
        <v>124</v>
      </c>
      <c r="H114" s="75">
        <v>94</v>
      </c>
      <c r="I114" s="75">
        <v>123</v>
      </c>
      <c r="J114" s="75">
        <v>188</v>
      </c>
      <c r="K114" s="75">
        <v>205</v>
      </c>
      <c r="L114" s="75">
        <v>154</v>
      </c>
      <c r="M114" s="75">
        <v>79</v>
      </c>
      <c r="N114" s="75">
        <v>89</v>
      </c>
      <c r="O114" s="75">
        <v>65</v>
      </c>
      <c r="P114" s="75">
        <v>59</v>
      </c>
      <c r="Q114" s="75">
        <v>129</v>
      </c>
    </row>
    <row r="115" spans="3:17">
      <c r="C115" s="327" t="s">
        <v>391</v>
      </c>
      <c r="D115" s="75">
        <v>66</v>
      </c>
      <c r="E115" s="75">
        <v>99</v>
      </c>
      <c r="F115" s="75">
        <v>78</v>
      </c>
      <c r="G115" s="75">
        <v>77</v>
      </c>
      <c r="H115" s="75">
        <v>84</v>
      </c>
      <c r="I115" s="75">
        <v>101</v>
      </c>
      <c r="J115" s="75">
        <v>103</v>
      </c>
      <c r="K115" s="75">
        <v>68</v>
      </c>
      <c r="L115" s="75">
        <v>52</v>
      </c>
      <c r="M115" s="75">
        <v>73</v>
      </c>
      <c r="N115" s="75">
        <v>105</v>
      </c>
      <c r="O115" s="75">
        <v>67</v>
      </c>
      <c r="P115" s="75">
        <v>62</v>
      </c>
      <c r="Q115" s="75">
        <v>48</v>
      </c>
    </row>
    <row r="116" spans="3:17">
      <c r="C116" s="327" t="s">
        <v>208</v>
      </c>
      <c r="D116" s="75">
        <v>286</v>
      </c>
      <c r="E116" s="75">
        <v>315</v>
      </c>
      <c r="F116" s="75">
        <v>340</v>
      </c>
      <c r="G116" s="75">
        <v>281</v>
      </c>
      <c r="H116" s="75">
        <v>317</v>
      </c>
      <c r="I116" s="75">
        <v>309</v>
      </c>
      <c r="J116" s="75">
        <v>448</v>
      </c>
      <c r="K116" s="75">
        <v>321</v>
      </c>
      <c r="L116" s="75">
        <v>285</v>
      </c>
      <c r="M116" s="75">
        <v>270</v>
      </c>
      <c r="N116" s="75">
        <v>306</v>
      </c>
      <c r="O116" s="75">
        <v>287</v>
      </c>
      <c r="P116" s="75">
        <v>286</v>
      </c>
      <c r="Q116" s="75">
        <v>243</v>
      </c>
    </row>
    <row r="117" spans="3:17">
      <c r="C117" s="327" t="s">
        <v>209</v>
      </c>
      <c r="D117" s="75">
        <v>172</v>
      </c>
      <c r="E117" s="75">
        <v>143</v>
      </c>
      <c r="F117" s="75">
        <v>186</v>
      </c>
      <c r="G117" s="75">
        <v>148</v>
      </c>
      <c r="H117" s="75">
        <v>128</v>
      </c>
      <c r="I117" s="75">
        <v>267</v>
      </c>
      <c r="J117" s="75">
        <v>206</v>
      </c>
      <c r="K117" s="75">
        <v>151</v>
      </c>
      <c r="L117" s="75">
        <v>113</v>
      </c>
      <c r="M117" s="75">
        <v>106</v>
      </c>
      <c r="N117" s="75">
        <v>180</v>
      </c>
      <c r="O117" s="75">
        <v>121</v>
      </c>
      <c r="P117" s="75">
        <v>49</v>
      </c>
      <c r="Q117" s="75">
        <v>98</v>
      </c>
    </row>
    <row r="118" spans="3:17">
      <c r="C118" s="327" t="s">
        <v>335</v>
      </c>
      <c r="D118" s="75">
        <v>49</v>
      </c>
      <c r="E118" s="75">
        <v>26</v>
      </c>
      <c r="F118" s="75">
        <v>49</v>
      </c>
      <c r="G118" s="75">
        <v>107</v>
      </c>
      <c r="H118" s="75">
        <v>36</v>
      </c>
      <c r="I118" s="75">
        <v>37</v>
      </c>
      <c r="J118" s="75">
        <v>76</v>
      </c>
      <c r="K118" s="75">
        <v>79</v>
      </c>
      <c r="L118" s="75">
        <v>33</v>
      </c>
      <c r="M118" s="75">
        <v>28</v>
      </c>
      <c r="N118" s="75">
        <v>46</v>
      </c>
      <c r="O118" s="75">
        <v>33</v>
      </c>
      <c r="P118" s="75">
        <v>51</v>
      </c>
      <c r="Q118" s="75">
        <v>43</v>
      </c>
    </row>
    <row r="119" spans="3:17">
      <c r="C119" s="327" t="s">
        <v>392</v>
      </c>
      <c r="D119" s="75">
        <v>25</v>
      </c>
      <c r="E119" s="75">
        <v>87</v>
      </c>
      <c r="F119" s="75">
        <v>24</v>
      </c>
      <c r="G119" s="75">
        <v>29</v>
      </c>
      <c r="H119" s="75">
        <v>37</v>
      </c>
      <c r="I119" s="75">
        <v>28</v>
      </c>
      <c r="J119" s="75">
        <v>33</v>
      </c>
      <c r="K119" s="75">
        <v>51</v>
      </c>
      <c r="L119" s="75">
        <v>36</v>
      </c>
      <c r="M119" s="75">
        <v>17</v>
      </c>
      <c r="N119" s="75">
        <v>21</v>
      </c>
      <c r="O119" s="75">
        <v>13</v>
      </c>
      <c r="P119" s="75">
        <v>13</v>
      </c>
      <c r="Q119" s="75">
        <v>10</v>
      </c>
    </row>
    <row r="120" spans="3:17">
      <c r="C120" s="327" t="s">
        <v>393</v>
      </c>
      <c r="D120" s="75">
        <v>40</v>
      </c>
      <c r="E120" s="75">
        <v>10</v>
      </c>
      <c r="F120" s="75">
        <v>8</v>
      </c>
      <c r="G120" s="75">
        <v>16</v>
      </c>
      <c r="H120" s="75">
        <v>22</v>
      </c>
      <c r="I120" s="75">
        <v>25</v>
      </c>
      <c r="J120" s="75">
        <v>35</v>
      </c>
      <c r="K120" s="75">
        <v>12</v>
      </c>
      <c r="L120" s="75">
        <v>14</v>
      </c>
      <c r="M120" s="75">
        <v>15</v>
      </c>
      <c r="N120" s="75">
        <v>16</v>
      </c>
      <c r="O120" s="75">
        <v>10</v>
      </c>
      <c r="P120" s="75">
        <v>7</v>
      </c>
      <c r="Q120" s="75">
        <v>3</v>
      </c>
    </row>
    <row r="121" spans="3:17">
      <c r="C121" s="327" t="s">
        <v>394</v>
      </c>
      <c r="D121" s="75">
        <v>14</v>
      </c>
      <c r="E121" s="75">
        <v>17</v>
      </c>
      <c r="F121" s="75">
        <v>25</v>
      </c>
      <c r="G121" s="75">
        <v>31</v>
      </c>
      <c r="H121" s="75">
        <v>42</v>
      </c>
      <c r="I121" s="75">
        <v>31</v>
      </c>
      <c r="J121" s="75">
        <v>47</v>
      </c>
      <c r="K121" s="75">
        <v>35</v>
      </c>
      <c r="L121" s="75">
        <v>33</v>
      </c>
      <c r="M121" s="75">
        <v>42</v>
      </c>
      <c r="N121" s="75">
        <v>36</v>
      </c>
      <c r="O121" s="75">
        <v>12</v>
      </c>
      <c r="P121" s="75">
        <v>16</v>
      </c>
      <c r="Q121" s="75">
        <v>7</v>
      </c>
    </row>
    <row r="122" spans="3:17">
      <c r="C122" s="327" t="s">
        <v>395</v>
      </c>
      <c r="D122" s="75">
        <v>150</v>
      </c>
      <c r="E122" s="75">
        <v>132</v>
      </c>
      <c r="F122" s="75">
        <v>194</v>
      </c>
      <c r="G122" s="75">
        <v>204</v>
      </c>
      <c r="H122" s="75">
        <v>244</v>
      </c>
      <c r="I122" s="75">
        <v>161</v>
      </c>
      <c r="J122" s="75">
        <v>206</v>
      </c>
      <c r="K122" s="75">
        <v>146</v>
      </c>
      <c r="L122" s="75">
        <v>250</v>
      </c>
      <c r="M122" s="75">
        <v>196</v>
      </c>
      <c r="N122" s="75">
        <v>202</v>
      </c>
      <c r="O122" s="75">
        <v>119</v>
      </c>
      <c r="P122" s="75">
        <v>145</v>
      </c>
      <c r="Q122" s="75">
        <v>91</v>
      </c>
    </row>
    <row r="123" spans="3:17">
      <c r="C123" s="327" t="s">
        <v>396</v>
      </c>
      <c r="D123" s="75">
        <v>42</v>
      </c>
      <c r="E123" s="75">
        <v>51</v>
      </c>
      <c r="F123" s="75">
        <v>32</v>
      </c>
      <c r="G123" s="75">
        <v>60</v>
      </c>
      <c r="H123" s="75">
        <v>60</v>
      </c>
      <c r="I123" s="75">
        <v>259</v>
      </c>
      <c r="J123" s="75">
        <v>49</v>
      </c>
      <c r="K123" s="75">
        <v>44</v>
      </c>
      <c r="L123" s="75">
        <v>40</v>
      </c>
      <c r="M123" s="75">
        <v>38</v>
      </c>
      <c r="N123" s="75">
        <v>28</v>
      </c>
      <c r="O123" s="75">
        <v>18</v>
      </c>
      <c r="P123" s="75">
        <v>12</v>
      </c>
      <c r="Q123" s="75">
        <v>13</v>
      </c>
    </row>
    <row r="124" spans="3:17">
      <c r="C124" s="327" t="s">
        <v>397</v>
      </c>
      <c r="D124" s="75">
        <v>21</v>
      </c>
      <c r="E124" s="75">
        <v>43</v>
      </c>
      <c r="F124" s="75">
        <v>37</v>
      </c>
      <c r="G124" s="75">
        <v>38</v>
      </c>
      <c r="H124" s="75">
        <v>32</v>
      </c>
      <c r="I124" s="75">
        <v>31</v>
      </c>
      <c r="J124" s="75">
        <v>37</v>
      </c>
      <c r="K124" s="75">
        <v>30</v>
      </c>
      <c r="L124" s="75">
        <v>28</v>
      </c>
      <c r="M124" s="75">
        <v>27</v>
      </c>
      <c r="N124" s="75">
        <v>50</v>
      </c>
      <c r="O124" s="75">
        <v>10</v>
      </c>
      <c r="P124" s="75">
        <v>12</v>
      </c>
      <c r="Q124" s="75">
        <v>6</v>
      </c>
    </row>
    <row r="125" spans="3:17">
      <c r="C125" s="327" t="s">
        <v>398</v>
      </c>
      <c r="D125" s="75">
        <v>8</v>
      </c>
      <c r="E125" s="75">
        <v>21</v>
      </c>
      <c r="F125" s="75">
        <v>10</v>
      </c>
      <c r="G125" s="75">
        <v>14</v>
      </c>
      <c r="H125" s="75">
        <v>26</v>
      </c>
      <c r="I125" s="75">
        <v>17</v>
      </c>
      <c r="J125" s="75">
        <v>15</v>
      </c>
      <c r="K125" s="75">
        <v>10</v>
      </c>
      <c r="L125" s="75">
        <v>15</v>
      </c>
      <c r="M125" s="75">
        <v>9</v>
      </c>
      <c r="N125" s="75">
        <v>4</v>
      </c>
      <c r="O125" s="75">
        <v>6</v>
      </c>
      <c r="P125" s="75">
        <v>2</v>
      </c>
      <c r="Q125" s="75">
        <v>4</v>
      </c>
    </row>
    <row r="126" spans="3:17">
      <c r="C126" s="327" t="s">
        <v>399</v>
      </c>
      <c r="D126" s="75">
        <v>6</v>
      </c>
      <c r="E126" s="75">
        <v>10</v>
      </c>
      <c r="F126" s="75">
        <v>6</v>
      </c>
      <c r="G126" s="75">
        <v>12</v>
      </c>
      <c r="H126" s="75">
        <v>14</v>
      </c>
      <c r="I126" s="75">
        <v>13</v>
      </c>
      <c r="J126" s="75">
        <v>16</v>
      </c>
      <c r="K126" s="75">
        <v>7</v>
      </c>
      <c r="L126" s="75">
        <v>9</v>
      </c>
      <c r="M126" s="75">
        <v>5</v>
      </c>
      <c r="N126" s="75">
        <v>7</v>
      </c>
      <c r="O126" s="75">
        <v>4</v>
      </c>
      <c r="P126" s="75">
        <v>5</v>
      </c>
      <c r="Q126" s="75">
        <v>4</v>
      </c>
    </row>
    <row r="127" spans="3:17">
      <c r="C127" s="327" t="s">
        <v>210</v>
      </c>
      <c r="D127" s="75">
        <v>1271</v>
      </c>
      <c r="E127" s="75">
        <v>1105</v>
      </c>
      <c r="F127" s="75">
        <v>1133</v>
      </c>
      <c r="G127" s="75">
        <v>1484</v>
      </c>
      <c r="H127" s="75">
        <v>1428</v>
      </c>
      <c r="I127" s="75">
        <v>1035</v>
      </c>
      <c r="J127" s="75">
        <v>1374</v>
      </c>
      <c r="K127" s="75">
        <v>1481</v>
      </c>
      <c r="L127" s="75">
        <v>1426</v>
      </c>
      <c r="M127" s="75">
        <v>1409</v>
      </c>
      <c r="N127" s="75">
        <v>1144</v>
      </c>
      <c r="O127" s="75">
        <v>959</v>
      </c>
      <c r="P127" s="75">
        <v>804</v>
      </c>
      <c r="Q127" s="75">
        <v>943</v>
      </c>
    </row>
    <row r="128" spans="3:17">
      <c r="C128" s="327" t="s">
        <v>336</v>
      </c>
      <c r="D128" s="75">
        <v>647</v>
      </c>
      <c r="E128" s="75">
        <v>326</v>
      </c>
      <c r="F128" s="75">
        <v>433</v>
      </c>
      <c r="G128" s="75">
        <v>520</v>
      </c>
      <c r="H128" s="75">
        <v>402</v>
      </c>
      <c r="I128" s="75">
        <v>275</v>
      </c>
      <c r="J128" s="75">
        <v>309</v>
      </c>
      <c r="K128" s="75">
        <v>441</v>
      </c>
      <c r="L128" s="75">
        <v>365</v>
      </c>
      <c r="M128" s="75">
        <v>443</v>
      </c>
      <c r="N128" s="75">
        <v>386</v>
      </c>
      <c r="O128" s="75">
        <v>237</v>
      </c>
      <c r="P128" s="75">
        <v>275</v>
      </c>
      <c r="Q128" s="75">
        <v>317</v>
      </c>
    </row>
    <row r="129" spans="3:17">
      <c r="C129" s="327" t="s">
        <v>400</v>
      </c>
      <c r="D129" s="75">
        <v>17</v>
      </c>
      <c r="E129" s="75">
        <v>24</v>
      </c>
      <c r="F129" s="75">
        <v>16</v>
      </c>
      <c r="G129" s="75">
        <v>39</v>
      </c>
      <c r="H129" s="75">
        <v>20</v>
      </c>
      <c r="I129" s="75">
        <v>10</v>
      </c>
      <c r="J129" s="75">
        <v>16</v>
      </c>
      <c r="K129" s="75">
        <v>7</v>
      </c>
      <c r="L129" s="75">
        <v>7</v>
      </c>
      <c r="M129" s="75">
        <v>12</v>
      </c>
      <c r="N129" s="75">
        <v>5</v>
      </c>
      <c r="O129" s="75">
        <v>8</v>
      </c>
      <c r="P129" s="75">
        <v>12</v>
      </c>
      <c r="Q129" s="75">
        <v>31</v>
      </c>
    </row>
    <row r="130" spans="3:17">
      <c r="C130" s="327" t="s">
        <v>401</v>
      </c>
      <c r="D130" s="75">
        <v>57</v>
      </c>
      <c r="E130" s="75">
        <v>23</v>
      </c>
      <c r="F130" s="75">
        <v>21</v>
      </c>
      <c r="G130" s="75">
        <v>22</v>
      </c>
      <c r="H130" s="75">
        <v>26</v>
      </c>
      <c r="I130" s="75">
        <v>23</v>
      </c>
      <c r="J130" s="75">
        <v>20</v>
      </c>
      <c r="K130" s="75">
        <v>25</v>
      </c>
      <c r="L130" s="75">
        <v>28</v>
      </c>
      <c r="M130" s="75">
        <v>28</v>
      </c>
      <c r="N130" s="75">
        <v>33</v>
      </c>
      <c r="O130" s="75">
        <v>19</v>
      </c>
      <c r="P130" s="75">
        <v>25</v>
      </c>
      <c r="Q130" s="75">
        <v>18</v>
      </c>
    </row>
    <row r="131" spans="3:17">
      <c r="C131" s="327" t="s">
        <v>402</v>
      </c>
      <c r="D131" s="75">
        <v>40</v>
      </c>
      <c r="E131" s="75">
        <v>58</v>
      </c>
      <c r="F131" s="75">
        <v>60</v>
      </c>
      <c r="G131" s="75">
        <v>58</v>
      </c>
      <c r="H131" s="75">
        <v>64</v>
      </c>
      <c r="I131" s="75">
        <v>54</v>
      </c>
      <c r="J131" s="75">
        <v>91</v>
      </c>
      <c r="K131" s="75">
        <v>57</v>
      </c>
      <c r="L131" s="75">
        <v>59</v>
      </c>
      <c r="M131" s="75">
        <v>74</v>
      </c>
      <c r="N131" s="75">
        <v>52</v>
      </c>
      <c r="O131" s="75">
        <v>52</v>
      </c>
      <c r="P131" s="75">
        <v>18</v>
      </c>
      <c r="Q131" s="75">
        <v>36</v>
      </c>
    </row>
    <row r="132" spans="3:17">
      <c r="C132" s="327" t="s">
        <v>403</v>
      </c>
      <c r="D132" s="75">
        <v>67</v>
      </c>
      <c r="E132" s="75">
        <v>218</v>
      </c>
      <c r="F132" s="75">
        <v>86</v>
      </c>
      <c r="G132" s="75">
        <v>199</v>
      </c>
      <c r="H132" s="75">
        <v>97</v>
      </c>
      <c r="I132" s="75">
        <v>90</v>
      </c>
      <c r="J132" s="75">
        <v>127</v>
      </c>
      <c r="K132" s="75">
        <v>118</v>
      </c>
      <c r="L132" s="75">
        <v>159</v>
      </c>
      <c r="M132" s="75">
        <v>108</v>
      </c>
      <c r="N132" s="75">
        <v>103</v>
      </c>
      <c r="O132" s="75">
        <v>119</v>
      </c>
      <c r="P132" s="75">
        <v>104</v>
      </c>
      <c r="Q132" s="75">
        <v>89</v>
      </c>
    </row>
    <row r="133" spans="3:17">
      <c r="C133" s="327" t="s">
        <v>404</v>
      </c>
      <c r="D133" s="75">
        <v>50</v>
      </c>
      <c r="E133" s="75">
        <v>51</v>
      </c>
      <c r="F133" s="75">
        <v>69</v>
      </c>
      <c r="G133" s="75">
        <v>39</v>
      </c>
      <c r="H133" s="75">
        <v>74</v>
      </c>
      <c r="I133" s="75">
        <v>64</v>
      </c>
      <c r="J133" s="75">
        <v>148</v>
      </c>
      <c r="K133" s="75">
        <v>110</v>
      </c>
      <c r="L133" s="75">
        <v>143</v>
      </c>
      <c r="M133" s="75">
        <v>106</v>
      </c>
      <c r="N133" s="75">
        <v>108</v>
      </c>
      <c r="O133" s="75">
        <v>63</v>
      </c>
      <c r="P133" s="75">
        <v>66</v>
      </c>
      <c r="Q133" s="75">
        <v>74</v>
      </c>
    </row>
    <row r="134" spans="3:17">
      <c r="C134" s="327" t="s">
        <v>405</v>
      </c>
      <c r="D134" s="75">
        <v>28</v>
      </c>
      <c r="E134" s="75">
        <v>12</v>
      </c>
      <c r="F134" s="75">
        <v>12</v>
      </c>
      <c r="G134" s="75">
        <v>13</v>
      </c>
      <c r="H134" s="75">
        <v>13</v>
      </c>
      <c r="I134" s="75">
        <v>13</v>
      </c>
      <c r="J134" s="75">
        <v>31</v>
      </c>
      <c r="K134" s="75">
        <v>14</v>
      </c>
      <c r="L134" s="75">
        <v>29</v>
      </c>
      <c r="M134" s="75">
        <v>12</v>
      </c>
      <c r="N134" s="75">
        <v>9</v>
      </c>
      <c r="O134" s="75">
        <v>17</v>
      </c>
      <c r="P134" s="75">
        <v>8</v>
      </c>
      <c r="Q134" s="75">
        <v>23</v>
      </c>
    </row>
    <row r="135" spans="3:17">
      <c r="C135" s="327" t="s">
        <v>406</v>
      </c>
      <c r="D135" s="75">
        <v>12</v>
      </c>
      <c r="E135" s="75">
        <v>8</v>
      </c>
      <c r="F135" s="75">
        <v>20</v>
      </c>
      <c r="G135" s="75">
        <v>14</v>
      </c>
      <c r="H135" s="75">
        <v>9</v>
      </c>
      <c r="I135" s="75">
        <v>19</v>
      </c>
      <c r="J135" s="75">
        <v>17</v>
      </c>
      <c r="K135" s="75">
        <v>16</v>
      </c>
      <c r="L135" s="75">
        <v>13</v>
      </c>
      <c r="M135" s="75">
        <v>20</v>
      </c>
      <c r="N135" s="75">
        <v>6</v>
      </c>
      <c r="O135" s="75">
        <v>18</v>
      </c>
      <c r="P135" s="75">
        <v>12</v>
      </c>
      <c r="Q135" s="75">
        <v>10</v>
      </c>
    </row>
    <row r="136" spans="3:17">
      <c r="C136" s="327" t="s">
        <v>407</v>
      </c>
      <c r="D136" s="75">
        <v>48</v>
      </c>
      <c r="E136" s="75">
        <v>52</v>
      </c>
      <c r="F136" s="75">
        <v>85</v>
      </c>
      <c r="G136" s="75">
        <v>59</v>
      </c>
      <c r="H136" s="75">
        <v>55</v>
      </c>
      <c r="I136" s="75">
        <v>55</v>
      </c>
      <c r="J136" s="75">
        <v>73</v>
      </c>
      <c r="K136" s="75">
        <v>72</v>
      </c>
      <c r="L136" s="75">
        <v>106</v>
      </c>
      <c r="M136" s="75">
        <v>55</v>
      </c>
      <c r="N136" s="75">
        <v>59</v>
      </c>
      <c r="O136" s="75">
        <v>84</v>
      </c>
      <c r="P136" s="75">
        <v>25</v>
      </c>
      <c r="Q136" s="75">
        <v>64</v>
      </c>
    </row>
    <row r="137" spans="3:17">
      <c r="C137" s="327" t="s">
        <v>408</v>
      </c>
      <c r="D137" s="75">
        <v>11</v>
      </c>
      <c r="E137" s="75">
        <v>5</v>
      </c>
      <c r="F137" s="75">
        <v>5</v>
      </c>
      <c r="G137" s="75">
        <v>2</v>
      </c>
      <c r="H137" s="75">
        <v>4</v>
      </c>
      <c r="I137" s="75">
        <v>19</v>
      </c>
      <c r="J137" s="75">
        <v>4</v>
      </c>
      <c r="K137" s="75">
        <v>7</v>
      </c>
      <c r="L137" s="75">
        <v>6</v>
      </c>
      <c r="M137" s="75">
        <v>2</v>
      </c>
      <c r="N137" s="75">
        <v>2</v>
      </c>
      <c r="O137" s="75">
        <v>8</v>
      </c>
      <c r="P137" s="75">
        <v>3</v>
      </c>
      <c r="Q137" s="75">
        <v>6</v>
      </c>
    </row>
    <row r="138" spans="3:17">
      <c r="C138" s="327" t="s">
        <v>409</v>
      </c>
      <c r="D138" s="75">
        <v>10</v>
      </c>
      <c r="E138" s="75">
        <v>16</v>
      </c>
      <c r="F138" s="75">
        <v>19</v>
      </c>
      <c r="G138" s="75">
        <v>17</v>
      </c>
      <c r="H138" s="75">
        <v>31</v>
      </c>
      <c r="I138" s="75">
        <v>28</v>
      </c>
      <c r="J138" s="75">
        <v>16</v>
      </c>
      <c r="K138" s="75">
        <v>7</v>
      </c>
      <c r="L138" s="75">
        <v>13</v>
      </c>
      <c r="M138" s="75">
        <v>16</v>
      </c>
      <c r="N138" s="75">
        <v>14</v>
      </c>
      <c r="O138" s="75">
        <v>9</v>
      </c>
      <c r="P138" s="75">
        <v>6</v>
      </c>
      <c r="Q138" s="75">
        <v>31</v>
      </c>
    </row>
    <row r="139" spans="3:17">
      <c r="C139" s="327" t="s">
        <v>410</v>
      </c>
      <c r="D139" s="75">
        <v>68</v>
      </c>
      <c r="E139" s="75">
        <v>71</v>
      </c>
      <c r="F139" s="75">
        <v>71</v>
      </c>
      <c r="G139" s="75">
        <v>65</v>
      </c>
      <c r="H139" s="75">
        <v>186</v>
      </c>
      <c r="I139" s="75">
        <v>69</v>
      </c>
      <c r="J139" s="75">
        <v>79</v>
      </c>
      <c r="K139" s="75">
        <v>72</v>
      </c>
      <c r="L139" s="75">
        <v>94</v>
      </c>
      <c r="M139" s="75">
        <v>117</v>
      </c>
      <c r="N139" s="75">
        <v>84</v>
      </c>
      <c r="O139" s="75">
        <v>69</v>
      </c>
      <c r="P139" s="75">
        <v>56</v>
      </c>
      <c r="Q139" s="75">
        <v>74</v>
      </c>
    </row>
    <row r="140" spans="3:17">
      <c r="C140" s="327" t="s">
        <v>411</v>
      </c>
      <c r="D140" s="75">
        <v>19</v>
      </c>
      <c r="E140" s="75">
        <v>46</v>
      </c>
      <c r="F140" s="75">
        <v>19</v>
      </c>
      <c r="G140" s="75">
        <v>107</v>
      </c>
      <c r="H140" s="75">
        <v>75</v>
      </c>
      <c r="I140" s="75">
        <v>50</v>
      </c>
      <c r="J140" s="75">
        <v>53</v>
      </c>
      <c r="K140" s="75">
        <v>33</v>
      </c>
      <c r="L140" s="75">
        <v>30</v>
      </c>
      <c r="M140" s="75">
        <v>35</v>
      </c>
      <c r="N140" s="75">
        <v>24</v>
      </c>
      <c r="O140" s="75">
        <v>32</v>
      </c>
      <c r="P140" s="75">
        <v>22</v>
      </c>
      <c r="Q140" s="75">
        <v>27</v>
      </c>
    </row>
    <row r="141" spans="3:17">
      <c r="C141" s="327" t="s">
        <v>412</v>
      </c>
      <c r="D141" s="75">
        <v>7</v>
      </c>
      <c r="E141" s="75">
        <v>8</v>
      </c>
      <c r="F141" s="75">
        <v>17</v>
      </c>
      <c r="G141" s="75">
        <v>12</v>
      </c>
      <c r="H141" s="75">
        <v>13</v>
      </c>
      <c r="I141" s="75">
        <v>16</v>
      </c>
      <c r="J141" s="75">
        <v>13</v>
      </c>
      <c r="K141" s="75">
        <v>19</v>
      </c>
      <c r="L141" s="75">
        <v>25</v>
      </c>
      <c r="M141" s="75">
        <v>29</v>
      </c>
      <c r="N141" s="75">
        <v>24</v>
      </c>
      <c r="O141" s="75">
        <v>6</v>
      </c>
      <c r="P141" s="75">
        <v>5</v>
      </c>
      <c r="Q141" s="75">
        <v>9</v>
      </c>
    </row>
    <row r="142" spans="3:17">
      <c r="C142" s="327" t="s">
        <v>416</v>
      </c>
      <c r="D142" s="75">
        <v>15</v>
      </c>
      <c r="E142" s="75">
        <v>17</v>
      </c>
      <c r="F142" s="75">
        <v>10</v>
      </c>
      <c r="G142" s="75">
        <v>17</v>
      </c>
      <c r="H142" s="75">
        <v>7</v>
      </c>
      <c r="I142" s="75">
        <v>4</v>
      </c>
      <c r="J142" s="75">
        <v>21</v>
      </c>
      <c r="K142" s="75">
        <v>38</v>
      </c>
      <c r="L142" s="75">
        <v>9</v>
      </c>
      <c r="M142" s="75">
        <v>21</v>
      </c>
      <c r="N142" s="75">
        <v>16</v>
      </c>
      <c r="O142" s="75">
        <v>10</v>
      </c>
      <c r="P142" s="75">
        <v>8</v>
      </c>
      <c r="Q142" s="75">
        <v>6</v>
      </c>
    </row>
    <row r="143" spans="3:17">
      <c r="C143" s="327" t="s">
        <v>418</v>
      </c>
      <c r="D143" s="75">
        <v>31</v>
      </c>
      <c r="E143" s="75">
        <v>29</v>
      </c>
      <c r="F143" s="75">
        <v>40</v>
      </c>
      <c r="G143" s="75">
        <v>38</v>
      </c>
      <c r="H143" s="75">
        <v>55</v>
      </c>
      <c r="I143" s="75">
        <v>61</v>
      </c>
      <c r="J143" s="75">
        <v>42</v>
      </c>
      <c r="K143" s="75">
        <v>37</v>
      </c>
      <c r="L143" s="75">
        <v>36</v>
      </c>
      <c r="M143" s="75">
        <v>69</v>
      </c>
      <c r="N143" s="75">
        <v>47</v>
      </c>
      <c r="O143" s="75">
        <v>25</v>
      </c>
      <c r="P143" s="75">
        <v>22</v>
      </c>
      <c r="Q143" s="75">
        <v>13</v>
      </c>
    </row>
    <row r="144" spans="3:17">
      <c r="C144" s="327" t="s">
        <v>419</v>
      </c>
      <c r="D144" s="75">
        <v>80</v>
      </c>
      <c r="E144" s="75">
        <v>103</v>
      </c>
      <c r="F144" s="75">
        <v>100</v>
      </c>
      <c r="G144" s="75">
        <v>141</v>
      </c>
      <c r="H144" s="75">
        <v>231</v>
      </c>
      <c r="I144" s="75">
        <v>112</v>
      </c>
      <c r="J144" s="75">
        <v>216</v>
      </c>
      <c r="K144" s="75">
        <v>330</v>
      </c>
      <c r="L144" s="75">
        <v>242</v>
      </c>
      <c r="M144" s="75">
        <v>196</v>
      </c>
      <c r="N144" s="75">
        <v>103</v>
      </c>
      <c r="O144" s="75">
        <v>139</v>
      </c>
      <c r="P144" s="75">
        <v>99</v>
      </c>
      <c r="Q144" s="75">
        <v>82</v>
      </c>
    </row>
    <row r="145" spans="3:17">
      <c r="C145" s="327" t="s">
        <v>420</v>
      </c>
      <c r="D145" s="75">
        <v>33</v>
      </c>
      <c r="E145" s="75">
        <v>15</v>
      </c>
      <c r="F145" s="75">
        <v>15</v>
      </c>
      <c r="G145" s="75">
        <v>92</v>
      </c>
      <c r="H145" s="75">
        <v>29</v>
      </c>
      <c r="I145" s="75">
        <v>59</v>
      </c>
      <c r="J145" s="75">
        <v>57</v>
      </c>
      <c r="K145" s="75">
        <v>32</v>
      </c>
      <c r="L145" s="75">
        <v>34</v>
      </c>
      <c r="M145" s="75">
        <v>26</v>
      </c>
      <c r="N145" s="75">
        <v>33</v>
      </c>
      <c r="O145" s="75">
        <v>13</v>
      </c>
      <c r="P145" s="75">
        <v>14</v>
      </c>
      <c r="Q145" s="75">
        <v>13</v>
      </c>
    </row>
    <row r="146" spans="3:17">
      <c r="C146" s="327" t="s">
        <v>421</v>
      </c>
      <c r="D146" s="75">
        <v>31</v>
      </c>
      <c r="E146" s="75">
        <v>23</v>
      </c>
      <c r="F146" s="75">
        <v>35</v>
      </c>
      <c r="G146" s="75">
        <v>30</v>
      </c>
      <c r="H146" s="75">
        <v>37</v>
      </c>
      <c r="I146" s="75">
        <v>14</v>
      </c>
      <c r="J146" s="75">
        <v>41</v>
      </c>
      <c r="K146" s="75">
        <v>46</v>
      </c>
      <c r="L146" s="75">
        <v>28</v>
      </c>
      <c r="M146" s="75">
        <v>40</v>
      </c>
      <c r="N146" s="75">
        <v>36</v>
      </c>
      <c r="O146" s="75">
        <v>31</v>
      </c>
      <c r="P146" s="75">
        <v>24</v>
      </c>
      <c r="Q146" s="75">
        <v>20</v>
      </c>
    </row>
    <row r="147" spans="3:17">
      <c r="C147" s="327" t="s">
        <v>211</v>
      </c>
      <c r="D147" s="75">
        <v>896</v>
      </c>
      <c r="E147" s="75">
        <v>1036</v>
      </c>
      <c r="F147" s="75">
        <v>876</v>
      </c>
      <c r="G147" s="75">
        <v>1061</v>
      </c>
      <c r="H147" s="75">
        <v>1157</v>
      </c>
      <c r="I147" s="75">
        <v>1164</v>
      </c>
      <c r="J147" s="75">
        <v>1383</v>
      </c>
      <c r="K147" s="75">
        <v>1072</v>
      </c>
      <c r="L147" s="75">
        <v>919</v>
      </c>
      <c r="M147" s="75">
        <v>858</v>
      </c>
      <c r="N147" s="75">
        <v>718</v>
      </c>
      <c r="O147" s="75">
        <v>573</v>
      </c>
      <c r="P147" s="75">
        <v>617</v>
      </c>
      <c r="Q147" s="75">
        <v>507</v>
      </c>
    </row>
    <row r="148" spans="3:17">
      <c r="C148" s="327" t="s">
        <v>422</v>
      </c>
      <c r="D148" s="75">
        <v>145</v>
      </c>
      <c r="E148" s="75">
        <v>79</v>
      </c>
      <c r="F148" s="75">
        <v>75</v>
      </c>
      <c r="G148" s="75">
        <v>129</v>
      </c>
      <c r="H148" s="75">
        <v>97</v>
      </c>
      <c r="I148" s="75">
        <v>166</v>
      </c>
      <c r="J148" s="75">
        <v>144</v>
      </c>
      <c r="K148" s="75">
        <v>139</v>
      </c>
      <c r="L148" s="75">
        <v>82</v>
      </c>
      <c r="M148" s="75">
        <v>139</v>
      </c>
      <c r="N148" s="75">
        <v>65</v>
      </c>
      <c r="O148" s="75">
        <v>64</v>
      </c>
      <c r="P148" s="75">
        <v>82</v>
      </c>
      <c r="Q148" s="75">
        <v>64</v>
      </c>
    </row>
    <row r="149" spans="3:17">
      <c r="C149" s="327" t="s">
        <v>423</v>
      </c>
      <c r="D149" s="75">
        <v>111</v>
      </c>
      <c r="E149" s="75">
        <v>157</v>
      </c>
      <c r="F149" s="75">
        <v>81</v>
      </c>
      <c r="G149" s="75">
        <v>136</v>
      </c>
      <c r="H149" s="75">
        <v>172</v>
      </c>
      <c r="I149" s="75">
        <v>205</v>
      </c>
      <c r="J149" s="75">
        <v>206</v>
      </c>
      <c r="K149" s="75">
        <v>138</v>
      </c>
      <c r="L149" s="75">
        <v>93</v>
      </c>
      <c r="M149" s="75">
        <v>112</v>
      </c>
      <c r="N149" s="75">
        <v>90</v>
      </c>
      <c r="O149" s="75">
        <v>73</v>
      </c>
      <c r="P149" s="75">
        <v>43</v>
      </c>
      <c r="Q149" s="75">
        <v>43</v>
      </c>
    </row>
    <row r="150" spans="3:17">
      <c r="C150" s="327" t="s">
        <v>424</v>
      </c>
      <c r="D150" s="75">
        <v>23</v>
      </c>
      <c r="E150" s="75">
        <v>106</v>
      </c>
      <c r="F150" s="75">
        <v>46</v>
      </c>
      <c r="G150" s="75">
        <v>48</v>
      </c>
      <c r="H150" s="75">
        <v>36</v>
      </c>
      <c r="I150" s="75">
        <v>34</v>
      </c>
      <c r="J150" s="75">
        <v>42</v>
      </c>
      <c r="K150" s="75">
        <v>28</v>
      </c>
      <c r="L150" s="75">
        <v>34</v>
      </c>
      <c r="M150" s="75">
        <v>25</v>
      </c>
      <c r="N150" s="75">
        <v>43</v>
      </c>
      <c r="O150" s="75">
        <v>12</v>
      </c>
      <c r="P150" s="75">
        <v>8</v>
      </c>
      <c r="Q150" s="75">
        <v>17</v>
      </c>
    </row>
    <row r="151" spans="3:17">
      <c r="C151" s="327" t="s">
        <v>425</v>
      </c>
      <c r="D151" s="75">
        <v>44</v>
      </c>
      <c r="E151" s="75">
        <v>111</v>
      </c>
      <c r="F151" s="75">
        <v>102</v>
      </c>
      <c r="G151" s="75">
        <v>96</v>
      </c>
      <c r="H151" s="75">
        <v>77</v>
      </c>
      <c r="I151" s="75">
        <v>85</v>
      </c>
      <c r="J151" s="75">
        <v>111</v>
      </c>
      <c r="K151" s="75">
        <v>67</v>
      </c>
      <c r="L151" s="75">
        <v>103</v>
      </c>
      <c r="M151" s="75">
        <v>97</v>
      </c>
      <c r="N151" s="75">
        <v>89</v>
      </c>
      <c r="O151" s="75">
        <v>51</v>
      </c>
      <c r="P151" s="75">
        <v>74</v>
      </c>
      <c r="Q151" s="75">
        <v>53</v>
      </c>
    </row>
    <row r="152" spans="3:17">
      <c r="C152" s="327" t="s">
        <v>426</v>
      </c>
      <c r="D152" s="75">
        <v>43</v>
      </c>
      <c r="E152" s="75">
        <v>44</v>
      </c>
      <c r="F152" s="75">
        <v>67</v>
      </c>
      <c r="G152" s="75">
        <v>81</v>
      </c>
      <c r="H152" s="75">
        <v>66</v>
      </c>
      <c r="I152" s="75">
        <v>39</v>
      </c>
      <c r="J152" s="75">
        <v>97</v>
      </c>
      <c r="K152" s="75">
        <v>74</v>
      </c>
      <c r="L152" s="75">
        <v>65</v>
      </c>
      <c r="M152" s="75">
        <v>42</v>
      </c>
      <c r="N152" s="75">
        <v>56</v>
      </c>
      <c r="O152" s="75">
        <v>46</v>
      </c>
      <c r="P152" s="75">
        <v>26</v>
      </c>
      <c r="Q152" s="75">
        <v>32</v>
      </c>
    </row>
    <row r="153" spans="3:17">
      <c r="C153" s="327" t="s">
        <v>427</v>
      </c>
      <c r="D153" s="75">
        <v>42</v>
      </c>
      <c r="E153" s="75">
        <v>94</v>
      </c>
      <c r="F153" s="75">
        <v>53</v>
      </c>
      <c r="G153" s="75">
        <v>101</v>
      </c>
      <c r="H153" s="75">
        <v>77</v>
      </c>
      <c r="I153" s="75">
        <v>46</v>
      </c>
      <c r="J153" s="75">
        <v>43</v>
      </c>
      <c r="K153" s="75">
        <v>34</v>
      </c>
      <c r="L153" s="75">
        <v>93</v>
      </c>
      <c r="M153" s="75">
        <v>73</v>
      </c>
      <c r="N153" s="75">
        <v>74</v>
      </c>
      <c r="O153" s="75">
        <v>36</v>
      </c>
      <c r="P153" s="75">
        <v>50</v>
      </c>
      <c r="Q153" s="75">
        <v>37</v>
      </c>
    </row>
    <row r="154" spans="3:17">
      <c r="C154" s="327" t="s">
        <v>1150</v>
      </c>
      <c r="D154" s="257"/>
      <c r="E154" s="257"/>
      <c r="F154" s="257"/>
      <c r="G154" s="257"/>
      <c r="H154" s="257"/>
      <c r="I154" s="257"/>
      <c r="J154" s="257"/>
      <c r="K154" s="257"/>
      <c r="L154" s="257"/>
      <c r="M154" s="75">
        <v>370</v>
      </c>
      <c r="N154" s="75">
        <v>301</v>
      </c>
      <c r="O154" s="75">
        <v>291</v>
      </c>
      <c r="P154" s="75">
        <v>334</v>
      </c>
      <c r="Q154" s="75">
        <v>261</v>
      </c>
    </row>
    <row r="155" spans="3:17">
      <c r="C155" s="327" t="s">
        <v>429</v>
      </c>
      <c r="D155" s="75">
        <v>149</v>
      </c>
      <c r="E155" s="75">
        <v>159</v>
      </c>
      <c r="F155" s="75">
        <v>196</v>
      </c>
      <c r="G155" s="75">
        <v>196</v>
      </c>
      <c r="H155" s="75">
        <v>314</v>
      </c>
      <c r="I155" s="75">
        <v>222</v>
      </c>
      <c r="J155" s="75">
        <v>356</v>
      </c>
      <c r="K155" s="75">
        <v>259</v>
      </c>
      <c r="L155" s="75">
        <v>207</v>
      </c>
      <c r="M155" s="257"/>
      <c r="N155" s="257"/>
      <c r="O155" s="257"/>
      <c r="P155" s="257"/>
      <c r="Q155" s="257"/>
    </row>
    <row r="156" spans="3:17">
      <c r="C156" s="327" t="s">
        <v>430</v>
      </c>
      <c r="D156" s="75">
        <v>13</v>
      </c>
      <c r="E156" s="75">
        <v>23</v>
      </c>
      <c r="F156" s="75">
        <v>32</v>
      </c>
      <c r="G156" s="75">
        <v>47</v>
      </c>
      <c r="H156" s="75">
        <v>53</v>
      </c>
      <c r="I156" s="75">
        <v>66</v>
      </c>
      <c r="J156" s="75">
        <v>88</v>
      </c>
      <c r="K156" s="75">
        <v>62</v>
      </c>
      <c r="L156" s="75">
        <v>22</v>
      </c>
      <c r="M156" s="257"/>
      <c r="N156" s="257"/>
      <c r="O156" s="257"/>
      <c r="P156" s="257"/>
      <c r="Q156" s="257"/>
    </row>
    <row r="157" spans="3:17">
      <c r="C157" s="327" t="s">
        <v>431</v>
      </c>
      <c r="D157" s="75">
        <v>293</v>
      </c>
      <c r="E157" s="75">
        <v>206</v>
      </c>
      <c r="F157" s="75">
        <v>169</v>
      </c>
      <c r="G157" s="75">
        <v>169</v>
      </c>
      <c r="H157" s="75">
        <v>209</v>
      </c>
      <c r="I157" s="75">
        <v>244</v>
      </c>
      <c r="J157" s="75">
        <v>236</v>
      </c>
      <c r="K157" s="75">
        <v>232</v>
      </c>
      <c r="L157" s="75">
        <v>191</v>
      </c>
      <c r="M157" s="257"/>
      <c r="N157" s="257"/>
      <c r="O157" s="257"/>
      <c r="P157" s="257"/>
      <c r="Q157" s="257"/>
    </row>
    <row r="158" spans="3:17">
      <c r="C158" s="327" t="s">
        <v>432</v>
      </c>
      <c r="D158" s="75">
        <v>33</v>
      </c>
      <c r="E158" s="75">
        <v>57</v>
      </c>
      <c r="F158" s="75">
        <v>55</v>
      </c>
      <c r="G158" s="75">
        <v>58</v>
      </c>
      <c r="H158" s="75">
        <v>56</v>
      </c>
      <c r="I158" s="75">
        <v>57</v>
      </c>
      <c r="J158" s="75">
        <v>60</v>
      </c>
      <c r="K158" s="75">
        <v>39</v>
      </c>
      <c r="L158" s="75">
        <v>29</v>
      </c>
      <c r="M158" s="257"/>
      <c r="N158" s="257"/>
      <c r="O158" s="257"/>
      <c r="P158" s="257"/>
      <c r="Q158" s="257"/>
    </row>
    <row r="159" spans="3:17">
      <c r="C159" s="327" t="s">
        <v>212</v>
      </c>
      <c r="D159" s="75">
        <v>1527</v>
      </c>
      <c r="E159" s="75">
        <v>1103</v>
      </c>
      <c r="F159" s="75">
        <v>1030</v>
      </c>
      <c r="G159" s="75">
        <v>1362</v>
      </c>
      <c r="H159" s="75">
        <v>1419</v>
      </c>
      <c r="I159" s="75">
        <v>2682</v>
      </c>
      <c r="J159" s="75">
        <v>2449</v>
      </c>
      <c r="K159" s="75">
        <v>1558</v>
      </c>
      <c r="L159" s="75">
        <v>1194</v>
      </c>
      <c r="M159" s="75">
        <v>1079</v>
      </c>
      <c r="N159" s="75">
        <v>1037</v>
      </c>
      <c r="O159" s="75">
        <v>842</v>
      </c>
      <c r="P159" s="75">
        <v>855</v>
      </c>
      <c r="Q159" s="75">
        <v>811</v>
      </c>
    </row>
    <row r="160" spans="3:17">
      <c r="C160" s="327" t="s">
        <v>339</v>
      </c>
      <c r="D160" s="75">
        <v>591</v>
      </c>
      <c r="E160" s="75">
        <v>397</v>
      </c>
      <c r="F160" s="75">
        <v>288</v>
      </c>
      <c r="G160" s="75">
        <v>320</v>
      </c>
      <c r="H160" s="75">
        <v>408</v>
      </c>
      <c r="I160" s="75">
        <v>545</v>
      </c>
      <c r="J160" s="75">
        <v>497</v>
      </c>
      <c r="K160" s="75">
        <v>454</v>
      </c>
      <c r="L160" s="75">
        <v>339</v>
      </c>
      <c r="M160" s="75">
        <v>282</v>
      </c>
      <c r="N160" s="75">
        <v>271</v>
      </c>
      <c r="O160" s="75">
        <v>231</v>
      </c>
      <c r="P160" s="75">
        <v>284</v>
      </c>
      <c r="Q160" s="75">
        <v>228</v>
      </c>
    </row>
    <row r="161" spans="1:17">
      <c r="C161" s="327" t="s">
        <v>433</v>
      </c>
      <c r="D161" s="75">
        <v>199</v>
      </c>
      <c r="E161" s="75">
        <v>153</v>
      </c>
      <c r="F161" s="75">
        <v>168</v>
      </c>
      <c r="G161" s="75">
        <v>376</v>
      </c>
      <c r="H161" s="75">
        <v>294</v>
      </c>
      <c r="I161" s="75">
        <v>445</v>
      </c>
      <c r="J161" s="75">
        <v>323</v>
      </c>
      <c r="K161" s="75">
        <v>177</v>
      </c>
      <c r="L161" s="75">
        <v>78</v>
      </c>
      <c r="M161" s="75">
        <v>107</v>
      </c>
      <c r="N161" s="75">
        <v>197</v>
      </c>
      <c r="O161" s="75">
        <v>108</v>
      </c>
      <c r="P161" s="75">
        <v>115</v>
      </c>
      <c r="Q161" s="75">
        <v>90</v>
      </c>
    </row>
    <row r="162" spans="1:17">
      <c r="C162" s="327" t="s">
        <v>434</v>
      </c>
      <c r="D162" s="75">
        <v>35</v>
      </c>
      <c r="E162" s="75">
        <v>32</v>
      </c>
      <c r="F162" s="75">
        <v>66</v>
      </c>
      <c r="G162" s="75">
        <v>52</v>
      </c>
      <c r="H162" s="75">
        <v>39</v>
      </c>
      <c r="I162" s="75">
        <v>199</v>
      </c>
      <c r="J162" s="75">
        <v>117</v>
      </c>
      <c r="K162" s="75">
        <v>32</v>
      </c>
      <c r="L162" s="75">
        <v>41</v>
      </c>
      <c r="M162" s="75">
        <v>55</v>
      </c>
      <c r="N162" s="75">
        <v>56</v>
      </c>
      <c r="O162" s="75">
        <v>24</v>
      </c>
      <c r="P162" s="75">
        <v>18</v>
      </c>
      <c r="Q162" s="75">
        <v>12</v>
      </c>
    </row>
    <row r="163" spans="1:17">
      <c r="C163" s="327" t="s">
        <v>435</v>
      </c>
      <c r="D163" s="75">
        <v>17</v>
      </c>
      <c r="E163" s="75">
        <v>21</v>
      </c>
      <c r="F163" s="75">
        <v>28</v>
      </c>
      <c r="G163" s="75">
        <v>40</v>
      </c>
      <c r="H163" s="75">
        <v>60</v>
      </c>
      <c r="I163" s="75">
        <v>341</v>
      </c>
      <c r="J163" s="75">
        <v>449</v>
      </c>
      <c r="K163" s="75">
        <v>182</v>
      </c>
      <c r="L163" s="75">
        <v>74</v>
      </c>
      <c r="M163" s="75">
        <v>77</v>
      </c>
      <c r="N163" s="75">
        <v>38</v>
      </c>
      <c r="O163" s="75">
        <v>65</v>
      </c>
      <c r="P163" s="75">
        <v>107</v>
      </c>
      <c r="Q163" s="75">
        <v>61</v>
      </c>
    </row>
    <row r="164" spans="1:17">
      <c r="C164" s="327" t="s">
        <v>397</v>
      </c>
      <c r="D164" s="75">
        <v>33</v>
      </c>
      <c r="E164" s="75">
        <v>48</v>
      </c>
      <c r="F164" s="75">
        <v>20</v>
      </c>
      <c r="G164" s="75">
        <v>21</v>
      </c>
      <c r="H164" s="75">
        <v>49</v>
      </c>
      <c r="I164" s="75">
        <v>305</v>
      </c>
      <c r="J164" s="75">
        <v>180</v>
      </c>
      <c r="K164" s="75">
        <v>121</v>
      </c>
      <c r="L164" s="75">
        <v>52</v>
      </c>
      <c r="M164" s="75">
        <v>72</v>
      </c>
      <c r="N164" s="75">
        <v>34</v>
      </c>
      <c r="O164" s="75">
        <v>29</v>
      </c>
      <c r="P164" s="75">
        <v>18</v>
      </c>
      <c r="Q164" s="75">
        <v>18</v>
      </c>
    </row>
    <row r="165" spans="1:17">
      <c r="C165" s="327" t="s">
        <v>436</v>
      </c>
      <c r="D165" s="75">
        <v>43</v>
      </c>
      <c r="E165" s="75">
        <v>98</v>
      </c>
      <c r="F165" s="75">
        <v>67</v>
      </c>
      <c r="G165" s="75">
        <v>98</v>
      </c>
      <c r="H165" s="75">
        <v>124</v>
      </c>
      <c r="I165" s="75">
        <v>133</v>
      </c>
      <c r="J165" s="75">
        <v>165</v>
      </c>
      <c r="K165" s="75">
        <v>144</v>
      </c>
      <c r="L165" s="75">
        <v>115</v>
      </c>
      <c r="M165" s="75">
        <v>88</v>
      </c>
      <c r="N165" s="75">
        <v>47</v>
      </c>
      <c r="O165" s="75">
        <v>69</v>
      </c>
      <c r="P165" s="75">
        <v>60</v>
      </c>
      <c r="Q165" s="75">
        <v>92</v>
      </c>
    </row>
    <row r="166" spans="1:17">
      <c r="C166" s="327" t="s">
        <v>437</v>
      </c>
      <c r="D166" s="75">
        <v>182</v>
      </c>
      <c r="E166" s="75">
        <v>55</v>
      </c>
      <c r="F166" s="75">
        <v>95</v>
      </c>
      <c r="G166" s="75">
        <v>105</v>
      </c>
      <c r="H166" s="75">
        <v>83</v>
      </c>
      <c r="I166" s="75">
        <v>224</v>
      </c>
      <c r="J166" s="75">
        <v>317</v>
      </c>
      <c r="K166" s="75">
        <v>105</v>
      </c>
      <c r="L166" s="75">
        <v>79</v>
      </c>
      <c r="M166" s="75">
        <v>101</v>
      </c>
      <c r="N166" s="75">
        <v>72</v>
      </c>
      <c r="O166" s="75">
        <v>63</v>
      </c>
      <c r="P166" s="75">
        <v>43</v>
      </c>
      <c r="Q166" s="75">
        <v>40</v>
      </c>
    </row>
    <row r="167" spans="1:17">
      <c r="C167" s="327" t="s">
        <v>438</v>
      </c>
      <c r="D167" s="75">
        <v>54</v>
      </c>
      <c r="E167" s="75">
        <v>44</v>
      </c>
      <c r="F167" s="75">
        <v>59</v>
      </c>
      <c r="G167" s="75">
        <v>55</v>
      </c>
      <c r="H167" s="75">
        <v>78</v>
      </c>
      <c r="I167" s="75">
        <v>80</v>
      </c>
      <c r="J167" s="75">
        <v>62</v>
      </c>
      <c r="K167" s="75">
        <v>111</v>
      </c>
      <c r="L167" s="75">
        <v>41</v>
      </c>
      <c r="M167" s="75">
        <v>26</v>
      </c>
      <c r="N167" s="75">
        <v>66</v>
      </c>
      <c r="O167" s="75">
        <v>39</v>
      </c>
      <c r="P167" s="75">
        <v>47</v>
      </c>
      <c r="Q167" s="75">
        <v>30</v>
      </c>
    </row>
    <row r="168" spans="1:17">
      <c r="C168" s="327" t="s">
        <v>439</v>
      </c>
      <c r="D168" s="75">
        <v>60</v>
      </c>
      <c r="E168" s="75">
        <v>56</v>
      </c>
      <c r="F168" s="75">
        <v>43</v>
      </c>
      <c r="G168" s="75">
        <v>47</v>
      </c>
      <c r="H168" s="75">
        <v>57</v>
      </c>
      <c r="I168" s="75">
        <v>109</v>
      </c>
      <c r="J168" s="75">
        <v>67</v>
      </c>
      <c r="K168" s="75">
        <v>40</v>
      </c>
      <c r="L168" s="75">
        <v>95</v>
      </c>
      <c r="M168" s="75">
        <v>60</v>
      </c>
      <c r="N168" s="75">
        <v>102</v>
      </c>
      <c r="O168" s="75">
        <v>42</v>
      </c>
      <c r="P168" s="75">
        <v>41</v>
      </c>
      <c r="Q168" s="75">
        <v>37</v>
      </c>
    </row>
    <row r="169" spans="1:17">
      <c r="C169" s="327" t="s">
        <v>440</v>
      </c>
      <c r="D169" s="75">
        <v>96</v>
      </c>
      <c r="E169" s="75">
        <v>68</v>
      </c>
      <c r="F169" s="75">
        <v>97</v>
      </c>
      <c r="G169" s="75">
        <v>137</v>
      </c>
      <c r="H169" s="75">
        <v>114</v>
      </c>
      <c r="I169" s="75">
        <v>147</v>
      </c>
      <c r="J169" s="75">
        <v>124</v>
      </c>
      <c r="K169" s="75">
        <v>81</v>
      </c>
      <c r="L169" s="75">
        <v>136</v>
      </c>
      <c r="M169" s="75">
        <v>105</v>
      </c>
      <c r="N169" s="75">
        <v>78</v>
      </c>
      <c r="O169" s="75">
        <v>85</v>
      </c>
      <c r="P169" s="75">
        <v>61</v>
      </c>
      <c r="Q169" s="75">
        <v>80</v>
      </c>
    </row>
    <row r="170" spans="1:17">
      <c r="A170" s="132"/>
      <c r="B170" s="132"/>
      <c r="C170" s="329" t="s">
        <v>441</v>
      </c>
      <c r="D170" s="132">
        <v>217</v>
      </c>
      <c r="E170" s="132">
        <v>131</v>
      </c>
      <c r="F170" s="132">
        <v>99</v>
      </c>
      <c r="G170" s="132">
        <v>111</v>
      </c>
      <c r="H170" s="132">
        <v>113</v>
      </c>
      <c r="I170" s="132">
        <v>154</v>
      </c>
      <c r="J170" s="132">
        <v>148</v>
      </c>
      <c r="K170" s="132">
        <v>111</v>
      </c>
      <c r="L170" s="132">
        <v>144</v>
      </c>
      <c r="M170" s="132">
        <v>106</v>
      </c>
      <c r="N170" s="132">
        <v>76</v>
      </c>
      <c r="O170" s="132">
        <v>87</v>
      </c>
      <c r="P170" s="132">
        <v>61</v>
      </c>
      <c r="Q170" s="132">
        <v>123</v>
      </c>
    </row>
  </sheetData>
  <phoneticPr fontId="13"/>
  <pageMargins left="0.75" right="0.75" top="1" bottom="1" header="0.51200000000000001" footer="0.51200000000000001"/>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tabColor indexed="43"/>
  </sheetPr>
  <dimension ref="A1:X67"/>
  <sheetViews>
    <sheetView workbookViewId="0">
      <pane xSplit="2" ySplit="4" topLeftCell="L53" activePane="bottomRight" state="frozen"/>
      <selection pane="topRight" activeCell="C1" sqref="C1"/>
      <selection pane="bottomLeft" activeCell="A5" sqref="A5"/>
      <selection pane="bottomRight" activeCell="X58" sqref="X57:X58"/>
    </sheetView>
  </sheetViews>
  <sheetFormatPr defaultColWidth="8.7109375" defaultRowHeight="13"/>
  <cols>
    <col min="1" max="1" width="3.2109375" style="75" customWidth="1"/>
    <col min="2" max="16384" width="8.7109375" style="75"/>
  </cols>
  <sheetData>
    <row r="1" spans="1:24">
      <c r="B1" s="65" t="s">
        <v>820</v>
      </c>
      <c r="C1" s="74"/>
      <c r="H1" s="74" t="s">
        <v>351</v>
      </c>
      <c r="R1" s="628"/>
      <c r="S1" s="935"/>
      <c r="T1" s="935" t="s">
        <v>627</v>
      </c>
      <c r="U1" s="935" t="s">
        <v>948</v>
      </c>
      <c r="V1" s="75" t="s">
        <v>14</v>
      </c>
      <c r="W1" s="75" t="s">
        <v>14</v>
      </c>
      <c r="X1" s="75" t="s">
        <v>14</v>
      </c>
    </row>
    <row r="2" spans="1:24">
      <c r="A2" s="728"/>
      <c r="B2" s="729" t="s">
        <v>319</v>
      </c>
      <c r="C2" s="83">
        <v>2006</v>
      </c>
      <c r="D2" s="83">
        <v>2007</v>
      </c>
      <c r="E2" s="83">
        <v>2008</v>
      </c>
      <c r="F2" s="83">
        <v>2009</v>
      </c>
      <c r="G2" s="83">
        <v>2010</v>
      </c>
      <c r="H2" s="805">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7" t="s">
        <v>858</v>
      </c>
      <c r="F3" s="77" t="s">
        <v>859</v>
      </c>
      <c r="G3" s="77" t="s">
        <v>912</v>
      </c>
      <c r="H3" s="75" t="s">
        <v>101</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1561</v>
      </c>
      <c r="V3" s="75" t="s">
        <v>1603</v>
      </c>
      <c r="W3" s="75" t="s">
        <v>1745</v>
      </c>
      <c r="X3" s="491" t="s">
        <v>1783</v>
      </c>
    </row>
    <row r="4" spans="1:24">
      <c r="A4" s="730"/>
      <c r="B4" s="730" t="s">
        <v>320</v>
      </c>
      <c r="C4" s="78"/>
      <c r="D4" s="78" t="s">
        <v>672</v>
      </c>
      <c r="E4" s="78" t="s">
        <v>672</v>
      </c>
      <c r="F4" s="78" t="s">
        <v>672</v>
      </c>
      <c r="G4" s="78" t="s">
        <v>672</v>
      </c>
      <c r="H4" s="132" t="s">
        <v>839</v>
      </c>
      <c r="I4" s="132"/>
      <c r="J4" s="132"/>
      <c r="K4" s="132"/>
      <c r="L4" s="132"/>
      <c r="M4" s="132"/>
      <c r="N4" s="132"/>
      <c r="O4" s="132"/>
      <c r="P4" s="132"/>
      <c r="Q4" s="132"/>
      <c r="R4" s="132"/>
      <c r="S4" s="132"/>
      <c r="T4" s="132"/>
      <c r="X4" s="477"/>
    </row>
    <row r="5" spans="1:24">
      <c r="A5" s="895" t="s">
        <v>1349</v>
      </c>
      <c r="B5" s="732"/>
      <c r="C5" s="84">
        <f>+名目県内総支出!H30</f>
        <v>3711866.3625977878</v>
      </c>
      <c r="D5" s="84">
        <f>+名目県内総支出!I30</f>
        <v>3736616.2105134204</v>
      </c>
      <c r="E5" s="84">
        <f>+名目県内総支出!J30</f>
        <v>3734551.5783767458</v>
      </c>
      <c r="F5" s="84">
        <f>+名目県内総支出!K30</f>
        <v>3234769.1003289297</v>
      </c>
      <c r="G5" s="84">
        <f>+名目県内総支出!L30</f>
        <v>3363715.109477364</v>
      </c>
      <c r="H5" s="84">
        <f>+名目県内総支出!M30</f>
        <v>3347142</v>
      </c>
      <c r="I5" s="84">
        <f>+名目県内総支出!N30</f>
        <v>3292201</v>
      </c>
      <c r="J5" s="84">
        <f>+名目県内総支出!O30</f>
        <v>3477881</v>
      </c>
      <c r="K5" s="84">
        <f>+名目県内総支出!P30</f>
        <v>3560077</v>
      </c>
      <c r="L5" s="84">
        <f>+名目県内総支出!Q30</f>
        <v>3628849</v>
      </c>
      <c r="M5" s="84">
        <f>+名目県内総支出!R30</f>
        <v>3697164</v>
      </c>
      <c r="N5" s="84">
        <f>+名目県内総支出!S30</f>
        <v>3798503</v>
      </c>
      <c r="O5" s="84">
        <f>+名目県内総支出!T30</f>
        <v>3807596</v>
      </c>
      <c r="P5" s="84">
        <f>+名目県内総支出!U30</f>
        <v>3836860</v>
      </c>
      <c r="Q5" s="1080">
        <f>+名目県内総支出!V30</f>
        <v>3596246</v>
      </c>
      <c r="R5" s="1080">
        <f>+名目県内総支出!W30</f>
        <v>3725623</v>
      </c>
      <c r="S5" s="1080">
        <f>+名目県内総支出!X30</f>
        <v>4221035</v>
      </c>
      <c r="T5" s="1080">
        <f>+名目県内総支出!Y30</f>
        <v>4641804</v>
      </c>
      <c r="U5" s="1080">
        <f>+名目県内総支出!Z30</f>
        <v>4822905</v>
      </c>
      <c r="V5" s="1080">
        <f>+名目県内総支出!AA30</f>
        <v>5047977</v>
      </c>
      <c r="W5" s="1080">
        <f>+名目県内総支出!AB30</f>
        <v>5176975</v>
      </c>
      <c r="X5" s="1080">
        <f>+名目県内総支出!AC30</f>
        <v>5323344</v>
      </c>
    </row>
    <row r="6" spans="1:24">
      <c r="A6" s="732"/>
      <c r="B6" s="732" t="s">
        <v>322</v>
      </c>
      <c r="C6" s="736">
        <f>民間設備製造1!C6+民間設備非製造!C6</f>
        <v>3759498.801716405</v>
      </c>
      <c r="D6" s="736">
        <f>民間設備製造1!D6+民間設備非製造!D6</f>
        <v>3702513.600249907</v>
      </c>
      <c r="E6" s="736">
        <f>民間設備製造1!E6+民間設備非製造!E6</f>
        <v>3699411.2620887607</v>
      </c>
      <c r="F6" s="736">
        <f>民間設備製造1!F6+民間設備非製造!F6</f>
        <v>3227882.7729199487</v>
      </c>
      <c r="G6" s="736">
        <f>民間設備製造1!G6+民間設備非製造!G6</f>
        <v>3384514.6039532484</v>
      </c>
      <c r="H6" s="736">
        <f>民間設備製造1!H6+民間設備非製造!H6</f>
        <v>3388690.5626262943</v>
      </c>
      <c r="I6" s="736">
        <f>民間設備製造1!I6+民間設備非製造!I6</f>
        <v>3305475.4796433249</v>
      </c>
      <c r="J6" s="736">
        <f>民間設備製造1!J6+民間設備非製造!J6</f>
        <v>3483420.1353922235</v>
      </c>
      <c r="K6" s="736">
        <f>民間設備製造1!K6+民間設備非製造!K6</f>
        <v>3610302.2464033235</v>
      </c>
      <c r="L6" s="736">
        <f>民間設備製造1!L6+民間設備非製造!L6</f>
        <v>3603657.7222059178</v>
      </c>
      <c r="M6" s="736">
        <f>民間設備製造1!M6+民間設備非製造!M6</f>
        <v>3681128.1646797853</v>
      </c>
      <c r="N6" s="736">
        <f>民間設備製造1!N6+民間設備非製造!N6</f>
        <v>3804766.6063577845</v>
      </c>
      <c r="O6" s="736">
        <f>民間設備製造1!O6+民間設備非製造!O6</f>
        <v>3802900.1845086929</v>
      </c>
      <c r="P6" s="736">
        <f>民間設備製造1!P6+民間設備非製造!P6</f>
        <v>3821607.3370105047</v>
      </c>
      <c r="Q6" s="736">
        <f>民間設備製造1!Q6+民間設備非製造!Q6</f>
        <v>3596246</v>
      </c>
      <c r="R6" s="736">
        <f>民間設備製造1!R6+民間設備非製造!R6</f>
        <v>3725623</v>
      </c>
      <c r="S6" s="736">
        <f>民間設備製造1!S6+民間設備非製造!S6</f>
        <v>4221035</v>
      </c>
      <c r="T6" s="736">
        <f>民間設備製造1!T6+民間設備非製造!T6</f>
        <v>4641804</v>
      </c>
      <c r="U6" s="736">
        <f>民間設備製造1!U6+民間設備非製造!U6</f>
        <v>4822905</v>
      </c>
      <c r="V6" s="736">
        <f>民間設備製造1!V6+民間設備非製造!V6</f>
        <v>5047977</v>
      </c>
      <c r="W6" s="736">
        <f>民間設備製造1!W6+民間設備非製造!W6</f>
        <v>5176975</v>
      </c>
      <c r="X6" s="736">
        <f>民間設備製造1!X6+民間設備非製造!X6</f>
        <v>5323344</v>
      </c>
    </row>
    <row r="7" spans="1:24">
      <c r="A7" s="730">
        <v>100</v>
      </c>
      <c r="B7" s="730" t="s">
        <v>172</v>
      </c>
      <c r="C7" s="733">
        <f>民間設備製造1!C7+民間設備非製造!C7</f>
        <v>923210.8017164052</v>
      </c>
      <c r="D7" s="733">
        <f>民間設備製造1!D7+民間設備非製造!D7</f>
        <v>879896.600249907</v>
      </c>
      <c r="E7" s="733">
        <f>民間設備製造1!E7+民間設備非製造!E7</f>
        <v>860433.26208876097</v>
      </c>
      <c r="F7" s="733">
        <f>民間設備製造1!F7+民間設備非製造!F7</f>
        <v>722321.77291994868</v>
      </c>
      <c r="G7" s="733">
        <f>民間設備製造1!G7+民間設備非製造!G7</f>
        <v>752962.60395324836</v>
      </c>
      <c r="H7" s="733">
        <f>民間設備製造1!H7+民間設備非製造!H7</f>
        <v>781259.56262629433</v>
      </c>
      <c r="I7" s="733">
        <f>民間設備製造1!I7+民間設備非製造!I7</f>
        <v>806540.47964332486</v>
      </c>
      <c r="J7" s="733">
        <f>民間設備製造1!J7+民間設備非製造!J7</f>
        <v>884239.13539222325</v>
      </c>
      <c r="K7" s="733">
        <f>民間設備製造1!K7+民間設備非製造!K7</f>
        <v>835696.24640332372</v>
      </c>
      <c r="L7" s="733">
        <f>民間設備製造1!L7+民間設備非製造!L7</f>
        <v>942181.72220591782</v>
      </c>
      <c r="M7" s="733">
        <f>民間設備製造1!M7+民間設備非製造!M7</f>
        <v>933338.16467978549</v>
      </c>
      <c r="N7" s="733">
        <f>民間設備製造1!N7+民間設備非製造!N7</f>
        <v>954121.60635778448</v>
      </c>
      <c r="O7" s="733">
        <f>民間設備製造1!O7+民間設備非製造!O7</f>
        <v>926647.18450869294</v>
      </c>
      <c r="P7" s="733">
        <f>民間設備製造1!P7+民間設備非製造!P7</f>
        <v>959049.33701050491</v>
      </c>
      <c r="Q7" s="733">
        <f>民間設備製造1!Q7+民間設備非製造!Q7</f>
        <v>910629</v>
      </c>
      <c r="R7" s="733">
        <f>民間設備製造1!R7+民間設備非製造!R7</f>
        <v>909204</v>
      </c>
      <c r="S7" s="733">
        <f>民間設備製造1!S7+民間設備非製造!S7</f>
        <v>1036082</v>
      </c>
      <c r="T7" s="733">
        <f>民間設備製造1!T7+民間設備非製造!T7</f>
        <v>1142715</v>
      </c>
      <c r="U7" s="733">
        <f>民間設備製造1!U7+民間設備非製造!U7</f>
        <v>1186108</v>
      </c>
      <c r="V7" s="733">
        <f>民間設備製造1!V7+民間設備非製造!V7</f>
        <v>1242231</v>
      </c>
      <c r="W7" s="733">
        <f>民間設備製造1!W7+民間設備非製造!W7</f>
        <v>1273504</v>
      </c>
      <c r="X7" s="733">
        <f>民間設備製造1!X7+民間設備非製造!X7</f>
        <v>1309556</v>
      </c>
    </row>
    <row r="8" spans="1:24">
      <c r="A8" s="730">
        <v>1</v>
      </c>
      <c r="B8" s="730" t="s">
        <v>323</v>
      </c>
      <c r="C8" s="733">
        <f>民間設備製造1!C8+民間設備非製造!C8</f>
        <v>773227</v>
      </c>
      <c r="D8" s="733">
        <f>民間設備製造1!D8+民間設備非製造!D8</f>
        <v>750182</v>
      </c>
      <c r="E8" s="733">
        <f>民間設備製造1!E8+民間設備非製造!E8</f>
        <v>846272</v>
      </c>
      <c r="F8" s="733">
        <f>民間設備製造1!F8+民間設備非製造!F8</f>
        <v>764735</v>
      </c>
      <c r="G8" s="733">
        <f>民間設備製造1!G8+民間設備非製造!G8</f>
        <v>578530</v>
      </c>
      <c r="H8" s="733">
        <f>民間設備製造1!H8+民間設備非製造!H8</f>
        <v>532306</v>
      </c>
      <c r="I8" s="733">
        <f>民間設備製造1!I8+民間設備非製造!I8</f>
        <v>493284</v>
      </c>
      <c r="J8" s="733">
        <f>民間設備製造1!J8+民間設備非製造!J8</f>
        <v>545030</v>
      </c>
      <c r="K8" s="733">
        <f>民間設備製造1!K8+民間設備非製造!K8</f>
        <v>553322</v>
      </c>
      <c r="L8" s="733">
        <f>民間設備製造1!L8+民間設備非製造!L8</f>
        <v>586261</v>
      </c>
      <c r="M8" s="733">
        <f>民間設備製造1!M8+民間設備非製造!M8</f>
        <v>578294</v>
      </c>
      <c r="N8" s="733">
        <f>民間設備製造1!N8+民間設備非製造!N8</f>
        <v>531554</v>
      </c>
      <c r="O8" s="733">
        <f>民間設備製造1!O8+民間設備非製造!O8</f>
        <v>565408</v>
      </c>
      <c r="P8" s="733">
        <f>民間設備製造1!P8+民間設備非製造!P8</f>
        <v>555885</v>
      </c>
      <c r="Q8" s="733">
        <f>民間設備製造1!Q8+民間設備非製造!Q8</f>
        <v>531143</v>
      </c>
      <c r="R8" s="733">
        <f>民間設備製造1!R8+民間設備非製造!R8</f>
        <v>540362</v>
      </c>
      <c r="S8" s="733">
        <f>民間設備製造1!S8+民間設備非製造!S8</f>
        <v>606058</v>
      </c>
      <c r="T8" s="733">
        <f>民間設備製造1!T8+民間設備非製造!T8</f>
        <v>670409</v>
      </c>
      <c r="U8" s="733">
        <f>民間設備製造1!U8+民間設備非製造!U8</f>
        <v>696702</v>
      </c>
      <c r="V8" s="733">
        <f>民間設備製造1!V8+民間設備非製造!V8</f>
        <v>728658</v>
      </c>
      <c r="W8" s="733">
        <f>民間設備製造1!W8+民間設備非製造!W8</f>
        <v>747319</v>
      </c>
      <c r="X8" s="733">
        <f>民間設備製造1!X8+民間設備非製造!X8</f>
        <v>768615</v>
      </c>
    </row>
    <row r="9" spans="1:24">
      <c r="A9" s="730">
        <v>2</v>
      </c>
      <c r="B9" s="730" t="s">
        <v>324</v>
      </c>
      <c r="C9" s="733">
        <f>民間設備製造1!C9+民間設備非製造!C9</f>
        <v>349387</v>
      </c>
      <c r="D9" s="733">
        <f>民間設備製造1!D9+民間設備非製造!D9</f>
        <v>352732</v>
      </c>
      <c r="E9" s="733">
        <f>民間設備製造1!E9+民間設備非製造!E9</f>
        <v>338452</v>
      </c>
      <c r="F9" s="733">
        <f>民間設備製造1!F9+民間設備非製造!F9</f>
        <v>257947</v>
      </c>
      <c r="G9" s="733">
        <f>民間設備製造1!G9+民間設備非製造!G9</f>
        <v>269182</v>
      </c>
      <c r="H9" s="733">
        <f>民間設備製造1!H9+民間設備非製造!H9</f>
        <v>297735</v>
      </c>
      <c r="I9" s="733">
        <f>民間設備製造1!I9+民間設備非製造!I9</f>
        <v>311860</v>
      </c>
      <c r="J9" s="733">
        <f>民間設備製造1!J9+民間設備非製造!J9</f>
        <v>347719</v>
      </c>
      <c r="K9" s="733">
        <f>民間設備製造1!K9+民間設備非製造!K9</f>
        <v>363973</v>
      </c>
      <c r="L9" s="733">
        <f>民間設備製造1!L9+民間設備非製造!L9</f>
        <v>380161</v>
      </c>
      <c r="M9" s="733">
        <f>民間設備製造1!M9+民間設備非製造!M9</f>
        <v>385832</v>
      </c>
      <c r="N9" s="733">
        <f>民間設備製造1!N9+民間設備非製造!N9</f>
        <v>391136</v>
      </c>
      <c r="O9" s="733">
        <f>民間設備製造1!O9+民間設備非製造!O9</f>
        <v>402227</v>
      </c>
      <c r="P9" s="733">
        <f>民間設備製造1!P9+民間設備非製造!P9</f>
        <v>403516</v>
      </c>
      <c r="Q9" s="733">
        <f>民間設備製造1!Q9+民間設備非製造!Q9</f>
        <v>374212</v>
      </c>
      <c r="R9" s="733">
        <f>民間設備製造1!R9+民間設備非製造!R9</f>
        <v>399128</v>
      </c>
      <c r="S9" s="733">
        <f>民間設備製造1!S9+民間設備非製造!S9</f>
        <v>454237</v>
      </c>
      <c r="T9" s="733">
        <f>民間設備製造1!T9+民間設備非製造!T9</f>
        <v>497546</v>
      </c>
      <c r="U9" s="733">
        <f>民間設備製造1!U9+民間設備非製造!U9</f>
        <v>517398</v>
      </c>
      <c r="V9" s="733">
        <f>民間設備製造1!V9+民間設備非製造!V9</f>
        <v>541324</v>
      </c>
      <c r="W9" s="733">
        <f>民間設備製造1!W9+民間設備非製造!W9</f>
        <v>555159</v>
      </c>
      <c r="X9" s="733">
        <f>民間設備製造1!X9+民間設備非製造!X9</f>
        <v>570931</v>
      </c>
    </row>
    <row r="10" spans="1:24">
      <c r="A10" s="730">
        <v>3</v>
      </c>
      <c r="B10" s="730" t="s">
        <v>192</v>
      </c>
      <c r="C10" s="733">
        <f>民間設備製造1!C10+民間設備非製造!C10</f>
        <v>570057</v>
      </c>
      <c r="D10" s="733">
        <f>民間設備製造1!D10+民間設備非製造!D10</f>
        <v>574513</v>
      </c>
      <c r="E10" s="733">
        <f>民間設備製造1!E10+民間設備非製造!E10</f>
        <v>644682</v>
      </c>
      <c r="F10" s="733">
        <f>民間設備製造1!F10+民間設備非製造!F10</f>
        <v>646795</v>
      </c>
      <c r="G10" s="733">
        <f>民間設備製造1!G10+民間設備非製造!G10</f>
        <v>547691</v>
      </c>
      <c r="H10" s="733">
        <f>民間設備製造1!H10+民間設備非製造!H10</f>
        <v>699912</v>
      </c>
      <c r="I10" s="733">
        <f>民間設備製造1!I10+民間設備非製造!I10</f>
        <v>624512</v>
      </c>
      <c r="J10" s="733">
        <f>民間設備製造1!J10+民間設備非製造!J10</f>
        <v>618013</v>
      </c>
      <c r="K10" s="733">
        <f>民間設備製造1!K10+民間設備非製造!K10</f>
        <v>818848</v>
      </c>
      <c r="L10" s="733">
        <f>民間設備製造1!L10+民間設備非製造!L10</f>
        <v>620454</v>
      </c>
      <c r="M10" s="733">
        <f>民間設備製造1!M10+民間設備非製造!M10</f>
        <v>659586</v>
      </c>
      <c r="N10" s="733">
        <f>民間設備製造1!N10+民間設備非製造!N10</f>
        <v>747583</v>
      </c>
      <c r="O10" s="733">
        <f>民間設備製造1!O10+民間設備非製造!O10</f>
        <v>669831</v>
      </c>
      <c r="P10" s="733">
        <f>民間設備製造1!P10+民間設備非製造!P10</f>
        <v>707143</v>
      </c>
      <c r="Q10" s="733">
        <f>民間設備製造1!Q10+民間設備非製造!Q10</f>
        <v>656755</v>
      </c>
      <c r="R10" s="733">
        <f>民間設備製造1!R10+民間設備非製造!R10</f>
        <v>678766</v>
      </c>
      <c r="S10" s="733">
        <f>民間設備製造1!S10+民間設備非製造!S10</f>
        <v>778258</v>
      </c>
      <c r="T10" s="733">
        <f>民間設備製造1!T10+民間設備非製造!T10</f>
        <v>852951</v>
      </c>
      <c r="U10" s="733">
        <f>民間設備製造1!U10+民間設備非製造!U10</f>
        <v>888047</v>
      </c>
      <c r="V10" s="733">
        <f>民間設備製造1!V10+民間設備非製造!V10</f>
        <v>931321</v>
      </c>
      <c r="W10" s="733">
        <f>民間設備製造1!W10+民間設備非製造!W10</f>
        <v>954526</v>
      </c>
      <c r="X10" s="733">
        <f>民間設備製造1!X10+民間設備非製造!X10</f>
        <v>981280</v>
      </c>
    </row>
    <row r="11" spans="1:24">
      <c r="A11" s="730">
        <v>4</v>
      </c>
      <c r="B11" s="730" t="s">
        <v>325</v>
      </c>
      <c r="C11" s="733">
        <f>民間設備製造1!C11+民間設備非製造!C11</f>
        <v>185744</v>
      </c>
      <c r="D11" s="733">
        <f>民間設備製造1!D11+民間設備非製造!D11</f>
        <v>226100</v>
      </c>
      <c r="E11" s="733">
        <f>民間設備製造1!E11+民間設備非製造!E11</f>
        <v>169895</v>
      </c>
      <c r="F11" s="733">
        <f>民間設備製造1!F11+民間設備非製造!F11</f>
        <v>132139</v>
      </c>
      <c r="G11" s="733">
        <f>民間設備製造1!G11+民間設備非製造!G11</f>
        <v>142182</v>
      </c>
      <c r="H11" s="733">
        <f>民間設備製造1!H11+民間設備非製造!H11</f>
        <v>248723</v>
      </c>
      <c r="I11" s="733">
        <f>民間設備製造1!I11+民間設備非製造!I11</f>
        <v>230601</v>
      </c>
      <c r="J11" s="733">
        <f>民間設備製造1!J11+民間設備非製造!J11</f>
        <v>235082</v>
      </c>
      <c r="K11" s="733">
        <f>民間設備製造1!K11+民間設備非製造!K11</f>
        <v>180489</v>
      </c>
      <c r="L11" s="733">
        <f>民間設備製造1!L11+民間設備非製造!L11</f>
        <v>182422</v>
      </c>
      <c r="M11" s="733">
        <f>民間設備製造1!M11+民間設備非製造!M11</f>
        <v>214855</v>
      </c>
      <c r="N11" s="733">
        <f>民間設備製造1!N11+民間設備非製造!N11</f>
        <v>204989</v>
      </c>
      <c r="O11" s="733">
        <f>民間設備製造1!O11+民間設備非製造!O11</f>
        <v>203617</v>
      </c>
      <c r="P11" s="733">
        <f>民間設備製造1!P11+民間設備非製造!P11</f>
        <v>221973</v>
      </c>
      <c r="Q11" s="733">
        <f>民間設備製造1!Q11+民間設備非製造!Q11</f>
        <v>196694</v>
      </c>
      <c r="R11" s="733">
        <f>民間設備製造1!R11+民間設備非製造!R11</f>
        <v>213775</v>
      </c>
      <c r="S11" s="733">
        <f>民間設備製造1!S11+民間設備非製造!S11</f>
        <v>244617</v>
      </c>
      <c r="T11" s="733">
        <f>民間設備製造1!T11+民間設備非製造!T11</f>
        <v>266337</v>
      </c>
      <c r="U11" s="733">
        <f>民間設備製造1!U11+民間設備非製造!U11</f>
        <v>277654</v>
      </c>
      <c r="V11" s="733">
        <f>民間設備製造1!V11+民間設備非製造!V11</f>
        <v>290927</v>
      </c>
      <c r="W11" s="733">
        <f>民間設備製造1!W11+民間設備非製造!W11</f>
        <v>297937</v>
      </c>
      <c r="X11" s="733">
        <f>民間設備製造1!X11+民間設備非製造!X11</f>
        <v>306542</v>
      </c>
    </row>
    <row r="12" spans="1:24">
      <c r="A12" s="730">
        <v>5</v>
      </c>
      <c r="B12" s="730" t="s">
        <v>326</v>
      </c>
      <c r="C12" s="733">
        <f>民間設備製造1!C12+民間設備非製造!C12</f>
        <v>509216</v>
      </c>
      <c r="D12" s="733">
        <f>民間設備製造1!D12+民間設備非製造!D12</f>
        <v>506834</v>
      </c>
      <c r="E12" s="733">
        <f>民間設備製造1!E12+民間設備非製造!E12</f>
        <v>447308</v>
      </c>
      <c r="F12" s="733">
        <f>民間設備製造1!F12+民間設備非製造!F12</f>
        <v>393405</v>
      </c>
      <c r="G12" s="733">
        <f>民間設備製造1!G12+民間設備非製造!G12</f>
        <v>745261</v>
      </c>
      <c r="H12" s="733">
        <f>民間設備製造1!H12+民間設備非製造!H12</f>
        <v>449214</v>
      </c>
      <c r="I12" s="733">
        <f>民間設備製造1!I12+民間設備非製造!I12</f>
        <v>455913</v>
      </c>
      <c r="J12" s="733">
        <f>民間設備製造1!J12+民間設備非製造!J12</f>
        <v>474762</v>
      </c>
      <c r="K12" s="733">
        <f>民間設備製造1!K12+民間設備非製造!K12</f>
        <v>446702</v>
      </c>
      <c r="L12" s="733">
        <f>民間設備製造1!L12+民間設備非製造!L12</f>
        <v>452687</v>
      </c>
      <c r="M12" s="733">
        <f>民間設備製造1!M12+民間設備非製造!M12</f>
        <v>476480</v>
      </c>
      <c r="N12" s="733">
        <f>民間設備製造1!N12+民間設備非製造!N12</f>
        <v>489987</v>
      </c>
      <c r="O12" s="733">
        <f>民間設備製造1!O12+民間設備非製造!O12</f>
        <v>613129</v>
      </c>
      <c r="P12" s="733">
        <f>民間設備製造1!P12+民間設備非製造!P12</f>
        <v>543327</v>
      </c>
      <c r="Q12" s="733">
        <f>民間設備製造1!Q12+民間設備非製造!Q12</f>
        <v>510879</v>
      </c>
      <c r="R12" s="733">
        <f>民間設備製造1!R12+民間設備非製造!R12</f>
        <v>542644</v>
      </c>
      <c r="S12" s="733">
        <f>民間設備製造1!S12+民間設備非製造!S12</f>
        <v>600276</v>
      </c>
      <c r="T12" s="733">
        <f>民間設備製造1!T12+民間設備非製造!T12</f>
        <v>659433</v>
      </c>
      <c r="U12" s="733">
        <f>民間設備製造1!U12+民間設備非製造!U12</f>
        <v>688130</v>
      </c>
      <c r="V12" s="733">
        <f>民間設備製造1!V12+民間設備非製造!V12</f>
        <v>717101</v>
      </c>
      <c r="W12" s="733">
        <f>民間設備製造1!W12+民間設備非製造!W12</f>
        <v>736505</v>
      </c>
      <c r="X12" s="733">
        <f>民間設備製造1!X12+民間設備非製造!X12</f>
        <v>757694</v>
      </c>
    </row>
    <row r="13" spans="1:24">
      <c r="A13" s="730">
        <v>6</v>
      </c>
      <c r="B13" s="730" t="s">
        <v>327</v>
      </c>
      <c r="C13" s="733">
        <f>民間設備製造1!C13+民間設備非製造!C13</f>
        <v>214789</v>
      </c>
      <c r="D13" s="733">
        <f>民間設備製造1!D13+民間設備非製造!D13</f>
        <v>184015</v>
      </c>
      <c r="E13" s="733">
        <f>民間設備製造1!E13+民間設備非製造!E13</f>
        <v>173797</v>
      </c>
      <c r="F13" s="733">
        <f>民間設備製造1!F13+民間設備非製造!F13</f>
        <v>134562</v>
      </c>
      <c r="G13" s="733">
        <f>民間設備製造1!G13+民間設備非製造!G13</f>
        <v>149536</v>
      </c>
      <c r="H13" s="733">
        <f>民間設備製造1!H13+民間設備非製造!H13</f>
        <v>166181</v>
      </c>
      <c r="I13" s="733">
        <f>民間設備製造1!I13+民間設備非製造!I13</f>
        <v>183540</v>
      </c>
      <c r="J13" s="733">
        <f>民間設備製造1!J13+民間設備非製造!J13</f>
        <v>164104</v>
      </c>
      <c r="K13" s="733">
        <f>民間設備製造1!K13+民間設備非製造!K13</f>
        <v>172585</v>
      </c>
      <c r="L13" s="733">
        <f>民間設備製造1!L13+民間設備非製造!L13</f>
        <v>186342</v>
      </c>
      <c r="M13" s="733">
        <f>民間設備製造1!M13+民間設備非製造!M13</f>
        <v>193241</v>
      </c>
      <c r="N13" s="733">
        <f>民間設備製造1!N13+民間設備非製造!N13</f>
        <v>177568</v>
      </c>
      <c r="O13" s="733">
        <f>民間設備製造1!O13+民間設備非製造!O13</f>
        <v>188169</v>
      </c>
      <c r="P13" s="733">
        <f>民間設備製造1!P13+民間設備非製造!P13</f>
        <v>197071</v>
      </c>
      <c r="Q13" s="733">
        <f>民間設備製造1!Q13+民間設備非製造!Q13</f>
        <v>175256</v>
      </c>
      <c r="R13" s="733">
        <f>民間設備製造1!R13+民間設備非製造!R13</f>
        <v>193061</v>
      </c>
      <c r="S13" s="733">
        <f>民間設備製造1!S13+民間設備非製造!S13</f>
        <v>218570</v>
      </c>
      <c r="T13" s="733">
        <f>民間設備製造1!T13+民間設備非製造!T13</f>
        <v>236890</v>
      </c>
      <c r="U13" s="733">
        <f>民間設備製造1!U13+民間設備非製造!U13</f>
        <v>245809</v>
      </c>
      <c r="V13" s="733">
        <f>民間設備製造1!V13+民間設備非製造!V13</f>
        <v>257287</v>
      </c>
      <c r="W13" s="733">
        <f>民間設備製造1!W13+民間設備非製造!W13</f>
        <v>263591</v>
      </c>
      <c r="X13" s="733">
        <f>民間設備製造1!X13+民間設備非製造!X13</f>
        <v>271228</v>
      </c>
    </row>
    <row r="14" spans="1:24">
      <c r="A14" s="730">
        <v>7</v>
      </c>
      <c r="B14" s="730" t="s">
        <v>210</v>
      </c>
      <c r="C14" s="733">
        <f>民間設備製造1!C14+民間設備非製造!C14</f>
        <v>101194</v>
      </c>
      <c r="D14" s="733">
        <f>民間設備製造1!D14+民間設備非製造!D14</f>
        <v>96742</v>
      </c>
      <c r="E14" s="733">
        <f>民間設備製造1!E14+民間設備非製造!E14</f>
        <v>89798</v>
      </c>
      <c r="F14" s="733">
        <f>民間設備製造1!F14+民間設備非製造!F14</f>
        <v>74359</v>
      </c>
      <c r="G14" s="733">
        <f>民間設備製造1!G14+民間設備非製造!G14</f>
        <v>74283</v>
      </c>
      <c r="H14" s="733">
        <f>民間設備製造1!H14+民間設備非製造!H14</f>
        <v>100690</v>
      </c>
      <c r="I14" s="733">
        <f>民間設備製造1!I14+民間設備非製造!I14</f>
        <v>88599</v>
      </c>
      <c r="J14" s="733">
        <f>民間設備製造1!J14+民間設備非製造!J14</f>
        <v>89589</v>
      </c>
      <c r="K14" s="733">
        <f>民間設備製造1!K14+民間設備非製造!K14</f>
        <v>96401</v>
      </c>
      <c r="L14" s="733">
        <f>民間設備製造1!L14+民間設備非製造!L14</f>
        <v>92513</v>
      </c>
      <c r="M14" s="733">
        <f>民間設備製造1!M14+民間設備非製造!M14</f>
        <v>97419</v>
      </c>
      <c r="N14" s="733">
        <f>民間設備製造1!N14+民間設備非製造!N14</f>
        <v>165608</v>
      </c>
      <c r="O14" s="733">
        <f>民間設備製造1!O14+民間設備非製造!O14</f>
        <v>101317</v>
      </c>
      <c r="P14" s="733">
        <f>民間設備製造1!P14+民間設備非製造!P14</f>
        <v>97805</v>
      </c>
      <c r="Q14" s="733">
        <f>民間設備製造1!Q14+民間設備非製造!Q14</f>
        <v>112552</v>
      </c>
      <c r="R14" s="733">
        <f>民間設備製造1!R14+民間設備非製造!R14</f>
        <v>108282</v>
      </c>
      <c r="S14" s="733">
        <f>民間設備製造1!S14+民間設備非製造!S14</f>
        <v>124156</v>
      </c>
      <c r="T14" s="733">
        <f>民間設備製造1!T14+民間設備非製造!T14</f>
        <v>139527</v>
      </c>
      <c r="U14" s="733">
        <f>民間設備製造1!U14+民間設備非製造!U14</f>
        <v>140095</v>
      </c>
      <c r="V14" s="733">
        <f>民間設備製造1!V14+民間設備非製造!V14</f>
        <v>147427</v>
      </c>
      <c r="W14" s="733">
        <f>民間設備製造1!W14+民間設備非製造!W14</f>
        <v>151776</v>
      </c>
      <c r="X14" s="733">
        <f>民間設備製造1!X14+民間設備非製造!X14</f>
        <v>155390</v>
      </c>
    </row>
    <row r="15" spans="1:24">
      <c r="A15" s="730">
        <v>8</v>
      </c>
      <c r="B15" s="730" t="s">
        <v>211</v>
      </c>
      <c r="C15" s="733">
        <f>民間設備製造1!C15+民間設備非製造!C15</f>
        <v>63910</v>
      </c>
      <c r="D15" s="733">
        <f>民間設備製造1!D15+民間設備非製造!D15</f>
        <v>64649</v>
      </c>
      <c r="E15" s="733">
        <f>民間設備製造1!E15+民間設備非製造!E15</f>
        <v>61389</v>
      </c>
      <c r="F15" s="733">
        <f>民間設備製造1!F15+民間設備非製造!F15</f>
        <v>43272</v>
      </c>
      <c r="G15" s="733">
        <f>民間設備製造1!G15+民間設備非製造!G15</f>
        <v>53042</v>
      </c>
      <c r="H15" s="733">
        <f>民間設備製造1!H15+民間設備非製造!H15</f>
        <v>54624</v>
      </c>
      <c r="I15" s="733">
        <f>民間設備製造1!I15+民間設備非製造!I15</f>
        <v>51900</v>
      </c>
      <c r="J15" s="733">
        <f>民間設備製造1!J15+民間設備非製造!J15</f>
        <v>58506</v>
      </c>
      <c r="K15" s="733">
        <f>民間設備製造1!K15+民間設備非製造!K15</f>
        <v>82861</v>
      </c>
      <c r="L15" s="733">
        <f>民間設備製造1!L15+民間設備非製造!L15</f>
        <v>94235</v>
      </c>
      <c r="M15" s="733">
        <f>民間設備製造1!M15+民間設備非製造!M15</f>
        <v>63194</v>
      </c>
      <c r="N15" s="733">
        <f>民間設備製造1!N15+民間設備非製造!N15</f>
        <v>62957</v>
      </c>
      <c r="O15" s="733">
        <f>民間設備製造1!O15+民間設備非製造!O15</f>
        <v>67980</v>
      </c>
      <c r="P15" s="733">
        <f>民間設備製造1!P15+民間設備非製造!P15</f>
        <v>68010</v>
      </c>
      <c r="Q15" s="733">
        <f>民間設備製造1!Q15+民間設備非製造!Q15</f>
        <v>60774</v>
      </c>
      <c r="R15" s="733">
        <f>民間設備製造1!R15+民間設備非製造!R15</f>
        <v>68407</v>
      </c>
      <c r="S15" s="733">
        <f>民間設備製造1!S15+民間設備非製造!S15</f>
        <v>77022</v>
      </c>
      <c r="T15" s="733">
        <f>民間設備製造1!T15+民間設備非製造!T15</f>
        <v>83426</v>
      </c>
      <c r="U15" s="733">
        <f>民間設備製造1!U15+民間設備非製造!U15</f>
        <v>87200</v>
      </c>
      <c r="V15" s="733">
        <f>民間設備製造1!V15+民間設備非製造!V15</f>
        <v>91248</v>
      </c>
      <c r="W15" s="733">
        <f>民間設備製造1!W15+民間設備非製造!W15</f>
        <v>93561</v>
      </c>
      <c r="X15" s="733">
        <f>民間設備製造1!X15+民間設備非製造!X15</f>
        <v>96227</v>
      </c>
    </row>
    <row r="16" spans="1:24">
      <c r="A16" s="731">
        <v>9</v>
      </c>
      <c r="B16" s="731" t="s">
        <v>212</v>
      </c>
      <c r="C16" s="735">
        <f>民間設備製造1!C16+民間設備非製造!C16</f>
        <v>68764</v>
      </c>
      <c r="D16" s="735">
        <f>民間設備製造1!D16+民間設備非製造!D16</f>
        <v>66850</v>
      </c>
      <c r="E16" s="735">
        <f>民間設備製造1!E16+民間設備非製造!E16</f>
        <v>67385</v>
      </c>
      <c r="F16" s="735">
        <f>民間設備製造1!F16+民間設備非製造!F16</f>
        <v>58347</v>
      </c>
      <c r="G16" s="735">
        <f>民間設備製造1!G16+民間設備非製造!G16</f>
        <v>71845</v>
      </c>
      <c r="H16" s="735">
        <f>民間設備製造1!H16+民間設備非製造!H16</f>
        <v>58046</v>
      </c>
      <c r="I16" s="735">
        <f>民間設備製造1!I16+民間設備非製造!I16</f>
        <v>58726</v>
      </c>
      <c r="J16" s="735">
        <f>民間設備製造1!J16+民間設備非製造!J16</f>
        <v>66376</v>
      </c>
      <c r="K16" s="735">
        <f>民間設備製造1!K16+民間設備非製造!K16</f>
        <v>59425</v>
      </c>
      <c r="L16" s="735">
        <f>民間設備製造1!L16+民間設備非製造!L16</f>
        <v>66401</v>
      </c>
      <c r="M16" s="735">
        <f>民間設備製造1!M16+民間設備非製造!M16</f>
        <v>78889</v>
      </c>
      <c r="N16" s="735">
        <f>民間設備製造1!N16+民間設備非製造!N16</f>
        <v>79263</v>
      </c>
      <c r="O16" s="735">
        <f>民間設備製造1!O16+民間設備非製造!O16</f>
        <v>64575</v>
      </c>
      <c r="P16" s="735">
        <f>民間設備製造1!P16+民間設備非製造!P16</f>
        <v>67828</v>
      </c>
      <c r="Q16" s="735">
        <f>民間設備製造1!Q16+民間設備非製造!Q16</f>
        <v>67352</v>
      </c>
      <c r="R16" s="735">
        <f>民間設備製造1!R16+民間設備非製造!R16</f>
        <v>71994</v>
      </c>
      <c r="S16" s="735">
        <f>民間設備製造1!S16+民間設備非製造!S16</f>
        <v>81759</v>
      </c>
      <c r="T16" s="735">
        <f>民間設備製造1!T16+民間設備非製造!T16</f>
        <v>92570</v>
      </c>
      <c r="U16" s="735">
        <f>民間設備製造1!U16+民間設備非製造!U16</f>
        <v>95762</v>
      </c>
      <c r="V16" s="735">
        <f>民間設備製造1!V16+民間設備非製造!V16</f>
        <v>100453</v>
      </c>
      <c r="W16" s="735">
        <f>民間設備製造1!W16+民間設備非製造!W16</f>
        <v>103097</v>
      </c>
      <c r="X16" s="735">
        <f>民間設備製造1!X16+民間設備非製造!X16</f>
        <v>105881</v>
      </c>
    </row>
    <row r="17" spans="1:24">
      <c r="A17" s="730"/>
      <c r="B17" s="730"/>
      <c r="C17" s="733"/>
      <c r="D17" s="733"/>
      <c r="E17" s="733"/>
      <c r="F17" s="733"/>
      <c r="G17" s="733"/>
      <c r="H17" s="733"/>
      <c r="I17" s="733"/>
      <c r="J17" s="733"/>
      <c r="K17" s="733"/>
      <c r="L17" s="733"/>
      <c r="M17" s="733"/>
      <c r="N17" s="733"/>
      <c r="O17" s="733"/>
      <c r="P17" s="733"/>
      <c r="Q17" s="733"/>
      <c r="R17" s="733"/>
      <c r="S17" s="733"/>
      <c r="T17" s="733"/>
      <c r="U17" s="733"/>
      <c r="V17" s="733"/>
      <c r="W17" s="733"/>
      <c r="X17" s="733"/>
    </row>
    <row r="18" spans="1:24">
      <c r="A18" s="732">
        <v>100</v>
      </c>
      <c r="B18" s="732" t="s">
        <v>172</v>
      </c>
      <c r="C18" s="736">
        <f>民間設備製造1!C18+民間設備非製造!C18</f>
        <v>923210.8017164052</v>
      </c>
      <c r="D18" s="736">
        <f>民間設備製造1!D18+民間設備非製造!D18</f>
        <v>879896.600249907</v>
      </c>
      <c r="E18" s="736">
        <f>民間設備製造1!E18+民間設備非製造!E18</f>
        <v>860433.26208876097</v>
      </c>
      <c r="F18" s="736">
        <f>民間設備製造1!F18+民間設備非製造!F18</f>
        <v>722321.77291994868</v>
      </c>
      <c r="G18" s="736">
        <f>民間設備製造1!G18+民間設備非製造!G18</f>
        <v>752962.60395324836</v>
      </c>
      <c r="H18" s="736">
        <f>民間設備製造1!H18+民間設備非製造!H18</f>
        <v>781259.56262629433</v>
      </c>
      <c r="I18" s="736">
        <f>民間設備製造1!I18+民間設備非製造!I18</f>
        <v>806540.47964332486</v>
      </c>
      <c r="J18" s="736">
        <f>民間設備製造1!J18+民間設備非製造!J18</f>
        <v>884239.13539222325</v>
      </c>
      <c r="K18" s="736">
        <f>民間設備製造1!K18+民間設備非製造!K18</f>
        <v>835696.24640332372</v>
      </c>
      <c r="L18" s="736">
        <f>民間設備製造1!L18+民間設備非製造!L18</f>
        <v>942181.72220591782</v>
      </c>
      <c r="M18" s="736">
        <f>民間設備製造1!M18+民間設備非製造!M18</f>
        <v>933338.16467978549</v>
      </c>
      <c r="N18" s="736">
        <f>民間設備製造1!N18+民間設備非製造!N18</f>
        <v>954121.60635778448</v>
      </c>
      <c r="O18" s="736">
        <f>民間設備製造1!O18+民間設備非製造!O18</f>
        <v>926647.18450869294</v>
      </c>
      <c r="P18" s="736">
        <f>民間設備製造1!P18+民間設備非製造!P18</f>
        <v>959049.33701050491</v>
      </c>
      <c r="Q18" s="736">
        <f>民間設備製造1!Q18+民間設備非製造!Q18</f>
        <v>910629</v>
      </c>
      <c r="R18" s="736">
        <f>民間設備製造1!R18+民間設備非製造!R18</f>
        <v>909204</v>
      </c>
      <c r="S18" s="736">
        <f>民間設備製造1!S18+民間設備非製造!S18</f>
        <v>1036082</v>
      </c>
      <c r="T18" s="736">
        <f>民間設備製造1!T18+民間設備非製造!T18</f>
        <v>1142715</v>
      </c>
      <c r="U18" s="736">
        <f>民間設備製造1!U18+民間設備非製造!U18</f>
        <v>1186108</v>
      </c>
      <c r="V18" s="736">
        <f>民間設備製造1!V18+民間設備非製造!V18</f>
        <v>1242231</v>
      </c>
      <c r="W18" s="736">
        <f>民間設備製造1!W18+民間設備非製造!W18</f>
        <v>1273504</v>
      </c>
      <c r="X18" s="736">
        <f>民間設備製造1!X18+民間設備非製造!X18</f>
        <v>1309556</v>
      </c>
    </row>
    <row r="19" spans="1:24">
      <c r="A19" s="730">
        <v>1</v>
      </c>
      <c r="B19" s="730" t="s">
        <v>328</v>
      </c>
      <c r="C19" s="733">
        <f>民間設備製造1!C19+民間設備非製造!C19</f>
        <v>773227</v>
      </c>
      <c r="D19" s="733">
        <f>民間設備製造1!D19+民間設備非製造!D19</f>
        <v>750182</v>
      </c>
      <c r="E19" s="733">
        <f>民間設備製造1!E19+民間設備非製造!E19</f>
        <v>846272</v>
      </c>
      <c r="F19" s="733">
        <f>民間設備製造1!F19+民間設備非製造!F19</f>
        <v>764735</v>
      </c>
      <c r="G19" s="733">
        <f>民間設備製造1!G19+民間設備非製造!G19</f>
        <v>578530</v>
      </c>
      <c r="H19" s="733">
        <f>民間設備製造1!H19+民間設備非製造!H19</f>
        <v>532306</v>
      </c>
      <c r="I19" s="733">
        <f>民間設備製造1!I19+民間設備非製造!I19</f>
        <v>493284</v>
      </c>
      <c r="J19" s="733">
        <f>民間設備製造1!J19+民間設備非製造!J19</f>
        <v>545030</v>
      </c>
      <c r="K19" s="733">
        <f>民間設備製造1!K19+民間設備非製造!K19</f>
        <v>553322</v>
      </c>
      <c r="L19" s="733">
        <f>民間設備製造1!L19+民間設備非製造!L19</f>
        <v>586261</v>
      </c>
      <c r="M19" s="733">
        <f>民間設備製造1!M19+民間設備非製造!M19</f>
        <v>578294</v>
      </c>
      <c r="N19" s="733">
        <f>民間設備製造1!N19+民間設備非製造!N19</f>
        <v>531554</v>
      </c>
      <c r="O19" s="733">
        <f>民間設備製造1!O19+民間設備非製造!O19</f>
        <v>565408</v>
      </c>
      <c r="P19" s="733">
        <f>民間設備製造1!P19+民間設備非製造!P19</f>
        <v>555885</v>
      </c>
      <c r="Q19" s="733">
        <f>民間設備製造1!Q19+民間設備非製造!Q19</f>
        <v>531143</v>
      </c>
      <c r="R19" s="733">
        <f>民間設備製造1!R19+民間設備非製造!R19</f>
        <v>540362</v>
      </c>
      <c r="S19" s="733">
        <f>民間設備製造1!S19+民間設備非製造!S19</f>
        <v>606058</v>
      </c>
      <c r="T19" s="733">
        <f>民間設備製造1!T19+民間設備非製造!T19</f>
        <v>670409</v>
      </c>
      <c r="U19" s="733">
        <f>民間設備製造1!U19+民間設備非製造!U19</f>
        <v>696702</v>
      </c>
      <c r="V19" s="733">
        <f>民間設備製造1!V19+民間設備非製造!V19</f>
        <v>728658</v>
      </c>
      <c r="W19" s="733">
        <f>民間設備製造1!W19+民間設備非製造!W19</f>
        <v>747319</v>
      </c>
      <c r="X19" s="733">
        <f>民間設備製造1!X19+民間設備非製造!X19</f>
        <v>768615</v>
      </c>
    </row>
    <row r="20" spans="1:24">
      <c r="A20" s="730">
        <v>202</v>
      </c>
      <c r="B20" s="730" t="s">
        <v>183</v>
      </c>
      <c r="C20" s="733">
        <f>民間設備製造1!C20+民間設備非製造!C20</f>
        <v>527932</v>
      </c>
      <c r="D20" s="733">
        <f>民間設備製造1!D20+民間設備非製造!D20</f>
        <v>498598</v>
      </c>
      <c r="E20" s="733">
        <f>民間設備製造1!E20+民間設備非製造!E20</f>
        <v>601946</v>
      </c>
      <c r="F20" s="733">
        <f>民間設備製造1!F20+民間設備非製造!F20</f>
        <v>570696</v>
      </c>
      <c r="G20" s="733">
        <f>民間設備製造1!G20+民間設備非製造!G20</f>
        <v>370669</v>
      </c>
      <c r="H20" s="733">
        <f>民間設備製造1!H20+民間設備非製造!H20</f>
        <v>323024</v>
      </c>
      <c r="I20" s="733">
        <f>民間設備製造1!I20+民間設備非製造!I20</f>
        <v>276514</v>
      </c>
      <c r="J20" s="733">
        <f>民間設備製造1!J20+民間設備非製造!J20</f>
        <v>303021</v>
      </c>
      <c r="K20" s="733">
        <f>民間設備製造1!K20+民間設備非製造!K20</f>
        <v>312855</v>
      </c>
      <c r="L20" s="733">
        <f>民間設備製造1!L20+民間設備非製造!L20</f>
        <v>326312</v>
      </c>
      <c r="M20" s="733">
        <f>民間設備製造1!M20+民間設備非製造!M20</f>
        <v>323890</v>
      </c>
      <c r="N20" s="733">
        <f>民間設備製造1!N20+民間設備非製造!N20</f>
        <v>277899</v>
      </c>
      <c r="O20" s="733">
        <f>民間設備製造1!O20+民間設備非製造!O20</f>
        <v>300726</v>
      </c>
      <c r="P20" s="733">
        <f>民間設備製造1!P20+民間設備非製造!P20</f>
        <v>297530</v>
      </c>
      <c r="Q20" s="733">
        <f>民間設備製造1!Q20+民間設備非製造!Q20</f>
        <v>277863</v>
      </c>
      <c r="R20" s="733">
        <f>民間設備製造1!R20+民間設備非製造!R20</f>
        <v>284762</v>
      </c>
      <c r="S20" s="733">
        <f>民間設備製造1!S20+民間設備非製造!S20</f>
        <v>318520</v>
      </c>
      <c r="T20" s="733">
        <f>民間設備製造1!T20+民間設備非製造!T20</f>
        <v>352641</v>
      </c>
      <c r="U20" s="733">
        <f>民間設備製造1!U20+民間設備非製造!U20</f>
        <v>367510</v>
      </c>
      <c r="V20" s="733">
        <f>民間設備製造1!V20+民間設備非製造!V20</f>
        <v>384295</v>
      </c>
      <c r="W20" s="733">
        <f>民間設備製造1!W20+民間設備非製造!W20</f>
        <v>394059</v>
      </c>
      <c r="X20" s="733">
        <f>民間設備製造1!X20+民間設備非製造!X20</f>
        <v>405367</v>
      </c>
    </row>
    <row r="21" spans="1:24">
      <c r="A21" s="730">
        <v>204</v>
      </c>
      <c r="B21" s="730" t="s">
        <v>184</v>
      </c>
      <c r="C21" s="733">
        <f>民間設備製造1!C21+民間設備非製造!C21</f>
        <v>207677</v>
      </c>
      <c r="D21" s="733">
        <f>民間設備製造1!D21+民間設備非製造!D21</f>
        <v>212660</v>
      </c>
      <c r="E21" s="733">
        <f>民間設備製造1!E21+民間設備非製造!E21</f>
        <v>207684</v>
      </c>
      <c r="F21" s="733">
        <f>民間設備製造1!F21+民間設備非製造!F21</f>
        <v>163809</v>
      </c>
      <c r="G21" s="733">
        <f>民間設備製造1!G21+民間設備非製造!G21</f>
        <v>177608</v>
      </c>
      <c r="H21" s="733">
        <f>民間設備製造1!H21+民間設備非製造!H21</f>
        <v>177288</v>
      </c>
      <c r="I21" s="733">
        <f>民間設備製造1!I21+民間設備非製造!I21</f>
        <v>183348</v>
      </c>
      <c r="J21" s="733">
        <f>民間設備製造1!J21+民間設備非製造!J21</f>
        <v>202376</v>
      </c>
      <c r="K21" s="733">
        <f>民間設備製造1!K21+民間設備非製造!K21</f>
        <v>201353</v>
      </c>
      <c r="L21" s="733">
        <f>民間設備製造1!L21+民間設備非製造!L21</f>
        <v>216921</v>
      </c>
      <c r="M21" s="733">
        <f>民間設備製造1!M21+民間設備非製造!M21</f>
        <v>212271</v>
      </c>
      <c r="N21" s="733">
        <f>民間設備製造1!N21+民間設備非製造!N21</f>
        <v>212602</v>
      </c>
      <c r="O21" s="733">
        <f>民間設備製造1!O21+民間設備非製造!O21</f>
        <v>222032</v>
      </c>
      <c r="P21" s="733">
        <f>民間設備製造1!P21+民間設備非製造!P21</f>
        <v>216326</v>
      </c>
      <c r="Q21" s="733">
        <f>民間設備製造1!Q21+民間設備非製造!Q21</f>
        <v>212841</v>
      </c>
      <c r="R21" s="733">
        <f>民間設備製造1!R21+民間設備非製造!R21</f>
        <v>211054</v>
      </c>
      <c r="S21" s="733">
        <f>民間設備製造1!S21+民間設備非製造!S21</f>
        <v>237261</v>
      </c>
      <c r="T21" s="733">
        <f>民間設備製造1!T21+民間設備非製造!T21</f>
        <v>262829</v>
      </c>
      <c r="U21" s="733">
        <f>民間設備製造1!U21+民間設備非製造!U21</f>
        <v>272983</v>
      </c>
      <c r="V21" s="733">
        <f>民間設備製造1!V21+民間設備非製造!V21</f>
        <v>285533</v>
      </c>
      <c r="W21" s="733">
        <f>民間設備製造1!W21+民間設備非製造!W21</f>
        <v>292926</v>
      </c>
      <c r="X21" s="733">
        <f>民間設備製造1!X21+民間設備非製造!X21</f>
        <v>301208</v>
      </c>
    </row>
    <row r="22" spans="1:24">
      <c r="A22" s="730">
        <v>206</v>
      </c>
      <c r="B22" s="730" t="s">
        <v>185</v>
      </c>
      <c r="C22" s="733">
        <f>民間設備製造1!C22+民間設備非製造!C22</f>
        <v>37618</v>
      </c>
      <c r="D22" s="733">
        <f>民間設備製造1!D22+民間設備非製造!D22</f>
        <v>38924</v>
      </c>
      <c r="E22" s="733">
        <f>民間設備製造1!E22+民間設備非製造!E22</f>
        <v>36642</v>
      </c>
      <c r="F22" s="733">
        <f>民間設備製造1!F22+民間設備非製造!F22</f>
        <v>30230</v>
      </c>
      <c r="G22" s="733">
        <f>民間設備製造1!G22+民間設備非製造!G22</f>
        <v>30253</v>
      </c>
      <c r="H22" s="733">
        <f>民間設備製造1!H22+民間設備非製造!H22</f>
        <v>31994</v>
      </c>
      <c r="I22" s="733">
        <f>民間設備製造1!I22+民間設備非製造!I22</f>
        <v>33422</v>
      </c>
      <c r="J22" s="733">
        <f>民間設備製造1!J22+民間設備非製造!J22</f>
        <v>39633</v>
      </c>
      <c r="K22" s="733">
        <f>民間設備製造1!K22+民間設備非製造!K22</f>
        <v>39114</v>
      </c>
      <c r="L22" s="733">
        <f>民間設備製造1!L22+民間設備非製造!L22</f>
        <v>43028</v>
      </c>
      <c r="M22" s="733">
        <f>民間設備製造1!M22+民間設備非製造!M22</f>
        <v>42133</v>
      </c>
      <c r="N22" s="733">
        <f>民間設備製造1!N22+民間設備非製造!N22</f>
        <v>41053</v>
      </c>
      <c r="O22" s="733">
        <f>民間設備製造1!O22+民間設備非製造!O22</f>
        <v>42650</v>
      </c>
      <c r="P22" s="733">
        <f>民間設備製造1!P22+民間設備非製造!P22</f>
        <v>42029</v>
      </c>
      <c r="Q22" s="733">
        <f>民間設備製造1!Q22+民間設備非製造!Q22</f>
        <v>40439</v>
      </c>
      <c r="R22" s="733">
        <f>民間設備製造1!R22+民間設備非製造!R22</f>
        <v>44546</v>
      </c>
      <c r="S22" s="733">
        <f>民間設備製造1!S22+民間設備非製造!S22</f>
        <v>50277</v>
      </c>
      <c r="T22" s="733">
        <f>民間設備製造1!T22+民間設備非製造!T22</f>
        <v>54939</v>
      </c>
      <c r="U22" s="733">
        <f>民間設備製造1!U22+民間設備非製造!U22</f>
        <v>56209</v>
      </c>
      <c r="V22" s="733">
        <f>民間設備製造1!V22+民間設備非製造!V22</f>
        <v>58830</v>
      </c>
      <c r="W22" s="733">
        <f>民間設備製造1!W22+民間設備非製造!W22</f>
        <v>60334</v>
      </c>
      <c r="X22" s="733">
        <f>民間設備製造1!X22+民間設備非製造!X22</f>
        <v>62040</v>
      </c>
    </row>
    <row r="23" spans="1:24">
      <c r="A23" s="728">
        <v>2</v>
      </c>
      <c r="B23" s="728" t="s">
        <v>324</v>
      </c>
      <c r="C23" s="734">
        <f>民間設備製造1!C23+民間設備非製造!C23</f>
        <v>349387</v>
      </c>
      <c r="D23" s="734">
        <f>民間設備製造1!D23+民間設備非製造!D23</f>
        <v>352732</v>
      </c>
      <c r="E23" s="734">
        <f>民間設備製造1!E23+民間設備非製造!E23</f>
        <v>338452</v>
      </c>
      <c r="F23" s="734">
        <f>民間設備製造1!F23+民間設備非製造!F23</f>
        <v>257947</v>
      </c>
      <c r="G23" s="734">
        <f>民間設備製造1!G23+民間設備非製造!G23</f>
        <v>269182</v>
      </c>
      <c r="H23" s="734">
        <f>民間設備製造1!H23+民間設備非製造!H23</f>
        <v>297735</v>
      </c>
      <c r="I23" s="734">
        <f>民間設備製造1!I23+民間設備非製造!I23</f>
        <v>311860</v>
      </c>
      <c r="J23" s="734">
        <f>民間設備製造1!J23+民間設備非製造!J23</f>
        <v>347719</v>
      </c>
      <c r="K23" s="734">
        <f>民間設備製造1!K23+民間設備非製造!K23</f>
        <v>363973</v>
      </c>
      <c r="L23" s="734">
        <f>民間設備製造1!L23+民間設備非製造!L23</f>
        <v>380161</v>
      </c>
      <c r="M23" s="734">
        <f>民間設備製造1!M23+民間設備非製造!M23</f>
        <v>385832</v>
      </c>
      <c r="N23" s="734">
        <f>民間設備製造1!N23+民間設備非製造!N23</f>
        <v>391136</v>
      </c>
      <c r="O23" s="734">
        <f>民間設備製造1!O23+民間設備非製造!O23</f>
        <v>402227</v>
      </c>
      <c r="P23" s="734">
        <f>民間設備製造1!P23+民間設備非製造!P23</f>
        <v>403516</v>
      </c>
      <c r="Q23" s="734">
        <f>民間設備製造1!Q23+民間設備非製造!Q23</f>
        <v>374212</v>
      </c>
      <c r="R23" s="734">
        <f>民間設備製造1!R23+民間設備非製造!R23</f>
        <v>399128</v>
      </c>
      <c r="S23" s="734">
        <f>民間設備製造1!S23+民間設備非製造!S23</f>
        <v>454237</v>
      </c>
      <c r="T23" s="734">
        <f>民間設備製造1!T23+民間設備非製造!T23</f>
        <v>497546</v>
      </c>
      <c r="U23" s="734">
        <f>民間設備製造1!U23+民間設備非製造!U23</f>
        <v>517398</v>
      </c>
      <c r="V23" s="734">
        <f>民間設備製造1!V23+民間設備非製造!V23</f>
        <v>541324</v>
      </c>
      <c r="W23" s="734">
        <f>民間設備製造1!W23+民間設備非製造!W23</f>
        <v>555159</v>
      </c>
      <c r="X23" s="734">
        <f>民間設備製造1!X23+民間設備非製造!X23</f>
        <v>570931</v>
      </c>
    </row>
    <row r="24" spans="1:24">
      <c r="A24" s="730">
        <v>207</v>
      </c>
      <c r="B24" s="730" t="s">
        <v>187</v>
      </c>
      <c r="C24" s="733">
        <f>民間設備製造1!C24+民間設備非製造!C24</f>
        <v>129649</v>
      </c>
      <c r="D24" s="733">
        <f>民間設備製造1!D24+民間設備非製造!D24</f>
        <v>127248</v>
      </c>
      <c r="E24" s="733">
        <f>民間設備製造1!E24+民間設備非製造!E24</f>
        <v>121006</v>
      </c>
      <c r="F24" s="733">
        <f>民間設備製造1!F24+民間設備非製造!F24</f>
        <v>87130</v>
      </c>
      <c r="G24" s="733">
        <f>民間設備製造1!G24+民間設備非製造!G24</f>
        <v>86852</v>
      </c>
      <c r="H24" s="733">
        <f>民間設備製造1!H24+民間設備非製造!H24</f>
        <v>112282</v>
      </c>
      <c r="I24" s="733">
        <f>民間設備製造1!I24+民間設備非製造!I24</f>
        <v>109382</v>
      </c>
      <c r="J24" s="733">
        <f>民間設備製造1!J24+民間設備非製造!J24</f>
        <v>132917</v>
      </c>
      <c r="K24" s="733">
        <f>民間設備製造1!K24+民間設備非製造!K24</f>
        <v>127531</v>
      </c>
      <c r="L24" s="733">
        <f>民間設備製造1!L24+民間設備非製造!L24</f>
        <v>143702</v>
      </c>
      <c r="M24" s="733">
        <f>民間設備製造1!M24+民間設備非製造!M24</f>
        <v>145836</v>
      </c>
      <c r="N24" s="733">
        <f>民間設備製造1!N24+民間設備非製造!N24</f>
        <v>142640</v>
      </c>
      <c r="O24" s="733">
        <f>民間設備製造1!O24+民間設備非製造!O24</f>
        <v>143123</v>
      </c>
      <c r="P24" s="733">
        <f>民間設備製造1!P24+民間設備非製造!P24</f>
        <v>149046</v>
      </c>
      <c r="Q24" s="733">
        <f>民間設備製造1!Q24+民間設備非製造!Q24</f>
        <v>136387</v>
      </c>
      <c r="R24" s="733">
        <f>民間設備製造1!R24+民間設備非製造!R24</f>
        <v>142945</v>
      </c>
      <c r="S24" s="733">
        <f>民間設備製造1!S24+民間設備非製造!S24</f>
        <v>164441</v>
      </c>
      <c r="T24" s="733">
        <f>民間設備製造1!T24+民間設備非製造!T24</f>
        <v>180097</v>
      </c>
      <c r="U24" s="733">
        <f>民間設備製造1!U24+民間設備非製造!U24</f>
        <v>187809</v>
      </c>
      <c r="V24" s="733">
        <f>民間設備製造1!V24+民間設備非製造!V24</f>
        <v>196651</v>
      </c>
      <c r="W24" s="733">
        <f>民間設備製造1!W24+民間設備非製造!W24</f>
        <v>201530</v>
      </c>
      <c r="X24" s="733">
        <f>民間設備製造1!X24+民間設備非製造!X24</f>
        <v>207301</v>
      </c>
    </row>
    <row r="25" spans="1:24">
      <c r="A25" s="730">
        <v>214</v>
      </c>
      <c r="B25" s="730" t="s">
        <v>188</v>
      </c>
      <c r="C25" s="733">
        <f>民間設備製造1!C25+民間設備非製造!C25</f>
        <v>84358</v>
      </c>
      <c r="D25" s="733">
        <f>民間設備製造1!D25+民間設備非製造!D25</f>
        <v>87414</v>
      </c>
      <c r="E25" s="733">
        <f>民間設備製造1!E25+民間設備非製造!E25</f>
        <v>83900</v>
      </c>
      <c r="F25" s="733">
        <f>民間設備製造1!F25+民間設備非製造!F25</f>
        <v>66949</v>
      </c>
      <c r="G25" s="733">
        <f>民間設備製造1!G25+民間設備非製造!G25</f>
        <v>72446</v>
      </c>
      <c r="H25" s="733">
        <f>民間設備製造1!H25+民間設備非製造!H25</f>
        <v>72565</v>
      </c>
      <c r="I25" s="733">
        <f>民間設備製造1!I25+民間設備非製造!I25</f>
        <v>75906</v>
      </c>
      <c r="J25" s="733">
        <f>民間設備製造1!J25+民間設備非製造!J25</f>
        <v>87545</v>
      </c>
      <c r="K25" s="733">
        <f>民間設備製造1!K25+民間設備非製造!K25</f>
        <v>88888</v>
      </c>
      <c r="L25" s="733">
        <f>民間設備製造1!L25+民間設備非製造!L25</f>
        <v>90508</v>
      </c>
      <c r="M25" s="733">
        <f>民間設備製造1!M25+民間設備非製造!M25</f>
        <v>85603</v>
      </c>
      <c r="N25" s="733">
        <f>民間設備製造1!N25+民間設備非製造!N25</f>
        <v>93687</v>
      </c>
      <c r="O25" s="733">
        <f>民間設備製造1!O25+民間設備非製造!O25</f>
        <v>91703</v>
      </c>
      <c r="P25" s="733">
        <f>民間設備製造1!P25+民間設備非製造!P25</f>
        <v>95090</v>
      </c>
      <c r="Q25" s="733">
        <f>民間設備製造1!Q25+民間設備非製造!Q25</f>
        <v>88063</v>
      </c>
      <c r="R25" s="733">
        <f>民間設備製造1!R25+民間設備非製造!R25</f>
        <v>93946</v>
      </c>
      <c r="S25" s="733">
        <f>民間設備製造1!S25+民間設備非製造!S25</f>
        <v>107819</v>
      </c>
      <c r="T25" s="733">
        <f>民間設備製造1!T25+民間設備非製造!T25</f>
        <v>116489</v>
      </c>
      <c r="U25" s="733">
        <f>民間設備製造1!U25+民間設備非製造!U25</f>
        <v>121455</v>
      </c>
      <c r="V25" s="733">
        <f>民間設備製造1!V25+民間設備非製造!V25</f>
        <v>127208</v>
      </c>
      <c r="W25" s="733">
        <f>民間設備製造1!W25+民間設備非製造!W25</f>
        <v>130410</v>
      </c>
      <c r="X25" s="733">
        <f>民間設備製造1!X25+民間設備非製造!X25</f>
        <v>134101</v>
      </c>
    </row>
    <row r="26" spans="1:24">
      <c r="A26" s="730">
        <v>217</v>
      </c>
      <c r="B26" s="730" t="s">
        <v>189</v>
      </c>
      <c r="C26" s="733">
        <f>民間設備製造1!C26+民間設備非製造!C26</f>
        <v>58529</v>
      </c>
      <c r="D26" s="733">
        <f>民間設備製造1!D26+民間設備非製造!D26</f>
        <v>63014</v>
      </c>
      <c r="E26" s="733">
        <f>民間設備製造1!E26+民間設備非製造!E26</f>
        <v>58079</v>
      </c>
      <c r="F26" s="733">
        <f>民間設備製造1!F26+民間設備非製造!F26</f>
        <v>47291</v>
      </c>
      <c r="G26" s="733">
        <f>民間設備製造1!G26+民間設備非製造!G26</f>
        <v>46700</v>
      </c>
      <c r="H26" s="733">
        <f>民間設備製造1!H26+民間設備非製造!H26</f>
        <v>47749</v>
      </c>
      <c r="I26" s="733">
        <f>民間設備製造1!I26+民間設備非製造!I26</f>
        <v>51584</v>
      </c>
      <c r="J26" s="733">
        <f>民間設備製造1!J26+民間設備非製造!J26</f>
        <v>57546</v>
      </c>
      <c r="K26" s="733">
        <f>民間設備製造1!K26+民間設備非製造!K26</f>
        <v>61034</v>
      </c>
      <c r="L26" s="733">
        <f>民間設備製造1!L26+民間設備非製造!L26</f>
        <v>61918</v>
      </c>
      <c r="M26" s="733">
        <f>民間設備製造1!M26+民間設備非製造!M26</f>
        <v>58676</v>
      </c>
      <c r="N26" s="733">
        <f>民間設備製造1!N26+民間設備非製造!N26</f>
        <v>65191</v>
      </c>
      <c r="O26" s="733">
        <f>民間設備製造1!O26+民間設備非製造!O26</f>
        <v>64306</v>
      </c>
      <c r="P26" s="733">
        <f>民間設備製造1!P26+民間設備非製造!P26</f>
        <v>63263</v>
      </c>
      <c r="Q26" s="733">
        <f>民間設備製造1!Q26+民間設備非製造!Q26</f>
        <v>61007</v>
      </c>
      <c r="R26" s="733">
        <f>民間設備製造1!R26+民間設備非製造!R26</f>
        <v>63587</v>
      </c>
      <c r="S26" s="733">
        <f>民間設備製造1!S26+民間設備非製造!S26</f>
        <v>72085</v>
      </c>
      <c r="T26" s="733">
        <f>民間設備製造1!T26+民間設備非製造!T26</f>
        <v>79423</v>
      </c>
      <c r="U26" s="733">
        <f>民間設備製造1!U26+民間設備非製造!U26</f>
        <v>82482</v>
      </c>
      <c r="V26" s="733">
        <f>民間設備製造1!V26+民間設備非製造!V26</f>
        <v>86288</v>
      </c>
      <c r="W26" s="733">
        <f>民間設備製造1!W26+民間設備非製造!W26</f>
        <v>88555</v>
      </c>
      <c r="X26" s="733">
        <f>民間設備製造1!X26+民間設備非製造!X26</f>
        <v>91031</v>
      </c>
    </row>
    <row r="27" spans="1:24">
      <c r="A27" s="730">
        <v>219</v>
      </c>
      <c r="B27" s="730" t="s">
        <v>190</v>
      </c>
      <c r="C27" s="733">
        <f>民間設備製造1!C27+民間設備非製造!C27</f>
        <v>64718</v>
      </c>
      <c r="D27" s="733">
        <f>民間設備製造1!D27+民間設備非製造!D27</f>
        <v>63837</v>
      </c>
      <c r="E27" s="733">
        <f>民間設備製造1!E27+民間設備非製造!E27</f>
        <v>65194</v>
      </c>
      <c r="F27" s="733">
        <f>民間設備製造1!F27+民間設備非製造!F27</f>
        <v>48348</v>
      </c>
      <c r="G27" s="733">
        <f>民間設備製造1!G27+民間設備非製造!G27</f>
        <v>54059</v>
      </c>
      <c r="H27" s="733">
        <f>民間設備製造1!H27+民間設備非製造!H27</f>
        <v>55524</v>
      </c>
      <c r="I27" s="733">
        <f>民間設備製造1!I27+民間設備非製造!I27</f>
        <v>65702</v>
      </c>
      <c r="J27" s="733">
        <f>民間設備製造1!J27+民間設備非製造!J27</f>
        <v>59571</v>
      </c>
      <c r="K27" s="733">
        <f>民間設備製造1!K27+民間設備非製造!K27</f>
        <v>75395</v>
      </c>
      <c r="L27" s="733">
        <f>民間設備製造1!L27+民間設備非製造!L27</f>
        <v>72460</v>
      </c>
      <c r="M27" s="733">
        <f>民間設備製造1!M27+民間設備非製造!M27</f>
        <v>85296</v>
      </c>
      <c r="N27" s="733">
        <f>民間設備製造1!N27+民間設備非製造!N27</f>
        <v>76815</v>
      </c>
      <c r="O27" s="733">
        <f>民間設備製造1!O27+民間設備非製造!O27</f>
        <v>91674</v>
      </c>
      <c r="P27" s="733">
        <f>民間設備製造1!P27+民間設備非製造!P27</f>
        <v>84686</v>
      </c>
      <c r="Q27" s="733">
        <f>民間設備製造1!Q27+民間設備非製造!Q27</f>
        <v>77436</v>
      </c>
      <c r="R27" s="733">
        <f>民間設備製造1!R27+民間設備非製造!R27</f>
        <v>86268</v>
      </c>
      <c r="S27" s="733">
        <f>民間設備製造1!S27+民間設備非製造!S27</f>
        <v>95934</v>
      </c>
      <c r="T27" s="733">
        <f>民間設備製造1!T27+民間設備非製造!T27</f>
        <v>106110</v>
      </c>
      <c r="U27" s="733">
        <f>民間設備製造1!U27+民間設備非製造!U27</f>
        <v>110038</v>
      </c>
      <c r="V27" s="733">
        <f>民間設備製造1!V27+民間設備非製造!V27</f>
        <v>114827</v>
      </c>
      <c r="W27" s="733">
        <f>民間設備製造1!W27+民間設備非製造!W27</f>
        <v>117867</v>
      </c>
      <c r="X27" s="733">
        <f>民間設備製造1!X27+民間設備非製造!X27</f>
        <v>121249</v>
      </c>
    </row>
    <row r="28" spans="1:24">
      <c r="A28" s="731">
        <v>301</v>
      </c>
      <c r="B28" s="731" t="s">
        <v>191</v>
      </c>
      <c r="C28" s="735">
        <f>民間設備製造1!C28+民間設備非製造!C28</f>
        <v>12133</v>
      </c>
      <c r="D28" s="735">
        <f>民間設備製造1!D28+民間設備非製造!D28</f>
        <v>11219</v>
      </c>
      <c r="E28" s="735">
        <f>民間設備製造1!E28+民間設備非製造!E28</f>
        <v>10273</v>
      </c>
      <c r="F28" s="735">
        <f>民間設備製造1!F28+民間設備非製造!F28</f>
        <v>8229</v>
      </c>
      <c r="G28" s="735">
        <f>民間設備製造1!G28+民間設備非製造!G28</f>
        <v>9125</v>
      </c>
      <c r="H28" s="735">
        <f>民間設備製造1!H28+民間設備非製造!H28</f>
        <v>9615</v>
      </c>
      <c r="I28" s="735">
        <f>民間設備製造1!I28+民間設備非製造!I28</f>
        <v>9286</v>
      </c>
      <c r="J28" s="735">
        <f>民間設備製造1!J28+民間設備非製造!J28</f>
        <v>10140</v>
      </c>
      <c r="K28" s="735">
        <f>民間設備製造1!K28+民間設備非製造!K28</f>
        <v>11125</v>
      </c>
      <c r="L28" s="735">
        <f>民間設備製造1!L28+民間設備非製造!L28</f>
        <v>11573</v>
      </c>
      <c r="M28" s="735">
        <f>民間設備製造1!M28+民間設備非製造!M28</f>
        <v>10421</v>
      </c>
      <c r="N28" s="735">
        <f>民間設備製造1!N28+民間設備非製造!N28</f>
        <v>12803</v>
      </c>
      <c r="O28" s="735">
        <f>民間設備製造1!O28+民間設備非製造!O28</f>
        <v>11421</v>
      </c>
      <c r="P28" s="735">
        <f>民間設備製造1!P28+民間設備非製造!P28</f>
        <v>11431</v>
      </c>
      <c r="Q28" s="735">
        <f>民間設備製造1!Q28+民間設備非製造!Q28</f>
        <v>11319</v>
      </c>
      <c r="R28" s="735">
        <f>民間設備製造1!R28+民間設備非製造!R28</f>
        <v>12382</v>
      </c>
      <c r="S28" s="735">
        <f>民間設備製造1!S28+民間設備非製造!S28</f>
        <v>13958</v>
      </c>
      <c r="T28" s="735">
        <f>民間設備製造1!T28+民間設備非製造!T28</f>
        <v>15427</v>
      </c>
      <c r="U28" s="735">
        <f>民間設備製造1!U28+民間設備非製造!U28</f>
        <v>15614</v>
      </c>
      <c r="V28" s="735">
        <f>民間設備製造1!V28+民間設備非製造!V28</f>
        <v>16350</v>
      </c>
      <c r="W28" s="735">
        <f>民間設備製造1!W28+民間設備非製造!W28</f>
        <v>16797</v>
      </c>
      <c r="X28" s="735">
        <f>民間設備製造1!X28+民間設備非製造!X28</f>
        <v>17249</v>
      </c>
    </row>
    <row r="29" spans="1:24">
      <c r="A29" s="730">
        <v>3</v>
      </c>
      <c r="B29" s="730" t="s">
        <v>192</v>
      </c>
      <c r="C29" s="733">
        <f>民間設備製造1!C29+民間設備非製造!C29</f>
        <v>570057</v>
      </c>
      <c r="D29" s="733">
        <f>民間設備製造1!D29+民間設備非製造!D29</f>
        <v>574513</v>
      </c>
      <c r="E29" s="733">
        <f>民間設備製造1!E29+民間設備非製造!E29</f>
        <v>644682</v>
      </c>
      <c r="F29" s="733">
        <f>民間設備製造1!F29+民間設備非製造!F29</f>
        <v>646795</v>
      </c>
      <c r="G29" s="733">
        <f>民間設備製造1!G29+民間設備非製造!G29</f>
        <v>547691</v>
      </c>
      <c r="H29" s="733">
        <f>民間設備製造1!H29+民間設備非製造!H29</f>
        <v>699912</v>
      </c>
      <c r="I29" s="733">
        <f>民間設備製造1!I29+民間設備非製造!I29</f>
        <v>624512</v>
      </c>
      <c r="J29" s="733">
        <f>民間設備製造1!J29+民間設備非製造!J29</f>
        <v>618013</v>
      </c>
      <c r="K29" s="733">
        <f>民間設備製造1!K29+民間設備非製造!K29</f>
        <v>818848</v>
      </c>
      <c r="L29" s="733">
        <f>民間設備製造1!L29+民間設備非製造!L29</f>
        <v>620454</v>
      </c>
      <c r="M29" s="733">
        <f>民間設備製造1!M29+民間設備非製造!M29</f>
        <v>659586</v>
      </c>
      <c r="N29" s="733">
        <f>民間設備製造1!N29+民間設備非製造!N29</f>
        <v>747583</v>
      </c>
      <c r="O29" s="733">
        <f>民間設備製造1!O29+民間設備非製造!O29</f>
        <v>669831</v>
      </c>
      <c r="P29" s="733">
        <f>民間設備製造1!P29+民間設備非製造!P29</f>
        <v>707143</v>
      </c>
      <c r="Q29" s="733">
        <f>民間設備製造1!Q29+民間設備非製造!Q29</f>
        <v>656755</v>
      </c>
      <c r="R29" s="733">
        <f>民間設備製造1!R29+民間設備非製造!R29</f>
        <v>678766</v>
      </c>
      <c r="S29" s="733">
        <f>民間設備製造1!S29+民間設備非製造!S29</f>
        <v>778258</v>
      </c>
      <c r="T29" s="733">
        <f>民間設備製造1!T29+民間設備非製造!T29</f>
        <v>852951</v>
      </c>
      <c r="U29" s="733">
        <f>民間設備製造1!U29+民間設備非製造!U29</f>
        <v>888047</v>
      </c>
      <c r="V29" s="733">
        <f>民間設備製造1!V29+民間設備非製造!V29</f>
        <v>931321</v>
      </c>
      <c r="W29" s="733">
        <f>民間設備製造1!W29+民間設備非製造!W29</f>
        <v>954526</v>
      </c>
      <c r="X29" s="733">
        <f>民間設備製造1!X29+民間設備非製造!X29</f>
        <v>981280</v>
      </c>
    </row>
    <row r="30" spans="1:24">
      <c r="A30" s="730">
        <v>203</v>
      </c>
      <c r="B30" s="730" t="s">
        <v>193</v>
      </c>
      <c r="C30" s="733">
        <f>民間設備製造1!C30+民間設備非製造!C30</f>
        <v>170270</v>
      </c>
      <c r="D30" s="733">
        <f>民間設備製造1!D30+民間設備非製造!D30</f>
        <v>166278</v>
      </c>
      <c r="E30" s="733">
        <f>民間設備製造1!E30+民間設備非製造!E30</f>
        <v>194989</v>
      </c>
      <c r="F30" s="733">
        <f>民間設備製造1!F30+民間設備非製造!F30</f>
        <v>156185</v>
      </c>
      <c r="G30" s="733">
        <f>民間設備製造1!G30+民間設備非製造!G30</f>
        <v>154871</v>
      </c>
      <c r="H30" s="733">
        <f>民間設備製造1!H30+民間設備非製造!H30</f>
        <v>171454</v>
      </c>
      <c r="I30" s="733">
        <f>民間設備製造1!I30+民間設備非製造!I30</f>
        <v>165936</v>
      </c>
      <c r="J30" s="733">
        <f>民間設備製造1!J30+民間設備非製造!J30</f>
        <v>191657</v>
      </c>
      <c r="K30" s="733">
        <f>民間設備製造1!K30+民間設備非製造!K30</f>
        <v>210831</v>
      </c>
      <c r="L30" s="733">
        <f>民間設備製造1!L30+民間設備非製造!L30</f>
        <v>199518</v>
      </c>
      <c r="M30" s="733">
        <f>民間設備製造1!M30+民間設備非製造!M30</f>
        <v>212880</v>
      </c>
      <c r="N30" s="733">
        <f>民間設備製造1!N30+民間設備非製造!N30</f>
        <v>238555</v>
      </c>
      <c r="O30" s="733">
        <f>民間設備製造1!O30+民間設備非製造!O30</f>
        <v>222851</v>
      </c>
      <c r="P30" s="733">
        <f>民間設備製造1!P30+民間設備非製造!P30</f>
        <v>222989</v>
      </c>
      <c r="Q30" s="733">
        <f>民間設備製造1!Q30+民間設備非製造!Q30</f>
        <v>214321</v>
      </c>
      <c r="R30" s="733">
        <f>民間設備製造1!R30+民間設備非製造!R30</f>
        <v>221119</v>
      </c>
      <c r="S30" s="733">
        <f>民間設備製造1!S30+民間設備非製造!S30</f>
        <v>250530</v>
      </c>
      <c r="T30" s="733">
        <f>民間設備製造1!T30+民間設備非製造!T30</f>
        <v>277140</v>
      </c>
      <c r="U30" s="733">
        <f>民間設備製造1!U30+民間設備非製造!U30</f>
        <v>288638</v>
      </c>
      <c r="V30" s="733">
        <f>民間設備製造1!V30+民間設備非製造!V30</f>
        <v>302393</v>
      </c>
      <c r="W30" s="733">
        <f>民間設備製造1!W30+民間設備非製造!W30</f>
        <v>310199</v>
      </c>
      <c r="X30" s="733">
        <f>民間設備製造1!X30+民間設備非製造!X30</f>
        <v>318816</v>
      </c>
    </row>
    <row r="31" spans="1:24">
      <c r="A31" s="730">
        <v>210</v>
      </c>
      <c r="B31" s="730" t="s">
        <v>194</v>
      </c>
      <c r="C31" s="733">
        <f>民間設備製造1!C31+民間設備非製造!C31</f>
        <v>194949</v>
      </c>
      <c r="D31" s="733">
        <f>民間設備製造1!D31+民間設備非製造!D31</f>
        <v>206994</v>
      </c>
      <c r="E31" s="733">
        <f>民間設備製造1!E31+民間設備非製造!E31</f>
        <v>218301</v>
      </c>
      <c r="F31" s="733">
        <f>民間設備製造1!F31+民間設備非製造!F31</f>
        <v>229423</v>
      </c>
      <c r="G31" s="733">
        <f>民間設備製造1!G31+民間設備非製造!G31</f>
        <v>219161</v>
      </c>
      <c r="H31" s="733">
        <f>民間設備製造1!H31+民間設備非製造!H31</f>
        <v>340591</v>
      </c>
      <c r="I31" s="733">
        <f>民間設備製造1!I31+民間設備非製造!I31</f>
        <v>269807</v>
      </c>
      <c r="J31" s="733">
        <f>民間設備製造1!J31+民間設備非製造!J31</f>
        <v>233396</v>
      </c>
      <c r="K31" s="733">
        <f>民間設備製造1!K31+民間設備非製造!K31</f>
        <v>286477</v>
      </c>
      <c r="L31" s="733">
        <f>民間設備製造1!L31+民間設備非製造!L31</f>
        <v>221620</v>
      </c>
      <c r="M31" s="733">
        <f>民間設備製造1!M31+民間設備非製造!M31</f>
        <v>263818</v>
      </c>
      <c r="N31" s="733">
        <f>民間設備製造1!N31+民間設備非製造!N31</f>
        <v>285617</v>
      </c>
      <c r="O31" s="733">
        <f>民間設備製造1!O31+民間設備非製造!O31</f>
        <v>223077</v>
      </c>
      <c r="P31" s="733">
        <f>民間設備製造1!P31+民間設備非製造!P31</f>
        <v>217344</v>
      </c>
      <c r="Q31" s="733">
        <f>民間設備製造1!Q31+民間設備非製造!Q31</f>
        <v>221999</v>
      </c>
      <c r="R31" s="733">
        <f>民間設備製造1!R31+民間設備非製造!R31</f>
        <v>220117</v>
      </c>
      <c r="S31" s="733">
        <f>民間設備製造1!S31+民間設備非製造!S31</f>
        <v>250909</v>
      </c>
      <c r="T31" s="733">
        <f>民間設備製造1!T31+民間設備非製造!T31</f>
        <v>279105</v>
      </c>
      <c r="U31" s="733">
        <f>民間設備製造1!U31+民間設備非製造!U31</f>
        <v>287930</v>
      </c>
      <c r="V31" s="733">
        <f>民間設備製造1!V31+民間設備非製造!V31</f>
        <v>302125</v>
      </c>
      <c r="W31" s="733">
        <f>民間設備製造1!W31+民間設備非製造!W31</f>
        <v>310417</v>
      </c>
      <c r="X31" s="733">
        <f>民間設備製造1!X31+民間設備非製造!X31</f>
        <v>318536</v>
      </c>
    </row>
    <row r="32" spans="1:24">
      <c r="A32" s="730">
        <v>216</v>
      </c>
      <c r="B32" s="730" t="s">
        <v>195</v>
      </c>
      <c r="C32" s="733">
        <f>民間設備製造1!C32+民間設備非製造!C32</f>
        <v>155202</v>
      </c>
      <c r="D32" s="733">
        <f>民間設備製造1!D32+民間設備非製造!D32</f>
        <v>141097</v>
      </c>
      <c r="E32" s="733">
        <f>民間設備製造1!E32+民間設備非製造!E32</f>
        <v>173000</v>
      </c>
      <c r="F32" s="733">
        <f>民間設備製造1!F32+民間設備非製造!F32</f>
        <v>209472</v>
      </c>
      <c r="G32" s="733">
        <f>民間設備製造1!G32+民間設備非製造!G32</f>
        <v>131087</v>
      </c>
      <c r="H32" s="733">
        <f>民間設備製造1!H32+民間設備非製造!H32</f>
        <v>142088</v>
      </c>
      <c r="I32" s="733">
        <f>民間設備製造1!I32+民間設備非製造!I32</f>
        <v>141776</v>
      </c>
      <c r="J32" s="733">
        <f>民間設備製造1!J32+民間設備非製造!J32</f>
        <v>132696</v>
      </c>
      <c r="K32" s="733">
        <f>民間設備製造1!K32+民間設備非製造!K32</f>
        <v>268811</v>
      </c>
      <c r="L32" s="733">
        <f>民間設備製造1!L32+民間設備非製造!L32</f>
        <v>145602</v>
      </c>
      <c r="M32" s="733">
        <f>民間設備製造1!M32+民間設備非製造!M32</f>
        <v>130254</v>
      </c>
      <c r="N32" s="733">
        <f>民間設備製造1!N32+民間設備非製造!N32</f>
        <v>146524</v>
      </c>
      <c r="O32" s="733">
        <f>民間設備製造1!O32+民間設備非製造!O32</f>
        <v>149307</v>
      </c>
      <c r="P32" s="733">
        <f>民間設備製造1!P32+民間設備非製造!P32</f>
        <v>206179</v>
      </c>
      <c r="Q32" s="733">
        <f>民間設備製造1!Q32+民間設備非製造!Q32</f>
        <v>155251</v>
      </c>
      <c r="R32" s="733">
        <f>民間設備製造1!R32+民間設備非製造!R32</f>
        <v>169287</v>
      </c>
      <c r="S32" s="733">
        <f>民間設備製造1!S32+民間設備非製造!S32</f>
        <v>201662</v>
      </c>
      <c r="T32" s="733">
        <f>民間設備製造1!T32+民間設備非製造!T32</f>
        <v>211718</v>
      </c>
      <c r="U32" s="733">
        <f>民間設備製造1!U32+民間設備非製造!U32</f>
        <v>223060</v>
      </c>
      <c r="V32" s="733">
        <f>民間設備製造1!V32+民間設備非製造!V32</f>
        <v>234524</v>
      </c>
      <c r="W32" s="733">
        <f>民間設備製造1!W32+民間設備非製造!W32</f>
        <v>238842</v>
      </c>
      <c r="X32" s="733">
        <f>民間設備製造1!X32+民間設備非製造!X32</f>
        <v>246373</v>
      </c>
    </row>
    <row r="33" spans="1:24">
      <c r="A33" s="730">
        <v>381</v>
      </c>
      <c r="B33" s="730" t="s">
        <v>196</v>
      </c>
      <c r="C33" s="733">
        <f>民間設備製造1!C33+民間設備非製造!C33</f>
        <v>18815</v>
      </c>
      <c r="D33" s="733">
        <f>民間設備製造1!D33+民間設備非製造!D33</f>
        <v>24450</v>
      </c>
      <c r="E33" s="733">
        <f>民間設備製造1!E33+民間設備非製造!E33</f>
        <v>19855</v>
      </c>
      <c r="F33" s="733">
        <f>民間設備製造1!F33+民間設備非製造!F33</f>
        <v>15690</v>
      </c>
      <c r="G33" s="733">
        <f>民間設備製造1!G33+民間設備非製造!G33</f>
        <v>15056</v>
      </c>
      <c r="H33" s="733">
        <f>民間設備製造1!H33+民間設備非製造!H33</f>
        <v>16805</v>
      </c>
      <c r="I33" s="733">
        <f>民間設備製造1!I33+民間設備非製造!I33</f>
        <v>18358</v>
      </c>
      <c r="J33" s="733">
        <f>民間設備製造1!J33+民間設備非製造!J33</f>
        <v>15697</v>
      </c>
      <c r="K33" s="733">
        <f>民間設備製造1!K33+民間設備非製造!K33</f>
        <v>17714</v>
      </c>
      <c r="L33" s="733">
        <f>民間設備製造1!L33+民間設備非製造!L33</f>
        <v>22494</v>
      </c>
      <c r="M33" s="733">
        <f>民間設備製造1!M33+民間設備非製造!M33</f>
        <v>15800</v>
      </c>
      <c r="N33" s="733">
        <f>民間設備製造1!N33+民間設備非製造!N33</f>
        <v>19135</v>
      </c>
      <c r="O33" s="733">
        <f>民間設備製造1!O33+民間設備非製造!O33</f>
        <v>27783</v>
      </c>
      <c r="P33" s="733">
        <f>民間設備製造1!P33+民間設備非製造!P33</f>
        <v>24399</v>
      </c>
      <c r="Q33" s="733">
        <f>民間設備製造1!Q33+民間設備非製造!Q33</f>
        <v>22185</v>
      </c>
      <c r="R33" s="733">
        <f>民間設備製造1!R33+民間設備非製造!R33</f>
        <v>25497</v>
      </c>
      <c r="S33" s="733">
        <f>民間設備製造1!S33+民間設備非製造!S33</f>
        <v>28156</v>
      </c>
      <c r="T33" s="733">
        <f>民間設備製造1!T33+民間設備非製造!T33</f>
        <v>31080</v>
      </c>
      <c r="U33" s="733">
        <f>民間設備製造1!U33+民間設備非製造!U33</f>
        <v>32948</v>
      </c>
      <c r="V33" s="733">
        <f>民間設備製造1!V33+民間設備非製造!V33</f>
        <v>34288</v>
      </c>
      <c r="W33" s="733">
        <f>民間設備製造1!W33+民間設備非製造!W33</f>
        <v>35213</v>
      </c>
      <c r="X33" s="733">
        <f>民間設備製造1!X33+民間設備非製造!X33</f>
        <v>36245</v>
      </c>
    </row>
    <row r="34" spans="1:24">
      <c r="A34" s="730">
        <v>382</v>
      </c>
      <c r="B34" s="730" t="s">
        <v>197</v>
      </c>
      <c r="C34" s="733">
        <f>民間設備製造1!C34+民間設備非製造!C34</f>
        <v>30821</v>
      </c>
      <c r="D34" s="733">
        <f>民間設備製造1!D34+民間設備非製造!D34</f>
        <v>35694</v>
      </c>
      <c r="E34" s="733">
        <f>民間設備製造1!E34+民間設備非製造!E34</f>
        <v>38537</v>
      </c>
      <c r="F34" s="733">
        <f>民間設備製造1!F34+民間設備非製造!F34</f>
        <v>36025</v>
      </c>
      <c r="G34" s="733">
        <f>民間設備製造1!G34+民間設備非製造!G34</f>
        <v>27516</v>
      </c>
      <c r="H34" s="733">
        <f>民間設備製造1!H34+民間設備非製造!H34</f>
        <v>28974</v>
      </c>
      <c r="I34" s="733">
        <f>民間設備製造1!I34+民間設備非製造!I34</f>
        <v>28635</v>
      </c>
      <c r="J34" s="733">
        <f>民間設備製造1!J34+民間設備非製造!J34</f>
        <v>44567</v>
      </c>
      <c r="K34" s="733">
        <f>民間設備製造1!K34+民間設備非製造!K34</f>
        <v>35015</v>
      </c>
      <c r="L34" s="733">
        <f>民間設備製造1!L34+民間設備非製造!L34</f>
        <v>31220</v>
      </c>
      <c r="M34" s="733">
        <f>民間設備製造1!M34+民間設備非製造!M34</f>
        <v>36834</v>
      </c>
      <c r="N34" s="733">
        <f>民間設備製造1!N34+民間設備非製造!N34</f>
        <v>57752</v>
      </c>
      <c r="O34" s="733">
        <f>民間設備製造1!O34+民間設備非製造!O34</f>
        <v>46813</v>
      </c>
      <c r="P34" s="733">
        <f>民間設備製造1!P34+民間設備非製造!P34</f>
        <v>36232</v>
      </c>
      <c r="Q34" s="733">
        <f>民間設備製造1!Q34+民間設備非製造!Q34</f>
        <v>42999</v>
      </c>
      <c r="R34" s="733">
        <f>民間設備製造1!R34+民間設備非製造!R34</f>
        <v>42746</v>
      </c>
      <c r="S34" s="733">
        <f>民間設備製造1!S34+民間設備非製造!S34</f>
        <v>47001</v>
      </c>
      <c r="T34" s="733">
        <f>民間設備製造1!T34+民間設備非製造!T34</f>
        <v>53908</v>
      </c>
      <c r="U34" s="733">
        <f>民間設備製造1!U34+民間設備非製造!U34</f>
        <v>55471</v>
      </c>
      <c r="V34" s="733">
        <f>民間設備製造1!V34+民間設備非製造!V34</f>
        <v>57991</v>
      </c>
      <c r="W34" s="733">
        <f>民間設備製造1!W34+民間設備非製造!W34</f>
        <v>59855</v>
      </c>
      <c r="X34" s="733">
        <f>民間設備製造1!X34+民間設備非製造!X34</f>
        <v>61310</v>
      </c>
    </row>
    <row r="35" spans="1:24">
      <c r="A35" s="728">
        <v>4</v>
      </c>
      <c r="B35" s="728" t="s">
        <v>325</v>
      </c>
      <c r="C35" s="734">
        <f>民間設備製造1!C35+民間設備非製造!C35</f>
        <v>185744</v>
      </c>
      <c r="D35" s="734">
        <f>民間設備製造1!D35+民間設備非製造!D35</f>
        <v>226100</v>
      </c>
      <c r="E35" s="734">
        <f>民間設備製造1!E35+民間設備非製造!E35</f>
        <v>169895</v>
      </c>
      <c r="F35" s="734">
        <f>民間設備製造1!F35+民間設備非製造!F35</f>
        <v>132139</v>
      </c>
      <c r="G35" s="734">
        <f>民間設備製造1!G35+民間設備非製造!G35</f>
        <v>142182</v>
      </c>
      <c r="H35" s="734">
        <f>民間設備製造1!H35+民間設備非製造!H35</f>
        <v>248723</v>
      </c>
      <c r="I35" s="734">
        <f>民間設備製造1!I35+民間設備非製造!I35</f>
        <v>230601</v>
      </c>
      <c r="J35" s="734">
        <f>民間設備製造1!J35+民間設備非製造!J35</f>
        <v>235082</v>
      </c>
      <c r="K35" s="734">
        <f>民間設備製造1!K35+民間設備非製造!K35</f>
        <v>180489</v>
      </c>
      <c r="L35" s="734">
        <f>民間設備製造1!L35+民間設備非製造!L35</f>
        <v>182422</v>
      </c>
      <c r="M35" s="734">
        <f>民間設備製造1!M35+民間設備非製造!M35</f>
        <v>214855</v>
      </c>
      <c r="N35" s="734">
        <f>民間設備製造1!N35+民間設備非製造!N35</f>
        <v>204989</v>
      </c>
      <c r="O35" s="734">
        <f>民間設備製造1!O35+民間設備非製造!O35</f>
        <v>203617</v>
      </c>
      <c r="P35" s="734">
        <f>民間設備製造1!P35+民間設備非製造!P35</f>
        <v>221973</v>
      </c>
      <c r="Q35" s="734">
        <f>民間設備製造1!Q35+民間設備非製造!Q35</f>
        <v>196694</v>
      </c>
      <c r="R35" s="734">
        <f>民間設備製造1!R35+民間設備非製造!R35</f>
        <v>213775</v>
      </c>
      <c r="S35" s="734">
        <f>民間設備製造1!S35+民間設備非製造!S35</f>
        <v>244617</v>
      </c>
      <c r="T35" s="734">
        <f>民間設備製造1!T35+民間設備非製造!T35</f>
        <v>266337</v>
      </c>
      <c r="U35" s="734">
        <f>民間設備製造1!U35+民間設備非製造!U35</f>
        <v>277654</v>
      </c>
      <c r="V35" s="734">
        <f>民間設備製造1!V35+民間設備非製造!V35</f>
        <v>290927</v>
      </c>
      <c r="W35" s="734">
        <f>民間設備製造1!W35+民間設備非製造!W35</f>
        <v>297937</v>
      </c>
      <c r="X35" s="734">
        <f>民間設備製造1!X35+民間設備非製造!X35</f>
        <v>306542</v>
      </c>
    </row>
    <row r="36" spans="1:24">
      <c r="A36" s="730">
        <v>213</v>
      </c>
      <c r="B36" s="730" t="s">
        <v>199</v>
      </c>
      <c r="C36" s="733">
        <f>民間設備製造1!C36+民間設備非製造!C36</f>
        <v>23015</v>
      </c>
      <c r="D36" s="733">
        <f>民間設備製造1!D36+民間設備非製造!D36</f>
        <v>46856</v>
      </c>
      <c r="E36" s="733">
        <f>民間設備製造1!E36+民間設備非製造!E36</f>
        <v>21287</v>
      </c>
      <c r="F36" s="733">
        <f>民間設備製造1!F36+民間設備非製造!F36</f>
        <v>14914</v>
      </c>
      <c r="G36" s="733">
        <f>民間設備製造1!G36+民間設備非製造!G36</f>
        <v>14398</v>
      </c>
      <c r="H36" s="733">
        <f>民間設備製造1!H36+民間設備非製造!H36</f>
        <v>48688</v>
      </c>
      <c r="I36" s="733">
        <f>民間設備製造1!I36+民間設備非製造!I36</f>
        <v>19432</v>
      </c>
      <c r="J36" s="733">
        <f>民間設備製造1!J36+民間設備非製造!J36</f>
        <v>21597</v>
      </c>
      <c r="K36" s="733">
        <f>民間設備製造1!K36+民間設備非製造!K36</f>
        <v>16996</v>
      </c>
      <c r="L36" s="733">
        <f>民間設備製造1!L36+民間設備非製造!L36</f>
        <v>19924</v>
      </c>
      <c r="M36" s="733">
        <f>民間設備製造1!M36+民間設備非製造!M36</f>
        <v>20676</v>
      </c>
      <c r="N36" s="733">
        <f>民間設備製造1!N36+民間設備非製造!N36</f>
        <v>18521</v>
      </c>
      <c r="O36" s="733">
        <f>民間設備製造1!O36+民間設備非製造!O36</f>
        <v>18152</v>
      </c>
      <c r="P36" s="733">
        <f>民間設備製造1!P36+民間設備非製造!P36</f>
        <v>20542</v>
      </c>
      <c r="Q36" s="733">
        <f>民間設備製造1!Q36+民間設備非製造!Q36</f>
        <v>20021</v>
      </c>
      <c r="R36" s="733">
        <f>民間設備製造1!R36+民間設備非製造!R36</f>
        <v>20715</v>
      </c>
      <c r="S36" s="733">
        <f>民間設備製造1!S36+民間設備非製造!S36</f>
        <v>24322</v>
      </c>
      <c r="T36" s="733">
        <f>民間設備製造1!T36+民間設備非製造!T36</f>
        <v>25904</v>
      </c>
      <c r="U36" s="733">
        <f>民間設備製造1!U36+民間設備非製造!U36</f>
        <v>26142</v>
      </c>
      <c r="V36" s="733">
        <f>民間設備製造1!V36+民間設備非製造!V36</f>
        <v>27413</v>
      </c>
      <c r="W36" s="733">
        <f>民間設備製造1!W36+民間設備非製造!W36</f>
        <v>28065</v>
      </c>
      <c r="X36" s="733">
        <f>民間設備製造1!X36+民間設備非製造!X36</f>
        <v>28874</v>
      </c>
    </row>
    <row r="37" spans="1:24">
      <c r="A37" s="730">
        <v>215</v>
      </c>
      <c r="B37" s="730" t="s">
        <v>329</v>
      </c>
      <c r="C37" s="733">
        <f>民間設備製造1!C37+民間設備非製造!C37</f>
        <v>34407</v>
      </c>
      <c r="D37" s="733">
        <f>民間設備製造1!D37+民間設備非製造!D37</f>
        <v>34385</v>
      </c>
      <c r="E37" s="733">
        <f>民間設備製造1!E37+民間設備非製造!E37</f>
        <v>36126</v>
      </c>
      <c r="F37" s="733">
        <f>民間設備製造1!F37+民間設備非製造!F37</f>
        <v>27228</v>
      </c>
      <c r="G37" s="733">
        <f>民間設備製造1!G37+民間設備非製造!G37</f>
        <v>30343</v>
      </c>
      <c r="H37" s="733">
        <f>民間設備製造1!H37+民間設備非製造!H37</f>
        <v>27608</v>
      </c>
      <c r="I37" s="733">
        <f>民間設備製造1!I37+民間設備非製造!I37</f>
        <v>47945</v>
      </c>
      <c r="J37" s="733">
        <f>民間設備製造1!J37+民間設備非製造!J37</f>
        <v>38174</v>
      </c>
      <c r="K37" s="733">
        <f>民間設備製造1!K37+民間設備非製造!K37</f>
        <v>41459</v>
      </c>
      <c r="L37" s="733">
        <f>民間設備製造1!L37+民間設備非製造!L37</f>
        <v>47827</v>
      </c>
      <c r="M37" s="733">
        <f>民間設備製造1!M37+民間設備非製造!M37</f>
        <v>39953</v>
      </c>
      <c r="N37" s="733">
        <f>民間設備製造1!N37+民間設備非製造!N37</f>
        <v>41858</v>
      </c>
      <c r="O37" s="733">
        <f>民間設備製造1!O37+民間設備非製造!O37</f>
        <v>47299</v>
      </c>
      <c r="P37" s="733">
        <f>民間設備製造1!P37+民間設備非製造!P37</f>
        <v>49872</v>
      </c>
      <c r="Q37" s="733">
        <f>民間設備製造1!Q37+民間設備非製造!Q37</f>
        <v>43598</v>
      </c>
      <c r="R37" s="733">
        <f>民間設備製造1!R37+民間設備非製造!R37</f>
        <v>48631</v>
      </c>
      <c r="S37" s="733">
        <f>民間設備製造1!S37+民間設備非製造!S37</f>
        <v>54958</v>
      </c>
      <c r="T37" s="733">
        <f>民間設備製造1!T37+民間設備非製造!T37</f>
        <v>59873</v>
      </c>
      <c r="U37" s="733">
        <f>民間設備製造1!U37+民間設備非製造!U37</f>
        <v>62560</v>
      </c>
      <c r="V37" s="733">
        <f>民間設備製造1!V37+民間設備非製造!V37</f>
        <v>65434</v>
      </c>
      <c r="W37" s="733">
        <f>民間設備製造1!W37+民間設備非製造!W37</f>
        <v>67019</v>
      </c>
      <c r="X37" s="733">
        <f>民間設備製造1!X37+民間設備非製造!X37</f>
        <v>68990</v>
      </c>
    </row>
    <row r="38" spans="1:24">
      <c r="A38" s="730">
        <v>218</v>
      </c>
      <c r="B38" s="730" t="s">
        <v>200</v>
      </c>
      <c r="C38" s="733">
        <f>民間設備製造1!C38+民間設備非製造!C38</f>
        <v>49950</v>
      </c>
      <c r="D38" s="733">
        <f>民間設備製造1!D38+民間設備非製造!D38</f>
        <v>37961</v>
      </c>
      <c r="E38" s="733">
        <f>民間設備製造1!E38+民間設備非製造!E38</f>
        <v>38400</v>
      </c>
      <c r="F38" s="733">
        <f>民間設備製造1!F38+民間設備非製造!F38</f>
        <v>30373</v>
      </c>
      <c r="G38" s="733">
        <f>民間設備製造1!G38+民間設備非製造!G38</f>
        <v>27108</v>
      </c>
      <c r="H38" s="733">
        <f>民間設備製造1!H38+民間設備非製造!H38</f>
        <v>30151</v>
      </c>
      <c r="I38" s="733">
        <f>民間設備製造1!I38+民間設備非製造!I38</f>
        <v>44023</v>
      </c>
      <c r="J38" s="733">
        <f>民間設備製造1!J38+民間設備非製造!J38</f>
        <v>87612</v>
      </c>
      <c r="K38" s="733">
        <f>民間設備製造1!K38+民間設備非製造!K38</f>
        <v>39048</v>
      </c>
      <c r="L38" s="733">
        <f>民間設備製造1!L38+民間設備非製造!L38</f>
        <v>41855</v>
      </c>
      <c r="M38" s="733">
        <f>民間設備製造1!M38+民間設備非製造!M38</f>
        <v>67212</v>
      </c>
      <c r="N38" s="733">
        <f>民間設備製造1!N38+民間設備非製造!N38</f>
        <v>39161</v>
      </c>
      <c r="O38" s="733">
        <f>民間設備製造1!O38+民間設備非製造!O38</f>
        <v>43994</v>
      </c>
      <c r="P38" s="733">
        <f>民間設備製造1!P38+民間設備非製造!P38</f>
        <v>46092</v>
      </c>
      <c r="Q38" s="733">
        <f>民間設備製造1!Q38+民間設備非製造!Q38</f>
        <v>39059</v>
      </c>
      <c r="R38" s="733">
        <f>民間設備製造1!R38+民間設備非製造!R38</f>
        <v>43976</v>
      </c>
      <c r="S38" s="733">
        <f>民間設備製造1!S38+民間設備非製造!S38</f>
        <v>50050</v>
      </c>
      <c r="T38" s="733">
        <f>民間設備製造1!T38+民間設備非製造!T38</f>
        <v>54117</v>
      </c>
      <c r="U38" s="733">
        <f>民間設備製造1!U38+民間設備非製造!U38</f>
        <v>56637</v>
      </c>
      <c r="V38" s="733">
        <f>民間設備製造1!V38+民間設備非製造!V38</f>
        <v>59225</v>
      </c>
      <c r="W38" s="733">
        <f>民間設備製造1!W38+民間設備非製造!W38</f>
        <v>60687</v>
      </c>
      <c r="X38" s="733">
        <f>民間設備製造1!X38+民間設備非製造!X38</f>
        <v>62457</v>
      </c>
    </row>
    <row r="39" spans="1:24">
      <c r="A39" s="730">
        <v>220</v>
      </c>
      <c r="B39" s="730" t="s">
        <v>201</v>
      </c>
      <c r="C39" s="733">
        <f>民間設備製造1!C39+民間設備非製造!C39</f>
        <v>36364</v>
      </c>
      <c r="D39" s="733">
        <f>民間設備製造1!D39+民間設備非製造!D39</f>
        <v>39520</v>
      </c>
      <c r="E39" s="733">
        <f>民間設備製造1!E39+民間設備非製造!E39</f>
        <v>34686</v>
      </c>
      <c r="F39" s="733">
        <f>民間設備製造1!F39+民間設備非製造!F39</f>
        <v>30516</v>
      </c>
      <c r="G39" s="733">
        <f>民間設備製造1!G39+民間設備非製造!G39</f>
        <v>34805</v>
      </c>
      <c r="H39" s="733">
        <f>民間設備製造1!H39+民間設備非製造!H39</f>
        <v>74856</v>
      </c>
      <c r="I39" s="733">
        <f>民間設備製造1!I39+民間設備非製造!I39</f>
        <v>79615</v>
      </c>
      <c r="J39" s="733">
        <f>民間設備製造1!J39+民間設備非製造!J39</f>
        <v>47169</v>
      </c>
      <c r="K39" s="733">
        <f>民間設備製造1!K39+民間設備非製造!K39</f>
        <v>43439</v>
      </c>
      <c r="L39" s="733">
        <f>民間設備製造1!L39+民間設備非製造!L39</f>
        <v>31867</v>
      </c>
      <c r="M39" s="733">
        <f>民間設備製造1!M39+民間設備非製造!M39</f>
        <v>43597</v>
      </c>
      <c r="N39" s="733">
        <f>民間設備製造1!N39+民間設備非製造!N39</f>
        <v>47488</v>
      </c>
      <c r="O39" s="733">
        <f>民間設備製造1!O39+民間設備非製造!O39</f>
        <v>43838</v>
      </c>
      <c r="P39" s="733">
        <f>民間設備製造1!P39+民間設備非製造!P39</f>
        <v>43616</v>
      </c>
      <c r="Q39" s="733">
        <f>民間設備製造1!Q39+民間設備非製造!Q39</f>
        <v>41610</v>
      </c>
      <c r="R39" s="733">
        <f>民間設備製造1!R39+民間設備非製造!R39</f>
        <v>43685</v>
      </c>
      <c r="S39" s="733">
        <f>民間設備製造1!S39+民間設備非製造!S39</f>
        <v>49476</v>
      </c>
      <c r="T39" s="733">
        <f>民間設備製造1!T39+民間設備非製造!T39</f>
        <v>54868</v>
      </c>
      <c r="U39" s="733">
        <f>民間設備製造1!U39+民間設備非製造!U39</f>
        <v>57106</v>
      </c>
      <c r="V39" s="733">
        <f>民間設備製造1!V39+民間設備非製造!V39</f>
        <v>59788</v>
      </c>
      <c r="W39" s="733">
        <f>民間設備製造1!W39+民間設備非製造!W39</f>
        <v>61370</v>
      </c>
      <c r="X39" s="733">
        <f>民間設備製造1!X39+民間設備非製造!X39</f>
        <v>63062</v>
      </c>
    </row>
    <row r="40" spans="1:24">
      <c r="A40" s="730">
        <v>228</v>
      </c>
      <c r="B40" s="730" t="s">
        <v>330</v>
      </c>
      <c r="C40" s="733">
        <f>民間設備製造1!C40+民間設備非製造!C40</f>
        <v>32730</v>
      </c>
      <c r="D40" s="733">
        <f>民間設備製造1!D40+民間設備非製造!D40</f>
        <v>58510</v>
      </c>
      <c r="E40" s="733">
        <f>民間設備製造1!E40+民間設備非製造!E40</f>
        <v>30506</v>
      </c>
      <c r="F40" s="733">
        <f>民間設備製造1!F40+民間設備非製造!F40</f>
        <v>21760</v>
      </c>
      <c r="G40" s="733">
        <f>民間設備製造1!G40+民間設備非製造!G40</f>
        <v>27790</v>
      </c>
      <c r="H40" s="733">
        <f>民間設備製造1!H40+民間設備非製造!H40</f>
        <v>57663</v>
      </c>
      <c r="I40" s="733">
        <f>民間設備製造1!I40+民間設備非製造!I40</f>
        <v>30943</v>
      </c>
      <c r="J40" s="733">
        <f>民間設備製造1!J40+民間設備非製造!J40</f>
        <v>31790</v>
      </c>
      <c r="K40" s="733">
        <f>民間設備製造1!K40+民間設備非製造!K40</f>
        <v>31135</v>
      </c>
      <c r="L40" s="733">
        <f>民間設備製造1!L40+民間設備非製造!L40</f>
        <v>31219</v>
      </c>
      <c r="M40" s="733">
        <f>民間設備製造1!M40+民間設備非製造!M40</f>
        <v>33129</v>
      </c>
      <c r="N40" s="733">
        <f>民間設備製造1!N40+民間設備非製造!N40</f>
        <v>47722</v>
      </c>
      <c r="O40" s="733">
        <f>民間設備製造1!O40+民間設備非製造!O40</f>
        <v>37103</v>
      </c>
      <c r="P40" s="733">
        <f>民間設備製造1!P40+民間設備非製造!P40</f>
        <v>50682</v>
      </c>
      <c r="Q40" s="733">
        <f>民間設備製造1!Q40+民間設備非製造!Q40</f>
        <v>41935</v>
      </c>
      <c r="R40" s="733">
        <f>民間設備製造1!R40+民間設備非製造!R40</f>
        <v>44750</v>
      </c>
      <c r="S40" s="733">
        <f>民間設備製造1!S40+民間設備非製造!S40</f>
        <v>52683</v>
      </c>
      <c r="T40" s="733">
        <f>民間設備製造1!T40+民間設備非製造!T40</f>
        <v>57246</v>
      </c>
      <c r="U40" s="733">
        <f>民間設備製造1!U40+民間設備非製造!U40</f>
        <v>60417</v>
      </c>
      <c r="V40" s="733">
        <f>民間設備製造1!V40+民間設備非製造!V40</f>
        <v>63653</v>
      </c>
      <c r="W40" s="733">
        <f>民間設備製造1!W40+民間設備非製造!W40</f>
        <v>64962</v>
      </c>
      <c r="X40" s="733">
        <f>民間設備製造1!X40+民間設備非製造!X40</f>
        <v>66871</v>
      </c>
    </row>
    <row r="41" spans="1:24">
      <c r="A41" s="731">
        <v>365</v>
      </c>
      <c r="B41" s="731" t="s">
        <v>331</v>
      </c>
      <c r="C41" s="735">
        <f>民間設備製造1!C41+民間設備非製造!C41</f>
        <v>9278</v>
      </c>
      <c r="D41" s="735">
        <f>民間設備製造1!D41+民間設備非製造!D41</f>
        <v>8868</v>
      </c>
      <c r="E41" s="735">
        <f>民間設備製造1!E41+民間設備非製造!E41</f>
        <v>8890</v>
      </c>
      <c r="F41" s="735">
        <f>民間設備製造1!F41+民間設備非製造!F41</f>
        <v>7348</v>
      </c>
      <c r="G41" s="735">
        <f>民間設備製造1!G41+民間設備非製造!G41</f>
        <v>7738</v>
      </c>
      <c r="H41" s="735">
        <f>民間設備製造1!H41+民間設備非製造!H41</f>
        <v>9757</v>
      </c>
      <c r="I41" s="735">
        <f>民間設備製造1!I41+民間設備非製造!I41</f>
        <v>8643</v>
      </c>
      <c r="J41" s="735">
        <f>民間設備製造1!J41+民間設備非製造!J41</f>
        <v>8740</v>
      </c>
      <c r="K41" s="735">
        <f>民間設備製造1!K41+民間設備非製造!K41</f>
        <v>8412</v>
      </c>
      <c r="L41" s="735">
        <f>民間設備製造1!L41+民間設備非製造!L41</f>
        <v>9730</v>
      </c>
      <c r="M41" s="735">
        <f>民間設備製造1!M41+民間設備非製造!M41</f>
        <v>10288</v>
      </c>
      <c r="N41" s="735">
        <f>民間設備製造1!N41+民間設備非製造!N41</f>
        <v>10239</v>
      </c>
      <c r="O41" s="735">
        <f>民間設備製造1!O41+民間設備非製造!O41</f>
        <v>13231</v>
      </c>
      <c r="P41" s="735">
        <f>民間設備製造1!P41+民間設備非製造!P41</f>
        <v>11169</v>
      </c>
      <c r="Q41" s="735">
        <f>民間設備製造1!Q41+民間設備非製造!Q41</f>
        <v>10471</v>
      </c>
      <c r="R41" s="735">
        <f>民間設備製造1!R41+民間設備非製造!R41</f>
        <v>12018</v>
      </c>
      <c r="S41" s="735">
        <f>民間設備製造1!S41+民間設備非製造!S41</f>
        <v>13128</v>
      </c>
      <c r="T41" s="735">
        <f>民間設備製造1!T41+民間設備非製造!T41</f>
        <v>14329</v>
      </c>
      <c r="U41" s="735">
        <f>民間設備製造1!U41+民間設備非製造!U41</f>
        <v>14792</v>
      </c>
      <c r="V41" s="735">
        <f>民間設備製造1!V41+民間設備非製造!V41</f>
        <v>15414</v>
      </c>
      <c r="W41" s="735">
        <f>民間設備製造1!W41+民間設備非製造!W41</f>
        <v>15834</v>
      </c>
      <c r="X41" s="735">
        <f>民間設備製造1!X41+民間設備非製造!X41</f>
        <v>16288</v>
      </c>
    </row>
    <row r="42" spans="1:24">
      <c r="A42" s="728">
        <v>5</v>
      </c>
      <c r="B42" s="728" t="s">
        <v>326</v>
      </c>
      <c r="C42" s="734">
        <f>民間設備製造1!C42+民間設備非製造!C42</f>
        <v>509216</v>
      </c>
      <c r="D42" s="734">
        <f>民間設備製造1!D42+民間設備非製造!D42</f>
        <v>506834</v>
      </c>
      <c r="E42" s="734">
        <f>民間設備製造1!E42+民間設備非製造!E42</f>
        <v>447308</v>
      </c>
      <c r="F42" s="734">
        <f>民間設備製造1!F42+民間設備非製造!F42</f>
        <v>393405</v>
      </c>
      <c r="G42" s="734">
        <f>民間設備製造1!G42+民間設備非製造!G42</f>
        <v>745261</v>
      </c>
      <c r="H42" s="734">
        <f>民間設備製造1!H42+民間設備非製造!H42</f>
        <v>449214</v>
      </c>
      <c r="I42" s="734">
        <f>民間設備製造1!I42+民間設備非製造!I42</f>
        <v>455913</v>
      </c>
      <c r="J42" s="734">
        <f>民間設備製造1!J42+民間設備非製造!J42</f>
        <v>474762</v>
      </c>
      <c r="K42" s="734">
        <f>民間設備製造1!K42+民間設備非製造!K42</f>
        <v>446702</v>
      </c>
      <c r="L42" s="734">
        <f>民間設備製造1!L42+民間設備非製造!L42</f>
        <v>452687</v>
      </c>
      <c r="M42" s="734">
        <f>民間設備製造1!M42+民間設備非製造!M42</f>
        <v>476480</v>
      </c>
      <c r="N42" s="734">
        <f>民間設備製造1!N42+民間設備非製造!N42</f>
        <v>489987</v>
      </c>
      <c r="O42" s="734">
        <f>民間設備製造1!O42+民間設備非製造!O42</f>
        <v>613129</v>
      </c>
      <c r="P42" s="734">
        <f>民間設備製造1!P42+民間設備非製造!P42</f>
        <v>543327</v>
      </c>
      <c r="Q42" s="734">
        <f>民間設備製造1!Q42+民間設備非製造!Q42</f>
        <v>510879</v>
      </c>
      <c r="R42" s="734">
        <f>民間設備製造1!R42+民間設備非製造!R42</f>
        <v>542644</v>
      </c>
      <c r="S42" s="734">
        <f>民間設備製造1!S42+民間設備非製造!S42</f>
        <v>600276</v>
      </c>
      <c r="T42" s="734">
        <f>民間設備製造1!T42+民間設備非製造!T42</f>
        <v>659433</v>
      </c>
      <c r="U42" s="734">
        <f>民間設備製造1!U42+民間設備非製造!U42</f>
        <v>688130</v>
      </c>
      <c r="V42" s="734">
        <f>民間設備製造1!V42+民間設備非製造!V42</f>
        <v>717101</v>
      </c>
      <c r="W42" s="734">
        <f>民間設備製造1!W42+民間設備非製造!W42</f>
        <v>736505</v>
      </c>
      <c r="X42" s="734">
        <f>民間設備製造1!X42+民間設備非製造!X42</f>
        <v>757694</v>
      </c>
    </row>
    <row r="43" spans="1:24">
      <c r="A43" s="730">
        <v>201</v>
      </c>
      <c r="B43" s="730" t="s">
        <v>332</v>
      </c>
      <c r="C43" s="733">
        <f>民間設備製造1!C43+民間設備非製造!C43</f>
        <v>482937</v>
      </c>
      <c r="D43" s="733">
        <f>民間設備製造1!D43+民間設備非製造!D43</f>
        <v>471533</v>
      </c>
      <c r="E43" s="733">
        <f>民間設備製造1!E43+民間設備非製造!E43</f>
        <v>418393</v>
      </c>
      <c r="F43" s="733">
        <f>民間設備製造1!F43+民間設備非製造!F43</f>
        <v>374924</v>
      </c>
      <c r="G43" s="733">
        <f>民間設備製造1!G43+民間設備非製造!G43</f>
        <v>722657</v>
      </c>
      <c r="H43" s="733">
        <f>民間設備製造1!H43+民間設備非製造!H43</f>
        <v>417228</v>
      </c>
      <c r="I43" s="733">
        <f>民間設備製造1!I43+民間設備非製造!I43</f>
        <v>432795</v>
      </c>
      <c r="J43" s="733">
        <f>民間設備製造1!J43+民間設備非製造!J43</f>
        <v>444986</v>
      </c>
      <c r="K43" s="733">
        <f>民間設備製造1!K43+民間設備非製造!K43</f>
        <v>412683</v>
      </c>
      <c r="L43" s="733">
        <f>民間設備製造1!L43+民間設備非製造!L43</f>
        <v>424430</v>
      </c>
      <c r="M43" s="733">
        <f>民間設備製造1!M43+民間設備非製造!M43</f>
        <v>445623</v>
      </c>
      <c r="N43" s="733">
        <f>民間設備製造1!N43+民間設備非製造!N43</f>
        <v>455113</v>
      </c>
      <c r="O43" s="733">
        <f>民間設備製造1!O43+民間設備非製造!O43</f>
        <v>565897</v>
      </c>
      <c r="P43" s="733">
        <f>民間設備製造1!P43+民間設備非製造!P43</f>
        <v>492442</v>
      </c>
      <c r="Q43" s="733">
        <f>民間設備製造1!Q43+民間設備非製造!Q43</f>
        <v>470496</v>
      </c>
      <c r="R43" s="733">
        <f>民間設備製造1!R43+民間設備非製造!R43</f>
        <v>496022</v>
      </c>
      <c r="S43" s="733">
        <f>民間設備製造1!S43+民間設備非製造!S43</f>
        <v>547431</v>
      </c>
      <c r="T43" s="733">
        <f>民間設備製造1!T43+民間設備非製造!T43</f>
        <v>603208</v>
      </c>
      <c r="U43" s="733">
        <f>民間設備製造1!U43+民間設備非製造!U43</f>
        <v>628873</v>
      </c>
      <c r="V43" s="733">
        <f>民間設備製造1!V43+民間設備非製造!V43</f>
        <v>655168</v>
      </c>
      <c r="W43" s="733">
        <f>民間設備製造1!W43+民間設備非製造!W43</f>
        <v>673192</v>
      </c>
      <c r="X43" s="733">
        <f>民間設備製造1!X43+民間設備非製造!X43</f>
        <v>692419</v>
      </c>
    </row>
    <row r="44" spans="1:24">
      <c r="A44" s="730">
        <v>442</v>
      </c>
      <c r="B44" s="730" t="s">
        <v>203</v>
      </c>
      <c r="C44" s="733">
        <f>民間設備製造1!C44+民間設備非製造!C44</f>
        <v>5819</v>
      </c>
      <c r="D44" s="733">
        <f>民間設備製造1!D44+民間設備非製造!D44</f>
        <v>6234</v>
      </c>
      <c r="E44" s="733">
        <f>民間設備製造1!E44+民間設備非製造!E44</f>
        <v>8473</v>
      </c>
      <c r="F44" s="733">
        <f>民間設備製造1!F44+民間設備非製造!F44</f>
        <v>4872</v>
      </c>
      <c r="G44" s="733">
        <f>民間設備製造1!G44+民間設備非製造!G44</f>
        <v>4727</v>
      </c>
      <c r="H44" s="733">
        <f>民間設備製造1!H44+民間設備非製造!H44</f>
        <v>5863</v>
      </c>
      <c r="I44" s="733">
        <f>民間設備製造1!I44+民間設備非製造!I44</f>
        <v>4545</v>
      </c>
      <c r="J44" s="733">
        <f>民間設備製造1!J44+民間設備非製造!J44</f>
        <v>5435</v>
      </c>
      <c r="K44" s="733">
        <f>民間設備製造1!K44+民間設備非製造!K44</f>
        <v>6032</v>
      </c>
      <c r="L44" s="733">
        <f>民間設備製造1!L44+民間設備非製造!L44</f>
        <v>5624</v>
      </c>
      <c r="M44" s="733">
        <f>民間設備製造1!M44+民間設備非製造!M44</f>
        <v>5462</v>
      </c>
      <c r="N44" s="733">
        <f>民間設備製造1!N44+民間設備非製造!N44</f>
        <v>7035</v>
      </c>
      <c r="O44" s="733">
        <f>民間設備製造1!O44+民間設備非製造!O44</f>
        <v>8754</v>
      </c>
      <c r="P44" s="733">
        <f>民間設備製造1!P44+民間設備非製造!P44</f>
        <v>9268</v>
      </c>
      <c r="Q44" s="733">
        <f>民間設備製造1!Q44+民間設備非製造!Q44</f>
        <v>7774</v>
      </c>
      <c r="R44" s="733">
        <f>民間設備製造1!R44+民間設備非製造!R44</f>
        <v>8854</v>
      </c>
      <c r="S44" s="733">
        <f>民間設備製造1!S44+民間設備非製造!S44</f>
        <v>9981</v>
      </c>
      <c r="T44" s="733">
        <f>民間設備製造1!T44+民間設備非製造!T44</f>
        <v>10646</v>
      </c>
      <c r="U44" s="733">
        <f>民間設備製造1!U44+民間設備非製造!U44</f>
        <v>11050</v>
      </c>
      <c r="V44" s="733">
        <f>民間設備製造1!V44+民間設備非製造!V44</f>
        <v>11561</v>
      </c>
      <c r="W44" s="733">
        <f>民間設備製造1!W44+民間設備非製造!W44</f>
        <v>11823</v>
      </c>
      <c r="X44" s="733">
        <f>民間設備製造1!X44+民間設備非製造!X44</f>
        <v>12182</v>
      </c>
    </row>
    <row r="45" spans="1:24">
      <c r="A45" s="730">
        <v>443</v>
      </c>
      <c r="B45" s="730" t="s">
        <v>204</v>
      </c>
      <c r="C45" s="733">
        <f>民間設備製造1!C45+民間設備非製造!C45</f>
        <v>16076</v>
      </c>
      <c r="D45" s="733">
        <f>民間設備製造1!D45+民間設備非製造!D45</f>
        <v>16105</v>
      </c>
      <c r="E45" s="733">
        <f>民間設備製造1!E45+民間設備非製造!E45</f>
        <v>15537</v>
      </c>
      <c r="F45" s="733">
        <f>民間設備製造1!F45+民間設備非製造!F45</f>
        <v>9617</v>
      </c>
      <c r="G45" s="733">
        <f>民間設備製造1!G45+民間設備非製造!G45</f>
        <v>13026</v>
      </c>
      <c r="H45" s="733">
        <f>民間設備製造1!H45+民間設備非製造!H45</f>
        <v>21694</v>
      </c>
      <c r="I45" s="733">
        <f>民間設備製造1!I45+民間設備非製造!I45</f>
        <v>13613</v>
      </c>
      <c r="J45" s="733">
        <f>民間設備製造1!J45+民間設備非製造!J45</f>
        <v>19796</v>
      </c>
      <c r="K45" s="733">
        <f>民間設備製造1!K45+民間設備非製造!K45</f>
        <v>23274</v>
      </c>
      <c r="L45" s="733">
        <f>民間設備製造1!L45+民間設備非製造!L45</f>
        <v>17505</v>
      </c>
      <c r="M45" s="733">
        <f>民間設備製造1!M45+民間設備非製造!M45</f>
        <v>20464</v>
      </c>
      <c r="N45" s="733">
        <f>民間設備製造1!N45+民間設備非製造!N45</f>
        <v>21574</v>
      </c>
      <c r="O45" s="733">
        <f>民間設備製造1!O45+民間設備非製造!O45</f>
        <v>25729</v>
      </c>
      <c r="P45" s="733">
        <f>民間設備製造1!P45+民間設備非製造!P45</f>
        <v>26902</v>
      </c>
      <c r="Q45" s="733">
        <f>民間設備製造1!Q45+民間設備非製造!Q45</f>
        <v>22421</v>
      </c>
      <c r="R45" s="733">
        <f>民間設備製造1!R45+民間設備非製造!R45</f>
        <v>25089</v>
      </c>
      <c r="S45" s="733">
        <f>民間設備製造1!S45+民間設備非製造!S45</f>
        <v>28476</v>
      </c>
      <c r="T45" s="733">
        <f>民間設備製造1!T45+民間設備非製造!T45</f>
        <v>30870</v>
      </c>
      <c r="U45" s="733">
        <f>民間設備製造1!U45+民間設備非製造!U45</f>
        <v>32530</v>
      </c>
      <c r="V45" s="733">
        <f>民間設備製造1!V45+民間設備非製造!V45</f>
        <v>34014</v>
      </c>
      <c r="W45" s="733">
        <f>民間設備製造1!W45+民間設備非製造!W45</f>
        <v>34825</v>
      </c>
      <c r="X45" s="733">
        <f>民間設備製造1!X45+民間設備非製造!X45</f>
        <v>35862</v>
      </c>
    </row>
    <row r="46" spans="1:24">
      <c r="A46" s="731">
        <v>446</v>
      </c>
      <c r="B46" s="731" t="s">
        <v>333</v>
      </c>
      <c r="C46" s="735">
        <f>民間設備製造1!C46+民間設備非製造!C46</f>
        <v>4384</v>
      </c>
      <c r="D46" s="735">
        <f>民間設備製造1!D46+民間設備非製造!D46</f>
        <v>12962</v>
      </c>
      <c r="E46" s="735">
        <f>民間設備製造1!E46+民間設備非製造!E46</f>
        <v>4905</v>
      </c>
      <c r="F46" s="735">
        <f>民間設備製造1!F46+民間設備非製造!F46</f>
        <v>3992</v>
      </c>
      <c r="G46" s="735">
        <f>民間設備製造1!G46+民間設備非製造!G46</f>
        <v>4851</v>
      </c>
      <c r="H46" s="735">
        <f>民間設備製造1!H46+民間設備非製造!H46</f>
        <v>4429</v>
      </c>
      <c r="I46" s="735">
        <f>民間設備製造1!I46+民間設備非製造!I46</f>
        <v>4960</v>
      </c>
      <c r="J46" s="735">
        <f>民間設備製造1!J46+民間設備非製造!J46</f>
        <v>4545</v>
      </c>
      <c r="K46" s="735">
        <f>民間設備製造1!K46+民間設備非製造!K46</f>
        <v>4713</v>
      </c>
      <c r="L46" s="735">
        <f>民間設備製造1!L46+民間設備非製造!L46</f>
        <v>5128</v>
      </c>
      <c r="M46" s="735">
        <f>民間設備製造1!M46+民間設備非製造!M46</f>
        <v>4931</v>
      </c>
      <c r="N46" s="735">
        <f>民間設備製造1!N46+民間設備非製造!N46</f>
        <v>6265</v>
      </c>
      <c r="O46" s="735">
        <f>民間設備製造1!O46+民間設備非製造!O46</f>
        <v>12749</v>
      </c>
      <c r="P46" s="735">
        <f>民間設備製造1!P46+民間設備非製造!P46</f>
        <v>14715</v>
      </c>
      <c r="Q46" s="735">
        <f>民間設備製造1!Q46+民間設備非製造!Q46</f>
        <v>10188</v>
      </c>
      <c r="R46" s="735">
        <f>民間設備製造1!R46+民間設備非製造!R46</f>
        <v>12679</v>
      </c>
      <c r="S46" s="735">
        <f>民間設備製造1!S46+民間設備非製造!S46</f>
        <v>14388</v>
      </c>
      <c r="T46" s="735">
        <f>民間設備製造1!T46+民間設備非製造!T46</f>
        <v>14709</v>
      </c>
      <c r="U46" s="735">
        <f>民間設備製造1!U46+民間設備非製造!U46</f>
        <v>15677</v>
      </c>
      <c r="V46" s="735">
        <f>民間設備製造1!V46+民間設備非製造!V46</f>
        <v>16358</v>
      </c>
      <c r="W46" s="735">
        <f>民間設備製造1!W46+民間設備非製造!W46</f>
        <v>16665</v>
      </c>
      <c r="X46" s="735">
        <f>民間設備製造1!X46+民間設備非製造!X46</f>
        <v>17231</v>
      </c>
    </row>
    <row r="47" spans="1:24">
      <c r="A47" s="730">
        <v>6</v>
      </c>
      <c r="B47" s="730" t="s">
        <v>327</v>
      </c>
      <c r="C47" s="733">
        <f>民間設備製造1!C47+民間設備非製造!C47</f>
        <v>214789</v>
      </c>
      <c r="D47" s="733">
        <f>民間設備製造1!D47+民間設備非製造!D47</f>
        <v>184015</v>
      </c>
      <c r="E47" s="733">
        <f>民間設備製造1!E47+民間設備非製造!E47</f>
        <v>173797</v>
      </c>
      <c r="F47" s="733">
        <f>民間設備製造1!F47+民間設備非製造!F47</f>
        <v>134562</v>
      </c>
      <c r="G47" s="733">
        <f>民間設備製造1!G47+民間設備非製造!G47</f>
        <v>149536</v>
      </c>
      <c r="H47" s="733">
        <f>民間設備製造1!H47+民間設備非製造!H47</f>
        <v>166181</v>
      </c>
      <c r="I47" s="733">
        <f>民間設備製造1!I47+民間設備非製造!I47</f>
        <v>183540</v>
      </c>
      <c r="J47" s="733">
        <f>民間設備製造1!J47+民間設備非製造!J47</f>
        <v>164104</v>
      </c>
      <c r="K47" s="733">
        <f>民間設備製造1!K47+民間設備非製造!K47</f>
        <v>172585</v>
      </c>
      <c r="L47" s="733">
        <f>民間設備製造1!L47+民間設備非製造!L47</f>
        <v>186342</v>
      </c>
      <c r="M47" s="733">
        <f>民間設備製造1!M47+民間設備非製造!M47</f>
        <v>193241</v>
      </c>
      <c r="N47" s="733">
        <f>民間設備製造1!N47+民間設備非製造!N47</f>
        <v>177568</v>
      </c>
      <c r="O47" s="733">
        <f>民間設備製造1!O47+民間設備非製造!O47</f>
        <v>188169</v>
      </c>
      <c r="P47" s="733">
        <f>民間設備製造1!P47+民間設備非製造!P47</f>
        <v>197071</v>
      </c>
      <c r="Q47" s="733">
        <f>民間設備製造1!Q47+民間設備非製造!Q47</f>
        <v>175256</v>
      </c>
      <c r="R47" s="733">
        <f>民間設備製造1!R47+民間設備非製造!R47</f>
        <v>193061</v>
      </c>
      <c r="S47" s="733">
        <f>民間設備製造1!S47+民間設備非製造!S47</f>
        <v>218570</v>
      </c>
      <c r="T47" s="733">
        <f>民間設備製造1!T47+民間設備非製造!T47</f>
        <v>236890</v>
      </c>
      <c r="U47" s="733">
        <f>民間設備製造1!U47+民間設備非製造!U47</f>
        <v>245809</v>
      </c>
      <c r="V47" s="733">
        <f>民間設備製造1!V47+民間設備非製造!V47</f>
        <v>257287</v>
      </c>
      <c r="W47" s="733">
        <f>民間設備製造1!W47+民間設備非製造!W47</f>
        <v>263591</v>
      </c>
      <c r="X47" s="733">
        <f>民間設備製造1!X47+民間設備非製造!X47</f>
        <v>271228</v>
      </c>
    </row>
    <row r="48" spans="1:24">
      <c r="A48" s="730">
        <v>208</v>
      </c>
      <c r="B48" s="730" t="s">
        <v>206</v>
      </c>
      <c r="C48" s="733">
        <f>民間設備製造1!C48+民間設備非製造!C48</f>
        <v>16100</v>
      </c>
      <c r="D48" s="733">
        <f>民間設備製造1!D48+民間設備非製造!D48</f>
        <v>18257</v>
      </c>
      <c r="E48" s="733">
        <f>民間設備製造1!E48+民間設備非製造!E48</f>
        <v>14883</v>
      </c>
      <c r="F48" s="733">
        <f>民間設備製造1!F48+民間設備非製造!F48</f>
        <v>12944</v>
      </c>
      <c r="G48" s="733">
        <f>民間設備製造1!G48+民間設備非製造!G48</f>
        <v>15848</v>
      </c>
      <c r="H48" s="733">
        <f>民間設備製造1!H48+民間設備非製造!H48</f>
        <v>17648</v>
      </c>
      <c r="I48" s="733">
        <f>民間設備製造1!I48+民間設備非製造!I48</f>
        <v>29240</v>
      </c>
      <c r="J48" s="733">
        <f>民間設備製造1!J48+民間設備非製造!J48</f>
        <v>17755</v>
      </c>
      <c r="K48" s="733">
        <f>民間設備製造1!K48+民間設備非製造!K48</f>
        <v>21235</v>
      </c>
      <c r="L48" s="733">
        <f>民間設備製造1!L48+民間設備非製造!L48</f>
        <v>20459</v>
      </c>
      <c r="M48" s="733">
        <f>民間設備製造1!M48+民間設備非製造!M48</f>
        <v>22579</v>
      </c>
      <c r="N48" s="733">
        <f>民間設備製造1!N48+民間設備非製造!N48</f>
        <v>18569</v>
      </c>
      <c r="O48" s="733">
        <f>民間設備製造1!O48+民間設備非製造!O48</f>
        <v>18098</v>
      </c>
      <c r="P48" s="733">
        <f>民間設備製造1!P48+民間設備非製造!P48</f>
        <v>16375</v>
      </c>
      <c r="Q48" s="733">
        <f>民間設備製造1!Q48+民間設備非製造!Q48</f>
        <v>16262</v>
      </c>
      <c r="R48" s="733">
        <f>民間設備製造1!R48+民間設備非製造!R48</f>
        <v>17709</v>
      </c>
      <c r="S48" s="733">
        <f>民間設備製造1!S48+民間設備非製造!S48</f>
        <v>19693</v>
      </c>
      <c r="T48" s="733">
        <f>民間設備製造1!T48+民間設備非製造!T48</f>
        <v>21703</v>
      </c>
      <c r="U48" s="733">
        <f>民間設備製造1!U48+民間設備非製造!U48</f>
        <v>22189</v>
      </c>
      <c r="V48" s="733">
        <f>民間設備製造1!V48+民間設備非製造!V48</f>
        <v>23200</v>
      </c>
      <c r="W48" s="733">
        <f>民間設備製造1!W48+民間設備非製造!W48</f>
        <v>23848</v>
      </c>
      <c r="X48" s="733">
        <f>民間設備製造1!X48+民間設備非製造!X48</f>
        <v>24493</v>
      </c>
    </row>
    <row r="49" spans="1:24">
      <c r="A49" s="730">
        <v>212</v>
      </c>
      <c r="B49" s="730" t="s">
        <v>207</v>
      </c>
      <c r="C49" s="733">
        <f>民間設備製造1!C49+民間設備非製造!C49</f>
        <v>38301</v>
      </c>
      <c r="D49" s="733">
        <f>民間設備製造1!D49+民間設備非製造!D49</f>
        <v>39561</v>
      </c>
      <c r="E49" s="733">
        <f>民間設備製造1!E49+民間設備非製造!E49</f>
        <v>47172</v>
      </c>
      <c r="F49" s="733">
        <f>民間設備製造1!F49+民間設備非製造!F49</f>
        <v>33144</v>
      </c>
      <c r="G49" s="733">
        <f>民間設備製造1!G49+民間設備非製造!G49</f>
        <v>41358</v>
      </c>
      <c r="H49" s="733">
        <f>民間設備製造1!H49+民間設備非製造!H49</f>
        <v>40938</v>
      </c>
      <c r="I49" s="733">
        <f>民間設備製造1!I49+民間設備非製造!I49</f>
        <v>42425</v>
      </c>
      <c r="J49" s="733">
        <f>民間設備製造1!J49+民間設備非製造!J49</f>
        <v>47552</v>
      </c>
      <c r="K49" s="733">
        <f>民間設備製造1!K49+民間設備非製造!K49</f>
        <v>54407</v>
      </c>
      <c r="L49" s="733">
        <f>民間設備製造1!L49+民間設備非製造!L49</f>
        <v>48245</v>
      </c>
      <c r="M49" s="733">
        <f>民間設備製造1!M49+民間設備非製造!M49</f>
        <v>52748</v>
      </c>
      <c r="N49" s="733">
        <f>民間設備製造1!N49+民間設備非製造!N49</f>
        <v>50975</v>
      </c>
      <c r="O49" s="733">
        <f>民間設備製造1!O49+民間設備非製造!O49</f>
        <v>44307</v>
      </c>
      <c r="P49" s="733">
        <f>民間設備製造1!P49+民間設備非製造!P49</f>
        <v>55456</v>
      </c>
      <c r="Q49" s="733">
        <f>民間設備製造1!Q49+民間設備非製造!Q49</f>
        <v>45884</v>
      </c>
      <c r="R49" s="733">
        <f>民間設備製造1!R49+民間設備非製造!R49</f>
        <v>49720</v>
      </c>
      <c r="S49" s="733">
        <f>民間設備製造1!S49+民間設備非製造!S49</f>
        <v>57767</v>
      </c>
      <c r="T49" s="733">
        <f>民間設備製造1!T49+民間設備非製造!T49</f>
        <v>61751</v>
      </c>
      <c r="U49" s="733">
        <f>民間設備製造1!U49+民間設備非製造!U49</f>
        <v>64490</v>
      </c>
      <c r="V49" s="733">
        <f>民間設備製造1!V49+民間設備非製造!V49</f>
        <v>67812</v>
      </c>
      <c r="W49" s="733">
        <f>民間設備製造1!W49+民間設備非製造!W49</f>
        <v>69262</v>
      </c>
      <c r="X49" s="733">
        <f>民間設備製造1!X49+民間設備非製造!X49</f>
        <v>71305</v>
      </c>
    </row>
    <row r="50" spans="1:24">
      <c r="A50" s="730">
        <v>227</v>
      </c>
      <c r="B50" s="730" t="s">
        <v>219</v>
      </c>
      <c r="C50" s="733">
        <f>民間設備製造1!C50+民間設備非製造!C50</f>
        <v>16103</v>
      </c>
      <c r="D50" s="733">
        <f>民間設備製造1!D50+民間設備非製造!D50</f>
        <v>16743</v>
      </c>
      <c r="E50" s="733">
        <f>民間設備製造1!E50+民間設備非製造!E50</f>
        <v>15092</v>
      </c>
      <c r="F50" s="733">
        <f>民間設備製造1!F50+民間設備非製造!F50</f>
        <v>13949</v>
      </c>
      <c r="G50" s="733">
        <f>民間設備製造1!G50+民間設備非製造!G50</f>
        <v>13647</v>
      </c>
      <c r="H50" s="733">
        <f>民間設備製造1!H50+民間設備非製造!H50</f>
        <v>14465</v>
      </c>
      <c r="I50" s="733">
        <f>民間設備製造1!I50+民間設備非製造!I50</f>
        <v>14882</v>
      </c>
      <c r="J50" s="733">
        <f>民間設備製造1!J50+民間設備非製造!J50</f>
        <v>15380</v>
      </c>
      <c r="K50" s="733">
        <f>民間設備製造1!K50+民間設備非製造!K50</f>
        <v>17621</v>
      </c>
      <c r="L50" s="733">
        <f>民間設備製造1!L50+民間設備非製造!L50</f>
        <v>15686</v>
      </c>
      <c r="M50" s="733">
        <f>民間設備製造1!M50+民間設備非製造!M50</f>
        <v>17731</v>
      </c>
      <c r="N50" s="733">
        <f>民間設備製造1!N50+民間設備非製造!N50</f>
        <v>15844</v>
      </c>
      <c r="O50" s="733">
        <f>民間設備製造1!O50+民間設備非製造!O50</f>
        <v>20536</v>
      </c>
      <c r="P50" s="733">
        <f>民間設備製造1!P50+民間設備非製造!P50</f>
        <v>19313</v>
      </c>
      <c r="Q50" s="733">
        <f>民間設備製造1!Q50+民間設備非製造!Q50</f>
        <v>17440</v>
      </c>
      <c r="R50" s="733">
        <f>民間設備製造1!R50+民間設備非製造!R50</f>
        <v>20096</v>
      </c>
      <c r="S50" s="733">
        <f>民間設備製造1!S50+民間設備非製造!S50</f>
        <v>22226</v>
      </c>
      <c r="T50" s="733">
        <f>民間設備製造1!T50+民間設備非製造!T50</f>
        <v>23813</v>
      </c>
      <c r="U50" s="733">
        <f>民間設備製造1!U50+民間設備非製造!U50</f>
        <v>24666</v>
      </c>
      <c r="V50" s="733">
        <f>民間設備製造1!V50+民間設備非製造!V50</f>
        <v>25729</v>
      </c>
      <c r="W50" s="733">
        <f>民間設備製造1!W50+民間設備非製造!W50</f>
        <v>26404</v>
      </c>
      <c r="X50" s="733">
        <f>民間設備製造1!X50+民間設備非製造!X50</f>
        <v>27170</v>
      </c>
    </row>
    <row r="51" spans="1:24">
      <c r="A51" s="730">
        <v>229</v>
      </c>
      <c r="B51" s="730" t="s">
        <v>334</v>
      </c>
      <c r="C51" s="733">
        <f>民間設備製造1!C51+民間設備非製造!C51</f>
        <v>55558</v>
      </c>
      <c r="D51" s="733">
        <f>民間設備製造1!D51+民間設備非製造!D51</f>
        <v>65795</v>
      </c>
      <c r="E51" s="733">
        <f>民間設備製造1!E51+民間設備非製造!E51</f>
        <v>55664</v>
      </c>
      <c r="F51" s="733">
        <f>民間設備製造1!F51+民間設備非製造!F51</f>
        <v>46866</v>
      </c>
      <c r="G51" s="733">
        <f>民間設備製造1!G51+民間設備非製造!G51</f>
        <v>48622</v>
      </c>
      <c r="H51" s="733">
        <f>民間設備製造1!H51+民間設備非製造!H51</f>
        <v>59883</v>
      </c>
      <c r="I51" s="733">
        <f>民間設備製造1!I51+民間設備非製造!I51</f>
        <v>56728</v>
      </c>
      <c r="J51" s="733">
        <f>民間設備製造1!J51+民間設備非製造!J51</f>
        <v>48447</v>
      </c>
      <c r="K51" s="733">
        <f>民間設備製造1!K51+民間設備非製造!K51</f>
        <v>46964</v>
      </c>
      <c r="L51" s="733">
        <f>民間設備製造1!L51+民間設備非製造!L51</f>
        <v>65460</v>
      </c>
      <c r="M51" s="733">
        <f>民間設備製造1!M51+民間設備非製造!M51</f>
        <v>68056</v>
      </c>
      <c r="N51" s="733">
        <f>民間設備製造1!N51+民間設備非製造!N51</f>
        <v>51978</v>
      </c>
      <c r="O51" s="733">
        <f>民間設備製造1!O51+民間設備非製造!O51</f>
        <v>63617</v>
      </c>
      <c r="P51" s="733">
        <f>民間設備製造1!P51+民間設備非製造!P51</f>
        <v>62661</v>
      </c>
      <c r="Q51" s="733">
        <f>民間設備製造1!Q51+民間設備非製造!Q51</f>
        <v>55939</v>
      </c>
      <c r="R51" s="733">
        <f>民間設備製造1!R51+民間設備非製造!R51</f>
        <v>61924</v>
      </c>
      <c r="S51" s="733">
        <f>民間設備製造1!S51+民間設備非製造!S51</f>
        <v>69553</v>
      </c>
      <c r="T51" s="733">
        <f>民間設備製造1!T51+民間設備非製造!T51</f>
        <v>75899</v>
      </c>
      <c r="U51" s="733">
        <f>民間設備製造1!U51+民間設備非製造!U51</f>
        <v>78907</v>
      </c>
      <c r="V51" s="733">
        <f>民間設備製造1!V51+民間設備非製造!V51</f>
        <v>82394</v>
      </c>
      <c r="W51" s="733">
        <f>民間設備製造1!W51+民間設備非製造!W51</f>
        <v>84466</v>
      </c>
      <c r="X51" s="733">
        <f>民間設備製造1!X51+民間設備非製造!X51</f>
        <v>86946</v>
      </c>
    </row>
    <row r="52" spans="1:24">
      <c r="A52" s="730">
        <v>464</v>
      </c>
      <c r="B52" s="730" t="s">
        <v>208</v>
      </c>
      <c r="C52" s="733">
        <f>民間設備製造1!C52+民間設備非製造!C52</f>
        <v>72002</v>
      </c>
      <c r="D52" s="733">
        <f>民間設備製造1!D52+民間設備非製造!D52</f>
        <v>27656</v>
      </c>
      <c r="E52" s="733">
        <f>民間設備製造1!E52+民間設備非製造!E52</f>
        <v>24736</v>
      </c>
      <c r="F52" s="733">
        <f>民間設備製造1!F52+民間設備非製造!F52</f>
        <v>13718</v>
      </c>
      <c r="G52" s="733">
        <f>民間設備製造1!G52+民間設備非製造!G52</f>
        <v>16441</v>
      </c>
      <c r="H52" s="733">
        <f>民間設備製造1!H52+民間設備非製造!H52</f>
        <v>19052</v>
      </c>
      <c r="I52" s="733">
        <f>民間設備製造1!I52+民間設備非製造!I52</f>
        <v>22953</v>
      </c>
      <c r="J52" s="733">
        <f>民間設備製造1!J52+民間設備非製造!J52</f>
        <v>18784</v>
      </c>
      <c r="K52" s="733">
        <f>民間設備製造1!K52+民間設備非製造!K52</f>
        <v>15281</v>
      </c>
      <c r="L52" s="733">
        <f>民間設備製造1!L52+民間設備非製造!L52</f>
        <v>18661</v>
      </c>
      <c r="M52" s="733">
        <f>民間設備製造1!M52+民間設備非製造!M52</f>
        <v>16021</v>
      </c>
      <c r="N52" s="733">
        <f>民間設備製造1!N52+民間設備非製造!N52</f>
        <v>21516</v>
      </c>
      <c r="O52" s="733">
        <f>民間設備製造1!O52+民間設備非製造!O52</f>
        <v>23809</v>
      </c>
      <c r="P52" s="733">
        <f>民間設備製造1!P52+民間設備非製造!P52</f>
        <v>24302</v>
      </c>
      <c r="Q52" s="733">
        <f>民間設備製造1!Q52+民間設備非製造!Q52</f>
        <v>21931</v>
      </c>
      <c r="R52" s="733">
        <f>民間設備製造1!R52+民間設備非製造!R52</f>
        <v>24404</v>
      </c>
      <c r="S52" s="733">
        <f>民間設備製造1!S52+民間設備非製造!S52</f>
        <v>27656</v>
      </c>
      <c r="T52" s="733">
        <f>民間設備製造1!T52+民間設備非製造!T52</f>
        <v>30145</v>
      </c>
      <c r="U52" s="733">
        <f>民間設備製造1!U52+民間設備非製造!U52</f>
        <v>31418</v>
      </c>
      <c r="V52" s="733">
        <f>民間設備製造1!V52+民間設備非製造!V52</f>
        <v>32857</v>
      </c>
      <c r="W52" s="733">
        <f>民間設備製造1!W52+民間設備非製造!W52</f>
        <v>33681</v>
      </c>
      <c r="X52" s="733">
        <f>民間設備製造1!X52+民間設備非製造!X52</f>
        <v>34653</v>
      </c>
    </row>
    <row r="53" spans="1:24">
      <c r="A53" s="730">
        <v>481</v>
      </c>
      <c r="B53" s="730" t="s">
        <v>209</v>
      </c>
      <c r="C53" s="733">
        <f>民間設備製造1!C53+民間設備非製造!C53</f>
        <v>7072</v>
      </c>
      <c r="D53" s="733">
        <f>民間設備製造1!D53+民間設備非製造!D53</f>
        <v>7769</v>
      </c>
      <c r="E53" s="733">
        <f>民間設備製造1!E53+民間設備非製造!E53</f>
        <v>8366</v>
      </c>
      <c r="F53" s="733">
        <f>民間設備製造1!F53+民間設備非製造!F53</f>
        <v>6509</v>
      </c>
      <c r="G53" s="733">
        <f>民間設備製造1!G53+民間設備非製造!G53</f>
        <v>6216</v>
      </c>
      <c r="H53" s="733">
        <f>民間設備製造1!H53+民間設備非製造!H53</f>
        <v>6521</v>
      </c>
      <c r="I53" s="733">
        <f>民間設備製造1!I53+民間設備非製造!I53</f>
        <v>9389</v>
      </c>
      <c r="J53" s="733">
        <f>民間設備製造1!J53+民間設備非製造!J53</f>
        <v>8151</v>
      </c>
      <c r="K53" s="733">
        <f>民間設備製造1!K53+民間設備非製造!K53</f>
        <v>8727</v>
      </c>
      <c r="L53" s="733">
        <f>民間設備製造1!L53+民間設備非製造!L53</f>
        <v>8763</v>
      </c>
      <c r="M53" s="733">
        <f>民間設備製造1!M53+民間設備非製造!M53</f>
        <v>7620</v>
      </c>
      <c r="N53" s="733">
        <f>民間設備製造1!N53+民間設備非製造!N53</f>
        <v>10594</v>
      </c>
      <c r="O53" s="733">
        <f>民間設備製造1!O53+民間設備非製造!O53</f>
        <v>9317</v>
      </c>
      <c r="P53" s="733">
        <f>民間設備製造1!P53+民間設備非製造!P53</f>
        <v>10450</v>
      </c>
      <c r="Q53" s="733">
        <f>民間設備製造1!Q53+民間設備非製造!Q53</f>
        <v>9582</v>
      </c>
      <c r="R53" s="733">
        <f>民間設備製造1!R53+民間設備非製造!R53</f>
        <v>10201</v>
      </c>
      <c r="S53" s="733">
        <f>民間設備製造1!S53+民間設備非製造!S53</f>
        <v>11665</v>
      </c>
      <c r="T53" s="733">
        <f>民間設備製造1!T53+民間設備非製造!T53</f>
        <v>12759</v>
      </c>
      <c r="U53" s="733">
        <f>民間設備製造1!U53+民間設備非製造!U53</f>
        <v>13133</v>
      </c>
      <c r="V53" s="733">
        <f>民間設備製造1!V53+民間設備非製造!V53</f>
        <v>13782</v>
      </c>
      <c r="W53" s="733">
        <f>民間設備製造1!W53+民間設備非製造!W53</f>
        <v>14116</v>
      </c>
      <c r="X53" s="733">
        <f>民間設備製造1!X53+民間設備非製造!X53</f>
        <v>14515</v>
      </c>
    </row>
    <row r="54" spans="1:24">
      <c r="A54" s="730">
        <v>501</v>
      </c>
      <c r="B54" s="730" t="s">
        <v>335</v>
      </c>
      <c r="C54" s="733">
        <f>民間設備製造1!C54+民間設備非製造!C54</f>
        <v>9653</v>
      </c>
      <c r="D54" s="733">
        <f>民間設備製造1!D54+民間設備非製造!D54</f>
        <v>8234</v>
      </c>
      <c r="E54" s="733">
        <f>民間設備製造1!E54+民間設備非製造!E54</f>
        <v>7884</v>
      </c>
      <c r="F54" s="733">
        <f>民間設備製造1!F54+民間設備非製造!F54</f>
        <v>7432</v>
      </c>
      <c r="G54" s="733">
        <f>民間設備製造1!G54+民間設備非製造!G54</f>
        <v>7404</v>
      </c>
      <c r="H54" s="733">
        <f>民間設備製造1!H54+民間設備非製造!H54</f>
        <v>7674</v>
      </c>
      <c r="I54" s="733">
        <f>民間設備製造1!I54+民間設備非製造!I54</f>
        <v>7923</v>
      </c>
      <c r="J54" s="733">
        <f>民間設備製造1!J54+民間設備非製造!J54</f>
        <v>8035</v>
      </c>
      <c r="K54" s="733">
        <f>民間設備製造1!K54+民間設備非製造!K54</f>
        <v>8350</v>
      </c>
      <c r="L54" s="733">
        <f>民間設備製造1!L54+民間設備非製造!L54</f>
        <v>9068</v>
      </c>
      <c r="M54" s="733">
        <f>民間設備製造1!M54+民間設備非製造!M54</f>
        <v>8486</v>
      </c>
      <c r="N54" s="733">
        <f>民間設備製造1!N54+民間設備非製造!N54</f>
        <v>8092</v>
      </c>
      <c r="O54" s="733">
        <f>民間設備製造1!O54+民間設備非製造!O54</f>
        <v>8485</v>
      </c>
      <c r="P54" s="733">
        <f>民間設備製造1!P54+民間設備非製造!P54</f>
        <v>8514</v>
      </c>
      <c r="Q54" s="733">
        <f>民間設備製造1!Q54+民間設備非製造!Q54</f>
        <v>8218</v>
      </c>
      <c r="R54" s="733">
        <f>民間設備製造1!R54+民間設備非製造!R54</f>
        <v>9007</v>
      </c>
      <c r="S54" s="733">
        <f>民間設備製造1!S54+民間設備非製造!S54</f>
        <v>10010</v>
      </c>
      <c r="T54" s="733">
        <f>民間設備製造1!T54+民間設備非製造!T54</f>
        <v>10820</v>
      </c>
      <c r="U54" s="733">
        <f>民間設備製造1!U54+民間設備非製造!U54</f>
        <v>11006</v>
      </c>
      <c r="V54" s="733">
        <f>民間設備製造1!V54+民間設備非製造!V54</f>
        <v>11513</v>
      </c>
      <c r="W54" s="733">
        <f>民間設備製造1!W54+民間設備非製造!W54</f>
        <v>11814</v>
      </c>
      <c r="X54" s="733">
        <f>民間設備製造1!X54+民間設備非製造!X54</f>
        <v>12146</v>
      </c>
    </row>
    <row r="55" spans="1:24">
      <c r="A55" s="728">
        <v>7</v>
      </c>
      <c r="B55" s="728" t="s">
        <v>210</v>
      </c>
      <c r="C55" s="734">
        <f>民間設備製造1!C55+民間設備非製造!C55</f>
        <v>101194</v>
      </c>
      <c r="D55" s="734">
        <f>民間設備製造1!D55+民間設備非製造!D55</f>
        <v>96742</v>
      </c>
      <c r="E55" s="734">
        <f>民間設備製造1!E55+民間設備非製造!E55</f>
        <v>89798</v>
      </c>
      <c r="F55" s="734">
        <f>民間設備製造1!F55+民間設備非製造!F55</f>
        <v>74359</v>
      </c>
      <c r="G55" s="734">
        <f>民間設備製造1!G55+民間設備非製造!G55</f>
        <v>74283</v>
      </c>
      <c r="H55" s="734">
        <f>民間設備製造1!H55+民間設備非製造!H55</f>
        <v>100690</v>
      </c>
      <c r="I55" s="734">
        <f>民間設備製造1!I55+民間設備非製造!I55</f>
        <v>88599</v>
      </c>
      <c r="J55" s="734">
        <f>民間設備製造1!J55+民間設備非製造!J55</f>
        <v>89589</v>
      </c>
      <c r="K55" s="734">
        <f>民間設備製造1!K55+民間設備非製造!K55</f>
        <v>96401</v>
      </c>
      <c r="L55" s="734">
        <f>民間設備製造1!L55+民間設備非製造!L55</f>
        <v>92513</v>
      </c>
      <c r="M55" s="734">
        <f>民間設備製造1!M55+民間設備非製造!M55</f>
        <v>97419</v>
      </c>
      <c r="N55" s="734">
        <f>民間設備製造1!N55+民間設備非製造!N55</f>
        <v>165608</v>
      </c>
      <c r="O55" s="734">
        <f>民間設備製造1!O55+民間設備非製造!O55</f>
        <v>101317</v>
      </c>
      <c r="P55" s="734">
        <f>民間設備製造1!P55+民間設備非製造!P55</f>
        <v>97805</v>
      </c>
      <c r="Q55" s="734">
        <f>民間設備製造1!Q55+民間設備非製造!Q55</f>
        <v>112552</v>
      </c>
      <c r="R55" s="734">
        <f>民間設備製造1!R55+民間設備非製造!R55</f>
        <v>108282</v>
      </c>
      <c r="S55" s="734">
        <f>民間設備製造1!S55+民間設備非製造!S55</f>
        <v>124156</v>
      </c>
      <c r="T55" s="734">
        <f>民間設備製造1!T55+民間設備非製造!T55</f>
        <v>139527</v>
      </c>
      <c r="U55" s="734">
        <f>民間設備製造1!U55+民間設備非製造!U55</f>
        <v>140095</v>
      </c>
      <c r="V55" s="734">
        <f>民間設備製造1!V55+民間設備非製造!V55</f>
        <v>147427</v>
      </c>
      <c r="W55" s="734">
        <f>民間設備製造1!W55+民間設備非製造!W55</f>
        <v>151776</v>
      </c>
      <c r="X55" s="734">
        <f>民間設備製造1!X55+民間設備非製造!X55</f>
        <v>155390</v>
      </c>
    </row>
    <row r="56" spans="1:24">
      <c r="A56" s="730">
        <v>209</v>
      </c>
      <c r="B56" s="730" t="s">
        <v>336</v>
      </c>
      <c r="C56" s="733">
        <f>民間設備製造1!C56+民間設備非製造!C56</f>
        <v>44781</v>
      </c>
      <c r="D56" s="733">
        <f>民間設備製造1!D56+民間設備非製造!D56</f>
        <v>42124</v>
      </c>
      <c r="E56" s="733">
        <f>民間設備製造1!E56+民間設備非製造!E56</f>
        <v>41179</v>
      </c>
      <c r="F56" s="733">
        <f>民間設備製造1!F56+民間設備非製造!F56</f>
        <v>34198</v>
      </c>
      <c r="G56" s="733">
        <f>民間設備製造1!G56+民間設備非製造!G56</f>
        <v>29350</v>
      </c>
      <c r="H56" s="733">
        <f>民間設備製造1!H56+民間設備非製造!H56</f>
        <v>55761</v>
      </c>
      <c r="I56" s="733">
        <f>民間設備製造1!I56+民間設備非製造!I56</f>
        <v>44048</v>
      </c>
      <c r="J56" s="733">
        <f>民間設備製造1!J56+民間設備非製造!J56</f>
        <v>41719</v>
      </c>
      <c r="K56" s="733">
        <f>民間設備製造1!K56+民間設備非製造!K56</f>
        <v>38826</v>
      </c>
      <c r="L56" s="733">
        <f>民間設備製造1!L56+民間設備非製造!L56</f>
        <v>42265</v>
      </c>
      <c r="M56" s="733">
        <f>民間設備製造1!M56+民間設備非製造!M56</f>
        <v>44150</v>
      </c>
      <c r="N56" s="733">
        <f>民間設備製造1!N56+民間設備非製造!N56</f>
        <v>41937</v>
      </c>
      <c r="O56" s="733">
        <f>民間設備製造1!O56+民間設備非製造!O56</f>
        <v>44408</v>
      </c>
      <c r="P56" s="733">
        <f>民間設備製造1!P56+民間設備非製造!P56</f>
        <v>44550</v>
      </c>
      <c r="Q56" s="733">
        <f>民間設備製造1!Q56+民間設備非製造!Q56</f>
        <v>40986</v>
      </c>
      <c r="R56" s="733">
        <f>民間設備製造1!R56+民間設備非製造!R56</f>
        <v>45360</v>
      </c>
      <c r="S56" s="733">
        <f>民間設備製造1!S56+民間設備非製造!S56</f>
        <v>51173</v>
      </c>
      <c r="T56" s="733">
        <f>民間設備製造1!T56+民間設備非製造!T56</f>
        <v>56022</v>
      </c>
      <c r="U56" s="733">
        <f>民間設備製造1!U56+民間設備非製造!U56</f>
        <v>57996</v>
      </c>
      <c r="V56" s="733">
        <f>民間設備製造1!V56+民間設備非製造!V56</f>
        <v>60659</v>
      </c>
      <c r="W56" s="733">
        <f>民間設備製造1!W56+民間設備非製造!W56</f>
        <v>62222</v>
      </c>
      <c r="X56" s="733">
        <f>民間設備製造1!X56+民間設備非製造!X56</f>
        <v>63988</v>
      </c>
    </row>
    <row r="57" spans="1:24">
      <c r="A57" s="730">
        <v>222</v>
      </c>
      <c r="B57" s="730" t="s">
        <v>337</v>
      </c>
      <c r="C57" s="733">
        <f>民間設備製造1!C57+民間設備非製造!C57</f>
        <v>13943</v>
      </c>
      <c r="D57" s="733">
        <f>民間設備製造1!D57+民間設備非製造!D57</f>
        <v>16735</v>
      </c>
      <c r="E57" s="733">
        <f>民間設備製造1!E57+民間設備非製造!E57</f>
        <v>14636</v>
      </c>
      <c r="F57" s="733">
        <f>民間設備製造1!F57+民間設備非製造!F57</f>
        <v>12803</v>
      </c>
      <c r="G57" s="733">
        <f>民間設備製造1!G57+民間設備非製造!G57</f>
        <v>11684</v>
      </c>
      <c r="H57" s="733">
        <f>民間設備製造1!H57+民間設備非製造!H57</f>
        <v>12571</v>
      </c>
      <c r="I57" s="733">
        <f>民間設備製造1!I57+民間設備非製造!I57</f>
        <v>13088</v>
      </c>
      <c r="J57" s="733">
        <f>民間設備製造1!J57+民間設備非製造!J57</f>
        <v>12669</v>
      </c>
      <c r="K57" s="733">
        <f>民間設備製造1!K57+民間設備非製造!K57</f>
        <v>17969</v>
      </c>
      <c r="L57" s="733">
        <f>民間設備製造1!L57+民間設備非製造!L57</f>
        <v>16709</v>
      </c>
      <c r="M57" s="733">
        <f>民間設備製造1!M57+民間設備非製造!M57</f>
        <v>15645</v>
      </c>
      <c r="N57" s="733">
        <f>民間設備製造1!N57+民間設備非製造!N57</f>
        <v>15211</v>
      </c>
      <c r="O57" s="733">
        <f>民間設備製造1!O57+民間設備非製造!O57</f>
        <v>16804</v>
      </c>
      <c r="P57" s="733">
        <f>民間設備製造1!P57+民間設備非製造!P57</f>
        <v>13541</v>
      </c>
      <c r="Q57" s="733">
        <f>民間設備製造1!Q57+民間設備非製造!Q57</f>
        <v>14944</v>
      </c>
      <c r="R57" s="733">
        <f>民間設備製造1!R57+民間設備非製造!R57</f>
        <v>15639</v>
      </c>
      <c r="S57" s="733">
        <f>民間設備製造1!S57+民間設備非製造!S57</f>
        <v>17193</v>
      </c>
      <c r="T57" s="733">
        <f>民間設備製造1!T57+民間設備非製造!T57</f>
        <v>19250</v>
      </c>
      <c r="U57" s="733">
        <f>民間設備製造1!U57+民間設備非製造!U57</f>
        <v>19423</v>
      </c>
      <c r="V57" s="733">
        <f>民間設備製造1!V57+民間設備非製造!V57</f>
        <v>20245</v>
      </c>
      <c r="W57" s="733">
        <f>民間設備製造1!W57+民間設備非製造!W57</f>
        <v>20849</v>
      </c>
      <c r="X57" s="733">
        <f>民間設備製造1!X57+民間設備非製造!X57</f>
        <v>21409</v>
      </c>
    </row>
    <row r="58" spans="1:24">
      <c r="A58" s="730">
        <v>225</v>
      </c>
      <c r="B58" s="730" t="s">
        <v>222</v>
      </c>
      <c r="C58" s="733">
        <f>民間設備製造1!C58+民間設備非製造!C58</f>
        <v>27887</v>
      </c>
      <c r="D58" s="733">
        <f>民間設備製造1!D58+民間設備非製造!D58</f>
        <v>22576</v>
      </c>
      <c r="E58" s="733">
        <f>民間設備製造1!E58+民間設備非製造!E58</f>
        <v>19497</v>
      </c>
      <c r="F58" s="733">
        <f>民間設備製造1!F58+民間設備非製造!F58</f>
        <v>15455</v>
      </c>
      <c r="G58" s="733">
        <f>民間設備製造1!G58+民間設備非製造!G58</f>
        <v>21418</v>
      </c>
      <c r="H58" s="733">
        <f>民間設備製造1!H58+民間設備非製造!H58</f>
        <v>19637</v>
      </c>
      <c r="I58" s="733">
        <f>民間設備製造1!I58+民間設備非製造!I58</f>
        <v>18252</v>
      </c>
      <c r="J58" s="733">
        <f>民間設備製造1!J58+民間設備非製造!J58</f>
        <v>20498</v>
      </c>
      <c r="K58" s="733">
        <f>民間設備製造1!K58+民間設備非製造!K58</f>
        <v>25079</v>
      </c>
      <c r="L58" s="733">
        <f>民間設備製造1!L58+民間設備非製造!L58</f>
        <v>18670</v>
      </c>
      <c r="M58" s="733">
        <f>民間設備製造1!M58+民間設備非製造!M58</f>
        <v>23919</v>
      </c>
      <c r="N58" s="733">
        <f>民間設備製造1!N58+民間設備非製造!N58</f>
        <v>93329</v>
      </c>
      <c r="O58" s="733">
        <f>民間設備製造1!O58+民間設備非製造!O58</f>
        <v>23173</v>
      </c>
      <c r="P58" s="733">
        <f>民間設備製造1!P58+民間設備非製造!P58</f>
        <v>24196</v>
      </c>
      <c r="Q58" s="733">
        <f>民間設備製造1!Q58+民間設備非製造!Q58</f>
        <v>41248</v>
      </c>
      <c r="R58" s="733">
        <f>民間設備製造1!R58+民間設備非製造!R58</f>
        <v>30499</v>
      </c>
      <c r="S58" s="733">
        <f>民間設備製造1!S58+民間設備非製造!S58</f>
        <v>37128</v>
      </c>
      <c r="T58" s="733">
        <f>民間設備製造1!T58+民間設備非製造!T58</f>
        <v>43984</v>
      </c>
      <c r="U58" s="733">
        <f>民間設備製造1!U58+民間設備非製造!U58</f>
        <v>42050</v>
      </c>
      <c r="V58" s="733">
        <f>民間設備製造1!V58+民間設備非製造!V58</f>
        <v>44999</v>
      </c>
      <c r="W58" s="733">
        <f>民間設備製造1!W58+民間設備非製造!W58</f>
        <v>46588</v>
      </c>
      <c r="X58" s="733">
        <f>民間設備製造1!X58+民間設備非製造!X58</f>
        <v>47257</v>
      </c>
    </row>
    <row r="59" spans="1:24">
      <c r="A59" s="730">
        <v>585</v>
      </c>
      <c r="B59" s="730" t="s">
        <v>220</v>
      </c>
      <c r="C59" s="733">
        <f>民間設備製造1!C59+民間設備非製造!C59</f>
        <v>7801</v>
      </c>
      <c r="D59" s="733">
        <f>民間設備製造1!D59+民間設備非製造!D59</f>
        <v>8160</v>
      </c>
      <c r="E59" s="733">
        <f>民間設備製造1!E59+民間設備非製造!E59</f>
        <v>7978</v>
      </c>
      <c r="F59" s="733">
        <f>民間設備製造1!F59+民間設備非製造!F59</f>
        <v>6170</v>
      </c>
      <c r="G59" s="733">
        <f>民間設備製造1!G59+民間設備非製造!G59</f>
        <v>6407</v>
      </c>
      <c r="H59" s="733">
        <f>民間設備製造1!H59+民間設備非製造!H59</f>
        <v>6641</v>
      </c>
      <c r="I59" s="733">
        <f>民間設備製造1!I59+民間設備非製造!I59</f>
        <v>7291</v>
      </c>
      <c r="J59" s="733">
        <f>民間設備製造1!J59+民間設備非製造!J59</f>
        <v>7961</v>
      </c>
      <c r="K59" s="733">
        <f>民間設備製造1!K59+民間設備非製造!K59</f>
        <v>8119</v>
      </c>
      <c r="L59" s="733">
        <f>民間設備製造1!L59+民間設備非製造!L59</f>
        <v>8132</v>
      </c>
      <c r="M59" s="733">
        <f>民間設備製造1!M59+民間設備非製造!M59</f>
        <v>7545</v>
      </c>
      <c r="N59" s="733">
        <f>民間設備製造1!N59+民間設備非製造!N59</f>
        <v>8250</v>
      </c>
      <c r="O59" s="733">
        <f>民間設備製造1!O59+民間設備非製造!O59</f>
        <v>10120</v>
      </c>
      <c r="P59" s="733">
        <f>民間設備製造1!P59+民間設備非製造!P59</f>
        <v>8425</v>
      </c>
      <c r="Q59" s="733">
        <f>民間設備製造1!Q59+民間設備非製造!Q59</f>
        <v>8541</v>
      </c>
      <c r="R59" s="733">
        <f>民間設備製造1!R59+民間設備非製造!R59</f>
        <v>9449</v>
      </c>
      <c r="S59" s="733">
        <f>民間設備製造1!S59+民間設備非製造!S59</f>
        <v>10307</v>
      </c>
      <c r="T59" s="733">
        <f>民間設備製造1!T59+民間設備非製造!T59</f>
        <v>11302</v>
      </c>
      <c r="U59" s="733">
        <f>民間設備製造1!U59+民間設備非製造!U59</f>
        <v>11546</v>
      </c>
      <c r="V59" s="733">
        <f>民間設備製造1!V59+民間設備非製造!V59</f>
        <v>12028</v>
      </c>
      <c r="W59" s="733">
        <f>民間設備製造1!W59+民間設備非製造!W59</f>
        <v>12369</v>
      </c>
      <c r="X59" s="733">
        <f>民間設備製造1!X59+民間設備非製造!X59</f>
        <v>12716</v>
      </c>
    </row>
    <row r="60" spans="1:24">
      <c r="A60" s="731">
        <v>586</v>
      </c>
      <c r="B60" s="731" t="s">
        <v>338</v>
      </c>
      <c r="C60" s="735">
        <f>民間設備製造1!C60+民間設備非製造!C60</f>
        <v>6782</v>
      </c>
      <c r="D60" s="735">
        <f>民間設備製造1!D60+民間設備非製造!D60</f>
        <v>7147</v>
      </c>
      <c r="E60" s="735">
        <f>民間設備製造1!E60+民間設備非製造!E60</f>
        <v>6508</v>
      </c>
      <c r="F60" s="735">
        <f>民間設備製造1!F60+民間設備非製造!F60</f>
        <v>5733</v>
      </c>
      <c r="G60" s="735">
        <f>民間設備製造1!G60+民間設備非製造!G60</f>
        <v>5424</v>
      </c>
      <c r="H60" s="735">
        <f>民間設備製造1!H60+民間設備非製造!H60</f>
        <v>6080</v>
      </c>
      <c r="I60" s="735">
        <f>民間設備製造1!I60+民間設備非製造!I60</f>
        <v>5920</v>
      </c>
      <c r="J60" s="735">
        <f>民間設備製造1!J60+民間設備非製造!J60</f>
        <v>6742</v>
      </c>
      <c r="K60" s="735">
        <f>民間設備製造1!K60+民間設備非製造!K60</f>
        <v>6408</v>
      </c>
      <c r="L60" s="735">
        <f>民間設備製造1!L60+民間設備非製造!L60</f>
        <v>6737</v>
      </c>
      <c r="M60" s="735">
        <f>民間設備製造1!M60+民間設備非製造!M60</f>
        <v>6160</v>
      </c>
      <c r="N60" s="735">
        <f>民間設備製造1!N60+民間設備非製造!N60</f>
        <v>6881</v>
      </c>
      <c r="O60" s="735">
        <f>民間設備製造1!O60+民間設備非製造!O60</f>
        <v>6812</v>
      </c>
      <c r="P60" s="735">
        <f>民間設備製造1!P60+民間設備非製造!P60</f>
        <v>7093</v>
      </c>
      <c r="Q60" s="735">
        <f>民間設備製造1!Q60+民間設備非製造!Q60</f>
        <v>6833</v>
      </c>
      <c r="R60" s="735">
        <f>民間設備製造1!R60+民間設備非製造!R60</f>
        <v>7335</v>
      </c>
      <c r="S60" s="735">
        <f>民間設備製造1!S60+民間設備非製造!S60</f>
        <v>8355</v>
      </c>
      <c r="T60" s="735">
        <f>民間設備製造1!T60+民間設備非製造!T60</f>
        <v>8969</v>
      </c>
      <c r="U60" s="735">
        <f>民間設備製造1!U60+民間設備非製造!U60</f>
        <v>9080</v>
      </c>
      <c r="V60" s="735">
        <f>民間設備製造1!V60+民間設備非製造!V60</f>
        <v>9496</v>
      </c>
      <c r="W60" s="735">
        <f>民間設備製造1!W60+民間設備非製造!W60</f>
        <v>9748</v>
      </c>
      <c r="X60" s="735">
        <f>民間設備製造1!X60+民間設備非製造!X60</f>
        <v>10020</v>
      </c>
    </row>
    <row r="61" spans="1:24">
      <c r="A61" s="730">
        <v>8</v>
      </c>
      <c r="B61" s="730" t="s">
        <v>211</v>
      </c>
      <c r="C61" s="733">
        <f>民間設備製造1!C61+民間設備非製造!C61</f>
        <v>63910</v>
      </c>
      <c r="D61" s="733">
        <f>民間設備製造1!D61+民間設備非製造!D61</f>
        <v>64649</v>
      </c>
      <c r="E61" s="733">
        <f>民間設備製造1!E61+民間設備非製造!E61</f>
        <v>61389</v>
      </c>
      <c r="F61" s="733">
        <f>民間設備製造1!F61+民間設備非製造!F61</f>
        <v>43272</v>
      </c>
      <c r="G61" s="733">
        <f>民間設備製造1!G61+民間設備非製造!G61</f>
        <v>53042</v>
      </c>
      <c r="H61" s="733">
        <f>民間設備製造1!H61+民間設備非製造!H61</f>
        <v>54624</v>
      </c>
      <c r="I61" s="733">
        <f>民間設備製造1!I61+民間設備非製造!I61</f>
        <v>51900</v>
      </c>
      <c r="J61" s="733">
        <f>民間設備製造1!J61+民間設備非製造!J61</f>
        <v>58506</v>
      </c>
      <c r="K61" s="733">
        <f>民間設備製造1!K61+民間設備非製造!K61</f>
        <v>82861</v>
      </c>
      <c r="L61" s="733">
        <f>民間設備製造1!L61+民間設備非製造!L61</f>
        <v>94235</v>
      </c>
      <c r="M61" s="733">
        <f>民間設備製造1!M61+民間設備非製造!M61</f>
        <v>63194</v>
      </c>
      <c r="N61" s="733">
        <f>民間設備製造1!N61+民間設備非製造!N61</f>
        <v>62957</v>
      </c>
      <c r="O61" s="733">
        <f>民間設備製造1!O61+民間設備非製造!O61</f>
        <v>67980</v>
      </c>
      <c r="P61" s="733">
        <f>民間設備製造1!P61+民間設備非製造!P61</f>
        <v>68010</v>
      </c>
      <c r="Q61" s="733">
        <f>民間設備製造1!Q61+民間設備非製造!Q61</f>
        <v>60774</v>
      </c>
      <c r="R61" s="733">
        <f>民間設備製造1!R61+民間設備非製造!R61</f>
        <v>68407</v>
      </c>
      <c r="S61" s="733">
        <f>民間設備製造1!S61+民間設備非製造!S61</f>
        <v>77022</v>
      </c>
      <c r="T61" s="733">
        <f>民間設備製造1!T61+民間設備非製造!T61</f>
        <v>83426</v>
      </c>
      <c r="U61" s="733">
        <f>民間設備製造1!U61+民間設備非製造!U61</f>
        <v>87200</v>
      </c>
      <c r="V61" s="733">
        <f>民間設備製造1!V61+民間設備非製造!V61</f>
        <v>91248</v>
      </c>
      <c r="W61" s="733">
        <f>民間設備製造1!W61+民間設備非製造!W61</f>
        <v>93561</v>
      </c>
      <c r="X61" s="733">
        <f>民間設備製造1!X61+民間設備非製造!X61</f>
        <v>96227</v>
      </c>
    </row>
    <row r="62" spans="1:24">
      <c r="A62" s="730">
        <v>221</v>
      </c>
      <c r="B62" s="730" t="s">
        <v>1152</v>
      </c>
      <c r="C62" s="733">
        <f>民間設備製造1!C62+民間設備非製造!C62</f>
        <v>27420</v>
      </c>
      <c r="D62" s="733">
        <f>民間設備製造1!D62+民間設備非製造!D62</f>
        <v>22245</v>
      </c>
      <c r="E62" s="733">
        <f>民間設備製造1!E62+民間設備非製造!E62</f>
        <v>20452</v>
      </c>
      <c r="F62" s="733">
        <f>民間設備製造1!F62+民間設備非製造!F62</f>
        <v>17501</v>
      </c>
      <c r="G62" s="733">
        <f>民間設備製造1!G62+民間設備非製造!G62</f>
        <v>21560</v>
      </c>
      <c r="H62" s="733">
        <f>民間設備製造1!H62+民間設備非製造!H62</f>
        <v>22220</v>
      </c>
      <c r="I62" s="733">
        <f>民間設備製造1!I62+民間設備非製造!I62</f>
        <v>19995</v>
      </c>
      <c r="J62" s="733">
        <f>民間設備製造1!J62+民間設備非製造!J62</f>
        <v>23622</v>
      </c>
      <c r="K62" s="733">
        <f>民間設備製造1!K62+民間設備非製造!K62</f>
        <v>21717</v>
      </c>
      <c r="L62" s="733">
        <f>民間設備製造1!L62+民間設備非製造!L62</f>
        <v>23537</v>
      </c>
      <c r="M62" s="733">
        <f>民間設備製造1!M62+民間設備非製造!M62</f>
        <v>23436</v>
      </c>
      <c r="N62" s="733">
        <f>民間設備製造1!N62+民間設備非製造!N62</f>
        <v>24127</v>
      </c>
      <c r="O62" s="733">
        <f>民間設備製造1!O62+民間設備非製造!O62</f>
        <v>27932</v>
      </c>
      <c r="P62" s="733">
        <f>民間設備製造1!P62+民間設備非製造!P62</f>
        <v>25541</v>
      </c>
      <c r="Q62" s="733">
        <f>民間設備製造1!Q62+民間設備非製造!Q62</f>
        <v>24021</v>
      </c>
      <c r="R62" s="733">
        <f>民間設備製造1!R62+民間設備非製造!R62</f>
        <v>27056</v>
      </c>
      <c r="S62" s="733">
        <f>民間設備製造1!S62+民間設備非製造!S62</f>
        <v>30324</v>
      </c>
      <c r="T62" s="733">
        <f>民間設備製造1!T62+民間設備非製造!T62</f>
        <v>33032</v>
      </c>
      <c r="U62" s="733">
        <f>民間設備製造1!U62+民間設備非製造!U62</f>
        <v>34323</v>
      </c>
      <c r="V62" s="733">
        <f>民間設備製造1!V62+民間設備非製造!V62</f>
        <v>35820</v>
      </c>
      <c r="W62" s="733">
        <f>民間設備製造1!W62+民間設備非製造!W62</f>
        <v>36808</v>
      </c>
      <c r="X62" s="733">
        <f>民間設備製造1!X62+民間設備非製造!X62</f>
        <v>37836</v>
      </c>
    </row>
    <row r="63" spans="1:24">
      <c r="A63" s="730">
        <v>223</v>
      </c>
      <c r="B63" s="730" t="s">
        <v>223</v>
      </c>
      <c r="C63" s="733">
        <f>民間設備製造1!C63+民間設備非製造!C63</f>
        <v>36490</v>
      </c>
      <c r="D63" s="733">
        <f>民間設備製造1!D63+民間設備非製造!D63</f>
        <v>42404</v>
      </c>
      <c r="E63" s="733">
        <f>民間設備製造1!E63+民間設備非製造!E63</f>
        <v>40937</v>
      </c>
      <c r="F63" s="733">
        <f>民間設備製造1!F63+民間設備非製造!F63</f>
        <v>25771</v>
      </c>
      <c r="G63" s="733">
        <f>民間設備製造1!G63+民間設備非製造!G63</f>
        <v>31482</v>
      </c>
      <c r="H63" s="733">
        <f>民間設備製造1!H63+民間設備非製造!H63</f>
        <v>32404</v>
      </c>
      <c r="I63" s="733">
        <f>民間設備製造1!I63+民間設備非製造!I63</f>
        <v>31905</v>
      </c>
      <c r="J63" s="733">
        <f>民間設備製造1!J63+民間設備非製造!J63</f>
        <v>34884</v>
      </c>
      <c r="K63" s="733">
        <f>民間設備製造1!K63+民間設備非製造!K63</f>
        <v>61144</v>
      </c>
      <c r="L63" s="733">
        <f>民間設備製造1!L63+民間設備非製造!L63</f>
        <v>70698</v>
      </c>
      <c r="M63" s="733">
        <f>民間設備製造1!M63+民間設備非製造!M63</f>
        <v>39758</v>
      </c>
      <c r="N63" s="733">
        <f>民間設備製造1!N63+民間設備非製造!N63</f>
        <v>38830</v>
      </c>
      <c r="O63" s="733">
        <f>民間設備製造1!O63+民間設備非製造!O63</f>
        <v>40048</v>
      </c>
      <c r="P63" s="733">
        <f>民間設備製造1!P63+民間設備非製造!P63</f>
        <v>42469</v>
      </c>
      <c r="Q63" s="733">
        <f>民間設備製造1!Q63+民間設備非製造!Q63</f>
        <v>36753</v>
      </c>
      <c r="R63" s="733">
        <f>民間設備製造1!R63+民間設備非製造!R63</f>
        <v>41351</v>
      </c>
      <c r="S63" s="733">
        <f>民間設備製造1!S63+民間設備非製造!S63</f>
        <v>46698</v>
      </c>
      <c r="T63" s="733">
        <f>民間設備製造1!T63+民間設備非製造!T63</f>
        <v>50394</v>
      </c>
      <c r="U63" s="733">
        <f>民間設備製造1!U63+民間設備非製造!U63</f>
        <v>52877</v>
      </c>
      <c r="V63" s="733">
        <f>民間設備製造1!V63+民間設備非製造!V63</f>
        <v>55428</v>
      </c>
      <c r="W63" s="733">
        <f>民間設備製造1!W63+民間設備非製造!W63</f>
        <v>56753</v>
      </c>
      <c r="X63" s="733">
        <f>民間設備製造1!X63+民間設備非製造!X63</f>
        <v>58391</v>
      </c>
    </row>
    <row r="64" spans="1:24">
      <c r="A64" s="728">
        <v>9</v>
      </c>
      <c r="B64" s="728" t="s">
        <v>212</v>
      </c>
      <c r="C64" s="734">
        <f>民間設備製造1!C64+民間設備非製造!C64</f>
        <v>68764</v>
      </c>
      <c r="D64" s="734">
        <f>民間設備製造1!D64+民間設備非製造!D64</f>
        <v>66850</v>
      </c>
      <c r="E64" s="734">
        <f>民間設備製造1!E64+民間設備非製造!E64</f>
        <v>67385</v>
      </c>
      <c r="F64" s="734">
        <f>民間設備製造1!F64+民間設備非製造!F64</f>
        <v>58347</v>
      </c>
      <c r="G64" s="734">
        <f>民間設備製造1!G64+民間設備非製造!G64</f>
        <v>71845</v>
      </c>
      <c r="H64" s="734">
        <f>民間設備製造1!H64+民間設備非製造!H64</f>
        <v>58046</v>
      </c>
      <c r="I64" s="734">
        <f>民間設備製造1!I64+民間設備非製造!I64</f>
        <v>58726</v>
      </c>
      <c r="J64" s="734">
        <f>民間設備製造1!J64+民間設備非製造!J64</f>
        <v>66376</v>
      </c>
      <c r="K64" s="734">
        <f>民間設備製造1!K64+民間設備非製造!K64</f>
        <v>59425</v>
      </c>
      <c r="L64" s="734">
        <f>民間設備製造1!L64+民間設備非製造!L64</f>
        <v>66401</v>
      </c>
      <c r="M64" s="734">
        <f>民間設備製造1!M64+民間設備非製造!M64</f>
        <v>78889</v>
      </c>
      <c r="N64" s="734">
        <f>民間設備製造1!N64+民間設備非製造!N64</f>
        <v>79263</v>
      </c>
      <c r="O64" s="734">
        <f>民間設備製造1!O64+民間設備非製造!O64</f>
        <v>64575</v>
      </c>
      <c r="P64" s="734">
        <f>民間設備製造1!P64+民間設備非製造!P64</f>
        <v>67828</v>
      </c>
      <c r="Q64" s="734">
        <f>民間設備製造1!Q64+民間設備非製造!Q64</f>
        <v>67352</v>
      </c>
      <c r="R64" s="734">
        <f>民間設備製造1!R64+民間設備非製造!R64</f>
        <v>71994</v>
      </c>
      <c r="S64" s="734">
        <f>民間設備製造1!S64+民間設備非製造!S64</f>
        <v>81759</v>
      </c>
      <c r="T64" s="734">
        <f>民間設備製造1!T64+民間設備非製造!T64</f>
        <v>92570</v>
      </c>
      <c r="U64" s="734">
        <f>民間設備製造1!U64+民間設備非製造!U64</f>
        <v>95762</v>
      </c>
      <c r="V64" s="734">
        <f>民間設備製造1!V64+民間設備非製造!V64</f>
        <v>100453</v>
      </c>
      <c r="W64" s="734">
        <f>民間設備製造1!W64+民間設備非製造!W64</f>
        <v>103097</v>
      </c>
      <c r="X64" s="734">
        <f>民間設備製造1!X64+民間設備非製造!X64</f>
        <v>105881</v>
      </c>
    </row>
    <row r="65" spans="1:24">
      <c r="A65" s="730">
        <v>205</v>
      </c>
      <c r="B65" s="730" t="s">
        <v>339</v>
      </c>
      <c r="C65" s="733">
        <f>民間設備製造1!C65+民間設備非製造!C65</f>
        <v>28674</v>
      </c>
      <c r="D65" s="733">
        <f>民間設備製造1!D65+民間設備非製造!D65</f>
        <v>25466</v>
      </c>
      <c r="E65" s="733">
        <f>民間設備製造1!E65+民間設備非製造!E65</f>
        <v>28349</v>
      </c>
      <c r="F65" s="733">
        <f>民間設備製造1!F65+民間設備非製造!F65</f>
        <v>28072</v>
      </c>
      <c r="G65" s="733">
        <f>民間設備製造1!G65+民間設備非製造!G65</f>
        <v>39505</v>
      </c>
      <c r="H65" s="733">
        <f>民間設備製造1!H65+民間設備非製造!H65</f>
        <v>22200</v>
      </c>
      <c r="I65" s="733">
        <f>民間設備製造1!I65+民間設備非製造!I65</f>
        <v>22026</v>
      </c>
      <c r="J65" s="733">
        <f>民間設備製造1!J65+民間設備非製造!J65</f>
        <v>25991</v>
      </c>
      <c r="K65" s="733">
        <f>民間設備製造1!K65+民間設備非製造!K65</f>
        <v>19989</v>
      </c>
      <c r="L65" s="733">
        <f>民間設備製造1!L65+民間設備非製造!L65</f>
        <v>21550</v>
      </c>
      <c r="M65" s="733">
        <f>民間設備製造1!M65+民間設備非製造!M65</f>
        <v>37413</v>
      </c>
      <c r="N65" s="733">
        <f>民間設備製造1!N65+民間設備非製造!N65</f>
        <v>38668</v>
      </c>
      <c r="O65" s="733">
        <f>民間設備製造1!O65+民間設備非製造!O65</f>
        <v>23216</v>
      </c>
      <c r="P65" s="733">
        <f>民間設備製造1!P65+民間設備非製造!P65</f>
        <v>26989</v>
      </c>
      <c r="Q65" s="733">
        <f>民間設備製造1!Q65+民間設備非製造!Q65</f>
        <v>28316</v>
      </c>
      <c r="R65" s="733">
        <f>民間設備製造1!R65+民間設備非製造!R65</f>
        <v>27892</v>
      </c>
      <c r="S65" s="733">
        <f>民間設備製造1!S65+民間設備非製造!S65</f>
        <v>32701</v>
      </c>
      <c r="T65" s="733">
        <f>民間設備製造1!T65+民間設備非製造!T65</f>
        <v>36971</v>
      </c>
      <c r="U65" s="733">
        <f>民間設備製造1!U65+民間設備非製造!U65</f>
        <v>37891</v>
      </c>
      <c r="V65" s="733">
        <f>民間設備製造1!V65+民間設備非製造!V65</f>
        <v>39938</v>
      </c>
      <c r="W65" s="733">
        <f>民間設備製造1!W65+民間設備非製造!W65</f>
        <v>40969</v>
      </c>
      <c r="X65" s="733">
        <f>民間設備製造1!X65+民間設備非製造!X65</f>
        <v>42023</v>
      </c>
    </row>
    <row r="66" spans="1:24">
      <c r="A66" s="730">
        <v>224</v>
      </c>
      <c r="B66" s="730" t="s">
        <v>224</v>
      </c>
      <c r="C66" s="733">
        <f>民間設備製造1!C66+民間設備非製造!C66</f>
        <v>19975</v>
      </c>
      <c r="D66" s="733">
        <f>民間設備製造1!D66+民間設備非製造!D66</f>
        <v>21085</v>
      </c>
      <c r="E66" s="733">
        <f>民間設備製造1!E66+民間設備非製造!E66</f>
        <v>20114</v>
      </c>
      <c r="F66" s="733">
        <f>民間設備製造1!F66+民間設備非製造!F66</f>
        <v>14079</v>
      </c>
      <c r="G66" s="733">
        <f>民間設備製造1!G66+民間設備非製造!G66</f>
        <v>17094</v>
      </c>
      <c r="H66" s="733">
        <f>民間設備製造1!H66+民間設備非製造!H66</f>
        <v>15847</v>
      </c>
      <c r="I66" s="733">
        <f>民間設備製造1!I66+民間設備非製造!I66</f>
        <v>17728</v>
      </c>
      <c r="J66" s="733">
        <f>民間設備製造1!J66+民間設備非製造!J66</f>
        <v>18704</v>
      </c>
      <c r="K66" s="733">
        <f>民間設備製造1!K66+民間設備非製造!K66</f>
        <v>19159</v>
      </c>
      <c r="L66" s="733">
        <f>民間設備製造1!L66+民間設備非製造!L66</f>
        <v>21828</v>
      </c>
      <c r="M66" s="733">
        <f>民間設備製造1!M66+民間設備非製造!M66</f>
        <v>22476</v>
      </c>
      <c r="N66" s="733">
        <f>民間設備製造1!N66+民間設備非製造!N66</f>
        <v>20801</v>
      </c>
      <c r="O66" s="733">
        <f>民間設備製造1!O66+民間設備非製造!O66</f>
        <v>20924</v>
      </c>
      <c r="P66" s="733">
        <f>民間設備製造1!P66+民間設備非製造!P66</f>
        <v>19216</v>
      </c>
      <c r="Q66" s="733">
        <f>民間設備製造1!Q66+民間設備非製造!Q66</f>
        <v>19194</v>
      </c>
      <c r="R66" s="733">
        <f>民間設備製造1!R66+民間設備非製造!R66</f>
        <v>21399</v>
      </c>
      <c r="S66" s="733">
        <f>民間設備製造1!S66+民間設備非製造!S66</f>
        <v>23696</v>
      </c>
      <c r="T66" s="733">
        <f>民間設備製造1!T66+民間設備非製造!T66</f>
        <v>27007</v>
      </c>
      <c r="U66" s="733">
        <f>民間設備製造1!U66+民間設備非製造!U66</f>
        <v>28368</v>
      </c>
      <c r="V66" s="733">
        <f>民間設備製造1!V66+民間設備非製造!V66</f>
        <v>29646</v>
      </c>
      <c r="W66" s="733">
        <f>民間設備製造1!W66+民間設備非製造!W66</f>
        <v>30472</v>
      </c>
      <c r="X66" s="733">
        <f>民間設備製造1!X66+民間設備非製造!X66</f>
        <v>31302</v>
      </c>
    </row>
    <row r="67" spans="1:24">
      <c r="A67" s="731">
        <v>226</v>
      </c>
      <c r="B67" s="731" t="s">
        <v>225</v>
      </c>
      <c r="C67" s="735">
        <f>民間設備製造1!C67+民間設備非製造!C67</f>
        <v>20115</v>
      </c>
      <c r="D67" s="735">
        <f>民間設備製造1!D67+民間設備非製造!D67</f>
        <v>20299</v>
      </c>
      <c r="E67" s="735">
        <f>民間設備製造1!E67+民間設備非製造!E67</f>
        <v>18922</v>
      </c>
      <c r="F67" s="735">
        <f>民間設備製造1!F67+民間設備非製造!F67</f>
        <v>16196</v>
      </c>
      <c r="G67" s="735">
        <f>民間設備製造1!G67+民間設備非製造!G67</f>
        <v>15246</v>
      </c>
      <c r="H67" s="735">
        <f>民間設備製造1!H67+民間設備非製造!H67</f>
        <v>19999</v>
      </c>
      <c r="I67" s="735">
        <f>民間設備製造1!I67+民間設備非製造!I67</f>
        <v>18972</v>
      </c>
      <c r="J67" s="735">
        <f>民間設備製造1!J67+民間設備非製造!J67</f>
        <v>21681</v>
      </c>
      <c r="K67" s="735">
        <f>民間設備製造1!K67+民間設備非製造!K67</f>
        <v>20277</v>
      </c>
      <c r="L67" s="735">
        <f>民間設備製造1!L67+民間設備非製造!L67</f>
        <v>23023</v>
      </c>
      <c r="M67" s="735">
        <f>民間設備製造1!M67+民間設備非製造!M67</f>
        <v>19000</v>
      </c>
      <c r="N67" s="735">
        <f>民間設備製造1!N67+民間設備非製造!N67</f>
        <v>19794</v>
      </c>
      <c r="O67" s="735">
        <f>民間設備製造1!O67+民間設備非製造!O67</f>
        <v>20435</v>
      </c>
      <c r="P67" s="735">
        <f>民間設備製造1!P67+民間設備非製造!P67</f>
        <v>21623</v>
      </c>
      <c r="Q67" s="735">
        <f>民間設備製造1!Q67+民間設備非製造!Q67</f>
        <v>19842</v>
      </c>
      <c r="R67" s="735">
        <f>民間設備製造1!R67+民間設備非製造!R67</f>
        <v>22703</v>
      </c>
      <c r="S67" s="735">
        <f>民間設備製造1!S67+民間設備非製造!S67</f>
        <v>25362</v>
      </c>
      <c r="T67" s="735">
        <f>民間設備製造1!T67+民間設備非製造!T67</f>
        <v>28592</v>
      </c>
      <c r="U67" s="735">
        <f>民間設備製造1!U67+民間設備非製造!U67</f>
        <v>29503</v>
      </c>
      <c r="V67" s="735">
        <f>民間設備製造1!V67+民間設備非製造!V67</f>
        <v>30869</v>
      </c>
      <c r="W67" s="735">
        <f>民間設備製造1!W67+民間設備非製造!W67</f>
        <v>31656</v>
      </c>
      <c r="X67" s="735">
        <f>民間設備製造1!X67+民間設備非製造!X67</f>
        <v>32556</v>
      </c>
    </row>
  </sheetData>
  <phoneticPr fontId="13"/>
  <pageMargins left="0.75" right="0.75" top="1" bottom="1" header="0.51200000000000001" footer="0.5120000000000000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652B-E279-45B9-B5B2-0BA63CE6A668}">
  <sheetPr codeName="Sheet5">
    <tabColor theme="9" tint="0.79998168889431442"/>
  </sheetPr>
  <dimension ref="A1:Z29"/>
  <sheetViews>
    <sheetView workbookViewId="0">
      <pane xSplit="2" ySplit="3" topLeftCell="N8" activePane="bottomRight" state="frozen"/>
      <selection pane="topRight" activeCell="C1" sqref="C1"/>
      <selection pane="bottomLeft" activeCell="A4" sqref="A4"/>
      <selection pane="bottomRight" activeCell="Y9" sqref="Y9"/>
    </sheetView>
  </sheetViews>
  <sheetFormatPr defaultColWidth="8.7109375" defaultRowHeight="12.5"/>
  <cols>
    <col min="1" max="1" width="6.7109375" style="239" customWidth="1"/>
    <col min="2" max="2" width="8.640625" style="239" customWidth="1"/>
    <col min="3" max="3" width="9.7109375" style="239" hidden="1" customWidth="1"/>
    <col min="4" max="6" width="10" style="239" hidden="1" customWidth="1"/>
    <col min="7" max="16" width="10" style="239" customWidth="1"/>
    <col min="17" max="17" width="7.5703125" style="239" customWidth="1"/>
    <col min="18" max="16384" width="8.7109375" style="239"/>
  </cols>
  <sheetData>
    <row r="1" spans="1:26" ht="13.5" customHeight="1">
      <c r="A1" s="978" t="s">
        <v>1435</v>
      </c>
      <c r="B1" s="500"/>
      <c r="C1" s="500"/>
      <c r="D1" s="500"/>
      <c r="E1" s="500"/>
      <c r="F1" s="500"/>
      <c r="G1" s="500"/>
      <c r="H1" s="500"/>
      <c r="I1" s="500"/>
      <c r="N1" s="1023" t="s">
        <v>1436</v>
      </c>
      <c r="O1" s="1023"/>
      <c r="P1" s="2290" t="str">
        <f>'1推計方法'!N1</f>
        <v>2026/4/13</v>
      </c>
      <c r="Q1" s="500"/>
      <c r="Y1" s="500"/>
    </row>
    <row r="2" spans="1:26" ht="13.5" customHeight="1">
      <c r="A2" s="2298" t="s">
        <v>1437</v>
      </c>
      <c r="B2" s="2299"/>
      <c r="C2" s="2008" t="s">
        <v>1438</v>
      </c>
      <c r="D2" s="1028" t="s">
        <v>1439</v>
      </c>
      <c r="E2" s="2009" t="s">
        <v>1440</v>
      </c>
      <c r="F2" s="2010" t="s">
        <v>1441</v>
      </c>
      <c r="G2" s="1028" t="s">
        <v>1442</v>
      </c>
      <c r="H2" s="2009" t="s">
        <v>1443</v>
      </c>
      <c r="I2" s="2009" t="s">
        <v>1444</v>
      </c>
      <c r="J2" s="2009" t="s">
        <v>1445</v>
      </c>
      <c r="K2" s="2011" t="s">
        <v>1446</v>
      </c>
      <c r="L2" s="1895" t="s">
        <v>1553</v>
      </c>
      <c r="M2" s="1895" t="s">
        <v>1593</v>
      </c>
      <c r="N2" s="2012" t="s">
        <v>1604</v>
      </c>
      <c r="O2" s="2013" t="s">
        <v>1761</v>
      </c>
      <c r="P2" s="1895" t="s">
        <v>1800</v>
      </c>
      <c r="Q2" s="500"/>
      <c r="S2" s="239" t="s">
        <v>11</v>
      </c>
      <c r="U2" s="239" t="s">
        <v>11</v>
      </c>
    </row>
    <row r="3" spans="1:26" ht="13.5" customHeight="1">
      <c r="A3" s="2300"/>
      <c r="B3" s="2301"/>
      <c r="C3" s="2015" t="s">
        <v>1447</v>
      </c>
      <c r="D3" s="2016" t="s">
        <v>1448</v>
      </c>
      <c r="E3" s="2017" t="s">
        <v>1449</v>
      </c>
      <c r="F3" s="2014" t="s">
        <v>1450</v>
      </c>
      <c r="G3" s="2016" t="s">
        <v>1451</v>
      </c>
      <c r="H3" s="2017" t="s">
        <v>1452</v>
      </c>
      <c r="I3" s="2017" t="s">
        <v>1453</v>
      </c>
      <c r="J3" s="2017" t="s">
        <v>1520</v>
      </c>
      <c r="K3" s="2018" t="s">
        <v>1454</v>
      </c>
      <c r="L3" s="2019" t="s">
        <v>1554</v>
      </c>
      <c r="M3" s="2019" t="s">
        <v>1594</v>
      </c>
      <c r="N3" s="2020" t="s">
        <v>1605</v>
      </c>
      <c r="O3" s="2021" t="s">
        <v>1762</v>
      </c>
      <c r="P3" s="2019" t="s">
        <v>1801</v>
      </c>
      <c r="Q3" s="1024"/>
      <c r="S3" s="239" t="s">
        <v>11</v>
      </c>
      <c r="U3" s="239" t="s">
        <v>11</v>
      </c>
      <c r="W3" s="239" t="s">
        <v>11</v>
      </c>
    </row>
    <row r="4" spans="1:26" ht="13.5" customHeight="1">
      <c r="A4" s="2009" t="s">
        <v>1455</v>
      </c>
      <c r="B4" s="1149" t="s">
        <v>1456</v>
      </c>
      <c r="C4" s="2022">
        <f t="shared" ref="C4:J4" si="0">C16*10</f>
        <v>5337461</v>
      </c>
      <c r="D4" s="1140">
        <f t="shared" si="0"/>
        <v>5519449</v>
      </c>
      <c r="E4" s="1146">
        <f t="shared" si="0"/>
        <v>5562733</v>
      </c>
      <c r="F4" s="1402">
        <f t="shared" si="0"/>
        <v>5676681</v>
      </c>
      <c r="G4" s="1140">
        <f t="shared" si="0"/>
        <v>5699444</v>
      </c>
      <c r="H4" s="1146">
        <f t="shared" si="0"/>
        <v>5706189</v>
      </c>
      <c r="I4" s="1146">
        <f t="shared" si="0"/>
        <v>5543423</v>
      </c>
      <c r="J4" s="1146">
        <f t="shared" si="0"/>
        <v>5765540</v>
      </c>
      <c r="K4" s="451">
        <f t="shared" ref="K4:L4" si="1">K16*10</f>
        <v>5916513</v>
      </c>
      <c r="L4" s="1146">
        <f t="shared" si="1"/>
        <v>6193853</v>
      </c>
      <c r="M4" s="1722">
        <f>ROUND(L4*(100+M5)/100,0)</f>
        <v>6410638</v>
      </c>
      <c r="N4" s="1297">
        <f>ROUND(M4*(100+N5)/100,0)</f>
        <v>6660653</v>
      </c>
      <c r="O4" s="1391">
        <f>ROUND(N4*(100+O5)/100,0)</f>
        <v>6840491</v>
      </c>
      <c r="P4" s="1722">
        <f>ROUND(O4*(100+P5)/100,0)</f>
        <v>7052546</v>
      </c>
      <c r="Q4" s="1025"/>
      <c r="R4" s="239" t="s">
        <v>11</v>
      </c>
    </row>
    <row r="5" spans="1:26" ht="13.5" customHeight="1">
      <c r="A5" s="995"/>
      <c r="B5" s="1124" t="s">
        <v>1528</v>
      </c>
      <c r="C5" s="1366" t="s">
        <v>1541</v>
      </c>
      <c r="D5" s="1138">
        <f t="shared" ref="D5" si="2">ROUND((D4-C4)/C4*100,1)</f>
        <v>3.4</v>
      </c>
      <c r="E5" s="1026">
        <f t="shared" ref="E5" si="3">ROUND((E4-D4)/D4*100,1)</f>
        <v>0.8</v>
      </c>
      <c r="F5" s="1403">
        <f t="shared" ref="F5" si="4">ROUND((F4-E4)/E4*100,1)</f>
        <v>2</v>
      </c>
      <c r="G5" s="1138">
        <f t="shared" ref="G5" si="5">ROUND((G4-F4)/F4*100,1)</f>
        <v>0.4</v>
      </c>
      <c r="H5" s="1026">
        <f t="shared" ref="H5" si="6">ROUND((H4-G4)/G4*100,1)</f>
        <v>0.1</v>
      </c>
      <c r="I5" s="1026">
        <f t="shared" ref="I5" si="7">ROUND((I4-H4)/H4*100,1)</f>
        <v>-2.9</v>
      </c>
      <c r="J5" s="1026">
        <f t="shared" ref="J5:L5" si="8">ROUND((J4-I4)/I4*100,1)</f>
        <v>4</v>
      </c>
      <c r="K5" s="1147">
        <f t="shared" si="8"/>
        <v>2.6</v>
      </c>
      <c r="L5" s="1026">
        <f t="shared" si="8"/>
        <v>4.7</v>
      </c>
      <c r="M5" s="1869">
        <v>3.5</v>
      </c>
      <c r="N5" s="1870">
        <v>3.9</v>
      </c>
      <c r="O5" s="1893">
        <v>2.7</v>
      </c>
      <c r="P5" s="1896">
        <v>3.1</v>
      </c>
      <c r="Q5" s="1025"/>
      <c r="R5" s="239" t="s">
        <v>1524</v>
      </c>
      <c r="U5" s="239" t="s">
        <v>1743</v>
      </c>
    </row>
    <row r="6" spans="1:26" ht="13.5" customHeight="1">
      <c r="A6" s="995"/>
      <c r="B6" s="1148" t="s">
        <v>1457</v>
      </c>
      <c r="C6" s="1367">
        <f t="shared" ref="C6:J6" si="9">C17*10</f>
        <v>5543993</v>
      </c>
      <c r="D6" s="1139">
        <f t="shared" si="9"/>
        <v>5643727</v>
      </c>
      <c r="E6" s="1027">
        <f t="shared" si="9"/>
        <v>5678750</v>
      </c>
      <c r="F6" s="1404">
        <f t="shared" si="9"/>
        <v>5781525</v>
      </c>
      <c r="G6" s="1139">
        <f t="shared" si="9"/>
        <v>5814435</v>
      </c>
      <c r="H6" s="1027">
        <f t="shared" si="9"/>
        <v>5759353</v>
      </c>
      <c r="I6" s="1027">
        <f t="shared" si="9"/>
        <v>5543111</v>
      </c>
      <c r="J6" s="1027">
        <f t="shared" si="9"/>
        <v>5760797</v>
      </c>
      <c r="K6" s="1404">
        <f t="shared" ref="K6:L6" si="10">K17*10</f>
        <v>5843620</v>
      </c>
      <c r="L6" s="1027">
        <f t="shared" si="10"/>
        <v>5840074</v>
      </c>
      <c r="M6" s="1722">
        <f>ROUND(L6*(M7+100)/100,0)</f>
        <v>5886795</v>
      </c>
      <c r="N6" s="1297">
        <f>ROUND(M6*(N7+100)/100,0)</f>
        <v>5928003</v>
      </c>
      <c r="O6" s="1391">
        <f>ROUND(N6*(O7+100)/100,0)</f>
        <v>5981355</v>
      </c>
      <c r="P6" s="1722">
        <f>ROUND(O6*(P7+100)/100,0)</f>
        <v>6059113</v>
      </c>
      <c r="Q6" s="1025"/>
      <c r="U6" s="239" t="s">
        <v>1526</v>
      </c>
      <c r="V6" s="239" t="s">
        <v>627</v>
      </c>
      <c r="Y6" s="239" t="s">
        <v>11</v>
      </c>
    </row>
    <row r="7" spans="1:26" ht="13.5" customHeight="1">
      <c r="A7" s="995"/>
      <c r="B7" s="1124" t="s">
        <v>1527</v>
      </c>
      <c r="C7" s="1366" t="s">
        <v>1541</v>
      </c>
      <c r="D7" s="1138">
        <f t="shared" ref="D7" si="11">ROUND((D6-C6)/C6*100,1)</f>
        <v>1.8</v>
      </c>
      <c r="E7" s="1026">
        <f t="shared" ref="E7" si="12">ROUND((E6-D6)/D6*100,1)</f>
        <v>0.6</v>
      </c>
      <c r="F7" s="1403">
        <f t="shared" ref="F7" si="13">ROUND((F6-E6)/E6*100,1)</f>
        <v>1.8</v>
      </c>
      <c r="G7" s="1138">
        <f t="shared" ref="G7" si="14">ROUND((G6-F6)/F6*100,1)</f>
        <v>0.6</v>
      </c>
      <c r="H7" s="1026">
        <f t="shared" ref="H7" si="15">ROUND((H6-G6)/G6*100,1)</f>
        <v>-0.9</v>
      </c>
      <c r="I7" s="1026">
        <f t="shared" ref="I7" si="16">ROUND((I6-H6)/H6*100,1)</f>
        <v>-3.8</v>
      </c>
      <c r="J7" s="1026">
        <f t="shared" ref="J7:L7" si="17">ROUND((J6-I6)/I6*100,1)</f>
        <v>3.9</v>
      </c>
      <c r="K7" s="1403">
        <f t="shared" si="17"/>
        <v>1.4</v>
      </c>
      <c r="L7" s="1026">
        <f t="shared" si="17"/>
        <v>-0.1</v>
      </c>
      <c r="M7" s="1026">
        <v>0.8</v>
      </c>
      <c r="N7" s="1870">
        <v>0.7</v>
      </c>
      <c r="O7" s="1894">
        <v>0.9</v>
      </c>
      <c r="P7" s="1897">
        <v>1.3</v>
      </c>
      <c r="Q7" s="1025"/>
    </row>
    <row r="8" spans="1:26" ht="13.5" customHeight="1">
      <c r="A8" s="2009" t="s">
        <v>1458</v>
      </c>
      <c r="B8" s="1149" t="s">
        <v>1456</v>
      </c>
      <c r="C8" s="551">
        <f t="shared" ref="C8:K8" si="18">C19/100</f>
        <v>207411.45</v>
      </c>
      <c r="D8" s="1140">
        <f t="shared" si="18"/>
        <v>217471.93</v>
      </c>
      <c r="E8" s="1146">
        <f t="shared" si="18"/>
        <v>219654.22</v>
      </c>
      <c r="F8" s="1402">
        <f t="shared" si="18"/>
        <v>222832.73</v>
      </c>
      <c r="G8" s="1140">
        <f t="shared" si="18"/>
        <v>222376.6</v>
      </c>
      <c r="H8" s="1146">
        <f t="shared" si="18"/>
        <v>224728.35</v>
      </c>
      <c r="I8" s="1146">
        <f t="shared" si="18"/>
        <v>218960.01</v>
      </c>
      <c r="J8" s="1146">
        <f t="shared" si="18"/>
        <v>225968.93</v>
      </c>
      <c r="K8" s="451">
        <f t="shared" si="18"/>
        <v>233621.16</v>
      </c>
      <c r="L8" s="1146">
        <f t="shared" ref="L8:M8" si="19">L19/100</f>
        <v>239895.41</v>
      </c>
      <c r="M8" s="1146">
        <f t="shared" si="19"/>
        <v>247645.62</v>
      </c>
      <c r="N8" s="1402">
        <f t="shared" ref="N8:P8" si="20">N19/100</f>
        <v>256061.06311163469</v>
      </c>
      <c r="O8" s="1402">
        <f t="shared" si="20"/>
        <v>259504.50029524139</v>
      </c>
      <c r="P8" s="1146">
        <f t="shared" si="20"/>
        <v>263525.45029524137</v>
      </c>
      <c r="Q8" s="1025"/>
    </row>
    <row r="9" spans="1:26" ht="13.5" customHeight="1">
      <c r="A9" s="995"/>
      <c r="B9" s="1124" t="s">
        <v>1528</v>
      </c>
      <c r="C9" s="1366" t="s">
        <v>1522</v>
      </c>
      <c r="D9" s="1138">
        <f t="shared" ref="D9:F9" si="21">ROUND((D8-C8)/C8*100,1)</f>
        <v>4.9000000000000004</v>
      </c>
      <c r="E9" s="1026">
        <f t="shared" si="21"/>
        <v>1</v>
      </c>
      <c r="F9" s="1403">
        <f t="shared" si="21"/>
        <v>1.4</v>
      </c>
      <c r="G9" s="1138">
        <f t="shared" ref="G9" si="22">ROUND((G8-F8)/F8*100,1)</f>
        <v>-0.2</v>
      </c>
      <c r="H9" s="1026">
        <f t="shared" ref="H9" si="23">ROUND((H8-G8)/G8*100,1)</f>
        <v>1.1000000000000001</v>
      </c>
      <c r="I9" s="1026">
        <f t="shared" ref="I9" si="24">ROUND((I8-H8)/H8*100,1)</f>
        <v>-2.6</v>
      </c>
      <c r="J9" s="1026">
        <f t="shared" ref="J9" si="25">ROUND((J8-I8)/I8*100,1)</f>
        <v>3.2</v>
      </c>
      <c r="K9" s="1147">
        <f t="shared" ref="K9:P9" si="26">ROUND((K8-J8)/J8*100,1)</f>
        <v>3.4</v>
      </c>
      <c r="L9" s="1026">
        <f t="shared" si="26"/>
        <v>2.7</v>
      </c>
      <c r="M9" s="1026">
        <f t="shared" si="26"/>
        <v>3.2</v>
      </c>
      <c r="N9" s="1403">
        <f t="shared" si="26"/>
        <v>3.4</v>
      </c>
      <c r="O9" s="1403">
        <f t="shared" si="26"/>
        <v>1.3</v>
      </c>
      <c r="P9" s="1026">
        <f t="shared" si="26"/>
        <v>1.5</v>
      </c>
      <c r="Q9" s="1025"/>
    </row>
    <row r="10" spans="1:26" ht="13.5" customHeight="1">
      <c r="A10" s="995"/>
      <c r="B10" s="1148" t="s">
        <v>1457</v>
      </c>
      <c r="C10" s="1367">
        <f t="shared" ref="C10:K10" si="27">C20/100</f>
        <v>210929.3</v>
      </c>
      <c r="D10" s="1139">
        <f t="shared" si="27"/>
        <v>217641.62</v>
      </c>
      <c r="E10" s="1027">
        <f t="shared" si="27"/>
        <v>219384.84</v>
      </c>
      <c r="F10" s="1404">
        <f t="shared" si="27"/>
        <v>222812.49</v>
      </c>
      <c r="G10" s="1139">
        <f t="shared" si="27"/>
        <v>222309.64</v>
      </c>
      <c r="H10" s="1027">
        <f t="shared" si="27"/>
        <v>223733.22</v>
      </c>
      <c r="I10" s="1027">
        <f t="shared" si="27"/>
        <v>215838.78</v>
      </c>
      <c r="J10" s="1027">
        <f t="shared" si="27"/>
        <v>223058.39</v>
      </c>
      <c r="K10" s="452">
        <f t="shared" si="27"/>
        <v>228782.89</v>
      </c>
      <c r="L10" s="1027">
        <f t="shared" ref="L10:M10" si="28">L20/100</f>
        <v>229213.18</v>
      </c>
      <c r="M10" s="1027">
        <f t="shared" si="28"/>
        <v>229269.96</v>
      </c>
      <c r="N10" s="1404">
        <f t="shared" ref="N10:P10" si="29">N20/100</f>
        <v>228931.02</v>
      </c>
      <c r="O10" s="1404">
        <f t="shared" si="29"/>
        <v>227845.36</v>
      </c>
      <c r="P10" s="1027">
        <f t="shared" si="29"/>
        <v>226724.99</v>
      </c>
      <c r="Q10" s="1025"/>
      <c r="Y10" s="239" t="s">
        <v>11</v>
      </c>
    </row>
    <row r="11" spans="1:26" ht="13.5" customHeight="1">
      <c r="A11" s="1008"/>
      <c r="B11" s="1124" t="s">
        <v>1527</v>
      </c>
      <c r="C11" s="1366" t="s">
        <v>1522</v>
      </c>
      <c r="D11" s="1138">
        <f t="shared" ref="D11" si="30">ROUND((D10-C10)/C10*100,1)</f>
        <v>3.2</v>
      </c>
      <c r="E11" s="1026">
        <f t="shared" ref="E11" si="31">ROUND((E10-D10)/D10*100,1)</f>
        <v>0.8</v>
      </c>
      <c r="F11" s="1403">
        <f t="shared" ref="F11" si="32">ROUND((F10-E10)/E10*100,1)</f>
        <v>1.6</v>
      </c>
      <c r="G11" s="1138">
        <f t="shared" ref="G11" si="33">ROUND((G10-F10)/F10*100,1)</f>
        <v>-0.2</v>
      </c>
      <c r="H11" s="1026">
        <f t="shared" ref="H11" si="34">ROUND((H10-G10)/G10*100,1)</f>
        <v>0.6</v>
      </c>
      <c r="I11" s="1026">
        <f t="shared" ref="I11" si="35">ROUND((I10-H10)/H10*100,1)</f>
        <v>-3.5</v>
      </c>
      <c r="J11" s="1026">
        <f t="shared" ref="J11" si="36">ROUND((J10-I10)/I10*100,1)</f>
        <v>3.3</v>
      </c>
      <c r="K11" s="1147">
        <f t="shared" ref="K11:P11" si="37">ROUND((K10-J10)/J10*100,1)</f>
        <v>2.6</v>
      </c>
      <c r="L11" s="1026">
        <f t="shared" si="37"/>
        <v>0.2</v>
      </c>
      <c r="M11" s="1026">
        <f t="shared" si="37"/>
        <v>0</v>
      </c>
      <c r="N11" s="1403">
        <f t="shared" si="37"/>
        <v>-0.1</v>
      </c>
      <c r="O11" s="1403">
        <f t="shared" si="37"/>
        <v>-0.5</v>
      </c>
      <c r="P11" s="1026">
        <f t="shared" si="37"/>
        <v>-0.5</v>
      </c>
      <c r="Q11" s="1025" t="s">
        <v>11</v>
      </c>
    </row>
    <row r="12" spans="1:26" ht="13.5" customHeight="1">
      <c r="A12" s="1029" t="s">
        <v>1803</v>
      </c>
      <c r="B12" s="500"/>
      <c r="C12" s="500"/>
      <c r="D12" s="500"/>
      <c r="E12" s="500"/>
      <c r="F12" s="500"/>
      <c r="G12" s="500"/>
      <c r="H12" s="500"/>
      <c r="I12" s="500"/>
      <c r="J12" s="500"/>
      <c r="K12" s="500"/>
      <c r="L12" s="500"/>
      <c r="M12" s="500"/>
      <c r="N12" s="500"/>
      <c r="O12" s="500"/>
      <c r="P12" s="500"/>
      <c r="Q12" s="500"/>
    </row>
    <row r="13" spans="1:26" ht="13.5" customHeight="1">
      <c r="A13" s="1029" t="s">
        <v>1802</v>
      </c>
      <c r="B13" s="500"/>
      <c r="C13" s="500"/>
      <c r="D13" s="500"/>
      <c r="E13" s="500"/>
      <c r="F13" s="500"/>
      <c r="G13" s="500"/>
      <c r="H13" s="500"/>
      <c r="I13" s="500"/>
      <c r="J13" s="500"/>
      <c r="K13" s="500"/>
      <c r="L13" s="500"/>
      <c r="M13" s="500"/>
      <c r="N13" s="500"/>
      <c r="O13" s="500"/>
      <c r="P13" s="500"/>
      <c r="Q13" s="239" t="s">
        <v>1506</v>
      </c>
      <c r="Z13" s="239" t="s">
        <v>11</v>
      </c>
    </row>
    <row r="14" spans="1:26">
      <c r="A14" s="500" t="s">
        <v>1804</v>
      </c>
      <c r="B14" s="500"/>
      <c r="C14" s="500"/>
      <c r="D14" s="500"/>
      <c r="E14" s="500"/>
      <c r="F14" s="500"/>
      <c r="G14" s="500"/>
    </row>
    <row r="15" spans="1:26">
      <c r="Z15" s="239" t="s">
        <v>627</v>
      </c>
    </row>
    <row r="16" spans="1:26">
      <c r="A16" s="239" t="s">
        <v>1459</v>
      </c>
      <c r="B16" s="239" t="s">
        <v>1460</v>
      </c>
      <c r="C16" s="1053">
        <v>533746.1</v>
      </c>
      <c r="D16" s="1053">
        <v>551944.9</v>
      </c>
      <c r="E16" s="1053">
        <v>556273.30000000005</v>
      </c>
      <c r="F16" s="1053">
        <v>567668.1</v>
      </c>
      <c r="G16" s="1053">
        <v>569944.4</v>
      </c>
      <c r="H16" s="1053">
        <v>570618.9</v>
      </c>
      <c r="I16" s="1053">
        <v>554342.30000000005</v>
      </c>
      <c r="J16" s="1053">
        <v>576554</v>
      </c>
      <c r="K16" s="1053">
        <v>591651.30000000005</v>
      </c>
      <c r="L16" s="1053">
        <v>619385.30000000005</v>
      </c>
      <c r="M16" s="1053">
        <v>642391.19999999995</v>
      </c>
      <c r="N16" s="1055"/>
      <c r="O16" s="1055"/>
      <c r="P16" s="1055"/>
      <c r="Q16" s="239" t="s">
        <v>1230</v>
      </c>
    </row>
    <row r="17" spans="1:18">
      <c r="A17" s="239" t="s">
        <v>1461</v>
      </c>
      <c r="B17" s="239" t="s">
        <v>1462</v>
      </c>
      <c r="C17" s="1053">
        <v>554399.30000000005</v>
      </c>
      <c r="D17" s="1053">
        <v>564372.69999999995</v>
      </c>
      <c r="E17" s="1053">
        <v>567875</v>
      </c>
      <c r="F17" s="1053">
        <v>578152.5</v>
      </c>
      <c r="G17" s="1053">
        <v>581443.5</v>
      </c>
      <c r="H17" s="1053">
        <v>575935.30000000005</v>
      </c>
      <c r="I17" s="1053">
        <v>554311.1</v>
      </c>
      <c r="J17" s="1053">
        <v>576079.69999999995</v>
      </c>
      <c r="K17" s="1053">
        <v>584362</v>
      </c>
      <c r="L17" s="1053">
        <v>584007.4</v>
      </c>
      <c r="M17" s="1053">
        <v>586839.9</v>
      </c>
      <c r="N17" s="1055"/>
      <c r="O17" s="1055"/>
      <c r="P17" s="1055"/>
      <c r="Q17" s="239" t="s">
        <v>1230</v>
      </c>
    </row>
    <row r="19" spans="1:18">
      <c r="A19" s="239" t="s">
        <v>1463</v>
      </c>
      <c r="B19" s="239" t="s">
        <v>1464</v>
      </c>
      <c r="C19" s="682">
        <v>20741145</v>
      </c>
      <c r="D19" s="682">
        <v>21747193</v>
      </c>
      <c r="E19" s="682">
        <v>21965422</v>
      </c>
      <c r="F19" s="682">
        <v>22283273</v>
      </c>
      <c r="G19" s="682">
        <v>22237660</v>
      </c>
      <c r="H19" s="682">
        <v>22472835</v>
      </c>
      <c r="I19" s="682">
        <v>21896001</v>
      </c>
      <c r="J19" s="682">
        <v>22596893</v>
      </c>
      <c r="K19" s="682">
        <v>23362116</v>
      </c>
      <c r="L19" s="682">
        <v>23989541</v>
      </c>
      <c r="M19" s="1030">
        <v>24764562</v>
      </c>
      <c r="N19" s="1054">
        <f>'4概要統計表2'!AB22</f>
        <v>25606106.31116347</v>
      </c>
      <c r="O19" s="1054">
        <f>'4概要統計表2'!AC22</f>
        <v>25950450.02952414</v>
      </c>
      <c r="P19" s="1054">
        <f>'4概要統計表2'!AD22</f>
        <v>26352545.02952414</v>
      </c>
    </row>
    <row r="20" spans="1:18">
      <c r="B20" s="239" t="s">
        <v>1465</v>
      </c>
      <c r="C20" s="682">
        <v>21092930</v>
      </c>
      <c r="D20" s="682">
        <v>21764162</v>
      </c>
      <c r="E20" s="682">
        <v>21938484</v>
      </c>
      <c r="F20" s="682">
        <v>22281249</v>
      </c>
      <c r="G20" s="682">
        <v>22230964</v>
      </c>
      <c r="H20" s="682">
        <v>22373322</v>
      </c>
      <c r="I20" s="682">
        <v>21583878</v>
      </c>
      <c r="J20" s="682">
        <v>22305839</v>
      </c>
      <c r="K20" s="682">
        <v>22878289</v>
      </c>
      <c r="L20" s="682">
        <v>22921318</v>
      </c>
      <c r="M20" s="1030">
        <v>22926996</v>
      </c>
      <c r="N20" s="1054">
        <f>'4概要統計表2'!AB5</f>
        <v>22893102</v>
      </c>
      <c r="O20" s="1054">
        <f>'4概要統計表2'!AC5</f>
        <v>22784536</v>
      </c>
      <c r="P20" s="1054">
        <f>'4概要統計表2'!AD5</f>
        <v>22672499</v>
      </c>
      <c r="R20" s="239" t="s">
        <v>1501</v>
      </c>
    </row>
    <row r="22" spans="1:18">
      <c r="A22" s="239" t="s">
        <v>1466</v>
      </c>
      <c r="B22" s="239" t="s">
        <v>1363</v>
      </c>
      <c r="C22" s="239" t="s">
        <v>1522</v>
      </c>
      <c r="D22" s="1056" t="s">
        <v>1521</v>
      </c>
      <c r="E22" s="1031">
        <v>16</v>
      </c>
      <c r="F22" s="1031">
        <v>17</v>
      </c>
      <c r="G22" s="1031">
        <v>18</v>
      </c>
      <c r="H22" s="1032">
        <v>19</v>
      </c>
      <c r="I22" s="1032">
        <v>20</v>
      </c>
      <c r="J22" s="1032">
        <v>21</v>
      </c>
      <c r="K22" s="1032">
        <v>22</v>
      </c>
      <c r="L22" s="1032">
        <v>23</v>
      </c>
      <c r="M22" s="1032">
        <v>24</v>
      </c>
      <c r="N22" s="1032">
        <v>25</v>
      </c>
      <c r="O22" s="1032">
        <v>26</v>
      </c>
      <c r="P22" s="1032">
        <v>27</v>
      </c>
    </row>
    <row r="23" spans="1:18">
      <c r="B23" s="1033" t="s">
        <v>1499</v>
      </c>
      <c r="C23" s="397" t="s">
        <v>1522</v>
      </c>
      <c r="D23" s="397">
        <f t="shared" ref="D23:H23" si="38">D7</f>
        <v>1.8</v>
      </c>
      <c r="E23" s="397">
        <f t="shared" si="38"/>
        <v>0.6</v>
      </c>
      <c r="F23" s="397">
        <f t="shared" si="38"/>
        <v>1.8</v>
      </c>
      <c r="G23" s="397">
        <f t="shared" si="38"/>
        <v>0.6</v>
      </c>
      <c r="H23" s="397">
        <f t="shared" si="38"/>
        <v>-0.9</v>
      </c>
      <c r="I23" s="397">
        <f t="shared" ref="I23:N23" si="39">I7</f>
        <v>-3.8</v>
      </c>
      <c r="J23" s="397">
        <f t="shared" si="39"/>
        <v>3.9</v>
      </c>
      <c r="K23" s="397">
        <f t="shared" si="39"/>
        <v>1.4</v>
      </c>
      <c r="L23" s="397">
        <f t="shared" si="39"/>
        <v>-0.1</v>
      </c>
      <c r="M23" s="397">
        <f t="shared" si="39"/>
        <v>0.8</v>
      </c>
      <c r="N23" s="397">
        <f t="shared" si="39"/>
        <v>0.7</v>
      </c>
      <c r="O23" s="397">
        <f t="shared" ref="O23:P23" si="40">O7</f>
        <v>0.9</v>
      </c>
      <c r="P23" s="397">
        <f t="shared" si="40"/>
        <v>1.3</v>
      </c>
    </row>
    <row r="24" spans="1:18">
      <c r="B24" s="1034" t="s">
        <v>684</v>
      </c>
      <c r="C24" s="398" t="str">
        <f t="shared" ref="C24:H24" si="41">C11</f>
        <v xml:space="preserve"> </v>
      </c>
      <c r="D24" s="398">
        <f t="shared" si="41"/>
        <v>3.2</v>
      </c>
      <c r="E24" s="398">
        <f t="shared" si="41"/>
        <v>0.8</v>
      </c>
      <c r="F24" s="398">
        <f t="shared" si="41"/>
        <v>1.6</v>
      </c>
      <c r="G24" s="398">
        <f t="shared" si="41"/>
        <v>-0.2</v>
      </c>
      <c r="H24" s="398">
        <f t="shared" si="41"/>
        <v>0.6</v>
      </c>
      <c r="I24" s="398">
        <f t="shared" ref="I24:N24" si="42">I11</f>
        <v>-3.5</v>
      </c>
      <c r="J24" s="398">
        <f t="shared" si="42"/>
        <v>3.3</v>
      </c>
      <c r="K24" s="398">
        <f t="shared" si="42"/>
        <v>2.6</v>
      </c>
      <c r="L24" s="398">
        <f t="shared" si="42"/>
        <v>0.2</v>
      </c>
      <c r="M24" s="398">
        <f t="shared" si="42"/>
        <v>0</v>
      </c>
      <c r="N24" s="398">
        <f t="shared" si="42"/>
        <v>-0.1</v>
      </c>
      <c r="O24" s="398">
        <f t="shared" ref="O24:P24" si="43">O11</f>
        <v>-0.5</v>
      </c>
      <c r="P24" s="398">
        <f t="shared" si="43"/>
        <v>-0.5</v>
      </c>
      <c r="Q24" s="239" t="s">
        <v>11</v>
      </c>
    </row>
    <row r="27" spans="1:18">
      <c r="A27" s="239" t="s">
        <v>1467</v>
      </c>
      <c r="B27" s="239" t="s">
        <v>1363</v>
      </c>
      <c r="C27" s="239" t="s">
        <v>1522</v>
      </c>
      <c r="D27" s="1056" t="s">
        <v>1521</v>
      </c>
      <c r="E27" s="1031">
        <v>16</v>
      </c>
      <c r="F27" s="1031">
        <v>17</v>
      </c>
      <c r="G27" s="1031">
        <v>18</v>
      </c>
      <c r="H27" s="1032">
        <v>19</v>
      </c>
      <c r="I27" s="1032">
        <v>20</v>
      </c>
      <c r="J27" s="1032">
        <v>21</v>
      </c>
      <c r="K27" s="1032">
        <v>22</v>
      </c>
      <c r="L27" s="1032">
        <v>23</v>
      </c>
      <c r="M27" s="1032">
        <v>24</v>
      </c>
      <c r="N27" s="1032">
        <v>25</v>
      </c>
      <c r="O27" s="1032">
        <v>26</v>
      </c>
      <c r="P27" s="1032">
        <v>27</v>
      </c>
    </row>
    <row r="28" spans="1:18">
      <c r="B28" s="1033" t="s">
        <v>1499</v>
      </c>
      <c r="C28" s="397" t="s">
        <v>1522</v>
      </c>
      <c r="D28" s="397">
        <f t="shared" ref="D28:H28" si="44">D5</f>
        <v>3.4</v>
      </c>
      <c r="E28" s="397">
        <f t="shared" si="44"/>
        <v>0.8</v>
      </c>
      <c r="F28" s="397">
        <f t="shared" si="44"/>
        <v>2</v>
      </c>
      <c r="G28" s="397">
        <f t="shared" si="44"/>
        <v>0.4</v>
      </c>
      <c r="H28" s="397">
        <f t="shared" si="44"/>
        <v>0.1</v>
      </c>
      <c r="I28" s="397">
        <f t="shared" ref="I28:N28" si="45">I5</f>
        <v>-2.9</v>
      </c>
      <c r="J28" s="397">
        <f t="shared" si="45"/>
        <v>4</v>
      </c>
      <c r="K28" s="397">
        <f t="shared" si="45"/>
        <v>2.6</v>
      </c>
      <c r="L28" s="397">
        <f t="shared" si="45"/>
        <v>4.7</v>
      </c>
      <c r="M28" s="397">
        <f t="shared" si="45"/>
        <v>3.5</v>
      </c>
      <c r="N28" s="397">
        <f t="shared" si="45"/>
        <v>3.9</v>
      </c>
      <c r="O28" s="397">
        <f t="shared" ref="O28:P28" si="46">O5</f>
        <v>2.7</v>
      </c>
      <c r="P28" s="397">
        <f t="shared" si="46"/>
        <v>3.1</v>
      </c>
    </row>
    <row r="29" spans="1:18">
      <c r="B29" s="1034" t="s">
        <v>684</v>
      </c>
      <c r="C29" s="398" t="str">
        <f t="shared" ref="C29:H29" si="47">C9</f>
        <v xml:space="preserve"> </v>
      </c>
      <c r="D29" s="398">
        <f t="shared" si="47"/>
        <v>4.9000000000000004</v>
      </c>
      <c r="E29" s="398">
        <f t="shared" si="47"/>
        <v>1</v>
      </c>
      <c r="F29" s="398">
        <f t="shared" si="47"/>
        <v>1.4</v>
      </c>
      <c r="G29" s="398">
        <f t="shared" si="47"/>
        <v>-0.2</v>
      </c>
      <c r="H29" s="398">
        <f t="shared" si="47"/>
        <v>1.1000000000000001</v>
      </c>
      <c r="I29" s="398">
        <f t="shared" ref="I29:N29" si="48">I9</f>
        <v>-2.6</v>
      </c>
      <c r="J29" s="398">
        <f t="shared" si="48"/>
        <v>3.2</v>
      </c>
      <c r="K29" s="398">
        <f t="shared" si="48"/>
        <v>3.4</v>
      </c>
      <c r="L29" s="398">
        <f t="shared" si="48"/>
        <v>2.7</v>
      </c>
      <c r="M29" s="398">
        <f t="shared" si="48"/>
        <v>3.2</v>
      </c>
      <c r="N29" s="398">
        <f t="shared" si="48"/>
        <v>3.4</v>
      </c>
      <c r="O29" s="398">
        <f t="shared" ref="O29:P29" si="49">O9</f>
        <v>1.3</v>
      </c>
      <c r="P29" s="398">
        <f t="shared" si="49"/>
        <v>1.5</v>
      </c>
    </row>
  </sheetData>
  <mergeCells count="1">
    <mergeCell ref="A2:B3"/>
  </mergeCells>
  <phoneticPr fontId="13"/>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3">
    <tabColor indexed="43"/>
  </sheetPr>
  <dimension ref="A1:X124"/>
  <sheetViews>
    <sheetView workbookViewId="0">
      <pane xSplit="2" ySplit="4" topLeftCell="P68" activePane="bottomRight" state="frozen"/>
      <selection pane="topRight" activeCell="C1" sqref="C1"/>
      <selection pane="bottomLeft" activeCell="A5" sqref="A5"/>
      <selection pane="bottomRight" activeCell="U70" sqref="U70:X70"/>
    </sheetView>
  </sheetViews>
  <sheetFormatPr defaultColWidth="8.7109375" defaultRowHeight="13"/>
  <cols>
    <col min="1" max="1" width="3.2109375" style="75" customWidth="1"/>
    <col min="2" max="16384" width="8.7109375" style="75"/>
  </cols>
  <sheetData>
    <row r="1" spans="1:24">
      <c r="B1" s="65" t="s">
        <v>759</v>
      </c>
      <c r="C1" s="74"/>
      <c r="G1" s="74" t="s">
        <v>351</v>
      </c>
      <c r="R1" s="628"/>
      <c r="S1" s="935"/>
      <c r="U1" s="935" t="s">
        <v>948</v>
      </c>
      <c r="V1" s="75" t="s">
        <v>14</v>
      </c>
      <c r="W1" s="75" t="s">
        <v>14</v>
      </c>
      <c r="X1" s="75" t="s">
        <v>14</v>
      </c>
    </row>
    <row r="2" spans="1:24">
      <c r="A2" s="728"/>
      <c r="B2" s="729" t="s">
        <v>319</v>
      </c>
      <c r="C2" s="83">
        <v>2006</v>
      </c>
      <c r="D2" s="83">
        <v>2007</v>
      </c>
      <c r="E2" s="83">
        <v>2008</v>
      </c>
      <c r="F2" s="83">
        <v>2009</v>
      </c>
      <c r="G2" s="83">
        <v>2010</v>
      </c>
      <c r="H2" s="83">
        <v>2011</v>
      </c>
      <c r="I2" s="804">
        <v>2012</v>
      </c>
      <c r="J2" s="804">
        <v>2013</v>
      </c>
      <c r="K2" s="804">
        <v>2014</v>
      </c>
      <c r="L2" s="804">
        <v>2015</v>
      </c>
      <c r="M2" s="804">
        <v>2016</v>
      </c>
      <c r="N2" s="804">
        <v>2017</v>
      </c>
      <c r="O2" s="804">
        <v>2018</v>
      </c>
      <c r="P2" s="804">
        <v>2019</v>
      </c>
      <c r="Q2" s="804">
        <v>2020</v>
      </c>
      <c r="R2" s="804">
        <v>2021</v>
      </c>
      <c r="S2" s="804">
        <v>2022</v>
      </c>
      <c r="T2" s="804">
        <v>2023</v>
      </c>
      <c r="U2" s="804">
        <v>2024</v>
      </c>
      <c r="V2" s="804">
        <v>2025</v>
      </c>
      <c r="W2" s="804">
        <v>2026</v>
      </c>
      <c r="X2" s="476">
        <v>2027</v>
      </c>
    </row>
    <row r="3" spans="1:24">
      <c r="A3" s="730"/>
      <c r="B3" s="730"/>
      <c r="C3" s="77" t="s">
        <v>369</v>
      </c>
      <c r="D3" s="77" t="s">
        <v>370</v>
      </c>
      <c r="E3" s="77" t="s">
        <v>858</v>
      </c>
      <c r="F3" s="77" t="s">
        <v>859</v>
      </c>
      <c r="G3" s="77" t="s">
        <v>912</v>
      </c>
      <c r="H3" s="77" t="s">
        <v>101</v>
      </c>
      <c r="I3" s="75" t="s">
        <v>118</v>
      </c>
      <c r="J3" s="75" t="s">
        <v>119</v>
      </c>
      <c r="K3" s="75" t="s">
        <v>67</v>
      </c>
      <c r="L3" s="75" t="s">
        <v>157</v>
      </c>
      <c r="M3" s="75" t="s">
        <v>1000</v>
      </c>
      <c r="N3" s="75" t="s">
        <v>1036</v>
      </c>
      <c r="O3" s="75" t="s">
        <v>1062</v>
      </c>
      <c r="P3" s="75" t="s">
        <v>1161</v>
      </c>
      <c r="Q3" s="75" t="s">
        <v>1129</v>
      </c>
      <c r="R3" s="75" t="s">
        <v>1160</v>
      </c>
      <c r="S3" s="75" t="s">
        <v>1200</v>
      </c>
      <c r="T3" s="75" t="s">
        <v>1234</v>
      </c>
      <c r="U3" s="75" t="s">
        <v>1561</v>
      </c>
      <c r="V3" s="75" t="s">
        <v>1603</v>
      </c>
      <c r="W3" s="75" t="s">
        <v>1745</v>
      </c>
      <c r="X3" s="491" t="s">
        <v>1783</v>
      </c>
    </row>
    <row r="4" spans="1:24">
      <c r="A4" s="731"/>
      <c r="B4" s="731" t="s">
        <v>320</v>
      </c>
      <c r="C4" s="259"/>
      <c r="D4" s="259" t="s">
        <v>672</v>
      </c>
      <c r="E4" s="259" t="s">
        <v>672</v>
      </c>
      <c r="F4" s="259" t="s">
        <v>672</v>
      </c>
      <c r="G4" s="259" t="s">
        <v>672</v>
      </c>
      <c r="H4" s="259" t="s">
        <v>672</v>
      </c>
      <c r="I4" s="132"/>
      <c r="J4" s="132"/>
      <c r="K4" s="132"/>
      <c r="L4" s="132"/>
      <c r="M4" s="132"/>
      <c r="N4" s="132"/>
      <c r="O4" s="132"/>
      <c r="P4" s="132"/>
      <c r="Q4" s="132"/>
      <c r="R4" s="132"/>
      <c r="S4" s="132"/>
      <c r="T4" s="132"/>
      <c r="X4" s="477"/>
    </row>
    <row r="5" spans="1:24">
      <c r="A5" s="895" t="s">
        <v>1334</v>
      </c>
      <c r="B5" s="732"/>
      <c r="C5" s="382">
        <f>名目県内総支出!H57</f>
        <v>1453727.8889996887</v>
      </c>
      <c r="D5" s="382">
        <f>名目県内総支出!I57</f>
        <v>1342336.8899492212</v>
      </c>
      <c r="E5" s="382">
        <f>名目県内総支出!J57</f>
        <v>1447470.1546114476</v>
      </c>
      <c r="F5" s="382">
        <f>名目県内総支出!K57</f>
        <v>1393086.7710082817</v>
      </c>
      <c r="G5" s="382">
        <f>名目県内総支出!L57</f>
        <v>1456495.0757567242</v>
      </c>
      <c r="H5" s="382">
        <f>名目県内総支出!M57</f>
        <v>1423245.7470161011</v>
      </c>
      <c r="I5" s="733">
        <f>名目県内総支出!N57</f>
        <v>1291007.4956402942</v>
      </c>
      <c r="J5" s="733">
        <f>名目県内総支出!O57</f>
        <v>1234729.3709376652</v>
      </c>
      <c r="K5" s="733">
        <f>名目県内総支出!P57</f>
        <v>1316785.360226332</v>
      </c>
      <c r="L5" s="733">
        <f>名目県内総支出!Q57</f>
        <v>1195787.5811010883</v>
      </c>
      <c r="M5" s="733">
        <f>名目県内総支出!R57</f>
        <v>1344059.9495526401</v>
      </c>
      <c r="N5" s="733">
        <f>名目県内総支出!S57</f>
        <v>1359885.2801268832</v>
      </c>
      <c r="O5" s="733">
        <f>名目県内総支出!T57</f>
        <v>1321097.1642414392</v>
      </c>
      <c r="P5" s="733">
        <f>名目県内総支出!U57</f>
        <v>1304465.4834985307</v>
      </c>
      <c r="Q5" s="1137">
        <f>名目県内総支出!V57</f>
        <v>1175683</v>
      </c>
      <c r="R5" s="462">
        <f>名目県内総支出!W57</f>
        <v>1217979</v>
      </c>
      <c r="S5" s="462">
        <f>名目県内総支出!X57</f>
        <v>1379939</v>
      </c>
      <c r="T5" s="462">
        <f>名目県内総支出!Y57</f>
        <v>1517496</v>
      </c>
      <c r="U5" s="462">
        <f>名目県内総支出!Z57</f>
        <v>1576702</v>
      </c>
      <c r="V5" s="462">
        <f>名目県内総支出!AA57</f>
        <v>1650282</v>
      </c>
      <c r="W5" s="462">
        <f>名目県内総支出!AB57</f>
        <v>1692454</v>
      </c>
      <c r="X5" s="462">
        <f>名目県内総支出!AC57</f>
        <v>1740305</v>
      </c>
    </row>
    <row r="6" spans="1:24">
      <c r="A6" s="732"/>
      <c r="B6" s="732" t="s">
        <v>322</v>
      </c>
      <c r="C6" s="736">
        <f>SUM(C7:C16)</f>
        <v>1453727.8889996887</v>
      </c>
      <c r="D6" s="736">
        <f>SUM(D7:D16)</f>
        <v>1342336.8899492212</v>
      </c>
      <c r="E6" s="736">
        <f t="shared" ref="E6:J6" si="0">SUM(E7:E16)</f>
        <v>1447470.1546114476</v>
      </c>
      <c r="F6" s="736">
        <f t="shared" si="0"/>
        <v>1393086.7710082817</v>
      </c>
      <c r="G6" s="736">
        <f t="shared" si="0"/>
        <v>1456495.0757567242</v>
      </c>
      <c r="H6" s="736">
        <f t="shared" si="0"/>
        <v>1423245.7470161011</v>
      </c>
      <c r="I6" s="736">
        <f t="shared" si="0"/>
        <v>1291007.4956402942</v>
      </c>
      <c r="J6" s="736">
        <f t="shared" si="0"/>
        <v>1234729.3709376652</v>
      </c>
      <c r="K6" s="736">
        <f t="shared" ref="K6:P6" si="1">SUM(K7:K16)</f>
        <v>1316785.360226332</v>
      </c>
      <c r="L6" s="736">
        <f t="shared" si="1"/>
        <v>1195787.5811010883</v>
      </c>
      <c r="M6" s="736">
        <f t="shared" si="1"/>
        <v>1344059.9495526401</v>
      </c>
      <c r="N6" s="736">
        <f t="shared" si="1"/>
        <v>1359885.2801268832</v>
      </c>
      <c r="O6" s="736">
        <f t="shared" si="1"/>
        <v>1321097.1642414392</v>
      </c>
      <c r="P6" s="736">
        <f t="shared" si="1"/>
        <v>1304465.4834985307</v>
      </c>
      <c r="Q6" s="736">
        <f t="shared" ref="Q6:V6" si="2">SUM(Q7:Q16)</f>
        <v>1175683</v>
      </c>
      <c r="R6" s="736">
        <f t="shared" si="2"/>
        <v>1217979</v>
      </c>
      <c r="S6" s="736">
        <f t="shared" si="2"/>
        <v>1379939</v>
      </c>
      <c r="T6" s="736">
        <f t="shared" si="2"/>
        <v>1517496</v>
      </c>
      <c r="U6" s="736">
        <f t="shared" si="2"/>
        <v>1576702</v>
      </c>
      <c r="V6" s="736">
        <f t="shared" si="2"/>
        <v>1650282</v>
      </c>
      <c r="W6" s="736">
        <f t="shared" ref="W6:X6" si="3">SUM(W7:W16)</f>
        <v>1692454</v>
      </c>
      <c r="X6" s="736">
        <f t="shared" si="3"/>
        <v>1740305</v>
      </c>
    </row>
    <row r="7" spans="1:24">
      <c r="A7" s="730">
        <v>100</v>
      </c>
      <c r="B7" s="730" t="s">
        <v>172</v>
      </c>
      <c r="C7" s="733">
        <f>C18</f>
        <v>249210.88899968867</v>
      </c>
      <c r="D7" s="733">
        <f>D18</f>
        <v>195884.88994922116</v>
      </c>
      <c r="E7" s="733">
        <f t="shared" ref="E7:H8" si="4">E18</f>
        <v>209860.15461144759</v>
      </c>
      <c r="F7" s="733">
        <f t="shared" si="4"/>
        <v>194127.77100828174</v>
      </c>
      <c r="G7" s="733">
        <f t="shared" si="4"/>
        <v>190628.07575672423</v>
      </c>
      <c r="H7" s="733">
        <f t="shared" si="4"/>
        <v>209380.74701610114</v>
      </c>
      <c r="I7" s="733">
        <f t="shared" ref="I7:K8" si="5">I18</f>
        <v>230120.49564029416</v>
      </c>
      <c r="J7" s="733">
        <f t="shared" si="5"/>
        <v>220639.37093766523</v>
      </c>
      <c r="K7" s="733">
        <f t="shared" si="5"/>
        <v>170780.36022633198</v>
      </c>
      <c r="L7" s="733">
        <f t="shared" ref="L7:N8" si="6">L18</f>
        <v>244557.58110108832</v>
      </c>
      <c r="M7" s="733">
        <f t="shared" si="6"/>
        <v>242995.94955264009</v>
      </c>
      <c r="N7" s="733">
        <f t="shared" si="6"/>
        <v>205759.28012688318</v>
      </c>
      <c r="O7" s="733">
        <f t="shared" ref="O7:Q8" si="7">O18</f>
        <v>178652.1642414392</v>
      </c>
      <c r="P7" s="733">
        <f t="shared" si="7"/>
        <v>195525.4834985307</v>
      </c>
      <c r="Q7" s="733">
        <f t="shared" si="7"/>
        <v>171165</v>
      </c>
      <c r="R7" s="733">
        <f t="shared" ref="R7:T8" si="8">R18</f>
        <v>175087</v>
      </c>
      <c r="S7" s="733">
        <f t="shared" si="8"/>
        <v>202112</v>
      </c>
      <c r="T7" s="733">
        <f t="shared" si="8"/>
        <v>220450</v>
      </c>
      <c r="U7" s="733">
        <f t="shared" ref="U7:V7" si="9">U18</f>
        <v>228887</v>
      </c>
      <c r="V7" s="733">
        <f t="shared" si="9"/>
        <v>240342</v>
      </c>
      <c r="W7" s="733">
        <f t="shared" ref="W7:X7" si="10">W18</f>
        <v>246012</v>
      </c>
      <c r="X7" s="733">
        <f t="shared" si="10"/>
        <v>253018</v>
      </c>
    </row>
    <row r="8" spans="1:24">
      <c r="A8" s="730">
        <v>1</v>
      </c>
      <c r="B8" s="730" t="s">
        <v>323</v>
      </c>
      <c r="C8" s="733">
        <f>C19</f>
        <v>320898</v>
      </c>
      <c r="D8" s="733">
        <f>D19</f>
        <v>288800</v>
      </c>
      <c r="E8" s="733">
        <f t="shared" si="4"/>
        <v>392012</v>
      </c>
      <c r="F8" s="733">
        <f t="shared" si="4"/>
        <v>397721</v>
      </c>
      <c r="G8" s="733">
        <f t="shared" si="4"/>
        <v>208705</v>
      </c>
      <c r="H8" s="733">
        <f t="shared" si="4"/>
        <v>162652</v>
      </c>
      <c r="I8" s="733">
        <f t="shared" si="5"/>
        <v>116391</v>
      </c>
      <c r="J8" s="733">
        <f t="shared" si="5"/>
        <v>123196</v>
      </c>
      <c r="K8" s="733">
        <f t="shared" si="5"/>
        <v>128530</v>
      </c>
      <c r="L8" s="733">
        <f t="shared" si="6"/>
        <v>128880</v>
      </c>
      <c r="M8" s="733">
        <f t="shared" si="6"/>
        <v>134638</v>
      </c>
      <c r="N8" s="733">
        <f t="shared" si="6"/>
        <v>84190</v>
      </c>
      <c r="O8" s="733">
        <f t="shared" si="7"/>
        <v>106530</v>
      </c>
      <c r="P8" s="733">
        <f t="shared" si="7"/>
        <v>98233</v>
      </c>
      <c r="Q8" s="733">
        <f t="shared" si="7"/>
        <v>85464</v>
      </c>
      <c r="R8" s="733">
        <f t="shared" si="8"/>
        <v>92759</v>
      </c>
      <c r="S8" s="733">
        <f t="shared" si="8"/>
        <v>103127</v>
      </c>
      <c r="T8" s="733">
        <f t="shared" si="8"/>
        <v>113106</v>
      </c>
      <c r="U8" s="733">
        <f t="shared" ref="U8:V8" si="11">U19</f>
        <v>118474</v>
      </c>
      <c r="V8" s="733">
        <f t="shared" si="11"/>
        <v>123447</v>
      </c>
      <c r="W8" s="733">
        <f t="shared" ref="W8:X8" si="12">W19</f>
        <v>126641</v>
      </c>
      <c r="X8" s="733">
        <f t="shared" si="12"/>
        <v>130389</v>
      </c>
    </row>
    <row r="9" spans="1:24">
      <c r="A9" s="730">
        <v>2</v>
      </c>
      <c r="B9" s="730" t="s">
        <v>324</v>
      </c>
      <c r="C9" s="733">
        <f>C23</f>
        <v>82624</v>
      </c>
      <c r="D9" s="733">
        <f>D23</f>
        <v>78669</v>
      </c>
      <c r="E9" s="733">
        <f t="shared" ref="E9:J9" si="13">E23</f>
        <v>79293</v>
      </c>
      <c r="F9" s="733">
        <f t="shared" si="13"/>
        <v>47518</v>
      </c>
      <c r="G9" s="733">
        <f t="shared" si="13"/>
        <v>51506</v>
      </c>
      <c r="H9" s="733">
        <f t="shared" si="13"/>
        <v>73026</v>
      </c>
      <c r="I9" s="733">
        <f t="shared" si="13"/>
        <v>78042</v>
      </c>
      <c r="J9" s="733">
        <f t="shared" si="13"/>
        <v>84342</v>
      </c>
      <c r="K9" s="733">
        <f t="shared" ref="K9:P9" si="14">K23</f>
        <v>90819</v>
      </c>
      <c r="L9" s="733">
        <f t="shared" si="14"/>
        <v>97627</v>
      </c>
      <c r="M9" s="733">
        <f t="shared" si="14"/>
        <v>111815</v>
      </c>
      <c r="N9" s="733">
        <f t="shared" si="14"/>
        <v>108683</v>
      </c>
      <c r="O9" s="733">
        <f t="shared" si="14"/>
        <v>115776</v>
      </c>
      <c r="P9" s="733">
        <f t="shared" si="14"/>
        <v>111867</v>
      </c>
      <c r="Q9" s="733">
        <f t="shared" ref="Q9:V9" si="15">Q23</f>
        <v>99316</v>
      </c>
      <c r="R9" s="733">
        <f t="shared" si="15"/>
        <v>104671</v>
      </c>
      <c r="S9" s="733">
        <f t="shared" si="15"/>
        <v>117843</v>
      </c>
      <c r="T9" s="733">
        <f t="shared" si="15"/>
        <v>129402</v>
      </c>
      <c r="U9" s="733">
        <f t="shared" si="15"/>
        <v>134864</v>
      </c>
      <c r="V9" s="733">
        <f t="shared" si="15"/>
        <v>140938</v>
      </c>
      <c r="W9" s="733">
        <f t="shared" ref="W9:X9" si="16">W23</f>
        <v>144542</v>
      </c>
      <c r="X9" s="733">
        <f t="shared" si="16"/>
        <v>148705</v>
      </c>
    </row>
    <row r="10" spans="1:24">
      <c r="A10" s="730">
        <v>3</v>
      </c>
      <c r="B10" s="730" t="s">
        <v>192</v>
      </c>
      <c r="C10" s="733">
        <f>C29</f>
        <v>282949</v>
      </c>
      <c r="D10" s="733">
        <f>D29</f>
        <v>276306</v>
      </c>
      <c r="E10" s="733">
        <f t="shared" ref="E10:J10" si="17">E29</f>
        <v>351242</v>
      </c>
      <c r="F10" s="733">
        <f t="shared" si="17"/>
        <v>402901</v>
      </c>
      <c r="G10" s="733">
        <f t="shared" si="17"/>
        <v>305140</v>
      </c>
      <c r="H10" s="733">
        <f t="shared" si="17"/>
        <v>437398</v>
      </c>
      <c r="I10" s="733">
        <f t="shared" si="17"/>
        <v>352473</v>
      </c>
      <c r="J10" s="733">
        <f t="shared" si="17"/>
        <v>325560</v>
      </c>
      <c r="K10" s="733">
        <f t="shared" ref="K10:P10" si="18">K29</f>
        <v>498925</v>
      </c>
      <c r="L10" s="733">
        <f t="shared" si="18"/>
        <v>289763</v>
      </c>
      <c r="M10" s="733">
        <f t="shared" si="18"/>
        <v>356199</v>
      </c>
      <c r="N10" s="733">
        <f t="shared" si="18"/>
        <v>424458</v>
      </c>
      <c r="O10" s="733">
        <f t="shared" si="18"/>
        <v>345733</v>
      </c>
      <c r="P10" s="733">
        <f t="shared" si="18"/>
        <v>374871</v>
      </c>
      <c r="Q10" s="733">
        <f t="shared" ref="Q10:V10" si="19">Q29</f>
        <v>337498</v>
      </c>
      <c r="R10" s="733">
        <f t="shared" si="19"/>
        <v>339834</v>
      </c>
      <c r="S10" s="733">
        <f t="shared" si="19"/>
        <v>392618</v>
      </c>
      <c r="T10" s="733">
        <f t="shared" si="19"/>
        <v>430249</v>
      </c>
      <c r="U10" s="733">
        <f t="shared" si="19"/>
        <v>445200</v>
      </c>
      <c r="V10" s="733">
        <f t="shared" si="19"/>
        <v>467807</v>
      </c>
      <c r="W10" s="733">
        <f t="shared" ref="W10:X10" si="20">W29</f>
        <v>479167</v>
      </c>
      <c r="X10" s="733">
        <f t="shared" si="20"/>
        <v>492479</v>
      </c>
    </row>
    <row r="11" spans="1:24">
      <c r="A11" s="730">
        <v>4</v>
      </c>
      <c r="B11" s="730" t="s">
        <v>325</v>
      </c>
      <c r="C11" s="733">
        <f>C35</f>
        <v>82326</v>
      </c>
      <c r="D11" s="733">
        <f>D35</f>
        <v>114335</v>
      </c>
      <c r="E11" s="733">
        <f t="shared" ref="E11:J11" si="21">E35</f>
        <v>70539</v>
      </c>
      <c r="F11" s="733">
        <f t="shared" si="21"/>
        <v>52985</v>
      </c>
      <c r="G11" s="733">
        <f t="shared" si="21"/>
        <v>60593</v>
      </c>
      <c r="H11" s="733">
        <f t="shared" si="21"/>
        <v>152643</v>
      </c>
      <c r="I11" s="733">
        <f t="shared" si="21"/>
        <v>130110</v>
      </c>
      <c r="J11" s="733">
        <f t="shared" si="21"/>
        <v>125326</v>
      </c>
      <c r="K11" s="733">
        <f t="shared" ref="K11:P11" si="22">K35</f>
        <v>78828</v>
      </c>
      <c r="L11" s="733">
        <f t="shared" si="22"/>
        <v>74879</v>
      </c>
      <c r="M11" s="733">
        <f t="shared" si="22"/>
        <v>107572</v>
      </c>
      <c r="N11" s="733">
        <f t="shared" si="22"/>
        <v>96281</v>
      </c>
      <c r="O11" s="733">
        <f t="shared" si="22"/>
        <v>92285</v>
      </c>
      <c r="P11" s="733">
        <f t="shared" si="22"/>
        <v>104182</v>
      </c>
      <c r="Q11" s="733">
        <f t="shared" ref="Q11:V11" si="23">Q35</f>
        <v>86621</v>
      </c>
      <c r="R11" s="733">
        <f t="shared" si="23"/>
        <v>90864</v>
      </c>
      <c r="S11" s="733">
        <f t="shared" si="23"/>
        <v>105029</v>
      </c>
      <c r="T11" s="733">
        <f t="shared" si="23"/>
        <v>113516</v>
      </c>
      <c r="U11" s="733">
        <f t="shared" si="23"/>
        <v>118530</v>
      </c>
      <c r="V11" s="733">
        <f t="shared" si="23"/>
        <v>124377</v>
      </c>
      <c r="W11" s="733">
        <f t="shared" ref="W11:X11" si="24">W35</f>
        <v>127132</v>
      </c>
      <c r="X11" s="733">
        <f t="shared" si="24"/>
        <v>130906</v>
      </c>
    </row>
    <row r="12" spans="1:24">
      <c r="A12" s="730">
        <v>5</v>
      </c>
      <c r="B12" s="730" t="s">
        <v>326</v>
      </c>
      <c r="C12" s="733">
        <f>C42</f>
        <v>267513</v>
      </c>
      <c r="D12" s="733">
        <f>D42</f>
        <v>255451</v>
      </c>
      <c r="E12" s="733">
        <f t="shared" ref="E12:J12" si="25">E42</f>
        <v>213966</v>
      </c>
      <c r="F12" s="733">
        <f t="shared" si="25"/>
        <v>203528</v>
      </c>
      <c r="G12" s="733">
        <f t="shared" si="25"/>
        <v>513020</v>
      </c>
      <c r="H12" s="733">
        <f t="shared" si="25"/>
        <v>242775</v>
      </c>
      <c r="I12" s="733">
        <f t="shared" si="25"/>
        <v>243983</v>
      </c>
      <c r="J12" s="733">
        <f t="shared" si="25"/>
        <v>238228</v>
      </c>
      <c r="K12" s="733">
        <f t="shared" ref="K12:P12" si="26">K42</f>
        <v>207953</v>
      </c>
      <c r="L12" s="733">
        <f t="shared" si="26"/>
        <v>203139</v>
      </c>
      <c r="M12" s="733">
        <f t="shared" si="26"/>
        <v>226985</v>
      </c>
      <c r="N12" s="733">
        <f t="shared" si="26"/>
        <v>231526</v>
      </c>
      <c r="O12" s="733">
        <f t="shared" si="26"/>
        <v>337360</v>
      </c>
      <c r="P12" s="733">
        <f t="shared" si="26"/>
        <v>274414</v>
      </c>
      <c r="Q12" s="733">
        <f t="shared" ref="Q12:V12" si="27">Q42</f>
        <v>249210</v>
      </c>
      <c r="R12" s="733">
        <f t="shared" si="27"/>
        <v>274497</v>
      </c>
      <c r="S12" s="733">
        <f t="shared" si="27"/>
        <v>297837</v>
      </c>
      <c r="T12" s="733">
        <f t="shared" si="27"/>
        <v>330412</v>
      </c>
      <c r="U12" s="733">
        <f t="shared" si="27"/>
        <v>346294</v>
      </c>
      <c r="V12" s="733">
        <f t="shared" si="27"/>
        <v>359312</v>
      </c>
      <c r="W12" s="733">
        <f t="shared" ref="W12:X12" si="28">W42</f>
        <v>369573</v>
      </c>
      <c r="X12" s="733">
        <f t="shared" si="28"/>
        <v>380387</v>
      </c>
    </row>
    <row r="13" spans="1:24">
      <c r="A13" s="730">
        <v>6</v>
      </c>
      <c r="B13" s="730" t="s">
        <v>327</v>
      </c>
      <c r="C13" s="733">
        <f>C47</f>
        <v>107145</v>
      </c>
      <c r="D13" s="733">
        <f>D47</f>
        <v>77418</v>
      </c>
      <c r="E13" s="733">
        <f t="shared" ref="E13:J13" si="29">E47</f>
        <v>74021</v>
      </c>
      <c r="F13" s="733">
        <f t="shared" si="29"/>
        <v>53164</v>
      </c>
      <c r="G13" s="733">
        <f t="shared" si="29"/>
        <v>65173</v>
      </c>
      <c r="H13" s="733">
        <f t="shared" si="29"/>
        <v>77048</v>
      </c>
      <c r="I13" s="733">
        <f t="shared" si="29"/>
        <v>92399</v>
      </c>
      <c r="J13" s="733">
        <f t="shared" si="29"/>
        <v>66632</v>
      </c>
      <c r="K13" s="733">
        <f t="shared" ref="K13:P13" si="30">K47</f>
        <v>73093</v>
      </c>
      <c r="L13" s="733">
        <f t="shared" si="30"/>
        <v>80731</v>
      </c>
      <c r="M13" s="733">
        <f t="shared" si="30"/>
        <v>91802</v>
      </c>
      <c r="N13" s="733">
        <f t="shared" si="30"/>
        <v>77440</v>
      </c>
      <c r="O13" s="733">
        <f t="shared" si="30"/>
        <v>83640</v>
      </c>
      <c r="P13" s="733">
        <f t="shared" si="30"/>
        <v>88805</v>
      </c>
      <c r="Q13" s="733">
        <f t="shared" ref="Q13:V13" si="31">Q47</f>
        <v>73978</v>
      </c>
      <c r="R13" s="733">
        <f t="shared" si="31"/>
        <v>78975</v>
      </c>
      <c r="S13" s="733">
        <f t="shared" si="31"/>
        <v>90149</v>
      </c>
      <c r="T13" s="733">
        <f t="shared" si="31"/>
        <v>97685</v>
      </c>
      <c r="U13" s="733">
        <f t="shared" si="31"/>
        <v>102246</v>
      </c>
      <c r="V13" s="733">
        <f t="shared" si="31"/>
        <v>107023</v>
      </c>
      <c r="W13" s="733">
        <f t="shared" ref="W13:X13" si="32">W47</f>
        <v>109488</v>
      </c>
      <c r="X13" s="733">
        <f t="shared" si="32"/>
        <v>112767</v>
      </c>
    </row>
    <row r="14" spans="1:24">
      <c r="A14" s="730">
        <v>7</v>
      </c>
      <c r="B14" s="730" t="s">
        <v>210</v>
      </c>
      <c r="C14" s="733">
        <f>C55</f>
        <v>25875</v>
      </c>
      <c r="D14" s="733">
        <f>D55</f>
        <v>21715</v>
      </c>
      <c r="E14" s="733">
        <f t="shared" ref="E14:J14" si="33">E55</f>
        <v>19423</v>
      </c>
      <c r="F14" s="733">
        <f t="shared" si="33"/>
        <v>16032</v>
      </c>
      <c r="G14" s="733">
        <f t="shared" si="33"/>
        <v>15833</v>
      </c>
      <c r="H14" s="733">
        <f t="shared" si="33"/>
        <v>36394</v>
      </c>
      <c r="I14" s="733">
        <f t="shared" si="33"/>
        <v>21181</v>
      </c>
      <c r="J14" s="733">
        <f t="shared" si="33"/>
        <v>18855</v>
      </c>
      <c r="K14" s="733">
        <f t="shared" ref="K14:P14" si="34">K55</f>
        <v>24250</v>
      </c>
      <c r="L14" s="733">
        <f t="shared" si="34"/>
        <v>17752</v>
      </c>
      <c r="M14" s="733">
        <f t="shared" si="34"/>
        <v>25848</v>
      </c>
      <c r="N14" s="733">
        <f t="shared" si="34"/>
        <v>86040</v>
      </c>
      <c r="O14" s="733">
        <f t="shared" si="34"/>
        <v>28076</v>
      </c>
      <c r="P14" s="733">
        <f t="shared" si="34"/>
        <v>23139</v>
      </c>
      <c r="Q14" s="733">
        <f t="shared" ref="Q14:V14" si="35">Q55</f>
        <v>39549</v>
      </c>
      <c r="R14" s="733">
        <f t="shared" si="35"/>
        <v>29378</v>
      </c>
      <c r="S14" s="733">
        <f t="shared" si="35"/>
        <v>34544</v>
      </c>
      <c r="T14" s="733">
        <f t="shared" si="35"/>
        <v>41836</v>
      </c>
      <c r="U14" s="733">
        <f t="shared" si="35"/>
        <v>40320</v>
      </c>
      <c r="V14" s="733">
        <f t="shared" si="35"/>
        <v>42995</v>
      </c>
      <c r="W14" s="733">
        <f t="shared" ref="W14:X14" si="36">W55</f>
        <v>44674</v>
      </c>
      <c r="X14" s="733">
        <f t="shared" si="36"/>
        <v>45261</v>
      </c>
    </row>
    <row r="15" spans="1:24">
      <c r="A15" s="730">
        <v>8</v>
      </c>
      <c r="B15" s="730" t="s">
        <v>211</v>
      </c>
      <c r="C15" s="733">
        <f>C61</f>
        <v>20348</v>
      </c>
      <c r="D15" s="733">
        <f>D61</f>
        <v>19746</v>
      </c>
      <c r="E15" s="733">
        <f t="shared" ref="E15:J15" si="37">E61</f>
        <v>19536</v>
      </c>
      <c r="F15" s="733">
        <f t="shared" si="37"/>
        <v>9719</v>
      </c>
      <c r="G15" s="733">
        <f t="shared" si="37"/>
        <v>18192</v>
      </c>
      <c r="H15" s="733">
        <f t="shared" si="37"/>
        <v>18650</v>
      </c>
      <c r="I15" s="733">
        <f t="shared" si="37"/>
        <v>14502</v>
      </c>
      <c r="J15" s="733">
        <f t="shared" si="37"/>
        <v>17424</v>
      </c>
      <c r="K15" s="733">
        <f t="shared" ref="K15:P15" si="38">K61</f>
        <v>35695</v>
      </c>
      <c r="L15" s="733">
        <f t="shared" si="38"/>
        <v>46631</v>
      </c>
      <c r="M15" s="733">
        <f t="shared" si="38"/>
        <v>19849</v>
      </c>
      <c r="N15" s="733">
        <f t="shared" si="38"/>
        <v>19730</v>
      </c>
      <c r="O15" s="733">
        <f t="shared" si="38"/>
        <v>20736</v>
      </c>
      <c r="P15" s="733">
        <f t="shared" si="38"/>
        <v>20637</v>
      </c>
      <c r="Q15" s="733">
        <f t="shared" ref="Q15:V15" si="39">Q61</f>
        <v>18052</v>
      </c>
      <c r="R15" s="733">
        <f t="shared" si="39"/>
        <v>19033</v>
      </c>
      <c r="S15" s="733">
        <f t="shared" si="39"/>
        <v>21533</v>
      </c>
      <c r="T15" s="733">
        <f t="shared" si="39"/>
        <v>23566</v>
      </c>
      <c r="U15" s="733">
        <f t="shared" si="39"/>
        <v>24576</v>
      </c>
      <c r="V15" s="733">
        <f t="shared" si="39"/>
        <v>25701</v>
      </c>
      <c r="W15" s="733">
        <f t="shared" ref="W15:X15" si="40">W61</f>
        <v>26340</v>
      </c>
      <c r="X15" s="733">
        <f t="shared" si="40"/>
        <v>27104</v>
      </c>
    </row>
    <row r="16" spans="1:24">
      <c r="A16" s="730">
        <v>9</v>
      </c>
      <c r="B16" s="730" t="s">
        <v>212</v>
      </c>
      <c r="C16" s="733">
        <f>C64</f>
        <v>14839</v>
      </c>
      <c r="D16" s="733">
        <f>D64</f>
        <v>14012</v>
      </c>
      <c r="E16" s="733">
        <f t="shared" ref="E16:J16" si="41">E64</f>
        <v>17578</v>
      </c>
      <c r="F16" s="733">
        <f t="shared" si="41"/>
        <v>15391</v>
      </c>
      <c r="G16" s="733">
        <f t="shared" si="41"/>
        <v>27705</v>
      </c>
      <c r="H16" s="733">
        <f t="shared" si="41"/>
        <v>13279</v>
      </c>
      <c r="I16" s="733">
        <f t="shared" si="41"/>
        <v>11806</v>
      </c>
      <c r="J16" s="733">
        <f t="shared" si="41"/>
        <v>14527</v>
      </c>
      <c r="K16" s="733">
        <f t="shared" ref="K16:P16" si="42">K64</f>
        <v>7912</v>
      </c>
      <c r="L16" s="733">
        <f t="shared" si="42"/>
        <v>11828</v>
      </c>
      <c r="M16" s="733">
        <f t="shared" si="42"/>
        <v>26356</v>
      </c>
      <c r="N16" s="733">
        <f t="shared" si="42"/>
        <v>25778</v>
      </c>
      <c r="O16" s="733">
        <f t="shared" si="42"/>
        <v>12309</v>
      </c>
      <c r="P16" s="733">
        <f t="shared" si="42"/>
        <v>12792</v>
      </c>
      <c r="Q16" s="733">
        <f t="shared" ref="Q16:V16" si="43">Q64</f>
        <v>14830</v>
      </c>
      <c r="R16" s="733">
        <f t="shared" si="43"/>
        <v>12881</v>
      </c>
      <c r="S16" s="733">
        <f t="shared" si="43"/>
        <v>15147</v>
      </c>
      <c r="T16" s="733">
        <f t="shared" si="43"/>
        <v>17274</v>
      </c>
      <c r="U16" s="733">
        <f t="shared" si="43"/>
        <v>17311</v>
      </c>
      <c r="V16" s="733">
        <f t="shared" si="43"/>
        <v>18340</v>
      </c>
      <c r="W16" s="733">
        <f t="shared" ref="W16:X16" si="44">W64</f>
        <v>18885</v>
      </c>
      <c r="X16" s="733">
        <f t="shared" si="44"/>
        <v>19289</v>
      </c>
    </row>
    <row r="17" spans="1:24">
      <c r="A17" s="815" t="s">
        <v>1352</v>
      </c>
      <c r="B17" s="732"/>
      <c r="C17" s="736">
        <f>ROUND(C$5*C75/C$74,0)-C18</f>
        <v>0.11100031132809818</v>
      </c>
      <c r="D17" s="736">
        <f t="shared" ref="D17:P17" si="45">ROUND(D$5*D75/D$74,0)-D18</f>
        <v>-0.88994922116398811</v>
      </c>
      <c r="E17" s="736">
        <f t="shared" si="45"/>
        <v>-1.1546114475931972</v>
      </c>
      <c r="F17" s="736">
        <f t="shared" si="45"/>
        <v>1.2289917182642967</v>
      </c>
      <c r="G17" s="736">
        <f t="shared" si="45"/>
        <v>-7.5756724225357175E-2</v>
      </c>
      <c r="H17" s="736">
        <f t="shared" si="45"/>
        <v>1.2529838988557458</v>
      </c>
      <c r="I17" s="736">
        <f t="shared" si="45"/>
        <v>-2.4956402941606939</v>
      </c>
      <c r="J17" s="736">
        <f t="shared" si="45"/>
        <v>-0.37093766522593796</v>
      </c>
      <c r="K17" s="736">
        <f t="shared" si="45"/>
        <v>2.6397736680228263</v>
      </c>
      <c r="L17" s="736">
        <f t="shared" si="45"/>
        <v>0.41889891168102622</v>
      </c>
      <c r="M17" s="736">
        <f t="shared" si="45"/>
        <v>1.0504473599139601</v>
      </c>
      <c r="N17" s="736">
        <f t="shared" si="45"/>
        <v>-1.2801268831826746</v>
      </c>
      <c r="O17" s="736">
        <f t="shared" si="45"/>
        <v>-1.1642414391972125</v>
      </c>
      <c r="P17" s="382">
        <f t="shared" si="45"/>
        <v>-1.4834985306952149</v>
      </c>
      <c r="Q17" s="382"/>
      <c r="R17" s="382"/>
      <c r="S17" s="382"/>
      <c r="T17" s="382"/>
      <c r="U17" s="382"/>
      <c r="V17" s="382"/>
      <c r="W17" s="382"/>
      <c r="X17" s="382"/>
    </row>
    <row r="18" spans="1:24">
      <c r="A18" s="730">
        <v>100</v>
      </c>
      <c r="B18" s="730" t="s">
        <v>172</v>
      </c>
      <c r="C18" s="733">
        <f>C5-SUM(C8:C16)</f>
        <v>249210.88899968867</v>
      </c>
      <c r="D18" s="733">
        <f>D5-SUM(D8:D16)</f>
        <v>195884.88994922116</v>
      </c>
      <c r="E18" s="733">
        <f t="shared" ref="E18:J18" si="46">E5-SUM(E8:E16)</f>
        <v>209860.15461144759</v>
      </c>
      <c r="F18" s="733">
        <f t="shared" si="46"/>
        <v>194127.77100828174</v>
      </c>
      <c r="G18" s="733">
        <f t="shared" si="46"/>
        <v>190628.07575672423</v>
      </c>
      <c r="H18" s="733">
        <f t="shared" si="46"/>
        <v>209380.74701610114</v>
      </c>
      <c r="I18" s="733">
        <f t="shared" si="46"/>
        <v>230120.49564029416</v>
      </c>
      <c r="J18" s="733">
        <f t="shared" si="46"/>
        <v>220639.37093766523</v>
      </c>
      <c r="K18" s="733">
        <f t="shared" ref="K18:P18" si="47">K5-SUM(K8:K16)</f>
        <v>170780.36022633198</v>
      </c>
      <c r="L18" s="733">
        <f t="shared" si="47"/>
        <v>244557.58110108832</v>
      </c>
      <c r="M18" s="733">
        <f t="shared" si="47"/>
        <v>242995.94955264009</v>
      </c>
      <c r="N18" s="733">
        <f t="shared" si="47"/>
        <v>205759.28012688318</v>
      </c>
      <c r="O18" s="733">
        <f t="shared" si="47"/>
        <v>178652.1642414392</v>
      </c>
      <c r="P18" s="733">
        <f t="shared" si="47"/>
        <v>195525.4834985307</v>
      </c>
      <c r="Q18" s="733">
        <f t="shared" ref="Q18:V18" si="48">Q5-SUM(Q8:Q16)</f>
        <v>171165</v>
      </c>
      <c r="R18" s="733">
        <f t="shared" si="48"/>
        <v>175087</v>
      </c>
      <c r="S18" s="733">
        <f t="shared" si="48"/>
        <v>202112</v>
      </c>
      <c r="T18" s="733">
        <f t="shared" si="48"/>
        <v>220450</v>
      </c>
      <c r="U18" s="733">
        <f t="shared" si="48"/>
        <v>228887</v>
      </c>
      <c r="V18" s="733">
        <f t="shared" si="48"/>
        <v>240342</v>
      </c>
      <c r="W18" s="733">
        <f t="shared" ref="W18:X18" si="49">W5-SUM(W8:W16)</f>
        <v>246012</v>
      </c>
      <c r="X18" s="733">
        <f t="shared" si="49"/>
        <v>253018</v>
      </c>
    </row>
    <row r="19" spans="1:24">
      <c r="A19" s="728">
        <v>1</v>
      </c>
      <c r="B19" s="728" t="s">
        <v>328</v>
      </c>
      <c r="C19" s="734">
        <f>SUM(C20:C22)</f>
        <v>320898</v>
      </c>
      <c r="D19" s="734">
        <f>SUM(D20:D22)</f>
        <v>288800</v>
      </c>
      <c r="E19" s="734">
        <f t="shared" ref="E19:J19" si="50">SUM(E20:E22)</f>
        <v>392012</v>
      </c>
      <c r="F19" s="734">
        <f t="shared" si="50"/>
        <v>397721</v>
      </c>
      <c r="G19" s="734">
        <f t="shared" si="50"/>
        <v>208705</v>
      </c>
      <c r="H19" s="734">
        <f t="shared" si="50"/>
        <v>162652</v>
      </c>
      <c r="I19" s="734">
        <f t="shared" si="50"/>
        <v>116391</v>
      </c>
      <c r="J19" s="734">
        <f t="shared" si="50"/>
        <v>123196</v>
      </c>
      <c r="K19" s="734">
        <f t="shared" ref="K19:P19" si="51">SUM(K20:K22)</f>
        <v>128530</v>
      </c>
      <c r="L19" s="734">
        <f t="shared" si="51"/>
        <v>128880</v>
      </c>
      <c r="M19" s="734">
        <f t="shared" si="51"/>
        <v>134638</v>
      </c>
      <c r="N19" s="734">
        <f t="shared" si="51"/>
        <v>84190</v>
      </c>
      <c r="O19" s="734">
        <f t="shared" si="51"/>
        <v>106530</v>
      </c>
      <c r="P19" s="734">
        <f t="shared" si="51"/>
        <v>98233</v>
      </c>
      <c r="Q19" s="734">
        <f t="shared" ref="Q19:V19" si="52">SUM(Q20:Q22)</f>
        <v>85464</v>
      </c>
      <c r="R19" s="734">
        <f t="shared" si="52"/>
        <v>92759</v>
      </c>
      <c r="S19" s="734">
        <f t="shared" si="52"/>
        <v>103127</v>
      </c>
      <c r="T19" s="734">
        <f t="shared" si="52"/>
        <v>113106</v>
      </c>
      <c r="U19" s="734">
        <f t="shared" si="52"/>
        <v>118474</v>
      </c>
      <c r="V19" s="734">
        <f t="shared" si="52"/>
        <v>123447</v>
      </c>
      <c r="W19" s="734">
        <f t="shared" ref="W19:X19" si="53">SUM(W20:W22)</f>
        <v>126641</v>
      </c>
      <c r="X19" s="734">
        <f t="shared" si="53"/>
        <v>130389</v>
      </c>
    </row>
    <row r="20" spans="1:24">
      <c r="A20" s="730">
        <v>202</v>
      </c>
      <c r="B20" s="730" t="s">
        <v>183</v>
      </c>
      <c r="C20" s="733">
        <f t="shared" ref="C20:D22" si="54">ROUND(C$5*C77/C$74,0)</f>
        <v>298843</v>
      </c>
      <c r="D20" s="733">
        <f t="shared" si="54"/>
        <v>268485</v>
      </c>
      <c r="E20" s="733">
        <f t="shared" ref="E20:F22" si="55">ROUND(E$5*E77/E$74,0)</f>
        <v>371983</v>
      </c>
      <c r="F20" s="733">
        <f t="shared" si="55"/>
        <v>382005</v>
      </c>
      <c r="G20" s="733">
        <f t="shared" ref="G20:H22" si="56">ROUND(G$5*G77/G$74,0)</f>
        <v>188362</v>
      </c>
      <c r="H20" s="733">
        <f t="shared" si="56"/>
        <v>147000</v>
      </c>
      <c r="I20" s="733">
        <f t="shared" ref="I20:J22" si="57">ROUND(I$5*I77/I$74,0)</f>
        <v>98126</v>
      </c>
      <c r="J20" s="733">
        <f t="shared" si="57"/>
        <v>107319</v>
      </c>
      <c r="K20" s="733">
        <f t="shared" ref="K20:L22" si="58">ROUND(K$5*K77/K$74,0)</f>
        <v>113883</v>
      </c>
      <c r="L20" s="733">
        <f t="shared" si="58"/>
        <v>114139</v>
      </c>
      <c r="M20" s="733">
        <f t="shared" ref="M20:N22" si="59">ROUND(M$5*M77/M$74,0)</f>
        <v>117282</v>
      </c>
      <c r="N20" s="733">
        <f t="shared" si="59"/>
        <v>72364</v>
      </c>
      <c r="O20" s="733">
        <f t="shared" ref="O20:P22" si="60">ROUND(O$5*O77/O$74,0)</f>
        <v>89203</v>
      </c>
      <c r="P20" s="733">
        <f t="shared" si="60"/>
        <v>85391</v>
      </c>
      <c r="Q20" s="733">
        <f t="shared" ref="Q20:R22" si="61">ROUND(Q$5*Q77/Q$74,0)</f>
        <v>73080</v>
      </c>
      <c r="R20" s="733">
        <f t="shared" si="61"/>
        <v>79209</v>
      </c>
      <c r="S20" s="733">
        <f t="shared" ref="S20:T22" si="62">ROUND(S$5*S77/S$74,0)</f>
        <v>88650</v>
      </c>
      <c r="T20" s="733">
        <f t="shared" si="62"/>
        <v>96844</v>
      </c>
      <c r="U20" s="733">
        <f t="shared" ref="U20:V20" si="63">ROUND(U$5*U77/U$74,0)</f>
        <v>101483</v>
      </c>
      <c r="V20" s="733">
        <f t="shared" si="63"/>
        <v>105853</v>
      </c>
      <c r="W20" s="733">
        <f t="shared" ref="W20:X20" si="64">ROUND(W$5*W77/W$74,0)</f>
        <v>108501</v>
      </c>
      <c r="X20" s="733">
        <f t="shared" si="64"/>
        <v>111736</v>
      </c>
    </row>
    <row r="21" spans="1:24">
      <c r="A21" s="730">
        <v>204</v>
      </c>
      <c r="B21" s="730" t="s">
        <v>184</v>
      </c>
      <c r="C21" s="733">
        <f t="shared" si="54"/>
        <v>22055</v>
      </c>
      <c r="D21" s="733">
        <f t="shared" si="54"/>
        <v>20284</v>
      </c>
      <c r="E21" s="733">
        <f t="shared" si="55"/>
        <v>20029</v>
      </c>
      <c r="F21" s="733">
        <f t="shared" si="55"/>
        <v>15716</v>
      </c>
      <c r="G21" s="733">
        <f t="shared" si="56"/>
        <v>20322</v>
      </c>
      <c r="H21" s="733">
        <f t="shared" si="56"/>
        <v>15523</v>
      </c>
      <c r="I21" s="733">
        <f t="shared" si="57"/>
        <v>18047</v>
      </c>
      <c r="J21" s="733">
        <f t="shared" si="57"/>
        <v>15739</v>
      </c>
      <c r="K21" s="733">
        <f t="shared" si="58"/>
        <v>14514</v>
      </c>
      <c r="L21" s="733">
        <f t="shared" si="58"/>
        <v>14689</v>
      </c>
      <c r="M21" s="733">
        <f t="shared" si="59"/>
        <v>17302</v>
      </c>
      <c r="N21" s="733">
        <f t="shared" si="59"/>
        <v>11819</v>
      </c>
      <c r="O21" s="733">
        <f t="shared" si="60"/>
        <v>17261</v>
      </c>
      <c r="P21" s="733">
        <f t="shared" si="60"/>
        <v>12809</v>
      </c>
      <c r="Q21" s="733">
        <f t="shared" si="61"/>
        <v>12353</v>
      </c>
      <c r="R21" s="733">
        <f t="shared" si="61"/>
        <v>13509</v>
      </c>
      <c r="S21" s="733">
        <f t="shared" si="62"/>
        <v>14438</v>
      </c>
      <c r="T21" s="733">
        <f t="shared" si="62"/>
        <v>16217</v>
      </c>
      <c r="U21" s="733">
        <f t="shared" ref="U21:V21" si="65">ROUND(U$5*U78/U$74,0)</f>
        <v>16943</v>
      </c>
      <c r="V21" s="733">
        <f t="shared" si="65"/>
        <v>17545</v>
      </c>
      <c r="W21" s="733">
        <f t="shared" ref="W21:X21" si="66">ROUND(W$5*W78/W$74,0)</f>
        <v>18089</v>
      </c>
      <c r="X21" s="733">
        <f t="shared" si="66"/>
        <v>18601</v>
      </c>
    </row>
    <row r="22" spans="1:24">
      <c r="A22" s="731">
        <v>206</v>
      </c>
      <c r="B22" s="731" t="s">
        <v>185</v>
      </c>
      <c r="C22" s="733">
        <f t="shared" si="54"/>
        <v>0</v>
      </c>
      <c r="D22" s="733">
        <f t="shared" si="54"/>
        <v>31</v>
      </c>
      <c r="E22" s="733">
        <f t="shared" si="55"/>
        <v>0</v>
      </c>
      <c r="F22" s="733">
        <f t="shared" si="55"/>
        <v>0</v>
      </c>
      <c r="G22" s="733">
        <f t="shared" si="56"/>
        <v>21</v>
      </c>
      <c r="H22" s="733">
        <f t="shared" si="56"/>
        <v>129</v>
      </c>
      <c r="I22" s="733">
        <f t="shared" si="57"/>
        <v>218</v>
      </c>
      <c r="J22" s="733">
        <f t="shared" si="57"/>
        <v>138</v>
      </c>
      <c r="K22" s="733">
        <f t="shared" si="58"/>
        <v>133</v>
      </c>
      <c r="L22" s="733">
        <f t="shared" si="58"/>
        <v>52</v>
      </c>
      <c r="M22" s="733">
        <f t="shared" si="59"/>
        <v>54</v>
      </c>
      <c r="N22" s="733">
        <f t="shared" si="59"/>
        <v>7</v>
      </c>
      <c r="O22" s="733">
        <f t="shared" si="60"/>
        <v>66</v>
      </c>
      <c r="P22" s="733">
        <f t="shared" si="60"/>
        <v>33</v>
      </c>
      <c r="Q22" s="733">
        <f t="shared" si="61"/>
        <v>31</v>
      </c>
      <c r="R22" s="733">
        <f t="shared" si="61"/>
        <v>41</v>
      </c>
      <c r="S22" s="733">
        <f t="shared" si="62"/>
        <v>39</v>
      </c>
      <c r="T22" s="733">
        <f t="shared" si="62"/>
        <v>45</v>
      </c>
      <c r="U22" s="733">
        <f t="shared" ref="U22:V22" si="67">ROUND(U$5*U79/U$74,0)</f>
        <v>48</v>
      </c>
      <c r="V22" s="733">
        <f t="shared" si="67"/>
        <v>49</v>
      </c>
      <c r="W22" s="733">
        <f t="shared" ref="W22:X22" si="68">ROUND(W$5*W79/W$74,0)</f>
        <v>51</v>
      </c>
      <c r="X22" s="733">
        <f t="shared" si="68"/>
        <v>52</v>
      </c>
    </row>
    <row r="23" spans="1:24">
      <c r="A23" s="730">
        <v>2</v>
      </c>
      <c r="B23" s="730" t="s">
        <v>324</v>
      </c>
      <c r="C23" s="734">
        <f>SUM(C24:C28)</f>
        <v>82624</v>
      </c>
      <c r="D23" s="734">
        <f>SUM(D24:D28)</f>
        <v>78669</v>
      </c>
      <c r="E23" s="734">
        <f t="shared" ref="E23:J23" si="69">SUM(E24:E28)</f>
        <v>79293</v>
      </c>
      <c r="F23" s="734">
        <f t="shared" si="69"/>
        <v>47518</v>
      </c>
      <c r="G23" s="734">
        <f t="shared" si="69"/>
        <v>51506</v>
      </c>
      <c r="H23" s="734">
        <f t="shared" si="69"/>
        <v>73026</v>
      </c>
      <c r="I23" s="734">
        <f t="shared" si="69"/>
        <v>78042</v>
      </c>
      <c r="J23" s="734">
        <f t="shared" si="69"/>
        <v>84342</v>
      </c>
      <c r="K23" s="734">
        <f t="shared" ref="K23:P23" si="70">SUM(K24:K28)</f>
        <v>90819</v>
      </c>
      <c r="L23" s="734">
        <f t="shared" si="70"/>
        <v>97627</v>
      </c>
      <c r="M23" s="734">
        <f t="shared" si="70"/>
        <v>111815</v>
      </c>
      <c r="N23" s="734">
        <f t="shared" si="70"/>
        <v>108683</v>
      </c>
      <c r="O23" s="734">
        <f t="shared" si="70"/>
        <v>115776</v>
      </c>
      <c r="P23" s="734">
        <f t="shared" si="70"/>
        <v>111867</v>
      </c>
      <c r="Q23" s="734">
        <f t="shared" ref="Q23:V23" si="71">SUM(Q24:Q28)</f>
        <v>99316</v>
      </c>
      <c r="R23" s="734">
        <f t="shared" si="71"/>
        <v>104671</v>
      </c>
      <c r="S23" s="734">
        <f t="shared" si="71"/>
        <v>117843</v>
      </c>
      <c r="T23" s="734">
        <f t="shared" si="71"/>
        <v>129402</v>
      </c>
      <c r="U23" s="734">
        <f t="shared" si="71"/>
        <v>134864</v>
      </c>
      <c r="V23" s="734">
        <f t="shared" si="71"/>
        <v>140938</v>
      </c>
      <c r="W23" s="734">
        <f t="shared" ref="W23:X23" si="72">SUM(W24:W28)</f>
        <v>144542</v>
      </c>
      <c r="X23" s="734">
        <f t="shared" si="72"/>
        <v>148705</v>
      </c>
    </row>
    <row r="24" spans="1:24">
      <c r="A24" s="730">
        <v>207</v>
      </c>
      <c r="B24" s="730" t="s">
        <v>187</v>
      </c>
      <c r="C24" s="733">
        <f t="shared" ref="C24:D28" si="73">ROUND(C$5*C81/C$74,0)</f>
        <v>51358</v>
      </c>
      <c r="D24" s="733">
        <f t="shared" si="73"/>
        <v>47646</v>
      </c>
      <c r="E24" s="733">
        <f t="shared" ref="E24:F28" si="74">ROUND(E$5*E81/E$74,0)</f>
        <v>46926</v>
      </c>
      <c r="F24" s="733">
        <f t="shared" si="74"/>
        <v>27057</v>
      </c>
      <c r="G24" s="733">
        <f t="shared" ref="G24:H28" si="75">ROUND(G$5*G81/G$74,0)</f>
        <v>25550</v>
      </c>
      <c r="H24" s="733">
        <f t="shared" si="75"/>
        <v>47008</v>
      </c>
      <c r="I24" s="733">
        <f t="shared" ref="I24:J28" si="76">ROUND(I$5*I81/I$74,0)</f>
        <v>43379</v>
      </c>
      <c r="J24" s="733">
        <f t="shared" si="76"/>
        <v>56570</v>
      </c>
      <c r="K24" s="733">
        <f t="shared" ref="K24:L28" si="77">ROUND(K$5*K81/K$74,0)</f>
        <v>50803</v>
      </c>
      <c r="L24" s="733">
        <f t="shared" si="77"/>
        <v>63565</v>
      </c>
      <c r="M24" s="733">
        <f t="shared" ref="M24:N28" si="78">ROUND(M$5*M81/M$74,0)</f>
        <v>65882</v>
      </c>
      <c r="N24" s="733">
        <f t="shared" si="78"/>
        <v>61185</v>
      </c>
      <c r="O24" s="733">
        <f t="shared" ref="O24:P28" si="79">ROUND(O$5*O81/O$74,0)</f>
        <v>60459</v>
      </c>
      <c r="P24" s="733">
        <f t="shared" si="79"/>
        <v>63866</v>
      </c>
      <c r="Q24" s="733">
        <f t="shared" ref="Q24:R28" si="80">ROUND(Q$5*Q81/Q$74,0)</f>
        <v>54830</v>
      </c>
      <c r="R24" s="733">
        <f t="shared" si="80"/>
        <v>57445</v>
      </c>
      <c r="S24" s="733">
        <f t="shared" ref="S24:T28" si="81">ROUND(S$5*S81/S$74,0)</f>
        <v>65698</v>
      </c>
      <c r="T24" s="733">
        <f t="shared" si="81"/>
        <v>71535</v>
      </c>
      <c r="U24" s="733">
        <f t="shared" ref="U24:V24" si="82">ROUND(U$5*U81/U$74,0)</f>
        <v>74587</v>
      </c>
      <c r="V24" s="733">
        <f t="shared" si="82"/>
        <v>78145</v>
      </c>
      <c r="W24" s="733">
        <f t="shared" ref="W24:X24" si="83">ROUND(W$5*W81/W$74,0)</f>
        <v>79996</v>
      </c>
      <c r="X24" s="733">
        <f t="shared" si="83"/>
        <v>82331</v>
      </c>
    </row>
    <row r="25" spans="1:24">
      <c r="A25" s="730">
        <v>214</v>
      </c>
      <c r="B25" s="730" t="s">
        <v>188</v>
      </c>
      <c r="C25" s="733">
        <f t="shared" si="73"/>
        <v>1493</v>
      </c>
      <c r="D25" s="733">
        <f t="shared" si="73"/>
        <v>2987</v>
      </c>
      <c r="E25" s="733">
        <f t="shared" si="74"/>
        <v>3513</v>
      </c>
      <c r="F25" s="733">
        <f t="shared" si="74"/>
        <v>896</v>
      </c>
      <c r="G25" s="733">
        <f t="shared" si="75"/>
        <v>2614</v>
      </c>
      <c r="H25" s="733">
        <f t="shared" si="75"/>
        <v>2394</v>
      </c>
      <c r="I25" s="733">
        <f t="shared" si="76"/>
        <v>2727</v>
      </c>
      <c r="J25" s="733">
        <f t="shared" si="76"/>
        <v>4195</v>
      </c>
      <c r="K25" s="733">
        <f t="shared" si="77"/>
        <v>3394</v>
      </c>
      <c r="L25" s="733">
        <f t="shared" si="77"/>
        <v>2122</v>
      </c>
      <c r="M25" s="733">
        <f t="shared" si="78"/>
        <v>1967</v>
      </c>
      <c r="N25" s="733">
        <f t="shared" si="78"/>
        <v>5963</v>
      </c>
      <c r="O25" s="733">
        <f t="shared" si="79"/>
        <v>3309</v>
      </c>
      <c r="P25" s="733">
        <f t="shared" si="79"/>
        <v>5316</v>
      </c>
      <c r="Q25" s="733">
        <f t="shared" si="80"/>
        <v>4310</v>
      </c>
      <c r="R25" s="733">
        <f t="shared" si="80"/>
        <v>4184</v>
      </c>
      <c r="S25" s="733">
        <f t="shared" si="81"/>
        <v>5148</v>
      </c>
      <c r="T25" s="733">
        <f t="shared" si="81"/>
        <v>5480</v>
      </c>
      <c r="U25" s="733">
        <f t="shared" ref="U25:V25" si="84">ROUND(U$5*U82/U$74,0)</f>
        <v>5665</v>
      </c>
      <c r="V25" s="733">
        <f t="shared" si="84"/>
        <v>6015</v>
      </c>
      <c r="W25" s="733">
        <f t="shared" ref="W25:X25" si="85">ROUND(W$5*W82/W$74,0)</f>
        <v>6120</v>
      </c>
      <c r="X25" s="733">
        <f t="shared" si="85"/>
        <v>6297</v>
      </c>
    </row>
    <row r="26" spans="1:24">
      <c r="A26" s="730">
        <v>217</v>
      </c>
      <c r="B26" s="730" t="s">
        <v>189</v>
      </c>
      <c r="C26" s="733">
        <f t="shared" si="73"/>
        <v>3069</v>
      </c>
      <c r="D26" s="733">
        <f t="shared" si="73"/>
        <v>3999</v>
      </c>
      <c r="E26" s="733">
        <f t="shared" si="74"/>
        <v>2508</v>
      </c>
      <c r="F26" s="733">
        <f t="shared" si="74"/>
        <v>2825</v>
      </c>
      <c r="G26" s="733">
        <f t="shared" si="75"/>
        <v>816</v>
      </c>
      <c r="H26" s="733">
        <f t="shared" si="75"/>
        <v>1387</v>
      </c>
      <c r="I26" s="733">
        <f t="shared" si="76"/>
        <v>2794</v>
      </c>
      <c r="J26" s="733">
        <f t="shared" si="76"/>
        <v>2753</v>
      </c>
      <c r="K26" s="733">
        <f t="shared" si="77"/>
        <v>4377</v>
      </c>
      <c r="L26" s="733">
        <f t="shared" si="77"/>
        <v>3237</v>
      </c>
      <c r="M26" s="733">
        <f t="shared" si="78"/>
        <v>2795</v>
      </c>
      <c r="N26" s="733">
        <f t="shared" si="78"/>
        <v>5212</v>
      </c>
      <c r="O26" s="733">
        <f t="shared" si="79"/>
        <v>5119</v>
      </c>
      <c r="P26" s="733">
        <f t="shared" si="79"/>
        <v>3158</v>
      </c>
      <c r="Q26" s="733">
        <f t="shared" si="80"/>
        <v>3939</v>
      </c>
      <c r="R26" s="733">
        <f t="shared" si="80"/>
        <v>3892</v>
      </c>
      <c r="S26" s="733">
        <f t="shared" si="81"/>
        <v>4112</v>
      </c>
      <c r="T26" s="733">
        <f t="shared" si="81"/>
        <v>4816</v>
      </c>
      <c r="U26" s="733">
        <f t="shared" ref="U26:V26" si="86">ROUND(U$5*U83/U$74,0)</f>
        <v>4913</v>
      </c>
      <c r="V26" s="733">
        <f t="shared" si="86"/>
        <v>5099</v>
      </c>
      <c r="W26" s="733">
        <f t="shared" ref="W26:X26" si="87">ROUND(W$5*W83/W$74,0)</f>
        <v>5291</v>
      </c>
      <c r="X26" s="733">
        <f t="shared" si="87"/>
        <v>5413</v>
      </c>
    </row>
    <row r="27" spans="1:24">
      <c r="A27" s="730">
        <v>219</v>
      </c>
      <c r="B27" s="730" t="s">
        <v>190</v>
      </c>
      <c r="C27" s="733">
        <f t="shared" si="73"/>
        <v>24832</v>
      </c>
      <c r="D27" s="733">
        <f t="shared" si="73"/>
        <v>23343</v>
      </c>
      <c r="E27" s="733">
        <f t="shared" si="74"/>
        <v>26083</v>
      </c>
      <c r="F27" s="733">
        <f t="shared" si="74"/>
        <v>16587</v>
      </c>
      <c r="G27" s="733">
        <f t="shared" si="75"/>
        <v>21729</v>
      </c>
      <c r="H27" s="733">
        <f t="shared" si="75"/>
        <v>21489</v>
      </c>
      <c r="I27" s="733">
        <f t="shared" si="76"/>
        <v>29017</v>
      </c>
      <c r="J27" s="733">
        <f t="shared" si="76"/>
        <v>20624</v>
      </c>
      <c r="K27" s="733">
        <f t="shared" si="77"/>
        <v>31643</v>
      </c>
      <c r="L27" s="733">
        <f t="shared" si="77"/>
        <v>27992</v>
      </c>
      <c r="M27" s="733">
        <f t="shared" si="78"/>
        <v>40975</v>
      </c>
      <c r="N27" s="733">
        <f t="shared" si="78"/>
        <v>34221</v>
      </c>
      <c r="O27" s="733">
        <f t="shared" si="79"/>
        <v>46106</v>
      </c>
      <c r="P27" s="733">
        <f t="shared" si="79"/>
        <v>39338</v>
      </c>
      <c r="Q27" s="733">
        <f t="shared" si="80"/>
        <v>35362</v>
      </c>
      <c r="R27" s="733">
        <f t="shared" si="80"/>
        <v>38557</v>
      </c>
      <c r="S27" s="733">
        <f t="shared" si="81"/>
        <v>42260</v>
      </c>
      <c r="T27" s="733">
        <f t="shared" si="81"/>
        <v>46720</v>
      </c>
      <c r="U27" s="733">
        <f t="shared" ref="U27:V27" si="88">ROUND(U$5*U84/U$74,0)</f>
        <v>48911</v>
      </c>
      <c r="V27" s="733">
        <f t="shared" si="88"/>
        <v>50847</v>
      </c>
      <c r="W27" s="733">
        <f t="shared" ref="W27:X27" si="89">ROUND(W$5*W84/W$74,0)</f>
        <v>52252</v>
      </c>
      <c r="X27" s="733">
        <f t="shared" si="89"/>
        <v>53779</v>
      </c>
    </row>
    <row r="28" spans="1:24">
      <c r="A28" s="730">
        <v>301</v>
      </c>
      <c r="B28" s="730" t="s">
        <v>191</v>
      </c>
      <c r="C28" s="733">
        <f t="shared" si="73"/>
        <v>1872</v>
      </c>
      <c r="D28" s="733">
        <f t="shared" si="73"/>
        <v>694</v>
      </c>
      <c r="E28" s="733">
        <f t="shared" si="74"/>
        <v>263</v>
      </c>
      <c r="F28" s="733">
        <f t="shared" si="74"/>
        <v>153</v>
      </c>
      <c r="G28" s="733">
        <f t="shared" si="75"/>
        <v>797</v>
      </c>
      <c r="H28" s="733">
        <f t="shared" si="75"/>
        <v>748</v>
      </c>
      <c r="I28" s="733">
        <f t="shared" si="76"/>
        <v>125</v>
      </c>
      <c r="J28" s="733">
        <f t="shared" si="76"/>
        <v>200</v>
      </c>
      <c r="K28" s="733">
        <f t="shared" si="77"/>
        <v>602</v>
      </c>
      <c r="L28" s="733">
        <f t="shared" si="77"/>
        <v>711</v>
      </c>
      <c r="M28" s="733">
        <f t="shared" si="78"/>
        <v>196</v>
      </c>
      <c r="N28" s="733">
        <f t="shared" si="78"/>
        <v>2102</v>
      </c>
      <c r="O28" s="733">
        <f t="shared" si="79"/>
        <v>783</v>
      </c>
      <c r="P28" s="733">
        <f t="shared" si="79"/>
        <v>189</v>
      </c>
      <c r="Q28" s="733">
        <f t="shared" si="80"/>
        <v>875</v>
      </c>
      <c r="R28" s="733">
        <f t="shared" si="80"/>
        <v>593</v>
      </c>
      <c r="S28" s="733">
        <f t="shared" si="81"/>
        <v>625</v>
      </c>
      <c r="T28" s="733">
        <f t="shared" si="81"/>
        <v>851</v>
      </c>
      <c r="U28" s="733">
        <f t="shared" ref="U28:V28" si="90">ROUND(U$5*U85/U$74,0)</f>
        <v>788</v>
      </c>
      <c r="V28" s="733">
        <f t="shared" si="90"/>
        <v>832</v>
      </c>
      <c r="W28" s="733">
        <f t="shared" ref="W28:X28" si="91">ROUND(W$5*W85/W$74,0)</f>
        <v>883</v>
      </c>
      <c r="X28" s="733">
        <f t="shared" si="91"/>
        <v>885</v>
      </c>
    </row>
    <row r="29" spans="1:24">
      <c r="A29" s="728">
        <v>3</v>
      </c>
      <c r="B29" s="728" t="s">
        <v>192</v>
      </c>
      <c r="C29" s="734">
        <f>SUM(C30:C34)</f>
        <v>282949</v>
      </c>
      <c r="D29" s="734">
        <f>SUM(D30:D34)</f>
        <v>276306</v>
      </c>
      <c r="E29" s="734">
        <f t="shared" ref="E29:J29" si="92">SUM(E30:E34)</f>
        <v>351242</v>
      </c>
      <c r="F29" s="734">
        <f t="shared" si="92"/>
        <v>402901</v>
      </c>
      <c r="G29" s="734">
        <f t="shared" si="92"/>
        <v>305140</v>
      </c>
      <c r="H29" s="734">
        <f t="shared" si="92"/>
        <v>437398</v>
      </c>
      <c r="I29" s="734">
        <f t="shared" si="92"/>
        <v>352473</v>
      </c>
      <c r="J29" s="734">
        <f t="shared" si="92"/>
        <v>325560</v>
      </c>
      <c r="K29" s="734">
        <f t="shared" ref="K29:P29" si="93">SUM(K30:K34)</f>
        <v>498925</v>
      </c>
      <c r="L29" s="734">
        <f t="shared" si="93"/>
        <v>289763</v>
      </c>
      <c r="M29" s="734">
        <f t="shared" si="93"/>
        <v>356199</v>
      </c>
      <c r="N29" s="734">
        <f t="shared" si="93"/>
        <v>424458</v>
      </c>
      <c r="O29" s="734">
        <f t="shared" si="93"/>
        <v>345733</v>
      </c>
      <c r="P29" s="734">
        <f t="shared" si="93"/>
        <v>374871</v>
      </c>
      <c r="Q29" s="734">
        <f t="shared" ref="Q29:V29" si="94">SUM(Q30:Q34)</f>
        <v>337498</v>
      </c>
      <c r="R29" s="734">
        <f t="shared" si="94"/>
        <v>339834</v>
      </c>
      <c r="S29" s="734">
        <f t="shared" si="94"/>
        <v>392618</v>
      </c>
      <c r="T29" s="734">
        <f t="shared" si="94"/>
        <v>430249</v>
      </c>
      <c r="U29" s="734">
        <f t="shared" si="94"/>
        <v>445200</v>
      </c>
      <c r="V29" s="734">
        <f t="shared" si="94"/>
        <v>467807</v>
      </c>
      <c r="W29" s="734">
        <f t="shared" ref="W29:X29" si="95">SUM(W30:W34)</f>
        <v>479167</v>
      </c>
      <c r="X29" s="734">
        <f t="shared" si="95"/>
        <v>492479</v>
      </c>
    </row>
    <row r="30" spans="1:24">
      <c r="A30" s="730">
        <v>203</v>
      </c>
      <c r="B30" s="730" t="s">
        <v>193</v>
      </c>
      <c r="C30" s="733">
        <f t="shared" ref="C30:D34" si="96">ROUND(C$5*C87/C$74,0)</f>
        <v>56868</v>
      </c>
      <c r="D30" s="733">
        <f t="shared" si="96"/>
        <v>49052</v>
      </c>
      <c r="E30" s="733">
        <f t="shared" ref="E30:F34" si="97">ROUND(E$5*E87/E$74,0)</f>
        <v>79660</v>
      </c>
      <c r="F30" s="733">
        <f t="shared" si="97"/>
        <v>64100</v>
      </c>
      <c r="G30" s="733">
        <f t="shared" ref="G30:H34" si="98">ROUND(G$5*G87/G$74,0)</f>
        <v>59179</v>
      </c>
      <c r="H30" s="733">
        <f t="shared" si="98"/>
        <v>72419</v>
      </c>
      <c r="I30" s="733">
        <f t="shared" ref="I30:J34" si="99">ROUND(I$5*I87/I$74,0)</f>
        <v>63392</v>
      </c>
      <c r="J30" s="733">
        <f t="shared" si="99"/>
        <v>73707</v>
      </c>
      <c r="K30" s="733">
        <f t="shared" ref="K30:L34" si="100">ROUND(K$5*K87/K$74,0)</f>
        <v>89623</v>
      </c>
      <c r="L30" s="733">
        <f t="shared" si="100"/>
        <v>73318</v>
      </c>
      <c r="M30" s="733">
        <f t="shared" ref="M30:N34" si="101">ROUND(M$5*M87/M$74,0)</f>
        <v>89687</v>
      </c>
      <c r="N30" s="733">
        <f t="shared" si="101"/>
        <v>107978</v>
      </c>
      <c r="O30" s="733">
        <f t="shared" ref="O30:P34" si="102">ROUND(O$5*O87/O$74,0)</f>
        <v>89113</v>
      </c>
      <c r="P30" s="733">
        <f t="shared" si="102"/>
        <v>89307</v>
      </c>
      <c r="Q30" s="733">
        <f t="shared" ref="Q30:R34" si="103">ROUND(Q$5*Q87/Q$74,0)</f>
        <v>84275</v>
      </c>
      <c r="R30" s="733">
        <f t="shared" si="103"/>
        <v>84286</v>
      </c>
      <c r="S30" s="733">
        <f t="shared" ref="S30:T34" si="104">ROUND(S$5*S87/S$74,0)</f>
        <v>96260</v>
      </c>
      <c r="T30" s="733">
        <f t="shared" si="104"/>
        <v>106539</v>
      </c>
      <c r="U30" s="733">
        <f t="shared" ref="U30:V30" si="105">ROUND(U$5*U87/U$74,0)</f>
        <v>109931</v>
      </c>
      <c r="V30" s="733">
        <f t="shared" si="105"/>
        <v>115346</v>
      </c>
      <c r="W30" s="733">
        <f t="shared" ref="W30:X30" si="106">ROUND(W$5*W87/W$74,0)</f>
        <v>118372</v>
      </c>
      <c r="X30" s="733">
        <f t="shared" si="106"/>
        <v>121565</v>
      </c>
    </row>
    <row r="31" spans="1:24">
      <c r="A31" s="730">
        <v>210</v>
      </c>
      <c r="B31" s="730" t="s">
        <v>194</v>
      </c>
      <c r="C31" s="733">
        <f t="shared" si="96"/>
        <v>92093</v>
      </c>
      <c r="D31" s="733">
        <f t="shared" si="96"/>
        <v>98603</v>
      </c>
      <c r="E31" s="733">
        <f t="shared" si="97"/>
        <v>113097</v>
      </c>
      <c r="F31" s="733">
        <f t="shared" si="97"/>
        <v>140530</v>
      </c>
      <c r="G31" s="733">
        <f t="shared" si="98"/>
        <v>128857</v>
      </c>
      <c r="H31" s="733">
        <f t="shared" si="98"/>
        <v>236873</v>
      </c>
      <c r="I31" s="733">
        <f t="shared" si="99"/>
        <v>162876</v>
      </c>
      <c r="J31" s="733">
        <f t="shared" si="99"/>
        <v>127365</v>
      </c>
      <c r="K31" s="733">
        <f t="shared" si="100"/>
        <v>172158</v>
      </c>
      <c r="L31" s="733">
        <f t="shared" si="100"/>
        <v>104873</v>
      </c>
      <c r="M31" s="733">
        <f t="shared" si="101"/>
        <v>152699</v>
      </c>
      <c r="N31" s="733">
        <f t="shared" si="101"/>
        <v>168167</v>
      </c>
      <c r="O31" s="733">
        <f t="shared" si="102"/>
        <v>109879</v>
      </c>
      <c r="P31" s="733">
        <f t="shared" si="102"/>
        <v>103741</v>
      </c>
      <c r="Q31" s="733">
        <f t="shared" si="103"/>
        <v>111711</v>
      </c>
      <c r="R31" s="733">
        <f t="shared" si="103"/>
        <v>104523</v>
      </c>
      <c r="S31" s="733">
        <f t="shared" si="104"/>
        <v>119582</v>
      </c>
      <c r="T31" s="733">
        <f t="shared" si="104"/>
        <v>135264</v>
      </c>
      <c r="U31" s="733">
        <f t="shared" ref="U31:V31" si="107">ROUND(U$5*U88/U$74,0)</f>
        <v>137491</v>
      </c>
      <c r="V31" s="733">
        <f t="shared" si="107"/>
        <v>144665</v>
      </c>
      <c r="W31" s="733">
        <f t="shared" ref="W31:X31" si="108">ROUND(W$5*W88/W$74,0)</f>
        <v>148933</v>
      </c>
      <c r="X31" s="733">
        <f t="shared" si="108"/>
        <v>152486</v>
      </c>
    </row>
    <row r="32" spans="1:24">
      <c r="A32" s="730">
        <v>216</v>
      </c>
      <c r="B32" s="730" t="s">
        <v>195</v>
      </c>
      <c r="C32" s="733">
        <f t="shared" si="96"/>
        <v>108705</v>
      </c>
      <c r="D32" s="733">
        <f t="shared" si="96"/>
        <v>94574</v>
      </c>
      <c r="E32" s="733">
        <f t="shared" si="97"/>
        <v>124708</v>
      </c>
      <c r="F32" s="733">
        <f t="shared" si="97"/>
        <v>166450</v>
      </c>
      <c r="G32" s="733">
        <f t="shared" si="98"/>
        <v>94518</v>
      </c>
      <c r="H32" s="733">
        <f t="shared" si="98"/>
        <v>103340</v>
      </c>
      <c r="I32" s="733">
        <f t="shared" si="99"/>
        <v>100838</v>
      </c>
      <c r="J32" s="733">
        <f t="shared" si="99"/>
        <v>89456</v>
      </c>
      <c r="K32" s="733">
        <f t="shared" si="100"/>
        <v>209363</v>
      </c>
      <c r="L32" s="733">
        <f t="shared" si="100"/>
        <v>83991</v>
      </c>
      <c r="M32" s="733">
        <f t="shared" si="101"/>
        <v>86020</v>
      </c>
      <c r="N32" s="733">
        <f t="shared" si="101"/>
        <v>100325</v>
      </c>
      <c r="O32" s="733">
        <f t="shared" si="102"/>
        <v>101312</v>
      </c>
      <c r="P32" s="733">
        <f t="shared" si="102"/>
        <v>149678</v>
      </c>
      <c r="Q32" s="733">
        <f t="shared" si="103"/>
        <v>104764</v>
      </c>
      <c r="R32" s="733">
        <f t="shared" si="103"/>
        <v>114532</v>
      </c>
      <c r="S32" s="733">
        <f t="shared" si="104"/>
        <v>137373</v>
      </c>
      <c r="T32" s="733">
        <f t="shared" si="104"/>
        <v>143050</v>
      </c>
      <c r="U32" s="733">
        <f t="shared" ref="U32:V32" si="109">ROUND(U$5*U89/U$74,0)</f>
        <v>151307</v>
      </c>
      <c r="V32" s="733">
        <f t="shared" si="109"/>
        <v>159423</v>
      </c>
      <c r="W32" s="733">
        <f t="shared" ref="W32:X32" si="110">ROUND(W$5*W89/W$74,0)</f>
        <v>161822</v>
      </c>
      <c r="X32" s="733">
        <f t="shared" si="110"/>
        <v>167175</v>
      </c>
    </row>
    <row r="33" spans="1:24">
      <c r="A33" s="730">
        <v>381</v>
      </c>
      <c r="B33" s="730" t="s">
        <v>196</v>
      </c>
      <c r="C33" s="733">
        <f t="shared" si="96"/>
        <v>8083</v>
      </c>
      <c r="D33" s="733">
        <f t="shared" si="96"/>
        <v>12976</v>
      </c>
      <c r="E33" s="733">
        <f t="shared" si="97"/>
        <v>9602</v>
      </c>
      <c r="F33" s="733">
        <f t="shared" si="97"/>
        <v>7401</v>
      </c>
      <c r="G33" s="733">
        <f t="shared" si="98"/>
        <v>6525</v>
      </c>
      <c r="H33" s="733">
        <f t="shared" si="98"/>
        <v>7779</v>
      </c>
      <c r="I33" s="733">
        <f t="shared" si="99"/>
        <v>9031</v>
      </c>
      <c r="J33" s="733">
        <f t="shared" si="99"/>
        <v>5458</v>
      </c>
      <c r="K33" s="733">
        <f t="shared" si="100"/>
        <v>7221</v>
      </c>
      <c r="L33" s="733">
        <f t="shared" si="100"/>
        <v>11515</v>
      </c>
      <c r="M33" s="733">
        <f t="shared" si="101"/>
        <v>5607</v>
      </c>
      <c r="N33" s="733">
        <f t="shared" si="101"/>
        <v>7891</v>
      </c>
      <c r="O33" s="733">
        <f t="shared" si="102"/>
        <v>15388</v>
      </c>
      <c r="P33" s="733">
        <f t="shared" si="102"/>
        <v>11908</v>
      </c>
      <c r="Q33" s="733">
        <f t="shared" si="103"/>
        <v>10426</v>
      </c>
      <c r="R33" s="733">
        <f t="shared" si="103"/>
        <v>12001</v>
      </c>
      <c r="S33" s="733">
        <f t="shared" si="104"/>
        <v>12809</v>
      </c>
      <c r="T33" s="733">
        <f t="shared" si="104"/>
        <v>14167</v>
      </c>
      <c r="U33" s="733">
        <f t="shared" ref="U33:V33" si="111">ROUND(U$5*U90/U$74,0)</f>
        <v>14962</v>
      </c>
      <c r="V33" s="733">
        <f t="shared" si="111"/>
        <v>15462</v>
      </c>
      <c r="W33" s="733">
        <f t="shared" ref="W33:X33" si="112">ROUND(W$5*W90/W$74,0)</f>
        <v>15906</v>
      </c>
      <c r="X33" s="733">
        <f t="shared" si="112"/>
        <v>16392</v>
      </c>
    </row>
    <row r="34" spans="1:24">
      <c r="A34" s="731">
        <v>382</v>
      </c>
      <c r="B34" s="731" t="s">
        <v>197</v>
      </c>
      <c r="C34" s="733">
        <f t="shared" si="96"/>
        <v>17200</v>
      </c>
      <c r="D34" s="733">
        <f t="shared" si="96"/>
        <v>21101</v>
      </c>
      <c r="E34" s="733">
        <f t="shared" si="97"/>
        <v>24175</v>
      </c>
      <c r="F34" s="733">
        <f t="shared" si="97"/>
        <v>24420</v>
      </c>
      <c r="G34" s="733">
        <f t="shared" si="98"/>
        <v>16061</v>
      </c>
      <c r="H34" s="733">
        <f t="shared" si="98"/>
        <v>16987</v>
      </c>
      <c r="I34" s="733">
        <f t="shared" si="99"/>
        <v>16336</v>
      </c>
      <c r="J34" s="733">
        <f t="shared" si="99"/>
        <v>29574</v>
      </c>
      <c r="K34" s="733">
        <f t="shared" si="100"/>
        <v>20560</v>
      </c>
      <c r="L34" s="733">
        <f t="shared" si="100"/>
        <v>16066</v>
      </c>
      <c r="M34" s="733">
        <f t="shared" si="101"/>
        <v>22186</v>
      </c>
      <c r="N34" s="733">
        <f t="shared" si="101"/>
        <v>40097</v>
      </c>
      <c r="O34" s="733">
        <f t="shared" si="102"/>
        <v>30041</v>
      </c>
      <c r="P34" s="733">
        <f t="shared" si="102"/>
        <v>20237</v>
      </c>
      <c r="Q34" s="733">
        <f t="shared" si="103"/>
        <v>26322</v>
      </c>
      <c r="R34" s="733">
        <f t="shared" si="103"/>
        <v>24492</v>
      </c>
      <c r="S34" s="733">
        <f t="shared" si="104"/>
        <v>26594</v>
      </c>
      <c r="T34" s="733">
        <f t="shared" si="104"/>
        <v>31229</v>
      </c>
      <c r="U34" s="733">
        <f t="shared" ref="U34:V34" si="113">ROUND(U$5*U91/U$74,0)</f>
        <v>31509</v>
      </c>
      <c r="V34" s="733">
        <f t="shared" si="113"/>
        <v>32911</v>
      </c>
      <c r="W34" s="733">
        <f t="shared" ref="W34:X34" si="114">ROUND(W$5*W91/W$74,0)</f>
        <v>34134</v>
      </c>
      <c r="X34" s="733">
        <f t="shared" si="114"/>
        <v>34861</v>
      </c>
    </row>
    <row r="35" spans="1:24">
      <c r="A35" s="730">
        <v>4</v>
      </c>
      <c r="B35" s="730" t="s">
        <v>325</v>
      </c>
      <c r="C35" s="734">
        <f>SUM(C36:C41)</f>
        <v>82326</v>
      </c>
      <c r="D35" s="734">
        <f>SUM(D36:D41)</f>
        <v>114335</v>
      </c>
      <c r="E35" s="734">
        <f t="shared" ref="E35:J35" si="115">SUM(E36:E41)</f>
        <v>70539</v>
      </c>
      <c r="F35" s="734">
        <f t="shared" si="115"/>
        <v>52985</v>
      </c>
      <c r="G35" s="734">
        <f t="shared" si="115"/>
        <v>60593</v>
      </c>
      <c r="H35" s="734">
        <f t="shared" si="115"/>
        <v>152643</v>
      </c>
      <c r="I35" s="734">
        <f t="shared" si="115"/>
        <v>130110</v>
      </c>
      <c r="J35" s="734">
        <f t="shared" si="115"/>
        <v>125326</v>
      </c>
      <c r="K35" s="734">
        <f t="shared" ref="K35:P35" si="116">SUM(K36:K41)</f>
        <v>78828</v>
      </c>
      <c r="L35" s="734">
        <f t="shared" si="116"/>
        <v>74879</v>
      </c>
      <c r="M35" s="734">
        <f t="shared" si="116"/>
        <v>107572</v>
      </c>
      <c r="N35" s="734">
        <f t="shared" si="116"/>
        <v>96281</v>
      </c>
      <c r="O35" s="734">
        <f t="shared" si="116"/>
        <v>92285</v>
      </c>
      <c r="P35" s="734">
        <f t="shared" si="116"/>
        <v>104182</v>
      </c>
      <c r="Q35" s="734">
        <f t="shared" ref="Q35:V35" si="117">SUM(Q36:Q41)</f>
        <v>86621</v>
      </c>
      <c r="R35" s="734">
        <f t="shared" si="117"/>
        <v>90864</v>
      </c>
      <c r="S35" s="734">
        <f t="shared" si="117"/>
        <v>105029</v>
      </c>
      <c r="T35" s="734">
        <f t="shared" si="117"/>
        <v>113516</v>
      </c>
      <c r="U35" s="734">
        <f t="shared" si="117"/>
        <v>118530</v>
      </c>
      <c r="V35" s="734">
        <f t="shared" si="117"/>
        <v>124377</v>
      </c>
      <c r="W35" s="734">
        <f t="shared" ref="W35:X35" si="118">SUM(W36:W41)</f>
        <v>127132</v>
      </c>
      <c r="X35" s="734">
        <f t="shared" si="118"/>
        <v>130906</v>
      </c>
    </row>
    <row r="36" spans="1:24">
      <c r="A36" s="730">
        <v>213</v>
      </c>
      <c r="B36" s="730" t="s">
        <v>199</v>
      </c>
      <c r="C36" s="733">
        <f t="shared" ref="C36:D41" si="119">ROUND(C$5*C93/C$74,0)</f>
        <v>7380</v>
      </c>
      <c r="D36" s="733">
        <f t="shared" si="119"/>
        <v>28244</v>
      </c>
      <c r="E36" s="733">
        <f t="shared" ref="E36:F41" si="120">ROUND(E$5*E93/E$74,0)</f>
        <v>6496</v>
      </c>
      <c r="F36" s="733">
        <f t="shared" si="120"/>
        <v>3483</v>
      </c>
      <c r="G36" s="733">
        <f t="shared" ref="G36:H41" si="121">ROUND(G$5*G93/G$74,0)</f>
        <v>2782</v>
      </c>
      <c r="H36" s="733">
        <f t="shared" si="121"/>
        <v>33004</v>
      </c>
      <c r="I36" s="733">
        <f t="shared" ref="I36:J41" si="122">ROUND(I$5*I93/I$74,0)</f>
        <v>2859</v>
      </c>
      <c r="J36" s="733">
        <f t="shared" si="122"/>
        <v>6694</v>
      </c>
      <c r="K36" s="733">
        <f t="shared" ref="K36:L41" si="123">ROUND(K$5*K93/K$74,0)</f>
        <v>2958</v>
      </c>
      <c r="L36" s="733">
        <f t="shared" si="123"/>
        <v>5429</v>
      </c>
      <c r="M36" s="733">
        <f t="shared" ref="M36:N41" si="124">ROUND(M$5*M93/M$74,0)</f>
        <v>6487</v>
      </c>
      <c r="N36" s="733">
        <f t="shared" si="124"/>
        <v>4368</v>
      </c>
      <c r="O36" s="733">
        <f t="shared" ref="O36:P41" si="125">ROUND(O$5*O93/O$74,0)</f>
        <v>3400</v>
      </c>
      <c r="P36" s="733">
        <f t="shared" si="125"/>
        <v>5000</v>
      </c>
      <c r="Q36" s="733">
        <f t="shared" ref="Q36:R41" si="126">ROUND(Q$5*Q93/Q$74,0)</f>
        <v>3789</v>
      </c>
      <c r="R36" s="733">
        <f t="shared" si="126"/>
        <v>3930</v>
      </c>
      <c r="S36" s="733">
        <f t="shared" ref="S36:T41" si="127">ROUND(S$5*S93/S$74,0)</f>
        <v>4739</v>
      </c>
      <c r="T36" s="733">
        <f t="shared" si="127"/>
        <v>5000</v>
      </c>
      <c r="U36" s="733">
        <f t="shared" ref="U36:V36" si="128">ROUND(U$5*U93/U$74,0)</f>
        <v>5233</v>
      </c>
      <c r="V36" s="733">
        <f t="shared" si="128"/>
        <v>5528</v>
      </c>
      <c r="W36" s="733">
        <f t="shared" ref="W36:X36" si="129">ROUND(W$5*W93/W$74,0)</f>
        <v>5621</v>
      </c>
      <c r="X36" s="733">
        <f t="shared" si="129"/>
        <v>5795</v>
      </c>
    </row>
    <row r="37" spans="1:24">
      <c r="A37" s="730">
        <v>215</v>
      </c>
      <c r="B37" s="730" t="s">
        <v>329</v>
      </c>
      <c r="C37" s="733">
        <f t="shared" si="119"/>
        <v>6757</v>
      </c>
      <c r="D37" s="733">
        <f t="shared" si="119"/>
        <v>5456</v>
      </c>
      <c r="E37" s="733">
        <f t="shared" si="120"/>
        <v>8573</v>
      </c>
      <c r="F37" s="733">
        <f t="shared" si="120"/>
        <v>4849</v>
      </c>
      <c r="G37" s="733">
        <f t="shared" si="121"/>
        <v>7912</v>
      </c>
      <c r="H37" s="733">
        <f t="shared" si="121"/>
        <v>4356</v>
      </c>
      <c r="I37" s="733">
        <f t="shared" si="122"/>
        <v>23263</v>
      </c>
      <c r="J37" s="733">
        <f t="shared" si="122"/>
        <v>10111</v>
      </c>
      <c r="K37" s="733">
        <f t="shared" si="123"/>
        <v>13093</v>
      </c>
      <c r="L37" s="733">
        <f t="shared" si="123"/>
        <v>18024</v>
      </c>
      <c r="M37" s="733">
        <f t="shared" si="124"/>
        <v>10734</v>
      </c>
      <c r="N37" s="733">
        <f t="shared" si="124"/>
        <v>12261</v>
      </c>
      <c r="O37" s="733">
        <f t="shared" si="125"/>
        <v>16794</v>
      </c>
      <c r="P37" s="733">
        <f t="shared" si="125"/>
        <v>18086</v>
      </c>
      <c r="Q37" s="733">
        <f t="shared" si="126"/>
        <v>14013</v>
      </c>
      <c r="R37" s="733">
        <f t="shared" si="126"/>
        <v>15653</v>
      </c>
      <c r="S37" s="733">
        <f t="shared" si="127"/>
        <v>17795</v>
      </c>
      <c r="T37" s="733">
        <f t="shared" si="127"/>
        <v>19058</v>
      </c>
      <c r="U37" s="733">
        <f t="shared" ref="U37:V37" si="130">ROUND(U$5*U94/U$74,0)</f>
        <v>20133</v>
      </c>
      <c r="V37" s="733">
        <f t="shared" si="130"/>
        <v>21027</v>
      </c>
      <c r="W37" s="733">
        <f t="shared" ref="W37:X37" si="131">ROUND(W$5*W94/W$74,0)</f>
        <v>21477</v>
      </c>
      <c r="X37" s="733">
        <f t="shared" si="131"/>
        <v>22160</v>
      </c>
    </row>
    <row r="38" spans="1:24">
      <c r="A38" s="730">
        <v>218</v>
      </c>
      <c r="B38" s="730" t="s">
        <v>200</v>
      </c>
      <c r="C38" s="733">
        <f t="shared" si="119"/>
        <v>30130</v>
      </c>
      <c r="D38" s="733">
        <f t="shared" si="119"/>
        <v>19126</v>
      </c>
      <c r="E38" s="733">
        <f t="shared" si="120"/>
        <v>20382</v>
      </c>
      <c r="F38" s="733">
        <f t="shared" si="120"/>
        <v>16058</v>
      </c>
      <c r="G38" s="733">
        <f t="shared" si="121"/>
        <v>12846</v>
      </c>
      <c r="H38" s="733">
        <f t="shared" si="121"/>
        <v>14710</v>
      </c>
      <c r="I38" s="733">
        <f t="shared" si="122"/>
        <v>28174</v>
      </c>
      <c r="J38" s="733">
        <f t="shared" si="122"/>
        <v>63586</v>
      </c>
      <c r="K38" s="733">
        <f t="shared" si="123"/>
        <v>20676</v>
      </c>
      <c r="L38" s="733">
        <f t="shared" si="123"/>
        <v>22806</v>
      </c>
      <c r="M38" s="733">
        <f t="shared" si="124"/>
        <v>45739</v>
      </c>
      <c r="N38" s="733">
        <f t="shared" si="124"/>
        <v>19726</v>
      </c>
      <c r="O38" s="733">
        <f t="shared" si="125"/>
        <v>23373</v>
      </c>
      <c r="P38" s="733">
        <f t="shared" si="125"/>
        <v>23640</v>
      </c>
      <c r="Q38" s="733">
        <f t="shared" si="126"/>
        <v>19763</v>
      </c>
      <c r="R38" s="733">
        <f t="shared" si="126"/>
        <v>21376</v>
      </c>
      <c r="S38" s="733">
        <f t="shared" si="127"/>
        <v>24156</v>
      </c>
      <c r="T38" s="733">
        <f t="shared" si="127"/>
        <v>26239</v>
      </c>
      <c r="U38" s="733">
        <f t="shared" ref="U38:V38" si="132">ROUND(U$5*U95/U$74,0)</f>
        <v>27512</v>
      </c>
      <c r="V38" s="733">
        <f t="shared" si="132"/>
        <v>28741</v>
      </c>
      <c r="W38" s="733">
        <f t="shared" ref="W38:X38" si="133">ROUND(W$5*W95/W$74,0)</f>
        <v>29424</v>
      </c>
      <c r="X38" s="733">
        <f t="shared" si="133"/>
        <v>30310</v>
      </c>
    </row>
    <row r="39" spans="1:24">
      <c r="A39" s="730">
        <v>220</v>
      </c>
      <c r="B39" s="730" t="s">
        <v>201</v>
      </c>
      <c r="C39" s="733">
        <f t="shared" si="119"/>
        <v>19133</v>
      </c>
      <c r="D39" s="733">
        <f t="shared" si="119"/>
        <v>21304</v>
      </c>
      <c r="E39" s="733">
        <f t="shared" si="120"/>
        <v>18139</v>
      </c>
      <c r="F39" s="733">
        <f t="shared" si="120"/>
        <v>17225</v>
      </c>
      <c r="G39" s="733">
        <f t="shared" si="121"/>
        <v>20742</v>
      </c>
      <c r="H39" s="733">
        <f t="shared" si="121"/>
        <v>56157</v>
      </c>
      <c r="I39" s="733">
        <f t="shared" si="122"/>
        <v>60616</v>
      </c>
      <c r="J39" s="733">
        <f t="shared" si="122"/>
        <v>28357</v>
      </c>
      <c r="K39" s="733">
        <f t="shared" si="123"/>
        <v>25846</v>
      </c>
      <c r="L39" s="733">
        <f t="shared" si="123"/>
        <v>12594</v>
      </c>
      <c r="M39" s="733">
        <f t="shared" si="124"/>
        <v>25350</v>
      </c>
      <c r="N39" s="733">
        <f t="shared" si="124"/>
        <v>28669</v>
      </c>
      <c r="O39" s="733">
        <f t="shared" si="125"/>
        <v>25315</v>
      </c>
      <c r="P39" s="733">
        <f t="shared" si="125"/>
        <v>23935</v>
      </c>
      <c r="Q39" s="733">
        <f t="shared" si="126"/>
        <v>22924</v>
      </c>
      <c r="R39" s="733">
        <f t="shared" si="126"/>
        <v>23130</v>
      </c>
      <c r="S39" s="733">
        <f t="shared" si="127"/>
        <v>26130</v>
      </c>
      <c r="T39" s="733">
        <f t="shared" si="127"/>
        <v>29044</v>
      </c>
      <c r="U39" s="733">
        <f t="shared" ref="U39:V39" si="134">ROUND(U$5*U96/U$74,0)</f>
        <v>29991</v>
      </c>
      <c r="V39" s="733">
        <f t="shared" si="134"/>
        <v>31408</v>
      </c>
      <c r="W39" s="733">
        <f t="shared" ref="W39:X39" si="135">ROUND(W$5*W96/W$74,0)</f>
        <v>32265</v>
      </c>
      <c r="X39" s="733">
        <f t="shared" si="135"/>
        <v>33134</v>
      </c>
    </row>
    <row r="40" spans="1:24">
      <c r="A40" s="730">
        <v>228</v>
      </c>
      <c r="B40" s="730" t="s">
        <v>330</v>
      </c>
      <c r="C40" s="733">
        <f t="shared" si="119"/>
        <v>17042</v>
      </c>
      <c r="D40" s="733">
        <f t="shared" si="119"/>
        <v>38863</v>
      </c>
      <c r="E40" s="733">
        <f t="shared" si="120"/>
        <v>15160</v>
      </c>
      <c r="F40" s="733">
        <f t="shared" si="120"/>
        <v>9889</v>
      </c>
      <c r="G40" s="733">
        <f t="shared" si="121"/>
        <v>14805</v>
      </c>
      <c r="H40" s="733">
        <f t="shared" si="121"/>
        <v>41215</v>
      </c>
      <c r="I40" s="733">
        <f t="shared" si="122"/>
        <v>13710</v>
      </c>
      <c r="J40" s="733">
        <f t="shared" si="122"/>
        <v>15310</v>
      </c>
      <c r="K40" s="733">
        <f t="shared" si="123"/>
        <v>14954</v>
      </c>
      <c r="L40" s="733">
        <f t="shared" si="123"/>
        <v>13916</v>
      </c>
      <c r="M40" s="733">
        <f t="shared" si="124"/>
        <v>16300</v>
      </c>
      <c r="N40" s="733">
        <f t="shared" si="124"/>
        <v>28448</v>
      </c>
      <c r="O40" s="733">
        <f t="shared" si="125"/>
        <v>18300</v>
      </c>
      <c r="P40" s="733">
        <f t="shared" si="125"/>
        <v>29817</v>
      </c>
      <c r="Q40" s="733">
        <f t="shared" si="126"/>
        <v>22698</v>
      </c>
      <c r="R40" s="733">
        <f t="shared" si="126"/>
        <v>22883</v>
      </c>
      <c r="S40" s="733">
        <f t="shared" si="127"/>
        <v>28092</v>
      </c>
      <c r="T40" s="733">
        <f t="shared" si="127"/>
        <v>29572</v>
      </c>
      <c r="U40" s="733">
        <f t="shared" ref="U40:V40" si="136">ROUND(U$5*U97/U$74,0)</f>
        <v>30820</v>
      </c>
      <c r="V40" s="733">
        <f t="shared" si="136"/>
        <v>32674</v>
      </c>
      <c r="W40" s="733">
        <f t="shared" ref="W40:X40" si="137">ROUND(W$5*W97/W$74,0)</f>
        <v>33192</v>
      </c>
      <c r="X40" s="733">
        <f t="shared" si="137"/>
        <v>34202</v>
      </c>
    </row>
    <row r="41" spans="1:24">
      <c r="A41" s="730">
        <v>365</v>
      </c>
      <c r="B41" s="730" t="s">
        <v>331</v>
      </c>
      <c r="C41" s="735">
        <f t="shared" si="119"/>
        <v>1884</v>
      </c>
      <c r="D41" s="735">
        <f t="shared" si="119"/>
        <v>1342</v>
      </c>
      <c r="E41" s="735">
        <f t="shared" si="120"/>
        <v>1789</v>
      </c>
      <c r="F41" s="735">
        <f t="shared" si="120"/>
        <v>1481</v>
      </c>
      <c r="G41" s="735">
        <f t="shared" si="121"/>
        <v>1506</v>
      </c>
      <c r="H41" s="735">
        <f t="shared" si="121"/>
        <v>3201</v>
      </c>
      <c r="I41" s="735">
        <f t="shared" si="122"/>
        <v>1488</v>
      </c>
      <c r="J41" s="735">
        <f t="shared" si="122"/>
        <v>1268</v>
      </c>
      <c r="K41" s="735">
        <f t="shared" si="123"/>
        <v>1301</v>
      </c>
      <c r="L41" s="735">
        <f t="shared" si="123"/>
        <v>2110</v>
      </c>
      <c r="M41" s="735">
        <f t="shared" si="124"/>
        <v>2962</v>
      </c>
      <c r="N41" s="735">
        <f t="shared" si="124"/>
        <v>2809</v>
      </c>
      <c r="O41" s="735">
        <f t="shared" si="125"/>
        <v>5103</v>
      </c>
      <c r="P41" s="735">
        <f t="shared" si="125"/>
        <v>3704</v>
      </c>
      <c r="Q41" s="735">
        <f t="shared" si="126"/>
        <v>3434</v>
      </c>
      <c r="R41" s="735">
        <f t="shared" si="126"/>
        <v>3892</v>
      </c>
      <c r="S41" s="735">
        <f t="shared" si="127"/>
        <v>4117</v>
      </c>
      <c r="T41" s="735">
        <f t="shared" si="127"/>
        <v>4603</v>
      </c>
      <c r="U41" s="735">
        <f t="shared" ref="U41:V41" si="138">ROUND(U$5*U98/U$74,0)</f>
        <v>4841</v>
      </c>
      <c r="V41" s="735">
        <f t="shared" si="138"/>
        <v>4999</v>
      </c>
      <c r="W41" s="735">
        <f t="shared" ref="W41:X41" si="139">ROUND(W$5*W98/W$74,0)</f>
        <v>5153</v>
      </c>
      <c r="X41" s="735">
        <f t="shared" si="139"/>
        <v>5305</v>
      </c>
    </row>
    <row r="42" spans="1:24">
      <c r="A42" s="728">
        <v>5</v>
      </c>
      <c r="B42" s="728" t="s">
        <v>326</v>
      </c>
      <c r="C42" s="734">
        <f>SUM(C43:C46)</f>
        <v>267513</v>
      </c>
      <c r="D42" s="734">
        <f>SUM(D43:D46)</f>
        <v>255451</v>
      </c>
      <c r="E42" s="734">
        <f t="shared" ref="E42:J42" si="140">SUM(E43:E46)</f>
        <v>213966</v>
      </c>
      <c r="F42" s="734">
        <f t="shared" si="140"/>
        <v>203528</v>
      </c>
      <c r="G42" s="734">
        <f t="shared" si="140"/>
        <v>513020</v>
      </c>
      <c r="H42" s="734">
        <f t="shared" si="140"/>
        <v>242775</v>
      </c>
      <c r="I42" s="734">
        <f t="shared" si="140"/>
        <v>243983</v>
      </c>
      <c r="J42" s="734">
        <f t="shared" si="140"/>
        <v>238228</v>
      </c>
      <c r="K42" s="734">
        <f t="shared" ref="K42:P42" si="141">SUM(K43:K46)</f>
        <v>207953</v>
      </c>
      <c r="L42" s="734">
        <f t="shared" si="141"/>
        <v>203139</v>
      </c>
      <c r="M42" s="734">
        <f t="shared" si="141"/>
        <v>226985</v>
      </c>
      <c r="N42" s="734">
        <f t="shared" si="141"/>
        <v>231526</v>
      </c>
      <c r="O42" s="734">
        <f t="shared" si="141"/>
        <v>337360</v>
      </c>
      <c r="P42" s="734">
        <f t="shared" si="141"/>
        <v>274414</v>
      </c>
      <c r="Q42" s="734">
        <f t="shared" ref="Q42:V42" si="142">SUM(Q43:Q46)</f>
        <v>249210</v>
      </c>
      <c r="R42" s="734">
        <f t="shared" si="142"/>
        <v>274497</v>
      </c>
      <c r="S42" s="734">
        <f t="shared" si="142"/>
        <v>297837</v>
      </c>
      <c r="T42" s="734">
        <f t="shared" si="142"/>
        <v>330412</v>
      </c>
      <c r="U42" s="734">
        <f t="shared" si="142"/>
        <v>346294</v>
      </c>
      <c r="V42" s="734">
        <f t="shared" si="142"/>
        <v>359312</v>
      </c>
      <c r="W42" s="734">
        <f t="shared" ref="W42:X42" si="143">SUM(W43:W46)</f>
        <v>369573</v>
      </c>
      <c r="X42" s="734">
        <f t="shared" si="143"/>
        <v>380387</v>
      </c>
    </row>
    <row r="43" spans="1:24">
      <c r="A43" s="730">
        <v>201</v>
      </c>
      <c r="B43" s="730" t="s">
        <v>332</v>
      </c>
      <c r="C43" s="733">
        <f t="shared" ref="C43:D46" si="144">ROUND(C$5*C100/C$74,0)</f>
        <v>257027</v>
      </c>
      <c r="D43" s="733">
        <f t="shared" si="144"/>
        <v>237635</v>
      </c>
      <c r="E43" s="733">
        <f t="shared" ref="E43:F46" si="145">ROUND(E$5*E100/E$74,0)</f>
        <v>201023</v>
      </c>
      <c r="F43" s="733">
        <f t="shared" si="145"/>
        <v>197554</v>
      </c>
      <c r="G43" s="733">
        <f t="shared" ref="G43:H46" si="146">ROUND(G$5*G100/G$74,0)</f>
        <v>503902</v>
      </c>
      <c r="H43" s="733">
        <f t="shared" si="146"/>
        <v>225747</v>
      </c>
      <c r="I43" s="733">
        <f t="shared" ref="I43:J46" si="147">ROUND(I$5*I100/I$74,0)</f>
        <v>236288</v>
      </c>
      <c r="J43" s="733">
        <f t="shared" si="147"/>
        <v>224654</v>
      </c>
      <c r="K43" s="733">
        <f t="shared" ref="K43:L46" si="148">ROUND(K$5*K100/K$74,0)</f>
        <v>191308</v>
      </c>
      <c r="L43" s="733">
        <f t="shared" si="148"/>
        <v>193243</v>
      </c>
      <c r="M43" s="733">
        <f t="shared" ref="M43:N46" si="149">ROUND(M$5*M100/M$74,0)</f>
        <v>213076</v>
      </c>
      <c r="N43" s="733">
        <f t="shared" si="149"/>
        <v>215335</v>
      </c>
      <c r="O43" s="733">
        <f t="shared" ref="O43:P46" si="150">ROUND(O$5*O100/O$74,0)</f>
        <v>311109</v>
      </c>
      <c r="P43" s="733">
        <f t="shared" si="150"/>
        <v>244820</v>
      </c>
      <c r="Q43" s="733">
        <f t="shared" ref="Q43:R46" si="151">ROUND(Q$5*Q100/Q$74,0)</f>
        <v>227721</v>
      </c>
      <c r="R43" s="733">
        <f t="shared" si="151"/>
        <v>249742</v>
      </c>
      <c r="S43" s="733">
        <f t="shared" ref="S43:T46" si="152">ROUND(S$5*S100/S$74,0)</f>
        <v>269591</v>
      </c>
      <c r="T43" s="733">
        <f t="shared" si="152"/>
        <v>300521</v>
      </c>
      <c r="U43" s="733">
        <f t="shared" ref="U43:V43" si="153">ROUND(U$5*U100/U$74,0)</f>
        <v>314499</v>
      </c>
      <c r="V43" s="733">
        <f t="shared" si="153"/>
        <v>326123</v>
      </c>
      <c r="W43" s="733">
        <f t="shared" ref="W43:X43" si="154">ROUND(W$5*W100/W$74,0)</f>
        <v>335738</v>
      </c>
      <c r="X43" s="733">
        <f t="shared" si="154"/>
        <v>345424</v>
      </c>
    </row>
    <row r="44" spans="1:24">
      <c r="A44" s="730">
        <v>442</v>
      </c>
      <c r="B44" s="730" t="s">
        <v>203</v>
      </c>
      <c r="C44" s="733">
        <f t="shared" si="144"/>
        <v>1507</v>
      </c>
      <c r="D44" s="733">
        <f t="shared" si="144"/>
        <v>1693</v>
      </c>
      <c r="E44" s="733">
        <f t="shared" si="145"/>
        <v>3925</v>
      </c>
      <c r="F44" s="733">
        <f t="shared" si="145"/>
        <v>1372</v>
      </c>
      <c r="G44" s="733">
        <f t="shared" si="146"/>
        <v>1188</v>
      </c>
      <c r="H44" s="733">
        <f t="shared" si="146"/>
        <v>1989</v>
      </c>
      <c r="I44" s="733">
        <f t="shared" si="147"/>
        <v>603</v>
      </c>
      <c r="J44" s="733">
        <f t="shared" si="147"/>
        <v>1173</v>
      </c>
      <c r="K44" s="733">
        <f t="shared" si="148"/>
        <v>1672</v>
      </c>
      <c r="L44" s="733">
        <f t="shared" si="148"/>
        <v>994</v>
      </c>
      <c r="M44" s="733">
        <f t="shared" si="149"/>
        <v>1222</v>
      </c>
      <c r="N44" s="733">
        <f t="shared" si="149"/>
        <v>2259</v>
      </c>
      <c r="O44" s="733">
        <f t="shared" si="150"/>
        <v>3462</v>
      </c>
      <c r="P44" s="733">
        <f t="shared" si="150"/>
        <v>4166</v>
      </c>
      <c r="Q44" s="733">
        <f t="shared" si="151"/>
        <v>2952</v>
      </c>
      <c r="R44" s="733">
        <f t="shared" si="151"/>
        <v>3391</v>
      </c>
      <c r="S44" s="733">
        <f t="shared" si="152"/>
        <v>3913</v>
      </c>
      <c r="T44" s="733">
        <f t="shared" si="152"/>
        <v>4114</v>
      </c>
      <c r="U44" s="733">
        <f t="shared" ref="U44:V44" si="155">ROUND(U$5*U101/U$74,0)</f>
        <v>4379</v>
      </c>
      <c r="V44" s="733">
        <f t="shared" si="155"/>
        <v>4579</v>
      </c>
      <c r="W44" s="733">
        <f t="shared" ref="W44:X44" si="156">ROUND(W$5*W101/W$74,0)</f>
        <v>4662</v>
      </c>
      <c r="X44" s="733">
        <f t="shared" si="156"/>
        <v>4819</v>
      </c>
    </row>
    <row r="45" spans="1:24">
      <c r="A45" s="730">
        <v>443</v>
      </c>
      <c r="B45" s="730" t="s">
        <v>204</v>
      </c>
      <c r="C45" s="733">
        <f t="shared" si="144"/>
        <v>8706</v>
      </c>
      <c r="D45" s="733">
        <f t="shared" si="144"/>
        <v>8336</v>
      </c>
      <c r="E45" s="733">
        <f t="shared" si="145"/>
        <v>8200</v>
      </c>
      <c r="F45" s="733">
        <f t="shared" si="145"/>
        <v>4151</v>
      </c>
      <c r="G45" s="733">
        <f t="shared" si="146"/>
        <v>7000</v>
      </c>
      <c r="H45" s="733">
        <f t="shared" si="146"/>
        <v>14306</v>
      </c>
      <c r="I45" s="733">
        <f t="shared" si="147"/>
        <v>6328</v>
      </c>
      <c r="J45" s="733">
        <f t="shared" si="147"/>
        <v>11897</v>
      </c>
      <c r="K45" s="733">
        <f t="shared" si="148"/>
        <v>14624</v>
      </c>
      <c r="L45" s="733">
        <f t="shared" si="148"/>
        <v>8372</v>
      </c>
      <c r="M45" s="733">
        <f t="shared" si="149"/>
        <v>12117</v>
      </c>
      <c r="N45" s="733">
        <f t="shared" si="149"/>
        <v>12763</v>
      </c>
      <c r="O45" s="733">
        <f t="shared" si="150"/>
        <v>15799</v>
      </c>
      <c r="P45" s="733">
        <f t="shared" si="150"/>
        <v>16560</v>
      </c>
      <c r="Q45" s="733">
        <f t="shared" si="151"/>
        <v>13383</v>
      </c>
      <c r="R45" s="733">
        <f t="shared" si="151"/>
        <v>14646</v>
      </c>
      <c r="S45" s="733">
        <f t="shared" si="152"/>
        <v>16623</v>
      </c>
      <c r="T45" s="733">
        <f t="shared" si="152"/>
        <v>17937</v>
      </c>
      <c r="U45" s="733">
        <f t="shared" ref="U45:V45" si="157">ROUND(U$5*U102/U$74,0)</f>
        <v>18864</v>
      </c>
      <c r="V45" s="733">
        <f t="shared" si="157"/>
        <v>19710</v>
      </c>
      <c r="W45" s="733">
        <f t="shared" ref="W45:X45" si="158">ROUND(W$5*W102/W$74,0)</f>
        <v>20156</v>
      </c>
      <c r="X45" s="733">
        <f t="shared" si="158"/>
        <v>20778</v>
      </c>
    </row>
    <row r="46" spans="1:24">
      <c r="A46" s="731">
        <v>446</v>
      </c>
      <c r="B46" s="731" t="s">
        <v>333</v>
      </c>
      <c r="C46" s="735">
        <f t="shared" si="144"/>
        <v>273</v>
      </c>
      <c r="D46" s="735">
        <f t="shared" si="144"/>
        <v>7787</v>
      </c>
      <c r="E46" s="735">
        <f t="shared" si="145"/>
        <v>818</v>
      </c>
      <c r="F46" s="735">
        <f t="shared" si="145"/>
        <v>451</v>
      </c>
      <c r="G46" s="735">
        <f t="shared" si="146"/>
        <v>930</v>
      </c>
      <c r="H46" s="735">
        <f t="shared" si="146"/>
        <v>733</v>
      </c>
      <c r="I46" s="735">
        <f t="shared" si="147"/>
        <v>764</v>
      </c>
      <c r="J46" s="735">
        <f t="shared" si="147"/>
        <v>504</v>
      </c>
      <c r="K46" s="735">
        <f t="shared" si="148"/>
        <v>349</v>
      </c>
      <c r="L46" s="735">
        <f t="shared" si="148"/>
        <v>530</v>
      </c>
      <c r="M46" s="735">
        <f t="shared" si="149"/>
        <v>570</v>
      </c>
      <c r="N46" s="735">
        <f t="shared" si="149"/>
        <v>1169</v>
      </c>
      <c r="O46" s="735">
        <f t="shared" si="150"/>
        <v>6990</v>
      </c>
      <c r="P46" s="735">
        <f t="shared" si="150"/>
        <v>8868</v>
      </c>
      <c r="Q46" s="735">
        <f t="shared" si="151"/>
        <v>5154</v>
      </c>
      <c r="R46" s="735">
        <f t="shared" si="151"/>
        <v>6718</v>
      </c>
      <c r="S46" s="735">
        <f t="shared" si="152"/>
        <v>7710</v>
      </c>
      <c r="T46" s="735">
        <f t="shared" si="152"/>
        <v>7840</v>
      </c>
      <c r="U46" s="735">
        <f t="shared" ref="U46:V46" si="159">ROUND(U$5*U103/U$74,0)</f>
        <v>8552</v>
      </c>
      <c r="V46" s="735">
        <f t="shared" si="159"/>
        <v>8900</v>
      </c>
      <c r="W46" s="735">
        <f t="shared" ref="W46:X46" si="160">ROUND(W$5*W103/W$74,0)</f>
        <v>9017</v>
      </c>
      <c r="X46" s="735">
        <f t="shared" si="160"/>
        <v>9366</v>
      </c>
    </row>
    <row r="47" spans="1:24">
      <c r="A47" s="730">
        <v>6</v>
      </c>
      <c r="B47" s="730" t="s">
        <v>327</v>
      </c>
      <c r="C47" s="733">
        <f>SUM(C48:C54)</f>
        <v>107145</v>
      </c>
      <c r="D47" s="733">
        <f>SUM(D48:D54)</f>
        <v>77418</v>
      </c>
      <c r="E47" s="733">
        <f t="shared" ref="E47:J47" si="161">SUM(E48:E54)</f>
        <v>74021</v>
      </c>
      <c r="F47" s="733">
        <f t="shared" si="161"/>
        <v>53164</v>
      </c>
      <c r="G47" s="733">
        <f t="shared" si="161"/>
        <v>65173</v>
      </c>
      <c r="H47" s="733">
        <f t="shared" si="161"/>
        <v>77048</v>
      </c>
      <c r="I47" s="733">
        <f t="shared" si="161"/>
        <v>92399</v>
      </c>
      <c r="J47" s="733">
        <f t="shared" si="161"/>
        <v>66632</v>
      </c>
      <c r="K47" s="733">
        <f t="shared" ref="K47:P47" si="162">SUM(K48:K54)</f>
        <v>73093</v>
      </c>
      <c r="L47" s="733">
        <f t="shared" si="162"/>
        <v>80731</v>
      </c>
      <c r="M47" s="733">
        <f t="shared" si="162"/>
        <v>91802</v>
      </c>
      <c r="N47" s="733">
        <f t="shared" si="162"/>
        <v>77440</v>
      </c>
      <c r="O47" s="733">
        <f t="shared" si="162"/>
        <v>83640</v>
      </c>
      <c r="P47" s="733">
        <f t="shared" si="162"/>
        <v>88805</v>
      </c>
      <c r="Q47" s="733">
        <f t="shared" ref="Q47:V47" si="163">SUM(Q48:Q54)</f>
        <v>73978</v>
      </c>
      <c r="R47" s="733">
        <f t="shared" si="163"/>
        <v>78975</v>
      </c>
      <c r="S47" s="733">
        <f t="shared" si="163"/>
        <v>90149</v>
      </c>
      <c r="T47" s="733">
        <f t="shared" si="163"/>
        <v>97685</v>
      </c>
      <c r="U47" s="733">
        <f t="shared" si="163"/>
        <v>102246</v>
      </c>
      <c r="V47" s="733">
        <f t="shared" si="163"/>
        <v>107023</v>
      </c>
      <c r="W47" s="733">
        <f t="shared" ref="W47:X47" si="164">SUM(W48:W54)</f>
        <v>109488</v>
      </c>
      <c r="X47" s="733">
        <f t="shared" si="164"/>
        <v>112767</v>
      </c>
    </row>
    <row r="48" spans="1:24">
      <c r="A48" s="730">
        <v>208</v>
      </c>
      <c r="B48" s="730" t="s">
        <v>206</v>
      </c>
      <c r="C48" s="733">
        <f t="shared" ref="C48:D54" si="165">ROUND(C$5*C105/C$74,0)</f>
        <v>3712</v>
      </c>
      <c r="D48" s="733">
        <f t="shared" si="165"/>
        <v>5494</v>
      </c>
      <c r="E48" s="733">
        <f t="shared" ref="E48:F54" si="166">ROUND(E$5*E105/E$74,0)</f>
        <v>3309</v>
      </c>
      <c r="F48" s="733">
        <f t="shared" si="166"/>
        <v>3572</v>
      </c>
      <c r="G48" s="733">
        <f t="shared" ref="G48:H54" si="167">ROUND(G$5*G105/G$74,0)</f>
        <v>5913</v>
      </c>
      <c r="H48" s="733">
        <f t="shared" si="167"/>
        <v>7049</v>
      </c>
      <c r="I48" s="733">
        <f t="shared" ref="I48:J54" si="168">ROUND(I$5*I105/I$74,0)</f>
        <v>18349</v>
      </c>
      <c r="J48" s="733">
        <f t="shared" si="168"/>
        <v>6222</v>
      </c>
      <c r="K48" s="733">
        <f t="shared" ref="K48:L54" si="169">ROUND(K$5*K105/K$74,0)</f>
        <v>8944</v>
      </c>
      <c r="L48" s="733">
        <f t="shared" si="169"/>
        <v>6703</v>
      </c>
      <c r="M48" s="733">
        <f t="shared" ref="M48:N54" si="170">ROUND(M$5*M105/M$74,0)</f>
        <v>9888</v>
      </c>
      <c r="N48" s="733">
        <f t="shared" si="170"/>
        <v>6884</v>
      </c>
      <c r="O48" s="733">
        <f t="shared" ref="O48:P54" si="171">ROUND(O$5*O105/O$74,0)</f>
        <v>6113</v>
      </c>
      <c r="P48" s="733">
        <f t="shared" si="171"/>
        <v>4493</v>
      </c>
      <c r="Q48" s="733">
        <f t="shared" ref="Q48:R54" si="172">ROUND(Q$5*Q105/Q$74,0)</f>
        <v>5118</v>
      </c>
      <c r="R48" s="733">
        <f t="shared" si="172"/>
        <v>5024</v>
      </c>
      <c r="S48" s="733">
        <f t="shared" ref="S48:T54" si="173">ROUND(S$5*S105/S$74,0)</f>
        <v>5472</v>
      </c>
      <c r="T48" s="733">
        <f t="shared" si="173"/>
        <v>6292</v>
      </c>
      <c r="U48" s="733">
        <f t="shared" ref="U48:V48" si="174">ROUND(U$5*U105/U$74,0)</f>
        <v>6430</v>
      </c>
      <c r="V48" s="733">
        <f t="shared" si="174"/>
        <v>6705</v>
      </c>
      <c r="W48" s="733">
        <f t="shared" ref="W48:X48" si="175">ROUND(W$5*W105/W$74,0)</f>
        <v>6932</v>
      </c>
      <c r="X48" s="733">
        <f t="shared" si="175"/>
        <v>7099</v>
      </c>
    </row>
    <row r="49" spans="1:24">
      <c r="A49" s="730">
        <v>212</v>
      </c>
      <c r="B49" s="730" t="s">
        <v>207</v>
      </c>
      <c r="C49" s="733">
        <f t="shared" si="165"/>
        <v>17835</v>
      </c>
      <c r="D49" s="733">
        <f t="shared" si="165"/>
        <v>18623</v>
      </c>
      <c r="E49" s="733">
        <f t="shared" si="166"/>
        <v>26237</v>
      </c>
      <c r="F49" s="733">
        <f t="shared" si="166"/>
        <v>17223</v>
      </c>
      <c r="G49" s="733">
        <f t="shared" si="167"/>
        <v>23915</v>
      </c>
      <c r="H49" s="733">
        <f t="shared" si="167"/>
        <v>22707</v>
      </c>
      <c r="I49" s="733">
        <f t="shared" si="168"/>
        <v>23742</v>
      </c>
      <c r="J49" s="733">
        <f t="shared" si="168"/>
        <v>26153</v>
      </c>
      <c r="K49" s="733">
        <f t="shared" si="169"/>
        <v>32066</v>
      </c>
      <c r="L49" s="733">
        <f t="shared" si="169"/>
        <v>24532</v>
      </c>
      <c r="M49" s="733">
        <f t="shared" si="170"/>
        <v>30668</v>
      </c>
      <c r="N49" s="733">
        <f t="shared" si="170"/>
        <v>29120</v>
      </c>
      <c r="O49" s="733">
        <f t="shared" si="171"/>
        <v>22670</v>
      </c>
      <c r="P49" s="733">
        <f t="shared" si="171"/>
        <v>32232</v>
      </c>
      <c r="Q49" s="733">
        <f t="shared" si="172"/>
        <v>24913</v>
      </c>
      <c r="R49" s="733">
        <f t="shared" si="172"/>
        <v>25722</v>
      </c>
      <c r="S49" s="733">
        <f t="shared" si="173"/>
        <v>30879</v>
      </c>
      <c r="T49" s="733">
        <f t="shared" si="173"/>
        <v>32727</v>
      </c>
      <c r="U49" s="733">
        <f t="shared" ref="U49:V49" si="176">ROUND(U$5*U106/U$74,0)</f>
        <v>34198</v>
      </c>
      <c r="V49" s="733">
        <f t="shared" si="176"/>
        <v>36107</v>
      </c>
      <c r="W49" s="733">
        <f t="shared" ref="W49:X49" si="177">ROUND(W$5*W106/W$74,0)</f>
        <v>36747</v>
      </c>
      <c r="X49" s="733">
        <f t="shared" si="177"/>
        <v>37870</v>
      </c>
    </row>
    <row r="50" spans="1:24">
      <c r="A50" s="730">
        <v>227</v>
      </c>
      <c r="B50" s="730" t="s">
        <v>219</v>
      </c>
      <c r="C50" s="733">
        <f t="shared" si="165"/>
        <v>2286</v>
      </c>
      <c r="D50" s="733">
        <f t="shared" si="165"/>
        <v>2464</v>
      </c>
      <c r="E50" s="733">
        <f t="shared" si="166"/>
        <v>1762</v>
      </c>
      <c r="F50" s="733">
        <f t="shared" si="166"/>
        <v>1972</v>
      </c>
      <c r="G50" s="733">
        <f t="shared" si="167"/>
        <v>1610</v>
      </c>
      <c r="H50" s="733">
        <f t="shared" si="167"/>
        <v>2046</v>
      </c>
      <c r="I50" s="733">
        <f t="shared" si="168"/>
        <v>2431</v>
      </c>
      <c r="J50" s="733">
        <f t="shared" si="168"/>
        <v>1795</v>
      </c>
      <c r="K50" s="733">
        <f t="shared" si="169"/>
        <v>3882</v>
      </c>
      <c r="L50" s="733">
        <f t="shared" si="169"/>
        <v>1346</v>
      </c>
      <c r="M50" s="733">
        <f t="shared" si="170"/>
        <v>4311</v>
      </c>
      <c r="N50" s="733">
        <f t="shared" si="170"/>
        <v>2168</v>
      </c>
      <c r="O50" s="733">
        <f t="shared" si="171"/>
        <v>5700</v>
      </c>
      <c r="P50" s="733">
        <f t="shared" si="171"/>
        <v>4278</v>
      </c>
      <c r="Q50" s="733">
        <f t="shared" si="172"/>
        <v>3609</v>
      </c>
      <c r="R50" s="733">
        <f t="shared" si="172"/>
        <v>4315</v>
      </c>
      <c r="S50" s="733">
        <f t="shared" si="173"/>
        <v>4551</v>
      </c>
      <c r="T50" s="733">
        <f t="shared" si="173"/>
        <v>5014</v>
      </c>
      <c r="U50" s="733">
        <f t="shared" ref="U50:V50" si="178">ROUND(U$5*U107/U$74,0)</f>
        <v>5331</v>
      </c>
      <c r="V50" s="733">
        <f t="shared" si="178"/>
        <v>5491</v>
      </c>
      <c r="W50" s="733">
        <f t="shared" ref="W50:X50" si="179">ROUND(W$5*W107/W$74,0)</f>
        <v>5649</v>
      </c>
      <c r="X50" s="733">
        <f t="shared" si="179"/>
        <v>5828</v>
      </c>
    </row>
    <row r="51" spans="1:24">
      <c r="A51" s="730">
        <v>229</v>
      </c>
      <c r="B51" s="730" t="s">
        <v>334</v>
      </c>
      <c r="C51" s="733">
        <f t="shared" si="165"/>
        <v>25606</v>
      </c>
      <c r="D51" s="733">
        <f t="shared" si="165"/>
        <v>33912</v>
      </c>
      <c r="E51" s="733">
        <f t="shared" si="166"/>
        <v>26518</v>
      </c>
      <c r="F51" s="733">
        <f t="shared" si="166"/>
        <v>23710</v>
      </c>
      <c r="G51" s="733">
        <f t="shared" si="167"/>
        <v>24848</v>
      </c>
      <c r="H51" s="733">
        <f t="shared" si="167"/>
        <v>34122</v>
      </c>
      <c r="I51" s="733">
        <f t="shared" si="168"/>
        <v>30292</v>
      </c>
      <c r="J51" s="733">
        <f t="shared" si="168"/>
        <v>21679</v>
      </c>
      <c r="K51" s="733">
        <f t="shared" si="169"/>
        <v>19669</v>
      </c>
      <c r="L51" s="733">
        <f t="shared" si="169"/>
        <v>37329</v>
      </c>
      <c r="M51" s="733">
        <f t="shared" si="170"/>
        <v>38579</v>
      </c>
      <c r="N51" s="733">
        <f t="shared" si="170"/>
        <v>23826</v>
      </c>
      <c r="O51" s="733">
        <f t="shared" si="171"/>
        <v>33363</v>
      </c>
      <c r="P51" s="733">
        <f t="shared" si="171"/>
        <v>31558</v>
      </c>
      <c r="Q51" s="733">
        <f t="shared" si="172"/>
        <v>26305</v>
      </c>
      <c r="R51" s="733">
        <f t="shared" si="172"/>
        <v>29150</v>
      </c>
      <c r="S51" s="733">
        <f t="shared" si="173"/>
        <v>32447</v>
      </c>
      <c r="T51" s="733">
        <f t="shared" si="173"/>
        <v>35323</v>
      </c>
      <c r="U51" s="733">
        <f t="shared" ref="U51:V51" si="180">ROUND(U$5*U108/U$74,0)</f>
        <v>37169</v>
      </c>
      <c r="V51" s="733">
        <f t="shared" si="180"/>
        <v>38708</v>
      </c>
      <c r="W51" s="733">
        <f t="shared" ref="W51:X51" si="181">ROUND(W$5*W108/W$74,0)</f>
        <v>39664</v>
      </c>
      <c r="X51" s="733">
        <f t="shared" si="181"/>
        <v>40877</v>
      </c>
    </row>
    <row r="52" spans="1:24">
      <c r="A52" s="730">
        <v>464</v>
      </c>
      <c r="B52" s="730" t="s">
        <v>208</v>
      </c>
      <c r="C52" s="733">
        <f t="shared" si="165"/>
        <v>54679</v>
      </c>
      <c r="D52" s="733">
        <f t="shared" si="165"/>
        <v>14828</v>
      </c>
      <c r="E52" s="733">
        <f t="shared" si="166"/>
        <v>12929</v>
      </c>
      <c r="F52" s="733">
        <f t="shared" si="166"/>
        <v>4630</v>
      </c>
      <c r="G52" s="733">
        <f t="shared" si="167"/>
        <v>7116</v>
      </c>
      <c r="H52" s="733">
        <f t="shared" si="167"/>
        <v>8904</v>
      </c>
      <c r="I52" s="733">
        <f t="shared" si="168"/>
        <v>12351</v>
      </c>
      <c r="J52" s="733">
        <f t="shared" si="168"/>
        <v>7557</v>
      </c>
      <c r="K52" s="733">
        <f t="shared" si="169"/>
        <v>4393</v>
      </c>
      <c r="L52" s="733">
        <f t="shared" si="169"/>
        <v>6205</v>
      </c>
      <c r="M52" s="733">
        <f t="shared" si="170"/>
        <v>4561</v>
      </c>
      <c r="N52" s="733">
        <f t="shared" si="170"/>
        <v>9471</v>
      </c>
      <c r="O52" s="733">
        <f t="shared" si="171"/>
        <v>10982</v>
      </c>
      <c r="P52" s="733">
        <f t="shared" si="171"/>
        <v>10893</v>
      </c>
      <c r="Q52" s="733">
        <f t="shared" si="172"/>
        <v>9275</v>
      </c>
      <c r="R52" s="733">
        <f t="shared" si="172"/>
        <v>9970</v>
      </c>
      <c r="S52" s="733">
        <f t="shared" si="173"/>
        <v>11240</v>
      </c>
      <c r="T52" s="733">
        <f t="shared" si="173"/>
        <v>12253</v>
      </c>
      <c r="U52" s="733">
        <f t="shared" ref="U52:V52" si="182">ROUND(U$5*U109/U$74,0)</f>
        <v>12827</v>
      </c>
      <c r="V52" s="733">
        <f t="shared" si="182"/>
        <v>13398</v>
      </c>
      <c r="W52" s="733">
        <f t="shared" ref="W52:X52" si="183">ROUND(W$5*W109/W$74,0)</f>
        <v>13725</v>
      </c>
      <c r="X52" s="733">
        <f t="shared" si="183"/>
        <v>14133</v>
      </c>
    </row>
    <row r="53" spans="1:24">
      <c r="A53" s="730">
        <v>481</v>
      </c>
      <c r="B53" s="730" t="s">
        <v>209</v>
      </c>
      <c r="C53" s="733">
        <f t="shared" si="165"/>
        <v>902</v>
      </c>
      <c r="D53" s="733">
        <f t="shared" si="165"/>
        <v>1328</v>
      </c>
      <c r="E53" s="733">
        <f t="shared" si="166"/>
        <v>2483</v>
      </c>
      <c r="F53" s="733">
        <f t="shared" si="166"/>
        <v>1638</v>
      </c>
      <c r="G53" s="733">
        <f t="shared" si="167"/>
        <v>1288</v>
      </c>
      <c r="H53" s="733">
        <f t="shared" si="167"/>
        <v>1418</v>
      </c>
      <c r="I53" s="733">
        <f t="shared" si="168"/>
        <v>4136</v>
      </c>
      <c r="J53" s="733">
        <f t="shared" si="168"/>
        <v>2321</v>
      </c>
      <c r="K53" s="733">
        <f t="shared" si="169"/>
        <v>2928</v>
      </c>
      <c r="L53" s="733">
        <f t="shared" si="169"/>
        <v>2782</v>
      </c>
      <c r="M53" s="733">
        <f t="shared" si="170"/>
        <v>2152</v>
      </c>
      <c r="N53" s="733">
        <f t="shared" si="170"/>
        <v>4620</v>
      </c>
      <c r="O53" s="733">
        <f t="shared" si="171"/>
        <v>3422</v>
      </c>
      <c r="P53" s="733">
        <f t="shared" si="171"/>
        <v>4172</v>
      </c>
      <c r="Q53" s="733">
        <f t="shared" si="172"/>
        <v>3604</v>
      </c>
      <c r="R53" s="733">
        <f t="shared" si="172"/>
        <v>3604</v>
      </c>
      <c r="S53" s="733">
        <f t="shared" si="173"/>
        <v>4244</v>
      </c>
      <c r="T53" s="733">
        <f t="shared" si="173"/>
        <v>4603</v>
      </c>
      <c r="U53" s="733">
        <f t="shared" ref="U53:V53" si="184">ROUND(U$5*U110/U$74,0)</f>
        <v>4766</v>
      </c>
      <c r="V53" s="733">
        <f t="shared" si="184"/>
        <v>5024</v>
      </c>
      <c r="W53" s="733">
        <f t="shared" ref="W53:X53" si="185">ROUND(W$5*W110/W$74,0)</f>
        <v>5134</v>
      </c>
      <c r="X53" s="733">
        <f t="shared" si="185"/>
        <v>5279</v>
      </c>
    </row>
    <row r="54" spans="1:24">
      <c r="A54" s="730">
        <v>501</v>
      </c>
      <c r="B54" s="730" t="s">
        <v>335</v>
      </c>
      <c r="C54" s="733">
        <f t="shared" si="165"/>
        <v>2125</v>
      </c>
      <c r="D54" s="733">
        <f t="shared" si="165"/>
        <v>769</v>
      </c>
      <c r="E54" s="733">
        <f t="shared" si="166"/>
        <v>783</v>
      </c>
      <c r="F54" s="733">
        <f t="shared" si="166"/>
        <v>419</v>
      </c>
      <c r="G54" s="733">
        <f t="shared" si="167"/>
        <v>483</v>
      </c>
      <c r="H54" s="733">
        <f t="shared" si="167"/>
        <v>802</v>
      </c>
      <c r="I54" s="733">
        <f t="shared" si="168"/>
        <v>1098</v>
      </c>
      <c r="J54" s="733">
        <f t="shared" si="168"/>
        <v>905</v>
      </c>
      <c r="K54" s="733">
        <f t="shared" si="169"/>
        <v>1211</v>
      </c>
      <c r="L54" s="733">
        <f t="shared" si="169"/>
        <v>1834</v>
      </c>
      <c r="M54" s="733">
        <f t="shared" si="170"/>
        <v>1643</v>
      </c>
      <c r="N54" s="733">
        <f t="shared" si="170"/>
        <v>1351</v>
      </c>
      <c r="O54" s="733">
        <f t="shared" si="171"/>
        <v>1390</v>
      </c>
      <c r="P54" s="733">
        <f t="shared" si="171"/>
        <v>1179</v>
      </c>
      <c r="Q54" s="733">
        <f t="shared" si="172"/>
        <v>1154</v>
      </c>
      <c r="R54" s="733">
        <f t="shared" si="172"/>
        <v>1190</v>
      </c>
      <c r="S54" s="733">
        <f t="shared" si="173"/>
        <v>1316</v>
      </c>
      <c r="T54" s="733">
        <f t="shared" si="173"/>
        <v>1473</v>
      </c>
      <c r="U54" s="733">
        <f t="shared" ref="U54:V54" si="186">ROUND(U$5*U111/U$74,0)</f>
        <v>1525</v>
      </c>
      <c r="V54" s="733">
        <f t="shared" si="186"/>
        <v>1590</v>
      </c>
      <c r="W54" s="733">
        <f t="shared" ref="W54:X54" si="187">ROUND(W$5*W111/W$74,0)</f>
        <v>1637</v>
      </c>
      <c r="X54" s="733">
        <f t="shared" si="187"/>
        <v>1681</v>
      </c>
    </row>
    <row r="55" spans="1:24">
      <c r="A55" s="728">
        <v>7</v>
      </c>
      <c r="B55" s="728" t="s">
        <v>210</v>
      </c>
      <c r="C55" s="734">
        <f>SUM(C56:C60)</f>
        <v>25875</v>
      </c>
      <c r="D55" s="734">
        <f>SUM(D56:D60)</f>
        <v>21715</v>
      </c>
      <c r="E55" s="734">
        <f t="shared" ref="E55:J55" si="188">SUM(E56:E60)</f>
        <v>19423</v>
      </c>
      <c r="F55" s="734">
        <f t="shared" si="188"/>
        <v>16032</v>
      </c>
      <c r="G55" s="734">
        <f t="shared" si="188"/>
        <v>15833</v>
      </c>
      <c r="H55" s="734">
        <f t="shared" si="188"/>
        <v>36394</v>
      </c>
      <c r="I55" s="734">
        <f t="shared" si="188"/>
        <v>21181</v>
      </c>
      <c r="J55" s="734">
        <f t="shared" si="188"/>
        <v>18855</v>
      </c>
      <c r="K55" s="734">
        <f t="shared" ref="K55:P55" si="189">SUM(K56:K60)</f>
        <v>24250</v>
      </c>
      <c r="L55" s="734">
        <f t="shared" si="189"/>
        <v>17752</v>
      </c>
      <c r="M55" s="734">
        <f t="shared" si="189"/>
        <v>25848</v>
      </c>
      <c r="N55" s="734">
        <f t="shared" si="189"/>
        <v>86040</v>
      </c>
      <c r="O55" s="734">
        <f t="shared" si="189"/>
        <v>28076</v>
      </c>
      <c r="P55" s="734">
        <f t="shared" si="189"/>
        <v>23139</v>
      </c>
      <c r="Q55" s="734">
        <f t="shared" ref="Q55:V55" si="190">SUM(Q56:Q60)</f>
        <v>39549</v>
      </c>
      <c r="R55" s="734">
        <f t="shared" si="190"/>
        <v>29378</v>
      </c>
      <c r="S55" s="734">
        <f t="shared" si="190"/>
        <v>34544</v>
      </c>
      <c r="T55" s="734">
        <f t="shared" si="190"/>
        <v>41836</v>
      </c>
      <c r="U55" s="734">
        <f t="shared" si="190"/>
        <v>40320</v>
      </c>
      <c r="V55" s="734">
        <f t="shared" si="190"/>
        <v>42995</v>
      </c>
      <c r="W55" s="734">
        <f t="shared" ref="W55:X55" si="191">SUM(W56:W60)</f>
        <v>44674</v>
      </c>
      <c r="X55" s="734">
        <f t="shared" si="191"/>
        <v>45261</v>
      </c>
    </row>
    <row r="56" spans="1:24">
      <c r="A56" s="730">
        <v>209</v>
      </c>
      <c r="B56" s="730" t="s">
        <v>336</v>
      </c>
      <c r="C56" s="733">
        <f t="shared" ref="C56:D60" si="192">ROUND(C$5*C113/C$74,0)</f>
        <v>9660</v>
      </c>
      <c r="D56" s="733">
        <f t="shared" si="192"/>
        <v>7326</v>
      </c>
      <c r="E56" s="733">
        <f t="shared" ref="E56:F60" si="193">ROUND(E$5*E113/E$74,0)</f>
        <v>8183</v>
      </c>
      <c r="F56" s="733">
        <f t="shared" si="193"/>
        <v>7033</v>
      </c>
      <c r="G56" s="733">
        <f t="shared" ref="G56:H60" si="194">ROUND(G$5*G113/G$74,0)</f>
        <v>3092</v>
      </c>
      <c r="H56" s="733">
        <f t="shared" si="194"/>
        <v>25160</v>
      </c>
      <c r="I56" s="733">
        <f t="shared" ref="I56:J60" si="195">ROUND(I$5*I113/I$74,0)</f>
        <v>11075</v>
      </c>
      <c r="J56" s="733">
        <f t="shared" si="195"/>
        <v>8496</v>
      </c>
      <c r="K56" s="733">
        <f t="shared" ref="K56:L60" si="196">ROUND(K$5*K113/K$74,0)</f>
        <v>5772</v>
      </c>
      <c r="L56" s="733">
        <f t="shared" si="196"/>
        <v>8296</v>
      </c>
      <c r="M56" s="733">
        <f t="shared" ref="M56:N60" si="197">ROUND(M$5*M113/M$74,0)</f>
        <v>10505</v>
      </c>
      <c r="N56" s="733">
        <f t="shared" si="197"/>
        <v>8688</v>
      </c>
      <c r="O56" s="733">
        <f t="shared" ref="O56:P60" si="198">ROUND(O$5*O113/O$74,0)</f>
        <v>10048</v>
      </c>
      <c r="P56" s="733">
        <f t="shared" si="198"/>
        <v>9166</v>
      </c>
      <c r="Q56" s="733">
        <f t="shared" ref="Q56:R60" si="199">ROUND(Q$5*Q113/Q$74,0)</f>
        <v>8239</v>
      </c>
      <c r="R56" s="733">
        <f t="shared" si="199"/>
        <v>8778</v>
      </c>
      <c r="S56" s="733">
        <f t="shared" ref="S56:T60" si="200">ROUND(S$5*S113/S$74,0)</f>
        <v>9770</v>
      </c>
      <c r="T56" s="733">
        <f t="shared" si="200"/>
        <v>10772</v>
      </c>
      <c r="U56" s="733">
        <f t="shared" ref="U56:V56" si="201">ROUND(U$5*U113/U$74,0)</f>
        <v>11239</v>
      </c>
      <c r="V56" s="733">
        <f t="shared" si="201"/>
        <v>11720</v>
      </c>
      <c r="W56" s="733">
        <f t="shared" ref="W56:X56" si="202">ROUND(W$5*W113/W$74,0)</f>
        <v>12032</v>
      </c>
      <c r="X56" s="733">
        <f t="shared" si="202"/>
        <v>12379</v>
      </c>
    </row>
    <row r="57" spans="1:24">
      <c r="A57" s="730">
        <v>222</v>
      </c>
      <c r="B57" s="730" t="s">
        <v>337</v>
      </c>
      <c r="C57" s="733">
        <f t="shared" si="192"/>
        <v>2892</v>
      </c>
      <c r="D57" s="733">
        <f t="shared" si="192"/>
        <v>5545</v>
      </c>
      <c r="E57" s="733">
        <f t="shared" si="193"/>
        <v>4251</v>
      </c>
      <c r="F57" s="733">
        <f t="shared" si="193"/>
        <v>3911</v>
      </c>
      <c r="G57" s="733">
        <f t="shared" si="194"/>
        <v>2683</v>
      </c>
      <c r="H57" s="733">
        <f t="shared" si="194"/>
        <v>3178</v>
      </c>
      <c r="I57" s="733">
        <f t="shared" si="195"/>
        <v>3786</v>
      </c>
      <c r="J57" s="733">
        <f t="shared" si="195"/>
        <v>2890</v>
      </c>
      <c r="K57" s="733">
        <f t="shared" si="196"/>
        <v>7147</v>
      </c>
      <c r="L57" s="733">
        <f t="shared" si="196"/>
        <v>5587</v>
      </c>
      <c r="M57" s="733">
        <f t="shared" si="197"/>
        <v>5378</v>
      </c>
      <c r="N57" s="733">
        <f t="shared" si="197"/>
        <v>5053</v>
      </c>
      <c r="O57" s="733">
        <f t="shared" si="198"/>
        <v>6140</v>
      </c>
      <c r="P57" s="733">
        <f t="shared" si="198"/>
        <v>3180</v>
      </c>
      <c r="Q57" s="733">
        <f t="shared" si="199"/>
        <v>4197</v>
      </c>
      <c r="R57" s="733">
        <f t="shared" si="199"/>
        <v>4290</v>
      </c>
      <c r="S57" s="733">
        <f t="shared" si="200"/>
        <v>4367</v>
      </c>
      <c r="T57" s="733">
        <f t="shared" si="200"/>
        <v>5186</v>
      </c>
      <c r="U57" s="733">
        <f t="shared" ref="U57:V57" si="203">ROUND(U$5*U114/U$74,0)</f>
        <v>5309</v>
      </c>
      <c r="V57" s="733">
        <f t="shared" si="203"/>
        <v>5472</v>
      </c>
      <c r="W57" s="733">
        <f t="shared" ref="W57:X57" si="204">ROUND(W$5*W114/W$74,0)</f>
        <v>5698</v>
      </c>
      <c r="X57" s="733">
        <f t="shared" si="204"/>
        <v>5830</v>
      </c>
    </row>
    <row r="58" spans="1:24">
      <c r="A58" s="730">
        <v>225</v>
      </c>
      <c r="B58" s="730" t="s">
        <v>222</v>
      </c>
      <c r="C58" s="733">
        <f t="shared" si="192"/>
        <v>12577</v>
      </c>
      <c r="D58" s="733">
        <f t="shared" si="192"/>
        <v>7606</v>
      </c>
      <c r="E58" s="733">
        <f t="shared" si="193"/>
        <v>5650</v>
      </c>
      <c r="F58" s="733">
        <f t="shared" si="193"/>
        <v>4236</v>
      </c>
      <c r="G58" s="733">
        <f t="shared" si="194"/>
        <v>9302</v>
      </c>
      <c r="H58" s="733">
        <f t="shared" si="194"/>
        <v>7115</v>
      </c>
      <c r="I58" s="733">
        <f t="shared" si="195"/>
        <v>5394</v>
      </c>
      <c r="J58" s="733">
        <f t="shared" si="195"/>
        <v>6423</v>
      </c>
      <c r="K58" s="733">
        <f t="shared" si="196"/>
        <v>10434</v>
      </c>
      <c r="L58" s="733">
        <f t="shared" si="196"/>
        <v>2771</v>
      </c>
      <c r="M58" s="733">
        <f t="shared" si="197"/>
        <v>9250</v>
      </c>
      <c r="N58" s="733">
        <f t="shared" si="197"/>
        <v>71036</v>
      </c>
      <c r="O58" s="733">
        <f t="shared" si="198"/>
        <v>8998</v>
      </c>
      <c r="P58" s="733">
        <f t="shared" si="198"/>
        <v>9606</v>
      </c>
      <c r="Q58" s="733">
        <f t="shared" si="199"/>
        <v>25548</v>
      </c>
      <c r="R58" s="733">
        <f t="shared" si="199"/>
        <v>14532</v>
      </c>
      <c r="S58" s="733">
        <f t="shared" si="200"/>
        <v>18711</v>
      </c>
      <c r="T58" s="733">
        <f t="shared" si="200"/>
        <v>23846</v>
      </c>
      <c r="U58" s="733">
        <f t="shared" ref="U58:V58" si="205">ROUND(U$5*U115/U$74,0)</f>
        <v>21656</v>
      </c>
      <c r="V58" s="733">
        <f t="shared" si="205"/>
        <v>23653</v>
      </c>
      <c r="W58" s="733">
        <f t="shared" ref="W58:X58" si="206">ROUND(W$5*W115/W$74,0)</f>
        <v>24697</v>
      </c>
      <c r="X58" s="733">
        <f t="shared" si="206"/>
        <v>24747</v>
      </c>
    </row>
    <row r="59" spans="1:24">
      <c r="A59" s="730">
        <v>585</v>
      </c>
      <c r="B59" s="730" t="s">
        <v>220</v>
      </c>
      <c r="C59" s="733">
        <f t="shared" si="192"/>
        <v>309</v>
      </c>
      <c r="D59" s="733">
        <f t="shared" si="192"/>
        <v>501</v>
      </c>
      <c r="E59" s="733">
        <f t="shared" si="193"/>
        <v>781</v>
      </c>
      <c r="F59" s="733">
        <f t="shared" si="193"/>
        <v>264</v>
      </c>
      <c r="G59" s="733">
        <f t="shared" si="194"/>
        <v>413</v>
      </c>
      <c r="H59" s="733">
        <f t="shared" si="194"/>
        <v>224</v>
      </c>
      <c r="I59" s="733">
        <f t="shared" si="195"/>
        <v>523</v>
      </c>
      <c r="J59" s="733">
        <f t="shared" si="195"/>
        <v>511</v>
      </c>
      <c r="K59" s="733">
        <f t="shared" si="196"/>
        <v>532</v>
      </c>
      <c r="L59" s="733">
        <f t="shared" si="196"/>
        <v>547</v>
      </c>
      <c r="M59" s="733">
        <f t="shared" si="197"/>
        <v>379</v>
      </c>
      <c r="N59" s="733">
        <f t="shared" si="197"/>
        <v>547</v>
      </c>
      <c r="O59" s="733">
        <f t="shared" si="198"/>
        <v>2163</v>
      </c>
      <c r="P59" s="733">
        <f t="shared" si="198"/>
        <v>738</v>
      </c>
      <c r="Q59" s="733">
        <f t="shared" si="199"/>
        <v>1012</v>
      </c>
      <c r="R59" s="733">
        <f t="shared" si="199"/>
        <v>1228</v>
      </c>
      <c r="S59" s="733">
        <f t="shared" si="200"/>
        <v>1115</v>
      </c>
      <c r="T59" s="733">
        <f t="shared" si="200"/>
        <v>1353</v>
      </c>
      <c r="U59" s="733">
        <f t="shared" ref="U59:V59" si="207">ROUND(U$5*U116/U$74,0)</f>
        <v>1422</v>
      </c>
      <c r="V59" s="733">
        <f t="shared" si="207"/>
        <v>1431</v>
      </c>
      <c r="W59" s="733">
        <f t="shared" ref="W59:X59" si="208">ROUND(W$5*W116/W$74,0)</f>
        <v>1501</v>
      </c>
      <c r="X59" s="733">
        <f t="shared" si="208"/>
        <v>1541</v>
      </c>
    </row>
    <row r="60" spans="1:24">
      <c r="A60" s="731">
        <v>586</v>
      </c>
      <c r="B60" s="731" t="s">
        <v>338</v>
      </c>
      <c r="C60" s="733">
        <f t="shared" si="192"/>
        <v>437</v>
      </c>
      <c r="D60" s="733">
        <f t="shared" si="192"/>
        <v>737</v>
      </c>
      <c r="E60" s="733">
        <f t="shared" si="193"/>
        <v>558</v>
      </c>
      <c r="F60" s="733">
        <f t="shared" si="193"/>
        <v>588</v>
      </c>
      <c r="G60" s="733">
        <f t="shared" si="194"/>
        <v>343</v>
      </c>
      <c r="H60" s="733">
        <f t="shared" si="194"/>
        <v>717</v>
      </c>
      <c r="I60" s="733">
        <f t="shared" si="195"/>
        <v>403</v>
      </c>
      <c r="J60" s="733">
        <f t="shared" si="195"/>
        <v>535</v>
      </c>
      <c r="K60" s="733">
        <f t="shared" si="196"/>
        <v>365</v>
      </c>
      <c r="L60" s="733">
        <f t="shared" si="196"/>
        <v>551</v>
      </c>
      <c r="M60" s="733">
        <f t="shared" si="197"/>
        <v>336</v>
      </c>
      <c r="N60" s="733">
        <f t="shared" si="197"/>
        <v>716</v>
      </c>
      <c r="O60" s="733">
        <f t="shared" si="198"/>
        <v>727</v>
      </c>
      <c r="P60" s="733">
        <f t="shared" si="198"/>
        <v>449</v>
      </c>
      <c r="Q60" s="733">
        <f t="shared" si="199"/>
        <v>553</v>
      </c>
      <c r="R60" s="733">
        <f t="shared" si="199"/>
        <v>550</v>
      </c>
      <c r="S60" s="733">
        <f t="shared" si="200"/>
        <v>581</v>
      </c>
      <c r="T60" s="733">
        <f t="shared" si="200"/>
        <v>679</v>
      </c>
      <c r="U60" s="733">
        <f t="shared" ref="U60:V60" si="209">ROUND(U$5*U117/U$74,0)</f>
        <v>694</v>
      </c>
      <c r="V60" s="733">
        <f t="shared" si="209"/>
        <v>719</v>
      </c>
      <c r="W60" s="733">
        <f t="shared" ref="W60:X60" si="210">ROUND(W$5*W117/W$74,0)</f>
        <v>746</v>
      </c>
      <c r="X60" s="733">
        <f t="shared" si="210"/>
        <v>764</v>
      </c>
    </row>
    <row r="61" spans="1:24">
      <c r="A61" s="730">
        <v>8</v>
      </c>
      <c r="B61" s="730" t="s">
        <v>211</v>
      </c>
      <c r="C61" s="734">
        <f>SUM(C62:C63)</f>
        <v>20348</v>
      </c>
      <c r="D61" s="734">
        <f>SUM(D62:D63)</f>
        <v>19746</v>
      </c>
      <c r="E61" s="734">
        <f t="shared" ref="E61:J61" si="211">SUM(E62:E63)</f>
        <v>19536</v>
      </c>
      <c r="F61" s="734">
        <f t="shared" si="211"/>
        <v>9719</v>
      </c>
      <c r="G61" s="734">
        <f t="shared" si="211"/>
        <v>18192</v>
      </c>
      <c r="H61" s="734">
        <f t="shared" si="211"/>
        <v>18650</v>
      </c>
      <c r="I61" s="734">
        <f t="shared" si="211"/>
        <v>14502</v>
      </c>
      <c r="J61" s="734">
        <f t="shared" si="211"/>
        <v>17424</v>
      </c>
      <c r="K61" s="734">
        <f t="shared" ref="K61:P61" si="212">SUM(K62:K63)</f>
        <v>35695</v>
      </c>
      <c r="L61" s="734">
        <f t="shared" si="212"/>
        <v>46631</v>
      </c>
      <c r="M61" s="734">
        <f t="shared" si="212"/>
        <v>19849</v>
      </c>
      <c r="N61" s="734">
        <f t="shared" si="212"/>
        <v>19730</v>
      </c>
      <c r="O61" s="734">
        <f t="shared" si="212"/>
        <v>20736</v>
      </c>
      <c r="P61" s="734">
        <f t="shared" si="212"/>
        <v>20637</v>
      </c>
      <c r="Q61" s="734">
        <f t="shared" ref="Q61:V61" si="213">SUM(Q62:Q63)</f>
        <v>18052</v>
      </c>
      <c r="R61" s="734">
        <f t="shared" si="213"/>
        <v>19033</v>
      </c>
      <c r="S61" s="734">
        <f t="shared" si="213"/>
        <v>21533</v>
      </c>
      <c r="T61" s="734">
        <f t="shared" si="213"/>
        <v>23566</v>
      </c>
      <c r="U61" s="734">
        <f t="shared" si="213"/>
        <v>24576</v>
      </c>
      <c r="V61" s="734">
        <f t="shared" si="213"/>
        <v>25701</v>
      </c>
      <c r="W61" s="734">
        <f t="shared" ref="W61:X61" si="214">SUM(W62:W63)</f>
        <v>26340</v>
      </c>
      <c r="X61" s="734">
        <f t="shared" si="214"/>
        <v>27104</v>
      </c>
    </row>
    <row r="62" spans="1:24">
      <c r="A62" s="730">
        <v>221</v>
      </c>
      <c r="B62" s="730" t="s">
        <v>1154</v>
      </c>
      <c r="C62" s="733">
        <f>ROUND(C$5*C119/C$74,0)</f>
        <v>9470</v>
      </c>
      <c r="D62" s="733">
        <f>ROUND(D$5*D119/D$74,0)</f>
        <v>4481</v>
      </c>
      <c r="E62" s="733">
        <f t="shared" ref="E62:G63" si="215">ROUND(E$5*E119/E$74,0)</f>
        <v>4018</v>
      </c>
      <c r="F62" s="733">
        <f t="shared" si="215"/>
        <v>4029</v>
      </c>
      <c r="G62" s="733">
        <f t="shared" si="215"/>
        <v>7528</v>
      </c>
      <c r="H62" s="733">
        <f t="shared" ref="H62:J63" si="216">ROUND(H$5*H119/H$74,0)</f>
        <v>7632</v>
      </c>
      <c r="I62" s="733">
        <f t="shared" si="216"/>
        <v>4957</v>
      </c>
      <c r="J62" s="733">
        <f t="shared" si="216"/>
        <v>7054</v>
      </c>
      <c r="K62" s="733">
        <f t="shared" ref="K62:M63" si="217">ROUND(K$5*K119/K$74,0)</f>
        <v>4790</v>
      </c>
      <c r="L62" s="733">
        <f t="shared" si="217"/>
        <v>5904</v>
      </c>
      <c r="M62" s="733">
        <f t="shared" si="217"/>
        <v>6794</v>
      </c>
      <c r="N62" s="733">
        <f t="shared" ref="N62:P63" si="218">ROUND(N$5*N119/N$74,0)</f>
        <v>6875</v>
      </c>
      <c r="O62" s="733">
        <f t="shared" si="218"/>
        <v>9219</v>
      </c>
      <c r="P62" s="733">
        <f t="shared" si="218"/>
        <v>6316</v>
      </c>
      <c r="Q62" s="733">
        <f t="shared" ref="Q62:S63" si="219">ROUND(Q$5*Q119/Q$74,0)</f>
        <v>6589</v>
      </c>
      <c r="R62" s="733">
        <f t="shared" si="219"/>
        <v>7041</v>
      </c>
      <c r="S62" s="733">
        <f t="shared" si="219"/>
        <v>7452</v>
      </c>
      <c r="T62" s="733">
        <f t="shared" ref="T62:U62" si="220">ROUND(T$5*T119/T$74,0)</f>
        <v>8490</v>
      </c>
      <c r="U62" s="733">
        <f t="shared" si="220"/>
        <v>8816</v>
      </c>
      <c r="V62" s="733">
        <f t="shared" ref="V62:W62" si="221">ROUND(V$5*V119/V$74,0)</f>
        <v>9123</v>
      </c>
      <c r="W62" s="733">
        <f t="shared" si="221"/>
        <v>9429</v>
      </c>
      <c r="X62" s="733">
        <f t="shared" ref="X62" si="222">ROUND(X$5*X119/X$74,0)</f>
        <v>9682</v>
      </c>
    </row>
    <row r="63" spans="1:24">
      <c r="A63" s="730">
        <v>223</v>
      </c>
      <c r="B63" s="730" t="s">
        <v>223</v>
      </c>
      <c r="C63" s="735">
        <f>ROUND(C$5*C120/C$74,0)</f>
        <v>10878</v>
      </c>
      <c r="D63" s="735">
        <f>ROUND(D$5*D120/D$74,0)</f>
        <v>15265</v>
      </c>
      <c r="E63" s="735">
        <f t="shared" si="215"/>
        <v>15518</v>
      </c>
      <c r="F63" s="735">
        <f t="shared" si="215"/>
        <v>5690</v>
      </c>
      <c r="G63" s="735">
        <f t="shared" si="215"/>
        <v>10664</v>
      </c>
      <c r="H63" s="735">
        <f t="shared" si="216"/>
        <v>11018</v>
      </c>
      <c r="I63" s="735">
        <f t="shared" si="216"/>
        <v>9545</v>
      </c>
      <c r="J63" s="735">
        <f t="shared" si="216"/>
        <v>10370</v>
      </c>
      <c r="K63" s="735">
        <f t="shared" si="217"/>
        <v>30905</v>
      </c>
      <c r="L63" s="735">
        <f t="shared" si="217"/>
        <v>40727</v>
      </c>
      <c r="M63" s="735">
        <f t="shared" si="217"/>
        <v>13055</v>
      </c>
      <c r="N63" s="735">
        <f t="shared" si="218"/>
        <v>12855</v>
      </c>
      <c r="O63" s="735">
        <f t="shared" si="218"/>
        <v>11517</v>
      </c>
      <c r="P63" s="735">
        <f t="shared" si="218"/>
        <v>14321</v>
      </c>
      <c r="Q63" s="735">
        <f t="shared" si="219"/>
        <v>11463</v>
      </c>
      <c r="R63" s="735">
        <f t="shared" si="219"/>
        <v>11992</v>
      </c>
      <c r="S63" s="735">
        <f t="shared" si="219"/>
        <v>14081</v>
      </c>
      <c r="T63" s="735">
        <f t="shared" ref="T63:U63" si="223">ROUND(T$5*T120/T$74,0)</f>
        <v>15076</v>
      </c>
      <c r="U63" s="735">
        <f t="shared" si="223"/>
        <v>15760</v>
      </c>
      <c r="V63" s="735">
        <f t="shared" ref="V63:W63" si="224">ROUND(V$5*V120/V$74,0)</f>
        <v>16578</v>
      </c>
      <c r="W63" s="735">
        <f t="shared" si="224"/>
        <v>16911</v>
      </c>
      <c r="X63" s="735">
        <f t="shared" ref="X63" si="225">ROUND(X$5*X120/X$74,0)</f>
        <v>17422</v>
      </c>
    </row>
    <row r="64" spans="1:24">
      <c r="A64" s="728">
        <v>9</v>
      </c>
      <c r="B64" s="728" t="s">
        <v>212</v>
      </c>
      <c r="C64" s="734">
        <f>SUM(C65:C67)</f>
        <v>14839</v>
      </c>
      <c r="D64" s="734">
        <f>SUM(D65:D67)</f>
        <v>14012</v>
      </c>
      <c r="E64" s="734">
        <f t="shared" ref="E64:J64" si="226">SUM(E65:E67)</f>
        <v>17578</v>
      </c>
      <c r="F64" s="734">
        <f t="shared" si="226"/>
        <v>15391</v>
      </c>
      <c r="G64" s="734">
        <f t="shared" si="226"/>
        <v>27705</v>
      </c>
      <c r="H64" s="734">
        <f t="shared" si="226"/>
        <v>13279</v>
      </c>
      <c r="I64" s="734">
        <f t="shared" si="226"/>
        <v>11806</v>
      </c>
      <c r="J64" s="734">
        <f t="shared" si="226"/>
        <v>14527</v>
      </c>
      <c r="K64" s="734">
        <f t="shared" ref="K64:P64" si="227">SUM(K65:K67)</f>
        <v>7912</v>
      </c>
      <c r="L64" s="734">
        <f t="shared" si="227"/>
        <v>11828</v>
      </c>
      <c r="M64" s="734">
        <f t="shared" si="227"/>
        <v>26356</v>
      </c>
      <c r="N64" s="734">
        <f t="shared" si="227"/>
        <v>25778</v>
      </c>
      <c r="O64" s="734">
        <f t="shared" si="227"/>
        <v>12309</v>
      </c>
      <c r="P64" s="734">
        <f t="shared" si="227"/>
        <v>12792</v>
      </c>
      <c r="Q64" s="734">
        <f t="shared" ref="Q64:V64" si="228">SUM(Q65:Q67)</f>
        <v>14830</v>
      </c>
      <c r="R64" s="734">
        <f t="shared" si="228"/>
        <v>12881</v>
      </c>
      <c r="S64" s="734">
        <f t="shared" si="228"/>
        <v>15147</v>
      </c>
      <c r="T64" s="734">
        <f t="shared" si="228"/>
        <v>17274</v>
      </c>
      <c r="U64" s="734">
        <f t="shared" si="228"/>
        <v>17311</v>
      </c>
      <c r="V64" s="734">
        <f t="shared" si="228"/>
        <v>18340</v>
      </c>
      <c r="W64" s="734">
        <f t="shared" ref="W64:X64" si="229">SUM(W65:W67)</f>
        <v>18885</v>
      </c>
      <c r="X64" s="734">
        <f t="shared" si="229"/>
        <v>19289</v>
      </c>
    </row>
    <row r="65" spans="1:24">
      <c r="A65" s="730">
        <v>205</v>
      </c>
      <c r="B65" s="730" t="s">
        <v>339</v>
      </c>
      <c r="C65" s="733">
        <f t="shared" ref="C65:D67" si="230">ROUND(C$5*C122/C$74,0)</f>
        <v>9776</v>
      </c>
      <c r="D65" s="733">
        <f t="shared" si="230"/>
        <v>7417</v>
      </c>
      <c r="E65" s="733">
        <f t="shared" ref="E65:F67" si="231">ROUND(E$5*E122/E$74,0)</f>
        <v>10987</v>
      </c>
      <c r="F65" s="733">
        <f t="shared" si="231"/>
        <v>13196</v>
      </c>
      <c r="G65" s="733">
        <f t="shared" ref="G65:H67" si="232">ROUND(G$5*G122/G$74,0)</f>
        <v>22588</v>
      </c>
      <c r="H65" s="733">
        <f t="shared" si="232"/>
        <v>7024</v>
      </c>
      <c r="I65" s="733">
        <f t="shared" ref="I65:J67" si="233">ROUND(I$5*I122/I$74,0)</f>
        <v>6238</v>
      </c>
      <c r="J65" s="733">
        <f t="shared" si="233"/>
        <v>8160</v>
      </c>
      <c r="K65" s="733">
        <f t="shared" ref="K65:L67" si="234">ROUND(K$5*K122/K$74,0)</f>
        <v>3169</v>
      </c>
      <c r="L65" s="733">
        <f t="shared" si="234"/>
        <v>3463</v>
      </c>
      <c r="M65" s="733">
        <f t="shared" ref="M65:N67" si="235">ROUND(M$5*M122/M$74,0)</f>
        <v>18770</v>
      </c>
      <c r="N65" s="733">
        <f t="shared" si="235"/>
        <v>19540</v>
      </c>
      <c r="O65" s="733">
        <f t="shared" ref="O65:P67" si="236">ROUND(O$5*O122/O$74,0)</f>
        <v>5659</v>
      </c>
      <c r="P65" s="733">
        <f t="shared" si="236"/>
        <v>8366</v>
      </c>
      <c r="Q65" s="733">
        <f t="shared" ref="Q65:R67" si="237">ROUND(Q$5*Q122/Q$74,0)</f>
        <v>9759</v>
      </c>
      <c r="R65" s="733">
        <f t="shared" si="237"/>
        <v>7736</v>
      </c>
      <c r="S65" s="733">
        <f t="shared" ref="S65:T67" si="238">ROUND(S$5*S122/S$74,0)</f>
        <v>9673</v>
      </c>
      <c r="T65" s="733">
        <f t="shared" si="238"/>
        <v>10951</v>
      </c>
      <c r="U65" s="733">
        <f t="shared" ref="U65:V65" si="239">ROUND(U$5*U122/U$74,0)</f>
        <v>10816</v>
      </c>
      <c r="V65" s="733">
        <f t="shared" si="239"/>
        <v>11599</v>
      </c>
      <c r="W65" s="733">
        <f t="shared" ref="W65:X65" si="240">ROUND(W$5*W122/W$74,0)</f>
        <v>11906</v>
      </c>
      <c r="X65" s="733">
        <f t="shared" si="240"/>
        <v>12138</v>
      </c>
    </row>
    <row r="66" spans="1:24">
      <c r="A66" s="730">
        <v>224</v>
      </c>
      <c r="B66" s="730" t="s">
        <v>224</v>
      </c>
      <c r="C66" s="733">
        <f t="shared" si="230"/>
        <v>3545</v>
      </c>
      <c r="D66" s="733">
        <f t="shared" si="230"/>
        <v>3914</v>
      </c>
      <c r="E66" s="733">
        <f t="shared" si="231"/>
        <v>3789</v>
      </c>
      <c r="F66" s="733">
        <f t="shared" si="231"/>
        <v>674</v>
      </c>
      <c r="G66" s="733">
        <f t="shared" si="232"/>
        <v>3331</v>
      </c>
      <c r="H66" s="733">
        <f t="shared" si="232"/>
        <v>1384</v>
      </c>
      <c r="I66" s="733">
        <f t="shared" si="233"/>
        <v>2717</v>
      </c>
      <c r="J66" s="733">
        <f t="shared" si="233"/>
        <v>2366</v>
      </c>
      <c r="K66" s="733">
        <f t="shared" si="234"/>
        <v>1658</v>
      </c>
      <c r="L66" s="733">
        <f t="shared" si="234"/>
        <v>3895</v>
      </c>
      <c r="M66" s="733">
        <f t="shared" si="235"/>
        <v>5526</v>
      </c>
      <c r="N66" s="733">
        <f t="shared" si="235"/>
        <v>3752</v>
      </c>
      <c r="O66" s="733">
        <f t="shared" si="236"/>
        <v>3662</v>
      </c>
      <c r="P66" s="733">
        <f t="shared" si="236"/>
        <v>1543</v>
      </c>
      <c r="Q66" s="733">
        <f t="shared" si="237"/>
        <v>2598</v>
      </c>
      <c r="R66" s="733">
        <f t="shared" si="237"/>
        <v>2476</v>
      </c>
      <c r="S66" s="733">
        <f t="shared" si="238"/>
        <v>2481</v>
      </c>
      <c r="T66" s="733">
        <f t="shared" si="238"/>
        <v>3053</v>
      </c>
      <c r="U66" s="733">
        <f t="shared" ref="U66:V66" si="241">ROUND(U$5*U123/U$74,0)</f>
        <v>3070</v>
      </c>
      <c r="V66" s="733">
        <f t="shared" si="241"/>
        <v>3167</v>
      </c>
      <c r="W66" s="733">
        <f t="shared" ref="W66:X66" si="242">ROUND(W$5*W123/W$74,0)</f>
        <v>3316</v>
      </c>
      <c r="X66" s="733">
        <f t="shared" si="242"/>
        <v>3379</v>
      </c>
    </row>
    <row r="67" spans="1:24">
      <c r="A67" s="731">
        <v>226</v>
      </c>
      <c r="B67" s="731" t="s">
        <v>225</v>
      </c>
      <c r="C67" s="735">
        <f t="shared" si="230"/>
        <v>1518</v>
      </c>
      <c r="D67" s="735">
        <f t="shared" si="230"/>
        <v>2681</v>
      </c>
      <c r="E67" s="735">
        <f t="shared" si="231"/>
        <v>2802</v>
      </c>
      <c r="F67" s="735">
        <f t="shared" si="231"/>
        <v>1521</v>
      </c>
      <c r="G67" s="735">
        <f t="shared" si="232"/>
        <v>1786</v>
      </c>
      <c r="H67" s="735">
        <f t="shared" si="232"/>
        <v>4871</v>
      </c>
      <c r="I67" s="735">
        <f t="shared" si="233"/>
        <v>2851</v>
      </c>
      <c r="J67" s="735">
        <f t="shared" si="233"/>
        <v>4001</v>
      </c>
      <c r="K67" s="735">
        <f t="shared" si="234"/>
        <v>3085</v>
      </c>
      <c r="L67" s="735">
        <f t="shared" si="234"/>
        <v>4470</v>
      </c>
      <c r="M67" s="735">
        <f t="shared" si="235"/>
        <v>2060</v>
      </c>
      <c r="N67" s="735">
        <f t="shared" si="235"/>
        <v>2486</v>
      </c>
      <c r="O67" s="735">
        <f t="shared" si="236"/>
        <v>2988</v>
      </c>
      <c r="P67" s="735">
        <f t="shared" si="236"/>
        <v>2883</v>
      </c>
      <c r="Q67" s="735">
        <f t="shared" si="237"/>
        <v>2473</v>
      </c>
      <c r="R67" s="735">
        <f t="shared" si="237"/>
        <v>2669</v>
      </c>
      <c r="S67" s="735">
        <f t="shared" si="238"/>
        <v>2993</v>
      </c>
      <c r="T67" s="735">
        <f t="shared" si="238"/>
        <v>3270</v>
      </c>
      <c r="U67" s="735">
        <f t="shared" ref="U67:V67" si="243">ROUND(U$5*U124/U$74,0)</f>
        <v>3425</v>
      </c>
      <c r="V67" s="735">
        <f t="shared" si="243"/>
        <v>3574</v>
      </c>
      <c r="W67" s="735">
        <f t="shared" ref="W67:X67" si="244">ROUND(W$5*W124/W$74,0)</f>
        <v>3663</v>
      </c>
      <c r="X67" s="735">
        <f t="shared" si="244"/>
        <v>3772</v>
      </c>
    </row>
    <row r="70" spans="1:24">
      <c r="D70" s="74" t="s">
        <v>812</v>
      </c>
      <c r="G70" s="75" t="s">
        <v>1001</v>
      </c>
      <c r="H70" s="75" t="s">
        <v>1001</v>
      </c>
      <c r="I70" s="75" t="s">
        <v>1001</v>
      </c>
      <c r="J70" s="75" t="s">
        <v>1067</v>
      </c>
      <c r="K70" s="75" t="s">
        <v>11</v>
      </c>
      <c r="L70" s="75" t="s">
        <v>11</v>
      </c>
      <c r="M70" s="75" t="s">
        <v>11</v>
      </c>
      <c r="N70" s="75" t="s">
        <v>11</v>
      </c>
      <c r="O70" s="75" t="s">
        <v>11</v>
      </c>
      <c r="U70" s="935" t="s">
        <v>948</v>
      </c>
      <c r="V70" s="75" t="s">
        <v>14</v>
      </c>
      <c r="W70" s="75" t="s">
        <v>14</v>
      </c>
      <c r="X70" s="75" t="s">
        <v>14</v>
      </c>
    </row>
    <row r="71" spans="1:24">
      <c r="A71" s="728"/>
      <c r="B71" s="729" t="s">
        <v>319</v>
      </c>
      <c r="C71" s="83">
        <v>2006</v>
      </c>
      <c r="D71" s="83">
        <v>2007</v>
      </c>
      <c r="E71" s="83">
        <v>2008</v>
      </c>
      <c r="F71" s="83">
        <v>2009</v>
      </c>
      <c r="G71" s="83">
        <v>2010</v>
      </c>
      <c r="H71" s="83">
        <v>2011</v>
      </c>
      <c r="I71" s="804">
        <v>2012</v>
      </c>
      <c r="J71" s="804">
        <v>2013</v>
      </c>
      <c r="K71" s="804">
        <v>2014</v>
      </c>
      <c r="L71" s="804">
        <v>2015</v>
      </c>
      <c r="M71" s="804">
        <v>2016</v>
      </c>
      <c r="N71" s="804">
        <v>2017</v>
      </c>
      <c r="O71" s="804">
        <v>2018</v>
      </c>
      <c r="P71" s="804">
        <v>2019</v>
      </c>
      <c r="Q71" s="804">
        <v>2020</v>
      </c>
      <c r="R71" s="804">
        <v>2021</v>
      </c>
      <c r="S71" s="804">
        <v>2022</v>
      </c>
      <c r="T71" s="804">
        <v>2023</v>
      </c>
      <c r="U71" s="804">
        <v>2024</v>
      </c>
      <c r="V71" s="804">
        <v>2025</v>
      </c>
      <c r="W71" s="804">
        <v>2026</v>
      </c>
      <c r="X71" s="476">
        <v>2027</v>
      </c>
    </row>
    <row r="72" spans="1:24" ht="14.25" customHeight="1">
      <c r="A72" s="730"/>
      <c r="B72" s="730"/>
      <c r="C72" s="77" t="s">
        <v>369</v>
      </c>
      <c r="D72" s="77" t="s">
        <v>370</v>
      </c>
      <c r="E72" s="77" t="s">
        <v>858</v>
      </c>
      <c r="F72" s="77" t="s">
        <v>859</v>
      </c>
      <c r="G72" s="77" t="s">
        <v>912</v>
      </c>
      <c r="H72" s="77" t="s">
        <v>101</v>
      </c>
      <c r="I72" s="75" t="s">
        <v>118</v>
      </c>
      <c r="J72" s="75" t="s">
        <v>119</v>
      </c>
      <c r="K72" s="75" t="s">
        <v>67</v>
      </c>
      <c r="L72" s="75" t="s">
        <v>157</v>
      </c>
      <c r="M72" s="75" t="s">
        <v>1000</v>
      </c>
      <c r="N72" s="75" t="s">
        <v>1036</v>
      </c>
      <c r="O72" s="75" t="s">
        <v>1062</v>
      </c>
      <c r="P72" s="75" t="s">
        <v>1161</v>
      </c>
      <c r="Q72" s="75" t="s">
        <v>1129</v>
      </c>
      <c r="R72" s="75" t="s">
        <v>1160</v>
      </c>
      <c r="S72" s="75" t="s">
        <v>1200</v>
      </c>
      <c r="T72" s="75" t="s">
        <v>1234</v>
      </c>
      <c r="U72" s="75" t="s">
        <v>1561</v>
      </c>
      <c r="V72" s="75" t="s">
        <v>1603</v>
      </c>
      <c r="W72" s="75" t="s">
        <v>1745</v>
      </c>
      <c r="X72" s="491" t="s">
        <v>1783</v>
      </c>
    </row>
    <row r="73" spans="1:24">
      <c r="A73" s="731"/>
      <c r="B73" s="731" t="s">
        <v>320</v>
      </c>
      <c r="C73" s="259"/>
      <c r="D73" s="259" t="s">
        <v>672</v>
      </c>
      <c r="E73" s="259" t="s">
        <v>672</v>
      </c>
      <c r="F73" s="259" t="s">
        <v>672</v>
      </c>
      <c r="G73" s="259" t="s">
        <v>672</v>
      </c>
      <c r="H73" s="259" t="s">
        <v>672</v>
      </c>
      <c r="I73" s="132"/>
      <c r="J73" s="132"/>
      <c r="K73" s="132"/>
      <c r="L73" s="132"/>
      <c r="M73" s="132"/>
      <c r="N73" s="132"/>
      <c r="O73" s="132"/>
      <c r="P73" s="132"/>
      <c r="Q73" s="132"/>
      <c r="R73" s="132"/>
      <c r="S73" s="132"/>
      <c r="T73" s="132"/>
      <c r="U73" s="132"/>
      <c r="X73" s="477"/>
    </row>
    <row r="74" spans="1:24">
      <c r="A74" s="732"/>
      <c r="B74" s="732" t="s">
        <v>603</v>
      </c>
      <c r="C74" s="84">
        <f>C75+C76+C80+C86+C92+C99+C104+C112+C118+C121</f>
        <v>70874484</v>
      </c>
      <c r="D74" s="84">
        <f>D75+D76+D80+D86+D92+D99+D104+D112+D118+D121</f>
        <v>69897539</v>
      </c>
      <c r="E74" s="84">
        <f t="shared" ref="E74:J74" si="245">E75+E76+E80+E86+E92+E99+E104+E112+E118+E121</f>
        <v>81346884</v>
      </c>
      <c r="F74" s="84">
        <f t="shared" si="245"/>
        <v>69898823</v>
      </c>
      <c r="G74" s="84">
        <f t="shared" si="245"/>
        <v>61169102</v>
      </c>
      <c r="H74" s="84">
        <f t="shared" si="245"/>
        <v>49630631</v>
      </c>
      <c r="I74" s="84">
        <f t="shared" si="245"/>
        <v>52968708</v>
      </c>
      <c r="J74" s="84">
        <f t="shared" si="245"/>
        <v>46988658</v>
      </c>
      <c r="K74" s="84">
        <f t="shared" ref="K74:P74" si="246">K75+K76+K80+K86+K92+K99+K104+K112+K118+K121</f>
        <v>52945556</v>
      </c>
      <c r="L74" s="84">
        <f t="shared" si="246"/>
        <v>46540985</v>
      </c>
      <c r="M74" s="84">
        <f t="shared" si="246"/>
        <v>61500391</v>
      </c>
      <c r="N74" s="84">
        <f t="shared" si="246"/>
        <v>62692531</v>
      </c>
      <c r="O74" s="84">
        <f t="shared" si="246"/>
        <v>62783687</v>
      </c>
      <c r="P74" s="84">
        <f t="shared" si="246"/>
        <v>67923836</v>
      </c>
      <c r="Q74" s="84">
        <f t="shared" ref="Q74:V74" si="247">Q75+Q76+Q80+Q86+Q92+Q99+Q104+Q112+Q118+Q121</f>
        <v>64466685</v>
      </c>
      <c r="R74" s="84">
        <f t="shared" si="247"/>
        <v>65058068</v>
      </c>
      <c r="S74" s="84">
        <f t="shared" si="247"/>
        <v>65816199</v>
      </c>
      <c r="T74" s="84">
        <f t="shared" si="247"/>
        <v>65113651</v>
      </c>
      <c r="U74" s="84">
        <f t="shared" si="247"/>
        <v>65329306</v>
      </c>
      <c r="V74" s="84">
        <f t="shared" si="247"/>
        <v>65419719</v>
      </c>
      <c r="W74" s="84">
        <f t="shared" ref="W74:X74" si="248">W75+W76+W80+W86+W92+W99+W104+W112+W118+W121</f>
        <v>65287558</v>
      </c>
      <c r="X74" s="84">
        <f t="shared" si="248"/>
        <v>65345528</v>
      </c>
    </row>
    <row r="75" spans="1:24">
      <c r="A75" s="730">
        <v>100</v>
      </c>
      <c r="B75" s="730" t="s">
        <v>172</v>
      </c>
      <c r="C75" s="733">
        <f>民間設備製造2!S17</f>
        <v>12149933</v>
      </c>
      <c r="D75" s="733">
        <f>民間設備製造2!T17</f>
        <v>10199966</v>
      </c>
      <c r="E75" s="733">
        <f>民間設備製造2!U17</f>
        <v>11793919</v>
      </c>
      <c r="F75" s="733">
        <f>民間設備製造2!V17</f>
        <v>9740542</v>
      </c>
      <c r="G75" s="733">
        <f>民間設備製造2!W17</f>
        <v>8005873</v>
      </c>
      <c r="H75" s="733">
        <f>民間設備製造2!X17</f>
        <v>7301455</v>
      </c>
      <c r="I75" s="733">
        <f>民間設備製造2!Y17</f>
        <v>9441497</v>
      </c>
      <c r="J75" s="733">
        <f>民間設備製造2!Z17</f>
        <v>8396614</v>
      </c>
      <c r="K75" s="733">
        <f>民間設備製造2!AA17</f>
        <v>6866856</v>
      </c>
      <c r="L75" s="733">
        <f>民間設備製造2!AB17</f>
        <v>9518403</v>
      </c>
      <c r="M75" s="733">
        <f>民間設備製造2!AC17</f>
        <v>11118845</v>
      </c>
      <c r="N75" s="733">
        <f>民間設備製造2!AD17</f>
        <v>9485734</v>
      </c>
      <c r="O75" s="733">
        <f>民間設備製造2!AE17</f>
        <v>8490188</v>
      </c>
      <c r="P75" s="733">
        <f>民間設備製造2!AF17</f>
        <v>10180972</v>
      </c>
      <c r="Q75" s="733">
        <f>民間設備製造2!AG17</f>
        <v>9385631</v>
      </c>
      <c r="R75" s="733">
        <f>民間設備製造2!AH17</f>
        <v>9352264</v>
      </c>
      <c r="S75" s="733">
        <f>民間設備製造2!AI17</f>
        <v>9639622</v>
      </c>
      <c r="T75" s="733">
        <f>民間設備製造2!AJ17</f>
        <v>9459172</v>
      </c>
      <c r="U75" s="733">
        <f>民間設備製造2!AK17</f>
        <v>9483686</v>
      </c>
      <c r="V75" s="733">
        <f>民間設備製造2!AL17</f>
        <v>9527493</v>
      </c>
      <c r="W75" s="733">
        <f>民間設備製造2!AM17</f>
        <v>9490117</v>
      </c>
      <c r="X75" s="733">
        <f>民間設備製造2!AN17</f>
        <v>9500432</v>
      </c>
    </row>
    <row r="76" spans="1:24">
      <c r="A76" s="728">
        <v>1</v>
      </c>
      <c r="B76" s="728" t="s">
        <v>328</v>
      </c>
      <c r="C76" s="734">
        <f>SUM(C77:C79)</f>
        <v>15644922</v>
      </c>
      <c r="D76" s="734">
        <f>SUM(D77:D79)</f>
        <v>15038281</v>
      </c>
      <c r="E76" s="734">
        <f t="shared" ref="E76:J76" si="249">SUM(E77:E79)</f>
        <v>22030850</v>
      </c>
      <c r="F76" s="734">
        <f t="shared" si="249"/>
        <v>19955884</v>
      </c>
      <c r="G76" s="734">
        <f t="shared" si="249"/>
        <v>8765090</v>
      </c>
      <c r="H76" s="734">
        <f t="shared" si="249"/>
        <v>5671891</v>
      </c>
      <c r="I76" s="734">
        <f t="shared" si="249"/>
        <v>4775396</v>
      </c>
      <c r="J76" s="734">
        <f t="shared" si="249"/>
        <v>4688334</v>
      </c>
      <c r="K76" s="734">
        <f t="shared" ref="K76:P76" si="250">SUM(K77:K79)</f>
        <v>5167940</v>
      </c>
      <c r="L76" s="734">
        <f t="shared" si="250"/>
        <v>5016090</v>
      </c>
      <c r="M76" s="734">
        <f t="shared" si="250"/>
        <v>6160668</v>
      </c>
      <c r="N76" s="734">
        <f t="shared" si="250"/>
        <v>3881258</v>
      </c>
      <c r="O76" s="734">
        <f t="shared" si="250"/>
        <v>5062725</v>
      </c>
      <c r="P76" s="734">
        <f t="shared" si="250"/>
        <v>5115047</v>
      </c>
      <c r="Q76" s="734">
        <f t="shared" ref="Q76:V76" si="251">SUM(Q77:Q79)</f>
        <v>4686344</v>
      </c>
      <c r="R76" s="734">
        <f t="shared" si="251"/>
        <v>4954705</v>
      </c>
      <c r="S76" s="734">
        <f t="shared" si="251"/>
        <v>4918699</v>
      </c>
      <c r="T76" s="734">
        <f t="shared" si="251"/>
        <v>4853250</v>
      </c>
      <c r="U76" s="734">
        <f t="shared" si="251"/>
        <v>4908885</v>
      </c>
      <c r="V76" s="734">
        <f t="shared" si="251"/>
        <v>4893611</v>
      </c>
      <c r="W76" s="734">
        <f t="shared" ref="W76:X76" si="252">SUM(W77:W79)</f>
        <v>4885249</v>
      </c>
      <c r="X76" s="734">
        <f t="shared" si="252"/>
        <v>4895915</v>
      </c>
    </row>
    <row r="77" spans="1:24">
      <c r="A77" s="730">
        <v>202</v>
      </c>
      <c r="B77" s="730" t="s">
        <v>183</v>
      </c>
      <c r="C77" s="733">
        <f>民間設備製造2!S19</f>
        <v>14569685</v>
      </c>
      <c r="D77" s="733">
        <f>民間設備製造2!T19</f>
        <v>13980412</v>
      </c>
      <c r="E77" s="733">
        <f>民間設備製造2!U19</f>
        <v>20905211</v>
      </c>
      <c r="F77" s="733">
        <f>民間設備製造2!V19</f>
        <v>19167308</v>
      </c>
      <c r="G77" s="733">
        <f>民間設備製造2!W19</f>
        <v>7910717</v>
      </c>
      <c r="H77" s="733">
        <f>民間設備製造2!X19</f>
        <v>5126109</v>
      </c>
      <c r="I77" s="733">
        <f>民間設備製造2!Y19</f>
        <v>4026005</v>
      </c>
      <c r="J77" s="733">
        <f>民間設備製造2!Z19</f>
        <v>4084106</v>
      </c>
      <c r="K77" s="733">
        <f>民間設備製造2!AA19</f>
        <v>4579030</v>
      </c>
      <c r="L77" s="733">
        <f>民間設備製造2!AB19</f>
        <v>4442365</v>
      </c>
      <c r="M77" s="733">
        <f>民間設備製造2!AC19</f>
        <v>5366514</v>
      </c>
      <c r="N77" s="733">
        <f>民間設備製造2!AD19</f>
        <v>3336081</v>
      </c>
      <c r="O77" s="733">
        <f>民間設備製造2!AE19</f>
        <v>4239278</v>
      </c>
      <c r="P77" s="733">
        <f>民間設備製造2!AF19</f>
        <v>4446349</v>
      </c>
      <c r="Q77" s="733">
        <f>民間設備製造2!AG19</f>
        <v>4007236</v>
      </c>
      <c r="R77" s="733">
        <f>民間設備製造2!AH19</f>
        <v>4230954</v>
      </c>
      <c r="S77" s="733">
        <f>民間設備製造2!AI19</f>
        <v>4228180</v>
      </c>
      <c r="T77" s="733">
        <f>民間設備製造2!AJ19</f>
        <v>4155457</v>
      </c>
      <c r="U77" s="733">
        <f>民間設備製造2!AK19</f>
        <v>4204864</v>
      </c>
      <c r="V77" s="733">
        <f>民間設備製造2!AL19</f>
        <v>4196167</v>
      </c>
      <c r="W77" s="733">
        <f>民間設備製造2!AM19</f>
        <v>4185496</v>
      </c>
      <c r="X77" s="733">
        <f>民間設備製造2!AN19</f>
        <v>4195509</v>
      </c>
    </row>
    <row r="78" spans="1:24">
      <c r="A78" s="730">
        <v>204</v>
      </c>
      <c r="B78" s="730" t="s">
        <v>184</v>
      </c>
      <c r="C78" s="733">
        <f>民間設備製造2!S21</f>
        <v>1075237</v>
      </c>
      <c r="D78" s="733">
        <f>民間設備製造2!T21</f>
        <v>1056239</v>
      </c>
      <c r="E78" s="733">
        <f>民間設備製造2!U21</f>
        <v>1125639</v>
      </c>
      <c r="F78" s="733">
        <f>民間設備製造2!V21</f>
        <v>788576</v>
      </c>
      <c r="G78" s="733">
        <f>民間設備製造2!W21</f>
        <v>853482</v>
      </c>
      <c r="H78" s="733">
        <f>民間設備製造2!X21</f>
        <v>541301</v>
      </c>
      <c r="I78" s="733">
        <f>民間設備製造2!Y21</f>
        <v>740430</v>
      </c>
      <c r="J78" s="733">
        <f>民間設備製造2!Z21</f>
        <v>598972</v>
      </c>
      <c r="K78" s="733">
        <f>民間設備製造2!AA21</f>
        <v>583577</v>
      </c>
      <c r="L78" s="733">
        <f>民間設備製造2!AB21</f>
        <v>571714</v>
      </c>
      <c r="M78" s="733">
        <f>民間設備製造2!AC21</f>
        <v>791670</v>
      </c>
      <c r="N78" s="733">
        <f>民間設備製造2!AD21</f>
        <v>544853</v>
      </c>
      <c r="O78" s="733">
        <f>民間設備製造2!AE21</f>
        <v>820315</v>
      </c>
      <c r="P78" s="733">
        <f>民間設備製造2!AF21</f>
        <v>666980</v>
      </c>
      <c r="Q78" s="733">
        <f>民間設備製造2!AG21</f>
        <v>677383</v>
      </c>
      <c r="R78" s="733">
        <f>民間設備製造2!AH21</f>
        <v>721559</v>
      </c>
      <c r="S78" s="733">
        <f>民間設備製造2!AI21</f>
        <v>688641</v>
      </c>
      <c r="T78" s="733">
        <f>民間設備製造2!AJ21</f>
        <v>695861</v>
      </c>
      <c r="U78" s="733">
        <f>民間設備製造2!AK21</f>
        <v>702020</v>
      </c>
      <c r="V78" s="733">
        <f>民間設備製造2!AL21</f>
        <v>695507</v>
      </c>
      <c r="W78" s="733">
        <f>民間設備製造2!AM21</f>
        <v>697796</v>
      </c>
      <c r="X78" s="733">
        <f>民間設備製造2!AN21</f>
        <v>698441</v>
      </c>
    </row>
    <row r="79" spans="1:24">
      <c r="A79" s="731">
        <v>206</v>
      </c>
      <c r="B79" s="731" t="s">
        <v>185</v>
      </c>
      <c r="C79" s="735">
        <f>民間設備製造2!S23</f>
        <v>0</v>
      </c>
      <c r="D79" s="735">
        <f>民間設備製造2!T23</f>
        <v>1630</v>
      </c>
      <c r="E79" s="735">
        <f>民間設備製造2!U23</f>
        <v>0</v>
      </c>
      <c r="F79" s="735">
        <f>民間設備製造2!V23</f>
        <v>0</v>
      </c>
      <c r="G79" s="735">
        <f>民間設備製造2!W23</f>
        <v>891</v>
      </c>
      <c r="H79" s="735">
        <f>民間設備製造2!X23</f>
        <v>4481</v>
      </c>
      <c r="I79" s="735">
        <f>民間設備製造2!Y23</f>
        <v>8961</v>
      </c>
      <c r="J79" s="735">
        <f>民間設備製造2!Z23</f>
        <v>5256</v>
      </c>
      <c r="K79" s="735">
        <f>民間設備製造2!AA23</f>
        <v>5333</v>
      </c>
      <c r="L79" s="735">
        <f>民間設備製造2!AB23</f>
        <v>2011</v>
      </c>
      <c r="M79" s="735">
        <f>民間設備製造2!AC23</f>
        <v>2484</v>
      </c>
      <c r="N79" s="735">
        <f>民間設備製造2!AD23</f>
        <v>324</v>
      </c>
      <c r="O79" s="735">
        <f>民間設備製造2!AE23</f>
        <v>3132</v>
      </c>
      <c r="P79" s="735">
        <f>民間設備製造2!AF23</f>
        <v>1718</v>
      </c>
      <c r="Q79" s="735">
        <f>民間設備製造2!AG23</f>
        <v>1725</v>
      </c>
      <c r="R79" s="735">
        <f>民間設備製造2!AH23</f>
        <v>2192</v>
      </c>
      <c r="S79" s="735">
        <f>民間設備製造2!AI23</f>
        <v>1878</v>
      </c>
      <c r="T79" s="735">
        <f>民間設備製造2!AJ23</f>
        <v>1932</v>
      </c>
      <c r="U79" s="735">
        <f>民間設備製造2!AK23</f>
        <v>2001</v>
      </c>
      <c r="V79" s="735">
        <f>民間設備製造2!AL23</f>
        <v>1937</v>
      </c>
      <c r="W79" s="735">
        <f>民間設備製造2!AM23</f>
        <v>1957</v>
      </c>
      <c r="X79" s="735">
        <f>民間設備製造2!AN23</f>
        <v>1965</v>
      </c>
    </row>
    <row r="80" spans="1:24">
      <c r="A80" s="730">
        <v>2</v>
      </c>
      <c r="B80" s="730" t="s">
        <v>324</v>
      </c>
      <c r="C80" s="733">
        <f>SUM(C81:C85)</f>
        <v>4028222</v>
      </c>
      <c r="D80" s="733">
        <f>SUM(D81:D85)</f>
        <v>4096405</v>
      </c>
      <c r="E80" s="733">
        <f t="shared" ref="E80:J80" si="253">SUM(E81:E85)</f>
        <v>4456210</v>
      </c>
      <c r="F80" s="733">
        <f t="shared" si="253"/>
        <v>2384283</v>
      </c>
      <c r="G80" s="733">
        <f t="shared" si="253"/>
        <v>2163088</v>
      </c>
      <c r="H80" s="733">
        <f t="shared" si="253"/>
        <v>2546510</v>
      </c>
      <c r="I80" s="733">
        <f t="shared" si="253"/>
        <v>3202003</v>
      </c>
      <c r="J80" s="733">
        <f t="shared" si="253"/>
        <v>3209715</v>
      </c>
      <c r="K80" s="733">
        <f t="shared" ref="K80:P80" si="254">SUM(K81:K85)</f>
        <v>3651683</v>
      </c>
      <c r="L80" s="733">
        <f t="shared" si="254"/>
        <v>3799694</v>
      </c>
      <c r="M80" s="733">
        <f t="shared" si="254"/>
        <v>5116323</v>
      </c>
      <c r="N80" s="733">
        <f t="shared" si="254"/>
        <v>5010434</v>
      </c>
      <c r="O80" s="733">
        <f t="shared" si="254"/>
        <v>5502072</v>
      </c>
      <c r="P80" s="733">
        <f t="shared" si="254"/>
        <v>5824989</v>
      </c>
      <c r="Q80" s="733">
        <f t="shared" ref="Q80:V80" si="255">SUM(Q81:Q85)</f>
        <v>5445832</v>
      </c>
      <c r="R80" s="733">
        <f t="shared" si="255"/>
        <v>5590964</v>
      </c>
      <c r="S80" s="733">
        <f t="shared" si="255"/>
        <v>5620595</v>
      </c>
      <c r="T80" s="733">
        <f t="shared" si="255"/>
        <v>5552464</v>
      </c>
      <c r="U80" s="733">
        <f t="shared" si="255"/>
        <v>5588007</v>
      </c>
      <c r="V80" s="733">
        <f t="shared" si="255"/>
        <v>5587022</v>
      </c>
      <c r="W80" s="733">
        <f t="shared" ref="W80:X80" si="256">SUM(W81:W85)</f>
        <v>5575832</v>
      </c>
      <c r="X80" s="733">
        <f t="shared" si="256"/>
        <v>5583620</v>
      </c>
    </row>
    <row r="81" spans="1:24">
      <c r="A81" s="730">
        <v>207</v>
      </c>
      <c r="B81" s="730" t="s">
        <v>187</v>
      </c>
      <c r="C81" s="733">
        <f>民間設備製造2!S24</f>
        <v>2503906</v>
      </c>
      <c r="D81" s="733">
        <f>民間設備製造2!T24</f>
        <v>2480990</v>
      </c>
      <c r="E81" s="733">
        <f>民間設備製造2!U24</f>
        <v>2637219</v>
      </c>
      <c r="F81" s="733">
        <f>民間設備製造2!V24</f>
        <v>1357620</v>
      </c>
      <c r="G81" s="733">
        <f>民間設備製造2!W24</f>
        <v>1073023</v>
      </c>
      <c r="H81" s="733">
        <f>民間設備製造2!X24</f>
        <v>1639251</v>
      </c>
      <c r="I81" s="733">
        <f>民間設備製造2!Y24</f>
        <v>1779814</v>
      </c>
      <c r="J81" s="733">
        <f>民間設備製造2!Z24</f>
        <v>2152827</v>
      </c>
      <c r="K81" s="733">
        <f>民間設備製造2!AA24</f>
        <v>2042706</v>
      </c>
      <c r="L81" s="733">
        <f>民間設備製造2!AB24</f>
        <v>2473986</v>
      </c>
      <c r="M81" s="733">
        <f>民間設備製造2!AC24</f>
        <v>3014561</v>
      </c>
      <c r="N81" s="733">
        <f>民間設備製造2!AD24</f>
        <v>2820723</v>
      </c>
      <c r="O81" s="733">
        <f>民間設備製造2!AE24</f>
        <v>2873240</v>
      </c>
      <c r="P81" s="733">
        <f>民間設備製造2!AF24</f>
        <v>3325535</v>
      </c>
      <c r="Q81" s="733">
        <f>民間設備製造2!AG24</f>
        <v>3006499</v>
      </c>
      <c r="R81" s="733">
        <f>民間設備製造2!AH24</f>
        <v>3068425</v>
      </c>
      <c r="S81" s="733">
        <f>民間設備製造2!AI24</f>
        <v>3133486</v>
      </c>
      <c r="T81" s="733">
        <f>民間設備製造2!AJ24</f>
        <v>3069470</v>
      </c>
      <c r="U81" s="733">
        <f>民間設備製造2!AK24</f>
        <v>3090460</v>
      </c>
      <c r="V81" s="733">
        <f>民間設備製造2!AL24</f>
        <v>3097805</v>
      </c>
      <c r="W81" s="733">
        <f>民間設備製造2!AM24</f>
        <v>3085912</v>
      </c>
      <c r="X81" s="733">
        <f>民間設備製造2!AN24</f>
        <v>3091392</v>
      </c>
    </row>
    <row r="82" spans="1:24">
      <c r="A82" s="730">
        <v>214</v>
      </c>
      <c r="B82" s="730" t="s">
        <v>188</v>
      </c>
      <c r="C82" s="733">
        <f>民間設備製造2!S30</f>
        <v>72797</v>
      </c>
      <c r="D82" s="733">
        <f>民間設備製造2!T30</f>
        <v>155553</v>
      </c>
      <c r="E82" s="733">
        <f>民間設備製造2!U30</f>
        <v>197409</v>
      </c>
      <c r="F82" s="733">
        <f>民間設備製造2!V30</f>
        <v>44976</v>
      </c>
      <c r="G82" s="733">
        <f>民間設備製造2!W30</f>
        <v>109764</v>
      </c>
      <c r="H82" s="733">
        <f>民間設備製造2!X30</f>
        <v>83468</v>
      </c>
      <c r="I82" s="733">
        <f>民間設備製造2!Y30</f>
        <v>111872</v>
      </c>
      <c r="J82" s="733">
        <f>民間設備製造2!Z30</f>
        <v>159627</v>
      </c>
      <c r="K82" s="733">
        <f>民間設備製造2!AA30</f>
        <v>136468</v>
      </c>
      <c r="L82" s="733">
        <f>民間設備製造2!AB30</f>
        <v>82591</v>
      </c>
      <c r="M82" s="733">
        <f>民間設備製造2!AC30</f>
        <v>90021</v>
      </c>
      <c r="N82" s="733">
        <f>民間設備製造2!AD30</f>
        <v>274908</v>
      </c>
      <c r="O82" s="733">
        <f>民間設備製造2!AE30</f>
        <v>157273</v>
      </c>
      <c r="P82" s="733">
        <f>民間設備製造2!AF30</f>
        <v>276829</v>
      </c>
      <c r="Q82" s="733">
        <f>民間設備製造2!AG30</f>
        <v>236337</v>
      </c>
      <c r="R82" s="733">
        <f>民間設備製造2!AH30</f>
        <v>223480</v>
      </c>
      <c r="S82" s="733">
        <f>民間設備製造2!AI30</f>
        <v>245549</v>
      </c>
      <c r="T82" s="733">
        <f>民間設備製造2!AJ30</f>
        <v>235122</v>
      </c>
      <c r="U82" s="733">
        <f>民間設備製造2!AK30</f>
        <v>234717</v>
      </c>
      <c r="V82" s="733">
        <f>民間設備製造2!AL30</f>
        <v>238463</v>
      </c>
      <c r="W82" s="733">
        <f>民間設備製造2!AM30</f>
        <v>236101</v>
      </c>
      <c r="X82" s="733">
        <f>民間設備製造2!AN30</f>
        <v>236427</v>
      </c>
    </row>
    <row r="83" spans="1:24">
      <c r="A83" s="730">
        <v>217</v>
      </c>
      <c r="B83" s="730" t="s">
        <v>189</v>
      </c>
      <c r="C83" s="733">
        <f>民間設備製造2!S33</f>
        <v>149610</v>
      </c>
      <c r="D83" s="733">
        <f>民間設備製造2!T33</f>
        <v>208220</v>
      </c>
      <c r="E83" s="733">
        <f>民間設備製造2!U33</f>
        <v>140944</v>
      </c>
      <c r="F83" s="733">
        <f>民間設備製造2!V33</f>
        <v>141763</v>
      </c>
      <c r="G83" s="733">
        <f>民間設備製造2!W33</f>
        <v>34279</v>
      </c>
      <c r="H83" s="733">
        <f>民間設備製造2!X33</f>
        <v>48373</v>
      </c>
      <c r="I83" s="733">
        <f>民間設備製造2!Y33</f>
        <v>114640</v>
      </c>
      <c r="J83" s="733">
        <f>民間設備製造2!Z33</f>
        <v>104776</v>
      </c>
      <c r="K83" s="733">
        <f>民間設備製造2!AA33</f>
        <v>176001</v>
      </c>
      <c r="L83" s="733">
        <f>民間設備製造2!AB33</f>
        <v>125974</v>
      </c>
      <c r="M83" s="733">
        <f>民間設備製造2!AC33</f>
        <v>127877</v>
      </c>
      <c r="N83" s="733">
        <f>民間設備製造2!AD33</f>
        <v>240268</v>
      </c>
      <c r="O83" s="733">
        <f>民間設備製造2!AE33</f>
        <v>243252</v>
      </c>
      <c r="P83" s="733">
        <f>民間設備製造2!AF33</f>
        <v>164452</v>
      </c>
      <c r="Q83" s="733">
        <f>民間設備製造2!AG33</f>
        <v>215991</v>
      </c>
      <c r="R83" s="733">
        <f>民間設備製造2!AH33</f>
        <v>207898</v>
      </c>
      <c r="S83" s="733">
        <f>民間設備製造2!AI33</f>
        <v>196114</v>
      </c>
      <c r="T83" s="733">
        <f>民間設備製造2!AJ33</f>
        <v>206668</v>
      </c>
      <c r="U83" s="733">
        <f>民間設備製造2!AK33</f>
        <v>203560</v>
      </c>
      <c r="V83" s="733">
        <f>民間設備製造2!AL33</f>
        <v>202114</v>
      </c>
      <c r="W83" s="733">
        <f>民間設備製造2!AM33</f>
        <v>204114</v>
      </c>
      <c r="X83" s="733">
        <f>民間設備製造2!AN33</f>
        <v>203263</v>
      </c>
    </row>
    <row r="84" spans="1:24">
      <c r="A84" s="730">
        <v>219</v>
      </c>
      <c r="B84" s="730" t="s">
        <v>190</v>
      </c>
      <c r="C84" s="733">
        <f>民間設備製造2!S35</f>
        <v>1210659</v>
      </c>
      <c r="D84" s="733">
        <f>民間設備製造2!T35</f>
        <v>1215497</v>
      </c>
      <c r="E84" s="733">
        <f>民間設備製造2!U35</f>
        <v>1465838</v>
      </c>
      <c r="F84" s="733">
        <f>民間設備製造2!V35</f>
        <v>832259</v>
      </c>
      <c r="G84" s="733">
        <f>民間設備製造2!W35</f>
        <v>912542</v>
      </c>
      <c r="H84" s="733">
        <f>民間設備製造2!X35</f>
        <v>749347</v>
      </c>
      <c r="I84" s="733">
        <f>民間設備製造2!Y35</f>
        <v>1190542</v>
      </c>
      <c r="J84" s="733">
        <f>民間設備製造2!Z35</f>
        <v>784867</v>
      </c>
      <c r="K84" s="733">
        <f>民間設備製造2!AA35</f>
        <v>1272288</v>
      </c>
      <c r="L84" s="733">
        <f>民間設備製造2!AB35</f>
        <v>1089455</v>
      </c>
      <c r="M84" s="733">
        <f>民間設備製造2!AC35</f>
        <v>1874894</v>
      </c>
      <c r="N84" s="733">
        <f>民間設備製造2!AD35</f>
        <v>1577625</v>
      </c>
      <c r="O84" s="733">
        <f>民間設備製造2!AE35</f>
        <v>2191114</v>
      </c>
      <c r="P84" s="733">
        <f>民間設備製造2!AF35</f>
        <v>2048331</v>
      </c>
      <c r="Q84" s="733">
        <f>民間設備製造2!AG35</f>
        <v>1939023</v>
      </c>
      <c r="R84" s="733">
        <f>民間設備製造2!AH35</f>
        <v>2059489</v>
      </c>
      <c r="S84" s="733">
        <f>民間設備製造2!AI35</f>
        <v>2015614</v>
      </c>
      <c r="T84" s="733">
        <f>民間設備製造2!AJ35</f>
        <v>2004709</v>
      </c>
      <c r="U84" s="733">
        <f>民間設備製造2!AK35</f>
        <v>2026604</v>
      </c>
      <c r="V84" s="733">
        <f>民間設備製造2!AL35</f>
        <v>2015642</v>
      </c>
      <c r="W84" s="733">
        <f>民間設備製造2!AM35</f>
        <v>2015652</v>
      </c>
      <c r="X84" s="733">
        <f>民間設備製造2!AN35</f>
        <v>2019299</v>
      </c>
    </row>
    <row r="85" spans="1:24">
      <c r="A85" s="730">
        <v>301</v>
      </c>
      <c r="B85" s="730" t="s">
        <v>191</v>
      </c>
      <c r="C85" s="733">
        <f>民間設備製造2!S46</f>
        <v>91250</v>
      </c>
      <c r="D85" s="733">
        <f>民間設備製造2!T46</f>
        <v>36145</v>
      </c>
      <c r="E85" s="733">
        <f>民間設備製造2!U46</f>
        <v>14800</v>
      </c>
      <c r="F85" s="733">
        <f>民間設備製造2!V46</f>
        <v>7665</v>
      </c>
      <c r="G85" s="733">
        <f>民間設備製造2!W46</f>
        <v>33480</v>
      </c>
      <c r="H85" s="733">
        <f>民間設備製造2!X46</f>
        <v>26071</v>
      </c>
      <c r="I85" s="733">
        <f>民間設備製造2!Y46</f>
        <v>5135</v>
      </c>
      <c r="J85" s="733">
        <f>民間設備製造2!Z46</f>
        <v>7618</v>
      </c>
      <c r="K85" s="733">
        <f>民間設備製造2!AA46</f>
        <v>24220</v>
      </c>
      <c r="L85" s="733">
        <f>民間設備製造2!AB46</f>
        <v>27688</v>
      </c>
      <c r="M85" s="733">
        <f>民間設備製造2!AC46</f>
        <v>8970</v>
      </c>
      <c r="N85" s="733">
        <f>民間設備製造2!AD46</f>
        <v>96910</v>
      </c>
      <c r="O85" s="733">
        <f>民間設備製造2!AE46</f>
        <v>37193</v>
      </c>
      <c r="P85" s="733">
        <f>民間設備製造2!AF46</f>
        <v>9842</v>
      </c>
      <c r="Q85" s="733">
        <f>民間設備製造2!AG46</f>
        <v>47982</v>
      </c>
      <c r="R85" s="733">
        <f>民間設備製造2!AH46</f>
        <v>31672</v>
      </c>
      <c r="S85" s="733">
        <f>民間設備製造2!AI46</f>
        <v>29832</v>
      </c>
      <c r="T85" s="733">
        <f>民間設備製造2!AJ46</f>
        <v>36495</v>
      </c>
      <c r="U85" s="733">
        <f>民間設備製造2!AK46</f>
        <v>32666</v>
      </c>
      <c r="V85" s="733">
        <f>民間設備製造2!AL46</f>
        <v>32998</v>
      </c>
      <c r="W85" s="733">
        <f>民間設備製造2!AM46</f>
        <v>34053</v>
      </c>
      <c r="X85" s="733">
        <f>民間設備製造2!AN46</f>
        <v>33239</v>
      </c>
    </row>
    <row r="86" spans="1:24">
      <c r="A86" s="728">
        <v>3</v>
      </c>
      <c r="B86" s="728" t="s">
        <v>192</v>
      </c>
      <c r="C86" s="734">
        <f>SUM(C87:C91)</f>
        <v>13794822</v>
      </c>
      <c r="D86" s="734">
        <f>SUM(D87:D91)</f>
        <v>14387675</v>
      </c>
      <c r="E86" s="734">
        <f t="shared" ref="E86:J86" si="257">SUM(E87:E91)</f>
        <v>19739559</v>
      </c>
      <c r="F86" s="734">
        <f t="shared" si="257"/>
        <v>20215783</v>
      </c>
      <c r="G86" s="734">
        <f t="shared" si="257"/>
        <v>12815128</v>
      </c>
      <c r="H86" s="734">
        <f t="shared" si="257"/>
        <v>15252716</v>
      </c>
      <c r="I86" s="734">
        <f t="shared" si="257"/>
        <v>14461658</v>
      </c>
      <c r="J86" s="734">
        <f t="shared" si="257"/>
        <v>12389454</v>
      </c>
      <c r="K86" s="734">
        <f t="shared" ref="K86:P86" si="258">SUM(K87:K91)</f>
        <v>20060872</v>
      </c>
      <c r="L86" s="734">
        <f t="shared" si="258"/>
        <v>11277767</v>
      </c>
      <c r="M86" s="734">
        <f t="shared" si="258"/>
        <v>16298654</v>
      </c>
      <c r="N86" s="734">
        <f t="shared" si="258"/>
        <v>19568106</v>
      </c>
      <c r="O86" s="734">
        <f t="shared" si="258"/>
        <v>16430560</v>
      </c>
      <c r="P86" s="734">
        <f t="shared" si="258"/>
        <v>19519649</v>
      </c>
      <c r="Q86" s="734">
        <f t="shared" ref="Q86:V86" si="259">SUM(Q87:Q91)</f>
        <v>18506105</v>
      </c>
      <c r="R86" s="734">
        <f t="shared" si="259"/>
        <v>18152105</v>
      </c>
      <c r="S86" s="734">
        <f t="shared" si="259"/>
        <v>18725953</v>
      </c>
      <c r="T86" s="734">
        <f t="shared" si="259"/>
        <v>18461388</v>
      </c>
      <c r="U86" s="734">
        <f t="shared" si="259"/>
        <v>18446482</v>
      </c>
      <c r="V86" s="734">
        <f t="shared" si="259"/>
        <v>18544608</v>
      </c>
      <c r="W86" s="734">
        <f t="shared" ref="W86:X86" si="260">SUM(W87:W91)</f>
        <v>18484159</v>
      </c>
      <c r="X86" s="734">
        <f t="shared" si="260"/>
        <v>18491750</v>
      </c>
    </row>
    <row r="87" spans="1:24">
      <c r="A87" s="730">
        <v>203</v>
      </c>
      <c r="B87" s="730" t="s">
        <v>193</v>
      </c>
      <c r="C87" s="733">
        <f>民間設備製造2!S20</f>
        <v>2772542</v>
      </c>
      <c r="D87" s="733">
        <f>民間設備製造2!T20</f>
        <v>2554207</v>
      </c>
      <c r="E87" s="733">
        <f>民間設備製造2!U20</f>
        <v>4476828</v>
      </c>
      <c r="F87" s="733">
        <f>民間設備製造2!V20</f>
        <v>3216271</v>
      </c>
      <c r="G87" s="733">
        <f>民間設備製造2!W20</f>
        <v>2485385</v>
      </c>
      <c r="H87" s="733">
        <f>民間設備製造2!X20</f>
        <v>2525368</v>
      </c>
      <c r="I87" s="733">
        <f>民間設備製造2!Y20</f>
        <v>2600928</v>
      </c>
      <c r="J87" s="733">
        <f>民間設備製造2!Z20</f>
        <v>2804996</v>
      </c>
      <c r="K87" s="733">
        <f>民間設備製造2!AA20</f>
        <v>3603568</v>
      </c>
      <c r="L87" s="733">
        <f>民間設備製造2!AB20</f>
        <v>2853586</v>
      </c>
      <c r="M87" s="733">
        <f>民間設備製造2!AC20</f>
        <v>4103841</v>
      </c>
      <c r="N87" s="733">
        <f>民間設備製造2!AD20</f>
        <v>4977936</v>
      </c>
      <c r="O87" s="733">
        <f>民間設備製造2!AE20</f>
        <v>4235012</v>
      </c>
      <c r="P87" s="733">
        <f>民間設備製造2!AF20</f>
        <v>4650240</v>
      </c>
      <c r="Q87" s="733">
        <f>民間設備製造2!AG20</f>
        <v>4621063</v>
      </c>
      <c r="R87" s="733">
        <f>民間設備製造2!AH20</f>
        <v>4502105</v>
      </c>
      <c r="S87" s="733">
        <f>民間設備製造2!AI20</f>
        <v>4591136</v>
      </c>
      <c r="T87" s="733">
        <f>民間設備製造2!AJ20</f>
        <v>4571435</v>
      </c>
      <c r="U87" s="733">
        <f>民間設備製造2!AK20</f>
        <v>4554892</v>
      </c>
      <c r="V87" s="733">
        <f>民間設備製造2!AL20</f>
        <v>4572488</v>
      </c>
      <c r="W87" s="733">
        <f>民間設備製造2!AM20</f>
        <v>4566272</v>
      </c>
      <c r="X87" s="733">
        <f>民間設備製造2!AN20</f>
        <v>4564551</v>
      </c>
    </row>
    <row r="88" spans="1:24">
      <c r="A88" s="730">
        <v>210</v>
      </c>
      <c r="B88" s="730" t="s">
        <v>194</v>
      </c>
      <c r="C88" s="733">
        <f>民間設備製造2!S27</f>
        <v>4489863</v>
      </c>
      <c r="D88" s="733">
        <f>民間設備製造2!T27</f>
        <v>5134392</v>
      </c>
      <c r="E88" s="733">
        <f>民間設備製造2!U27</f>
        <v>6356000</v>
      </c>
      <c r="F88" s="733">
        <f>民間設備製造2!V27</f>
        <v>7051176</v>
      </c>
      <c r="G88" s="733">
        <f>民間設備製造2!W27</f>
        <v>5411664</v>
      </c>
      <c r="H88" s="733">
        <f>民間設備製造2!X27</f>
        <v>8260110</v>
      </c>
      <c r="I88" s="733">
        <f>民間設備製造2!Y27</f>
        <v>6682624</v>
      </c>
      <c r="J88" s="733">
        <f>民間設備製造2!Z27</f>
        <v>4846985</v>
      </c>
      <c r="K88" s="733">
        <f>民間設備製造2!AA27</f>
        <v>6922151</v>
      </c>
      <c r="L88" s="733">
        <f>民間設備製造2!AB27</f>
        <v>4081725</v>
      </c>
      <c r="M88" s="733">
        <f>民間設備製造2!AC27</f>
        <v>6987073</v>
      </c>
      <c r="N88" s="733">
        <f>民間設備製造2!AD27</f>
        <v>7752716</v>
      </c>
      <c r="O88" s="733">
        <f>民間設備製造2!AE27</f>
        <v>5221864</v>
      </c>
      <c r="P88" s="733">
        <f>民間設備製造2!AF27</f>
        <v>5401834</v>
      </c>
      <c r="Q88" s="733">
        <f>民間設備製造2!AG27</f>
        <v>6125471</v>
      </c>
      <c r="R88" s="733">
        <f>民間設備製造2!AH27</f>
        <v>5583056</v>
      </c>
      <c r="S88" s="733">
        <f>民間設備製造2!AI27</f>
        <v>5703454</v>
      </c>
      <c r="T88" s="733">
        <f>民間設備製造2!AJ27</f>
        <v>5803994</v>
      </c>
      <c r="U88" s="733">
        <f>民間設備製造2!AK27</f>
        <v>5696835</v>
      </c>
      <c r="V88" s="733">
        <f>民間設備製造2!AL27</f>
        <v>5734761</v>
      </c>
      <c r="W88" s="733">
        <f>民間設備製造2!AM27</f>
        <v>5745197</v>
      </c>
      <c r="X88" s="733">
        <f>民間設備製造2!AN27</f>
        <v>5725598</v>
      </c>
    </row>
    <row r="89" spans="1:24">
      <c r="A89" s="730">
        <v>216</v>
      </c>
      <c r="B89" s="730" t="s">
        <v>195</v>
      </c>
      <c r="C89" s="733">
        <f>民間設備製造2!S32</f>
        <v>5299763</v>
      </c>
      <c r="D89" s="733">
        <f>民間設備製造2!T32</f>
        <v>4924631</v>
      </c>
      <c r="E89" s="733">
        <f>民間設備製造2!U32</f>
        <v>7008525</v>
      </c>
      <c r="F89" s="733">
        <f>民間設備製造2!V32</f>
        <v>8351710</v>
      </c>
      <c r="G89" s="733">
        <f>民間設備製造2!W32</f>
        <v>3969521</v>
      </c>
      <c r="H89" s="733">
        <f>民間設備製造2!X32</f>
        <v>3603619</v>
      </c>
      <c r="I89" s="733">
        <f>民間設備製造2!Y32</f>
        <v>4137296</v>
      </c>
      <c r="J89" s="733">
        <f>民間設備製造2!Z32</f>
        <v>3404310</v>
      </c>
      <c r="K89" s="733">
        <f>民間設備製造2!AA32</f>
        <v>8418111</v>
      </c>
      <c r="L89" s="733">
        <f>民間設備製造2!AB32</f>
        <v>3269006</v>
      </c>
      <c r="M89" s="733">
        <f>民間設備製造2!AC32</f>
        <v>3936030</v>
      </c>
      <c r="N89" s="733">
        <f>民間設備製造2!AD32</f>
        <v>4625134</v>
      </c>
      <c r="O89" s="733">
        <f>民間設備製造2!AE32</f>
        <v>4814722</v>
      </c>
      <c r="P89" s="733">
        <f>民間設備製造2!AF32</f>
        <v>7793795</v>
      </c>
      <c r="Q89" s="733">
        <f>民間設備製造2!AG32</f>
        <v>5744550</v>
      </c>
      <c r="R89" s="733">
        <f>民間設備製造2!AH32</f>
        <v>6117689</v>
      </c>
      <c r="S89" s="733">
        <f>民間設備製造2!AI32</f>
        <v>6552011</v>
      </c>
      <c r="T89" s="733">
        <f>民間設備製造2!AJ32</f>
        <v>6138083</v>
      </c>
      <c r="U89" s="733">
        <f>民間設備製造2!AK32</f>
        <v>6269261</v>
      </c>
      <c r="V89" s="733">
        <f>民間設備製造2!AL32</f>
        <v>6319785</v>
      </c>
      <c r="W89" s="733">
        <f>民間設備製造2!AM32</f>
        <v>6242376</v>
      </c>
      <c r="X89" s="733">
        <f>民間設備製造2!AN32</f>
        <v>6277141</v>
      </c>
    </row>
    <row r="90" spans="1:24">
      <c r="A90" s="730">
        <v>381</v>
      </c>
      <c r="B90" s="730" t="s">
        <v>196</v>
      </c>
      <c r="C90" s="733">
        <f>民間設備製造2!S48</f>
        <v>394069</v>
      </c>
      <c r="D90" s="733">
        <f>民間設備製造2!T48</f>
        <v>675705</v>
      </c>
      <c r="E90" s="733">
        <f>民間設備製造2!U48</f>
        <v>539609</v>
      </c>
      <c r="F90" s="733">
        <f>民間設備製造2!V48</f>
        <v>371344</v>
      </c>
      <c r="G90" s="733">
        <f>民間設備製造2!W48</f>
        <v>274022</v>
      </c>
      <c r="H90" s="733">
        <f>民間設備製造2!X48</f>
        <v>271248</v>
      </c>
      <c r="I90" s="733">
        <f>民間設備製造2!Y48</f>
        <v>370545</v>
      </c>
      <c r="J90" s="733">
        <f>民間設備製造2!Z48</f>
        <v>207717</v>
      </c>
      <c r="K90" s="733">
        <f>民間設備製造2!AA48</f>
        <v>290352</v>
      </c>
      <c r="L90" s="733">
        <f>民間設備製造2!AB48</f>
        <v>448156</v>
      </c>
      <c r="M90" s="733">
        <f>民間設備製造2!AC48</f>
        <v>256541</v>
      </c>
      <c r="N90" s="733">
        <f>民間設備製造2!AD48</f>
        <v>363788</v>
      </c>
      <c r="O90" s="733">
        <f>民間設備製造2!AE48</f>
        <v>731286</v>
      </c>
      <c r="P90" s="733">
        <f>民間設備製造2!AF48</f>
        <v>620059</v>
      </c>
      <c r="Q90" s="733">
        <f>民間設備製造2!AG48</f>
        <v>571711</v>
      </c>
      <c r="R90" s="733">
        <f>民間設備製造2!AH48</f>
        <v>641019</v>
      </c>
      <c r="S90" s="733">
        <f>民間設備製造2!AI48</f>
        <v>610930</v>
      </c>
      <c r="T90" s="733">
        <f>民間設備製造2!AJ48</f>
        <v>607887</v>
      </c>
      <c r="U90" s="733">
        <f>民間設備製造2!AK48</f>
        <v>619945</v>
      </c>
      <c r="V90" s="733">
        <f>民間設備製造2!AL48</f>
        <v>612921</v>
      </c>
      <c r="W90" s="733">
        <f>民間設備製造2!AM48</f>
        <v>613584</v>
      </c>
      <c r="X90" s="733">
        <f>民間設備製造2!AN48</f>
        <v>615483</v>
      </c>
    </row>
    <row r="91" spans="1:24">
      <c r="A91" s="730">
        <v>382</v>
      </c>
      <c r="B91" s="730" t="s">
        <v>197</v>
      </c>
      <c r="C91" s="733">
        <f>民間設備製造2!S49</f>
        <v>838585</v>
      </c>
      <c r="D91" s="733">
        <f>民間設備製造2!T49</f>
        <v>1098740</v>
      </c>
      <c r="E91" s="733">
        <f>民間設備製造2!U49</f>
        <v>1358597</v>
      </c>
      <c r="F91" s="733">
        <f>民間設備製造2!V49</f>
        <v>1225282</v>
      </c>
      <c r="G91" s="733">
        <f>民間設備製造2!W49</f>
        <v>674536</v>
      </c>
      <c r="H91" s="733">
        <f>民間設備製造2!X49</f>
        <v>592371</v>
      </c>
      <c r="I91" s="733">
        <f>民間設備製造2!Y49</f>
        <v>670265</v>
      </c>
      <c r="J91" s="733">
        <f>民間設備製造2!Z49</f>
        <v>1125446</v>
      </c>
      <c r="K91" s="733">
        <f>民間設備製造2!AA49</f>
        <v>826690</v>
      </c>
      <c r="L91" s="733">
        <f>民間設備製造2!AB49</f>
        <v>625294</v>
      </c>
      <c r="M91" s="733">
        <f>民間設備製造2!AC49</f>
        <v>1015169</v>
      </c>
      <c r="N91" s="733">
        <f>民間設備製造2!AD49</f>
        <v>1848532</v>
      </c>
      <c r="O91" s="733">
        <f>民間設備製造2!AE49</f>
        <v>1427676</v>
      </c>
      <c r="P91" s="733">
        <f>民間設備製造2!AF49</f>
        <v>1053721</v>
      </c>
      <c r="Q91" s="733">
        <f>民間設備製造2!AG49</f>
        <v>1443310</v>
      </c>
      <c r="R91" s="733">
        <f>民間設備製造2!AH49</f>
        <v>1308236</v>
      </c>
      <c r="S91" s="733">
        <f>民間設備製造2!AI49</f>
        <v>1268422</v>
      </c>
      <c r="T91" s="733">
        <f>民間設備製造2!AJ49</f>
        <v>1339989</v>
      </c>
      <c r="U91" s="733">
        <f>民間設備製造2!AK49</f>
        <v>1305549</v>
      </c>
      <c r="V91" s="733">
        <f>民間設備製造2!AL49</f>
        <v>1304653</v>
      </c>
      <c r="W91" s="733">
        <f>民間設備製造2!AM49</f>
        <v>1316730</v>
      </c>
      <c r="X91" s="733">
        <f>民間設備製造2!AN49</f>
        <v>1308977</v>
      </c>
    </row>
    <row r="92" spans="1:24">
      <c r="A92" s="728">
        <v>4</v>
      </c>
      <c r="B92" s="728" t="s">
        <v>325</v>
      </c>
      <c r="C92" s="734">
        <f>SUM(C93:C98)</f>
        <v>4013695</v>
      </c>
      <c r="D92" s="734">
        <f>SUM(D93:D98)</f>
        <v>5953579</v>
      </c>
      <c r="E92" s="734">
        <f t="shared" ref="E92:J92" si="261">SUM(E93:E98)</f>
        <v>3964311</v>
      </c>
      <c r="F92" s="734">
        <f t="shared" si="261"/>
        <v>2658467</v>
      </c>
      <c r="G92" s="734">
        <f t="shared" si="261"/>
        <v>2544826</v>
      </c>
      <c r="H92" s="734">
        <f t="shared" si="261"/>
        <v>5322890</v>
      </c>
      <c r="I92" s="734">
        <f t="shared" si="261"/>
        <v>5338292</v>
      </c>
      <c r="J92" s="734">
        <f t="shared" si="261"/>
        <v>4769374</v>
      </c>
      <c r="K92" s="734">
        <f t="shared" ref="K92:P92" si="262">SUM(K93:K98)</f>
        <v>3169520</v>
      </c>
      <c r="L92" s="734">
        <f t="shared" si="262"/>
        <v>2914374</v>
      </c>
      <c r="M92" s="734">
        <f t="shared" si="262"/>
        <v>4922152</v>
      </c>
      <c r="N92" s="734">
        <f t="shared" si="262"/>
        <v>4438698</v>
      </c>
      <c r="O92" s="734">
        <f t="shared" si="262"/>
        <v>4385795</v>
      </c>
      <c r="P92" s="734">
        <f t="shared" si="262"/>
        <v>5424821</v>
      </c>
      <c r="Q92" s="734">
        <f t="shared" ref="Q92:V92" si="263">SUM(Q93:Q98)</f>
        <v>4749771</v>
      </c>
      <c r="R92" s="734">
        <f t="shared" si="263"/>
        <v>4853462</v>
      </c>
      <c r="S92" s="734">
        <f t="shared" si="263"/>
        <v>5009352</v>
      </c>
      <c r="T92" s="734">
        <f t="shared" si="263"/>
        <v>4870861</v>
      </c>
      <c r="U92" s="734">
        <f t="shared" si="263"/>
        <v>4911224</v>
      </c>
      <c r="V92" s="734">
        <f t="shared" si="263"/>
        <v>4930479</v>
      </c>
      <c r="W92" s="734">
        <f t="shared" ref="W92:X92" si="264">SUM(W93:W98)</f>
        <v>4904188</v>
      </c>
      <c r="X92" s="734">
        <f t="shared" si="264"/>
        <v>4915297</v>
      </c>
    </row>
    <row r="93" spans="1:24">
      <c r="A93" s="730">
        <v>213</v>
      </c>
      <c r="B93" s="730" t="s">
        <v>199</v>
      </c>
      <c r="C93" s="733">
        <f>民間設備製造2!S29</f>
        <v>359792</v>
      </c>
      <c r="D93" s="733">
        <f>民間設備製造2!T29</f>
        <v>1470723</v>
      </c>
      <c r="E93" s="733">
        <f>民間設備製造2!U29</f>
        <v>365064</v>
      </c>
      <c r="F93" s="733">
        <f>民間設備製造2!V29</f>
        <v>174754</v>
      </c>
      <c r="G93" s="733">
        <f>民間設備製造2!W29</f>
        <v>116840</v>
      </c>
      <c r="H93" s="733">
        <f>民間設備製造2!X29</f>
        <v>1150909</v>
      </c>
      <c r="I93" s="733">
        <f>民間設備製造2!Y29</f>
        <v>117317</v>
      </c>
      <c r="J93" s="733">
        <f>民間設備製造2!Z29</f>
        <v>254727</v>
      </c>
      <c r="K93" s="733">
        <f>民間設備製造2!AA29</f>
        <v>118948</v>
      </c>
      <c r="L93" s="733">
        <f>民間設備製造2!AB29</f>
        <v>211311</v>
      </c>
      <c r="M93" s="733">
        <f>民間設備製造2!AC29</f>
        <v>296810</v>
      </c>
      <c r="N93" s="733">
        <f>民間設備製造2!AD29</f>
        <v>201385</v>
      </c>
      <c r="O93" s="733">
        <f>民間設備製造2!AE29</f>
        <v>161579</v>
      </c>
      <c r="P93" s="733">
        <f>民間設備製造2!AF29</f>
        <v>260349</v>
      </c>
      <c r="Q93" s="733">
        <f>民間設備製造2!AG29</f>
        <v>207771</v>
      </c>
      <c r="R93" s="733">
        <f>民間設備製造2!AH29</f>
        <v>209900</v>
      </c>
      <c r="S93" s="733">
        <f>民間設備製造2!AI29</f>
        <v>226007</v>
      </c>
      <c r="T93" s="733">
        <f>民間設備製造2!AJ29</f>
        <v>214559</v>
      </c>
      <c r="U93" s="733">
        <f>民間設備製造2!AK29</f>
        <v>216822</v>
      </c>
      <c r="V93" s="733">
        <f>民間設備製造2!AL29</f>
        <v>219129</v>
      </c>
      <c r="W93" s="733">
        <f>民間設備製造2!AM29</f>
        <v>216837</v>
      </c>
      <c r="X93" s="733">
        <f>民間設備製造2!AN29</f>
        <v>217596</v>
      </c>
    </row>
    <row r="94" spans="1:24">
      <c r="A94" s="730">
        <v>215</v>
      </c>
      <c r="B94" s="730" t="s">
        <v>329</v>
      </c>
      <c r="C94" s="733">
        <f>民間設備製造2!S31</f>
        <v>329448</v>
      </c>
      <c r="D94" s="733">
        <f>民間設備製造2!T31</f>
        <v>284089</v>
      </c>
      <c r="E94" s="733">
        <f>民間設備製造2!U31</f>
        <v>481820</v>
      </c>
      <c r="F94" s="733">
        <f>民間設備製造2!V31</f>
        <v>243293</v>
      </c>
      <c r="G94" s="733">
        <f>民間設備製造2!W31</f>
        <v>332304</v>
      </c>
      <c r="H94" s="733">
        <f>民間設備製造2!X31</f>
        <v>151900</v>
      </c>
      <c r="I94" s="733">
        <f>民間設備製造2!Y31</f>
        <v>954475</v>
      </c>
      <c r="J94" s="733">
        <f>民間設備製造2!Z31</f>
        <v>384796</v>
      </c>
      <c r="K94" s="733">
        <f>民間設備製造2!AA31</f>
        <v>526426</v>
      </c>
      <c r="L94" s="733">
        <f>民間設備製造2!AB31</f>
        <v>701495</v>
      </c>
      <c r="M94" s="733">
        <f>民間設備製造2!AC31</f>
        <v>491149</v>
      </c>
      <c r="N94" s="733">
        <f>民間設備製造2!AD31</f>
        <v>565235</v>
      </c>
      <c r="O94" s="733">
        <f>民間設備製造2!AE31</f>
        <v>798137</v>
      </c>
      <c r="P94" s="733">
        <f>民間設備製造2!AF31</f>
        <v>941760</v>
      </c>
      <c r="Q94" s="733">
        <f>民間設備製造2!AG31</f>
        <v>768377</v>
      </c>
      <c r="R94" s="733">
        <f>民間設備製造2!AH31</f>
        <v>836091</v>
      </c>
      <c r="S94" s="733">
        <f>民間設備製造2!AI31</f>
        <v>848743</v>
      </c>
      <c r="T94" s="733">
        <f>民間設備製造2!AJ31</f>
        <v>817737</v>
      </c>
      <c r="U94" s="733">
        <f>民間設備製造2!AK31</f>
        <v>834190</v>
      </c>
      <c r="V94" s="733">
        <f>民間設備製造2!AL31</f>
        <v>833557</v>
      </c>
      <c r="W94" s="733">
        <f>民間設備製造2!AM31</f>
        <v>828495</v>
      </c>
      <c r="X94" s="733">
        <f>民間設備製造2!AN31</f>
        <v>832081</v>
      </c>
    </row>
    <row r="95" spans="1:24">
      <c r="A95" s="730">
        <v>218</v>
      </c>
      <c r="B95" s="730" t="s">
        <v>200</v>
      </c>
      <c r="C95" s="733">
        <f>民間設備製造2!S34</f>
        <v>1468951</v>
      </c>
      <c r="D95" s="733">
        <f>民間設備製造2!T34</f>
        <v>995914</v>
      </c>
      <c r="E95" s="733">
        <f>民間設備製造2!U34</f>
        <v>1145480</v>
      </c>
      <c r="F95" s="733">
        <f>民間設備製造2!V34</f>
        <v>805696</v>
      </c>
      <c r="G95" s="733">
        <f>民間設備製造2!W34</f>
        <v>539517</v>
      </c>
      <c r="H95" s="733">
        <f>民間設備製造2!X34</f>
        <v>512974</v>
      </c>
      <c r="I95" s="733">
        <f>民間設備製造2!Y34</f>
        <v>1155961</v>
      </c>
      <c r="J95" s="733">
        <f>民間設備製造2!Z34</f>
        <v>2419825</v>
      </c>
      <c r="K95" s="733">
        <f>民間設備製造2!AA34</f>
        <v>831336</v>
      </c>
      <c r="L95" s="733">
        <f>民間設備製造2!AB34</f>
        <v>887628</v>
      </c>
      <c r="M95" s="733">
        <f>民間設備製造2!AC34</f>
        <v>2092873</v>
      </c>
      <c r="N95" s="733">
        <f>民間設備製造2!AD34</f>
        <v>909380</v>
      </c>
      <c r="O95" s="733">
        <f>民間設備製造2!AE34</f>
        <v>1110788</v>
      </c>
      <c r="P95" s="733">
        <f>民間設備製造2!AF34</f>
        <v>1230928</v>
      </c>
      <c r="Q95" s="733">
        <f>民間設備製造2!AG34</f>
        <v>1083699</v>
      </c>
      <c r="R95" s="733">
        <f>民間設備製造2!AH34</f>
        <v>1141805</v>
      </c>
      <c r="S95" s="733">
        <f>民間設備製造2!AI34</f>
        <v>1152144</v>
      </c>
      <c r="T95" s="733">
        <f>民間設備製造2!AJ34</f>
        <v>1125883</v>
      </c>
      <c r="U95" s="733">
        <f>民間設備製造2!AK34</f>
        <v>1139944</v>
      </c>
      <c r="V95" s="733">
        <f>民間設備製造2!AL34</f>
        <v>1139324</v>
      </c>
      <c r="W95" s="733">
        <f>民間設備製造2!AM34</f>
        <v>1135050</v>
      </c>
      <c r="X95" s="733">
        <f>民間設備製造2!AN34</f>
        <v>1138106</v>
      </c>
    </row>
    <row r="96" spans="1:24">
      <c r="A96" s="730">
        <v>220</v>
      </c>
      <c r="B96" s="730" t="s">
        <v>201</v>
      </c>
      <c r="C96" s="733">
        <f>民間設備製造2!S36</f>
        <v>932813</v>
      </c>
      <c r="D96" s="733">
        <f>民間設備製造2!T36</f>
        <v>1109307</v>
      </c>
      <c r="E96" s="733">
        <f>民間設備製造2!U36</f>
        <v>1019426</v>
      </c>
      <c r="F96" s="733">
        <f>民間設備製造2!V36</f>
        <v>864269</v>
      </c>
      <c r="G96" s="733">
        <f>民間設備製造2!W36</f>
        <v>871124</v>
      </c>
      <c r="H96" s="733">
        <f>民間設備製造2!X36</f>
        <v>1958282</v>
      </c>
      <c r="I96" s="733">
        <f>民間設備製造2!Y36</f>
        <v>2487002</v>
      </c>
      <c r="J96" s="733">
        <f>民間設備製造2!Z36</f>
        <v>1079152</v>
      </c>
      <c r="K96" s="733">
        <f>民間設備製造2!AA36</f>
        <v>1039211</v>
      </c>
      <c r="L96" s="733">
        <f>民間設備製造2!AB36</f>
        <v>490182</v>
      </c>
      <c r="M96" s="733">
        <f>民間設備製造2!AC36</f>
        <v>1159923</v>
      </c>
      <c r="N96" s="733">
        <f>民間設備製造2!AD36</f>
        <v>1321674</v>
      </c>
      <c r="O96" s="733">
        <f>民間設備製造2!AE36</f>
        <v>1203067</v>
      </c>
      <c r="P96" s="733">
        <f>民間設備製造2!AF36</f>
        <v>1246299</v>
      </c>
      <c r="Q96" s="733">
        <f>民間設備製造2!AG36</f>
        <v>1257013</v>
      </c>
      <c r="R96" s="733">
        <f>民間設備製造2!AH36</f>
        <v>1235460</v>
      </c>
      <c r="S96" s="733">
        <f>民間設備製造2!AI36</f>
        <v>1246257</v>
      </c>
      <c r="T96" s="733">
        <f>民間設備製造2!AJ36</f>
        <v>1246243</v>
      </c>
      <c r="U96" s="733">
        <f>民間設備製造2!AK36</f>
        <v>1242653</v>
      </c>
      <c r="V96" s="733">
        <f>民間設備製造2!AL36</f>
        <v>1245051</v>
      </c>
      <c r="W96" s="733">
        <f>民間設備製造2!AM36</f>
        <v>1244649</v>
      </c>
      <c r="X96" s="733">
        <f>民間設備製造2!AN36</f>
        <v>1244118</v>
      </c>
    </row>
    <row r="97" spans="1:24">
      <c r="A97" s="730">
        <v>228</v>
      </c>
      <c r="B97" s="730" t="s">
        <v>330</v>
      </c>
      <c r="C97" s="733">
        <f>民間設備製造2!S44</f>
        <v>830839</v>
      </c>
      <c r="D97" s="733">
        <f>民間設備製造2!T44</f>
        <v>2023643</v>
      </c>
      <c r="E97" s="733">
        <f>民間設備製造2!U44</f>
        <v>851985</v>
      </c>
      <c r="F97" s="733">
        <f>民間設備製造2!V44</f>
        <v>496164</v>
      </c>
      <c r="G97" s="733">
        <f>民間設備製造2!W44</f>
        <v>621776</v>
      </c>
      <c r="H97" s="733">
        <f>民間設備製造2!X44</f>
        <v>1437218</v>
      </c>
      <c r="I97" s="733">
        <f>民間設備製造2!Y44</f>
        <v>562489</v>
      </c>
      <c r="J97" s="733">
        <f>民間設備製造2!Z44</f>
        <v>582619</v>
      </c>
      <c r="K97" s="733">
        <f>民間設備製造2!AA44</f>
        <v>601271</v>
      </c>
      <c r="L97" s="733">
        <f>民間設備製造2!AB44</f>
        <v>541633</v>
      </c>
      <c r="M97" s="733">
        <f>民間設備製造2!AC44</f>
        <v>745847</v>
      </c>
      <c r="N97" s="733">
        <f>民間設備製造2!AD44</f>
        <v>1311510</v>
      </c>
      <c r="O97" s="733">
        <f>民間設備製造2!AE44</f>
        <v>869701</v>
      </c>
      <c r="P97" s="733">
        <f>民間設備製造2!AF44</f>
        <v>1552595</v>
      </c>
      <c r="Q97" s="733">
        <f>民間設備製造2!AG44</f>
        <v>1244602</v>
      </c>
      <c r="R97" s="733">
        <f>民間設備製造2!AH44</f>
        <v>1222299</v>
      </c>
      <c r="S97" s="733">
        <f>民間設備製造2!AI44</f>
        <v>1339832</v>
      </c>
      <c r="T97" s="733">
        <f>民間設備製造2!AJ44</f>
        <v>1268911</v>
      </c>
      <c r="U97" s="733">
        <f>民間設備製造2!AK44</f>
        <v>1277014</v>
      </c>
      <c r="V97" s="733">
        <f>民間設備製造2!AL44</f>
        <v>1295252</v>
      </c>
      <c r="W97" s="733">
        <f>民間設備製造2!AM44</f>
        <v>1280392</v>
      </c>
      <c r="X97" s="733">
        <f>民間設備製造2!AN44</f>
        <v>1284219</v>
      </c>
    </row>
    <row r="98" spans="1:24">
      <c r="A98" s="731">
        <v>365</v>
      </c>
      <c r="B98" s="731" t="s">
        <v>331</v>
      </c>
      <c r="C98" s="735">
        <f>民間設備製造2!S47</f>
        <v>91852</v>
      </c>
      <c r="D98" s="735">
        <f>民間設備製造2!T47</f>
        <v>69903</v>
      </c>
      <c r="E98" s="735">
        <f>民間設備製造2!U47</f>
        <v>100536</v>
      </c>
      <c r="F98" s="735">
        <f>民間設備製造2!V47</f>
        <v>74291</v>
      </c>
      <c r="G98" s="735">
        <f>民間設備製造2!W47</f>
        <v>63265</v>
      </c>
      <c r="H98" s="735">
        <f>民間設備製造2!X47</f>
        <v>111607</v>
      </c>
      <c r="I98" s="735">
        <f>民間設備製造2!Y47</f>
        <v>61048</v>
      </c>
      <c r="J98" s="735">
        <f>民間設備製造2!Z47</f>
        <v>48255</v>
      </c>
      <c r="K98" s="735">
        <f>民間設備製造2!AA47</f>
        <v>52328</v>
      </c>
      <c r="L98" s="735">
        <f>民間設備製造2!AB47</f>
        <v>82125</v>
      </c>
      <c r="M98" s="735">
        <f>民間設備製造2!AC47</f>
        <v>135550</v>
      </c>
      <c r="N98" s="735">
        <f>民間設備製造2!AD47</f>
        <v>129514</v>
      </c>
      <c r="O98" s="735">
        <f>民間設備製造2!AE47</f>
        <v>242523</v>
      </c>
      <c r="P98" s="735">
        <f>民間設備製造2!AF47</f>
        <v>192890</v>
      </c>
      <c r="Q98" s="735">
        <f>民間設備製造2!AG47</f>
        <v>188309</v>
      </c>
      <c r="R98" s="735">
        <f>民間設備製造2!AH47</f>
        <v>207907</v>
      </c>
      <c r="S98" s="735">
        <f>民間設備製造2!AI47</f>
        <v>196369</v>
      </c>
      <c r="T98" s="735">
        <f>民間設備製造2!AJ47</f>
        <v>197528</v>
      </c>
      <c r="U98" s="735">
        <f>民間設備製造2!AK47</f>
        <v>200601</v>
      </c>
      <c r="V98" s="735">
        <f>民間設備製造2!AL47</f>
        <v>198166</v>
      </c>
      <c r="W98" s="735">
        <f>民間設備製造2!AM47</f>
        <v>198765</v>
      </c>
      <c r="X98" s="735">
        <f>民間設備製造2!AN47</f>
        <v>199177</v>
      </c>
    </row>
    <row r="99" spans="1:24">
      <c r="A99" s="728">
        <v>5</v>
      </c>
      <c r="B99" s="728" t="s">
        <v>326</v>
      </c>
      <c r="C99" s="734">
        <f>SUM(C100:C103)</f>
        <v>13042188</v>
      </c>
      <c r="D99" s="734">
        <f>SUM(D100:D103)</f>
        <v>13301712</v>
      </c>
      <c r="E99" s="734">
        <f t="shared" ref="E99:J99" si="265">SUM(E100:E103)</f>
        <v>12024727</v>
      </c>
      <c r="F99" s="734">
        <f t="shared" si="265"/>
        <v>10212082</v>
      </c>
      <c r="G99" s="734">
        <f t="shared" si="265"/>
        <v>21545563</v>
      </c>
      <c r="H99" s="734">
        <f t="shared" si="265"/>
        <v>8465915</v>
      </c>
      <c r="I99" s="734">
        <f t="shared" si="265"/>
        <v>10010385</v>
      </c>
      <c r="J99" s="734">
        <f t="shared" si="265"/>
        <v>9065971</v>
      </c>
      <c r="K99" s="734">
        <f t="shared" ref="K99:P99" si="266">SUM(K100:K103)</f>
        <v>8361408</v>
      </c>
      <c r="L99" s="734">
        <f t="shared" si="266"/>
        <v>7906308</v>
      </c>
      <c r="M99" s="734">
        <f t="shared" si="266"/>
        <v>10386184</v>
      </c>
      <c r="N99" s="734">
        <f t="shared" si="266"/>
        <v>10673667</v>
      </c>
      <c r="O99" s="734">
        <f t="shared" si="266"/>
        <v>16032635</v>
      </c>
      <c r="P99" s="734">
        <f t="shared" si="266"/>
        <v>14288806</v>
      </c>
      <c r="Q99" s="734">
        <f t="shared" ref="Q99:V99" si="267">SUM(Q100:Q103)</f>
        <v>13665036</v>
      </c>
      <c r="R99" s="734">
        <f t="shared" si="267"/>
        <v>14662160</v>
      </c>
      <c r="S99" s="734">
        <f t="shared" si="267"/>
        <v>14205334</v>
      </c>
      <c r="T99" s="734">
        <f t="shared" si="267"/>
        <v>14177511</v>
      </c>
      <c r="U99" s="734">
        <f t="shared" si="267"/>
        <v>14348336</v>
      </c>
      <c r="V99" s="734">
        <f t="shared" si="267"/>
        <v>14243728</v>
      </c>
      <c r="W99" s="734">
        <f t="shared" ref="W99:X99" si="268">SUM(W100:W103)</f>
        <v>14256525</v>
      </c>
      <c r="X99" s="734">
        <f t="shared" si="268"/>
        <v>14282863</v>
      </c>
    </row>
    <row r="100" spans="1:24">
      <c r="A100" s="730">
        <v>201</v>
      </c>
      <c r="B100" s="730" t="s">
        <v>332</v>
      </c>
      <c r="C100" s="733">
        <f>民間設備製造2!S18</f>
        <v>12530977</v>
      </c>
      <c r="D100" s="733">
        <f>民間設備製造2!T18</f>
        <v>12374015</v>
      </c>
      <c r="E100" s="733">
        <f>民間設備製造2!U18</f>
        <v>11297351</v>
      </c>
      <c r="F100" s="733">
        <f>民間設備製造2!V18</f>
        <v>9912377</v>
      </c>
      <c r="G100" s="733">
        <f>民間設備製造2!W18</f>
        <v>21162615</v>
      </c>
      <c r="H100" s="733">
        <f>民間設備製造2!X18</f>
        <v>7872117</v>
      </c>
      <c r="I100" s="733">
        <f>民間設備製造2!Y18</f>
        <v>9694641</v>
      </c>
      <c r="J100" s="733">
        <f>民間設備製造2!Z18</f>
        <v>8549413</v>
      </c>
      <c r="K100" s="733">
        <f>民間設備製造2!AA18</f>
        <v>7692158</v>
      </c>
      <c r="L100" s="733">
        <f>民間設備製造2!AB18</f>
        <v>7521158</v>
      </c>
      <c r="M100" s="733">
        <f>民間設備製造2!AC18</f>
        <v>9749752</v>
      </c>
      <c r="N100" s="733">
        <f>民間設備製造2!AD18</f>
        <v>9927220</v>
      </c>
      <c r="O100" s="733">
        <f>民間設備製造2!AE18</f>
        <v>14785120</v>
      </c>
      <c r="P100" s="733">
        <f>民間設備製造2!AF18</f>
        <v>12747829</v>
      </c>
      <c r="Q100" s="733">
        <f>民間設備製造2!AG18</f>
        <v>12486723</v>
      </c>
      <c r="R100" s="733">
        <f>民間設備製造2!AH18</f>
        <v>13339891</v>
      </c>
      <c r="S100" s="733">
        <f>民間設備製造2!AI18</f>
        <v>12858148</v>
      </c>
      <c r="T100" s="733">
        <f>民間設備製造2!AJ18</f>
        <v>12894921</v>
      </c>
      <c r="U100" s="733">
        <f>民間設備製造2!AK18</f>
        <v>13030987</v>
      </c>
      <c r="V100" s="733">
        <f>民間設備製造2!AL18</f>
        <v>12928019</v>
      </c>
      <c r="W100" s="733">
        <f>民間設備製造2!AM18</f>
        <v>12951309</v>
      </c>
      <c r="X100" s="733">
        <f>民間設備製造2!AN18</f>
        <v>12970105</v>
      </c>
    </row>
    <row r="101" spans="1:24">
      <c r="A101" s="730">
        <v>442</v>
      </c>
      <c r="B101" s="730" t="s">
        <v>203</v>
      </c>
      <c r="C101" s="733">
        <f>民間設備製造2!S50</f>
        <v>73463</v>
      </c>
      <c r="D101" s="733">
        <f>民間設備製造2!T50</f>
        <v>88148</v>
      </c>
      <c r="E101" s="733">
        <f>民間設備製造2!U50</f>
        <v>220564</v>
      </c>
      <c r="F101" s="733">
        <f>民間設備製造2!V50</f>
        <v>68824</v>
      </c>
      <c r="G101" s="733">
        <f>民間設備製造2!W50</f>
        <v>49909</v>
      </c>
      <c r="H101" s="733">
        <f>民間設備製造2!X50</f>
        <v>69376</v>
      </c>
      <c r="I101" s="733">
        <f>民間設備製造2!Y50</f>
        <v>24750</v>
      </c>
      <c r="J101" s="733">
        <f>民間設備製造2!Z50</f>
        <v>44631</v>
      </c>
      <c r="K101" s="733">
        <f>民間設備製造2!AA50</f>
        <v>67211</v>
      </c>
      <c r="L101" s="733">
        <f>民間設備製造2!AB50</f>
        <v>38672</v>
      </c>
      <c r="M101" s="733">
        <f>民間設備製造2!AC50</f>
        <v>55896</v>
      </c>
      <c r="N101" s="733">
        <f>民間設備製造2!AD50</f>
        <v>104159</v>
      </c>
      <c r="O101" s="733">
        <f>民間設備製造2!AE50</f>
        <v>164516</v>
      </c>
      <c r="P101" s="733">
        <f>民間設備製造2!AF50</f>
        <v>216925</v>
      </c>
      <c r="Q101" s="733">
        <f>民間設備製造2!AG50</f>
        <v>161867</v>
      </c>
      <c r="R101" s="733">
        <f>民間設備製造2!AH50</f>
        <v>181103</v>
      </c>
      <c r="S101" s="733">
        <f>民間設備製造2!AI50</f>
        <v>186632</v>
      </c>
      <c r="T101" s="733">
        <f>民間設備製造2!AJ50</f>
        <v>176534</v>
      </c>
      <c r="U101" s="733">
        <f>民間設備製造2!AK50</f>
        <v>181423</v>
      </c>
      <c r="V101" s="733">
        <f>民間設備製造2!AL50</f>
        <v>181530</v>
      </c>
      <c r="W101" s="733">
        <f>民間設備製造2!AM50</f>
        <v>179829</v>
      </c>
      <c r="X101" s="733">
        <f>民間設備製造2!AN50</f>
        <v>180927</v>
      </c>
    </row>
    <row r="102" spans="1:24">
      <c r="A102" s="730">
        <v>443</v>
      </c>
      <c r="B102" s="730" t="s">
        <v>204</v>
      </c>
      <c r="C102" s="733">
        <f>民間設備製造2!S51</f>
        <v>424438</v>
      </c>
      <c r="D102" s="733">
        <f>民間設備製造2!T51</f>
        <v>434056</v>
      </c>
      <c r="E102" s="733">
        <f>民間設備製造2!U51</f>
        <v>460859</v>
      </c>
      <c r="F102" s="733">
        <f>民間設備製造2!V51</f>
        <v>208260</v>
      </c>
      <c r="G102" s="733">
        <f>民間設備製造2!W51</f>
        <v>293986</v>
      </c>
      <c r="H102" s="733">
        <f>民間設備製造2!X51</f>
        <v>498869</v>
      </c>
      <c r="I102" s="733">
        <f>民間設備製造2!Y51</f>
        <v>259642</v>
      </c>
      <c r="J102" s="733">
        <f>民間設備製造2!Z51</f>
        <v>452752</v>
      </c>
      <c r="K102" s="733">
        <f>民間設備製造2!AA51</f>
        <v>588018</v>
      </c>
      <c r="L102" s="733">
        <f>民間設備製造2!AB51</f>
        <v>325857</v>
      </c>
      <c r="M102" s="733">
        <f>民間設備製造2!AC51</f>
        <v>554455</v>
      </c>
      <c r="N102" s="733">
        <f>民間設備製造2!AD51</f>
        <v>588399</v>
      </c>
      <c r="O102" s="733">
        <f>民間設備製造2!AE51</f>
        <v>750808</v>
      </c>
      <c r="P102" s="733">
        <f>民間設備製造2!AF51</f>
        <v>862296</v>
      </c>
      <c r="Q102" s="733">
        <f>民間設備製造2!AG51</f>
        <v>733834</v>
      </c>
      <c r="R102" s="733">
        <f>民間設備製造2!AH51</f>
        <v>782313</v>
      </c>
      <c r="S102" s="733">
        <f>民間設備製造2!AI51</f>
        <v>792814</v>
      </c>
      <c r="T102" s="733">
        <f>民間設備製造2!AJ51</f>
        <v>769654</v>
      </c>
      <c r="U102" s="733">
        <f>民間設備製造2!AK51</f>
        <v>781594</v>
      </c>
      <c r="V102" s="733">
        <f>民間設備製造2!AL51</f>
        <v>781354</v>
      </c>
      <c r="W102" s="733">
        <f>民間設備製造2!AM51</f>
        <v>777534</v>
      </c>
      <c r="X102" s="733">
        <f>民間設備製造2!AN51</f>
        <v>780161</v>
      </c>
    </row>
    <row r="103" spans="1:24">
      <c r="A103" s="731">
        <v>446</v>
      </c>
      <c r="B103" s="731" t="s">
        <v>333</v>
      </c>
      <c r="C103" s="735">
        <f>民間設備製造2!S52</f>
        <v>13310</v>
      </c>
      <c r="D103" s="735">
        <f>民間設備製造2!T52</f>
        <v>405493</v>
      </c>
      <c r="E103" s="735">
        <f>民間設備製造2!U52</f>
        <v>45953</v>
      </c>
      <c r="F103" s="735">
        <f>民間設備製造2!V52</f>
        <v>22621</v>
      </c>
      <c r="G103" s="735">
        <f>民間設備製造2!W52</f>
        <v>39053</v>
      </c>
      <c r="H103" s="735">
        <f>民間設備製造2!X52</f>
        <v>25553</v>
      </c>
      <c r="I103" s="735">
        <f>民間設備製造2!Y52</f>
        <v>31352</v>
      </c>
      <c r="J103" s="735">
        <f>民間設備製造2!Z52</f>
        <v>19175</v>
      </c>
      <c r="K103" s="735">
        <f>民間設備製造2!AA52</f>
        <v>14021</v>
      </c>
      <c r="L103" s="735">
        <f>民間設備製造2!AB52</f>
        <v>20621</v>
      </c>
      <c r="M103" s="735">
        <f>民間設備製造2!AC52</f>
        <v>26081</v>
      </c>
      <c r="N103" s="735">
        <f>民間設備製造2!AD52</f>
        <v>53889</v>
      </c>
      <c r="O103" s="735">
        <f>民間設備製造2!AE52</f>
        <v>332191</v>
      </c>
      <c r="P103" s="735">
        <f>民間設備製造2!AF52</f>
        <v>461756</v>
      </c>
      <c r="Q103" s="735">
        <f>民間設備製造2!AG52</f>
        <v>282612</v>
      </c>
      <c r="R103" s="735">
        <f>民間設備製造2!AH52</f>
        <v>358853</v>
      </c>
      <c r="S103" s="735">
        <f>民間設備製造2!AI52</f>
        <v>367740</v>
      </c>
      <c r="T103" s="735">
        <f>民間設備製造2!AJ52</f>
        <v>336402</v>
      </c>
      <c r="U103" s="735">
        <f>民間設備製造2!AK52</f>
        <v>354332</v>
      </c>
      <c r="V103" s="735">
        <f>民間設備製造2!AL52</f>
        <v>352825</v>
      </c>
      <c r="W103" s="735">
        <f>民間設備製造2!AM52</f>
        <v>347853</v>
      </c>
      <c r="X103" s="735">
        <f>民間設備製造2!AN52</f>
        <v>351670</v>
      </c>
    </row>
    <row r="104" spans="1:24">
      <c r="A104" s="730">
        <v>6</v>
      </c>
      <c r="B104" s="730" t="s">
        <v>327</v>
      </c>
      <c r="C104" s="733">
        <f>SUM(C105:C111)</f>
        <v>5223701</v>
      </c>
      <c r="D104" s="733">
        <f>SUM(D105:D111)</f>
        <v>4031272</v>
      </c>
      <c r="E104" s="733">
        <f t="shared" ref="E104:J104" si="269">SUM(E105:E111)</f>
        <v>4159958</v>
      </c>
      <c r="F104" s="733">
        <f t="shared" si="269"/>
        <v>2667514</v>
      </c>
      <c r="G104" s="733">
        <f t="shared" si="269"/>
        <v>2737090</v>
      </c>
      <c r="H104" s="733">
        <f t="shared" si="269"/>
        <v>2686739</v>
      </c>
      <c r="I104" s="733">
        <f t="shared" si="269"/>
        <v>3791089</v>
      </c>
      <c r="J104" s="733">
        <f t="shared" si="269"/>
        <v>2535780</v>
      </c>
      <c r="K104" s="733">
        <f t="shared" ref="K104:P104" si="270">SUM(K105:K111)</f>
        <v>2938859</v>
      </c>
      <c r="L104" s="733">
        <f t="shared" si="270"/>
        <v>3142135</v>
      </c>
      <c r="M104" s="733">
        <f t="shared" si="270"/>
        <v>4200600</v>
      </c>
      <c r="N104" s="733">
        <f t="shared" si="270"/>
        <v>3570113</v>
      </c>
      <c r="O104" s="733">
        <f t="shared" si="270"/>
        <v>3974958</v>
      </c>
      <c r="P104" s="733">
        <f t="shared" si="270"/>
        <v>4624044</v>
      </c>
      <c r="Q104" s="733">
        <f t="shared" ref="Q104:V104" si="271">SUM(Q105:Q111)</f>
        <v>4056371</v>
      </c>
      <c r="R104" s="733">
        <f t="shared" si="271"/>
        <v>4218457</v>
      </c>
      <c r="S104" s="733">
        <f t="shared" si="271"/>
        <v>4299625</v>
      </c>
      <c r="T104" s="733">
        <f t="shared" si="271"/>
        <v>4191484</v>
      </c>
      <c r="U104" s="733">
        <f t="shared" si="271"/>
        <v>4236522</v>
      </c>
      <c r="V104" s="733">
        <f t="shared" si="271"/>
        <v>4242544</v>
      </c>
      <c r="W104" s="733">
        <f t="shared" ref="W104:X104" si="272">SUM(W105:W111)</f>
        <v>4223516</v>
      </c>
      <c r="X104" s="733">
        <f t="shared" si="272"/>
        <v>4234194</v>
      </c>
    </row>
    <row r="105" spans="1:24">
      <c r="A105" s="730">
        <v>208</v>
      </c>
      <c r="B105" s="730" t="s">
        <v>206</v>
      </c>
      <c r="C105" s="733">
        <f>民間設備製造2!S25</f>
        <v>180997</v>
      </c>
      <c r="D105" s="733">
        <f>民間設備製造2!T25</f>
        <v>286088</v>
      </c>
      <c r="E105" s="733">
        <f>民間設備製造2!U25</f>
        <v>185967</v>
      </c>
      <c r="F105" s="733">
        <f>民間設備製造2!V25</f>
        <v>179205</v>
      </c>
      <c r="G105" s="733">
        <f>民間設備製造2!W25</f>
        <v>248311</v>
      </c>
      <c r="H105" s="733">
        <f>民間設備製造2!X25</f>
        <v>245819</v>
      </c>
      <c r="I105" s="733">
        <f>民間設備製造2!Y25</f>
        <v>752844</v>
      </c>
      <c r="J105" s="733">
        <f>民間設備製造2!Z25</f>
        <v>236797</v>
      </c>
      <c r="K105" s="733">
        <f>民間設備製造2!AA25</f>
        <v>359614</v>
      </c>
      <c r="L105" s="733">
        <f>民間設備製造2!AB25</f>
        <v>260905</v>
      </c>
      <c r="M105" s="733">
        <f>民間設備製造2!AC25</f>
        <v>452439</v>
      </c>
      <c r="N105" s="733">
        <f>民間設備製造2!AD25</f>
        <v>317366</v>
      </c>
      <c r="O105" s="733">
        <f>民間設備製造2!AE25</f>
        <v>290534</v>
      </c>
      <c r="P105" s="733">
        <f>民間設備製造2!AF25</f>
        <v>233943</v>
      </c>
      <c r="Q105" s="733">
        <f>民間設備製造2!AG25</f>
        <v>280614</v>
      </c>
      <c r="R105" s="733">
        <f>民間設備製造2!AH25</f>
        <v>268364</v>
      </c>
      <c r="S105" s="733">
        <f>民間設備製造2!AI25</f>
        <v>260974</v>
      </c>
      <c r="T105" s="733">
        <f>民間設備製造2!AJ25</f>
        <v>269984</v>
      </c>
      <c r="U105" s="733">
        <f>民間設備製造2!AK25</f>
        <v>266441</v>
      </c>
      <c r="V105" s="733">
        <f>民間設備製造2!AL25</f>
        <v>265800</v>
      </c>
      <c r="W105" s="733">
        <f>民間設備製造2!AM25</f>
        <v>267408</v>
      </c>
      <c r="X105" s="733">
        <f>民間設備製造2!AN25</f>
        <v>266550</v>
      </c>
    </row>
    <row r="106" spans="1:24">
      <c r="A106" s="730">
        <v>212</v>
      </c>
      <c r="B106" s="730" t="s">
        <v>207</v>
      </c>
      <c r="C106" s="733">
        <f>民間設備製造2!S28</f>
        <v>869533</v>
      </c>
      <c r="D106" s="733">
        <f>民間設備製造2!T28</f>
        <v>969707</v>
      </c>
      <c r="E106" s="733">
        <f>民間設備製造2!U28</f>
        <v>1474511</v>
      </c>
      <c r="F106" s="733">
        <f>民間設備製造2!V28</f>
        <v>864158</v>
      </c>
      <c r="G106" s="733">
        <f>民間設備製造2!W28</f>
        <v>1004364</v>
      </c>
      <c r="H106" s="733">
        <f>民間設備製造2!X28</f>
        <v>791815</v>
      </c>
      <c r="I106" s="733">
        <f>民間設備製造2!Y28</f>
        <v>974113</v>
      </c>
      <c r="J106" s="733">
        <f>民間設備製造2!Z28</f>
        <v>995289</v>
      </c>
      <c r="K106" s="733">
        <f>民間設備製造2!AA28</f>
        <v>1289299</v>
      </c>
      <c r="L106" s="733">
        <f>民間設備製造2!AB28</f>
        <v>954821</v>
      </c>
      <c r="M106" s="733">
        <f>民間設備製造2!AC28</f>
        <v>1403275</v>
      </c>
      <c r="N106" s="733">
        <f>民間設備製造2!AD28</f>
        <v>1342486</v>
      </c>
      <c r="O106" s="733">
        <f>民間設備製造2!AE28</f>
        <v>1077375</v>
      </c>
      <c r="P106" s="733">
        <f>民間設備製造2!AF28</f>
        <v>1678326</v>
      </c>
      <c r="Q106" s="733">
        <f>民間設備製造2!AG28</f>
        <v>1366062</v>
      </c>
      <c r="R106" s="733">
        <f>民間設備製造2!AH28</f>
        <v>1373921</v>
      </c>
      <c r="S106" s="733">
        <f>民間設備製造2!AI28</f>
        <v>1472770</v>
      </c>
      <c r="T106" s="733">
        <f>民間設備製造2!AJ28</f>
        <v>1404251</v>
      </c>
      <c r="U106" s="733">
        <f>民間設備製造2!AK28</f>
        <v>1416981</v>
      </c>
      <c r="V106" s="733">
        <f>民間設備製造2!AL28</f>
        <v>1431334</v>
      </c>
      <c r="W106" s="733">
        <f>民間設備製造2!AM28</f>
        <v>1417522</v>
      </c>
      <c r="X106" s="733">
        <f>民間設備製造2!AN28</f>
        <v>1421946</v>
      </c>
    </row>
    <row r="107" spans="1:24">
      <c r="A107" s="730">
        <v>227</v>
      </c>
      <c r="B107" s="730" t="s">
        <v>219</v>
      </c>
      <c r="C107" s="733">
        <f>民間設備製造2!S43</f>
        <v>111438</v>
      </c>
      <c r="D107" s="733">
        <f>民間設備製造2!T43</f>
        <v>128296</v>
      </c>
      <c r="E107" s="733">
        <f>民間設備製造2!U43</f>
        <v>99048</v>
      </c>
      <c r="F107" s="733">
        <f>民間設備製造2!V43</f>
        <v>98935</v>
      </c>
      <c r="G107" s="733">
        <f>民間設備製造2!W43</f>
        <v>67632</v>
      </c>
      <c r="H107" s="733">
        <f>民間設備製造2!X43</f>
        <v>71333</v>
      </c>
      <c r="I107" s="733">
        <f>民間設備製造2!Y43</f>
        <v>99756</v>
      </c>
      <c r="J107" s="733">
        <f>民間設備製造2!Z43</f>
        <v>68303</v>
      </c>
      <c r="K107" s="733">
        <f>民間設備製造2!AA43</f>
        <v>156072</v>
      </c>
      <c r="L107" s="733">
        <f>民間設備製造2!AB43</f>
        <v>52383</v>
      </c>
      <c r="M107" s="733">
        <f>民間設備製造2!AC43</f>
        <v>197270</v>
      </c>
      <c r="N107" s="733">
        <f>民間設備製造2!AD43</f>
        <v>99956</v>
      </c>
      <c r="O107" s="733">
        <f>民間設備製造2!AE43</f>
        <v>270909</v>
      </c>
      <c r="P107" s="733">
        <f>民間設備製造2!AF43</f>
        <v>222741</v>
      </c>
      <c r="Q107" s="733">
        <f>民間設備製造2!AG43</f>
        <v>197869</v>
      </c>
      <c r="R107" s="733">
        <f>民間設備製造2!AH43</f>
        <v>230506</v>
      </c>
      <c r="S107" s="733">
        <f>民間設備製造2!AI43</f>
        <v>217039</v>
      </c>
      <c r="T107" s="733">
        <f>民間設備製造2!AJ43</f>
        <v>215138</v>
      </c>
      <c r="U107" s="733">
        <f>民間設備製造2!AK43</f>
        <v>220894</v>
      </c>
      <c r="V107" s="733">
        <f>民間設備製造2!AL43</f>
        <v>217690</v>
      </c>
      <c r="W107" s="733">
        <f>民間設備製造2!AM43</f>
        <v>217907</v>
      </c>
      <c r="X107" s="733">
        <f>民間設備製造2!AN43</f>
        <v>218830</v>
      </c>
    </row>
    <row r="108" spans="1:24">
      <c r="A108" s="730">
        <v>229</v>
      </c>
      <c r="B108" s="730" t="s">
        <v>334</v>
      </c>
      <c r="C108" s="733">
        <f>民間設備製造2!S45</f>
        <v>1248364</v>
      </c>
      <c r="D108" s="733">
        <f>民間設備製造2!T45</f>
        <v>1765845</v>
      </c>
      <c r="E108" s="733">
        <f>民間設備製造2!U45</f>
        <v>1490285</v>
      </c>
      <c r="F108" s="733">
        <f>民間設備製造2!V45</f>
        <v>1189662</v>
      </c>
      <c r="G108" s="733">
        <f>民間設備製造2!W45</f>
        <v>1043571</v>
      </c>
      <c r="H108" s="733">
        <f>民間設備製造2!X45</f>
        <v>1189899</v>
      </c>
      <c r="I108" s="733">
        <f>民間設備製造2!Y45</f>
        <v>1242868</v>
      </c>
      <c r="J108" s="733">
        <f>民間設備製造2!Z45</f>
        <v>825014</v>
      </c>
      <c r="K108" s="733">
        <f>民間設備製造2!AA45</f>
        <v>790851</v>
      </c>
      <c r="L108" s="733">
        <f>民間設備製造2!AB45</f>
        <v>1452886</v>
      </c>
      <c r="M108" s="733">
        <f>民間設備製造2!AC45</f>
        <v>1765257</v>
      </c>
      <c r="N108" s="733">
        <f>民間設備製造2!AD45</f>
        <v>1098406</v>
      </c>
      <c r="O108" s="733">
        <f>民間設備製造2!AE45</f>
        <v>1585525</v>
      </c>
      <c r="P108" s="733">
        <f>民間設備製造2!AF45</f>
        <v>1643211</v>
      </c>
      <c r="Q108" s="733">
        <f>民間設備製造2!AG45</f>
        <v>1442381</v>
      </c>
      <c r="R108" s="733">
        <f>民間設備製造2!AH45</f>
        <v>1557039</v>
      </c>
      <c r="S108" s="733">
        <f>民間設備製造2!AI45</f>
        <v>1547544</v>
      </c>
      <c r="T108" s="733">
        <f>民間設備製造2!AJ45</f>
        <v>1515655</v>
      </c>
      <c r="U108" s="733">
        <f>民間設備製造2!AK45</f>
        <v>1540079</v>
      </c>
      <c r="V108" s="733">
        <f>民間設備製造2!AL45</f>
        <v>1534426</v>
      </c>
      <c r="W108" s="733">
        <f>民間設備製造2!AM45</f>
        <v>1530053</v>
      </c>
      <c r="X108" s="733">
        <f>民間設備製造2!AN45</f>
        <v>1534853</v>
      </c>
    </row>
    <row r="109" spans="1:24">
      <c r="A109" s="730">
        <v>464</v>
      </c>
      <c r="B109" s="730" t="s">
        <v>208</v>
      </c>
      <c r="C109" s="733">
        <f>民間設備製造2!S53</f>
        <v>2665781</v>
      </c>
      <c r="D109" s="733">
        <f>民間設備製造2!T53</f>
        <v>772126</v>
      </c>
      <c r="E109" s="733">
        <f>民間設備製造2!U53</f>
        <v>726594</v>
      </c>
      <c r="F109" s="733">
        <f>民間設備製造2!V53</f>
        <v>232314</v>
      </c>
      <c r="G109" s="733">
        <f>民間設備製造2!W53</f>
        <v>298849</v>
      </c>
      <c r="H109" s="733">
        <f>民間設備製造2!X53</f>
        <v>310481</v>
      </c>
      <c r="I109" s="733">
        <f>民間設備製造2!Y53</f>
        <v>506764</v>
      </c>
      <c r="J109" s="733">
        <f>民間設備製造2!Z53</f>
        <v>287587</v>
      </c>
      <c r="K109" s="733">
        <f>民間設備製造2!AA53</f>
        <v>176627</v>
      </c>
      <c r="L109" s="733">
        <f>民間設備製造2!AB53</f>
        <v>241491</v>
      </c>
      <c r="M109" s="733">
        <f>民間設備製造2!AC53</f>
        <v>208712</v>
      </c>
      <c r="N109" s="733">
        <f>民間設備製造2!AD53</f>
        <v>436614</v>
      </c>
      <c r="O109" s="733">
        <f>民間設備製造2!AE53</f>
        <v>521907</v>
      </c>
      <c r="P109" s="733">
        <f>民間設備製造2!AF53</f>
        <v>567207</v>
      </c>
      <c r="Q109" s="733">
        <f>民間設備製造2!AG53</f>
        <v>508576</v>
      </c>
      <c r="R109" s="733">
        <f>民間設備製造2!AH53</f>
        <v>532563</v>
      </c>
      <c r="S109" s="733">
        <f>民間設備製造2!AI53</f>
        <v>536115</v>
      </c>
      <c r="T109" s="733">
        <f>民間設備製造2!AJ53</f>
        <v>525751</v>
      </c>
      <c r="U109" s="733">
        <f>民間設備製造2!AK53</f>
        <v>531476</v>
      </c>
      <c r="V109" s="733">
        <f>民間設備製造2!AL53</f>
        <v>531114</v>
      </c>
      <c r="W109" s="733">
        <f>民間設備製造2!AM53</f>
        <v>529447</v>
      </c>
      <c r="X109" s="733">
        <f>民間設備製造2!AN53</f>
        <v>530679</v>
      </c>
    </row>
    <row r="110" spans="1:24">
      <c r="A110" s="730">
        <v>481</v>
      </c>
      <c r="B110" s="730" t="s">
        <v>209</v>
      </c>
      <c r="C110" s="733">
        <f>民間設備製造2!S54</f>
        <v>44000</v>
      </c>
      <c r="D110" s="733">
        <f>民間設備製造2!T54</f>
        <v>69161</v>
      </c>
      <c r="E110" s="733">
        <f>民間設備製造2!U54</f>
        <v>139529</v>
      </c>
      <c r="F110" s="733">
        <f>民間設備製造2!V54</f>
        <v>82203</v>
      </c>
      <c r="G110" s="733">
        <f>民間設備製造2!W54</f>
        <v>54091</v>
      </c>
      <c r="H110" s="733">
        <f>民間設備製造2!X54</f>
        <v>49442</v>
      </c>
      <c r="I110" s="733">
        <f>民間設備製造2!Y54</f>
        <v>169687</v>
      </c>
      <c r="J110" s="733">
        <f>民間設備製造2!Z54</f>
        <v>88339</v>
      </c>
      <c r="K110" s="733">
        <f>民間設備製造2!AA54</f>
        <v>117719</v>
      </c>
      <c r="L110" s="733">
        <f>民間設備製造2!AB54</f>
        <v>108260</v>
      </c>
      <c r="M110" s="733">
        <f>民間設備製造2!AC54</f>
        <v>98461</v>
      </c>
      <c r="N110" s="733">
        <f>民間設備製造2!AD54</f>
        <v>212981</v>
      </c>
      <c r="O110" s="733">
        <f>民間設備製造2!AE54</f>
        <v>162632</v>
      </c>
      <c r="P110" s="733">
        <f>民間設備製造2!AF54</f>
        <v>217215</v>
      </c>
      <c r="Q110" s="733">
        <f>民間設備製造2!AG54</f>
        <v>197609</v>
      </c>
      <c r="R110" s="733">
        <f>民間設備製造2!AH54</f>
        <v>192485</v>
      </c>
      <c r="S110" s="733">
        <f>民間設備製造2!AI54</f>
        <v>202436</v>
      </c>
      <c r="T110" s="733">
        <f>民間設備製造2!AJ54</f>
        <v>197510</v>
      </c>
      <c r="U110" s="733">
        <f>民間設備製造2!AK54</f>
        <v>197477</v>
      </c>
      <c r="V110" s="733">
        <f>民間設備製造2!AL54</f>
        <v>199141</v>
      </c>
      <c r="W110" s="733">
        <f>民間設備製造2!AM54</f>
        <v>198043</v>
      </c>
      <c r="X110" s="733">
        <f>民間設備製造2!AN54</f>
        <v>198220</v>
      </c>
    </row>
    <row r="111" spans="1:24">
      <c r="A111" s="730">
        <v>501</v>
      </c>
      <c r="B111" s="730" t="s">
        <v>335</v>
      </c>
      <c r="C111" s="733">
        <f>民間設備製造2!S55</f>
        <v>103588</v>
      </c>
      <c r="D111" s="733">
        <f>民間設備製造2!T55</f>
        <v>40049</v>
      </c>
      <c r="E111" s="733">
        <f>民間設備製造2!U55</f>
        <v>44024</v>
      </c>
      <c r="F111" s="733">
        <f>民間設備製造2!V55</f>
        <v>21037</v>
      </c>
      <c r="G111" s="733">
        <f>民間設備製造2!W55</f>
        <v>20272</v>
      </c>
      <c r="H111" s="733">
        <f>民間設備製造2!X55</f>
        <v>27950</v>
      </c>
      <c r="I111" s="733">
        <f>民間設備製造2!Y55</f>
        <v>45057</v>
      </c>
      <c r="J111" s="733">
        <f>民間設備製造2!Z55</f>
        <v>34451</v>
      </c>
      <c r="K111" s="733">
        <f>民間設備製造2!AA55</f>
        <v>48677</v>
      </c>
      <c r="L111" s="733">
        <f>民間設備製造2!AB55</f>
        <v>71389</v>
      </c>
      <c r="M111" s="733">
        <f>民間設備製造2!AC55</f>
        <v>75186</v>
      </c>
      <c r="N111" s="733">
        <f>民間設備製造2!AD55</f>
        <v>62304</v>
      </c>
      <c r="O111" s="733">
        <f>民間設備製造2!AE55</f>
        <v>66076</v>
      </c>
      <c r="P111" s="733">
        <f>民間設備製造2!AF55</f>
        <v>61401</v>
      </c>
      <c r="Q111" s="733">
        <f>民間設備製造2!AG55</f>
        <v>63260</v>
      </c>
      <c r="R111" s="733">
        <f>民間設備製造2!AH55</f>
        <v>63579</v>
      </c>
      <c r="S111" s="733">
        <f>民間設備製造2!AI55</f>
        <v>62747</v>
      </c>
      <c r="T111" s="733">
        <f>民間設備製造2!AJ55</f>
        <v>63195</v>
      </c>
      <c r="U111" s="733">
        <f>民間設備製造2!AK55</f>
        <v>63174</v>
      </c>
      <c r="V111" s="733">
        <f>民間設備製造2!AL55</f>
        <v>63039</v>
      </c>
      <c r="W111" s="733">
        <f>民間設備製造2!AM55</f>
        <v>63136</v>
      </c>
      <c r="X111" s="733">
        <f>民間設備製造2!AN55</f>
        <v>63116</v>
      </c>
    </row>
    <row r="112" spans="1:24">
      <c r="A112" s="728">
        <v>7</v>
      </c>
      <c r="B112" s="728" t="s">
        <v>210</v>
      </c>
      <c r="C112" s="734">
        <f>SUM(C113:C117)</f>
        <v>1261502</v>
      </c>
      <c r="D112" s="734">
        <f>SUM(D113:D117)</f>
        <v>1130789</v>
      </c>
      <c r="E112" s="734">
        <f t="shared" ref="E112:J112" si="273">SUM(E113:E117)</f>
        <v>1091553</v>
      </c>
      <c r="F112" s="734">
        <f t="shared" si="273"/>
        <v>804366</v>
      </c>
      <c r="G112" s="734">
        <f t="shared" si="273"/>
        <v>664901</v>
      </c>
      <c r="H112" s="734">
        <f t="shared" si="273"/>
        <v>1269090</v>
      </c>
      <c r="I112" s="734">
        <f t="shared" si="273"/>
        <v>869028</v>
      </c>
      <c r="J112" s="734">
        <f t="shared" si="273"/>
        <v>717503</v>
      </c>
      <c r="K112" s="734">
        <f t="shared" ref="K112:P112" si="274">SUM(K113:K117)</f>
        <v>975093</v>
      </c>
      <c r="L112" s="734">
        <f t="shared" si="274"/>
        <v>690926</v>
      </c>
      <c r="M112" s="734">
        <f t="shared" si="274"/>
        <v>1182727</v>
      </c>
      <c r="N112" s="734">
        <f t="shared" si="274"/>
        <v>3966565</v>
      </c>
      <c r="O112" s="734">
        <f t="shared" si="274"/>
        <v>1334260</v>
      </c>
      <c r="P112" s="734">
        <f t="shared" si="274"/>
        <v>1204856</v>
      </c>
      <c r="Q112" s="734">
        <f t="shared" ref="Q112:V112" si="275">SUM(Q113:Q117)</f>
        <v>2168561</v>
      </c>
      <c r="R112" s="734">
        <f t="shared" si="275"/>
        <v>1569225</v>
      </c>
      <c r="S112" s="734">
        <f t="shared" si="275"/>
        <v>1647548</v>
      </c>
      <c r="T112" s="734">
        <f t="shared" si="275"/>
        <v>1795111</v>
      </c>
      <c r="U112" s="734">
        <f t="shared" si="275"/>
        <v>1670627</v>
      </c>
      <c r="V112" s="734">
        <f t="shared" si="275"/>
        <v>1704428</v>
      </c>
      <c r="W112" s="734">
        <f t="shared" ref="W112:X112" si="276">SUM(W113:W117)</f>
        <v>1723388</v>
      </c>
      <c r="X112" s="734">
        <f t="shared" si="276"/>
        <v>1699482</v>
      </c>
    </row>
    <row r="113" spans="1:24">
      <c r="A113" s="730">
        <v>209</v>
      </c>
      <c r="B113" s="730" t="s">
        <v>336</v>
      </c>
      <c r="C113" s="733">
        <f>民間設備製造2!S26</f>
        <v>470973</v>
      </c>
      <c r="D113" s="733">
        <f>民間設備製造2!T26</f>
        <v>381476</v>
      </c>
      <c r="E113" s="733">
        <f>民間設備製造2!U26</f>
        <v>459894</v>
      </c>
      <c r="F113" s="733">
        <f>民間設備製造2!V26</f>
        <v>352896</v>
      </c>
      <c r="G113" s="733">
        <f>民間設備製造2!W26</f>
        <v>129855</v>
      </c>
      <c r="H113" s="733">
        <f>民間設備製造2!X26</f>
        <v>877374</v>
      </c>
      <c r="I113" s="733">
        <f>民間設備製造2!Y26</f>
        <v>454382</v>
      </c>
      <c r="J113" s="733">
        <f>民間設備製造2!Z26</f>
        <v>323315</v>
      </c>
      <c r="K113" s="733">
        <f>民間設備製造2!AA26</f>
        <v>232089</v>
      </c>
      <c r="L113" s="733">
        <f>民間設備製造2!AB26</f>
        <v>322882</v>
      </c>
      <c r="M113" s="733">
        <f>民間設備製造2!AC26</f>
        <v>480660</v>
      </c>
      <c r="N113" s="733">
        <f>民間設備製造2!AD26</f>
        <v>400515</v>
      </c>
      <c r="O113" s="733">
        <f>民間設備製造2!AE26</f>
        <v>477497</v>
      </c>
      <c r="P113" s="733">
        <f>民間設備製造2!AF26</f>
        <v>477285</v>
      </c>
      <c r="Q113" s="733">
        <f>民間設備製造2!AG26</f>
        <v>451766</v>
      </c>
      <c r="R113" s="733">
        <f>民間設備製造2!AH26</f>
        <v>468849</v>
      </c>
      <c r="S113" s="733">
        <f>民間設備製造2!AI26</f>
        <v>465967</v>
      </c>
      <c r="T113" s="733">
        <f>民間設備製造2!AJ26</f>
        <v>462194</v>
      </c>
      <c r="U113" s="733">
        <f>民間設備製造2!AK26</f>
        <v>465670</v>
      </c>
      <c r="V113" s="733">
        <f>民間設備製造2!AL26</f>
        <v>464610</v>
      </c>
      <c r="W113" s="733">
        <f>民間設備製造2!AM26</f>
        <v>464158</v>
      </c>
      <c r="X113" s="733">
        <f>民間設備製造2!AN26</f>
        <v>464813</v>
      </c>
    </row>
    <row r="114" spans="1:24">
      <c r="A114" s="730">
        <v>222</v>
      </c>
      <c r="B114" s="730" t="s">
        <v>337</v>
      </c>
      <c r="C114" s="733">
        <f>民間設備製造2!S38</f>
        <v>141018</v>
      </c>
      <c r="D114" s="733">
        <f>民間設備製造2!T38</f>
        <v>288731</v>
      </c>
      <c r="E114" s="733">
        <f>民間設備製造2!U38</f>
        <v>238889</v>
      </c>
      <c r="F114" s="733">
        <f>民間設備製造2!V38</f>
        <v>196225</v>
      </c>
      <c r="G114" s="733">
        <f>民間設備製造2!W38</f>
        <v>112665</v>
      </c>
      <c r="H114" s="733">
        <f>民間設備製造2!X38</f>
        <v>110817</v>
      </c>
      <c r="I114" s="733">
        <f>民間設備製造2!Y38</f>
        <v>155346</v>
      </c>
      <c r="J114" s="733">
        <f>民間設備製造2!Z38</f>
        <v>109988</v>
      </c>
      <c r="K114" s="733">
        <f>民間設備製造2!AA38</f>
        <v>287376</v>
      </c>
      <c r="L114" s="733">
        <f>民間設備製造2!AB38</f>
        <v>217447</v>
      </c>
      <c r="M114" s="733">
        <f>民間設備製造2!AC38</f>
        <v>246070</v>
      </c>
      <c r="N114" s="733">
        <f>民間設備製造2!AD38</f>
        <v>232954</v>
      </c>
      <c r="O114" s="733">
        <f>民間設備製造2!AE38</f>
        <v>291802</v>
      </c>
      <c r="P114" s="733">
        <f>民間設備製造2!AF38</f>
        <v>165587</v>
      </c>
      <c r="Q114" s="733">
        <f>民間設備製造2!AG38</f>
        <v>230114</v>
      </c>
      <c r="R114" s="733">
        <f>民間設備製造2!AH38</f>
        <v>229168</v>
      </c>
      <c r="S114" s="733">
        <f>民間設備製造2!AI38</f>
        <v>208290</v>
      </c>
      <c r="T114" s="733">
        <f>民間設備製造2!AJ38</f>
        <v>222524</v>
      </c>
      <c r="U114" s="733">
        <f>民間設備製造2!AK38</f>
        <v>219994</v>
      </c>
      <c r="V114" s="733">
        <f>民間設備製造2!AL38</f>
        <v>216936</v>
      </c>
      <c r="W114" s="733">
        <f>民間設備製造2!AM38</f>
        <v>219818</v>
      </c>
      <c r="X114" s="733">
        <f>民間設備製造2!AN38</f>
        <v>218916</v>
      </c>
    </row>
    <row r="115" spans="1:24">
      <c r="A115" s="730">
        <v>225</v>
      </c>
      <c r="B115" s="730" t="s">
        <v>222</v>
      </c>
      <c r="C115" s="733">
        <f>民間設備製造2!S41</f>
        <v>613161</v>
      </c>
      <c r="D115" s="733">
        <f>民間設備製造2!T41</f>
        <v>396080</v>
      </c>
      <c r="E115" s="733">
        <f>民間設備製造2!U41</f>
        <v>317504</v>
      </c>
      <c r="F115" s="733">
        <f>民間設備製造2!V41</f>
        <v>212525</v>
      </c>
      <c r="G115" s="733">
        <f>民間設備製造2!W41</f>
        <v>390659</v>
      </c>
      <c r="H115" s="733">
        <f>民間設備製造2!X41</f>
        <v>248108</v>
      </c>
      <c r="I115" s="733">
        <f>民間設備製造2!Y41</f>
        <v>221290</v>
      </c>
      <c r="J115" s="733">
        <f>民間設備製造2!Z41</f>
        <v>244429</v>
      </c>
      <c r="K115" s="733">
        <f>民間設備製造2!AA41</f>
        <v>419544</v>
      </c>
      <c r="L115" s="733">
        <f>民間設備製造2!AB41</f>
        <v>107862</v>
      </c>
      <c r="M115" s="733">
        <f>民間設備製造2!AC41</f>
        <v>423264</v>
      </c>
      <c r="N115" s="733">
        <f>民間設備製造2!AD41</f>
        <v>3274859</v>
      </c>
      <c r="O115" s="733">
        <f>民間設備製造2!AE41</f>
        <v>427635</v>
      </c>
      <c r="P115" s="733">
        <f>民間設備製造2!AF41</f>
        <v>500191</v>
      </c>
      <c r="Q115" s="733">
        <f>民間設備製造2!AG41</f>
        <v>1400895</v>
      </c>
      <c r="R115" s="733">
        <f>民間設備製造2!AH41</f>
        <v>776240</v>
      </c>
      <c r="S115" s="733">
        <f>民間設備製造2!AI41</f>
        <v>892442</v>
      </c>
      <c r="T115" s="733">
        <f>民間設備製造2!AJ41</f>
        <v>1023192</v>
      </c>
      <c r="U115" s="733">
        <f>民間設備製造2!AK41</f>
        <v>897291</v>
      </c>
      <c r="V115" s="733">
        <f>民間設備製造2!AL41</f>
        <v>937642</v>
      </c>
      <c r="W115" s="733">
        <f>民間設備製造2!AM41</f>
        <v>952708</v>
      </c>
      <c r="X115" s="733">
        <f>民間設備製造2!AN41</f>
        <v>929214</v>
      </c>
    </row>
    <row r="116" spans="1:24">
      <c r="A116" s="730">
        <v>585</v>
      </c>
      <c r="B116" s="730" t="s">
        <v>220</v>
      </c>
      <c r="C116" s="733">
        <f>民間設備製造2!S56</f>
        <v>15043</v>
      </c>
      <c r="D116" s="733">
        <f>民間設備製造2!T56</f>
        <v>26113</v>
      </c>
      <c r="E116" s="733">
        <f>民間設備製造2!U56</f>
        <v>43883</v>
      </c>
      <c r="F116" s="733">
        <f>民間設備製造2!V56</f>
        <v>13235</v>
      </c>
      <c r="G116" s="733">
        <f>民間設備製造2!W56</f>
        <v>17333</v>
      </c>
      <c r="H116" s="733">
        <f>民間設備製造2!X56</f>
        <v>7796</v>
      </c>
      <c r="I116" s="733">
        <f>民間設備製造2!Y56</f>
        <v>21473</v>
      </c>
      <c r="J116" s="733">
        <f>民間設備製造2!Z56</f>
        <v>19430</v>
      </c>
      <c r="K116" s="733">
        <f>民間設備製造2!AA56</f>
        <v>21393</v>
      </c>
      <c r="L116" s="733">
        <f>民間設備製造2!AB56</f>
        <v>21280</v>
      </c>
      <c r="M116" s="733">
        <f>民間設備製造2!AC56</f>
        <v>17360</v>
      </c>
      <c r="N116" s="733">
        <f>民間設備製造2!AD56</f>
        <v>25233</v>
      </c>
      <c r="O116" s="733">
        <f>民間設備製造2!AE56</f>
        <v>102798</v>
      </c>
      <c r="P116" s="733">
        <f>民間設備製造2!AF56</f>
        <v>38429</v>
      </c>
      <c r="Q116" s="733">
        <f>民間設備製造2!AG56</f>
        <v>55487</v>
      </c>
      <c r="R116" s="733">
        <f>民間設備製造2!AH56</f>
        <v>65571</v>
      </c>
      <c r="S116" s="733">
        <f>民間設備製造2!AI56</f>
        <v>53162</v>
      </c>
      <c r="T116" s="733">
        <f>民間設備製造2!AJ56</f>
        <v>58073</v>
      </c>
      <c r="U116" s="733">
        <f>民間設備製造2!AK56</f>
        <v>58935</v>
      </c>
      <c r="V116" s="733">
        <f>民間設備製造2!AL56</f>
        <v>56723</v>
      </c>
      <c r="W116" s="733">
        <f>民間設備製造2!AM56</f>
        <v>57910</v>
      </c>
      <c r="X116" s="733">
        <f>民間設備製造2!AN56</f>
        <v>57856</v>
      </c>
    </row>
    <row r="117" spans="1:24">
      <c r="A117" s="730">
        <v>586</v>
      </c>
      <c r="B117" s="730" t="s">
        <v>338</v>
      </c>
      <c r="C117" s="733">
        <f>民間設備製造2!S57</f>
        <v>21307</v>
      </c>
      <c r="D117" s="733">
        <f>民間設備製造2!T57</f>
        <v>38389</v>
      </c>
      <c r="E117" s="733">
        <f>民間設備製造2!U57</f>
        <v>31383</v>
      </c>
      <c r="F117" s="733">
        <f>民間設備製造2!V57</f>
        <v>29485</v>
      </c>
      <c r="G117" s="733">
        <f>民間設備製造2!W57</f>
        <v>14389</v>
      </c>
      <c r="H117" s="733">
        <f>民間設備製造2!X57</f>
        <v>24995</v>
      </c>
      <c r="I117" s="733">
        <f>民間設備製造2!Y57</f>
        <v>16537</v>
      </c>
      <c r="J117" s="733">
        <f>民間設備製造2!Z57</f>
        <v>20341</v>
      </c>
      <c r="K117" s="733">
        <f>民間設備製造2!AA57</f>
        <v>14691</v>
      </c>
      <c r="L117" s="733">
        <f>民間設備製造2!AB57</f>
        <v>21455</v>
      </c>
      <c r="M117" s="733">
        <f>民間設備製造2!AC57</f>
        <v>15373</v>
      </c>
      <c r="N117" s="733">
        <f>民間設備製造2!AD57</f>
        <v>33004</v>
      </c>
      <c r="O117" s="733">
        <f>民間設備製造2!AE57</f>
        <v>34528</v>
      </c>
      <c r="P117" s="733">
        <f>民間設備製造2!AF57</f>
        <v>23364</v>
      </c>
      <c r="Q117" s="733">
        <f>民間設備製造2!AG57</f>
        <v>30299</v>
      </c>
      <c r="R117" s="733">
        <f>民間設備製造2!AH57</f>
        <v>29397</v>
      </c>
      <c r="S117" s="733">
        <f>民間設備製造2!AI57</f>
        <v>27687</v>
      </c>
      <c r="T117" s="733">
        <f>民間設備製造2!AJ57</f>
        <v>29128</v>
      </c>
      <c r="U117" s="733">
        <f>民間設備製造2!AK57</f>
        <v>28737</v>
      </c>
      <c r="V117" s="733">
        <f>民間設備製造2!AL57</f>
        <v>28517</v>
      </c>
      <c r="W117" s="733">
        <f>民間設備製造2!AM57</f>
        <v>28794</v>
      </c>
      <c r="X117" s="733">
        <f>民間設備製造2!AN57</f>
        <v>28683</v>
      </c>
    </row>
    <row r="118" spans="1:24">
      <c r="A118" s="728">
        <v>8</v>
      </c>
      <c r="B118" s="728" t="s">
        <v>211</v>
      </c>
      <c r="C118" s="734">
        <f>SUM(C119:C120)</f>
        <v>992052</v>
      </c>
      <c r="D118" s="734">
        <f>SUM(D119:D120)</f>
        <v>1028232</v>
      </c>
      <c r="E118" s="734">
        <f t="shared" ref="E118:J118" si="277">SUM(E119:E120)</f>
        <v>1097894</v>
      </c>
      <c r="F118" s="734">
        <f t="shared" si="277"/>
        <v>487632</v>
      </c>
      <c r="G118" s="734">
        <f t="shared" si="277"/>
        <v>764015</v>
      </c>
      <c r="H118" s="734">
        <f t="shared" si="277"/>
        <v>650368</v>
      </c>
      <c r="I118" s="734">
        <f t="shared" si="277"/>
        <v>594973</v>
      </c>
      <c r="J118" s="734">
        <f t="shared" si="277"/>
        <v>663077</v>
      </c>
      <c r="K118" s="734">
        <f t="shared" ref="K118:P118" si="278">SUM(K119:K120)</f>
        <v>1435217</v>
      </c>
      <c r="L118" s="734">
        <f t="shared" si="278"/>
        <v>1814899</v>
      </c>
      <c r="M118" s="734">
        <f t="shared" si="278"/>
        <v>908236</v>
      </c>
      <c r="N118" s="734">
        <f t="shared" si="278"/>
        <v>909537</v>
      </c>
      <c r="O118" s="734">
        <f t="shared" si="278"/>
        <v>985465</v>
      </c>
      <c r="P118" s="734">
        <f t="shared" si="278"/>
        <v>1074562</v>
      </c>
      <c r="Q118" s="734">
        <f t="shared" ref="Q118:V118" si="279">SUM(Q119:Q120)</f>
        <v>989855</v>
      </c>
      <c r="R118" s="734">
        <f t="shared" si="279"/>
        <v>1016627</v>
      </c>
      <c r="S118" s="734">
        <f t="shared" si="279"/>
        <v>1027015</v>
      </c>
      <c r="T118" s="734">
        <f t="shared" si="279"/>
        <v>1011166</v>
      </c>
      <c r="U118" s="734">
        <f t="shared" si="279"/>
        <v>1018270</v>
      </c>
      <c r="V118" s="734">
        <f t="shared" si="279"/>
        <v>1018817</v>
      </c>
      <c r="W118" s="734">
        <f t="shared" ref="W118:X118" si="280">SUM(W119:W120)</f>
        <v>1016084</v>
      </c>
      <c r="X118" s="734">
        <f t="shared" si="280"/>
        <v>1017724</v>
      </c>
    </row>
    <row r="119" spans="1:24">
      <c r="A119" s="730">
        <v>221</v>
      </c>
      <c r="B119" s="730" t="s">
        <v>1155</v>
      </c>
      <c r="C119" s="733">
        <f>民間設備製造2!S37</f>
        <v>461697</v>
      </c>
      <c r="D119" s="733">
        <f>民間設備製造2!T37</f>
        <v>233357</v>
      </c>
      <c r="E119" s="733">
        <f>民間設備製造2!U37</f>
        <v>225797</v>
      </c>
      <c r="F119" s="733">
        <f>民間設備製造2!V37</f>
        <v>202146</v>
      </c>
      <c r="G119" s="733">
        <f>民間設備製造2!W37</f>
        <v>316161</v>
      </c>
      <c r="H119" s="733">
        <f>民間設備製造2!X37</f>
        <v>266154</v>
      </c>
      <c r="I119" s="733">
        <f>民間設備製造2!Y37</f>
        <v>203362</v>
      </c>
      <c r="J119" s="733">
        <f>民間設備製造2!Z37</f>
        <v>268429</v>
      </c>
      <c r="K119" s="733">
        <f>民間設備製造2!AA37</f>
        <v>192585</v>
      </c>
      <c r="L119" s="733">
        <f>民間設備製造2!AB37</f>
        <v>229770</v>
      </c>
      <c r="M119" s="733">
        <f>民間設備製造2!AC37</f>
        <v>310864</v>
      </c>
      <c r="N119" s="733">
        <f>民間設備製造2!AD37</f>
        <v>316926</v>
      </c>
      <c r="O119" s="733">
        <f>民間設備製造2!AE37</f>
        <v>438137</v>
      </c>
      <c r="P119" s="733">
        <f>民間設備製造2!AF37</f>
        <v>328855</v>
      </c>
      <c r="Q119" s="733">
        <f>民間設備製造2!AG37</f>
        <v>361306</v>
      </c>
      <c r="R119" s="733">
        <f>民間設備製造2!AH37</f>
        <v>376099</v>
      </c>
      <c r="S119" s="733">
        <f>民間設備製造2!AI37</f>
        <v>355420</v>
      </c>
      <c r="T119" s="733">
        <f>民間設備製造2!AJ37</f>
        <v>364275</v>
      </c>
      <c r="U119" s="733">
        <f>民間設備製造2!AK37</f>
        <v>365265</v>
      </c>
      <c r="V119" s="733">
        <f>民間設備製造2!AL37</f>
        <v>361653</v>
      </c>
      <c r="W119" s="733">
        <f>民間設備製造2!AM37</f>
        <v>363731</v>
      </c>
      <c r="X119" s="733">
        <f>民間設備製造2!AN37</f>
        <v>363550</v>
      </c>
    </row>
    <row r="120" spans="1:24">
      <c r="A120" s="731">
        <v>223</v>
      </c>
      <c r="B120" s="731" t="s">
        <v>223</v>
      </c>
      <c r="C120" s="735">
        <f>民間設備製造2!S39</f>
        <v>530355</v>
      </c>
      <c r="D120" s="735">
        <f>民間設備製造2!T39</f>
        <v>794875</v>
      </c>
      <c r="E120" s="735">
        <f>民間設備製造2!U39</f>
        <v>872097</v>
      </c>
      <c r="F120" s="735">
        <f>民間設備製造2!V39</f>
        <v>285486</v>
      </c>
      <c r="G120" s="735">
        <f>民間設備製造2!W39</f>
        <v>447854</v>
      </c>
      <c r="H120" s="735">
        <f>民間設備製造2!X39</f>
        <v>384214</v>
      </c>
      <c r="I120" s="735">
        <f>民間設備製造2!Y39</f>
        <v>391611</v>
      </c>
      <c r="J120" s="735">
        <f>民間設備製造2!Z39</f>
        <v>394648</v>
      </c>
      <c r="K120" s="735">
        <f>民間設備製造2!AA39</f>
        <v>1242632</v>
      </c>
      <c r="L120" s="735">
        <f>民間設備製造2!AB39</f>
        <v>1585129</v>
      </c>
      <c r="M120" s="735">
        <f>民間設備製造2!AC39</f>
        <v>597372</v>
      </c>
      <c r="N120" s="735">
        <f>民間設備製造2!AD39</f>
        <v>592611</v>
      </c>
      <c r="O120" s="735">
        <f>民間設備製造2!AE39</f>
        <v>547328</v>
      </c>
      <c r="P120" s="735">
        <f>民間設備製造2!AF39</f>
        <v>745707</v>
      </c>
      <c r="Q120" s="735">
        <f>民間設備製造2!AG39</f>
        <v>628549</v>
      </c>
      <c r="R120" s="735">
        <f>民間設備製造2!AH39</f>
        <v>640528</v>
      </c>
      <c r="S120" s="735">
        <f>民間設備製造2!AI39</f>
        <v>671595</v>
      </c>
      <c r="T120" s="735">
        <f>民間設備製造2!AJ39</f>
        <v>646891</v>
      </c>
      <c r="U120" s="735">
        <f>民間設備製造2!AK39</f>
        <v>653005</v>
      </c>
      <c r="V120" s="735">
        <f>民間設備製造2!AL39</f>
        <v>657164</v>
      </c>
      <c r="W120" s="735">
        <f>民間設備製造2!AM39</f>
        <v>652353</v>
      </c>
      <c r="X120" s="735">
        <f>民間設備製造2!AN39</f>
        <v>654174</v>
      </c>
    </row>
    <row r="121" spans="1:24">
      <c r="A121" s="728">
        <v>9</v>
      </c>
      <c r="B121" s="728" t="s">
        <v>212</v>
      </c>
      <c r="C121" s="734">
        <f>SUM(C122:C124)</f>
        <v>723447</v>
      </c>
      <c r="D121" s="734">
        <f>SUM(D122:D124)</f>
        <v>729628</v>
      </c>
      <c r="E121" s="734">
        <f t="shared" ref="E121:J121" si="281">SUM(E122:E124)</f>
        <v>987903</v>
      </c>
      <c r="F121" s="734">
        <f t="shared" si="281"/>
        <v>772270</v>
      </c>
      <c r="G121" s="734">
        <f t="shared" si="281"/>
        <v>1163528</v>
      </c>
      <c r="H121" s="734">
        <f t="shared" si="281"/>
        <v>463057</v>
      </c>
      <c r="I121" s="734">
        <f t="shared" si="281"/>
        <v>484387</v>
      </c>
      <c r="J121" s="734">
        <f t="shared" si="281"/>
        <v>552836</v>
      </c>
      <c r="K121" s="734">
        <f t="shared" ref="K121:P121" si="282">SUM(K122:K124)</f>
        <v>318108</v>
      </c>
      <c r="L121" s="734">
        <f t="shared" si="282"/>
        <v>460389</v>
      </c>
      <c r="M121" s="734">
        <f t="shared" si="282"/>
        <v>1206002</v>
      </c>
      <c r="N121" s="734">
        <f t="shared" si="282"/>
        <v>1188419</v>
      </c>
      <c r="O121" s="734">
        <f t="shared" si="282"/>
        <v>585029</v>
      </c>
      <c r="P121" s="734">
        <f t="shared" si="282"/>
        <v>666090</v>
      </c>
      <c r="Q121" s="734">
        <f t="shared" ref="Q121:V121" si="283">SUM(Q122:Q124)</f>
        <v>813179</v>
      </c>
      <c r="R121" s="734">
        <f t="shared" si="283"/>
        <v>688099</v>
      </c>
      <c r="S121" s="734">
        <f t="shared" si="283"/>
        <v>722456</v>
      </c>
      <c r="T121" s="734">
        <f t="shared" si="283"/>
        <v>741244</v>
      </c>
      <c r="U121" s="734">
        <f t="shared" si="283"/>
        <v>717267</v>
      </c>
      <c r="V121" s="734">
        <f t="shared" si="283"/>
        <v>726989</v>
      </c>
      <c r="W121" s="734">
        <f t="shared" ref="W121:X121" si="284">SUM(W122:W124)</f>
        <v>728500</v>
      </c>
      <c r="X121" s="734">
        <f t="shared" si="284"/>
        <v>724251</v>
      </c>
    </row>
    <row r="122" spans="1:24">
      <c r="A122" s="730">
        <v>205</v>
      </c>
      <c r="B122" s="730" t="s">
        <v>339</v>
      </c>
      <c r="C122" s="733">
        <f>民間設備製造2!S22</f>
        <v>476592</v>
      </c>
      <c r="D122" s="733">
        <f>民間設備製造2!T22</f>
        <v>386240</v>
      </c>
      <c r="E122" s="733">
        <f>民間設備製造2!U22</f>
        <v>617480</v>
      </c>
      <c r="F122" s="733">
        <f>民間設備製造2!V22</f>
        <v>662124</v>
      </c>
      <c r="G122" s="733">
        <f>民間設備製造2!W22</f>
        <v>948637</v>
      </c>
      <c r="H122" s="733">
        <f>民間設備製造2!X22</f>
        <v>244953</v>
      </c>
      <c r="I122" s="733">
        <f>民間設備製造2!Y22</f>
        <v>255926</v>
      </c>
      <c r="J122" s="733">
        <f>民間設備製造2!Z22</f>
        <v>310547</v>
      </c>
      <c r="K122" s="733">
        <f>民間設備製造2!AA22</f>
        <v>127410</v>
      </c>
      <c r="L122" s="733">
        <f>民間設備製造2!AB22</f>
        <v>134794</v>
      </c>
      <c r="M122" s="733">
        <f>民間設備製造2!AC22</f>
        <v>858857</v>
      </c>
      <c r="N122" s="733">
        <f>民間設備製造2!AD22</f>
        <v>900840</v>
      </c>
      <c r="O122" s="733">
        <f>民間設備製造2!AE22</f>
        <v>268958</v>
      </c>
      <c r="P122" s="733">
        <f>民間設備製造2!AF22</f>
        <v>435627</v>
      </c>
      <c r="Q122" s="733">
        <f>民間設備製造2!AG22</f>
        <v>535142</v>
      </c>
      <c r="R122" s="733">
        <f>民間設備製造2!AH22</f>
        <v>413242</v>
      </c>
      <c r="S122" s="733">
        <f>民間設備製造2!AI22</f>
        <v>461337</v>
      </c>
      <c r="T122" s="733">
        <f>民間設備製造2!AJ22</f>
        <v>469907</v>
      </c>
      <c r="U122" s="733">
        <f>民間設備製造2!AK22</f>
        <v>448162</v>
      </c>
      <c r="V122" s="733">
        <f>民間設備製造2!AL22</f>
        <v>459802</v>
      </c>
      <c r="W122" s="733">
        <f>民間設備製造2!AM22</f>
        <v>459290</v>
      </c>
      <c r="X122" s="733">
        <f>民間設備製造2!AN22</f>
        <v>455751</v>
      </c>
    </row>
    <row r="123" spans="1:24">
      <c r="A123" s="730">
        <v>224</v>
      </c>
      <c r="B123" s="730" t="s">
        <v>224</v>
      </c>
      <c r="C123" s="733">
        <f>民間設備製造2!S40</f>
        <v>172830</v>
      </c>
      <c r="D123" s="733">
        <f>民間設備製造2!T40</f>
        <v>203795</v>
      </c>
      <c r="E123" s="733">
        <f>民間設備製造2!U40</f>
        <v>212940</v>
      </c>
      <c r="F123" s="733">
        <f>民間設備製造2!V40</f>
        <v>33831</v>
      </c>
      <c r="G123" s="733">
        <f>民間設備製造2!W40</f>
        <v>139875</v>
      </c>
      <c r="H123" s="733">
        <f>民間設備製造2!X40</f>
        <v>48255</v>
      </c>
      <c r="I123" s="733">
        <f>民間設備製造2!Y40</f>
        <v>111477</v>
      </c>
      <c r="J123" s="733">
        <f>民間設備製造2!Z40</f>
        <v>90022</v>
      </c>
      <c r="K123" s="733">
        <f>民間設備製造2!AA40</f>
        <v>66651</v>
      </c>
      <c r="L123" s="733">
        <f>民間設備製造2!AB40</f>
        <v>151602</v>
      </c>
      <c r="M123" s="733">
        <f>民間設備製造2!AC40</f>
        <v>252874</v>
      </c>
      <c r="N123" s="733">
        <f>民間設備製造2!AD40</f>
        <v>172955</v>
      </c>
      <c r="O123" s="733">
        <f>民間設備製造2!AE40</f>
        <v>174050</v>
      </c>
      <c r="P123" s="733">
        <f>民間設備製造2!AF40</f>
        <v>80322</v>
      </c>
      <c r="Q123" s="733">
        <f>民間設備製造2!AG40</f>
        <v>142442</v>
      </c>
      <c r="R123" s="733">
        <f>民間設備製造2!AH40</f>
        <v>132271</v>
      </c>
      <c r="S123" s="733">
        <f>民間設備製造2!AI40</f>
        <v>118345</v>
      </c>
      <c r="T123" s="733">
        <f>民間設備製造2!AJ40</f>
        <v>131019</v>
      </c>
      <c r="U123" s="733">
        <f>民間設備製造2!AK40</f>
        <v>127212</v>
      </c>
      <c r="V123" s="733">
        <f>民間設備製造2!AL40</f>
        <v>125525</v>
      </c>
      <c r="W123" s="733">
        <f>民間設備製造2!AM40</f>
        <v>127919</v>
      </c>
      <c r="X123" s="733">
        <f>民間設備製造2!AN40</f>
        <v>126885</v>
      </c>
    </row>
    <row r="124" spans="1:24">
      <c r="A124" s="731">
        <v>226</v>
      </c>
      <c r="B124" s="731" t="s">
        <v>225</v>
      </c>
      <c r="C124" s="735">
        <f>民間設備製造2!S42</f>
        <v>74025</v>
      </c>
      <c r="D124" s="735">
        <f>民間設備製造2!T42</f>
        <v>139593</v>
      </c>
      <c r="E124" s="735">
        <f>民間設備製造2!U42</f>
        <v>157483</v>
      </c>
      <c r="F124" s="735">
        <f>民間設備製造2!V42</f>
        <v>76315</v>
      </c>
      <c r="G124" s="735">
        <f>民間設備製造2!W42</f>
        <v>75016</v>
      </c>
      <c r="H124" s="735">
        <f>民間設備製造2!X42</f>
        <v>169849</v>
      </c>
      <c r="I124" s="735">
        <f>民間設備製造2!Y42</f>
        <v>116984</v>
      </c>
      <c r="J124" s="735">
        <f>民間設備製造2!Z42</f>
        <v>152267</v>
      </c>
      <c r="K124" s="735">
        <f>民間設備製造2!AA42</f>
        <v>124047</v>
      </c>
      <c r="L124" s="735">
        <f>民間設備製造2!AB42</f>
        <v>173993</v>
      </c>
      <c r="M124" s="735">
        <f>民間設備製造2!AC42</f>
        <v>94271</v>
      </c>
      <c r="N124" s="735">
        <f>民間設備製造2!AD42</f>
        <v>114624</v>
      </c>
      <c r="O124" s="735">
        <f>民間設備製造2!AE42</f>
        <v>142021</v>
      </c>
      <c r="P124" s="735">
        <f>民間設備製造2!AF42</f>
        <v>150141</v>
      </c>
      <c r="Q124" s="735">
        <f>民間設備製造2!AG42</f>
        <v>135595</v>
      </c>
      <c r="R124" s="735">
        <f>民間設備製造2!AH42</f>
        <v>142586</v>
      </c>
      <c r="S124" s="735">
        <f>民間設備製造2!AI42</f>
        <v>142774</v>
      </c>
      <c r="T124" s="735">
        <f>民間設備製造2!AJ42</f>
        <v>140318</v>
      </c>
      <c r="U124" s="735">
        <f>民間設備製造2!AK42</f>
        <v>141893</v>
      </c>
      <c r="V124" s="735">
        <f>民間設備製造2!AL42</f>
        <v>141662</v>
      </c>
      <c r="W124" s="735">
        <f>民間設備製造2!AM42</f>
        <v>141291</v>
      </c>
      <c r="X124" s="735">
        <f>民間設備製造2!AN42</f>
        <v>141615</v>
      </c>
    </row>
  </sheetData>
  <phoneticPr fontId="13"/>
  <pageMargins left="0.75" right="0.75" top="1" bottom="1" header="0.51200000000000001" footer="0.51200000000000001"/>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4"/>
  <dimension ref="A1:AN179"/>
  <sheetViews>
    <sheetView workbookViewId="0">
      <pane xSplit="18" ySplit="4" topLeftCell="AE55" activePane="bottomRight" state="frozen"/>
      <selection pane="topRight" activeCell="S1" sqref="S1"/>
      <selection pane="bottomLeft" activeCell="A5" sqref="A5"/>
      <selection pane="bottomRight" activeCell="AK2" sqref="AK2:AN2"/>
    </sheetView>
  </sheetViews>
  <sheetFormatPr defaultColWidth="8.7109375" defaultRowHeight="13"/>
  <cols>
    <col min="1" max="1" width="4.0703125" style="75" customWidth="1"/>
    <col min="2" max="2" width="8.7109375" style="75"/>
    <col min="3" max="16" width="0" style="75" hidden="1" customWidth="1"/>
    <col min="17" max="18" width="9.42578125" style="75" hidden="1" customWidth="1"/>
    <col min="19" max="20" width="9.42578125" style="75" customWidth="1"/>
    <col min="21" max="28" width="8.7109375" style="75"/>
    <col min="29" max="29" width="8.2109375" style="75" customWidth="1"/>
    <col min="30" max="16384" width="8.7109375" style="75"/>
  </cols>
  <sheetData>
    <row r="1" spans="1:40">
      <c r="A1" s="65" t="s">
        <v>800</v>
      </c>
      <c r="U1" s="75" t="s">
        <v>347</v>
      </c>
      <c r="V1" s="75" t="s">
        <v>950</v>
      </c>
      <c r="W1" s="381" t="s">
        <v>457</v>
      </c>
      <c r="X1" s="414">
        <f>ｱｼﾞｱ太平洋研見通し!L23</f>
        <v>1</v>
      </c>
      <c r="Y1" s="414">
        <f>ｱｼﾞｱ太平洋研見通し!M23</f>
        <v>4.5585412667946263</v>
      </c>
      <c r="Z1" s="414">
        <f>ｱｼﾞｱ太平洋研見通し!N23</f>
        <v>0.4589261128958238</v>
      </c>
      <c r="AA1" s="414">
        <f>ｱｼﾞｱ太平洋研見通し!O23</f>
        <v>-2.0283234353586113</v>
      </c>
      <c r="AB1" s="414">
        <f>ｱｼﾞｱ太平洋研見通し!P23</f>
        <v>-2.6951412850881282</v>
      </c>
      <c r="AC1" s="556">
        <f t="shared" ref="AC1:AI1" si="0">AC5/AB5</f>
        <v>1.3214243531803205</v>
      </c>
      <c r="AD1" s="556">
        <f t="shared" si="0"/>
        <v>1.0193842670040911</v>
      </c>
      <c r="AE1" s="556">
        <f t="shared" si="0"/>
        <v>1.001454016906735</v>
      </c>
      <c r="AF1" s="556">
        <f>AF5/AE5</f>
        <v>1.0818707732153416</v>
      </c>
      <c r="AG1" s="556">
        <f>AG5/AF5</f>
        <v>0.94910253596395822</v>
      </c>
      <c r="AH1" s="556">
        <f t="shared" si="0"/>
        <v>1.0091734668844845</v>
      </c>
      <c r="AI1" s="556">
        <f t="shared" si="0"/>
        <v>1.0116531434656191</v>
      </c>
    </row>
    <row r="2" spans="1:40">
      <c r="A2" s="232"/>
      <c r="B2" s="233"/>
      <c r="C2" s="232"/>
      <c r="D2" s="232"/>
      <c r="E2" s="232"/>
      <c r="F2" s="232"/>
      <c r="G2" s="232"/>
      <c r="H2" s="232"/>
      <c r="I2" s="232"/>
      <c r="J2" s="232"/>
      <c r="K2" s="232"/>
      <c r="L2" s="232"/>
      <c r="M2" s="232"/>
      <c r="N2" s="232"/>
      <c r="O2" s="232"/>
      <c r="P2" s="232"/>
      <c r="Q2" s="234"/>
      <c r="R2" s="234"/>
      <c r="S2" s="234"/>
      <c r="T2" s="235" t="s">
        <v>812</v>
      </c>
      <c r="U2" s="75">
        <v>81346884</v>
      </c>
      <c r="V2" s="75" t="s">
        <v>948</v>
      </c>
      <c r="W2" s="75" t="s">
        <v>458</v>
      </c>
      <c r="X2" s="381" t="s">
        <v>918</v>
      </c>
      <c r="Y2" s="75" t="s">
        <v>824</v>
      </c>
      <c r="Z2" s="75" t="s">
        <v>1003</v>
      </c>
      <c r="AA2" s="75" t="s">
        <v>1035</v>
      </c>
      <c r="AB2" s="75" t="s">
        <v>1107</v>
      </c>
      <c r="AC2" s="456" t="s">
        <v>1118</v>
      </c>
      <c r="AD2" s="75" t="s">
        <v>1137</v>
      </c>
      <c r="AE2" s="568" t="s">
        <v>1191</v>
      </c>
      <c r="AF2" s="568" t="s">
        <v>1578</v>
      </c>
      <c r="AG2" s="75" t="s">
        <v>1131</v>
      </c>
      <c r="AH2" s="75" t="s">
        <v>1186</v>
      </c>
      <c r="AI2" s="75" t="s">
        <v>1219</v>
      </c>
      <c r="AK2" s="935" t="s">
        <v>948</v>
      </c>
      <c r="AL2" s="75" t="s">
        <v>14</v>
      </c>
      <c r="AM2" s="75" t="s">
        <v>14</v>
      </c>
      <c r="AN2" s="75" t="s">
        <v>14</v>
      </c>
    </row>
    <row r="3" spans="1:40">
      <c r="A3" s="236"/>
      <c r="B3" s="237"/>
      <c r="C3" s="236" t="s">
        <v>784</v>
      </c>
      <c r="D3" s="236" t="s">
        <v>785</v>
      </c>
      <c r="E3" s="236" t="s">
        <v>786</v>
      </c>
      <c r="F3" s="236" t="s">
        <v>787</v>
      </c>
      <c r="G3" s="236" t="s">
        <v>372</v>
      </c>
      <c r="H3" s="236" t="s">
        <v>788</v>
      </c>
      <c r="I3" s="236" t="s">
        <v>789</v>
      </c>
      <c r="J3" s="236" t="s">
        <v>790</v>
      </c>
      <c r="K3" s="236" t="s">
        <v>791</v>
      </c>
      <c r="L3" s="236" t="s">
        <v>269</v>
      </c>
      <c r="M3" s="236" t="s">
        <v>792</v>
      </c>
      <c r="N3" s="236" t="s">
        <v>793</v>
      </c>
      <c r="O3" s="236" t="s">
        <v>794</v>
      </c>
      <c r="P3" s="236" t="s">
        <v>779</v>
      </c>
      <c r="Q3" s="238" t="s">
        <v>270</v>
      </c>
      <c r="R3" s="238" t="s">
        <v>767</v>
      </c>
      <c r="S3" s="238" t="s">
        <v>766</v>
      </c>
      <c r="T3" s="236" t="s">
        <v>765</v>
      </c>
      <c r="U3" s="236" t="s">
        <v>862</v>
      </c>
      <c r="V3" s="238" t="s">
        <v>828</v>
      </c>
      <c r="W3" s="238" t="s">
        <v>12</v>
      </c>
      <c r="X3" s="238" t="s">
        <v>102</v>
      </c>
      <c r="Y3" s="238" t="s">
        <v>110</v>
      </c>
      <c r="Z3" s="449" t="s">
        <v>863</v>
      </c>
      <c r="AA3" s="564" t="s">
        <v>770</v>
      </c>
      <c r="AB3" s="564" t="s">
        <v>125</v>
      </c>
      <c r="AC3" s="564" t="s">
        <v>1023</v>
      </c>
      <c r="AD3" s="564" t="s">
        <v>1058</v>
      </c>
      <c r="AE3" s="1368" t="s">
        <v>1091</v>
      </c>
      <c r="AF3" s="1368" t="s">
        <v>1166</v>
      </c>
      <c r="AG3" s="463" t="s">
        <v>1133</v>
      </c>
      <c r="AH3" s="463" t="s">
        <v>1180</v>
      </c>
      <c r="AI3" s="463" t="s">
        <v>1218</v>
      </c>
      <c r="AJ3" s="463" t="s">
        <v>1548</v>
      </c>
      <c r="AK3" s="463" t="s">
        <v>1733</v>
      </c>
      <c r="AL3" s="130" t="s">
        <v>1603</v>
      </c>
      <c r="AM3" s="130" t="s">
        <v>1745</v>
      </c>
      <c r="AN3" s="476">
        <v>2027</v>
      </c>
    </row>
    <row r="4" spans="1:40">
      <c r="A4" s="77"/>
      <c r="S4" s="1726">
        <v>2006</v>
      </c>
      <c r="T4" s="1726">
        <v>2007</v>
      </c>
      <c r="U4" s="1726">
        <v>2008</v>
      </c>
      <c r="V4" s="1726">
        <v>2009</v>
      </c>
      <c r="W4" s="1726">
        <v>2010</v>
      </c>
      <c r="X4" s="1726">
        <v>2011</v>
      </c>
      <c r="Y4" s="1726">
        <v>2012</v>
      </c>
      <c r="Z4" s="1726">
        <v>2013</v>
      </c>
      <c r="AA4" s="1726">
        <v>2014</v>
      </c>
      <c r="AB4" s="1726">
        <v>2015</v>
      </c>
      <c r="AC4" s="1726">
        <v>2016</v>
      </c>
      <c r="AD4" s="1726">
        <v>2017</v>
      </c>
      <c r="AE4" s="1726">
        <v>2018</v>
      </c>
      <c r="AF4" s="1726">
        <v>2019</v>
      </c>
      <c r="AG4" s="1726">
        <v>2020</v>
      </c>
      <c r="AH4" s="1726">
        <v>2021</v>
      </c>
      <c r="AI4" s="1726">
        <v>2022</v>
      </c>
      <c r="AJ4" s="1726">
        <v>2023</v>
      </c>
      <c r="AK4" s="1726">
        <v>2024</v>
      </c>
      <c r="AL4" s="132">
        <v>2025</v>
      </c>
      <c r="AM4" s="132">
        <v>2026</v>
      </c>
      <c r="AN4" s="491" t="s">
        <v>1783</v>
      </c>
    </row>
    <row r="5" spans="1:40">
      <c r="A5" s="330"/>
      <c r="B5" s="331" t="s">
        <v>762</v>
      </c>
      <c r="C5" s="332">
        <f>SUM(C6:C15)</f>
        <v>77588121</v>
      </c>
      <c r="D5" s="332">
        <f t="shared" ref="D5:P5" si="1">SUM(D6:D15)</f>
        <v>89209659</v>
      </c>
      <c r="E5" s="332">
        <f t="shared" si="1"/>
        <v>90445563</v>
      </c>
      <c r="F5" s="332">
        <f t="shared" si="1"/>
        <v>76357551</v>
      </c>
      <c r="G5" s="332">
        <f t="shared" si="1"/>
        <v>58921056</v>
      </c>
      <c r="H5" s="332">
        <f t="shared" si="1"/>
        <v>58946128</v>
      </c>
      <c r="I5" s="332">
        <f t="shared" si="1"/>
        <v>76229935</v>
      </c>
      <c r="J5" s="332">
        <f t="shared" si="1"/>
        <v>78438997</v>
      </c>
      <c r="K5" s="332">
        <f t="shared" si="1"/>
        <v>64727285</v>
      </c>
      <c r="L5" s="332">
        <f t="shared" si="1"/>
        <v>61064883</v>
      </c>
      <c r="M5" s="332">
        <f t="shared" si="1"/>
        <v>48713518</v>
      </c>
      <c r="N5" s="332">
        <f t="shared" si="1"/>
        <v>55967302</v>
      </c>
      <c r="O5" s="332">
        <f t="shared" si="1"/>
        <v>38044490</v>
      </c>
      <c r="P5" s="332">
        <f t="shared" si="1"/>
        <v>39671293</v>
      </c>
      <c r="Q5" s="332">
        <f t="shared" ref="Q5:V5" si="2">SUM(Q6:Q15)</f>
        <v>43146663</v>
      </c>
      <c r="R5" s="332">
        <f t="shared" si="2"/>
        <v>53183681</v>
      </c>
      <c r="S5" s="332">
        <f t="shared" si="2"/>
        <v>70874484</v>
      </c>
      <c r="T5" s="332">
        <f t="shared" si="2"/>
        <v>69897539</v>
      </c>
      <c r="U5" s="332">
        <f t="shared" si="2"/>
        <v>81346884</v>
      </c>
      <c r="V5" s="270">
        <f t="shared" si="2"/>
        <v>69898823</v>
      </c>
      <c r="W5" s="270">
        <f t="shared" ref="W5:AB5" si="3">SUM(W6:W15)</f>
        <v>61169102</v>
      </c>
      <c r="X5" s="270">
        <f t="shared" si="3"/>
        <v>49630631</v>
      </c>
      <c r="Y5" s="270">
        <f t="shared" si="3"/>
        <v>52968708</v>
      </c>
      <c r="Z5" s="451">
        <f t="shared" si="3"/>
        <v>46988658</v>
      </c>
      <c r="AA5" s="551">
        <f t="shared" si="3"/>
        <v>52945556</v>
      </c>
      <c r="AB5" s="551">
        <f t="shared" si="3"/>
        <v>46540985</v>
      </c>
      <c r="AC5" s="551">
        <f t="shared" ref="AC5:AH5" si="4">SUM(AC6:AC15)</f>
        <v>61500391</v>
      </c>
      <c r="AD5" s="551">
        <f t="shared" si="4"/>
        <v>62692531</v>
      </c>
      <c r="AE5" s="1370">
        <f t="shared" si="4"/>
        <v>62783687</v>
      </c>
      <c r="AF5" s="1370">
        <f t="shared" si="4"/>
        <v>67923836</v>
      </c>
      <c r="AG5" s="464">
        <f>SUM(AG6:AG15)</f>
        <v>64466685</v>
      </c>
      <c r="AH5" s="464">
        <f t="shared" si="4"/>
        <v>65058068</v>
      </c>
      <c r="AI5" s="464">
        <f t="shared" ref="AI5:AN5" si="5">SUM(AI6:AI15)</f>
        <v>65816199</v>
      </c>
      <c r="AJ5" s="464">
        <f t="shared" si="5"/>
        <v>65113651</v>
      </c>
      <c r="AK5" s="464">
        <f t="shared" si="5"/>
        <v>65329306</v>
      </c>
      <c r="AL5" s="464">
        <f t="shared" si="5"/>
        <v>65419719</v>
      </c>
      <c r="AM5" s="464">
        <f t="shared" si="5"/>
        <v>65287558</v>
      </c>
      <c r="AN5" s="464">
        <f t="shared" si="5"/>
        <v>65345528</v>
      </c>
    </row>
    <row r="6" spans="1:40">
      <c r="A6" s="232">
        <v>100</v>
      </c>
      <c r="B6" s="241" t="s">
        <v>685</v>
      </c>
      <c r="C6" s="242">
        <f>C17</f>
        <v>12823071</v>
      </c>
      <c r="D6" s="242">
        <f t="shared" ref="D6:P6" si="6">D17</f>
        <v>15596314</v>
      </c>
      <c r="E6" s="242">
        <f t="shared" si="6"/>
        <v>14861928</v>
      </c>
      <c r="F6" s="242">
        <f t="shared" si="6"/>
        <v>12860232</v>
      </c>
      <c r="G6" s="242">
        <f t="shared" si="6"/>
        <v>11142205</v>
      </c>
      <c r="H6" s="242">
        <f t="shared" si="6"/>
        <v>8957066</v>
      </c>
      <c r="I6" s="242">
        <f t="shared" si="6"/>
        <v>13394998</v>
      </c>
      <c r="J6" s="242">
        <f t="shared" si="6"/>
        <v>13692726</v>
      </c>
      <c r="K6" s="242">
        <f t="shared" si="6"/>
        <v>11845913</v>
      </c>
      <c r="L6" s="242">
        <f t="shared" si="6"/>
        <v>9670434</v>
      </c>
      <c r="M6" s="242">
        <f t="shared" si="6"/>
        <v>6693014</v>
      </c>
      <c r="N6" s="242">
        <f t="shared" si="6"/>
        <v>10938714</v>
      </c>
      <c r="O6" s="242">
        <f t="shared" si="6"/>
        <v>6937874</v>
      </c>
      <c r="P6" s="242">
        <f t="shared" si="6"/>
        <v>5531824</v>
      </c>
      <c r="Q6" s="242">
        <f t="shared" ref="Q6:V6" si="7">Q17</f>
        <v>5846111</v>
      </c>
      <c r="R6" s="242">
        <f t="shared" si="7"/>
        <v>6112116</v>
      </c>
      <c r="S6" s="242">
        <f t="shared" si="7"/>
        <v>12149933</v>
      </c>
      <c r="T6" s="242">
        <f t="shared" si="7"/>
        <v>10199966</v>
      </c>
      <c r="U6" s="242">
        <f t="shared" si="7"/>
        <v>11793919</v>
      </c>
      <c r="V6" s="249">
        <f t="shared" si="7"/>
        <v>9740542</v>
      </c>
      <c r="W6" s="249">
        <f t="shared" ref="W6:AB6" si="8">W17</f>
        <v>8005873</v>
      </c>
      <c r="X6" s="249">
        <f t="shared" si="8"/>
        <v>7301455</v>
      </c>
      <c r="Y6" s="249">
        <f t="shared" si="8"/>
        <v>9441497</v>
      </c>
      <c r="Z6" s="452">
        <f t="shared" si="8"/>
        <v>8396614</v>
      </c>
      <c r="AA6" s="552">
        <f t="shared" si="8"/>
        <v>6866856</v>
      </c>
      <c r="AB6" s="552">
        <f t="shared" si="8"/>
        <v>9518403</v>
      </c>
      <c r="AC6" s="552">
        <f t="shared" ref="AC6:AH6" si="9">AC17</f>
        <v>11118845</v>
      </c>
      <c r="AD6" s="552">
        <f t="shared" si="9"/>
        <v>9485734</v>
      </c>
      <c r="AE6" s="1371">
        <f t="shared" si="9"/>
        <v>8490188</v>
      </c>
      <c r="AF6" s="1371">
        <f t="shared" si="9"/>
        <v>10180972</v>
      </c>
      <c r="AG6" s="465">
        <f t="shared" si="9"/>
        <v>9385631</v>
      </c>
      <c r="AH6" s="465">
        <f t="shared" si="9"/>
        <v>9352264</v>
      </c>
      <c r="AI6" s="465">
        <f t="shared" ref="AI6:AN6" si="10">AI17</f>
        <v>9639622</v>
      </c>
      <c r="AJ6" s="465">
        <f t="shared" si="10"/>
        <v>9459172</v>
      </c>
      <c r="AK6" s="465">
        <f t="shared" si="10"/>
        <v>9483686</v>
      </c>
      <c r="AL6" s="465">
        <f t="shared" si="10"/>
        <v>9527493</v>
      </c>
      <c r="AM6" s="465">
        <f t="shared" si="10"/>
        <v>9490117</v>
      </c>
      <c r="AN6" s="465">
        <f t="shared" si="10"/>
        <v>9500432</v>
      </c>
    </row>
    <row r="7" spans="1:40">
      <c r="A7" s="240"/>
      <c r="B7" s="241" t="s">
        <v>182</v>
      </c>
      <c r="C7" s="242">
        <f>C19+C21+C23</f>
        <v>13893749</v>
      </c>
      <c r="D7" s="242">
        <f t="shared" ref="D7:P7" si="11">D19+D21+D23</f>
        <v>11889864</v>
      </c>
      <c r="E7" s="242">
        <f t="shared" si="11"/>
        <v>13831841</v>
      </c>
      <c r="F7" s="242">
        <f t="shared" si="11"/>
        <v>11276875</v>
      </c>
      <c r="G7" s="242">
        <f t="shared" si="11"/>
        <v>7906718</v>
      </c>
      <c r="H7" s="242">
        <f t="shared" si="11"/>
        <v>8266352</v>
      </c>
      <c r="I7" s="242">
        <f t="shared" si="11"/>
        <v>13248037</v>
      </c>
      <c r="J7" s="242">
        <f t="shared" si="11"/>
        <v>12089408</v>
      </c>
      <c r="K7" s="242">
        <f t="shared" si="11"/>
        <v>7843634</v>
      </c>
      <c r="L7" s="242">
        <f t="shared" si="11"/>
        <v>9169056</v>
      </c>
      <c r="M7" s="242">
        <f t="shared" si="11"/>
        <v>9271675</v>
      </c>
      <c r="N7" s="242">
        <f t="shared" si="11"/>
        <v>8650247</v>
      </c>
      <c r="O7" s="242">
        <f t="shared" si="11"/>
        <v>5622405</v>
      </c>
      <c r="P7" s="242">
        <f t="shared" si="11"/>
        <v>6569760</v>
      </c>
      <c r="Q7" s="242">
        <f t="shared" ref="Q7:V7" si="12">Q19+Q21+Q23</f>
        <v>6292834</v>
      </c>
      <c r="R7" s="242">
        <f t="shared" si="12"/>
        <v>8212541</v>
      </c>
      <c r="S7" s="242">
        <f t="shared" si="12"/>
        <v>15644922</v>
      </c>
      <c r="T7" s="242">
        <f t="shared" si="12"/>
        <v>15038281</v>
      </c>
      <c r="U7" s="242">
        <f t="shared" si="12"/>
        <v>22030850</v>
      </c>
      <c r="V7" s="249">
        <f t="shared" si="12"/>
        <v>19955884</v>
      </c>
      <c r="W7" s="249">
        <f t="shared" ref="W7:AB7" si="13">W19+W21+W23</f>
        <v>8765090</v>
      </c>
      <c r="X7" s="249">
        <f t="shared" si="13"/>
        <v>5671891</v>
      </c>
      <c r="Y7" s="249">
        <f t="shared" si="13"/>
        <v>4775396</v>
      </c>
      <c r="Z7" s="452">
        <f t="shared" si="13"/>
        <v>4688334</v>
      </c>
      <c r="AA7" s="552">
        <f t="shared" si="13"/>
        <v>5167940</v>
      </c>
      <c r="AB7" s="552">
        <f t="shared" si="13"/>
        <v>5016090</v>
      </c>
      <c r="AC7" s="552">
        <f t="shared" ref="AC7:AH7" si="14">AC19+AC21+AC23</f>
        <v>6160668</v>
      </c>
      <c r="AD7" s="552">
        <f t="shared" si="14"/>
        <v>3881258</v>
      </c>
      <c r="AE7" s="1371">
        <f t="shared" si="14"/>
        <v>5062725</v>
      </c>
      <c r="AF7" s="1371">
        <f t="shared" si="14"/>
        <v>5115047</v>
      </c>
      <c r="AG7" s="465">
        <f t="shared" si="14"/>
        <v>4686344</v>
      </c>
      <c r="AH7" s="465">
        <f t="shared" si="14"/>
        <v>4954705</v>
      </c>
      <c r="AI7" s="465">
        <f t="shared" ref="AI7:AN7" si="15">AI19+AI21+AI23</f>
        <v>4918699</v>
      </c>
      <c r="AJ7" s="465">
        <f t="shared" si="15"/>
        <v>4853250</v>
      </c>
      <c r="AK7" s="465">
        <f t="shared" si="15"/>
        <v>4908885</v>
      </c>
      <c r="AL7" s="465">
        <f t="shared" si="15"/>
        <v>4893611</v>
      </c>
      <c r="AM7" s="465">
        <f t="shared" si="15"/>
        <v>4885249</v>
      </c>
      <c r="AN7" s="465">
        <f t="shared" si="15"/>
        <v>4895915</v>
      </c>
    </row>
    <row r="8" spans="1:40">
      <c r="A8" s="240"/>
      <c r="B8" s="241" t="s">
        <v>186</v>
      </c>
      <c r="C8" s="242">
        <f>C24+C30+C33+C35+C46</f>
        <v>6892240</v>
      </c>
      <c r="D8" s="242">
        <f t="shared" ref="D8:P8" si="16">D24+D30+D33+D35+D46</f>
        <v>7632139</v>
      </c>
      <c r="E8" s="242">
        <f t="shared" si="16"/>
        <v>7542327</v>
      </c>
      <c r="F8" s="242">
        <f t="shared" si="16"/>
        <v>6202938</v>
      </c>
      <c r="G8" s="242">
        <f t="shared" si="16"/>
        <v>5282725</v>
      </c>
      <c r="H8" s="242">
        <f t="shared" si="16"/>
        <v>5102630</v>
      </c>
      <c r="I8" s="242">
        <f t="shared" si="16"/>
        <v>5822180</v>
      </c>
      <c r="J8" s="242">
        <f t="shared" si="16"/>
        <v>5629197</v>
      </c>
      <c r="K8" s="242">
        <f t="shared" si="16"/>
        <v>5765163</v>
      </c>
      <c r="L8" s="242">
        <f t="shared" si="16"/>
        <v>3709425</v>
      </c>
      <c r="M8" s="242">
        <f t="shared" si="16"/>
        <v>4185985</v>
      </c>
      <c r="N8" s="242">
        <f t="shared" si="16"/>
        <v>10483597</v>
      </c>
      <c r="O8" s="242">
        <f t="shared" si="16"/>
        <v>4587723</v>
      </c>
      <c r="P8" s="242">
        <f t="shared" si="16"/>
        <v>3433178</v>
      </c>
      <c r="Q8" s="242">
        <f t="shared" ref="Q8:V8" si="17">Q24+Q30+Q33+Q35+Q46</f>
        <v>4099050</v>
      </c>
      <c r="R8" s="242">
        <f t="shared" si="17"/>
        <v>3467250</v>
      </c>
      <c r="S8" s="242">
        <f t="shared" si="17"/>
        <v>4028222</v>
      </c>
      <c r="T8" s="242">
        <f t="shared" si="17"/>
        <v>4096405</v>
      </c>
      <c r="U8" s="242">
        <f t="shared" si="17"/>
        <v>4456210</v>
      </c>
      <c r="V8" s="249">
        <f t="shared" si="17"/>
        <v>2384283</v>
      </c>
      <c r="W8" s="249">
        <f t="shared" ref="W8:AB8" si="18">W24+W30+W33+W35+W46</f>
        <v>2163088</v>
      </c>
      <c r="X8" s="249">
        <f t="shared" si="18"/>
        <v>2546510</v>
      </c>
      <c r="Y8" s="249">
        <f t="shared" si="18"/>
        <v>3202003</v>
      </c>
      <c r="Z8" s="452">
        <f t="shared" si="18"/>
        <v>3209715</v>
      </c>
      <c r="AA8" s="552">
        <f t="shared" si="18"/>
        <v>3651683</v>
      </c>
      <c r="AB8" s="552">
        <f t="shared" si="18"/>
        <v>3799694</v>
      </c>
      <c r="AC8" s="552">
        <f t="shared" ref="AC8:AH8" si="19">AC24+AC30+AC33+AC35+AC46</f>
        <v>5116323</v>
      </c>
      <c r="AD8" s="552">
        <f t="shared" si="19"/>
        <v>5010434</v>
      </c>
      <c r="AE8" s="1371">
        <f t="shared" si="19"/>
        <v>5502072</v>
      </c>
      <c r="AF8" s="1371">
        <f t="shared" si="19"/>
        <v>5824989</v>
      </c>
      <c r="AG8" s="465">
        <f t="shared" si="19"/>
        <v>5445832</v>
      </c>
      <c r="AH8" s="465">
        <f t="shared" si="19"/>
        <v>5590964</v>
      </c>
      <c r="AI8" s="465">
        <f t="shared" ref="AI8:AN8" si="20">AI24+AI30+AI33+AI35+AI46</f>
        <v>5620595</v>
      </c>
      <c r="AJ8" s="465">
        <f t="shared" si="20"/>
        <v>5552464</v>
      </c>
      <c r="AK8" s="465">
        <f t="shared" si="20"/>
        <v>5588007</v>
      </c>
      <c r="AL8" s="465">
        <f t="shared" si="20"/>
        <v>5587022</v>
      </c>
      <c r="AM8" s="465">
        <f t="shared" si="20"/>
        <v>5575832</v>
      </c>
      <c r="AN8" s="465">
        <f t="shared" si="20"/>
        <v>5583620</v>
      </c>
    </row>
    <row r="9" spans="1:40">
      <c r="A9" s="240"/>
      <c r="B9" s="241" t="s">
        <v>192</v>
      </c>
      <c r="C9" s="242">
        <f>C20+C27+C48+C49+C32</f>
        <v>17302448</v>
      </c>
      <c r="D9" s="242">
        <f t="shared" ref="D9:P9" si="21">D20+D27+D48+D49+D32</f>
        <v>18386216</v>
      </c>
      <c r="E9" s="242">
        <f t="shared" si="21"/>
        <v>24579241</v>
      </c>
      <c r="F9" s="242">
        <f t="shared" si="21"/>
        <v>19546372</v>
      </c>
      <c r="G9" s="242">
        <f t="shared" si="21"/>
        <v>11339795</v>
      </c>
      <c r="H9" s="242">
        <f t="shared" si="21"/>
        <v>11920619</v>
      </c>
      <c r="I9" s="242">
        <f t="shared" si="21"/>
        <v>16517961</v>
      </c>
      <c r="J9" s="242">
        <f t="shared" si="21"/>
        <v>15296104</v>
      </c>
      <c r="K9" s="242">
        <f t="shared" si="21"/>
        <v>13847964</v>
      </c>
      <c r="L9" s="242">
        <f t="shared" si="21"/>
        <v>15718848</v>
      </c>
      <c r="M9" s="242">
        <f t="shared" si="21"/>
        <v>8357469</v>
      </c>
      <c r="N9" s="242">
        <f t="shared" si="21"/>
        <v>7597731</v>
      </c>
      <c r="O9" s="242">
        <f t="shared" si="21"/>
        <v>6648152</v>
      </c>
      <c r="P9" s="242">
        <f t="shared" si="21"/>
        <v>6721533</v>
      </c>
      <c r="Q9" s="242">
        <f t="shared" ref="Q9:V9" si="22">Q20+Q27+Q48+Q49+Q32</f>
        <v>9454402</v>
      </c>
      <c r="R9" s="242">
        <f t="shared" si="22"/>
        <v>12756678</v>
      </c>
      <c r="S9" s="242">
        <f t="shared" si="22"/>
        <v>13794822</v>
      </c>
      <c r="T9" s="242">
        <f t="shared" si="22"/>
        <v>14387675</v>
      </c>
      <c r="U9" s="242">
        <f t="shared" si="22"/>
        <v>19739559</v>
      </c>
      <c r="V9" s="249">
        <f t="shared" si="22"/>
        <v>20215783</v>
      </c>
      <c r="W9" s="249">
        <f t="shared" ref="W9:AB9" si="23">W20+W27+W48+W49+W32</f>
        <v>12815128</v>
      </c>
      <c r="X9" s="249">
        <f t="shared" si="23"/>
        <v>15252716</v>
      </c>
      <c r="Y9" s="249">
        <f t="shared" si="23"/>
        <v>14461658</v>
      </c>
      <c r="Z9" s="452">
        <f t="shared" si="23"/>
        <v>12389454</v>
      </c>
      <c r="AA9" s="552">
        <f t="shared" si="23"/>
        <v>20060872</v>
      </c>
      <c r="AB9" s="552">
        <f t="shared" si="23"/>
        <v>11277767</v>
      </c>
      <c r="AC9" s="552">
        <f t="shared" ref="AC9:AH9" si="24">AC20+AC27+AC48+AC49+AC32</f>
        <v>16298654</v>
      </c>
      <c r="AD9" s="552">
        <f t="shared" si="24"/>
        <v>19568106</v>
      </c>
      <c r="AE9" s="1371">
        <f t="shared" si="24"/>
        <v>16430560</v>
      </c>
      <c r="AF9" s="1371">
        <f t="shared" si="24"/>
        <v>19519649</v>
      </c>
      <c r="AG9" s="465">
        <f t="shared" si="24"/>
        <v>18506105</v>
      </c>
      <c r="AH9" s="465">
        <f t="shared" si="24"/>
        <v>18152105</v>
      </c>
      <c r="AI9" s="465">
        <f t="shared" ref="AI9:AN9" si="25">AI20+AI27+AI48+AI49+AI32</f>
        <v>18725953</v>
      </c>
      <c r="AJ9" s="465">
        <f t="shared" si="25"/>
        <v>18461388</v>
      </c>
      <c r="AK9" s="465">
        <f t="shared" si="25"/>
        <v>18446482</v>
      </c>
      <c r="AL9" s="465">
        <f t="shared" si="25"/>
        <v>18544608</v>
      </c>
      <c r="AM9" s="465">
        <f t="shared" si="25"/>
        <v>18484159</v>
      </c>
      <c r="AN9" s="465">
        <f t="shared" si="25"/>
        <v>18491750</v>
      </c>
    </row>
    <row r="10" spans="1:40">
      <c r="A10" s="240"/>
      <c r="B10" s="241" t="s">
        <v>198</v>
      </c>
      <c r="C10" s="242">
        <f>C29+C31+C34+C36+C44+C47</f>
        <v>4507885</v>
      </c>
      <c r="D10" s="242">
        <f t="shared" ref="D10:P10" si="26">D29+D31+D34+D36+D44+D47</f>
        <v>6877216</v>
      </c>
      <c r="E10" s="242">
        <f t="shared" si="26"/>
        <v>4924070</v>
      </c>
      <c r="F10" s="242">
        <f t="shared" si="26"/>
        <v>5438126</v>
      </c>
      <c r="G10" s="242">
        <f t="shared" si="26"/>
        <v>3561685</v>
      </c>
      <c r="H10" s="242">
        <f t="shared" si="26"/>
        <v>4746534</v>
      </c>
      <c r="I10" s="242">
        <f t="shared" si="26"/>
        <v>6559999</v>
      </c>
      <c r="J10" s="242">
        <f t="shared" si="26"/>
        <v>5298964</v>
      </c>
      <c r="K10" s="242">
        <f t="shared" si="26"/>
        <v>5026919</v>
      </c>
      <c r="L10" s="242">
        <f t="shared" si="26"/>
        <v>3770121</v>
      </c>
      <c r="M10" s="242">
        <f t="shared" si="26"/>
        <v>3102041</v>
      </c>
      <c r="N10" s="242">
        <f t="shared" si="26"/>
        <v>3582852</v>
      </c>
      <c r="O10" s="242">
        <f t="shared" si="26"/>
        <v>4254611</v>
      </c>
      <c r="P10" s="242">
        <f t="shared" si="26"/>
        <v>5097695</v>
      </c>
      <c r="Q10" s="242">
        <f t="shared" ref="Q10:V10" si="27">Q29+Q31+Q34+Q36+Q44+Q47</f>
        <v>4458850</v>
      </c>
      <c r="R10" s="242">
        <f t="shared" si="27"/>
        <v>3043046</v>
      </c>
      <c r="S10" s="242">
        <f t="shared" si="27"/>
        <v>4013695</v>
      </c>
      <c r="T10" s="242">
        <f t="shared" si="27"/>
        <v>5953579</v>
      </c>
      <c r="U10" s="242">
        <f t="shared" si="27"/>
        <v>3964311</v>
      </c>
      <c r="V10" s="249">
        <f t="shared" si="27"/>
        <v>2658467</v>
      </c>
      <c r="W10" s="249">
        <f t="shared" ref="W10:AB10" si="28">W29+W31+W34+W36+W44+W47</f>
        <v>2544826</v>
      </c>
      <c r="X10" s="249">
        <f t="shared" si="28"/>
        <v>5322890</v>
      </c>
      <c r="Y10" s="249">
        <f t="shared" si="28"/>
        <v>5338292</v>
      </c>
      <c r="Z10" s="452">
        <f t="shared" si="28"/>
        <v>4769374</v>
      </c>
      <c r="AA10" s="552">
        <f t="shared" si="28"/>
        <v>3169520</v>
      </c>
      <c r="AB10" s="552">
        <f t="shared" si="28"/>
        <v>2914374</v>
      </c>
      <c r="AC10" s="552">
        <f t="shared" ref="AC10:AH10" si="29">AC29+AC31+AC34+AC36+AC44+AC47</f>
        <v>4922152</v>
      </c>
      <c r="AD10" s="552">
        <f t="shared" si="29"/>
        <v>4438698</v>
      </c>
      <c r="AE10" s="1371">
        <f t="shared" si="29"/>
        <v>4385795</v>
      </c>
      <c r="AF10" s="1371">
        <f t="shared" si="29"/>
        <v>5424821</v>
      </c>
      <c r="AG10" s="465">
        <f t="shared" si="29"/>
        <v>4749771</v>
      </c>
      <c r="AH10" s="465">
        <f t="shared" si="29"/>
        <v>4853462</v>
      </c>
      <c r="AI10" s="465">
        <f t="shared" ref="AI10:AN10" si="30">AI29+AI31+AI34+AI36+AI44+AI47</f>
        <v>5009352</v>
      </c>
      <c r="AJ10" s="465">
        <f t="shared" si="30"/>
        <v>4870861</v>
      </c>
      <c r="AK10" s="465">
        <f t="shared" si="30"/>
        <v>4911224</v>
      </c>
      <c r="AL10" s="465">
        <f t="shared" si="30"/>
        <v>4930479</v>
      </c>
      <c r="AM10" s="465">
        <f t="shared" si="30"/>
        <v>4904188</v>
      </c>
      <c r="AN10" s="465">
        <f t="shared" si="30"/>
        <v>4915297</v>
      </c>
    </row>
    <row r="11" spans="1:40">
      <c r="A11" s="240"/>
      <c r="B11" s="241" t="s">
        <v>202</v>
      </c>
      <c r="C11" s="242">
        <f>C18+C50+C51+C52</f>
        <v>12565582</v>
      </c>
      <c r="D11" s="242">
        <f t="shared" ref="D11:P11" si="31">D18+D50+D51+D52</f>
        <v>17631112</v>
      </c>
      <c r="E11" s="242">
        <f t="shared" si="31"/>
        <v>13982016</v>
      </c>
      <c r="F11" s="242">
        <f t="shared" si="31"/>
        <v>13354733</v>
      </c>
      <c r="G11" s="242">
        <f t="shared" si="31"/>
        <v>13411433</v>
      </c>
      <c r="H11" s="242">
        <f t="shared" si="31"/>
        <v>11688284</v>
      </c>
      <c r="I11" s="242">
        <f t="shared" si="31"/>
        <v>10617305</v>
      </c>
      <c r="J11" s="242">
        <f t="shared" si="31"/>
        <v>13336154</v>
      </c>
      <c r="K11" s="242">
        <f t="shared" si="31"/>
        <v>11163261</v>
      </c>
      <c r="L11" s="242">
        <f t="shared" si="31"/>
        <v>11511276</v>
      </c>
      <c r="M11" s="242">
        <f t="shared" si="31"/>
        <v>9350935</v>
      </c>
      <c r="N11" s="242">
        <f t="shared" si="31"/>
        <v>7932855</v>
      </c>
      <c r="O11" s="242">
        <f t="shared" si="31"/>
        <v>5148603</v>
      </c>
      <c r="P11" s="242">
        <f t="shared" si="31"/>
        <v>7273942</v>
      </c>
      <c r="Q11" s="242">
        <f t="shared" ref="Q11:V11" si="32">Q18+Q50+Q51+Q52</f>
        <v>7755193</v>
      </c>
      <c r="R11" s="242">
        <f t="shared" si="32"/>
        <v>12323293</v>
      </c>
      <c r="S11" s="242">
        <f t="shared" si="32"/>
        <v>13042188</v>
      </c>
      <c r="T11" s="242">
        <f t="shared" si="32"/>
        <v>13301712</v>
      </c>
      <c r="U11" s="242">
        <f t="shared" si="32"/>
        <v>12024727</v>
      </c>
      <c r="V11" s="249">
        <f t="shared" si="32"/>
        <v>10212082</v>
      </c>
      <c r="W11" s="249">
        <f t="shared" ref="W11:AB11" si="33">W18+W50+W51+W52</f>
        <v>21545563</v>
      </c>
      <c r="X11" s="249">
        <f t="shared" si="33"/>
        <v>8465915</v>
      </c>
      <c r="Y11" s="249">
        <f t="shared" si="33"/>
        <v>10010385</v>
      </c>
      <c r="Z11" s="452">
        <f t="shared" si="33"/>
        <v>9065971</v>
      </c>
      <c r="AA11" s="552">
        <f t="shared" si="33"/>
        <v>8361408</v>
      </c>
      <c r="AB11" s="552">
        <f t="shared" si="33"/>
        <v>7906308</v>
      </c>
      <c r="AC11" s="552">
        <f t="shared" ref="AC11:AH11" si="34">AC18+AC50+AC51+AC52</f>
        <v>10386184</v>
      </c>
      <c r="AD11" s="552">
        <f t="shared" si="34"/>
        <v>10673667</v>
      </c>
      <c r="AE11" s="1371">
        <f t="shared" si="34"/>
        <v>16032635</v>
      </c>
      <c r="AF11" s="1371">
        <f t="shared" si="34"/>
        <v>14288806</v>
      </c>
      <c r="AG11" s="465">
        <f t="shared" si="34"/>
        <v>13665036</v>
      </c>
      <c r="AH11" s="465">
        <f t="shared" si="34"/>
        <v>14662160</v>
      </c>
      <c r="AI11" s="465">
        <f t="shared" ref="AI11:AN11" si="35">AI18+AI50+AI51+AI52</f>
        <v>14205334</v>
      </c>
      <c r="AJ11" s="465">
        <f t="shared" si="35"/>
        <v>14177511</v>
      </c>
      <c r="AK11" s="465">
        <f t="shared" si="35"/>
        <v>14348336</v>
      </c>
      <c r="AL11" s="465">
        <f t="shared" si="35"/>
        <v>14243728</v>
      </c>
      <c r="AM11" s="465">
        <f t="shared" si="35"/>
        <v>14256525</v>
      </c>
      <c r="AN11" s="465">
        <f t="shared" si="35"/>
        <v>14282863</v>
      </c>
    </row>
    <row r="12" spans="1:40">
      <c r="A12" s="240"/>
      <c r="B12" s="241" t="s">
        <v>205</v>
      </c>
      <c r="C12" s="242">
        <f>C25+C28+C45+C53+C54+C55+C43</f>
        <v>5006648</v>
      </c>
      <c r="D12" s="242">
        <f t="shared" ref="D12:P12" si="36">D25+D28+D45+D53+D54+D55+D43</f>
        <v>5267189</v>
      </c>
      <c r="E12" s="242">
        <f t="shared" si="36"/>
        <v>5325831</v>
      </c>
      <c r="F12" s="242">
        <f t="shared" si="36"/>
        <v>3388551</v>
      </c>
      <c r="G12" s="242">
        <f t="shared" si="36"/>
        <v>2825699</v>
      </c>
      <c r="H12" s="242">
        <f t="shared" si="36"/>
        <v>4295242</v>
      </c>
      <c r="I12" s="242">
        <f t="shared" si="36"/>
        <v>3879094</v>
      </c>
      <c r="J12" s="242">
        <f t="shared" si="36"/>
        <v>7099162</v>
      </c>
      <c r="K12" s="242">
        <f t="shared" si="36"/>
        <v>4359023</v>
      </c>
      <c r="L12" s="242">
        <f t="shared" si="36"/>
        <v>4064876</v>
      </c>
      <c r="M12" s="242">
        <f t="shared" si="36"/>
        <v>4290133</v>
      </c>
      <c r="N12" s="242">
        <f t="shared" si="36"/>
        <v>3807918</v>
      </c>
      <c r="O12" s="242">
        <f t="shared" si="36"/>
        <v>2591401</v>
      </c>
      <c r="P12" s="242">
        <f t="shared" si="36"/>
        <v>2372664</v>
      </c>
      <c r="Q12" s="242">
        <f t="shared" ref="Q12:V12" si="37">Q25+Q28+Q45+Q53+Q54+Q55+Q43</f>
        <v>2329393</v>
      </c>
      <c r="R12" s="242">
        <f t="shared" si="37"/>
        <v>4482882</v>
      </c>
      <c r="S12" s="242">
        <f t="shared" si="37"/>
        <v>5223701</v>
      </c>
      <c r="T12" s="242">
        <f t="shared" si="37"/>
        <v>4031272</v>
      </c>
      <c r="U12" s="242">
        <f t="shared" si="37"/>
        <v>4159958</v>
      </c>
      <c r="V12" s="249">
        <f t="shared" si="37"/>
        <v>2667514</v>
      </c>
      <c r="W12" s="249">
        <f t="shared" ref="W12:AB12" si="38">W25+W28+W45+W53+W54+W55+W43</f>
        <v>2737090</v>
      </c>
      <c r="X12" s="249">
        <f t="shared" si="38"/>
        <v>2686739</v>
      </c>
      <c r="Y12" s="249">
        <f t="shared" si="38"/>
        <v>3791089</v>
      </c>
      <c r="Z12" s="452">
        <f t="shared" si="38"/>
        <v>2535780</v>
      </c>
      <c r="AA12" s="552">
        <f t="shared" si="38"/>
        <v>2938859</v>
      </c>
      <c r="AB12" s="552">
        <f t="shared" si="38"/>
        <v>3142135</v>
      </c>
      <c r="AC12" s="552">
        <f t="shared" ref="AC12:AH12" si="39">AC25+AC28+AC45+AC53+AC54+AC55+AC43</f>
        <v>4200600</v>
      </c>
      <c r="AD12" s="552">
        <f t="shared" si="39"/>
        <v>3570113</v>
      </c>
      <c r="AE12" s="1371">
        <f t="shared" si="39"/>
        <v>3974958</v>
      </c>
      <c r="AF12" s="1371">
        <f t="shared" si="39"/>
        <v>4624044</v>
      </c>
      <c r="AG12" s="465">
        <f t="shared" si="39"/>
        <v>4056371</v>
      </c>
      <c r="AH12" s="465">
        <f t="shared" si="39"/>
        <v>4218457</v>
      </c>
      <c r="AI12" s="465">
        <f t="shared" ref="AI12:AN12" si="40">AI25+AI28+AI45+AI53+AI54+AI55+AI43</f>
        <v>4299625</v>
      </c>
      <c r="AJ12" s="465">
        <f t="shared" si="40"/>
        <v>4191484</v>
      </c>
      <c r="AK12" s="465">
        <f t="shared" si="40"/>
        <v>4236522</v>
      </c>
      <c r="AL12" s="465">
        <f t="shared" si="40"/>
        <v>4242544</v>
      </c>
      <c r="AM12" s="465">
        <f t="shared" si="40"/>
        <v>4223516</v>
      </c>
      <c r="AN12" s="465">
        <f t="shared" si="40"/>
        <v>4234194</v>
      </c>
    </row>
    <row r="13" spans="1:40">
      <c r="A13" s="240"/>
      <c r="B13" s="241" t="s">
        <v>210</v>
      </c>
      <c r="C13" s="242">
        <f>C26+C41+C38+C56+C57</f>
        <v>2173426</v>
      </c>
      <c r="D13" s="242">
        <f t="shared" ref="D13:P13" si="41">D26+D41+D38+D56+D57</f>
        <v>2455044</v>
      </c>
      <c r="E13" s="242">
        <f t="shared" si="41"/>
        <v>1757771</v>
      </c>
      <c r="F13" s="242">
        <f t="shared" si="41"/>
        <v>1609952</v>
      </c>
      <c r="G13" s="242">
        <f t="shared" si="41"/>
        <v>1106220</v>
      </c>
      <c r="H13" s="242">
        <f t="shared" si="41"/>
        <v>859040</v>
      </c>
      <c r="I13" s="242">
        <f t="shared" si="41"/>
        <v>1726407</v>
      </c>
      <c r="J13" s="242">
        <f t="shared" si="41"/>
        <v>2908474</v>
      </c>
      <c r="K13" s="242">
        <f t="shared" si="41"/>
        <v>1984971</v>
      </c>
      <c r="L13" s="242">
        <f t="shared" si="41"/>
        <v>1549299</v>
      </c>
      <c r="M13" s="242">
        <f t="shared" si="41"/>
        <v>1445827</v>
      </c>
      <c r="N13" s="242">
        <f t="shared" si="41"/>
        <v>1245362</v>
      </c>
      <c r="O13" s="242">
        <f t="shared" si="41"/>
        <v>778761</v>
      </c>
      <c r="P13" s="242">
        <f t="shared" si="41"/>
        <v>583020</v>
      </c>
      <c r="Q13" s="242">
        <f t="shared" ref="Q13:V13" si="42">Q26+Q41+Q38+Q56+Q57</f>
        <v>777567</v>
      </c>
      <c r="R13" s="242">
        <f t="shared" si="42"/>
        <v>1132746</v>
      </c>
      <c r="S13" s="242">
        <f t="shared" si="42"/>
        <v>1261502</v>
      </c>
      <c r="T13" s="242">
        <f t="shared" si="42"/>
        <v>1130789</v>
      </c>
      <c r="U13" s="242">
        <f t="shared" si="42"/>
        <v>1091553</v>
      </c>
      <c r="V13" s="249">
        <f t="shared" si="42"/>
        <v>804366</v>
      </c>
      <c r="W13" s="249">
        <f t="shared" ref="W13:AB13" si="43">W26+W41+W38+W56+W57</f>
        <v>664901</v>
      </c>
      <c r="X13" s="249">
        <f t="shared" si="43"/>
        <v>1269090</v>
      </c>
      <c r="Y13" s="249">
        <f t="shared" si="43"/>
        <v>869028</v>
      </c>
      <c r="Z13" s="452">
        <f t="shared" si="43"/>
        <v>717503</v>
      </c>
      <c r="AA13" s="552">
        <f t="shared" si="43"/>
        <v>975093</v>
      </c>
      <c r="AB13" s="552">
        <f t="shared" si="43"/>
        <v>690926</v>
      </c>
      <c r="AC13" s="552">
        <f t="shared" ref="AC13:AH13" si="44">AC26+AC41+AC38+AC56+AC57</f>
        <v>1182727</v>
      </c>
      <c r="AD13" s="552">
        <f t="shared" si="44"/>
        <v>3966565</v>
      </c>
      <c r="AE13" s="1371">
        <f t="shared" si="44"/>
        <v>1334260</v>
      </c>
      <c r="AF13" s="1371">
        <f t="shared" si="44"/>
        <v>1204856</v>
      </c>
      <c r="AG13" s="465">
        <f t="shared" si="44"/>
        <v>2168561</v>
      </c>
      <c r="AH13" s="465">
        <f t="shared" si="44"/>
        <v>1569225</v>
      </c>
      <c r="AI13" s="465">
        <f t="shared" ref="AI13:AN13" si="45">AI26+AI41+AI38+AI56+AI57</f>
        <v>1647548</v>
      </c>
      <c r="AJ13" s="465">
        <f t="shared" si="45"/>
        <v>1795111</v>
      </c>
      <c r="AK13" s="465">
        <f t="shared" si="45"/>
        <v>1670627</v>
      </c>
      <c r="AL13" s="465">
        <f t="shared" si="45"/>
        <v>1704428</v>
      </c>
      <c r="AM13" s="465">
        <f t="shared" si="45"/>
        <v>1723388</v>
      </c>
      <c r="AN13" s="465">
        <f t="shared" si="45"/>
        <v>1699482</v>
      </c>
    </row>
    <row r="14" spans="1:40">
      <c r="A14" s="240"/>
      <c r="B14" s="241" t="s">
        <v>211</v>
      </c>
      <c r="C14" s="242">
        <f>C37+C39</f>
        <v>1328212</v>
      </c>
      <c r="D14" s="242">
        <f t="shared" ref="D14:P14" si="46">D37+D39</f>
        <v>1282880</v>
      </c>
      <c r="E14" s="242">
        <f t="shared" si="46"/>
        <v>1322089</v>
      </c>
      <c r="F14" s="242">
        <f t="shared" si="46"/>
        <v>993163</v>
      </c>
      <c r="G14" s="242">
        <f t="shared" si="46"/>
        <v>655036</v>
      </c>
      <c r="H14" s="242">
        <f t="shared" si="46"/>
        <v>808681</v>
      </c>
      <c r="I14" s="242">
        <f t="shared" si="46"/>
        <v>1663298</v>
      </c>
      <c r="J14" s="242">
        <f t="shared" si="46"/>
        <v>1113318</v>
      </c>
      <c r="K14" s="242">
        <f t="shared" si="46"/>
        <v>923995</v>
      </c>
      <c r="L14" s="242">
        <f t="shared" si="46"/>
        <v>694164</v>
      </c>
      <c r="M14" s="242">
        <f t="shared" si="46"/>
        <v>682902</v>
      </c>
      <c r="N14" s="242">
        <f t="shared" si="46"/>
        <v>565260</v>
      </c>
      <c r="O14" s="242">
        <f t="shared" si="46"/>
        <v>680176</v>
      </c>
      <c r="P14" s="242">
        <f t="shared" si="46"/>
        <v>947279</v>
      </c>
      <c r="Q14" s="242">
        <f t="shared" ref="Q14:V14" si="47">Q37+Q39</f>
        <v>1431748</v>
      </c>
      <c r="R14" s="242">
        <f t="shared" si="47"/>
        <v>800339</v>
      </c>
      <c r="S14" s="242">
        <f t="shared" si="47"/>
        <v>992052</v>
      </c>
      <c r="T14" s="242">
        <f t="shared" si="47"/>
        <v>1028232</v>
      </c>
      <c r="U14" s="242">
        <f t="shared" si="47"/>
        <v>1097894</v>
      </c>
      <c r="V14" s="249">
        <f t="shared" si="47"/>
        <v>487632</v>
      </c>
      <c r="W14" s="249">
        <f t="shared" ref="W14:AB14" si="48">W37+W39</f>
        <v>764015</v>
      </c>
      <c r="X14" s="249">
        <f t="shared" si="48"/>
        <v>650368</v>
      </c>
      <c r="Y14" s="249">
        <f t="shared" si="48"/>
        <v>594973</v>
      </c>
      <c r="Z14" s="452">
        <f t="shared" si="48"/>
        <v>663077</v>
      </c>
      <c r="AA14" s="552">
        <f t="shared" si="48"/>
        <v>1435217</v>
      </c>
      <c r="AB14" s="552">
        <f t="shared" si="48"/>
        <v>1814899</v>
      </c>
      <c r="AC14" s="552">
        <f t="shared" ref="AC14:AH14" si="49">AC37+AC39</f>
        <v>908236</v>
      </c>
      <c r="AD14" s="552">
        <f t="shared" si="49"/>
        <v>909537</v>
      </c>
      <c r="AE14" s="1371">
        <f t="shared" si="49"/>
        <v>985465</v>
      </c>
      <c r="AF14" s="1371">
        <f t="shared" si="49"/>
        <v>1074562</v>
      </c>
      <c r="AG14" s="465">
        <f t="shared" si="49"/>
        <v>989855</v>
      </c>
      <c r="AH14" s="465">
        <f t="shared" si="49"/>
        <v>1016627</v>
      </c>
      <c r="AI14" s="465">
        <f t="shared" ref="AI14:AN14" si="50">AI37+AI39</f>
        <v>1027015</v>
      </c>
      <c r="AJ14" s="465">
        <f t="shared" si="50"/>
        <v>1011166</v>
      </c>
      <c r="AK14" s="465">
        <f t="shared" si="50"/>
        <v>1018270</v>
      </c>
      <c r="AL14" s="465">
        <f t="shared" si="50"/>
        <v>1018817</v>
      </c>
      <c r="AM14" s="465">
        <f t="shared" si="50"/>
        <v>1016084</v>
      </c>
      <c r="AN14" s="465">
        <f t="shared" si="50"/>
        <v>1017724</v>
      </c>
    </row>
    <row r="15" spans="1:40">
      <c r="A15" s="240"/>
      <c r="B15" s="241" t="s">
        <v>212</v>
      </c>
      <c r="C15" s="242">
        <f>C22+C40+C42</f>
        <v>1094860</v>
      </c>
      <c r="D15" s="242">
        <f t="shared" ref="D15:P15" si="51">D22+D40+D42</f>
        <v>2191685</v>
      </c>
      <c r="E15" s="242">
        <f t="shared" si="51"/>
        <v>2318449</v>
      </c>
      <c r="F15" s="242">
        <f t="shared" si="51"/>
        <v>1686609</v>
      </c>
      <c r="G15" s="242">
        <f t="shared" si="51"/>
        <v>1689540</v>
      </c>
      <c r="H15" s="242">
        <f t="shared" si="51"/>
        <v>2301680</v>
      </c>
      <c r="I15" s="242">
        <f t="shared" si="51"/>
        <v>2800656</v>
      </c>
      <c r="J15" s="242">
        <f t="shared" si="51"/>
        <v>1975490</v>
      </c>
      <c r="K15" s="242">
        <f t="shared" si="51"/>
        <v>1966442</v>
      </c>
      <c r="L15" s="242">
        <f t="shared" si="51"/>
        <v>1207384</v>
      </c>
      <c r="M15" s="242">
        <f t="shared" si="51"/>
        <v>1333537</v>
      </c>
      <c r="N15" s="242">
        <f t="shared" si="51"/>
        <v>1162766</v>
      </c>
      <c r="O15" s="242">
        <f t="shared" si="51"/>
        <v>794784</v>
      </c>
      <c r="P15" s="242">
        <f t="shared" si="51"/>
        <v>1140398</v>
      </c>
      <c r="Q15" s="242">
        <f t="shared" ref="Q15:V15" si="52">Q22+Q40+Q42</f>
        <v>701515</v>
      </c>
      <c r="R15" s="242">
        <f t="shared" si="52"/>
        <v>852790</v>
      </c>
      <c r="S15" s="242">
        <f t="shared" si="52"/>
        <v>723447</v>
      </c>
      <c r="T15" s="242">
        <f t="shared" si="52"/>
        <v>729628</v>
      </c>
      <c r="U15" s="242">
        <f t="shared" si="52"/>
        <v>987903</v>
      </c>
      <c r="V15" s="249">
        <f t="shared" si="52"/>
        <v>772270</v>
      </c>
      <c r="W15" s="249">
        <f t="shared" ref="W15:AB15" si="53">W22+W40+W42</f>
        <v>1163528</v>
      </c>
      <c r="X15" s="249">
        <f t="shared" si="53"/>
        <v>463057</v>
      </c>
      <c r="Y15" s="249">
        <f t="shared" si="53"/>
        <v>484387</v>
      </c>
      <c r="Z15" s="452">
        <f t="shared" si="53"/>
        <v>552836</v>
      </c>
      <c r="AA15" s="552">
        <f t="shared" si="53"/>
        <v>318108</v>
      </c>
      <c r="AB15" s="552">
        <f t="shared" si="53"/>
        <v>460389</v>
      </c>
      <c r="AC15" s="552">
        <f t="shared" ref="AC15:AH15" si="54">AC22+AC40+AC42</f>
        <v>1206002</v>
      </c>
      <c r="AD15" s="552">
        <f t="shared" si="54"/>
        <v>1188419</v>
      </c>
      <c r="AE15" s="1371">
        <f t="shared" si="54"/>
        <v>585029</v>
      </c>
      <c r="AF15" s="1371">
        <f t="shared" si="54"/>
        <v>666090</v>
      </c>
      <c r="AG15" s="465">
        <f t="shared" si="54"/>
        <v>813179</v>
      </c>
      <c r="AH15" s="465">
        <f t="shared" si="54"/>
        <v>688099</v>
      </c>
      <c r="AI15" s="465">
        <f t="shared" ref="AI15:AN15" si="55">AI22+AI40+AI42</f>
        <v>722456</v>
      </c>
      <c r="AJ15" s="465">
        <f t="shared" si="55"/>
        <v>741244</v>
      </c>
      <c r="AK15" s="465">
        <f t="shared" si="55"/>
        <v>717267</v>
      </c>
      <c r="AL15" s="465">
        <f t="shared" si="55"/>
        <v>726989</v>
      </c>
      <c r="AM15" s="465">
        <f t="shared" si="55"/>
        <v>728500</v>
      </c>
      <c r="AN15" s="465">
        <f t="shared" si="55"/>
        <v>724251</v>
      </c>
    </row>
    <row r="16" spans="1:40">
      <c r="A16" s="240"/>
      <c r="B16" s="241"/>
      <c r="C16" s="242"/>
      <c r="D16" s="242"/>
      <c r="E16" s="242"/>
      <c r="F16" s="242"/>
      <c r="G16" s="242"/>
      <c r="H16" s="242"/>
      <c r="I16" s="242"/>
      <c r="J16" s="242"/>
      <c r="K16" s="242"/>
      <c r="L16" s="242"/>
      <c r="M16" s="242"/>
      <c r="N16" s="242"/>
      <c r="O16" s="242"/>
      <c r="P16" s="242"/>
      <c r="Q16" s="333" t="s">
        <v>808</v>
      </c>
      <c r="R16" s="333" t="s">
        <v>808</v>
      </c>
      <c r="S16" s="333" t="s">
        <v>808</v>
      </c>
      <c r="T16" s="256"/>
      <c r="V16" s="316"/>
      <c r="W16" s="316"/>
      <c r="X16" s="316"/>
      <c r="Y16" s="316"/>
      <c r="Z16" s="453"/>
      <c r="AA16" s="491"/>
      <c r="AB16" s="491"/>
      <c r="AC16" s="491"/>
      <c r="AD16" s="491"/>
      <c r="AE16" s="1372"/>
      <c r="AF16" s="1372"/>
      <c r="AG16" s="456"/>
      <c r="AH16" s="456"/>
      <c r="AI16" s="456"/>
      <c r="AJ16" s="456"/>
      <c r="AK16" s="456"/>
      <c r="AL16" s="456"/>
      <c r="AM16" s="456"/>
      <c r="AN16" s="456"/>
    </row>
    <row r="17" spans="1:40">
      <c r="A17" s="232">
        <v>100</v>
      </c>
      <c r="B17" s="241" t="s">
        <v>685</v>
      </c>
      <c r="C17" s="242">
        <f>C70</f>
        <v>12823071</v>
      </c>
      <c r="D17" s="242">
        <f t="shared" ref="D17:P17" si="56">D70</f>
        <v>15596314</v>
      </c>
      <c r="E17" s="242">
        <f t="shared" si="56"/>
        <v>14861928</v>
      </c>
      <c r="F17" s="242">
        <f t="shared" si="56"/>
        <v>12860232</v>
      </c>
      <c r="G17" s="242">
        <f t="shared" si="56"/>
        <v>11142205</v>
      </c>
      <c r="H17" s="242">
        <f t="shared" si="56"/>
        <v>8957066</v>
      </c>
      <c r="I17" s="242">
        <f t="shared" si="56"/>
        <v>13394998</v>
      </c>
      <c r="J17" s="242">
        <f t="shared" si="56"/>
        <v>13692726</v>
      </c>
      <c r="K17" s="242">
        <f t="shared" si="56"/>
        <v>11845913</v>
      </c>
      <c r="L17" s="242">
        <f t="shared" si="56"/>
        <v>9670434</v>
      </c>
      <c r="M17" s="242">
        <f t="shared" si="56"/>
        <v>6693014</v>
      </c>
      <c r="N17" s="242">
        <f t="shared" si="56"/>
        <v>10938714</v>
      </c>
      <c r="O17" s="242">
        <f t="shared" si="56"/>
        <v>6937874</v>
      </c>
      <c r="P17" s="242">
        <f t="shared" si="56"/>
        <v>5531824</v>
      </c>
      <c r="Q17" s="333">
        <v>5846111</v>
      </c>
      <c r="R17" s="333">
        <v>6112116</v>
      </c>
      <c r="S17" s="333">
        <v>12149933</v>
      </c>
      <c r="T17" s="221">
        <v>10199966</v>
      </c>
      <c r="U17" s="75">
        <v>11793919</v>
      </c>
      <c r="V17" s="334">
        <v>9740542</v>
      </c>
      <c r="W17" s="316">
        <v>8005873</v>
      </c>
      <c r="X17" s="316">
        <v>7301455</v>
      </c>
      <c r="Y17" s="316">
        <v>9441497</v>
      </c>
      <c r="Z17" s="453">
        <v>8396614</v>
      </c>
      <c r="AA17" s="491">
        <v>6866856</v>
      </c>
      <c r="AB17" s="491">
        <v>9518403</v>
      </c>
      <c r="AC17" s="491">
        <v>11118845</v>
      </c>
      <c r="AD17" s="491">
        <v>9485734</v>
      </c>
      <c r="AE17" s="1372">
        <v>8490188</v>
      </c>
      <c r="AF17" s="1373">
        <v>10180972</v>
      </c>
      <c r="AG17" s="456">
        <f t="shared" ref="AG17:AN32" si="57">ROUND(SUM(AD17:AF17)/3,0)</f>
        <v>9385631</v>
      </c>
      <c r="AH17" s="456">
        <f t="shared" si="57"/>
        <v>9352264</v>
      </c>
      <c r="AI17" s="456">
        <f t="shared" si="57"/>
        <v>9639622</v>
      </c>
      <c r="AJ17" s="456">
        <f t="shared" si="57"/>
        <v>9459172</v>
      </c>
      <c r="AK17" s="456">
        <f t="shared" si="57"/>
        <v>9483686</v>
      </c>
      <c r="AL17" s="456">
        <f t="shared" si="57"/>
        <v>9527493</v>
      </c>
      <c r="AM17" s="456">
        <f t="shared" si="57"/>
        <v>9490117</v>
      </c>
      <c r="AN17" s="456">
        <f t="shared" si="57"/>
        <v>9500432</v>
      </c>
    </row>
    <row r="18" spans="1:40">
      <c r="A18" s="243">
        <v>201</v>
      </c>
      <c r="B18" s="244" t="s">
        <v>382</v>
      </c>
      <c r="C18" s="245">
        <f>C71+C105+C106+C110+C122</f>
        <v>11750636</v>
      </c>
      <c r="D18" s="245">
        <f t="shared" ref="D18:Q18" si="58">D71+D105+D106+D110+D122</f>
        <v>16795250</v>
      </c>
      <c r="E18" s="245">
        <f t="shared" si="58"/>
        <v>12952428</v>
      </c>
      <c r="F18" s="245">
        <f t="shared" si="58"/>
        <v>12932806</v>
      </c>
      <c r="G18" s="245">
        <f t="shared" si="58"/>
        <v>13208230</v>
      </c>
      <c r="H18" s="245">
        <f t="shared" si="58"/>
        <v>11162835</v>
      </c>
      <c r="I18" s="245">
        <f t="shared" si="58"/>
        <v>10193890</v>
      </c>
      <c r="J18" s="245">
        <f t="shared" si="58"/>
        <v>12386699</v>
      </c>
      <c r="K18" s="245">
        <f t="shared" si="58"/>
        <v>10425456</v>
      </c>
      <c r="L18" s="245">
        <f t="shared" si="58"/>
        <v>10868046</v>
      </c>
      <c r="M18" s="245">
        <f t="shared" si="58"/>
        <v>8993173</v>
      </c>
      <c r="N18" s="245">
        <f t="shared" si="58"/>
        <v>7417415</v>
      </c>
      <c r="O18" s="245">
        <f t="shared" si="58"/>
        <v>4882989</v>
      </c>
      <c r="P18" s="245">
        <f t="shared" si="58"/>
        <v>6440849</v>
      </c>
      <c r="Q18" s="245">
        <f t="shared" si="58"/>
        <v>6988498</v>
      </c>
      <c r="R18" s="335">
        <v>11592808</v>
      </c>
      <c r="S18" s="335">
        <v>12530977</v>
      </c>
      <c r="T18" s="221">
        <v>12374015</v>
      </c>
      <c r="U18" s="75">
        <v>11297351</v>
      </c>
      <c r="V18" s="334">
        <v>9912377</v>
      </c>
      <c r="W18" s="316">
        <v>21162615</v>
      </c>
      <c r="X18" s="316">
        <v>7872117</v>
      </c>
      <c r="Y18" s="316">
        <v>9694641</v>
      </c>
      <c r="Z18" s="453">
        <v>8549413</v>
      </c>
      <c r="AA18" s="491">
        <v>7692158</v>
      </c>
      <c r="AB18" s="491">
        <v>7521158</v>
      </c>
      <c r="AC18" s="491">
        <v>9749752</v>
      </c>
      <c r="AD18" s="491">
        <v>9927220</v>
      </c>
      <c r="AE18" s="1372">
        <v>14785120</v>
      </c>
      <c r="AF18" s="1372">
        <v>12747829</v>
      </c>
      <c r="AG18" s="456">
        <f t="shared" ref="AG18:AM57" si="59">ROUND(SUM(AD18:AF18)/3,0)</f>
        <v>12486723</v>
      </c>
      <c r="AH18" s="456">
        <f t="shared" si="59"/>
        <v>13339891</v>
      </c>
      <c r="AI18" s="456">
        <f t="shared" si="59"/>
        <v>12858148</v>
      </c>
      <c r="AJ18" s="456">
        <f t="shared" si="59"/>
        <v>12894921</v>
      </c>
      <c r="AK18" s="456">
        <f t="shared" si="59"/>
        <v>13030987</v>
      </c>
      <c r="AL18" s="456">
        <f t="shared" si="59"/>
        <v>12928019</v>
      </c>
      <c r="AM18" s="456">
        <f t="shared" si="59"/>
        <v>12951309</v>
      </c>
      <c r="AN18" s="456">
        <f t="shared" si="57"/>
        <v>12970105</v>
      </c>
    </row>
    <row r="19" spans="1:40">
      <c r="A19" s="232">
        <v>202</v>
      </c>
      <c r="B19" s="241" t="s">
        <v>183</v>
      </c>
      <c r="C19" s="242">
        <f>C72</f>
        <v>7749102</v>
      </c>
      <c r="D19" s="242">
        <f t="shared" ref="D19:P19" si="60">D72</f>
        <v>8883296</v>
      </c>
      <c r="E19" s="242">
        <f t="shared" si="60"/>
        <v>12221395</v>
      </c>
      <c r="F19" s="242">
        <f t="shared" si="60"/>
        <v>8134901</v>
      </c>
      <c r="G19" s="242">
        <f t="shared" si="60"/>
        <v>6829371</v>
      </c>
      <c r="H19" s="242">
        <f t="shared" si="60"/>
        <v>7062062</v>
      </c>
      <c r="I19" s="242">
        <f t="shared" si="60"/>
        <v>11437412</v>
      </c>
      <c r="J19" s="242">
        <f t="shared" si="60"/>
        <v>10343507</v>
      </c>
      <c r="K19" s="242">
        <f t="shared" si="60"/>
        <v>5866735</v>
      </c>
      <c r="L19" s="242">
        <f t="shared" si="60"/>
        <v>6960300</v>
      </c>
      <c r="M19" s="242">
        <f t="shared" si="60"/>
        <v>7811011</v>
      </c>
      <c r="N19" s="242">
        <f t="shared" si="60"/>
        <v>7605606</v>
      </c>
      <c r="O19" s="242">
        <f t="shared" si="60"/>
        <v>4225086</v>
      </c>
      <c r="P19" s="242">
        <f t="shared" si="60"/>
        <v>5264926</v>
      </c>
      <c r="Q19" s="333">
        <v>4920854</v>
      </c>
      <c r="R19" s="333">
        <v>6943212</v>
      </c>
      <c r="S19" s="333">
        <v>14569685</v>
      </c>
      <c r="T19" s="221">
        <v>13980412</v>
      </c>
      <c r="U19" s="75">
        <v>20905211</v>
      </c>
      <c r="V19" s="334">
        <v>19167308</v>
      </c>
      <c r="W19" s="316">
        <v>7910717</v>
      </c>
      <c r="X19" s="316">
        <v>5126109</v>
      </c>
      <c r="Y19" s="316">
        <v>4026005</v>
      </c>
      <c r="Z19" s="453">
        <v>4084106</v>
      </c>
      <c r="AA19" s="491">
        <v>4579030</v>
      </c>
      <c r="AB19" s="491">
        <v>4442365</v>
      </c>
      <c r="AC19" s="491">
        <v>5366514</v>
      </c>
      <c r="AD19" s="491">
        <v>3336081</v>
      </c>
      <c r="AE19" s="1372">
        <v>4239278</v>
      </c>
      <c r="AF19" s="1372">
        <v>4446349</v>
      </c>
      <c r="AG19" s="456">
        <f t="shared" si="59"/>
        <v>4007236</v>
      </c>
      <c r="AH19" s="456">
        <f t="shared" si="59"/>
        <v>4230954</v>
      </c>
      <c r="AI19" s="456">
        <f t="shared" si="59"/>
        <v>4228180</v>
      </c>
      <c r="AJ19" s="456">
        <f>ROUND(SUM(AG19:AI19)/3,0)</f>
        <v>4155457</v>
      </c>
      <c r="AK19" s="456">
        <f>ROUND(SUM(AH19:AJ19)/3,0)</f>
        <v>4204864</v>
      </c>
      <c r="AL19" s="456">
        <f>ROUND(SUM(AI19:AK19)/3,0)</f>
        <v>4196167</v>
      </c>
      <c r="AM19" s="456">
        <f>ROUND(SUM(AJ19:AL19)/3,0)</f>
        <v>4185496</v>
      </c>
      <c r="AN19" s="456">
        <f>ROUND(SUM(AK19:AM19)/3,0)</f>
        <v>4195509</v>
      </c>
    </row>
    <row r="20" spans="1:40">
      <c r="A20" s="232">
        <v>203</v>
      </c>
      <c r="B20" s="241" t="s">
        <v>193</v>
      </c>
      <c r="C20" s="242">
        <f>C73</f>
        <v>5710596</v>
      </c>
      <c r="D20" s="242">
        <f t="shared" ref="D20:P20" si="61">D73</f>
        <v>4334736</v>
      </c>
      <c r="E20" s="242">
        <f t="shared" si="61"/>
        <v>3808269</v>
      </c>
      <c r="F20" s="242">
        <f t="shared" si="61"/>
        <v>3612686</v>
      </c>
      <c r="G20" s="242">
        <f t="shared" si="61"/>
        <v>2863399</v>
      </c>
      <c r="H20" s="242">
        <f t="shared" si="61"/>
        <v>2647846</v>
      </c>
      <c r="I20" s="242">
        <f t="shared" si="61"/>
        <v>4373631</v>
      </c>
      <c r="J20" s="242">
        <f t="shared" si="61"/>
        <v>4484129</v>
      </c>
      <c r="K20" s="242">
        <f t="shared" si="61"/>
        <v>3981108</v>
      </c>
      <c r="L20" s="242">
        <f t="shared" si="61"/>
        <v>3012058</v>
      </c>
      <c r="M20" s="242">
        <f t="shared" si="61"/>
        <v>2986527</v>
      </c>
      <c r="N20" s="242">
        <f t="shared" si="61"/>
        <v>2354527</v>
      </c>
      <c r="O20" s="242">
        <f t="shared" si="61"/>
        <v>1672062</v>
      </c>
      <c r="P20" s="242">
        <f t="shared" si="61"/>
        <v>1800817</v>
      </c>
      <c r="Q20" s="333">
        <v>3258983</v>
      </c>
      <c r="R20" s="333">
        <v>2964410</v>
      </c>
      <c r="S20" s="333">
        <v>2772542</v>
      </c>
      <c r="T20" s="221">
        <v>2554207</v>
      </c>
      <c r="U20" s="75">
        <v>4476828</v>
      </c>
      <c r="V20" s="334">
        <v>3216271</v>
      </c>
      <c r="W20" s="316">
        <v>2485385</v>
      </c>
      <c r="X20" s="316">
        <v>2525368</v>
      </c>
      <c r="Y20" s="316">
        <v>2600928</v>
      </c>
      <c r="Z20" s="453">
        <v>2804996</v>
      </c>
      <c r="AA20" s="491">
        <v>3603568</v>
      </c>
      <c r="AB20" s="491">
        <v>2853586</v>
      </c>
      <c r="AC20" s="491">
        <v>4103841</v>
      </c>
      <c r="AD20" s="491">
        <v>4977936</v>
      </c>
      <c r="AE20" s="1372">
        <v>4235012</v>
      </c>
      <c r="AF20" s="1372">
        <v>4650240</v>
      </c>
      <c r="AG20" s="456">
        <f t="shared" si="59"/>
        <v>4621063</v>
      </c>
      <c r="AH20" s="456">
        <f t="shared" si="59"/>
        <v>4502105</v>
      </c>
      <c r="AI20" s="456">
        <f t="shared" si="59"/>
        <v>4591136</v>
      </c>
      <c r="AJ20" s="456">
        <f t="shared" si="59"/>
        <v>4571435</v>
      </c>
      <c r="AK20" s="456">
        <f t="shared" si="59"/>
        <v>4554892</v>
      </c>
      <c r="AL20" s="456">
        <f t="shared" si="59"/>
        <v>4572488</v>
      </c>
      <c r="AM20" s="456">
        <f t="shared" si="59"/>
        <v>4566272</v>
      </c>
      <c r="AN20" s="456">
        <f t="shared" si="57"/>
        <v>4564551</v>
      </c>
    </row>
    <row r="21" spans="1:40">
      <c r="A21" s="232">
        <v>204</v>
      </c>
      <c r="B21" s="241" t="s">
        <v>184</v>
      </c>
      <c r="C21" s="242">
        <f>C74</f>
        <v>6143647</v>
      </c>
      <c r="D21" s="242">
        <f t="shared" ref="D21:P21" si="62">D74</f>
        <v>3005568</v>
      </c>
      <c r="E21" s="242">
        <f t="shared" si="62"/>
        <v>1609446</v>
      </c>
      <c r="F21" s="242">
        <f t="shared" si="62"/>
        <v>3141798</v>
      </c>
      <c r="G21" s="242">
        <f t="shared" si="62"/>
        <v>1077171</v>
      </c>
      <c r="H21" s="242">
        <f t="shared" si="62"/>
        <v>1204063</v>
      </c>
      <c r="I21" s="242">
        <f t="shared" si="62"/>
        <v>1810545</v>
      </c>
      <c r="J21" s="242">
        <f t="shared" si="62"/>
        <v>1744901</v>
      </c>
      <c r="K21" s="242">
        <f t="shared" si="62"/>
        <v>1976899</v>
      </c>
      <c r="L21" s="242">
        <f t="shared" si="62"/>
        <v>2208756</v>
      </c>
      <c r="M21" s="242">
        <f t="shared" si="62"/>
        <v>1460664</v>
      </c>
      <c r="N21" s="242">
        <f t="shared" si="62"/>
        <v>1043641</v>
      </c>
      <c r="O21" s="242">
        <f t="shared" si="62"/>
        <v>1367187</v>
      </c>
      <c r="P21" s="242">
        <f t="shared" si="62"/>
        <v>1304216</v>
      </c>
      <c r="Q21" s="336">
        <v>1371638</v>
      </c>
      <c r="R21" s="336">
        <v>1268983</v>
      </c>
      <c r="S21" s="336">
        <v>1075237</v>
      </c>
      <c r="T21" s="336">
        <v>1056239</v>
      </c>
      <c r="U21" s="254">
        <f>U2-80221245</f>
        <v>1125639</v>
      </c>
      <c r="V21" s="334">
        <v>788576</v>
      </c>
      <c r="W21" s="316">
        <v>853482</v>
      </c>
      <c r="X21" s="316">
        <v>541301</v>
      </c>
      <c r="Y21" s="316">
        <v>740430</v>
      </c>
      <c r="Z21" s="453">
        <v>598972</v>
      </c>
      <c r="AA21" s="490">
        <f>575196+8381</f>
        <v>583577</v>
      </c>
      <c r="AB21" s="491">
        <v>571714</v>
      </c>
      <c r="AC21" s="491">
        <v>791670</v>
      </c>
      <c r="AD21" s="491">
        <v>544853</v>
      </c>
      <c r="AE21" s="1372">
        <v>820315</v>
      </c>
      <c r="AF21" s="1372">
        <v>666980</v>
      </c>
      <c r="AG21" s="456">
        <f t="shared" si="59"/>
        <v>677383</v>
      </c>
      <c r="AH21" s="456">
        <f t="shared" si="59"/>
        <v>721559</v>
      </c>
      <c r="AI21" s="456">
        <f t="shared" si="59"/>
        <v>688641</v>
      </c>
      <c r="AJ21" s="456">
        <f t="shared" si="59"/>
        <v>695861</v>
      </c>
      <c r="AK21" s="456">
        <f t="shared" si="59"/>
        <v>702020</v>
      </c>
      <c r="AL21" s="456">
        <f t="shared" si="59"/>
        <v>695507</v>
      </c>
      <c r="AM21" s="456">
        <f t="shared" si="59"/>
        <v>697796</v>
      </c>
      <c r="AN21" s="456">
        <f t="shared" si="57"/>
        <v>698441</v>
      </c>
    </row>
    <row r="22" spans="1:40">
      <c r="A22" s="243">
        <v>205</v>
      </c>
      <c r="B22" s="244" t="s">
        <v>339</v>
      </c>
      <c r="C22" s="245">
        <f>C75+C158</f>
        <v>694054</v>
      </c>
      <c r="D22" s="245">
        <f t="shared" ref="D22:P22" si="63">D75+D158</f>
        <v>1770764</v>
      </c>
      <c r="E22" s="245">
        <f t="shared" si="63"/>
        <v>1747205</v>
      </c>
      <c r="F22" s="245">
        <f t="shared" si="63"/>
        <v>1233242</v>
      </c>
      <c r="G22" s="245">
        <f t="shared" si="63"/>
        <v>1431342</v>
      </c>
      <c r="H22" s="245">
        <f t="shared" si="63"/>
        <v>2033271</v>
      </c>
      <c r="I22" s="245">
        <f t="shared" si="63"/>
        <v>2449110</v>
      </c>
      <c r="J22" s="245">
        <f t="shared" si="63"/>
        <v>1711188</v>
      </c>
      <c r="K22" s="245">
        <f t="shared" si="63"/>
        <v>1778793</v>
      </c>
      <c r="L22" s="245">
        <f t="shared" si="63"/>
        <v>979520</v>
      </c>
      <c r="M22" s="245">
        <f t="shared" si="63"/>
        <v>1140609</v>
      </c>
      <c r="N22" s="245">
        <f t="shared" si="63"/>
        <v>859487</v>
      </c>
      <c r="O22" s="245">
        <f t="shared" si="63"/>
        <v>592346</v>
      </c>
      <c r="P22" s="245">
        <f t="shared" si="63"/>
        <v>806073</v>
      </c>
      <c r="Q22" s="333">
        <v>374425</v>
      </c>
      <c r="R22" s="333">
        <v>616337</v>
      </c>
      <c r="S22" s="333">
        <v>476592</v>
      </c>
      <c r="T22" s="221">
        <v>386240</v>
      </c>
      <c r="U22" s="75">
        <v>617480</v>
      </c>
      <c r="V22" s="334">
        <v>662124</v>
      </c>
      <c r="W22" s="316">
        <v>948637</v>
      </c>
      <c r="X22" s="316">
        <v>244953</v>
      </c>
      <c r="Y22" s="316">
        <v>255926</v>
      </c>
      <c r="Z22" s="453">
        <v>310547</v>
      </c>
      <c r="AA22" s="491">
        <v>127410</v>
      </c>
      <c r="AB22" s="491">
        <v>134794</v>
      </c>
      <c r="AC22" s="491">
        <v>858857</v>
      </c>
      <c r="AD22" s="491">
        <v>900840</v>
      </c>
      <c r="AE22" s="1372">
        <v>268958</v>
      </c>
      <c r="AF22" s="1372">
        <v>435627</v>
      </c>
      <c r="AG22" s="456">
        <f t="shared" si="59"/>
        <v>535142</v>
      </c>
      <c r="AH22" s="456">
        <f t="shared" si="59"/>
        <v>413242</v>
      </c>
      <c r="AI22" s="456">
        <f t="shared" si="59"/>
        <v>461337</v>
      </c>
      <c r="AJ22" s="456">
        <f t="shared" si="59"/>
        <v>469907</v>
      </c>
      <c r="AK22" s="456">
        <f t="shared" si="59"/>
        <v>448162</v>
      </c>
      <c r="AL22" s="456">
        <f t="shared" si="59"/>
        <v>459802</v>
      </c>
      <c r="AM22" s="456">
        <f t="shared" si="59"/>
        <v>459290</v>
      </c>
      <c r="AN22" s="456">
        <f t="shared" si="57"/>
        <v>455751</v>
      </c>
    </row>
    <row r="23" spans="1:40">
      <c r="A23" s="232">
        <v>206</v>
      </c>
      <c r="B23" s="241" t="s">
        <v>185</v>
      </c>
      <c r="C23" s="242">
        <f>C76</f>
        <v>1000</v>
      </c>
      <c r="D23" s="242">
        <f t="shared" ref="D23:P23" si="64">D76</f>
        <v>1000</v>
      </c>
      <c r="E23" s="242">
        <f t="shared" si="64"/>
        <v>1000</v>
      </c>
      <c r="F23" s="242">
        <f t="shared" si="64"/>
        <v>176</v>
      </c>
      <c r="G23" s="242">
        <f t="shared" si="64"/>
        <v>176</v>
      </c>
      <c r="H23" s="242">
        <f t="shared" si="64"/>
        <v>227</v>
      </c>
      <c r="I23" s="242">
        <f t="shared" si="64"/>
        <v>80</v>
      </c>
      <c r="J23" s="242">
        <f t="shared" si="64"/>
        <v>1000</v>
      </c>
      <c r="K23" s="242">
        <f t="shared" si="64"/>
        <v>0</v>
      </c>
      <c r="L23" s="242">
        <f t="shared" si="64"/>
        <v>0</v>
      </c>
      <c r="M23" s="242">
        <f t="shared" si="64"/>
        <v>0</v>
      </c>
      <c r="N23" s="242">
        <f t="shared" si="64"/>
        <v>1000</v>
      </c>
      <c r="O23" s="242">
        <f t="shared" si="64"/>
        <v>30132</v>
      </c>
      <c r="P23" s="242">
        <f t="shared" si="64"/>
        <v>618</v>
      </c>
      <c r="Q23" s="336">
        <f>Q76</f>
        <v>342</v>
      </c>
      <c r="R23" s="336">
        <v>346</v>
      </c>
      <c r="S23" s="336">
        <v>0</v>
      </c>
      <c r="T23" s="336">
        <v>1630</v>
      </c>
      <c r="U23" s="254">
        <v>0</v>
      </c>
      <c r="V23" s="334">
        <v>0</v>
      </c>
      <c r="W23" s="316">
        <v>891</v>
      </c>
      <c r="X23" s="316">
        <v>4481</v>
      </c>
      <c r="Y23" s="316">
        <v>8961</v>
      </c>
      <c r="Z23" s="453">
        <v>5256</v>
      </c>
      <c r="AA23" s="490">
        <f>5256+77</f>
        <v>5333</v>
      </c>
      <c r="AB23" s="491">
        <v>2011</v>
      </c>
      <c r="AC23" s="491">
        <v>2484</v>
      </c>
      <c r="AD23" s="491">
        <v>324</v>
      </c>
      <c r="AE23" s="1372">
        <v>3132</v>
      </c>
      <c r="AF23" s="1372">
        <v>1718</v>
      </c>
      <c r="AG23" s="456">
        <f t="shared" si="59"/>
        <v>1725</v>
      </c>
      <c r="AH23" s="456">
        <f t="shared" si="59"/>
        <v>2192</v>
      </c>
      <c r="AI23" s="456">
        <f t="shared" si="59"/>
        <v>1878</v>
      </c>
      <c r="AJ23" s="456">
        <f t="shared" si="59"/>
        <v>1932</v>
      </c>
      <c r="AK23" s="456">
        <f t="shared" si="59"/>
        <v>2001</v>
      </c>
      <c r="AL23" s="456">
        <f t="shared" si="59"/>
        <v>1937</v>
      </c>
      <c r="AM23" s="456">
        <f t="shared" si="59"/>
        <v>1957</v>
      </c>
      <c r="AN23" s="456">
        <f t="shared" si="57"/>
        <v>1965</v>
      </c>
    </row>
    <row r="24" spans="1:40">
      <c r="A24" s="232">
        <v>207</v>
      </c>
      <c r="B24" s="241" t="s">
        <v>187</v>
      </c>
      <c r="C24" s="242">
        <f t="shared" ref="C24:P25" si="65">C77</f>
        <v>3895129</v>
      </c>
      <c r="D24" s="242">
        <f t="shared" si="65"/>
        <v>4861209</v>
      </c>
      <c r="E24" s="242">
        <f t="shared" si="65"/>
        <v>4065352</v>
      </c>
      <c r="F24" s="242">
        <f t="shared" si="65"/>
        <v>2453912</v>
      </c>
      <c r="G24" s="242">
        <f t="shared" si="65"/>
        <v>3473424</v>
      </c>
      <c r="H24" s="242">
        <f t="shared" si="65"/>
        <v>2868924</v>
      </c>
      <c r="I24" s="242">
        <f t="shared" si="65"/>
        <v>3879701</v>
      </c>
      <c r="J24" s="242">
        <f t="shared" si="65"/>
        <v>3515949</v>
      </c>
      <c r="K24" s="242">
        <f t="shared" si="65"/>
        <v>3919201</v>
      </c>
      <c r="L24" s="242">
        <f t="shared" si="65"/>
        <v>2329286</v>
      </c>
      <c r="M24" s="242">
        <f t="shared" si="65"/>
        <v>2979305</v>
      </c>
      <c r="N24" s="242">
        <f t="shared" si="65"/>
        <v>9347687</v>
      </c>
      <c r="O24" s="242">
        <f t="shared" si="65"/>
        <v>3669410</v>
      </c>
      <c r="P24" s="242">
        <f t="shared" si="65"/>
        <v>1974078</v>
      </c>
      <c r="Q24" s="333">
        <v>2376557</v>
      </c>
      <c r="R24" s="333">
        <v>2090366</v>
      </c>
      <c r="S24" s="333">
        <v>2503906</v>
      </c>
      <c r="T24" s="221">
        <v>2480990</v>
      </c>
      <c r="U24" s="75">
        <v>2637219</v>
      </c>
      <c r="V24" s="334">
        <v>1357620</v>
      </c>
      <c r="W24" s="316">
        <v>1073023</v>
      </c>
      <c r="X24" s="316">
        <v>1639251</v>
      </c>
      <c r="Y24" s="316">
        <v>1779814</v>
      </c>
      <c r="Z24" s="453">
        <v>2152827</v>
      </c>
      <c r="AA24" s="491">
        <v>2042706</v>
      </c>
      <c r="AB24" s="491">
        <v>2473986</v>
      </c>
      <c r="AC24" s="491">
        <v>3014561</v>
      </c>
      <c r="AD24" s="491">
        <v>2820723</v>
      </c>
      <c r="AE24" s="1372">
        <v>2873240</v>
      </c>
      <c r="AF24" s="1372">
        <v>3325535</v>
      </c>
      <c r="AG24" s="456">
        <f t="shared" si="59"/>
        <v>3006499</v>
      </c>
      <c r="AH24" s="456">
        <f t="shared" si="59"/>
        <v>3068425</v>
      </c>
      <c r="AI24" s="456">
        <f t="shared" si="59"/>
        <v>3133486</v>
      </c>
      <c r="AJ24" s="456">
        <f t="shared" si="59"/>
        <v>3069470</v>
      </c>
      <c r="AK24" s="456">
        <f t="shared" si="59"/>
        <v>3090460</v>
      </c>
      <c r="AL24" s="456">
        <f t="shared" si="59"/>
        <v>3097805</v>
      </c>
      <c r="AM24" s="456">
        <f t="shared" si="59"/>
        <v>3085912</v>
      </c>
      <c r="AN24" s="456">
        <f t="shared" si="57"/>
        <v>3091392</v>
      </c>
    </row>
    <row r="25" spans="1:40">
      <c r="A25" s="232">
        <v>208</v>
      </c>
      <c r="B25" s="241" t="s">
        <v>206</v>
      </c>
      <c r="C25" s="242">
        <f t="shared" si="65"/>
        <v>353664</v>
      </c>
      <c r="D25" s="242">
        <f t="shared" si="65"/>
        <v>342482</v>
      </c>
      <c r="E25" s="242">
        <f t="shared" si="65"/>
        <v>401887</v>
      </c>
      <c r="F25" s="242">
        <f t="shared" si="65"/>
        <v>258635</v>
      </c>
      <c r="G25" s="242">
        <f t="shared" si="65"/>
        <v>123651</v>
      </c>
      <c r="H25" s="242">
        <f t="shared" si="65"/>
        <v>150258</v>
      </c>
      <c r="I25" s="242">
        <f t="shared" si="65"/>
        <v>288381</v>
      </c>
      <c r="J25" s="242">
        <f t="shared" si="65"/>
        <v>316169</v>
      </c>
      <c r="K25" s="242">
        <f t="shared" si="65"/>
        <v>249928</v>
      </c>
      <c r="L25" s="242">
        <f t="shared" si="65"/>
        <v>240397</v>
      </c>
      <c r="M25" s="242">
        <f t="shared" si="65"/>
        <v>158654</v>
      </c>
      <c r="N25" s="242">
        <f t="shared" si="65"/>
        <v>477675</v>
      </c>
      <c r="O25" s="242">
        <f t="shared" si="65"/>
        <v>93057</v>
      </c>
      <c r="P25" s="242">
        <f t="shared" si="65"/>
        <v>145241</v>
      </c>
      <c r="Q25" s="333">
        <v>116647</v>
      </c>
      <c r="R25" s="333">
        <v>116149</v>
      </c>
      <c r="S25" s="333">
        <v>180997</v>
      </c>
      <c r="T25" s="221">
        <v>286088</v>
      </c>
      <c r="U25" s="75">
        <v>185967</v>
      </c>
      <c r="V25" s="334">
        <v>179205</v>
      </c>
      <c r="W25" s="316">
        <v>248311</v>
      </c>
      <c r="X25" s="316">
        <v>245819</v>
      </c>
      <c r="Y25" s="316">
        <v>752844</v>
      </c>
      <c r="Z25" s="453">
        <v>236797</v>
      </c>
      <c r="AA25" s="491">
        <v>359614</v>
      </c>
      <c r="AB25" s="491">
        <v>260905</v>
      </c>
      <c r="AC25" s="491">
        <v>452439</v>
      </c>
      <c r="AD25" s="491">
        <v>317366</v>
      </c>
      <c r="AE25" s="1372">
        <v>290534</v>
      </c>
      <c r="AF25" s="1372">
        <v>233943</v>
      </c>
      <c r="AG25" s="456">
        <f t="shared" si="59"/>
        <v>280614</v>
      </c>
      <c r="AH25" s="456">
        <f t="shared" si="59"/>
        <v>268364</v>
      </c>
      <c r="AI25" s="456">
        <f t="shared" si="59"/>
        <v>260974</v>
      </c>
      <c r="AJ25" s="456">
        <f t="shared" si="59"/>
        <v>269984</v>
      </c>
      <c r="AK25" s="456">
        <f t="shared" si="59"/>
        <v>266441</v>
      </c>
      <c r="AL25" s="456">
        <f t="shared" si="59"/>
        <v>265800</v>
      </c>
      <c r="AM25" s="456">
        <f t="shared" si="59"/>
        <v>267408</v>
      </c>
      <c r="AN25" s="456">
        <f t="shared" si="57"/>
        <v>266550</v>
      </c>
    </row>
    <row r="26" spans="1:40">
      <c r="A26" s="243">
        <v>209</v>
      </c>
      <c r="B26" s="244" t="s">
        <v>336</v>
      </c>
      <c r="C26" s="245">
        <f>C79+C126+C127+C129+C130+C131</f>
        <v>908824</v>
      </c>
      <c r="D26" s="245">
        <f t="shared" ref="D26:P26" si="66">D79+D126+D127+D129+D130+D131</f>
        <v>1651127</v>
      </c>
      <c r="E26" s="245">
        <f t="shared" si="66"/>
        <v>554481</v>
      </c>
      <c r="F26" s="245">
        <f t="shared" si="66"/>
        <v>405003</v>
      </c>
      <c r="G26" s="245">
        <f t="shared" si="66"/>
        <v>465956</v>
      </c>
      <c r="H26" s="245">
        <f t="shared" si="66"/>
        <v>250022</v>
      </c>
      <c r="I26" s="245">
        <f t="shared" si="66"/>
        <v>836359</v>
      </c>
      <c r="J26" s="245">
        <f t="shared" si="66"/>
        <v>806476</v>
      </c>
      <c r="K26" s="245">
        <f t="shared" si="66"/>
        <v>982253</v>
      </c>
      <c r="L26" s="245">
        <f t="shared" si="66"/>
        <v>913612</v>
      </c>
      <c r="M26" s="245">
        <f t="shared" si="66"/>
        <v>559491</v>
      </c>
      <c r="N26" s="245">
        <f t="shared" si="66"/>
        <v>424729</v>
      </c>
      <c r="O26" s="245">
        <f t="shared" si="66"/>
        <v>293449</v>
      </c>
      <c r="P26" s="245">
        <f t="shared" si="66"/>
        <v>217251</v>
      </c>
      <c r="Q26" s="333">
        <v>228290</v>
      </c>
      <c r="R26" s="333">
        <v>377340</v>
      </c>
      <c r="S26" s="333">
        <v>470973</v>
      </c>
      <c r="T26" s="221">
        <v>381476</v>
      </c>
      <c r="U26" s="75">
        <v>459894</v>
      </c>
      <c r="V26" s="334">
        <v>352896</v>
      </c>
      <c r="W26" s="316">
        <v>129855</v>
      </c>
      <c r="X26" s="316">
        <v>877374</v>
      </c>
      <c r="Y26" s="316">
        <v>454382</v>
      </c>
      <c r="Z26" s="453">
        <v>323315</v>
      </c>
      <c r="AA26" s="491">
        <v>232089</v>
      </c>
      <c r="AB26" s="491">
        <v>322882</v>
      </c>
      <c r="AC26" s="491">
        <v>480660</v>
      </c>
      <c r="AD26" s="491">
        <v>400515</v>
      </c>
      <c r="AE26" s="1372">
        <v>477497</v>
      </c>
      <c r="AF26" s="1372">
        <v>477285</v>
      </c>
      <c r="AG26" s="456">
        <f t="shared" si="59"/>
        <v>451766</v>
      </c>
      <c r="AH26" s="456">
        <f t="shared" si="59"/>
        <v>468849</v>
      </c>
      <c r="AI26" s="456">
        <f t="shared" si="59"/>
        <v>465967</v>
      </c>
      <c r="AJ26" s="456">
        <f t="shared" si="59"/>
        <v>462194</v>
      </c>
      <c r="AK26" s="456">
        <f t="shared" si="59"/>
        <v>465670</v>
      </c>
      <c r="AL26" s="456">
        <f t="shared" si="59"/>
        <v>464610</v>
      </c>
      <c r="AM26" s="456">
        <f t="shared" si="59"/>
        <v>464158</v>
      </c>
      <c r="AN26" s="456">
        <f t="shared" si="57"/>
        <v>464813</v>
      </c>
    </row>
    <row r="27" spans="1:40">
      <c r="A27" s="232">
        <v>210</v>
      </c>
      <c r="B27" s="241" t="s">
        <v>194</v>
      </c>
      <c r="C27" s="242">
        <f>C80</f>
        <v>6327730</v>
      </c>
      <c r="D27" s="242">
        <f t="shared" ref="D27:P27" si="67">D80</f>
        <v>7814044</v>
      </c>
      <c r="E27" s="242">
        <f t="shared" si="67"/>
        <v>9985251</v>
      </c>
      <c r="F27" s="242">
        <f t="shared" si="67"/>
        <v>5488486</v>
      </c>
      <c r="G27" s="242">
        <f t="shared" si="67"/>
        <v>2862416</v>
      </c>
      <c r="H27" s="242">
        <f t="shared" si="67"/>
        <v>3922172</v>
      </c>
      <c r="I27" s="242">
        <f t="shared" si="67"/>
        <v>5777404</v>
      </c>
      <c r="J27" s="242">
        <f t="shared" si="67"/>
        <v>3401607</v>
      </c>
      <c r="K27" s="242">
        <f t="shared" si="67"/>
        <v>4428633</v>
      </c>
      <c r="L27" s="242">
        <f t="shared" si="67"/>
        <v>4670400</v>
      </c>
      <c r="M27" s="242">
        <f t="shared" si="67"/>
        <v>1732280</v>
      </c>
      <c r="N27" s="242">
        <f t="shared" si="67"/>
        <v>1719769</v>
      </c>
      <c r="O27" s="242">
        <f t="shared" si="67"/>
        <v>1755601</v>
      </c>
      <c r="P27" s="242">
        <f t="shared" si="67"/>
        <v>1613974</v>
      </c>
      <c r="Q27" s="333">
        <v>2233170</v>
      </c>
      <c r="R27" s="333">
        <v>3409038</v>
      </c>
      <c r="S27" s="333">
        <v>4489863</v>
      </c>
      <c r="T27" s="221">
        <v>5134392</v>
      </c>
      <c r="U27" s="75">
        <v>6356000</v>
      </c>
      <c r="V27" s="334">
        <v>7051176</v>
      </c>
      <c r="W27" s="316">
        <v>5411664</v>
      </c>
      <c r="X27" s="316">
        <v>8260110</v>
      </c>
      <c r="Y27" s="316">
        <v>6682624</v>
      </c>
      <c r="Z27" s="453">
        <v>4846985</v>
      </c>
      <c r="AA27" s="491">
        <v>6922151</v>
      </c>
      <c r="AB27" s="491">
        <v>4081725</v>
      </c>
      <c r="AC27" s="491">
        <v>6987073</v>
      </c>
      <c r="AD27" s="491">
        <v>7752716</v>
      </c>
      <c r="AE27" s="1372">
        <v>5221864</v>
      </c>
      <c r="AF27" s="1372">
        <v>5401834</v>
      </c>
      <c r="AG27" s="456">
        <f t="shared" si="59"/>
        <v>6125471</v>
      </c>
      <c r="AH27" s="456">
        <f t="shared" si="59"/>
        <v>5583056</v>
      </c>
      <c r="AI27" s="456">
        <f t="shared" si="59"/>
        <v>5703454</v>
      </c>
      <c r="AJ27" s="456">
        <f t="shared" si="59"/>
        <v>5803994</v>
      </c>
      <c r="AK27" s="456">
        <f t="shared" si="59"/>
        <v>5696835</v>
      </c>
      <c r="AL27" s="456">
        <f t="shared" si="59"/>
        <v>5734761</v>
      </c>
      <c r="AM27" s="456">
        <f t="shared" si="59"/>
        <v>5745197</v>
      </c>
      <c r="AN27" s="456">
        <f t="shared" si="57"/>
        <v>5725598</v>
      </c>
    </row>
    <row r="28" spans="1:40">
      <c r="A28" s="232">
        <v>212</v>
      </c>
      <c r="B28" s="241" t="s">
        <v>207</v>
      </c>
      <c r="C28" s="242">
        <f>C82</f>
        <v>1704314</v>
      </c>
      <c r="D28" s="242">
        <f t="shared" ref="D28:P28" si="68">D82</f>
        <v>1250387</v>
      </c>
      <c r="E28" s="242">
        <f t="shared" si="68"/>
        <v>1409615</v>
      </c>
      <c r="F28" s="242">
        <f t="shared" si="68"/>
        <v>927100</v>
      </c>
      <c r="G28" s="242">
        <f t="shared" si="68"/>
        <v>785844</v>
      </c>
      <c r="H28" s="242">
        <f t="shared" si="68"/>
        <v>1730177</v>
      </c>
      <c r="I28" s="242">
        <f t="shared" si="68"/>
        <v>1285479</v>
      </c>
      <c r="J28" s="242">
        <f t="shared" si="68"/>
        <v>3802630</v>
      </c>
      <c r="K28" s="242">
        <f t="shared" si="68"/>
        <v>1468787</v>
      </c>
      <c r="L28" s="242">
        <f t="shared" si="68"/>
        <v>1093780</v>
      </c>
      <c r="M28" s="242">
        <f t="shared" si="68"/>
        <v>1229583</v>
      </c>
      <c r="N28" s="242">
        <f t="shared" si="68"/>
        <v>978204</v>
      </c>
      <c r="O28" s="242">
        <f t="shared" si="68"/>
        <v>917220</v>
      </c>
      <c r="P28" s="242">
        <f t="shared" si="68"/>
        <v>971919</v>
      </c>
      <c r="Q28" s="333">
        <v>768488</v>
      </c>
      <c r="R28" s="333">
        <v>803488</v>
      </c>
      <c r="S28" s="333">
        <v>869533</v>
      </c>
      <c r="T28" s="221">
        <v>969707</v>
      </c>
      <c r="U28" s="75">
        <v>1474511</v>
      </c>
      <c r="V28" s="334">
        <v>864158</v>
      </c>
      <c r="W28" s="316">
        <v>1004364</v>
      </c>
      <c r="X28" s="316">
        <v>791815</v>
      </c>
      <c r="Y28" s="316">
        <v>974113</v>
      </c>
      <c r="Z28" s="453">
        <v>995289</v>
      </c>
      <c r="AA28" s="491">
        <v>1289299</v>
      </c>
      <c r="AB28" s="491">
        <v>954821</v>
      </c>
      <c r="AC28" s="491">
        <v>1403275</v>
      </c>
      <c r="AD28" s="491">
        <v>1342486</v>
      </c>
      <c r="AE28" s="1372">
        <v>1077375</v>
      </c>
      <c r="AF28" s="1372">
        <v>1678326</v>
      </c>
      <c r="AG28" s="456">
        <f t="shared" si="59"/>
        <v>1366062</v>
      </c>
      <c r="AH28" s="456">
        <f t="shared" si="59"/>
        <v>1373921</v>
      </c>
      <c r="AI28" s="456">
        <f t="shared" si="59"/>
        <v>1472770</v>
      </c>
      <c r="AJ28" s="456">
        <f t="shared" si="59"/>
        <v>1404251</v>
      </c>
      <c r="AK28" s="456">
        <f t="shared" si="59"/>
        <v>1416981</v>
      </c>
      <c r="AL28" s="456">
        <f t="shared" si="59"/>
        <v>1431334</v>
      </c>
      <c r="AM28" s="456">
        <f t="shared" si="59"/>
        <v>1417522</v>
      </c>
      <c r="AN28" s="456">
        <f t="shared" si="57"/>
        <v>1421946</v>
      </c>
    </row>
    <row r="29" spans="1:40">
      <c r="A29" s="243">
        <v>213</v>
      </c>
      <c r="B29" s="244" t="s">
        <v>199</v>
      </c>
      <c r="C29" s="245">
        <f>C83+C102</f>
        <v>251659</v>
      </c>
      <c r="D29" s="245">
        <f t="shared" ref="D29:P29" si="69">D83+D102</f>
        <v>373579</v>
      </c>
      <c r="E29" s="245">
        <f t="shared" si="69"/>
        <v>464305</v>
      </c>
      <c r="F29" s="245">
        <f t="shared" si="69"/>
        <v>771315</v>
      </c>
      <c r="G29" s="245">
        <f t="shared" si="69"/>
        <v>725580</v>
      </c>
      <c r="H29" s="245">
        <f t="shared" si="69"/>
        <v>1802092</v>
      </c>
      <c r="I29" s="245">
        <f t="shared" si="69"/>
        <v>3113286</v>
      </c>
      <c r="J29" s="245">
        <f t="shared" si="69"/>
        <v>1563787</v>
      </c>
      <c r="K29" s="245">
        <f t="shared" si="69"/>
        <v>1936275</v>
      </c>
      <c r="L29" s="245">
        <f t="shared" si="69"/>
        <v>1490747</v>
      </c>
      <c r="M29" s="245">
        <f t="shared" si="69"/>
        <v>517948</v>
      </c>
      <c r="N29" s="245">
        <f t="shared" si="69"/>
        <v>951907</v>
      </c>
      <c r="O29" s="245">
        <f t="shared" si="69"/>
        <v>1901989</v>
      </c>
      <c r="P29" s="245">
        <f t="shared" si="69"/>
        <v>2599877</v>
      </c>
      <c r="Q29" s="333">
        <v>1938708</v>
      </c>
      <c r="R29" s="333">
        <v>299845</v>
      </c>
      <c r="S29" s="333">
        <v>359792</v>
      </c>
      <c r="T29" s="221">
        <v>1470723</v>
      </c>
      <c r="U29" s="75">
        <v>365064</v>
      </c>
      <c r="V29" s="334">
        <v>174754</v>
      </c>
      <c r="W29" s="316">
        <v>116840</v>
      </c>
      <c r="X29" s="316">
        <v>1150909</v>
      </c>
      <c r="Y29" s="316">
        <v>117317</v>
      </c>
      <c r="Z29" s="453">
        <v>254727</v>
      </c>
      <c r="AA29" s="491">
        <v>118948</v>
      </c>
      <c r="AB29" s="491">
        <v>211311</v>
      </c>
      <c r="AC29" s="491">
        <v>296810</v>
      </c>
      <c r="AD29" s="491">
        <v>201385</v>
      </c>
      <c r="AE29" s="1372">
        <v>161579</v>
      </c>
      <c r="AF29" s="1372">
        <v>260349</v>
      </c>
      <c r="AG29" s="456">
        <f t="shared" si="59"/>
        <v>207771</v>
      </c>
      <c r="AH29" s="456">
        <f t="shared" si="59"/>
        <v>209900</v>
      </c>
      <c r="AI29" s="456">
        <f t="shared" si="59"/>
        <v>226007</v>
      </c>
      <c r="AJ29" s="456">
        <f t="shared" si="59"/>
        <v>214559</v>
      </c>
      <c r="AK29" s="456">
        <f t="shared" si="59"/>
        <v>216822</v>
      </c>
      <c r="AL29" s="456">
        <f t="shared" si="59"/>
        <v>219129</v>
      </c>
      <c r="AM29" s="456">
        <f t="shared" si="59"/>
        <v>216837</v>
      </c>
      <c r="AN29" s="456">
        <f t="shared" si="57"/>
        <v>217596</v>
      </c>
    </row>
    <row r="30" spans="1:40">
      <c r="A30" s="232">
        <v>214</v>
      </c>
      <c r="B30" s="241" t="s">
        <v>188</v>
      </c>
      <c r="C30" s="242">
        <f>C84</f>
        <v>905905</v>
      </c>
      <c r="D30" s="242">
        <f t="shared" ref="D30:P30" si="70">D84</f>
        <v>877395</v>
      </c>
      <c r="E30" s="242">
        <f t="shared" si="70"/>
        <v>960933</v>
      </c>
      <c r="F30" s="242">
        <f t="shared" si="70"/>
        <v>722250</v>
      </c>
      <c r="G30" s="242">
        <f t="shared" si="70"/>
        <v>606800</v>
      </c>
      <c r="H30" s="242">
        <f t="shared" si="70"/>
        <v>358807</v>
      </c>
      <c r="I30" s="242">
        <f t="shared" si="70"/>
        <v>229784</v>
      </c>
      <c r="J30" s="242">
        <f t="shared" si="70"/>
        <v>263932</v>
      </c>
      <c r="K30" s="242">
        <f t="shared" si="70"/>
        <v>351925</v>
      </c>
      <c r="L30" s="242">
        <f t="shared" si="70"/>
        <v>229893</v>
      </c>
      <c r="M30" s="242">
        <f t="shared" si="70"/>
        <v>335751</v>
      </c>
      <c r="N30" s="242">
        <f t="shared" si="70"/>
        <v>146449</v>
      </c>
      <c r="O30" s="242">
        <f t="shared" si="70"/>
        <v>70485</v>
      </c>
      <c r="P30" s="242">
        <f t="shared" si="70"/>
        <v>237789</v>
      </c>
      <c r="Q30" s="333">
        <v>149404</v>
      </c>
      <c r="R30" s="333">
        <v>138606</v>
      </c>
      <c r="S30" s="333">
        <v>72797</v>
      </c>
      <c r="T30" s="221">
        <v>155553</v>
      </c>
      <c r="U30" s="75">
        <v>197409</v>
      </c>
      <c r="V30" s="334">
        <v>44976</v>
      </c>
      <c r="W30" s="316">
        <v>109764</v>
      </c>
      <c r="X30" s="316">
        <v>83468</v>
      </c>
      <c r="Y30" s="316">
        <v>111872</v>
      </c>
      <c r="Z30" s="453">
        <v>159627</v>
      </c>
      <c r="AA30" s="491">
        <v>136468</v>
      </c>
      <c r="AB30" s="491">
        <v>82591</v>
      </c>
      <c r="AC30" s="491">
        <v>90021</v>
      </c>
      <c r="AD30" s="491">
        <v>274908</v>
      </c>
      <c r="AE30" s="1372">
        <v>157273</v>
      </c>
      <c r="AF30" s="1372">
        <v>276829</v>
      </c>
      <c r="AG30" s="456">
        <f t="shared" si="59"/>
        <v>236337</v>
      </c>
      <c r="AH30" s="456">
        <f t="shared" si="59"/>
        <v>223480</v>
      </c>
      <c r="AI30" s="456">
        <f t="shared" si="59"/>
        <v>245549</v>
      </c>
      <c r="AJ30" s="456">
        <f t="shared" si="59"/>
        <v>235122</v>
      </c>
      <c r="AK30" s="456">
        <f t="shared" si="59"/>
        <v>234717</v>
      </c>
      <c r="AL30" s="456">
        <f t="shared" si="59"/>
        <v>238463</v>
      </c>
      <c r="AM30" s="456">
        <f t="shared" si="59"/>
        <v>236101</v>
      </c>
      <c r="AN30" s="456">
        <f t="shared" si="57"/>
        <v>236427</v>
      </c>
    </row>
    <row r="31" spans="1:40">
      <c r="A31" s="246">
        <v>215</v>
      </c>
      <c r="B31" s="247" t="s">
        <v>329</v>
      </c>
      <c r="C31" s="245">
        <f>C85+C95</f>
        <v>678579</v>
      </c>
      <c r="D31" s="245">
        <f t="shared" ref="D31:P31" si="71">D85+D95</f>
        <v>994267</v>
      </c>
      <c r="E31" s="245">
        <f t="shared" si="71"/>
        <v>830098</v>
      </c>
      <c r="F31" s="245">
        <f t="shared" si="71"/>
        <v>677623</v>
      </c>
      <c r="G31" s="245">
        <f t="shared" si="71"/>
        <v>624240</v>
      </c>
      <c r="H31" s="245">
        <f t="shared" si="71"/>
        <v>755074</v>
      </c>
      <c r="I31" s="245">
        <f t="shared" si="71"/>
        <v>564111</v>
      </c>
      <c r="J31" s="245">
        <f t="shared" si="71"/>
        <v>384301</v>
      </c>
      <c r="K31" s="245">
        <f t="shared" si="71"/>
        <v>315430</v>
      </c>
      <c r="L31" s="245">
        <f t="shared" si="71"/>
        <v>275087</v>
      </c>
      <c r="M31" s="245">
        <f t="shared" si="71"/>
        <v>382755</v>
      </c>
      <c r="N31" s="245">
        <f t="shared" si="71"/>
        <v>226124</v>
      </c>
      <c r="O31" s="245">
        <f t="shared" si="71"/>
        <v>359289</v>
      </c>
      <c r="P31" s="245">
        <f t="shared" si="71"/>
        <v>215877</v>
      </c>
      <c r="Q31" s="333">
        <v>259883</v>
      </c>
      <c r="R31" s="333">
        <v>344498</v>
      </c>
      <c r="S31" s="333">
        <v>329448</v>
      </c>
      <c r="T31" s="222">
        <v>284089</v>
      </c>
      <c r="U31" s="75">
        <v>481820</v>
      </c>
      <c r="V31" s="334">
        <v>243293</v>
      </c>
      <c r="W31" s="316">
        <v>332304</v>
      </c>
      <c r="X31" s="316">
        <v>151900</v>
      </c>
      <c r="Y31" s="316">
        <v>954475</v>
      </c>
      <c r="Z31" s="453">
        <v>384796</v>
      </c>
      <c r="AA31" s="491">
        <v>526426</v>
      </c>
      <c r="AB31" s="491">
        <v>701495</v>
      </c>
      <c r="AC31" s="491">
        <v>491149</v>
      </c>
      <c r="AD31" s="491">
        <v>565235</v>
      </c>
      <c r="AE31" s="1372">
        <v>798137</v>
      </c>
      <c r="AF31" s="1372">
        <v>941760</v>
      </c>
      <c r="AG31" s="456">
        <f t="shared" si="59"/>
        <v>768377</v>
      </c>
      <c r="AH31" s="456">
        <f t="shared" si="59"/>
        <v>836091</v>
      </c>
      <c r="AI31" s="456">
        <f t="shared" si="59"/>
        <v>848743</v>
      </c>
      <c r="AJ31" s="456">
        <f t="shared" si="59"/>
        <v>817737</v>
      </c>
      <c r="AK31" s="456">
        <f t="shared" si="59"/>
        <v>834190</v>
      </c>
      <c r="AL31" s="456">
        <f t="shared" si="59"/>
        <v>833557</v>
      </c>
      <c r="AM31" s="456">
        <f t="shared" si="59"/>
        <v>828495</v>
      </c>
      <c r="AN31" s="456">
        <f t="shared" si="57"/>
        <v>832081</v>
      </c>
    </row>
    <row r="32" spans="1:40">
      <c r="A32" s="232">
        <v>216</v>
      </c>
      <c r="B32" s="241" t="s">
        <v>195</v>
      </c>
      <c r="C32" s="242">
        <f>C86</f>
        <v>3932274</v>
      </c>
      <c r="D32" s="242">
        <f t="shared" ref="D32:P32" si="72">D86</f>
        <v>4338102</v>
      </c>
      <c r="E32" s="242">
        <f t="shared" si="72"/>
        <v>8784086</v>
      </c>
      <c r="F32" s="242">
        <f t="shared" si="72"/>
        <v>8788538</v>
      </c>
      <c r="G32" s="242">
        <f t="shared" si="72"/>
        <v>4266409</v>
      </c>
      <c r="H32" s="242">
        <f t="shared" si="72"/>
        <v>3574674</v>
      </c>
      <c r="I32" s="242">
        <f t="shared" si="72"/>
        <v>4744052</v>
      </c>
      <c r="J32" s="242">
        <f t="shared" si="72"/>
        <v>5517945</v>
      </c>
      <c r="K32" s="242">
        <f t="shared" si="72"/>
        <v>3664220</v>
      </c>
      <c r="L32" s="242">
        <f t="shared" si="72"/>
        <v>6086483</v>
      </c>
      <c r="M32" s="242">
        <f t="shared" si="72"/>
        <v>2537949</v>
      </c>
      <c r="N32" s="242">
        <f t="shared" si="72"/>
        <v>2634136</v>
      </c>
      <c r="O32" s="242">
        <f t="shared" si="72"/>
        <v>2365993</v>
      </c>
      <c r="P32" s="242">
        <f t="shared" si="72"/>
        <v>2250903</v>
      </c>
      <c r="Q32" s="333">
        <v>2503734</v>
      </c>
      <c r="R32" s="333">
        <v>5153779</v>
      </c>
      <c r="S32" s="333">
        <v>5299763</v>
      </c>
      <c r="T32" s="221">
        <v>4924631</v>
      </c>
      <c r="U32" s="75">
        <v>7008525</v>
      </c>
      <c r="V32" s="334">
        <v>8351710</v>
      </c>
      <c r="W32" s="316">
        <v>3969521</v>
      </c>
      <c r="X32" s="316">
        <v>3603619</v>
      </c>
      <c r="Y32" s="316">
        <v>4137296</v>
      </c>
      <c r="Z32" s="453">
        <v>3404310</v>
      </c>
      <c r="AA32" s="491">
        <v>8418111</v>
      </c>
      <c r="AB32" s="491">
        <v>3269006</v>
      </c>
      <c r="AC32" s="491">
        <v>3936030</v>
      </c>
      <c r="AD32" s="491">
        <v>4625134</v>
      </c>
      <c r="AE32" s="1372">
        <v>4814722</v>
      </c>
      <c r="AF32" s="1372">
        <v>7793795</v>
      </c>
      <c r="AG32" s="456">
        <f t="shared" si="59"/>
        <v>5744550</v>
      </c>
      <c r="AH32" s="456">
        <f t="shared" si="59"/>
        <v>6117689</v>
      </c>
      <c r="AI32" s="456">
        <f t="shared" si="59"/>
        <v>6552011</v>
      </c>
      <c r="AJ32" s="456">
        <f t="shared" si="59"/>
        <v>6138083</v>
      </c>
      <c r="AK32" s="456">
        <f t="shared" si="59"/>
        <v>6269261</v>
      </c>
      <c r="AL32" s="456">
        <f t="shared" si="59"/>
        <v>6319785</v>
      </c>
      <c r="AM32" s="456">
        <f t="shared" si="59"/>
        <v>6242376</v>
      </c>
      <c r="AN32" s="456">
        <f t="shared" si="57"/>
        <v>6277141</v>
      </c>
    </row>
    <row r="33" spans="1:40">
      <c r="A33" s="232">
        <v>217</v>
      </c>
      <c r="B33" s="241" t="s">
        <v>189</v>
      </c>
      <c r="C33" s="242">
        <f t="shared" ref="C33:P36" si="73">C87</f>
        <v>317891</v>
      </c>
      <c r="D33" s="242">
        <f t="shared" si="73"/>
        <v>464570</v>
      </c>
      <c r="E33" s="242">
        <f t="shared" si="73"/>
        <v>344113</v>
      </c>
      <c r="F33" s="242">
        <f t="shared" si="73"/>
        <v>166173</v>
      </c>
      <c r="G33" s="242">
        <f t="shared" si="73"/>
        <v>122460</v>
      </c>
      <c r="H33" s="242">
        <f t="shared" si="73"/>
        <v>114667</v>
      </c>
      <c r="I33" s="242">
        <f t="shared" si="73"/>
        <v>238421</v>
      </c>
      <c r="J33" s="242">
        <f t="shared" si="73"/>
        <v>320999</v>
      </c>
      <c r="K33" s="242">
        <f t="shared" si="73"/>
        <v>188591</v>
      </c>
      <c r="L33" s="242">
        <f t="shared" si="73"/>
        <v>221864</v>
      </c>
      <c r="M33" s="242">
        <f t="shared" si="73"/>
        <v>144322</v>
      </c>
      <c r="N33" s="242">
        <f t="shared" si="73"/>
        <v>72322</v>
      </c>
      <c r="O33" s="242">
        <f t="shared" si="73"/>
        <v>94749</v>
      </c>
      <c r="P33" s="242">
        <f t="shared" si="73"/>
        <v>67108</v>
      </c>
      <c r="Q33" s="333">
        <v>112676</v>
      </c>
      <c r="R33" s="333">
        <v>64067</v>
      </c>
      <c r="S33" s="333">
        <v>149610</v>
      </c>
      <c r="T33" s="221">
        <v>208220</v>
      </c>
      <c r="U33" s="75">
        <v>140944</v>
      </c>
      <c r="V33" s="334">
        <v>141763</v>
      </c>
      <c r="W33" s="316">
        <v>34279</v>
      </c>
      <c r="X33" s="316">
        <v>48373</v>
      </c>
      <c r="Y33" s="316">
        <v>114640</v>
      </c>
      <c r="Z33" s="453">
        <v>104776</v>
      </c>
      <c r="AA33" s="491">
        <v>176001</v>
      </c>
      <c r="AB33" s="491">
        <v>125974</v>
      </c>
      <c r="AC33" s="491">
        <v>127877</v>
      </c>
      <c r="AD33" s="491">
        <v>240268</v>
      </c>
      <c r="AE33" s="1372">
        <v>243252</v>
      </c>
      <c r="AF33" s="1372">
        <v>164452</v>
      </c>
      <c r="AG33" s="456">
        <f>ROUND(SUM(AD33:AF33)/3,0)</f>
        <v>215991</v>
      </c>
      <c r="AH33" s="456">
        <f t="shared" si="59"/>
        <v>207898</v>
      </c>
      <c r="AI33" s="456">
        <f t="shared" si="59"/>
        <v>196114</v>
      </c>
      <c r="AJ33" s="456">
        <f t="shared" si="59"/>
        <v>206668</v>
      </c>
      <c r="AK33" s="456">
        <f t="shared" si="59"/>
        <v>203560</v>
      </c>
      <c r="AL33" s="456">
        <f t="shared" si="59"/>
        <v>202114</v>
      </c>
      <c r="AM33" s="456">
        <f t="shared" si="59"/>
        <v>204114</v>
      </c>
      <c r="AN33" s="456">
        <f t="shared" ref="AN33:AN37" si="74">ROUND(SUM(AK33:AM33)/3,0)</f>
        <v>203263</v>
      </c>
    </row>
    <row r="34" spans="1:40">
      <c r="A34" s="232">
        <v>218</v>
      </c>
      <c r="B34" s="241" t="s">
        <v>200</v>
      </c>
      <c r="C34" s="242">
        <f t="shared" si="73"/>
        <v>821021</v>
      </c>
      <c r="D34" s="242">
        <f t="shared" si="73"/>
        <v>1469291</v>
      </c>
      <c r="E34" s="242">
        <f t="shared" si="73"/>
        <v>1005626</v>
      </c>
      <c r="F34" s="242">
        <f t="shared" si="73"/>
        <v>1989399</v>
      </c>
      <c r="G34" s="242">
        <f t="shared" si="73"/>
        <v>908633</v>
      </c>
      <c r="H34" s="242">
        <f t="shared" si="73"/>
        <v>592373</v>
      </c>
      <c r="I34" s="242">
        <f t="shared" si="73"/>
        <v>671892</v>
      </c>
      <c r="J34" s="242">
        <f t="shared" si="73"/>
        <v>999065</v>
      </c>
      <c r="K34" s="242">
        <f t="shared" si="73"/>
        <v>997899</v>
      </c>
      <c r="L34" s="242">
        <f t="shared" si="73"/>
        <v>665034</v>
      </c>
      <c r="M34" s="242">
        <f t="shared" si="73"/>
        <v>672443</v>
      </c>
      <c r="N34" s="242">
        <f t="shared" si="73"/>
        <v>818495</v>
      </c>
      <c r="O34" s="242">
        <f t="shared" si="73"/>
        <v>702820</v>
      </c>
      <c r="P34" s="242">
        <f t="shared" si="73"/>
        <v>921752</v>
      </c>
      <c r="Q34" s="333">
        <v>1052131</v>
      </c>
      <c r="R34" s="333">
        <v>928550</v>
      </c>
      <c r="S34" s="333">
        <v>1468951</v>
      </c>
      <c r="T34" s="221">
        <v>995914</v>
      </c>
      <c r="U34" s="75">
        <v>1145480</v>
      </c>
      <c r="V34" s="334">
        <v>805696</v>
      </c>
      <c r="W34" s="316">
        <v>539517</v>
      </c>
      <c r="X34" s="316">
        <v>512974</v>
      </c>
      <c r="Y34" s="316">
        <v>1155961</v>
      </c>
      <c r="Z34" s="453">
        <v>2419825</v>
      </c>
      <c r="AA34" s="491">
        <v>831336</v>
      </c>
      <c r="AB34" s="491">
        <v>887628</v>
      </c>
      <c r="AC34" s="491">
        <v>2092873</v>
      </c>
      <c r="AD34" s="491">
        <v>909380</v>
      </c>
      <c r="AE34" s="1372">
        <v>1110788</v>
      </c>
      <c r="AF34" s="1372">
        <v>1230928</v>
      </c>
      <c r="AG34" s="456">
        <f t="shared" si="59"/>
        <v>1083699</v>
      </c>
      <c r="AH34" s="456">
        <f t="shared" si="59"/>
        <v>1141805</v>
      </c>
      <c r="AI34" s="456">
        <f t="shared" si="59"/>
        <v>1152144</v>
      </c>
      <c r="AJ34" s="456">
        <f t="shared" si="59"/>
        <v>1125883</v>
      </c>
      <c r="AK34" s="456">
        <f t="shared" si="59"/>
        <v>1139944</v>
      </c>
      <c r="AL34" s="456">
        <f t="shared" si="59"/>
        <v>1139324</v>
      </c>
      <c r="AM34" s="456">
        <f t="shared" si="59"/>
        <v>1135050</v>
      </c>
      <c r="AN34" s="456">
        <f t="shared" si="74"/>
        <v>1138106</v>
      </c>
    </row>
    <row r="35" spans="1:40">
      <c r="A35" s="232">
        <v>219</v>
      </c>
      <c r="B35" s="241" t="s">
        <v>190</v>
      </c>
      <c r="C35" s="242">
        <f t="shared" si="73"/>
        <v>1701682</v>
      </c>
      <c r="D35" s="242">
        <f t="shared" si="73"/>
        <v>1410542</v>
      </c>
      <c r="E35" s="242">
        <f t="shared" si="73"/>
        <v>2144512</v>
      </c>
      <c r="F35" s="242">
        <f t="shared" si="73"/>
        <v>2854479</v>
      </c>
      <c r="G35" s="242">
        <f t="shared" si="73"/>
        <v>1061670</v>
      </c>
      <c r="H35" s="242">
        <f t="shared" si="73"/>
        <v>1724101</v>
      </c>
      <c r="I35" s="242">
        <f t="shared" si="73"/>
        <v>1452571</v>
      </c>
      <c r="J35" s="242">
        <f t="shared" si="73"/>
        <v>1471545</v>
      </c>
      <c r="K35" s="242">
        <f t="shared" si="73"/>
        <v>1270250</v>
      </c>
      <c r="L35" s="242">
        <f t="shared" si="73"/>
        <v>915154</v>
      </c>
      <c r="M35" s="242">
        <f t="shared" si="73"/>
        <v>704807</v>
      </c>
      <c r="N35" s="242">
        <f t="shared" si="73"/>
        <v>885581</v>
      </c>
      <c r="O35" s="242">
        <f t="shared" si="73"/>
        <v>744850</v>
      </c>
      <c r="P35" s="242">
        <f t="shared" si="73"/>
        <v>1112624</v>
      </c>
      <c r="Q35" s="333">
        <v>1404023</v>
      </c>
      <c r="R35" s="333">
        <v>1135627</v>
      </c>
      <c r="S35" s="333">
        <v>1210659</v>
      </c>
      <c r="T35" s="221">
        <v>1215497</v>
      </c>
      <c r="U35" s="75">
        <v>1465838</v>
      </c>
      <c r="V35" s="334">
        <v>832259</v>
      </c>
      <c r="W35" s="316">
        <v>912542</v>
      </c>
      <c r="X35" s="316">
        <v>749347</v>
      </c>
      <c r="Y35" s="316">
        <v>1190542</v>
      </c>
      <c r="Z35" s="453">
        <v>784867</v>
      </c>
      <c r="AA35" s="491">
        <v>1272288</v>
      </c>
      <c r="AB35" s="491">
        <v>1089455</v>
      </c>
      <c r="AC35" s="491">
        <v>1874894</v>
      </c>
      <c r="AD35" s="491">
        <v>1577625</v>
      </c>
      <c r="AE35" s="1372">
        <v>2191114</v>
      </c>
      <c r="AF35" s="1372">
        <v>2048331</v>
      </c>
      <c r="AG35" s="456">
        <f t="shared" si="59"/>
        <v>1939023</v>
      </c>
      <c r="AH35" s="456">
        <f t="shared" si="59"/>
        <v>2059489</v>
      </c>
      <c r="AI35" s="456">
        <f t="shared" si="59"/>
        <v>2015614</v>
      </c>
      <c r="AJ35" s="456">
        <f t="shared" si="59"/>
        <v>2004709</v>
      </c>
      <c r="AK35" s="456">
        <f t="shared" si="59"/>
        <v>2026604</v>
      </c>
      <c r="AL35" s="456">
        <f t="shared" si="59"/>
        <v>2015642</v>
      </c>
      <c r="AM35" s="456">
        <f t="shared" si="59"/>
        <v>2015652</v>
      </c>
      <c r="AN35" s="456">
        <f t="shared" si="74"/>
        <v>2019299</v>
      </c>
    </row>
    <row r="36" spans="1:40">
      <c r="A36" s="232">
        <v>220</v>
      </c>
      <c r="B36" s="241" t="s">
        <v>201</v>
      </c>
      <c r="C36" s="242">
        <f t="shared" si="73"/>
        <v>693056</v>
      </c>
      <c r="D36" s="242">
        <f t="shared" si="73"/>
        <v>932951</v>
      </c>
      <c r="E36" s="242">
        <f t="shared" si="73"/>
        <v>502274</v>
      </c>
      <c r="F36" s="242">
        <f t="shared" si="73"/>
        <v>620200</v>
      </c>
      <c r="G36" s="242">
        <f t="shared" si="73"/>
        <v>445021</v>
      </c>
      <c r="H36" s="242">
        <f t="shared" si="73"/>
        <v>438823</v>
      </c>
      <c r="I36" s="242">
        <f t="shared" si="73"/>
        <v>666047</v>
      </c>
      <c r="J36" s="242">
        <f t="shared" si="73"/>
        <v>598334</v>
      </c>
      <c r="K36" s="242">
        <f t="shared" si="73"/>
        <v>521650</v>
      </c>
      <c r="L36" s="242">
        <f t="shared" si="73"/>
        <v>389858</v>
      </c>
      <c r="M36" s="242">
        <f t="shared" si="73"/>
        <v>494171</v>
      </c>
      <c r="N36" s="242">
        <f t="shared" si="73"/>
        <v>708278</v>
      </c>
      <c r="O36" s="242">
        <f t="shared" si="73"/>
        <v>581037</v>
      </c>
      <c r="P36" s="242">
        <f t="shared" si="73"/>
        <v>466437</v>
      </c>
      <c r="Q36" s="333">
        <v>546201</v>
      </c>
      <c r="R36" s="333">
        <v>600280</v>
      </c>
      <c r="S36" s="333">
        <v>932813</v>
      </c>
      <c r="T36" s="221">
        <v>1109307</v>
      </c>
      <c r="U36" s="75">
        <v>1019426</v>
      </c>
      <c r="V36" s="334">
        <v>864269</v>
      </c>
      <c r="W36" s="316">
        <v>871124</v>
      </c>
      <c r="X36" s="316">
        <v>1958282</v>
      </c>
      <c r="Y36" s="316">
        <v>2487002</v>
      </c>
      <c r="Z36" s="453">
        <v>1079152</v>
      </c>
      <c r="AA36" s="491">
        <v>1039211</v>
      </c>
      <c r="AB36" s="491">
        <v>490182</v>
      </c>
      <c r="AC36" s="491">
        <v>1159923</v>
      </c>
      <c r="AD36" s="491">
        <v>1321674</v>
      </c>
      <c r="AE36" s="1372">
        <v>1203067</v>
      </c>
      <c r="AF36" s="1372">
        <v>1246299</v>
      </c>
      <c r="AG36" s="456">
        <f t="shared" si="59"/>
        <v>1257013</v>
      </c>
      <c r="AH36" s="456">
        <f t="shared" si="59"/>
        <v>1235460</v>
      </c>
      <c r="AI36" s="456">
        <f t="shared" si="59"/>
        <v>1246257</v>
      </c>
      <c r="AJ36" s="456">
        <f t="shared" si="59"/>
        <v>1246243</v>
      </c>
      <c r="AK36" s="456">
        <f t="shared" si="59"/>
        <v>1242653</v>
      </c>
      <c r="AL36" s="456">
        <f t="shared" si="59"/>
        <v>1245051</v>
      </c>
      <c r="AM36" s="456">
        <f t="shared" si="59"/>
        <v>1244649</v>
      </c>
      <c r="AN36" s="456">
        <f t="shared" si="74"/>
        <v>1244118</v>
      </c>
    </row>
    <row r="37" spans="1:40">
      <c r="A37" s="232">
        <v>221</v>
      </c>
      <c r="B37" s="241" t="s">
        <v>1144</v>
      </c>
      <c r="C37" s="242">
        <f>C150+C151+C152+C153</f>
        <v>343395</v>
      </c>
      <c r="D37" s="242">
        <f t="shared" ref="D37:K37" si="75">D150+D151+D152+D153</f>
        <v>351346</v>
      </c>
      <c r="E37" s="242">
        <f t="shared" si="75"/>
        <v>445165</v>
      </c>
      <c r="F37" s="242">
        <f t="shared" si="75"/>
        <v>362212</v>
      </c>
      <c r="G37" s="242">
        <f t="shared" si="75"/>
        <v>225047</v>
      </c>
      <c r="H37" s="242">
        <f t="shared" si="75"/>
        <v>391812</v>
      </c>
      <c r="I37" s="242">
        <f t="shared" si="75"/>
        <v>263146</v>
      </c>
      <c r="J37" s="242">
        <f t="shared" si="75"/>
        <v>277819</v>
      </c>
      <c r="K37" s="242">
        <f t="shared" si="75"/>
        <v>262623</v>
      </c>
      <c r="L37" s="242">
        <f>L91</f>
        <v>159294</v>
      </c>
      <c r="M37" s="242">
        <f>M91</f>
        <v>252568</v>
      </c>
      <c r="N37" s="242">
        <f>N91</f>
        <v>189313</v>
      </c>
      <c r="O37" s="242">
        <f>O91</f>
        <v>216876</v>
      </c>
      <c r="P37" s="242">
        <f>P91</f>
        <v>427272</v>
      </c>
      <c r="Q37" s="333">
        <v>345060</v>
      </c>
      <c r="R37" s="333">
        <v>288499</v>
      </c>
      <c r="S37" s="333">
        <v>461697</v>
      </c>
      <c r="T37" s="221">
        <v>233357</v>
      </c>
      <c r="U37" s="75">
        <v>225797</v>
      </c>
      <c r="V37" s="334">
        <v>202146</v>
      </c>
      <c r="W37" s="316">
        <v>316161</v>
      </c>
      <c r="X37" s="316">
        <v>266154</v>
      </c>
      <c r="Y37" s="316">
        <v>203362</v>
      </c>
      <c r="Z37" s="453">
        <v>268429</v>
      </c>
      <c r="AA37" s="491">
        <v>192585</v>
      </c>
      <c r="AB37" s="491">
        <v>229770</v>
      </c>
      <c r="AC37" s="491">
        <v>310864</v>
      </c>
      <c r="AD37" s="491">
        <v>316926</v>
      </c>
      <c r="AE37" s="1372">
        <v>438137</v>
      </c>
      <c r="AF37" s="1372">
        <v>328855</v>
      </c>
      <c r="AG37" s="456">
        <f t="shared" si="59"/>
        <v>361306</v>
      </c>
      <c r="AH37" s="456">
        <f t="shared" si="59"/>
        <v>376099</v>
      </c>
      <c r="AI37" s="456">
        <f t="shared" si="59"/>
        <v>355420</v>
      </c>
      <c r="AJ37" s="456">
        <f t="shared" si="59"/>
        <v>364275</v>
      </c>
      <c r="AK37" s="456">
        <f t="shared" si="59"/>
        <v>365265</v>
      </c>
      <c r="AL37" s="456">
        <f t="shared" si="59"/>
        <v>361653</v>
      </c>
      <c r="AM37" s="456">
        <f t="shared" si="59"/>
        <v>363731</v>
      </c>
      <c r="AN37" s="456">
        <f t="shared" si="74"/>
        <v>363550</v>
      </c>
    </row>
    <row r="38" spans="1:40">
      <c r="A38" s="234">
        <v>222</v>
      </c>
      <c r="B38" s="248" t="s">
        <v>763</v>
      </c>
      <c r="C38" s="249">
        <f>C136+C137+C138+C139</f>
        <v>330008</v>
      </c>
      <c r="D38" s="249">
        <f t="shared" ref="D38:P38" si="76">D136+D137+D138+D139</f>
        <v>290858</v>
      </c>
      <c r="E38" s="249">
        <f t="shared" si="76"/>
        <v>378456</v>
      </c>
      <c r="F38" s="249">
        <f t="shared" si="76"/>
        <v>279319</v>
      </c>
      <c r="G38" s="249">
        <f t="shared" si="76"/>
        <v>148428</v>
      </c>
      <c r="H38" s="249">
        <f t="shared" si="76"/>
        <v>140134</v>
      </c>
      <c r="I38" s="249">
        <f t="shared" si="76"/>
        <v>317286</v>
      </c>
      <c r="J38" s="249">
        <f t="shared" si="76"/>
        <v>581715</v>
      </c>
      <c r="K38" s="249">
        <f t="shared" si="76"/>
        <v>345655</v>
      </c>
      <c r="L38" s="249">
        <f t="shared" si="76"/>
        <v>154370</v>
      </c>
      <c r="M38" s="249">
        <f t="shared" si="76"/>
        <v>175684</v>
      </c>
      <c r="N38" s="249">
        <f t="shared" si="76"/>
        <v>148013</v>
      </c>
      <c r="O38" s="249">
        <f t="shared" si="76"/>
        <v>98438</v>
      </c>
      <c r="P38" s="249">
        <f t="shared" si="76"/>
        <v>113468</v>
      </c>
      <c r="Q38" s="333">
        <v>213818</v>
      </c>
      <c r="R38" s="333">
        <v>165095</v>
      </c>
      <c r="S38" s="333">
        <v>141018</v>
      </c>
      <c r="T38" s="221">
        <v>288731</v>
      </c>
      <c r="U38" s="75">
        <v>238889</v>
      </c>
      <c r="V38" s="334">
        <v>196225</v>
      </c>
      <c r="W38" s="316">
        <v>112665</v>
      </c>
      <c r="X38" s="316">
        <v>110817</v>
      </c>
      <c r="Y38" s="316">
        <v>155346</v>
      </c>
      <c r="Z38" s="453">
        <v>109988</v>
      </c>
      <c r="AA38" s="491">
        <v>287376</v>
      </c>
      <c r="AB38" s="491">
        <v>217447</v>
      </c>
      <c r="AC38" s="491">
        <v>246070</v>
      </c>
      <c r="AD38" s="491">
        <v>232954</v>
      </c>
      <c r="AE38" s="1372">
        <v>291802</v>
      </c>
      <c r="AF38" s="1372">
        <v>165587</v>
      </c>
      <c r="AG38" s="456">
        <f t="shared" si="59"/>
        <v>230114</v>
      </c>
      <c r="AH38" s="456">
        <f t="shared" si="59"/>
        <v>229168</v>
      </c>
      <c r="AI38" s="456">
        <f t="shared" si="59"/>
        <v>208290</v>
      </c>
      <c r="AJ38" s="456">
        <f t="shared" si="59"/>
        <v>222524</v>
      </c>
      <c r="AK38" s="456">
        <f t="shared" si="59"/>
        <v>219994</v>
      </c>
      <c r="AL38" s="456">
        <f t="shared" si="59"/>
        <v>216936</v>
      </c>
      <c r="AM38" s="456">
        <f t="shared" ref="AM38:AN57" si="77">ROUND(SUM(AJ38:AL38)/3,0)</f>
        <v>219818</v>
      </c>
      <c r="AN38" s="456">
        <f t="shared" si="77"/>
        <v>218916</v>
      </c>
    </row>
    <row r="39" spans="1:40">
      <c r="A39" s="234">
        <v>223</v>
      </c>
      <c r="B39" s="248" t="s">
        <v>223</v>
      </c>
      <c r="C39" s="249">
        <f>C144+C145+C146+C147+C148+C149</f>
        <v>984817</v>
      </c>
      <c r="D39" s="249">
        <f t="shared" ref="D39:P39" si="78">D144+D145+D146+D147+D148+D149</f>
        <v>931534</v>
      </c>
      <c r="E39" s="249">
        <f t="shared" si="78"/>
        <v>876924</v>
      </c>
      <c r="F39" s="249">
        <f t="shared" si="78"/>
        <v>630951</v>
      </c>
      <c r="G39" s="249">
        <f t="shared" si="78"/>
        <v>429989</v>
      </c>
      <c r="H39" s="249">
        <f t="shared" si="78"/>
        <v>416869</v>
      </c>
      <c r="I39" s="249">
        <f t="shared" si="78"/>
        <v>1400152</v>
      </c>
      <c r="J39" s="249">
        <f t="shared" si="78"/>
        <v>835499</v>
      </c>
      <c r="K39" s="249">
        <f t="shared" si="78"/>
        <v>661372</v>
      </c>
      <c r="L39" s="249">
        <f t="shared" si="78"/>
        <v>534870</v>
      </c>
      <c r="M39" s="249">
        <f t="shared" si="78"/>
        <v>430334</v>
      </c>
      <c r="N39" s="249">
        <f t="shared" si="78"/>
        <v>375947</v>
      </c>
      <c r="O39" s="249">
        <f t="shared" si="78"/>
        <v>463300</v>
      </c>
      <c r="P39" s="249">
        <f t="shared" si="78"/>
        <v>520007</v>
      </c>
      <c r="Q39" s="333">
        <v>1086688</v>
      </c>
      <c r="R39" s="333">
        <v>511840</v>
      </c>
      <c r="S39" s="333">
        <v>530355</v>
      </c>
      <c r="T39" s="221">
        <v>794875</v>
      </c>
      <c r="U39" s="75">
        <v>872097</v>
      </c>
      <c r="V39" s="334">
        <v>285486</v>
      </c>
      <c r="W39" s="316">
        <v>447854</v>
      </c>
      <c r="X39" s="316">
        <v>384214</v>
      </c>
      <c r="Y39" s="316">
        <v>391611</v>
      </c>
      <c r="Z39" s="453">
        <v>394648</v>
      </c>
      <c r="AA39" s="491">
        <v>1242632</v>
      </c>
      <c r="AB39" s="491">
        <v>1585129</v>
      </c>
      <c r="AC39" s="491">
        <v>597372</v>
      </c>
      <c r="AD39" s="491">
        <v>592611</v>
      </c>
      <c r="AE39" s="1372">
        <v>547328</v>
      </c>
      <c r="AF39" s="1372">
        <v>745707</v>
      </c>
      <c r="AG39" s="456">
        <f t="shared" si="59"/>
        <v>628549</v>
      </c>
      <c r="AH39" s="456">
        <f t="shared" si="59"/>
        <v>640528</v>
      </c>
      <c r="AI39" s="456">
        <f t="shared" si="59"/>
        <v>671595</v>
      </c>
      <c r="AJ39" s="456">
        <f t="shared" si="59"/>
        <v>646891</v>
      </c>
      <c r="AK39" s="456">
        <f t="shared" si="59"/>
        <v>653005</v>
      </c>
      <c r="AL39" s="456">
        <f t="shared" si="59"/>
        <v>657164</v>
      </c>
      <c r="AM39" s="456">
        <f t="shared" si="77"/>
        <v>652353</v>
      </c>
      <c r="AN39" s="456">
        <f t="shared" si="77"/>
        <v>654174</v>
      </c>
    </row>
    <row r="40" spans="1:40">
      <c r="A40" s="243">
        <v>224</v>
      </c>
      <c r="B40" s="244" t="s">
        <v>224</v>
      </c>
      <c r="C40" s="245">
        <f>C160+C161+C162+C163</f>
        <v>318508</v>
      </c>
      <c r="D40" s="245">
        <f t="shared" ref="D40:P40" si="79">D160+D161+D162+D163</f>
        <v>316872</v>
      </c>
      <c r="E40" s="245">
        <f t="shared" si="79"/>
        <v>343393</v>
      </c>
      <c r="F40" s="245">
        <f t="shared" si="79"/>
        <v>188908</v>
      </c>
      <c r="G40" s="245">
        <f t="shared" si="79"/>
        <v>221866</v>
      </c>
      <c r="H40" s="245">
        <f t="shared" si="79"/>
        <v>201684</v>
      </c>
      <c r="I40" s="245">
        <f t="shared" si="79"/>
        <v>293050</v>
      </c>
      <c r="J40" s="245">
        <f t="shared" si="79"/>
        <v>199751</v>
      </c>
      <c r="K40" s="245">
        <f t="shared" si="79"/>
        <v>99940</v>
      </c>
      <c r="L40" s="245">
        <f t="shared" si="79"/>
        <v>140356</v>
      </c>
      <c r="M40" s="245">
        <f t="shared" si="79"/>
        <v>128840</v>
      </c>
      <c r="N40" s="245">
        <f t="shared" si="79"/>
        <v>228026</v>
      </c>
      <c r="O40" s="245">
        <f t="shared" si="79"/>
        <v>166058</v>
      </c>
      <c r="P40" s="245">
        <f t="shared" si="79"/>
        <v>279303</v>
      </c>
      <c r="Q40" s="255">
        <f>Q160+Q161+Q162+Q163</f>
        <v>292877</v>
      </c>
      <c r="R40" s="333">
        <v>177608</v>
      </c>
      <c r="S40" s="333">
        <v>172830</v>
      </c>
      <c r="T40" s="221">
        <v>203795</v>
      </c>
      <c r="U40" s="75">
        <v>212940</v>
      </c>
      <c r="V40" s="334">
        <v>33831</v>
      </c>
      <c r="W40" s="316">
        <v>139875</v>
      </c>
      <c r="X40" s="316">
        <v>48255</v>
      </c>
      <c r="Y40" s="316">
        <v>111477</v>
      </c>
      <c r="Z40" s="453">
        <v>90022</v>
      </c>
      <c r="AA40" s="491">
        <v>66651</v>
      </c>
      <c r="AB40" s="491">
        <v>151602</v>
      </c>
      <c r="AC40" s="491">
        <v>252874</v>
      </c>
      <c r="AD40" s="491">
        <v>172955</v>
      </c>
      <c r="AE40" s="1372">
        <v>174050</v>
      </c>
      <c r="AF40" s="1372">
        <v>80322</v>
      </c>
      <c r="AG40" s="456">
        <f t="shared" si="59"/>
        <v>142442</v>
      </c>
      <c r="AH40" s="456">
        <f t="shared" si="59"/>
        <v>132271</v>
      </c>
      <c r="AI40" s="456">
        <f t="shared" si="59"/>
        <v>118345</v>
      </c>
      <c r="AJ40" s="456">
        <f t="shared" si="59"/>
        <v>131019</v>
      </c>
      <c r="AK40" s="456">
        <f t="shared" si="59"/>
        <v>127212</v>
      </c>
      <c r="AL40" s="456">
        <f t="shared" si="59"/>
        <v>125525</v>
      </c>
      <c r="AM40" s="456">
        <f t="shared" si="77"/>
        <v>127919</v>
      </c>
      <c r="AN40" s="456">
        <f t="shared" si="77"/>
        <v>126885</v>
      </c>
    </row>
    <row r="41" spans="1:40">
      <c r="A41" s="243">
        <v>225</v>
      </c>
      <c r="B41" s="244" t="s">
        <v>222</v>
      </c>
      <c r="C41" s="245">
        <f>C140+C141+C142+C143</f>
        <v>863446</v>
      </c>
      <c r="D41" s="245">
        <f t="shared" ref="D41:P41" si="80">D140+D141+D142+D143</f>
        <v>414713</v>
      </c>
      <c r="E41" s="245">
        <f t="shared" si="80"/>
        <v>719529</v>
      </c>
      <c r="F41" s="245">
        <f t="shared" si="80"/>
        <v>789161</v>
      </c>
      <c r="G41" s="245">
        <f t="shared" si="80"/>
        <v>395038</v>
      </c>
      <c r="H41" s="245">
        <f t="shared" si="80"/>
        <v>356215</v>
      </c>
      <c r="I41" s="245">
        <f t="shared" si="80"/>
        <v>435274</v>
      </c>
      <c r="J41" s="245">
        <f t="shared" si="80"/>
        <v>1402334</v>
      </c>
      <c r="K41" s="245">
        <f t="shared" si="80"/>
        <v>582232</v>
      </c>
      <c r="L41" s="245">
        <f t="shared" si="80"/>
        <v>416647</v>
      </c>
      <c r="M41" s="245">
        <f t="shared" si="80"/>
        <v>643482</v>
      </c>
      <c r="N41" s="245">
        <f t="shared" si="80"/>
        <v>620428</v>
      </c>
      <c r="O41" s="245">
        <f t="shared" si="80"/>
        <v>336640</v>
      </c>
      <c r="P41" s="245">
        <f t="shared" si="80"/>
        <v>179680</v>
      </c>
      <c r="Q41" s="255">
        <f>Q140+Q141+Q142+Q143</f>
        <v>275880</v>
      </c>
      <c r="R41" s="333">
        <v>496010</v>
      </c>
      <c r="S41" s="333">
        <v>613161</v>
      </c>
      <c r="T41" s="221">
        <v>396080</v>
      </c>
      <c r="U41" s="75">
        <v>317504</v>
      </c>
      <c r="V41" s="334">
        <v>212525</v>
      </c>
      <c r="W41" s="316">
        <v>390659</v>
      </c>
      <c r="X41" s="316">
        <v>248108</v>
      </c>
      <c r="Y41" s="316">
        <v>221290</v>
      </c>
      <c r="Z41" s="453">
        <v>244429</v>
      </c>
      <c r="AA41" s="491">
        <v>419544</v>
      </c>
      <c r="AB41" s="491">
        <v>107862</v>
      </c>
      <c r="AC41" s="491">
        <v>423264</v>
      </c>
      <c r="AD41" s="491">
        <v>3274859</v>
      </c>
      <c r="AE41" s="1372">
        <v>427635</v>
      </c>
      <c r="AF41" s="1372">
        <v>500191</v>
      </c>
      <c r="AG41" s="456">
        <f t="shared" si="59"/>
        <v>1400895</v>
      </c>
      <c r="AH41" s="456">
        <f t="shared" si="59"/>
        <v>776240</v>
      </c>
      <c r="AI41" s="456">
        <f t="shared" si="59"/>
        <v>892442</v>
      </c>
      <c r="AJ41" s="456">
        <f t="shared" si="59"/>
        <v>1023192</v>
      </c>
      <c r="AK41" s="456">
        <f t="shared" si="59"/>
        <v>897291</v>
      </c>
      <c r="AL41" s="456">
        <f t="shared" si="59"/>
        <v>937642</v>
      </c>
      <c r="AM41" s="456">
        <f t="shared" si="77"/>
        <v>952708</v>
      </c>
      <c r="AN41" s="456">
        <f t="shared" si="77"/>
        <v>929214</v>
      </c>
    </row>
    <row r="42" spans="1:40">
      <c r="A42" s="243">
        <v>226</v>
      </c>
      <c r="B42" s="244" t="s">
        <v>225</v>
      </c>
      <c r="C42" s="245">
        <f>C154+C155+C156+C157+C159</f>
        <v>82298</v>
      </c>
      <c r="D42" s="245">
        <f t="shared" ref="D42:P42" si="81">D154+D155+D156+D157+D159</f>
        <v>104049</v>
      </c>
      <c r="E42" s="245">
        <f t="shared" si="81"/>
        <v>227851</v>
      </c>
      <c r="F42" s="245">
        <f t="shared" si="81"/>
        <v>264459</v>
      </c>
      <c r="G42" s="245">
        <f t="shared" si="81"/>
        <v>36332</v>
      </c>
      <c r="H42" s="245">
        <f t="shared" si="81"/>
        <v>66725</v>
      </c>
      <c r="I42" s="245">
        <f t="shared" si="81"/>
        <v>58496</v>
      </c>
      <c r="J42" s="245">
        <f t="shared" si="81"/>
        <v>64551</v>
      </c>
      <c r="K42" s="245">
        <f t="shared" si="81"/>
        <v>87709</v>
      </c>
      <c r="L42" s="245">
        <f t="shared" si="81"/>
        <v>87508</v>
      </c>
      <c r="M42" s="245">
        <f t="shared" si="81"/>
        <v>64088</v>
      </c>
      <c r="N42" s="245">
        <f t="shared" si="81"/>
        <v>75253</v>
      </c>
      <c r="O42" s="245">
        <f t="shared" si="81"/>
        <v>36380</v>
      </c>
      <c r="P42" s="245">
        <f t="shared" si="81"/>
        <v>55022</v>
      </c>
      <c r="Q42" s="255">
        <f>Q154+Q155+Q156+Q157+Q159</f>
        <v>34213</v>
      </c>
      <c r="R42" s="333">
        <v>58845</v>
      </c>
      <c r="S42" s="333">
        <v>74025</v>
      </c>
      <c r="T42" s="221">
        <v>139593</v>
      </c>
      <c r="U42" s="75">
        <v>157483</v>
      </c>
      <c r="V42" s="334">
        <v>76315</v>
      </c>
      <c r="W42" s="316">
        <v>75016</v>
      </c>
      <c r="X42" s="316">
        <v>169849</v>
      </c>
      <c r="Y42" s="316">
        <v>116984</v>
      </c>
      <c r="Z42" s="453">
        <v>152267</v>
      </c>
      <c r="AA42" s="491">
        <v>124047</v>
      </c>
      <c r="AB42" s="491">
        <v>173993</v>
      </c>
      <c r="AC42" s="491">
        <v>94271</v>
      </c>
      <c r="AD42" s="491">
        <v>114624</v>
      </c>
      <c r="AE42" s="1372">
        <v>142021</v>
      </c>
      <c r="AF42" s="1372">
        <v>150141</v>
      </c>
      <c r="AG42" s="456">
        <f t="shared" si="59"/>
        <v>135595</v>
      </c>
      <c r="AH42" s="456">
        <f t="shared" si="59"/>
        <v>142586</v>
      </c>
      <c r="AI42" s="456">
        <f t="shared" si="59"/>
        <v>142774</v>
      </c>
      <c r="AJ42" s="456">
        <f t="shared" si="59"/>
        <v>140318</v>
      </c>
      <c r="AK42" s="456">
        <f t="shared" si="59"/>
        <v>141893</v>
      </c>
      <c r="AL42" s="456">
        <f t="shared" si="59"/>
        <v>141662</v>
      </c>
      <c r="AM42" s="456">
        <f t="shared" si="77"/>
        <v>141291</v>
      </c>
      <c r="AN42" s="456">
        <f t="shared" si="77"/>
        <v>141615</v>
      </c>
    </row>
    <row r="43" spans="1:40">
      <c r="A43" s="243">
        <v>227</v>
      </c>
      <c r="B43" s="244" t="s">
        <v>219</v>
      </c>
      <c r="C43" s="245">
        <f>C121+C123+C124+C125</f>
        <v>112513</v>
      </c>
      <c r="D43" s="245">
        <f t="shared" ref="D43:P43" si="82">D121+D123+D124+D125</f>
        <v>194668</v>
      </c>
      <c r="E43" s="245">
        <f t="shared" si="82"/>
        <v>168885</v>
      </c>
      <c r="F43" s="245">
        <f t="shared" si="82"/>
        <v>140231</v>
      </c>
      <c r="G43" s="245">
        <f t="shared" si="82"/>
        <v>88586</v>
      </c>
      <c r="H43" s="245">
        <f t="shared" si="82"/>
        <v>252576</v>
      </c>
      <c r="I43" s="245">
        <f t="shared" si="82"/>
        <v>352492</v>
      </c>
      <c r="J43" s="245">
        <f t="shared" si="82"/>
        <v>201579</v>
      </c>
      <c r="K43" s="245">
        <f t="shared" si="82"/>
        <v>134074</v>
      </c>
      <c r="L43" s="245">
        <f t="shared" si="82"/>
        <v>95804</v>
      </c>
      <c r="M43" s="245">
        <f t="shared" si="82"/>
        <v>110135</v>
      </c>
      <c r="N43" s="245">
        <f t="shared" si="82"/>
        <v>117631</v>
      </c>
      <c r="O43" s="245">
        <f t="shared" si="82"/>
        <v>77550</v>
      </c>
      <c r="P43" s="245">
        <f t="shared" si="82"/>
        <v>47375</v>
      </c>
      <c r="Q43" s="255">
        <f>Q121+Q123+Q124+Q125</f>
        <v>110639</v>
      </c>
      <c r="R43" s="333">
        <v>136714</v>
      </c>
      <c r="S43" s="333">
        <v>111438</v>
      </c>
      <c r="T43" s="221">
        <v>128296</v>
      </c>
      <c r="U43" s="75">
        <v>99048</v>
      </c>
      <c r="V43" s="334">
        <v>98935</v>
      </c>
      <c r="W43" s="316">
        <v>67632</v>
      </c>
      <c r="X43" s="316">
        <v>71333</v>
      </c>
      <c r="Y43" s="316">
        <v>99756</v>
      </c>
      <c r="Z43" s="453">
        <v>68303</v>
      </c>
      <c r="AA43" s="491">
        <v>156072</v>
      </c>
      <c r="AB43" s="491">
        <v>52383</v>
      </c>
      <c r="AC43" s="491">
        <v>197270</v>
      </c>
      <c r="AD43" s="491">
        <v>99956</v>
      </c>
      <c r="AE43" s="1372">
        <v>270909</v>
      </c>
      <c r="AF43" s="1372">
        <v>222741</v>
      </c>
      <c r="AG43" s="456">
        <f t="shared" si="59"/>
        <v>197869</v>
      </c>
      <c r="AH43" s="456">
        <f t="shared" si="59"/>
        <v>230506</v>
      </c>
      <c r="AI43" s="456">
        <f t="shared" si="59"/>
        <v>217039</v>
      </c>
      <c r="AJ43" s="456">
        <f t="shared" si="59"/>
        <v>215138</v>
      </c>
      <c r="AK43" s="456">
        <f t="shared" si="59"/>
        <v>220894</v>
      </c>
      <c r="AL43" s="456">
        <f t="shared" si="59"/>
        <v>217690</v>
      </c>
      <c r="AM43" s="456">
        <f t="shared" si="77"/>
        <v>217907</v>
      </c>
      <c r="AN43" s="456">
        <f t="shared" si="77"/>
        <v>218830</v>
      </c>
    </row>
    <row r="44" spans="1:40">
      <c r="A44" s="243">
        <v>228</v>
      </c>
      <c r="B44" s="244" t="s">
        <v>330</v>
      </c>
      <c r="C44" s="245">
        <f>C96+C97+C98</f>
        <v>1898903</v>
      </c>
      <c r="D44" s="245">
        <f t="shared" ref="D44:P44" si="83">D96+D97+D98</f>
        <v>3016676</v>
      </c>
      <c r="E44" s="245">
        <f t="shared" si="83"/>
        <v>2001561</v>
      </c>
      <c r="F44" s="245">
        <f t="shared" si="83"/>
        <v>1305159</v>
      </c>
      <c r="G44" s="245">
        <f t="shared" si="83"/>
        <v>712062</v>
      </c>
      <c r="H44" s="245">
        <f t="shared" si="83"/>
        <v>1120438</v>
      </c>
      <c r="I44" s="245">
        <f t="shared" si="83"/>
        <v>1474807</v>
      </c>
      <c r="J44" s="245">
        <f t="shared" si="83"/>
        <v>1606516</v>
      </c>
      <c r="K44" s="245">
        <f t="shared" si="83"/>
        <v>1129963</v>
      </c>
      <c r="L44" s="245">
        <f t="shared" si="83"/>
        <v>871476</v>
      </c>
      <c r="M44" s="245">
        <f t="shared" si="83"/>
        <v>940458</v>
      </c>
      <c r="N44" s="245">
        <f t="shared" si="83"/>
        <v>799594</v>
      </c>
      <c r="O44" s="245">
        <f t="shared" si="83"/>
        <v>673697</v>
      </c>
      <c r="P44" s="245">
        <f t="shared" si="83"/>
        <v>840489</v>
      </c>
      <c r="Q44" s="333">
        <v>616016</v>
      </c>
      <c r="R44" s="333">
        <v>787062</v>
      </c>
      <c r="S44" s="333">
        <v>830839</v>
      </c>
      <c r="T44" s="221">
        <v>2023643</v>
      </c>
      <c r="U44" s="75">
        <v>851985</v>
      </c>
      <c r="V44" s="334">
        <v>496164</v>
      </c>
      <c r="W44" s="316">
        <v>621776</v>
      </c>
      <c r="X44" s="316">
        <v>1437218</v>
      </c>
      <c r="Y44" s="316">
        <v>562489</v>
      </c>
      <c r="Z44" s="453">
        <v>582619</v>
      </c>
      <c r="AA44" s="491">
        <v>601271</v>
      </c>
      <c r="AB44" s="491">
        <v>541633</v>
      </c>
      <c r="AC44" s="491">
        <v>745847</v>
      </c>
      <c r="AD44" s="491">
        <v>1311510</v>
      </c>
      <c r="AE44" s="1372">
        <v>869701</v>
      </c>
      <c r="AF44" s="1372">
        <v>1552595</v>
      </c>
      <c r="AG44" s="456">
        <f t="shared" si="59"/>
        <v>1244602</v>
      </c>
      <c r="AH44" s="456">
        <f t="shared" si="59"/>
        <v>1222299</v>
      </c>
      <c r="AI44" s="456">
        <f t="shared" si="59"/>
        <v>1339832</v>
      </c>
      <c r="AJ44" s="456">
        <f t="shared" si="59"/>
        <v>1268911</v>
      </c>
      <c r="AK44" s="456">
        <f t="shared" si="59"/>
        <v>1277014</v>
      </c>
      <c r="AL44" s="456">
        <f t="shared" si="59"/>
        <v>1295252</v>
      </c>
      <c r="AM44" s="456">
        <f t="shared" si="77"/>
        <v>1280392</v>
      </c>
      <c r="AN44" s="456">
        <f t="shared" si="77"/>
        <v>1284219</v>
      </c>
    </row>
    <row r="45" spans="1:40">
      <c r="A45" s="243">
        <v>229</v>
      </c>
      <c r="B45" s="244" t="s">
        <v>783</v>
      </c>
      <c r="C45" s="245">
        <f>C81+C112+C113+C114</f>
        <v>1508319</v>
      </c>
      <c r="D45" s="245">
        <f t="shared" ref="D45:P45" si="84">D81+D112+D113+D114</f>
        <v>1620737</v>
      </c>
      <c r="E45" s="245">
        <f t="shared" si="84"/>
        <v>1858564</v>
      </c>
      <c r="F45" s="245">
        <f t="shared" si="84"/>
        <v>1227175</v>
      </c>
      <c r="G45" s="245">
        <f t="shared" si="84"/>
        <v>831298</v>
      </c>
      <c r="H45" s="245">
        <f t="shared" si="84"/>
        <v>872223</v>
      </c>
      <c r="I45" s="245">
        <f t="shared" si="84"/>
        <v>1136731</v>
      </c>
      <c r="J45" s="245">
        <f t="shared" si="84"/>
        <v>1535474</v>
      </c>
      <c r="K45" s="245">
        <f t="shared" si="84"/>
        <v>1238954</v>
      </c>
      <c r="L45" s="245">
        <f t="shared" si="84"/>
        <v>1099646</v>
      </c>
      <c r="M45" s="245">
        <f t="shared" si="84"/>
        <v>1834236</v>
      </c>
      <c r="N45" s="245">
        <f t="shared" si="84"/>
        <v>1147547</v>
      </c>
      <c r="O45" s="245">
        <f t="shared" si="84"/>
        <v>1020792</v>
      </c>
      <c r="P45" s="245">
        <f t="shared" si="84"/>
        <v>776142</v>
      </c>
      <c r="Q45" s="333">
        <v>806209</v>
      </c>
      <c r="R45" s="333">
        <v>2140460</v>
      </c>
      <c r="S45" s="333">
        <v>1248364</v>
      </c>
      <c r="T45" s="221">
        <v>1765845</v>
      </c>
      <c r="U45" s="75">
        <v>1490285</v>
      </c>
      <c r="V45" s="334">
        <v>1189662</v>
      </c>
      <c r="W45" s="316">
        <v>1043571</v>
      </c>
      <c r="X45" s="316">
        <v>1189899</v>
      </c>
      <c r="Y45" s="316">
        <v>1242868</v>
      </c>
      <c r="Z45" s="453">
        <v>825014</v>
      </c>
      <c r="AA45" s="491">
        <v>790851</v>
      </c>
      <c r="AB45" s="491">
        <v>1452886</v>
      </c>
      <c r="AC45" s="491">
        <v>1765257</v>
      </c>
      <c r="AD45" s="491">
        <v>1098406</v>
      </c>
      <c r="AE45" s="1372">
        <v>1585525</v>
      </c>
      <c r="AF45" s="1372">
        <v>1643211</v>
      </c>
      <c r="AG45" s="456">
        <f t="shared" si="59"/>
        <v>1442381</v>
      </c>
      <c r="AH45" s="456">
        <f t="shared" si="59"/>
        <v>1557039</v>
      </c>
      <c r="AI45" s="456">
        <f t="shared" si="59"/>
        <v>1547544</v>
      </c>
      <c r="AJ45" s="456">
        <f t="shared" si="59"/>
        <v>1515655</v>
      </c>
      <c r="AK45" s="456">
        <f t="shared" si="59"/>
        <v>1540079</v>
      </c>
      <c r="AL45" s="456">
        <f t="shared" si="59"/>
        <v>1534426</v>
      </c>
      <c r="AM45" s="456">
        <f t="shared" si="77"/>
        <v>1530053</v>
      </c>
      <c r="AN45" s="456">
        <f t="shared" si="77"/>
        <v>1534853</v>
      </c>
    </row>
    <row r="46" spans="1:40">
      <c r="A46" s="232">
        <v>301</v>
      </c>
      <c r="B46" s="241" t="s">
        <v>191</v>
      </c>
      <c r="C46" s="242">
        <f>C94</f>
        <v>71633</v>
      </c>
      <c r="D46" s="242">
        <f t="shared" ref="D46:P46" si="85">D94</f>
        <v>18423</v>
      </c>
      <c r="E46" s="242">
        <f t="shared" si="85"/>
        <v>27417</v>
      </c>
      <c r="F46" s="242">
        <f t="shared" si="85"/>
        <v>6124</v>
      </c>
      <c r="G46" s="242">
        <f t="shared" si="85"/>
        <v>18371</v>
      </c>
      <c r="H46" s="242">
        <f t="shared" si="85"/>
        <v>36131</v>
      </c>
      <c r="I46" s="242">
        <f t="shared" si="85"/>
        <v>21703</v>
      </c>
      <c r="J46" s="242">
        <f t="shared" si="85"/>
        <v>56772</v>
      </c>
      <c r="K46" s="242">
        <f t="shared" si="85"/>
        <v>35196</v>
      </c>
      <c r="L46" s="242">
        <f t="shared" si="85"/>
        <v>13228</v>
      </c>
      <c r="M46" s="242">
        <f t="shared" si="85"/>
        <v>21800</v>
      </c>
      <c r="N46" s="242">
        <f t="shared" si="85"/>
        <v>31558</v>
      </c>
      <c r="O46" s="242">
        <f t="shared" si="85"/>
        <v>8229</v>
      </c>
      <c r="P46" s="242">
        <f t="shared" si="85"/>
        <v>41579</v>
      </c>
      <c r="Q46" s="333">
        <v>56390</v>
      </c>
      <c r="R46" s="333">
        <v>38584</v>
      </c>
      <c r="S46" s="333">
        <v>91250</v>
      </c>
      <c r="T46" s="221">
        <v>36145</v>
      </c>
      <c r="U46" s="75">
        <v>14800</v>
      </c>
      <c r="V46" s="334">
        <v>7665</v>
      </c>
      <c r="W46" s="316">
        <v>33480</v>
      </c>
      <c r="X46" s="316">
        <v>26071</v>
      </c>
      <c r="Y46" s="316">
        <v>5135</v>
      </c>
      <c r="Z46" s="453">
        <v>7618</v>
      </c>
      <c r="AA46" s="491">
        <v>24220</v>
      </c>
      <c r="AB46" s="491">
        <v>27688</v>
      </c>
      <c r="AC46" s="491">
        <v>8970</v>
      </c>
      <c r="AD46" s="491">
        <v>96910</v>
      </c>
      <c r="AE46" s="1372">
        <v>37193</v>
      </c>
      <c r="AF46" s="1372">
        <v>9842</v>
      </c>
      <c r="AG46" s="456">
        <f t="shared" si="59"/>
        <v>47982</v>
      </c>
      <c r="AH46" s="456">
        <f t="shared" si="59"/>
        <v>31672</v>
      </c>
      <c r="AI46" s="456">
        <f t="shared" si="59"/>
        <v>29832</v>
      </c>
      <c r="AJ46" s="456">
        <f t="shared" si="59"/>
        <v>36495</v>
      </c>
      <c r="AK46" s="456">
        <f t="shared" si="59"/>
        <v>32666</v>
      </c>
      <c r="AL46" s="456">
        <f t="shared" si="59"/>
        <v>32998</v>
      </c>
      <c r="AM46" s="456">
        <f t="shared" si="77"/>
        <v>34053</v>
      </c>
      <c r="AN46" s="456">
        <f t="shared" si="77"/>
        <v>33239</v>
      </c>
    </row>
    <row r="47" spans="1:40">
      <c r="A47" s="243">
        <v>365</v>
      </c>
      <c r="B47" s="244" t="s">
        <v>331</v>
      </c>
      <c r="C47" s="245">
        <f>C99+C100+C101</f>
        <v>164667</v>
      </c>
      <c r="D47" s="245">
        <f t="shared" ref="D47:P47" si="86">D99+D100+D101</f>
        <v>90452</v>
      </c>
      <c r="E47" s="245">
        <f t="shared" si="86"/>
        <v>120206</v>
      </c>
      <c r="F47" s="245">
        <f t="shared" si="86"/>
        <v>74430</v>
      </c>
      <c r="G47" s="245">
        <f t="shared" si="86"/>
        <v>146149</v>
      </c>
      <c r="H47" s="245">
        <f t="shared" si="86"/>
        <v>37734</v>
      </c>
      <c r="I47" s="245">
        <f t="shared" si="86"/>
        <v>69856</v>
      </c>
      <c r="J47" s="245">
        <f t="shared" si="86"/>
        <v>146961</v>
      </c>
      <c r="K47" s="245">
        <f t="shared" si="86"/>
        <v>125702</v>
      </c>
      <c r="L47" s="245">
        <f t="shared" si="86"/>
        <v>77919</v>
      </c>
      <c r="M47" s="245">
        <f t="shared" si="86"/>
        <v>94266</v>
      </c>
      <c r="N47" s="245">
        <f t="shared" si="86"/>
        <v>78454</v>
      </c>
      <c r="O47" s="245">
        <f t="shared" si="86"/>
        <v>35779</v>
      </c>
      <c r="P47" s="245">
        <f t="shared" si="86"/>
        <v>53263</v>
      </c>
      <c r="Q47" s="333">
        <v>45911</v>
      </c>
      <c r="R47" s="333">
        <v>82811</v>
      </c>
      <c r="S47" s="333">
        <v>91852</v>
      </c>
      <c r="T47" s="221">
        <v>69903</v>
      </c>
      <c r="U47" s="75">
        <v>100536</v>
      </c>
      <c r="V47" s="334">
        <v>74291</v>
      </c>
      <c r="W47" s="316">
        <v>63265</v>
      </c>
      <c r="X47" s="316">
        <v>111607</v>
      </c>
      <c r="Y47" s="316">
        <v>61048</v>
      </c>
      <c r="Z47" s="453">
        <v>48255</v>
      </c>
      <c r="AA47" s="491">
        <v>52328</v>
      </c>
      <c r="AB47" s="491">
        <v>82125</v>
      </c>
      <c r="AC47" s="491">
        <v>135550</v>
      </c>
      <c r="AD47" s="491">
        <v>129514</v>
      </c>
      <c r="AE47" s="1372">
        <v>242523</v>
      </c>
      <c r="AF47" s="1372">
        <v>192890</v>
      </c>
      <c r="AG47" s="456">
        <f t="shared" si="59"/>
        <v>188309</v>
      </c>
      <c r="AH47" s="456">
        <f t="shared" si="59"/>
        <v>207907</v>
      </c>
      <c r="AI47" s="456">
        <f t="shared" si="59"/>
        <v>196369</v>
      </c>
      <c r="AJ47" s="456">
        <f t="shared" si="59"/>
        <v>197528</v>
      </c>
      <c r="AK47" s="456">
        <f t="shared" si="59"/>
        <v>200601</v>
      </c>
      <c r="AL47" s="456">
        <f t="shared" si="59"/>
        <v>198166</v>
      </c>
      <c r="AM47" s="456">
        <f t="shared" si="77"/>
        <v>198765</v>
      </c>
      <c r="AN47" s="456">
        <f t="shared" si="77"/>
        <v>199177</v>
      </c>
    </row>
    <row r="48" spans="1:40">
      <c r="A48" s="232">
        <v>381</v>
      </c>
      <c r="B48" s="241" t="s">
        <v>196</v>
      </c>
      <c r="C48" s="242">
        <f>C103</f>
        <v>324069</v>
      </c>
      <c r="D48" s="242">
        <f t="shared" ref="D48:P48" si="87">D103</f>
        <v>605201</v>
      </c>
      <c r="E48" s="242">
        <f t="shared" si="87"/>
        <v>634894</v>
      </c>
      <c r="F48" s="242">
        <f t="shared" si="87"/>
        <v>404318</v>
      </c>
      <c r="G48" s="242">
        <f t="shared" si="87"/>
        <v>406126</v>
      </c>
      <c r="H48" s="242">
        <f t="shared" si="87"/>
        <v>623065</v>
      </c>
      <c r="I48" s="242">
        <f t="shared" si="87"/>
        <v>634364</v>
      </c>
      <c r="J48" s="242">
        <f t="shared" si="87"/>
        <v>869239</v>
      </c>
      <c r="K48" s="242">
        <f t="shared" si="87"/>
        <v>492110</v>
      </c>
      <c r="L48" s="242">
        <f t="shared" si="87"/>
        <v>603463</v>
      </c>
      <c r="M48" s="242">
        <f t="shared" si="87"/>
        <v>375123</v>
      </c>
      <c r="N48" s="242">
        <f t="shared" si="87"/>
        <v>326299</v>
      </c>
      <c r="O48" s="242">
        <f t="shared" si="87"/>
        <v>361694</v>
      </c>
      <c r="P48" s="242">
        <f t="shared" si="87"/>
        <v>455179</v>
      </c>
      <c r="Q48" s="333">
        <v>435112</v>
      </c>
      <c r="R48" s="333">
        <v>531928</v>
      </c>
      <c r="S48" s="333">
        <v>394069</v>
      </c>
      <c r="T48" s="221">
        <v>675705</v>
      </c>
      <c r="U48" s="75">
        <v>539609</v>
      </c>
      <c r="V48" s="334">
        <v>371344</v>
      </c>
      <c r="W48" s="316">
        <v>274022</v>
      </c>
      <c r="X48" s="316">
        <v>271248</v>
      </c>
      <c r="Y48" s="316">
        <v>370545</v>
      </c>
      <c r="Z48" s="453">
        <v>207717</v>
      </c>
      <c r="AA48" s="491">
        <v>290352</v>
      </c>
      <c r="AB48" s="491">
        <v>448156</v>
      </c>
      <c r="AC48" s="491">
        <v>256541</v>
      </c>
      <c r="AD48" s="491">
        <v>363788</v>
      </c>
      <c r="AE48" s="1372">
        <v>731286</v>
      </c>
      <c r="AF48" s="1372">
        <v>620059</v>
      </c>
      <c r="AG48" s="456">
        <f t="shared" si="59"/>
        <v>571711</v>
      </c>
      <c r="AH48" s="456">
        <f t="shared" si="59"/>
        <v>641019</v>
      </c>
      <c r="AI48" s="456">
        <f t="shared" si="59"/>
        <v>610930</v>
      </c>
      <c r="AJ48" s="456">
        <f t="shared" si="59"/>
        <v>607887</v>
      </c>
      <c r="AK48" s="456">
        <f t="shared" si="59"/>
        <v>619945</v>
      </c>
      <c r="AL48" s="456">
        <f t="shared" si="59"/>
        <v>612921</v>
      </c>
      <c r="AM48" s="456">
        <f t="shared" si="77"/>
        <v>613584</v>
      </c>
      <c r="AN48" s="456">
        <f t="shared" si="77"/>
        <v>615483</v>
      </c>
    </row>
    <row r="49" spans="1:40">
      <c r="A49" s="232">
        <v>382</v>
      </c>
      <c r="B49" s="241" t="s">
        <v>197</v>
      </c>
      <c r="C49" s="242">
        <f>C104</f>
        <v>1007779</v>
      </c>
      <c r="D49" s="242">
        <f t="shared" ref="D49:P49" si="88">D104</f>
        <v>1294133</v>
      </c>
      <c r="E49" s="242">
        <f t="shared" si="88"/>
        <v>1366741</v>
      </c>
      <c r="F49" s="242">
        <f t="shared" si="88"/>
        <v>1252344</v>
      </c>
      <c r="G49" s="242">
        <f t="shared" si="88"/>
        <v>941445</v>
      </c>
      <c r="H49" s="242">
        <f t="shared" si="88"/>
        <v>1152862</v>
      </c>
      <c r="I49" s="242">
        <f t="shared" si="88"/>
        <v>988510</v>
      </c>
      <c r="J49" s="242">
        <f t="shared" si="88"/>
        <v>1023184</v>
      </c>
      <c r="K49" s="242">
        <f t="shared" si="88"/>
        <v>1281893</v>
      </c>
      <c r="L49" s="242">
        <f t="shared" si="88"/>
        <v>1346444</v>
      </c>
      <c r="M49" s="242">
        <f t="shared" si="88"/>
        <v>725590</v>
      </c>
      <c r="N49" s="242">
        <f t="shared" si="88"/>
        <v>563000</v>
      </c>
      <c r="O49" s="242">
        <f t="shared" si="88"/>
        <v>492802</v>
      </c>
      <c r="P49" s="242">
        <f t="shared" si="88"/>
        <v>600660</v>
      </c>
      <c r="Q49" s="333">
        <v>1023403</v>
      </c>
      <c r="R49" s="333">
        <v>697523</v>
      </c>
      <c r="S49" s="333">
        <v>838585</v>
      </c>
      <c r="T49" s="221">
        <v>1098740</v>
      </c>
      <c r="U49" s="75">
        <v>1358597</v>
      </c>
      <c r="V49" s="334">
        <v>1225282</v>
      </c>
      <c r="W49" s="316">
        <v>674536</v>
      </c>
      <c r="X49" s="316">
        <v>592371</v>
      </c>
      <c r="Y49" s="316">
        <v>670265</v>
      </c>
      <c r="Z49" s="453">
        <v>1125446</v>
      </c>
      <c r="AA49" s="491">
        <v>826690</v>
      </c>
      <c r="AB49" s="491">
        <v>625294</v>
      </c>
      <c r="AC49" s="491">
        <v>1015169</v>
      </c>
      <c r="AD49" s="491">
        <v>1848532</v>
      </c>
      <c r="AE49" s="1372">
        <v>1427676</v>
      </c>
      <c r="AF49" s="1372">
        <v>1053721</v>
      </c>
      <c r="AG49" s="456">
        <f t="shared" si="59"/>
        <v>1443310</v>
      </c>
      <c r="AH49" s="456">
        <f t="shared" si="59"/>
        <v>1308236</v>
      </c>
      <c r="AI49" s="456">
        <f t="shared" si="59"/>
        <v>1268422</v>
      </c>
      <c r="AJ49" s="456">
        <f t="shared" si="59"/>
        <v>1339989</v>
      </c>
      <c r="AK49" s="456">
        <f t="shared" si="59"/>
        <v>1305549</v>
      </c>
      <c r="AL49" s="456">
        <f t="shared" si="59"/>
        <v>1304653</v>
      </c>
      <c r="AM49" s="456">
        <f t="shared" si="77"/>
        <v>1316730</v>
      </c>
      <c r="AN49" s="456">
        <f t="shared" si="77"/>
        <v>1308977</v>
      </c>
    </row>
    <row r="50" spans="1:40">
      <c r="A50" s="232">
        <v>442</v>
      </c>
      <c r="B50" s="241" t="s">
        <v>203</v>
      </c>
      <c r="C50" s="242">
        <f>C108</f>
        <v>69244</v>
      </c>
      <c r="D50" s="242">
        <f t="shared" ref="D50:P50" si="89">D108</f>
        <v>43575</v>
      </c>
      <c r="E50" s="242">
        <f t="shared" si="89"/>
        <v>49977</v>
      </c>
      <c r="F50" s="242">
        <f t="shared" si="89"/>
        <v>73664</v>
      </c>
      <c r="G50" s="242">
        <f t="shared" si="89"/>
        <v>43746</v>
      </c>
      <c r="H50" s="242">
        <f t="shared" si="89"/>
        <v>36299</v>
      </c>
      <c r="I50" s="242">
        <f t="shared" si="89"/>
        <v>28459</v>
      </c>
      <c r="J50" s="242">
        <f t="shared" si="89"/>
        <v>36821</v>
      </c>
      <c r="K50" s="242">
        <f t="shared" si="89"/>
        <v>73170</v>
      </c>
      <c r="L50" s="242">
        <f t="shared" si="89"/>
        <v>36147</v>
      </c>
      <c r="M50" s="242">
        <f t="shared" si="89"/>
        <v>46190</v>
      </c>
      <c r="N50" s="242">
        <f t="shared" si="89"/>
        <v>41228</v>
      </c>
      <c r="O50" s="242">
        <f t="shared" si="89"/>
        <v>81833</v>
      </c>
      <c r="P50" s="242">
        <f t="shared" si="89"/>
        <v>14430</v>
      </c>
      <c r="Q50" s="333">
        <v>344055</v>
      </c>
      <c r="R50" s="333">
        <v>266860</v>
      </c>
      <c r="S50" s="333">
        <v>73463</v>
      </c>
      <c r="T50" s="221">
        <v>88148</v>
      </c>
      <c r="U50" s="75">
        <v>220564</v>
      </c>
      <c r="V50" s="334">
        <v>68824</v>
      </c>
      <c r="W50" s="316">
        <v>49909</v>
      </c>
      <c r="X50" s="316">
        <v>69376</v>
      </c>
      <c r="Y50" s="316">
        <v>24750</v>
      </c>
      <c r="Z50" s="453">
        <v>44631</v>
      </c>
      <c r="AA50" s="491">
        <v>67211</v>
      </c>
      <c r="AB50" s="491">
        <v>38672</v>
      </c>
      <c r="AC50" s="491">
        <v>55896</v>
      </c>
      <c r="AD50" s="491">
        <v>104159</v>
      </c>
      <c r="AE50" s="1372">
        <v>164516</v>
      </c>
      <c r="AF50" s="1372">
        <v>216925</v>
      </c>
      <c r="AG50" s="456">
        <f t="shared" si="59"/>
        <v>161867</v>
      </c>
      <c r="AH50" s="456">
        <f t="shared" si="59"/>
        <v>181103</v>
      </c>
      <c r="AI50" s="456">
        <f t="shared" si="59"/>
        <v>186632</v>
      </c>
      <c r="AJ50" s="456">
        <f t="shared" si="59"/>
        <v>176534</v>
      </c>
      <c r="AK50" s="456">
        <f t="shared" si="59"/>
        <v>181423</v>
      </c>
      <c r="AL50" s="456">
        <f t="shared" si="59"/>
        <v>181530</v>
      </c>
      <c r="AM50" s="456">
        <f t="shared" si="77"/>
        <v>179829</v>
      </c>
      <c r="AN50" s="456">
        <f t="shared" si="77"/>
        <v>180927</v>
      </c>
    </row>
    <row r="51" spans="1:40">
      <c r="A51" s="232">
        <v>443</v>
      </c>
      <c r="B51" s="241" t="s">
        <v>204</v>
      </c>
      <c r="C51" s="242">
        <f>C109</f>
        <v>740302</v>
      </c>
      <c r="D51" s="242">
        <f t="shared" ref="D51:P51" si="90">D109</f>
        <v>781328</v>
      </c>
      <c r="E51" s="242">
        <f t="shared" si="90"/>
        <v>972948</v>
      </c>
      <c r="F51" s="242">
        <f t="shared" si="90"/>
        <v>344150</v>
      </c>
      <c r="G51" s="242">
        <f t="shared" si="90"/>
        <v>138970</v>
      </c>
      <c r="H51" s="242">
        <f t="shared" si="90"/>
        <v>475885</v>
      </c>
      <c r="I51" s="242">
        <f t="shared" si="90"/>
        <v>369284</v>
      </c>
      <c r="J51" s="242">
        <f t="shared" si="90"/>
        <v>908972</v>
      </c>
      <c r="K51" s="242">
        <f t="shared" si="90"/>
        <v>446585</v>
      </c>
      <c r="L51" s="242">
        <f t="shared" si="90"/>
        <v>546083</v>
      </c>
      <c r="M51" s="242">
        <f t="shared" si="90"/>
        <v>265632</v>
      </c>
      <c r="N51" s="242">
        <f t="shared" si="90"/>
        <v>452021</v>
      </c>
      <c r="O51" s="242">
        <f t="shared" si="90"/>
        <v>179185</v>
      </c>
      <c r="P51" s="242">
        <f t="shared" si="90"/>
        <v>537127</v>
      </c>
      <c r="Q51" s="333">
        <v>382202</v>
      </c>
      <c r="R51" s="333">
        <v>444528</v>
      </c>
      <c r="S51" s="333">
        <v>424438</v>
      </c>
      <c r="T51" s="221">
        <v>434056</v>
      </c>
      <c r="U51" s="75">
        <v>460859</v>
      </c>
      <c r="V51" s="334">
        <v>208260</v>
      </c>
      <c r="W51" s="316">
        <v>293986</v>
      </c>
      <c r="X51" s="316">
        <v>498869</v>
      </c>
      <c r="Y51" s="316">
        <v>259642</v>
      </c>
      <c r="Z51" s="453">
        <v>452752</v>
      </c>
      <c r="AA51" s="491">
        <v>588018</v>
      </c>
      <c r="AB51" s="491">
        <v>325857</v>
      </c>
      <c r="AC51" s="491">
        <v>554455</v>
      </c>
      <c r="AD51" s="491">
        <v>588399</v>
      </c>
      <c r="AE51" s="1372">
        <v>750808</v>
      </c>
      <c r="AF51" s="1372">
        <v>862296</v>
      </c>
      <c r="AG51" s="456">
        <f t="shared" si="59"/>
        <v>733834</v>
      </c>
      <c r="AH51" s="456">
        <f t="shared" si="59"/>
        <v>782313</v>
      </c>
      <c r="AI51" s="456">
        <f t="shared" si="59"/>
        <v>792814</v>
      </c>
      <c r="AJ51" s="456">
        <f t="shared" si="59"/>
        <v>769654</v>
      </c>
      <c r="AK51" s="456">
        <f t="shared" si="59"/>
        <v>781594</v>
      </c>
      <c r="AL51" s="456">
        <f t="shared" si="59"/>
        <v>781354</v>
      </c>
      <c r="AM51" s="456">
        <f t="shared" si="77"/>
        <v>777534</v>
      </c>
      <c r="AN51" s="456">
        <f t="shared" si="77"/>
        <v>780161</v>
      </c>
    </row>
    <row r="52" spans="1:40">
      <c r="A52" s="243">
        <v>446</v>
      </c>
      <c r="B52" s="244" t="s">
        <v>333</v>
      </c>
      <c r="C52" s="245">
        <f>C107+C111</f>
        <v>5400</v>
      </c>
      <c r="D52" s="245">
        <f t="shared" ref="D52:P52" si="91">D107+D111</f>
        <v>10959</v>
      </c>
      <c r="E52" s="245">
        <f t="shared" si="91"/>
        <v>6663</v>
      </c>
      <c r="F52" s="245">
        <f t="shared" si="91"/>
        <v>4113</v>
      </c>
      <c r="G52" s="245">
        <f t="shared" si="91"/>
        <v>20487</v>
      </c>
      <c r="H52" s="245">
        <f t="shared" si="91"/>
        <v>13265</v>
      </c>
      <c r="I52" s="245">
        <f t="shared" si="91"/>
        <v>25672</v>
      </c>
      <c r="J52" s="245">
        <f t="shared" si="91"/>
        <v>3662</v>
      </c>
      <c r="K52" s="245">
        <f t="shared" si="91"/>
        <v>218050</v>
      </c>
      <c r="L52" s="245">
        <f t="shared" si="91"/>
        <v>61000</v>
      </c>
      <c r="M52" s="245">
        <f t="shared" si="91"/>
        <v>45940</v>
      </c>
      <c r="N52" s="245">
        <f t="shared" si="91"/>
        <v>22191</v>
      </c>
      <c r="O52" s="245">
        <f t="shared" si="91"/>
        <v>4596</v>
      </c>
      <c r="P52" s="245">
        <f t="shared" si="91"/>
        <v>281536</v>
      </c>
      <c r="Q52" s="333">
        <v>40438</v>
      </c>
      <c r="R52" s="333">
        <v>19097</v>
      </c>
      <c r="S52" s="333">
        <v>13310</v>
      </c>
      <c r="T52" s="221">
        <v>405493</v>
      </c>
      <c r="U52" s="75">
        <v>45953</v>
      </c>
      <c r="V52" s="334">
        <v>22621</v>
      </c>
      <c r="W52" s="316">
        <v>39053</v>
      </c>
      <c r="X52" s="316">
        <v>25553</v>
      </c>
      <c r="Y52" s="316">
        <v>31352</v>
      </c>
      <c r="Z52" s="453">
        <v>19175</v>
      </c>
      <c r="AA52" s="491">
        <v>14021</v>
      </c>
      <c r="AB52" s="491">
        <v>20621</v>
      </c>
      <c r="AC52" s="491">
        <v>26081</v>
      </c>
      <c r="AD52" s="491">
        <v>53889</v>
      </c>
      <c r="AE52" s="1372">
        <v>332191</v>
      </c>
      <c r="AF52" s="1372">
        <v>461756</v>
      </c>
      <c r="AG52" s="456">
        <f t="shared" si="59"/>
        <v>282612</v>
      </c>
      <c r="AH52" s="456">
        <f t="shared" si="59"/>
        <v>358853</v>
      </c>
      <c r="AI52" s="456">
        <f t="shared" si="59"/>
        <v>367740</v>
      </c>
      <c r="AJ52" s="456">
        <f t="shared" si="59"/>
        <v>336402</v>
      </c>
      <c r="AK52" s="456">
        <f t="shared" si="59"/>
        <v>354332</v>
      </c>
      <c r="AL52" s="456">
        <f t="shared" si="59"/>
        <v>352825</v>
      </c>
      <c r="AM52" s="456">
        <f t="shared" si="77"/>
        <v>347853</v>
      </c>
      <c r="AN52" s="456">
        <f t="shared" si="77"/>
        <v>351670</v>
      </c>
    </row>
    <row r="53" spans="1:40">
      <c r="A53" s="232">
        <v>464</v>
      </c>
      <c r="B53" s="241" t="s">
        <v>208</v>
      </c>
      <c r="C53" s="242">
        <f>C115</f>
        <v>1195940</v>
      </c>
      <c r="D53" s="242">
        <f t="shared" ref="D53:P53" si="92">D115</f>
        <v>1459110</v>
      </c>
      <c r="E53" s="242">
        <f t="shared" si="92"/>
        <v>1277570</v>
      </c>
      <c r="F53" s="242">
        <f t="shared" si="92"/>
        <v>723354</v>
      </c>
      <c r="G53" s="242">
        <f t="shared" si="92"/>
        <v>899235</v>
      </c>
      <c r="H53" s="242">
        <f t="shared" si="92"/>
        <v>1193516</v>
      </c>
      <c r="I53" s="242">
        <f t="shared" si="92"/>
        <v>688554</v>
      </c>
      <c r="J53" s="242">
        <f t="shared" si="92"/>
        <v>1019936</v>
      </c>
      <c r="K53" s="242">
        <f t="shared" si="92"/>
        <v>1143429</v>
      </c>
      <c r="L53" s="242">
        <f t="shared" si="92"/>
        <v>1420073</v>
      </c>
      <c r="M53" s="242">
        <f t="shared" si="92"/>
        <v>859486</v>
      </c>
      <c r="N53" s="242">
        <f t="shared" si="92"/>
        <v>917143</v>
      </c>
      <c r="O53" s="242">
        <f t="shared" si="92"/>
        <v>410405</v>
      </c>
      <c r="P53" s="242">
        <f t="shared" si="92"/>
        <v>307561</v>
      </c>
      <c r="Q53" s="333">
        <v>377070</v>
      </c>
      <c r="R53" s="333">
        <v>1147383</v>
      </c>
      <c r="S53" s="333">
        <v>2665781</v>
      </c>
      <c r="T53" s="221">
        <v>772126</v>
      </c>
      <c r="U53" s="75">
        <v>726594</v>
      </c>
      <c r="V53" s="334">
        <v>232314</v>
      </c>
      <c r="W53" s="316">
        <v>298849</v>
      </c>
      <c r="X53" s="316">
        <v>310481</v>
      </c>
      <c r="Y53" s="316">
        <v>506764</v>
      </c>
      <c r="Z53" s="453">
        <v>287587</v>
      </c>
      <c r="AA53" s="491">
        <v>176627</v>
      </c>
      <c r="AB53" s="491">
        <v>241491</v>
      </c>
      <c r="AC53" s="491">
        <v>208712</v>
      </c>
      <c r="AD53" s="491">
        <v>436614</v>
      </c>
      <c r="AE53" s="1372">
        <v>521907</v>
      </c>
      <c r="AF53" s="1372">
        <v>567207</v>
      </c>
      <c r="AG53" s="456">
        <f t="shared" si="59"/>
        <v>508576</v>
      </c>
      <c r="AH53" s="456">
        <f t="shared" si="59"/>
        <v>532563</v>
      </c>
      <c r="AI53" s="456">
        <f t="shared" si="59"/>
        <v>536115</v>
      </c>
      <c r="AJ53" s="456">
        <f t="shared" si="59"/>
        <v>525751</v>
      </c>
      <c r="AK53" s="456">
        <f t="shared" si="59"/>
        <v>531476</v>
      </c>
      <c r="AL53" s="456">
        <f t="shared" si="59"/>
        <v>531114</v>
      </c>
      <c r="AM53" s="456">
        <f t="shared" si="77"/>
        <v>529447</v>
      </c>
      <c r="AN53" s="456">
        <f t="shared" si="77"/>
        <v>530679</v>
      </c>
    </row>
    <row r="54" spans="1:40">
      <c r="A54" s="250">
        <v>481</v>
      </c>
      <c r="B54" s="251" t="s">
        <v>209</v>
      </c>
      <c r="C54" s="242">
        <f>C116</f>
        <v>76000</v>
      </c>
      <c r="D54" s="242">
        <f t="shared" ref="D54:P54" si="93">D116</f>
        <v>105875</v>
      </c>
      <c r="E54" s="242">
        <f t="shared" si="93"/>
        <v>56098</v>
      </c>
      <c r="F54" s="242">
        <f t="shared" si="93"/>
        <v>59101</v>
      </c>
      <c r="G54" s="242">
        <f t="shared" si="93"/>
        <v>48317</v>
      </c>
      <c r="H54" s="242">
        <f t="shared" si="93"/>
        <v>39148</v>
      </c>
      <c r="I54" s="242">
        <f t="shared" si="93"/>
        <v>88958</v>
      </c>
      <c r="J54" s="242">
        <f t="shared" si="93"/>
        <v>150772</v>
      </c>
      <c r="K54" s="242">
        <f t="shared" si="93"/>
        <v>38260</v>
      </c>
      <c r="L54" s="242">
        <f t="shared" si="93"/>
        <v>58784</v>
      </c>
      <c r="M54" s="242">
        <f t="shared" si="93"/>
        <v>46375</v>
      </c>
      <c r="N54" s="242">
        <f t="shared" si="93"/>
        <v>93351</v>
      </c>
      <c r="O54" s="242">
        <f t="shared" si="93"/>
        <v>38356</v>
      </c>
      <c r="P54" s="242">
        <f t="shared" si="93"/>
        <v>97521</v>
      </c>
      <c r="Q54" s="333">
        <v>111047</v>
      </c>
      <c r="R54" s="333">
        <v>90500</v>
      </c>
      <c r="S54" s="333">
        <v>44000</v>
      </c>
      <c r="T54" s="221">
        <v>69161</v>
      </c>
      <c r="U54" s="75">
        <v>139529</v>
      </c>
      <c r="V54" s="334">
        <v>82203</v>
      </c>
      <c r="W54" s="316">
        <v>54091</v>
      </c>
      <c r="X54" s="316">
        <v>49442</v>
      </c>
      <c r="Y54" s="316">
        <v>169687</v>
      </c>
      <c r="Z54" s="453">
        <v>88339</v>
      </c>
      <c r="AA54" s="491">
        <v>117719</v>
      </c>
      <c r="AB54" s="491">
        <v>108260</v>
      </c>
      <c r="AC54" s="491">
        <v>98461</v>
      </c>
      <c r="AD54" s="491">
        <v>212981</v>
      </c>
      <c r="AE54" s="1372">
        <v>162632</v>
      </c>
      <c r="AF54" s="1372">
        <v>217215</v>
      </c>
      <c r="AG54" s="456">
        <f t="shared" si="59"/>
        <v>197609</v>
      </c>
      <c r="AH54" s="456">
        <f t="shared" si="59"/>
        <v>192485</v>
      </c>
      <c r="AI54" s="456">
        <f t="shared" si="59"/>
        <v>202436</v>
      </c>
      <c r="AJ54" s="456">
        <f t="shared" si="59"/>
        <v>197510</v>
      </c>
      <c r="AK54" s="456">
        <f t="shared" si="59"/>
        <v>197477</v>
      </c>
      <c r="AL54" s="456">
        <f t="shared" si="59"/>
        <v>199141</v>
      </c>
      <c r="AM54" s="456">
        <f t="shared" si="77"/>
        <v>198043</v>
      </c>
      <c r="AN54" s="456">
        <f t="shared" si="77"/>
        <v>198220</v>
      </c>
    </row>
    <row r="55" spans="1:40">
      <c r="A55" s="252">
        <v>501</v>
      </c>
      <c r="B55" s="253" t="s">
        <v>335</v>
      </c>
      <c r="C55" s="245">
        <f>C117+C118+C119+C120</f>
        <v>55898</v>
      </c>
      <c r="D55" s="245">
        <f t="shared" ref="D55:P55" si="94">D117+D118+D119+D120</f>
        <v>293930</v>
      </c>
      <c r="E55" s="245">
        <f t="shared" si="94"/>
        <v>153212</v>
      </c>
      <c r="F55" s="245">
        <f t="shared" si="94"/>
        <v>52955</v>
      </c>
      <c r="G55" s="245">
        <f t="shared" si="94"/>
        <v>48768</v>
      </c>
      <c r="H55" s="245">
        <f t="shared" si="94"/>
        <v>57344</v>
      </c>
      <c r="I55" s="245">
        <f t="shared" si="94"/>
        <v>38499</v>
      </c>
      <c r="J55" s="245">
        <f t="shared" si="94"/>
        <v>72602</v>
      </c>
      <c r="K55" s="245">
        <f t="shared" si="94"/>
        <v>85591</v>
      </c>
      <c r="L55" s="245">
        <f t="shared" si="94"/>
        <v>56392</v>
      </c>
      <c r="M55" s="245">
        <f t="shared" si="94"/>
        <v>51664</v>
      </c>
      <c r="N55" s="245">
        <f t="shared" si="94"/>
        <v>76367</v>
      </c>
      <c r="O55" s="245">
        <f t="shared" si="94"/>
        <v>34021</v>
      </c>
      <c r="P55" s="245">
        <f t="shared" si="94"/>
        <v>26905</v>
      </c>
      <c r="Q55" s="333">
        <v>39293</v>
      </c>
      <c r="R55" s="333">
        <v>48188</v>
      </c>
      <c r="S55" s="333">
        <v>103588</v>
      </c>
      <c r="T55" s="221">
        <v>40049</v>
      </c>
      <c r="U55" s="75">
        <v>44024</v>
      </c>
      <c r="V55" s="334">
        <v>21037</v>
      </c>
      <c r="W55" s="316">
        <v>20272</v>
      </c>
      <c r="X55" s="316">
        <v>27950</v>
      </c>
      <c r="Y55" s="316">
        <v>45057</v>
      </c>
      <c r="Z55" s="453">
        <v>34451</v>
      </c>
      <c r="AA55" s="491">
        <v>48677</v>
      </c>
      <c r="AB55" s="491">
        <v>71389</v>
      </c>
      <c r="AC55" s="491">
        <v>75186</v>
      </c>
      <c r="AD55" s="491">
        <v>62304</v>
      </c>
      <c r="AE55" s="1372">
        <v>66076</v>
      </c>
      <c r="AF55" s="1372">
        <v>61401</v>
      </c>
      <c r="AG55" s="456">
        <f t="shared" si="59"/>
        <v>63260</v>
      </c>
      <c r="AH55" s="456">
        <f t="shared" si="59"/>
        <v>63579</v>
      </c>
      <c r="AI55" s="456">
        <f t="shared" si="59"/>
        <v>62747</v>
      </c>
      <c r="AJ55" s="456">
        <f t="shared" si="59"/>
        <v>63195</v>
      </c>
      <c r="AK55" s="456">
        <f t="shared" si="59"/>
        <v>63174</v>
      </c>
      <c r="AL55" s="456">
        <f t="shared" si="59"/>
        <v>63039</v>
      </c>
      <c r="AM55" s="456">
        <f t="shared" si="77"/>
        <v>63136</v>
      </c>
      <c r="AN55" s="456">
        <f t="shared" si="77"/>
        <v>63116</v>
      </c>
    </row>
    <row r="56" spans="1:40">
      <c r="A56" s="252">
        <v>585</v>
      </c>
      <c r="B56" s="253" t="s">
        <v>220</v>
      </c>
      <c r="C56" s="245">
        <f>C128+C132+C134</f>
        <v>53248</v>
      </c>
      <c r="D56" s="245">
        <f t="shared" ref="D56:P56" si="95">D128+D132+D134</f>
        <v>76737</v>
      </c>
      <c r="E56" s="245">
        <f t="shared" si="95"/>
        <v>73030</v>
      </c>
      <c r="F56" s="245">
        <f t="shared" si="95"/>
        <v>77551</v>
      </c>
      <c r="G56" s="245">
        <f t="shared" si="95"/>
        <v>70699</v>
      </c>
      <c r="H56" s="245">
        <f t="shared" si="95"/>
        <v>73151</v>
      </c>
      <c r="I56" s="245">
        <f t="shared" si="95"/>
        <v>83894</v>
      </c>
      <c r="J56" s="245">
        <f t="shared" si="95"/>
        <v>76272</v>
      </c>
      <c r="K56" s="245">
        <f t="shared" si="95"/>
        <v>42061</v>
      </c>
      <c r="L56" s="245">
        <f t="shared" si="95"/>
        <v>45443</v>
      </c>
      <c r="M56" s="245">
        <f t="shared" si="95"/>
        <v>49724</v>
      </c>
      <c r="N56" s="245">
        <f t="shared" si="95"/>
        <v>31924</v>
      </c>
      <c r="O56" s="245">
        <f t="shared" si="95"/>
        <v>35104</v>
      </c>
      <c r="P56" s="245">
        <f t="shared" si="95"/>
        <v>28276</v>
      </c>
      <c r="Q56" s="255">
        <f>Q128+Q132+Q134</f>
        <v>28675</v>
      </c>
      <c r="R56" s="333">
        <v>46536</v>
      </c>
      <c r="S56" s="333">
        <v>15043</v>
      </c>
      <c r="T56" s="221">
        <v>26113</v>
      </c>
      <c r="U56" s="75">
        <v>43883</v>
      </c>
      <c r="V56" s="334">
        <v>13235</v>
      </c>
      <c r="W56" s="316">
        <v>17333</v>
      </c>
      <c r="X56" s="316">
        <v>7796</v>
      </c>
      <c r="Y56" s="316">
        <v>21473</v>
      </c>
      <c r="Z56" s="453">
        <v>19430</v>
      </c>
      <c r="AA56" s="491">
        <v>21393</v>
      </c>
      <c r="AB56" s="491">
        <v>21280</v>
      </c>
      <c r="AC56" s="491">
        <v>17360</v>
      </c>
      <c r="AD56" s="491">
        <v>25233</v>
      </c>
      <c r="AE56" s="1372">
        <v>102798</v>
      </c>
      <c r="AF56" s="1372">
        <v>38429</v>
      </c>
      <c r="AG56" s="456">
        <f t="shared" si="59"/>
        <v>55487</v>
      </c>
      <c r="AH56" s="456">
        <f t="shared" si="59"/>
        <v>65571</v>
      </c>
      <c r="AI56" s="456">
        <f t="shared" si="59"/>
        <v>53162</v>
      </c>
      <c r="AJ56" s="456">
        <f t="shared" si="59"/>
        <v>58073</v>
      </c>
      <c r="AK56" s="456">
        <f t="shared" si="59"/>
        <v>58935</v>
      </c>
      <c r="AL56" s="456">
        <f t="shared" si="59"/>
        <v>56723</v>
      </c>
      <c r="AM56" s="456">
        <f t="shared" si="77"/>
        <v>57910</v>
      </c>
      <c r="AN56" s="456">
        <f t="shared" si="77"/>
        <v>57856</v>
      </c>
    </row>
    <row r="57" spans="1:40">
      <c r="A57" s="337">
        <v>586</v>
      </c>
      <c r="B57" s="338" t="s">
        <v>764</v>
      </c>
      <c r="C57" s="339">
        <f>C133+C135</f>
        <v>17900</v>
      </c>
      <c r="D57" s="339">
        <f t="shared" ref="D57:P57" si="96">D133+D135</f>
        <v>21609</v>
      </c>
      <c r="E57" s="339">
        <f t="shared" si="96"/>
        <v>32275</v>
      </c>
      <c r="F57" s="339">
        <f t="shared" si="96"/>
        <v>58918</v>
      </c>
      <c r="G57" s="339">
        <f t="shared" si="96"/>
        <v>26099</v>
      </c>
      <c r="H57" s="339">
        <f t="shared" si="96"/>
        <v>39518</v>
      </c>
      <c r="I57" s="339">
        <f t="shared" si="96"/>
        <v>53594</v>
      </c>
      <c r="J57" s="339">
        <f t="shared" si="96"/>
        <v>41677</v>
      </c>
      <c r="K57" s="339">
        <f t="shared" si="96"/>
        <v>32770</v>
      </c>
      <c r="L57" s="339">
        <f t="shared" si="96"/>
        <v>19227</v>
      </c>
      <c r="M57" s="339">
        <f t="shared" si="96"/>
        <v>17446</v>
      </c>
      <c r="N57" s="339">
        <f t="shared" si="96"/>
        <v>20268</v>
      </c>
      <c r="O57" s="339">
        <f t="shared" si="96"/>
        <v>15130</v>
      </c>
      <c r="P57" s="339">
        <f t="shared" si="96"/>
        <v>44345</v>
      </c>
      <c r="Q57" s="340">
        <f>Q133+Q135</f>
        <v>30904</v>
      </c>
      <c r="R57" s="341">
        <v>47765</v>
      </c>
      <c r="S57" s="341">
        <v>21307</v>
      </c>
      <c r="T57" s="342">
        <v>38389</v>
      </c>
      <c r="U57" s="132">
        <v>31383</v>
      </c>
      <c r="V57" s="343">
        <v>29485</v>
      </c>
      <c r="W57" s="380">
        <v>14389</v>
      </c>
      <c r="X57" s="380">
        <v>24995</v>
      </c>
      <c r="Y57" s="380">
        <v>16537</v>
      </c>
      <c r="Z57" s="450">
        <v>20341</v>
      </c>
      <c r="AA57" s="477">
        <v>14691</v>
      </c>
      <c r="AB57" s="477">
        <v>21455</v>
      </c>
      <c r="AC57" s="477">
        <v>15373</v>
      </c>
      <c r="AD57" s="477">
        <v>33004</v>
      </c>
      <c r="AE57" s="1369">
        <v>34528</v>
      </c>
      <c r="AF57" s="1369">
        <v>23364</v>
      </c>
      <c r="AG57" s="461">
        <f t="shared" si="59"/>
        <v>30299</v>
      </c>
      <c r="AH57" s="461">
        <f t="shared" si="59"/>
        <v>29397</v>
      </c>
      <c r="AI57" s="461">
        <f t="shared" si="59"/>
        <v>27687</v>
      </c>
      <c r="AJ57" s="461">
        <f t="shared" si="59"/>
        <v>29128</v>
      </c>
      <c r="AK57" s="461">
        <f t="shared" si="59"/>
        <v>28737</v>
      </c>
      <c r="AL57" s="461">
        <f t="shared" si="59"/>
        <v>28517</v>
      </c>
      <c r="AM57" s="461">
        <f t="shared" si="77"/>
        <v>28794</v>
      </c>
      <c r="AN57" s="461">
        <f t="shared" si="77"/>
        <v>28683</v>
      </c>
    </row>
    <row r="58" spans="1:40">
      <c r="C58" s="231" t="s">
        <v>347</v>
      </c>
      <c r="D58" s="231"/>
      <c r="E58" s="231"/>
      <c r="F58" s="231"/>
      <c r="G58" s="231"/>
      <c r="H58" s="231"/>
      <c r="I58" s="231"/>
      <c r="J58" s="231"/>
      <c r="K58" s="231"/>
      <c r="L58" s="231"/>
      <c r="M58" s="231"/>
      <c r="N58" s="231"/>
      <c r="O58" s="231"/>
      <c r="P58" s="231"/>
      <c r="Q58" s="75" t="s">
        <v>811</v>
      </c>
      <c r="R58" s="75" t="s">
        <v>347</v>
      </c>
      <c r="S58" s="75" t="s">
        <v>347</v>
      </c>
      <c r="T58" s="75" t="s">
        <v>347</v>
      </c>
      <c r="AC58" s="316"/>
    </row>
    <row r="59" spans="1:40">
      <c r="A59" s="223"/>
      <c r="B59" s="224"/>
      <c r="C59" s="223" t="s">
        <v>784</v>
      </c>
      <c r="D59" s="223" t="s">
        <v>785</v>
      </c>
      <c r="E59" s="223" t="s">
        <v>786</v>
      </c>
      <c r="F59" s="223" t="s">
        <v>787</v>
      </c>
      <c r="G59" s="223" t="s">
        <v>372</v>
      </c>
      <c r="H59" s="223" t="s">
        <v>788</v>
      </c>
      <c r="I59" s="223" t="s">
        <v>789</v>
      </c>
      <c r="J59" s="223" t="s">
        <v>790</v>
      </c>
      <c r="K59" s="223" t="s">
        <v>791</v>
      </c>
      <c r="L59" s="223" t="s">
        <v>269</v>
      </c>
      <c r="M59" s="223" t="s">
        <v>792</v>
      </c>
      <c r="N59" s="223" t="s">
        <v>793</v>
      </c>
      <c r="O59" s="223" t="s">
        <v>794</v>
      </c>
      <c r="P59" s="223" t="s">
        <v>779</v>
      </c>
      <c r="Q59" s="225" t="s">
        <v>270</v>
      </c>
      <c r="R59" s="225" t="s">
        <v>767</v>
      </c>
      <c r="S59" s="225" t="s">
        <v>766</v>
      </c>
      <c r="T59" s="223" t="s">
        <v>765</v>
      </c>
      <c r="AC59" s="316"/>
    </row>
    <row r="60" spans="1:40">
      <c r="A60" s="226"/>
      <c r="B60" s="227" t="s">
        <v>807</v>
      </c>
      <c r="C60" s="229">
        <f t="shared" ref="C60:Q60" si="97">C61-C69</f>
        <v>0</v>
      </c>
      <c r="D60" s="229">
        <f t="shared" si="97"/>
        <v>0</v>
      </c>
      <c r="E60" s="229">
        <f t="shared" si="97"/>
        <v>0</v>
      </c>
      <c r="F60" s="229">
        <f t="shared" si="97"/>
        <v>0</v>
      </c>
      <c r="G60" s="229">
        <f t="shared" si="97"/>
        <v>0</v>
      </c>
      <c r="H60" s="229">
        <f t="shared" si="97"/>
        <v>0</v>
      </c>
      <c r="I60" s="229">
        <f t="shared" si="97"/>
        <v>0</v>
      </c>
      <c r="J60" s="229">
        <f t="shared" si="97"/>
        <v>0</v>
      </c>
      <c r="K60" s="229">
        <f t="shared" si="97"/>
        <v>0</v>
      </c>
      <c r="L60" s="229">
        <f t="shared" si="97"/>
        <v>0</v>
      </c>
      <c r="M60" s="229">
        <f t="shared" si="97"/>
        <v>0</v>
      </c>
      <c r="N60" s="229">
        <f t="shared" si="97"/>
        <v>0</v>
      </c>
      <c r="O60" s="229">
        <f t="shared" si="97"/>
        <v>0</v>
      </c>
      <c r="P60" s="229">
        <f t="shared" si="97"/>
        <v>0</v>
      </c>
      <c r="Q60" s="229">
        <f t="shared" si="97"/>
        <v>0</v>
      </c>
      <c r="R60" s="228" t="s">
        <v>780</v>
      </c>
      <c r="S60" s="228" t="s">
        <v>781</v>
      </c>
      <c r="T60" s="226" t="s">
        <v>782</v>
      </c>
    </row>
    <row r="61" spans="1:40">
      <c r="C61" s="76">
        <f>SUM(C62:C68)</f>
        <v>77588121</v>
      </c>
      <c r="D61" s="76">
        <f t="shared" ref="D61:N61" si="98">SUM(D62:D68)</f>
        <v>89209659</v>
      </c>
      <c r="E61" s="76">
        <f t="shared" si="98"/>
        <v>90445563</v>
      </c>
      <c r="F61" s="76">
        <f t="shared" si="98"/>
        <v>76357551</v>
      </c>
      <c r="G61" s="76">
        <f t="shared" si="98"/>
        <v>58921056</v>
      </c>
      <c r="H61" s="76">
        <f t="shared" si="98"/>
        <v>58946128</v>
      </c>
      <c r="I61" s="76">
        <f t="shared" si="98"/>
        <v>76229935</v>
      </c>
      <c r="J61" s="76">
        <f t="shared" si="98"/>
        <v>78438997</v>
      </c>
      <c r="K61" s="76">
        <f t="shared" si="98"/>
        <v>64727285</v>
      </c>
      <c r="L61" s="76">
        <f t="shared" si="98"/>
        <v>61064883</v>
      </c>
      <c r="M61" s="76">
        <f>SUM(M62:M68)</f>
        <v>48713518</v>
      </c>
      <c r="N61" s="76">
        <f t="shared" si="98"/>
        <v>55967302</v>
      </c>
      <c r="O61" s="76">
        <f>SUM(O62:O68)</f>
        <v>38044490</v>
      </c>
      <c r="P61" s="76">
        <f>SUM(P62:P68)</f>
        <v>39671293</v>
      </c>
      <c r="Q61" s="76">
        <f>SUM(Q62:Q68)</f>
        <v>43146663</v>
      </c>
    </row>
    <row r="62" spans="1:40">
      <c r="B62" s="75" t="s">
        <v>748</v>
      </c>
      <c r="C62" s="76">
        <f>C70</f>
        <v>12823071</v>
      </c>
      <c r="D62" s="76">
        <f t="shared" ref="D62:N62" si="99">D70</f>
        <v>15596314</v>
      </c>
      <c r="E62" s="76">
        <f t="shared" si="99"/>
        <v>14861928</v>
      </c>
      <c r="F62" s="76">
        <f t="shared" si="99"/>
        <v>12860232</v>
      </c>
      <c r="G62" s="76">
        <f t="shared" si="99"/>
        <v>11142205</v>
      </c>
      <c r="H62" s="76">
        <f t="shared" si="99"/>
        <v>8957066</v>
      </c>
      <c r="I62" s="76">
        <f t="shared" si="99"/>
        <v>13394998</v>
      </c>
      <c r="J62" s="76">
        <f t="shared" si="99"/>
        <v>13692726</v>
      </c>
      <c r="K62" s="76">
        <f t="shared" si="99"/>
        <v>11845913</v>
      </c>
      <c r="L62" s="76">
        <f t="shared" si="99"/>
        <v>9670434</v>
      </c>
      <c r="M62" s="76">
        <f>M70</f>
        <v>6693014</v>
      </c>
      <c r="N62" s="76">
        <f t="shared" si="99"/>
        <v>10938714</v>
      </c>
      <c r="O62" s="76">
        <f>O70</f>
        <v>6937874</v>
      </c>
      <c r="P62" s="76">
        <f>P70</f>
        <v>5531824</v>
      </c>
      <c r="Q62" s="75">
        <f>Q70</f>
        <v>5846111</v>
      </c>
    </row>
    <row r="63" spans="1:40">
      <c r="B63" s="75" t="s">
        <v>801</v>
      </c>
      <c r="C63" s="76">
        <v>20785989</v>
      </c>
      <c r="D63" s="76">
        <v>19522003</v>
      </c>
      <c r="E63" s="76">
        <v>21374168</v>
      </c>
      <c r="F63" s="76">
        <v>17479813</v>
      </c>
      <c r="G63" s="76">
        <v>13189443</v>
      </c>
      <c r="H63" s="76">
        <v>13368982</v>
      </c>
      <c r="I63" s="76">
        <v>19070217</v>
      </c>
      <c r="J63" s="76">
        <v>17718605</v>
      </c>
      <c r="K63" s="76">
        <v>13608797</v>
      </c>
      <c r="L63" s="76">
        <f>9169056+3709425</f>
        <v>12878481</v>
      </c>
      <c r="M63" s="76">
        <v>13457660</v>
      </c>
      <c r="N63" s="76">
        <v>19133844</v>
      </c>
      <c r="O63" s="76">
        <v>10210128</v>
      </c>
      <c r="P63" s="76">
        <v>10002938</v>
      </c>
      <c r="Q63" s="75">
        <f>6292834+4099050</f>
        <v>10391884</v>
      </c>
    </row>
    <row r="64" spans="1:40">
      <c r="B64" s="75" t="s">
        <v>802</v>
      </c>
      <c r="C64" s="76">
        <v>21810333</v>
      </c>
      <c r="D64" s="76">
        <v>25263432</v>
      </c>
      <c r="E64" s="76">
        <v>29503311</v>
      </c>
      <c r="F64" s="76">
        <v>24984498</v>
      </c>
      <c r="G64" s="76">
        <v>14901480</v>
      </c>
      <c r="H64" s="76">
        <v>16667153</v>
      </c>
      <c r="I64" s="76">
        <v>23077960</v>
      </c>
      <c r="J64" s="76">
        <v>20595068</v>
      </c>
      <c r="K64" s="76">
        <v>18874883</v>
      </c>
      <c r="L64" s="76">
        <f>15718848+3770121</f>
        <v>19488969</v>
      </c>
      <c r="M64" s="76">
        <f>8357469+3102041</f>
        <v>11459510</v>
      </c>
      <c r="N64" s="76">
        <f>7597731+3582852</f>
        <v>11180583</v>
      </c>
      <c r="O64" s="76">
        <f>6648152+4254611</f>
        <v>10902763</v>
      </c>
      <c r="P64" s="76">
        <f>6721533+5097695</f>
        <v>11819228</v>
      </c>
      <c r="Q64" s="75">
        <f>9454402+4458850</f>
        <v>13913252</v>
      </c>
    </row>
    <row r="65" spans="1:17">
      <c r="B65" s="75" t="s">
        <v>803</v>
      </c>
      <c r="C65" s="76">
        <v>17572230</v>
      </c>
      <c r="D65" s="76">
        <v>22898301</v>
      </c>
      <c r="E65" s="76">
        <v>19307847</v>
      </c>
      <c r="F65" s="76">
        <v>16743284</v>
      </c>
      <c r="G65" s="76">
        <v>16237132</v>
      </c>
      <c r="H65" s="76">
        <v>15983526</v>
      </c>
      <c r="I65" s="76">
        <v>14496399</v>
      </c>
      <c r="J65" s="76">
        <v>20435316</v>
      </c>
      <c r="K65" s="76">
        <v>15522284</v>
      </c>
      <c r="L65" s="76">
        <f>11484268+4091884</f>
        <v>15576152</v>
      </c>
      <c r="M65" s="76">
        <f>9312041+4329027</f>
        <v>13641068</v>
      </c>
      <c r="N65" s="76">
        <f>7803130+3937643</f>
        <v>11740773</v>
      </c>
      <c r="O65" s="76">
        <f>5046820+2693184</f>
        <v>7740004</v>
      </c>
      <c r="P65" s="76">
        <f>7197192+2449414</f>
        <v>9646606</v>
      </c>
      <c r="Q65" s="75">
        <f>7628539+2456047</f>
        <v>10084586</v>
      </c>
    </row>
    <row r="66" spans="1:17">
      <c r="B66" s="75" t="s">
        <v>804</v>
      </c>
      <c r="C66" s="76">
        <v>2173426</v>
      </c>
      <c r="D66" s="76">
        <v>2455044</v>
      </c>
      <c r="E66" s="76">
        <v>1757771</v>
      </c>
      <c r="F66" s="76">
        <v>1609952</v>
      </c>
      <c r="G66" s="76">
        <v>1106220</v>
      </c>
      <c r="H66" s="76">
        <v>859040</v>
      </c>
      <c r="I66" s="76">
        <v>1726407</v>
      </c>
      <c r="J66" s="76">
        <v>2908474</v>
      </c>
      <c r="K66" s="76">
        <v>1984971</v>
      </c>
      <c r="L66" s="76">
        <v>1549299</v>
      </c>
      <c r="M66" s="76">
        <v>1445827</v>
      </c>
      <c r="N66" s="76">
        <v>1245362</v>
      </c>
      <c r="O66" s="76">
        <v>778761</v>
      </c>
      <c r="P66" s="76">
        <v>583020</v>
      </c>
      <c r="Q66" s="75">
        <v>777567</v>
      </c>
    </row>
    <row r="67" spans="1:17">
      <c r="B67" s="75" t="s">
        <v>805</v>
      </c>
      <c r="C67" s="76">
        <v>1328212</v>
      </c>
      <c r="D67" s="76">
        <v>1282880</v>
      </c>
      <c r="E67" s="76">
        <v>1322089</v>
      </c>
      <c r="F67" s="76">
        <v>993163</v>
      </c>
      <c r="G67" s="76">
        <v>655036</v>
      </c>
      <c r="H67" s="76">
        <v>808681</v>
      </c>
      <c r="I67" s="76">
        <v>1663298</v>
      </c>
      <c r="J67" s="76">
        <v>1113318</v>
      </c>
      <c r="K67" s="76">
        <v>923995</v>
      </c>
      <c r="L67" s="76">
        <v>694164</v>
      </c>
      <c r="M67" s="76">
        <v>682902</v>
      </c>
      <c r="N67" s="76">
        <v>565260</v>
      </c>
      <c r="O67" s="76">
        <v>680176</v>
      </c>
      <c r="P67" s="76">
        <v>947279</v>
      </c>
      <c r="Q67" s="75">
        <v>1431748</v>
      </c>
    </row>
    <row r="68" spans="1:17">
      <c r="B68" s="75" t="s">
        <v>806</v>
      </c>
      <c r="C68" s="76">
        <v>1094860</v>
      </c>
      <c r="D68" s="76">
        <v>2191685</v>
      </c>
      <c r="E68" s="76">
        <v>2318449</v>
      </c>
      <c r="F68" s="76">
        <v>1686609</v>
      </c>
      <c r="G68" s="76">
        <v>1689540</v>
      </c>
      <c r="H68" s="76">
        <v>2301680</v>
      </c>
      <c r="I68" s="76">
        <v>2800656</v>
      </c>
      <c r="J68" s="76">
        <v>1975490</v>
      </c>
      <c r="K68" s="76">
        <v>1966442</v>
      </c>
      <c r="L68" s="76">
        <v>1207384</v>
      </c>
      <c r="M68" s="76">
        <v>1333537</v>
      </c>
      <c r="N68" s="76">
        <v>1162766</v>
      </c>
      <c r="O68" s="76">
        <v>794784</v>
      </c>
      <c r="P68" s="76">
        <v>1140398</v>
      </c>
      <c r="Q68" s="75">
        <v>701515</v>
      </c>
    </row>
    <row r="69" spans="1:17">
      <c r="B69" s="1188" t="s">
        <v>799</v>
      </c>
      <c r="C69" s="196">
        <f>SUM(C70:C163)</f>
        <v>77588121</v>
      </c>
      <c r="D69" s="196">
        <f t="shared" ref="D69:Q69" si="100">SUM(D70:D163)</f>
        <v>89209659</v>
      </c>
      <c r="E69" s="196">
        <f t="shared" si="100"/>
        <v>90445563</v>
      </c>
      <c r="F69" s="196">
        <f t="shared" si="100"/>
        <v>76357551</v>
      </c>
      <c r="G69" s="196">
        <f t="shared" si="100"/>
        <v>58921056</v>
      </c>
      <c r="H69" s="196">
        <f t="shared" si="100"/>
        <v>58946128</v>
      </c>
      <c r="I69" s="196">
        <f t="shared" si="100"/>
        <v>76229935</v>
      </c>
      <c r="J69" s="196">
        <f t="shared" si="100"/>
        <v>78438997</v>
      </c>
      <c r="K69" s="196">
        <f t="shared" si="100"/>
        <v>64727285</v>
      </c>
      <c r="L69" s="196">
        <f t="shared" si="100"/>
        <v>61064883</v>
      </c>
      <c r="M69" s="196">
        <f t="shared" si="100"/>
        <v>48713518</v>
      </c>
      <c r="N69" s="196">
        <f t="shared" si="100"/>
        <v>55967302</v>
      </c>
      <c r="O69" s="196">
        <f t="shared" si="100"/>
        <v>38044490</v>
      </c>
      <c r="P69" s="196">
        <f t="shared" si="100"/>
        <v>39671293</v>
      </c>
      <c r="Q69" s="196">
        <f t="shared" si="100"/>
        <v>43146663</v>
      </c>
    </row>
    <row r="70" spans="1:17">
      <c r="A70" s="1189">
        <v>100</v>
      </c>
      <c r="B70" s="1190" t="s">
        <v>685</v>
      </c>
      <c r="C70" s="76">
        <v>12823071</v>
      </c>
      <c r="D70" s="76">
        <v>15596314</v>
      </c>
      <c r="E70" s="76">
        <v>14861928</v>
      </c>
      <c r="F70" s="76">
        <v>12860232</v>
      </c>
      <c r="G70" s="76">
        <v>11142205</v>
      </c>
      <c r="H70" s="76">
        <v>8957066</v>
      </c>
      <c r="I70" s="76">
        <v>13394998</v>
      </c>
      <c r="J70" s="76">
        <v>13692726</v>
      </c>
      <c r="K70" s="76">
        <v>11845913</v>
      </c>
      <c r="L70" s="76">
        <v>9670434</v>
      </c>
      <c r="M70" s="76">
        <v>6693014</v>
      </c>
      <c r="N70" s="76">
        <v>10938714</v>
      </c>
      <c r="O70" s="76">
        <v>6937874</v>
      </c>
      <c r="P70" s="76">
        <v>5531824</v>
      </c>
      <c r="Q70" s="75">
        <v>5846111</v>
      </c>
    </row>
    <row r="71" spans="1:17">
      <c r="A71" s="1191">
        <v>201</v>
      </c>
      <c r="B71" s="1192" t="s">
        <v>382</v>
      </c>
      <c r="C71" s="76">
        <v>11192280</v>
      </c>
      <c r="D71" s="76">
        <v>16365423</v>
      </c>
      <c r="E71" s="76">
        <v>12523461</v>
      </c>
      <c r="F71" s="76">
        <v>12366800</v>
      </c>
      <c r="G71" s="76">
        <v>12975012</v>
      </c>
      <c r="H71" s="76">
        <v>10916485</v>
      </c>
      <c r="I71" s="76">
        <v>9953404</v>
      </c>
      <c r="J71" s="76">
        <v>11734959</v>
      </c>
      <c r="K71" s="76">
        <v>10218969</v>
      </c>
      <c r="L71" s="76">
        <v>10541070</v>
      </c>
      <c r="M71" s="76">
        <v>8592152</v>
      </c>
      <c r="N71" s="76">
        <v>7080872</v>
      </c>
      <c r="O71" s="76">
        <v>4538718</v>
      </c>
      <c r="P71" s="76">
        <v>6186758</v>
      </c>
      <c r="Q71" s="75">
        <v>6540560</v>
      </c>
    </row>
    <row r="72" spans="1:17">
      <c r="A72" s="1191">
        <v>202</v>
      </c>
      <c r="B72" s="1192" t="s">
        <v>183</v>
      </c>
      <c r="C72" s="76">
        <v>7749102</v>
      </c>
      <c r="D72" s="76">
        <v>8883296</v>
      </c>
      <c r="E72" s="76">
        <v>12221395</v>
      </c>
      <c r="F72" s="76">
        <v>8134901</v>
      </c>
      <c r="G72" s="76">
        <v>6829371</v>
      </c>
      <c r="H72" s="76">
        <v>7062062</v>
      </c>
      <c r="I72" s="76">
        <v>11437412</v>
      </c>
      <c r="J72" s="76">
        <v>10343507</v>
      </c>
      <c r="K72" s="76">
        <v>5866735</v>
      </c>
      <c r="L72" s="76">
        <v>6960300</v>
      </c>
      <c r="M72" s="76">
        <v>7811011</v>
      </c>
      <c r="N72" s="76">
        <v>7605606</v>
      </c>
      <c r="O72" s="76">
        <v>4225086</v>
      </c>
      <c r="P72" s="76">
        <v>5264926</v>
      </c>
      <c r="Q72" s="75">
        <v>4920854</v>
      </c>
    </row>
    <row r="73" spans="1:17">
      <c r="A73" s="1191">
        <v>203</v>
      </c>
      <c r="B73" s="1192" t="s">
        <v>193</v>
      </c>
      <c r="C73" s="76">
        <v>5710596</v>
      </c>
      <c r="D73" s="76">
        <v>4334736</v>
      </c>
      <c r="E73" s="76">
        <v>3808269</v>
      </c>
      <c r="F73" s="76">
        <v>3612686</v>
      </c>
      <c r="G73" s="76">
        <v>2863399</v>
      </c>
      <c r="H73" s="76">
        <v>2647846</v>
      </c>
      <c r="I73" s="76">
        <v>4373631</v>
      </c>
      <c r="J73" s="76">
        <v>4484129</v>
      </c>
      <c r="K73" s="76">
        <v>3981108</v>
      </c>
      <c r="L73" s="76">
        <v>3012058</v>
      </c>
      <c r="M73" s="76">
        <v>2986527</v>
      </c>
      <c r="N73" s="76">
        <v>2354527</v>
      </c>
      <c r="O73" s="76">
        <v>1672062</v>
      </c>
      <c r="P73" s="76">
        <v>1800817</v>
      </c>
      <c r="Q73" s="75">
        <v>3258983</v>
      </c>
    </row>
    <row r="74" spans="1:17">
      <c r="A74" s="1191">
        <v>204</v>
      </c>
      <c r="B74" s="1192" t="s">
        <v>184</v>
      </c>
      <c r="C74" s="76">
        <v>6143647</v>
      </c>
      <c r="D74" s="76">
        <v>3005568</v>
      </c>
      <c r="E74" s="76">
        <v>1609446</v>
      </c>
      <c r="F74" s="76">
        <v>3141798</v>
      </c>
      <c r="G74" s="76">
        <v>1077171</v>
      </c>
      <c r="H74" s="76">
        <v>1204063</v>
      </c>
      <c r="I74" s="76">
        <v>1810545</v>
      </c>
      <c r="J74" s="76">
        <v>1744901</v>
      </c>
      <c r="K74" s="76">
        <v>1976899</v>
      </c>
      <c r="L74" s="76">
        <v>2208756</v>
      </c>
      <c r="M74" s="76">
        <v>1460664</v>
      </c>
      <c r="N74" s="76">
        <v>1043641</v>
      </c>
      <c r="O74" s="230">
        <v>1367187</v>
      </c>
      <c r="P74" s="230">
        <v>1304216</v>
      </c>
      <c r="Q74" s="254">
        <v>1371638</v>
      </c>
    </row>
    <row r="75" spans="1:17">
      <c r="A75" s="1191">
        <v>205</v>
      </c>
      <c r="B75" s="1192" t="s">
        <v>339</v>
      </c>
      <c r="C75" s="197">
        <v>600138</v>
      </c>
      <c r="D75" s="197">
        <v>1563694</v>
      </c>
      <c r="E75" s="197">
        <v>1661693</v>
      </c>
      <c r="F75" s="76">
        <v>1096655</v>
      </c>
      <c r="G75" s="76">
        <v>1402619</v>
      </c>
      <c r="H75" s="76">
        <v>1982366</v>
      </c>
      <c r="I75" s="76">
        <v>2393297</v>
      </c>
      <c r="J75" s="76">
        <v>1577714</v>
      </c>
      <c r="K75" s="76">
        <v>1681578</v>
      </c>
      <c r="L75" s="76">
        <v>917533</v>
      </c>
      <c r="M75" s="76">
        <v>1029202</v>
      </c>
      <c r="N75" s="76">
        <v>793134</v>
      </c>
      <c r="O75" s="76">
        <v>546459</v>
      </c>
      <c r="P75" s="230">
        <v>703641</v>
      </c>
      <c r="Q75" s="75">
        <v>242208</v>
      </c>
    </row>
    <row r="76" spans="1:17">
      <c r="A76" s="1191">
        <v>206</v>
      </c>
      <c r="B76" s="1192" t="s">
        <v>185</v>
      </c>
      <c r="C76" s="197">
        <v>1000</v>
      </c>
      <c r="D76" s="197">
        <v>1000</v>
      </c>
      <c r="E76" s="197">
        <v>1000</v>
      </c>
      <c r="F76" s="197">
        <v>176</v>
      </c>
      <c r="G76" s="197">
        <v>176</v>
      </c>
      <c r="H76" s="197">
        <v>227</v>
      </c>
      <c r="I76" s="197">
        <v>80</v>
      </c>
      <c r="J76" s="197">
        <v>1000</v>
      </c>
      <c r="K76" s="76">
        <v>0</v>
      </c>
      <c r="L76" s="76">
        <v>0</v>
      </c>
      <c r="M76" s="76">
        <v>0</v>
      </c>
      <c r="N76" s="197">
        <v>1000</v>
      </c>
      <c r="O76" s="230">
        <f>O63-(O72+O74+O77+O84+O87+O89+O94)</f>
        <v>30132</v>
      </c>
      <c r="P76" s="230">
        <f>P63-(P72+P74+P77+P84+P87+P89+P94)</f>
        <v>618</v>
      </c>
      <c r="Q76" s="254">
        <f>6292834-4920854-1371638</f>
        <v>342</v>
      </c>
    </row>
    <row r="77" spans="1:17">
      <c r="A77" s="1191">
        <v>207</v>
      </c>
      <c r="B77" s="1192" t="s">
        <v>187</v>
      </c>
      <c r="C77" s="76">
        <v>3895129</v>
      </c>
      <c r="D77" s="76">
        <v>4861209</v>
      </c>
      <c r="E77" s="76">
        <v>4065352</v>
      </c>
      <c r="F77" s="76">
        <v>2453912</v>
      </c>
      <c r="G77" s="76">
        <v>3473424</v>
      </c>
      <c r="H77" s="76">
        <v>2868924</v>
      </c>
      <c r="I77" s="76">
        <v>3879701</v>
      </c>
      <c r="J77" s="76">
        <v>3515949</v>
      </c>
      <c r="K77" s="76">
        <v>3919201</v>
      </c>
      <c r="L77" s="76">
        <v>2329286</v>
      </c>
      <c r="M77" s="76">
        <v>2979305</v>
      </c>
      <c r="N77" s="76">
        <v>9347687</v>
      </c>
      <c r="O77" s="76">
        <v>3669410</v>
      </c>
      <c r="P77" s="76">
        <v>1974078</v>
      </c>
      <c r="Q77" s="75">
        <v>2376557</v>
      </c>
    </row>
    <row r="78" spans="1:17">
      <c r="A78" s="1191">
        <v>208</v>
      </c>
      <c r="B78" s="1192" t="s">
        <v>206</v>
      </c>
      <c r="C78" s="76">
        <v>353664</v>
      </c>
      <c r="D78" s="76">
        <v>342482</v>
      </c>
      <c r="E78" s="76">
        <v>401887</v>
      </c>
      <c r="F78" s="76">
        <v>258635</v>
      </c>
      <c r="G78" s="76">
        <v>123651</v>
      </c>
      <c r="H78" s="76">
        <v>150258</v>
      </c>
      <c r="I78" s="76">
        <v>288381</v>
      </c>
      <c r="J78" s="197">
        <v>316169</v>
      </c>
      <c r="K78" s="76">
        <v>249928</v>
      </c>
      <c r="L78" s="76">
        <v>240397</v>
      </c>
      <c r="M78" s="76">
        <v>158654</v>
      </c>
      <c r="N78" s="76">
        <v>477675</v>
      </c>
      <c r="O78" s="230">
        <v>93057</v>
      </c>
      <c r="P78" s="76">
        <v>145241</v>
      </c>
      <c r="Q78" s="75">
        <v>116647</v>
      </c>
    </row>
    <row r="79" spans="1:17">
      <c r="A79" s="1191">
        <v>209</v>
      </c>
      <c r="B79" s="1192" t="s">
        <v>336</v>
      </c>
      <c r="C79" s="76">
        <v>647033</v>
      </c>
      <c r="D79" s="76">
        <v>490300</v>
      </c>
      <c r="E79" s="76">
        <v>268160</v>
      </c>
      <c r="F79" s="76">
        <v>203360</v>
      </c>
      <c r="G79" s="76">
        <v>278141</v>
      </c>
      <c r="H79" s="76">
        <v>163146</v>
      </c>
      <c r="I79" s="76">
        <v>315867</v>
      </c>
      <c r="J79" s="76">
        <v>528223</v>
      </c>
      <c r="K79" s="76">
        <v>646085</v>
      </c>
      <c r="L79" s="76">
        <v>549217</v>
      </c>
      <c r="M79" s="76">
        <v>183309</v>
      </c>
      <c r="N79" s="76">
        <v>191911</v>
      </c>
      <c r="O79" s="76">
        <v>151436</v>
      </c>
      <c r="P79" s="76">
        <v>109776</v>
      </c>
      <c r="Q79" s="75">
        <v>112032</v>
      </c>
    </row>
    <row r="80" spans="1:17">
      <c r="A80" s="1191">
        <v>210</v>
      </c>
      <c r="B80" s="1192" t="s">
        <v>194</v>
      </c>
      <c r="C80" s="76">
        <v>6327730</v>
      </c>
      <c r="D80" s="76">
        <v>7814044</v>
      </c>
      <c r="E80" s="76">
        <v>9985251</v>
      </c>
      <c r="F80" s="76">
        <v>5488486</v>
      </c>
      <c r="G80" s="76">
        <v>2862416</v>
      </c>
      <c r="H80" s="76">
        <v>3922172</v>
      </c>
      <c r="I80" s="76">
        <v>5777404</v>
      </c>
      <c r="J80" s="76">
        <v>3401607</v>
      </c>
      <c r="K80" s="76">
        <v>4428633</v>
      </c>
      <c r="L80" s="76">
        <v>4670400</v>
      </c>
      <c r="M80" s="76">
        <v>1732280</v>
      </c>
      <c r="N80" s="76">
        <v>1719769</v>
      </c>
      <c r="O80" s="76">
        <v>1755601</v>
      </c>
      <c r="P80" s="76">
        <v>1613974</v>
      </c>
      <c r="Q80" s="75">
        <v>2233170</v>
      </c>
    </row>
    <row r="81" spans="1:17">
      <c r="A81" s="1191">
        <v>211</v>
      </c>
      <c r="B81" s="1192" t="s">
        <v>383</v>
      </c>
      <c r="C81" s="76">
        <v>860106</v>
      </c>
      <c r="D81" s="76">
        <v>875004</v>
      </c>
      <c r="E81" s="76">
        <v>1066717</v>
      </c>
      <c r="F81" s="76">
        <v>677240</v>
      </c>
      <c r="G81" s="76">
        <v>615257</v>
      </c>
      <c r="H81" s="76">
        <v>577274</v>
      </c>
      <c r="I81" s="76">
        <v>609201</v>
      </c>
      <c r="J81" s="76">
        <v>922573</v>
      </c>
      <c r="K81" s="76">
        <v>523896</v>
      </c>
      <c r="L81" s="76">
        <v>495432</v>
      </c>
      <c r="M81" s="76">
        <v>430678</v>
      </c>
      <c r="N81" s="76">
        <v>394557</v>
      </c>
      <c r="O81" s="76">
        <v>504750</v>
      </c>
      <c r="P81" s="76">
        <v>466318</v>
      </c>
      <c r="Q81" s="75">
        <v>426090</v>
      </c>
    </row>
    <row r="82" spans="1:17">
      <c r="A82" s="1191">
        <v>212</v>
      </c>
      <c r="B82" s="1192" t="s">
        <v>207</v>
      </c>
      <c r="C82" s="76">
        <v>1704314</v>
      </c>
      <c r="D82" s="76">
        <v>1250387</v>
      </c>
      <c r="E82" s="76">
        <v>1409615</v>
      </c>
      <c r="F82" s="76">
        <v>927100</v>
      </c>
      <c r="G82" s="76">
        <v>785844</v>
      </c>
      <c r="H82" s="76">
        <v>1730177</v>
      </c>
      <c r="I82" s="76">
        <v>1285479</v>
      </c>
      <c r="J82" s="76">
        <v>3802630</v>
      </c>
      <c r="K82" s="76">
        <v>1468787</v>
      </c>
      <c r="L82" s="76">
        <v>1093780</v>
      </c>
      <c r="M82" s="76">
        <v>1229583</v>
      </c>
      <c r="N82" s="76">
        <v>978204</v>
      </c>
      <c r="O82" s="76">
        <v>917220</v>
      </c>
      <c r="P82" s="76">
        <v>971919</v>
      </c>
      <c r="Q82" s="75">
        <v>768488</v>
      </c>
    </row>
    <row r="83" spans="1:17">
      <c r="A83" s="1193">
        <v>213</v>
      </c>
      <c r="B83" s="1194" t="s">
        <v>199</v>
      </c>
      <c r="C83" s="76">
        <v>200815</v>
      </c>
      <c r="D83" s="76">
        <v>244732</v>
      </c>
      <c r="E83" s="76">
        <v>242873</v>
      </c>
      <c r="F83" s="76">
        <v>761607</v>
      </c>
      <c r="G83" s="76">
        <v>716963</v>
      </c>
      <c r="H83" s="76">
        <v>1763222</v>
      </c>
      <c r="I83" s="76">
        <v>3085955</v>
      </c>
      <c r="J83" s="76">
        <v>1529369</v>
      </c>
      <c r="K83" s="76">
        <v>1922033</v>
      </c>
      <c r="L83" s="76">
        <v>1480749</v>
      </c>
      <c r="M83" s="76">
        <v>497666</v>
      </c>
      <c r="N83" s="76">
        <v>950447</v>
      </c>
      <c r="O83" s="76">
        <v>1899605</v>
      </c>
      <c r="P83" s="76">
        <v>2596683</v>
      </c>
      <c r="Q83" s="75">
        <v>1925829</v>
      </c>
    </row>
    <row r="84" spans="1:17">
      <c r="A84" s="1191">
        <v>214</v>
      </c>
      <c r="B84" s="1192" t="s">
        <v>188</v>
      </c>
      <c r="C84" s="76">
        <v>905905</v>
      </c>
      <c r="D84" s="76">
        <v>877395</v>
      </c>
      <c r="E84" s="76">
        <v>960933</v>
      </c>
      <c r="F84" s="76">
        <v>722250</v>
      </c>
      <c r="G84" s="76">
        <v>606800</v>
      </c>
      <c r="H84" s="76">
        <v>358807</v>
      </c>
      <c r="I84" s="76">
        <v>229784</v>
      </c>
      <c r="J84" s="76">
        <v>263932</v>
      </c>
      <c r="K84" s="76">
        <v>351925</v>
      </c>
      <c r="L84" s="76">
        <v>229893</v>
      </c>
      <c r="M84" s="76">
        <v>335751</v>
      </c>
      <c r="N84" s="76">
        <v>146449</v>
      </c>
      <c r="O84" s="76">
        <v>70485</v>
      </c>
      <c r="P84" s="76">
        <v>237789</v>
      </c>
      <c r="Q84" s="75">
        <v>149404</v>
      </c>
    </row>
    <row r="85" spans="1:17">
      <c r="A85" s="1191">
        <v>215</v>
      </c>
      <c r="B85" s="1192" t="s">
        <v>329</v>
      </c>
      <c r="C85" s="76">
        <v>675984</v>
      </c>
      <c r="D85" s="76">
        <v>992462</v>
      </c>
      <c r="E85" s="76">
        <v>828461</v>
      </c>
      <c r="F85" s="76">
        <v>666967</v>
      </c>
      <c r="G85" s="76">
        <v>620542</v>
      </c>
      <c r="H85" s="76">
        <v>754757</v>
      </c>
      <c r="I85" s="76">
        <v>563561</v>
      </c>
      <c r="J85" s="76">
        <v>383801</v>
      </c>
      <c r="K85" s="76">
        <v>314930</v>
      </c>
      <c r="L85" s="76">
        <v>274587</v>
      </c>
      <c r="M85" s="76">
        <v>378640</v>
      </c>
      <c r="N85" s="76">
        <v>225687</v>
      </c>
      <c r="O85" s="76">
        <v>358939</v>
      </c>
      <c r="P85" s="76">
        <v>213280</v>
      </c>
      <c r="Q85" s="75">
        <v>256499</v>
      </c>
    </row>
    <row r="86" spans="1:17">
      <c r="A86" s="1191">
        <v>216</v>
      </c>
      <c r="B86" s="1192" t="s">
        <v>195</v>
      </c>
      <c r="C86" s="76">
        <v>3932274</v>
      </c>
      <c r="D86" s="76">
        <v>4338102</v>
      </c>
      <c r="E86" s="76">
        <v>8784086</v>
      </c>
      <c r="F86" s="76">
        <v>8788538</v>
      </c>
      <c r="G86" s="76">
        <v>4266409</v>
      </c>
      <c r="H86" s="76">
        <v>3574674</v>
      </c>
      <c r="I86" s="76">
        <v>4744052</v>
      </c>
      <c r="J86" s="76">
        <v>5517945</v>
      </c>
      <c r="K86" s="76">
        <v>3664220</v>
      </c>
      <c r="L86" s="76">
        <v>6086483</v>
      </c>
      <c r="M86" s="76">
        <v>2537949</v>
      </c>
      <c r="N86" s="76">
        <v>2634136</v>
      </c>
      <c r="O86" s="76">
        <v>2365993</v>
      </c>
      <c r="P86" s="76">
        <v>2250903</v>
      </c>
      <c r="Q86" s="75">
        <v>2503734</v>
      </c>
    </row>
    <row r="87" spans="1:17">
      <c r="A87" s="1191">
        <v>217</v>
      </c>
      <c r="B87" s="1192" t="s">
        <v>189</v>
      </c>
      <c r="C87" s="76">
        <v>317891</v>
      </c>
      <c r="D87" s="76">
        <v>464570</v>
      </c>
      <c r="E87" s="76">
        <v>344113</v>
      </c>
      <c r="F87" s="76">
        <v>166173</v>
      </c>
      <c r="G87" s="76">
        <v>122460</v>
      </c>
      <c r="H87" s="76">
        <v>114667</v>
      </c>
      <c r="I87" s="76">
        <v>238421</v>
      </c>
      <c r="J87" s="76">
        <v>320999</v>
      </c>
      <c r="K87" s="76">
        <v>188591</v>
      </c>
      <c r="L87" s="76">
        <v>221864</v>
      </c>
      <c r="M87" s="76">
        <v>144322</v>
      </c>
      <c r="N87" s="76">
        <v>72322</v>
      </c>
      <c r="O87" s="76">
        <v>94749</v>
      </c>
      <c r="P87" s="76">
        <v>67108</v>
      </c>
      <c r="Q87" s="75">
        <v>112676</v>
      </c>
    </row>
    <row r="88" spans="1:17">
      <c r="A88" s="1191">
        <v>218</v>
      </c>
      <c r="B88" s="1192" t="s">
        <v>200</v>
      </c>
      <c r="C88" s="76">
        <v>821021</v>
      </c>
      <c r="D88" s="76">
        <v>1469291</v>
      </c>
      <c r="E88" s="76">
        <v>1005626</v>
      </c>
      <c r="F88" s="76">
        <v>1989399</v>
      </c>
      <c r="G88" s="76">
        <v>908633</v>
      </c>
      <c r="H88" s="76">
        <v>592373</v>
      </c>
      <c r="I88" s="76">
        <v>671892</v>
      </c>
      <c r="J88" s="76">
        <v>999065</v>
      </c>
      <c r="K88" s="76">
        <v>997899</v>
      </c>
      <c r="L88" s="76">
        <v>665034</v>
      </c>
      <c r="M88" s="76">
        <v>672443</v>
      </c>
      <c r="N88" s="76">
        <v>818495</v>
      </c>
      <c r="O88" s="76">
        <v>702820</v>
      </c>
      <c r="P88" s="76">
        <v>921752</v>
      </c>
      <c r="Q88" s="75">
        <v>1052131</v>
      </c>
    </row>
    <row r="89" spans="1:17">
      <c r="A89" s="1191">
        <v>219</v>
      </c>
      <c r="B89" s="1192" t="s">
        <v>190</v>
      </c>
      <c r="C89" s="76">
        <v>1701682</v>
      </c>
      <c r="D89" s="76">
        <v>1410542</v>
      </c>
      <c r="E89" s="76">
        <v>2144512</v>
      </c>
      <c r="F89" s="76">
        <v>2854479</v>
      </c>
      <c r="G89" s="76">
        <v>1061670</v>
      </c>
      <c r="H89" s="76">
        <v>1724101</v>
      </c>
      <c r="I89" s="76">
        <v>1452571</v>
      </c>
      <c r="J89" s="76">
        <v>1471545</v>
      </c>
      <c r="K89" s="76">
        <v>1270250</v>
      </c>
      <c r="L89" s="76">
        <v>915154</v>
      </c>
      <c r="M89" s="76">
        <v>704807</v>
      </c>
      <c r="N89" s="76">
        <v>885581</v>
      </c>
      <c r="O89" s="76">
        <v>744850</v>
      </c>
      <c r="P89" s="76">
        <v>1112624</v>
      </c>
      <c r="Q89" s="75">
        <v>1404023</v>
      </c>
    </row>
    <row r="90" spans="1:17">
      <c r="A90" s="1191">
        <v>220</v>
      </c>
      <c r="B90" s="1192" t="s">
        <v>201</v>
      </c>
      <c r="C90" s="76">
        <v>693056</v>
      </c>
      <c r="D90" s="76">
        <v>932951</v>
      </c>
      <c r="E90" s="76">
        <v>502274</v>
      </c>
      <c r="F90" s="76">
        <v>620200</v>
      </c>
      <c r="G90" s="76">
        <v>445021</v>
      </c>
      <c r="H90" s="76">
        <v>438823</v>
      </c>
      <c r="I90" s="76">
        <v>666047</v>
      </c>
      <c r="J90" s="76">
        <v>598334</v>
      </c>
      <c r="K90" s="76">
        <v>521650</v>
      </c>
      <c r="L90" s="76">
        <v>389858</v>
      </c>
      <c r="M90" s="76">
        <v>494171</v>
      </c>
      <c r="N90" s="76">
        <v>708278</v>
      </c>
      <c r="O90" s="76">
        <v>581037</v>
      </c>
      <c r="P90" s="76">
        <v>466437</v>
      </c>
      <c r="Q90" s="75">
        <v>546201</v>
      </c>
    </row>
    <row r="91" spans="1:17">
      <c r="A91" s="1191">
        <v>221</v>
      </c>
      <c r="B91" s="1192" t="s">
        <v>1144</v>
      </c>
      <c r="C91" s="196"/>
      <c r="D91" s="196"/>
      <c r="E91" s="196"/>
      <c r="F91" s="196"/>
      <c r="G91" s="196"/>
      <c r="H91" s="196"/>
      <c r="I91" s="196"/>
      <c r="J91" s="196"/>
      <c r="K91" s="196"/>
      <c r="L91" s="76">
        <v>159294</v>
      </c>
      <c r="M91" s="76">
        <v>252568</v>
      </c>
      <c r="N91" s="76">
        <v>189313</v>
      </c>
      <c r="O91" s="76">
        <v>216876</v>
      </c>
      <c r="P91" s="76">
        <v>427272</v>
      </c>
      <c r="Q91" s="75">
        <v>345060</v>
      </c>
    </row>
    <row r="92" spans="1:17">
      <c r="A92" s="1191">
        <v>222</v>
      </c>
      <c r="B92" s="1192" t="s">
        <v>809</v>
      </c>
      <c r="C92" s="196"/>
      <c r="D92" s="196"/>
      <c r="E92" s="196"/>
      <c r="F92" s="196"/>
      <c r="G92" s="196"/>
      <c r="H92" s="196"/>
      <c r="I92" s="196"/>
      <c r="J92" s="196"/>
      <c r="K92" s="196"/>
      <c r="L92" s="196"/>
      <c r="M92" s="196"/>
      <c r="N92" s="196"/>
      <c r="O92" s="196"/>
      <c r="P92" s="196"/>
      <c r="Q92" s="75">
        <v>213818</v>
      </c>
    </row>
    <row r="93" spans="1:17">
      <c r="A93" s="1191">
        <v>223</v>
      </c>
      <c r="B93" s="1192" t="s">
        <v>810</v>
      </c>
      <c r="C93" s="196"/>
      <c r="D93" s="196"/>
      <c r="E93" s="196"/>
      <c r="F93" s="196"/>
      <c r="G93" s="196"/>
      <c r="H93" s="196"/>
      <c r="I93" s="196"/>
      <c r="J93" s="196"/>
      <c r="K93" s="196"/>
      <c r="L93" s="196"/>
      <c r="M93" s="196"/>
      <c r="N93" s="196"/>
      <c r="O93" s="196"/>
      <c r="P93" s="196"/>
      <c r="Q93" s="75">
        <v>1086688</v>
      </c>
    </row>
    <row r="94" spans="1:17">
      <c r="A94" s="1191">
        <v>301</v>
      </c>
      <c r="B94" s="1192" t="s">
        <v>191</v>
      </c>
      <c r="C94" s="197">
        <v>71633</v>
      </c>
      <c r="D94" s="197">
        <v>18423</v>
      </c>
      <c r="E94" s="197">
        <v>27417</v>
      </c>
      <c r="F94" s="76">
        <v>6124</v>
      </c>
      <c r="G94" s="76">
        <v>18371</v>
      </c>
      <c r="H94" s="76">
        <v>36131</v>
      </c>
      <c r="I94" s="76">
        <v>21703</v>
      </c>
      <c r="J94" s="197">
        <v>56772</v>
      </c>
      <c r="K94" s="76">
        <v>35196</v>
      </c>
      <c r="L94" s="76">
        <v>13228</v>
      </c>
      <c r="M94" s="197">
        <v>21800</v>
      </c>
      <c r="N94" s="197">
        <v>31558</v>
      </c>
      <c r="O94" s="230">
        <v>8229</v>
      </c>
      <c r="P94" s="230">
        <v>41579</v>
      </c>
      <c r="Q94" s="75">
        <v>56390</v>
      </c>
    </row>
    <row r="95" spans="1:17">
      <c r="A95" s="1191">
        <v>321</v>
      </c>
      <c r="B95" s="1192" t="s">
        <v>374</v>
      </c>
      <c r="C95" s="76">
        <v>2595</v>
      </c>
      <c r="D95" s="76">
        <v>1805</v>
      </c>
      <c r="E95" s="76">
        <v>1637</v>
      </c>
      <c r="F95" s="76">
        <v>10656</v>
      </c>
      <c r="G95" s="76">
        <v>3698</v>
      </c>
      <c r="H95" s="76">
        <v>317</v>
      </c>
      <c r="I95" s="76">
        <v>550</v>
      </c>
      <c r="J95" s="197">
        <v>500</v>
      </c>
      <c r="K95" s="197">
        <v>500</v>
      </c>
      <c r="L95" s="197">
        <v>500</v>
      </c>
      <c r="M95" s="76">
        <v>4115</v>
      </c>
      <c r="N95" s="76">
        <v>437</v>
      </c>
      <c r="O95" s="76">
        <v>350</v>
      </c>
      <c r="P95" s="76">
        <v>2597</v>
      </c>
      <c r="Q95" s="75">
        <v>3384</v>
      </c>
    </row>
    <row r="96" spans="1:17">
      <c r="A96" s="1191">
        <v>341</v>
      </c>
      <c r="B96" s="1192" t="s">
        <v>768</v>
      </c>
      <c r="C96" s="76">
        <v>1450679</v>
      </c>
      <c r="D96" s="76">
        <v>2056387</v>
      </c>
      <c r="E96" s="76">
        <v>632798</v>
      </c>
      <c r="F96" s="76">
        <v>811688</v>
      </c>
      <c r="G96" s="76">
        <v>399078</v>
      </c>
      <c r="H96" s="76">
        <v>354305</v>
      </c>
      <c r="I96" s="76">
        <v>648724</v>
      </c>
      <c r="J96" s="76">
        <v>770070</v>
      </c>
      <c r="K96" s="76">
        <v>278986</v>
      </c>
      <c r="L96" s="76">
        <v>174509</v>
      </c>
      <c r="M96" s="76">
        <v>395943</v>
      </c>
      <c r="N96" s="76">
        <v>516504</v>
      </c>
      <c r="O96" s="76">
        <v>343509</v>
      </c>
      <c r="P96" s="76">
        <v>600425</v>
      </c>
      <c r="Q96" s="75">
        <v>331145</v>
      </c>
    </row>
    <row r="97" spans="1:17">
      <c r="A97" s="1191">
        <v>342</v>
      </c>
      <c r="B97" s="1192" t="s">
        <v>376</v>
      </c>
      <c r="C97" s="76">
        <v>368775</v>
      </c>
      <c r="D97" s="76">
        <v>882299</v>
      </c>
      <c r="E97" s="76">
        <v>1234848</v>
      </c>
      <c r="F97" s="76">
        <v>366935</v>
      </c>
      <c r="G97" s="76">
        <v>272327</v>
      </c>
      <c r="H97" s="76">
        <v>736273</v>
      </c>
      <c r="I97" s="76">
        <v>692148</v>
      </c>
      <c r="J97" s="76">
        <v>718015</v>
      </c>
      <c r="K97" s="76">
        <v>772411</v>
      </c>
      <c r="L97" s="76">
        <v>661875</v>
      </c>
      <c r="M97" s="76">
        <v>508839</v>
      </c>
      <c r="N97" s="76">
        <v>247482</v>
      </c>
      <c r="O97" s="76">
        <v>311570</v>
      </c>
      <c r="P97" s="76">
        <v>225253</v>
      </c>
      <c r="Q97" s="75">
        <v>228895</v>
      </c>
    </row>
    <row r="98" spans="1:17">
      <c r="A98" s="1191">
        <v>343</v>
      </c>
      <c r="B98" s="1192" t="s">
        <v>377</v>
      </c>
      <c r="C98" s="76">
        <v>79449</v>
      </c>
      <c r="D98" s="76">
        <v>77990</v>
      </c>
      <c r="E98" s="76">
        <v>133915</v>
      </c>
      <c r="F98" s="76">
        <v>126536</v>
      </c>
      <c r="G98" s="76">
        <v>40657</v>
      </c>
      <c r="H98" s="76">
        <v>29860</v>
      </c>
      <c r="I98" s="76">
        <v>133935</v>
      </c>
      <c r="J98" s="76">
        <v>118431</v>
      </c>
      <c r="K98" s="76">
        <v>78566</v>
      </c>
      <c r="L98" s="76">
        <v>35092</v>
      </c>
      <c r="M98" s="76">
        <v>35676</v>
      </c>
      <c r="N98" s="76">
        <v>35608</v>
      </c>
      <c r="O98" s="76">
        <v>18618</v>
      </c>
      <c r="P98" s="76">
        <v>14811</v>
      </c>
      <c r="Q98" s="75">
        <v>55976</v>
      </c>
    </row>
    <row r="99" spans="1:17">
      <c r="A99" s="1191">
        <v>361</v>
      </c>
      <c r="B99" s="1192" t="s">
        <v>769</v>
      </c>
      <c r="C99" s="76">
        <v>100189</v>
      </c>
      <c r="D99" s="76">
        <v>59767</v>
      </c>
      <c r="E99" s="76">
        <v>46650</v>
      </c>
      <c r="F99" s="76">
        <v>53787</v>
      </c>
      <c r="G99" s="76">
        <v>80403</v>
      </c>
      <c r="H99" s="76">
        <v>20896</v>
      </c>
      <c r="I99" s="76">
        <v>51493</v>
      </c>
      <c r="J99" s="76">
        <v>55660</v>
      </c>
      <c r="K99" s="76">
        <v>67632</v>
      </c>
      <c r="L99" s="76">
        <v>39181</v>
      </c>
      <c r="M99" s="76">
        <v>62040</v>
      </c>
      <c r="N99" s="76">
        <v>36048</v>
      </c>
      <c r="O99" s="76">
        <v>27047</v>
      </c>
      <c r="P99" s="76">
        <v>26276</v>
      </c>
      <c r="Q99" s="75">
        <v>26793</v>
      </c>
    </row>
    <row r="100" spans="1:17">
      <c r="A100" s="1191">
        <v>362</v>
      </c>
      <c r="B100" s="1192" t="s">
        <v>379</v>
      </c>
      <c r="C100" s="76">
        <v>5926</v>
      </c>
      <c r="D100" s="76">
        <v>11718</v>
      </c>
      <c r="E100" s="76">
        <v>27369</v>
      </c>
      <c r="F100" s="76">
        <v>10764</v>
      </c>
      <c r="G100" s="76">
        <v>58778</v>
      </c>
      <c r="H100" s="76">
        <v>11972</v>
      </c>
      <c r="I100" s="76">
        <v>7519</v>
      </c>
      <c r="J100" s="76">
        <v>67944</v>
      </c>
      <c r="K100" s="76">
        <v>46003</v>
      </c>
      <c r="L100" s="76">
        <v>30421</v>
      </c>
      <c r="M100" s="76">
        <v>18868</v>
      </c>
      <c r="N100" s="76">
        <v>39669</v>
      </c>
      <c r="O100" s="76">
        <v>1930</v>
      </c>
      <c r="P100" s="76">
        <v>25076</v>
      </c>
      <c r="Q100" s="75">
        <v>15990</v>
      </c>
    </row>
    <row r="101" spans="1:17">
      <c r="A101" s="1191">
        <v>363</v>
      </c>
      <c r="B101" s="1192" t="s">
        <v>380</v>
      </c>
      <c r="C101" s="76">
        <v>58552</v>
      </c>
      <c r="D101" s="76">
        <v>18967</v>
      </c>
      <c r="E101" s="76">
        <v>46187</v>
      </c>
      <c r="F101" s="76">
        <v>9879</v>
      </c>
      <c r="G101" s="76">
        <v>6968</v>
      </c>
      <c r="H101" s="76">
        <v>4866</v>
      </c>
      <c r="I101" s="76">
        <v>10844</v>
      </c>
      <c r="J101" s="76">
        <v>23357</v>
      </c>
      <c r="K101" s="76">
        <v>12067</v>
      </c>
      <c r="L101" s="76">
        <v>8317</v>
      </c>
      <c r="M101" s="76">
        <v>13358</v>
      </c>
      <c r="N101" s="76">
        <v>2737</v>
      </c>
      <c r="O101" s="76">
        <v>6802</v>
      </c>
      <c r="P101" s="76">
        <v>1911</v>
      </c>
      <c r="Q101" s="75">
        <v>3128</v>
      </c>
    </row>
    <row r="102" spans="1:17">
      <c r="A102" s="1191">
        <v>364</v>
      </c>
      <c r="B102" s="1192" t="s">
        <v>381</v>
      </c>
      <c r="C102" s="76">
        <v>50844</v>
      </c>
      <c r="D102" s="76">
        <v>128847</v>
      </c>
      <c r="E102" s="76">
        <v>221432</v>
      </c>
      <c r="F102" s="76">
        <v>9708</v>
      </c>
      <c r="G102" s="76">
        <v>8617</v>
      </c>
      <c r="H102" s="76">
        <v>38870</v>
      </c>
      <c r="I102" s="76">
        <v>27331</v>
      </c>
      <c r="J102" s="197">
        <v>34418</v>
      </c>
      <c r="K102" s="197">
        <f>20000-5758</f>
        <v>14242</v>
      </c>
      <c r="L102" s="197">
        <v>9998</v>
      </c>
      <c r="M102" s="76">
        <v>20282</v>
      </c>
      <c r="N102" s="76">
        <v>1460</v>
      </c>
      <c r="O102" s="76">
        <v>2384</v>
      </c>
      <c r="P102" s="76">
        <v>3194</v>
      </c>
      <c r="Q102" s="75">
        <v>12879</v>
      </c>
    </row>
    <row r="103" spans="1:17">
      <c r="A103" s="1191">
        <v>381</v>
      </c>
      <c r="B103" s="1192" t="s">
        <v>196</v>
      </c>
      <c r="C103" s="76">
        <v>324069</v>
      </c>
      <c r="D103" s="76">
        <v>605201</v>
      </c>
      <c r="E103" s="76">
        <v>634894</v>
      </c>
      <c r="F103" s="76">
        <v>404318</v>
      </c>
      <c r="G103" s="76">
        <v>406126</v>
      </c>
      <c r="H103" s="76">
        <v>623065</v>
      </c>
      <c r="I103" s="76">
        <v>634364</v>
      </c>
      <c r="J103" s="76">
        <v>869239</v>
      </c>
      <c r="K103" s="76">
        <v>492110</v>
      </c>
      <c r="L103" s="276">
        <v>603463</v>
      </c>
      <c r="M103" s="76">
        <v>375123</v>
      </c>
      <c r="N103" s="76">
        <v>326299</v>
      </c>
      <c r="O103" s="76">
        <v>361694</v>
      </c>
      <c r="P103" s="76">
        <v>455179</v>
      </c>
      <c r="Q103" s="75">
        <v>435112</v>
      </c>
    </row>
    <row r="104" spans="1:17">
      <c r="A104" s="1191">
        <v>382</v>
      </c>
      <c r="B104" s="1192" t="s">
        <v>197</v>
      </c>
      <c r="C104" s="76">
        <v>1007779</v>
      </c>
      <c r="D104" s="76">
        <v>1294133</v>
      </c>
      <c r="E104" s="76">
        <v>1366741</v>
      </c>
      <c r="F104" s="76">
        <v>1252344</v>
      </c>
      <c r="G104" s="76">
        <v>941445</v>
      </c>
      <c r="H104" s="76">
        <v>1152862</v>
      </c>
      <c r="I104" s="76">
        <v>988510</v>
      </c>
      <c r="J104" s="76">
        <v>1023184</v>
      </c>
      <c r="K104" s="76">
        <v>1281893</v>
      </c>
      <c r="L104" s="76">
        <v>1346444</v>
      </c>
      <c r="M104" s="76">
        <v>725590</v>
      </c>
      <c r="N104" s="76">
        <v>563000</v>
      </c>
      <c r="O104" s="76">
        <v>492802</v>
      </c>
      <c r="P104" s="76">
        <v>600660</v>
      </c>
      <c r="Q104" s="75">
        <v>1023403</v>
      </c>
    </row>
    <row r="105" spans="1:17">
      <c r="A105" s="1191">
        <v>421</v>
      </c>
      <c r="B105" s="1192" t="s">
        <v>384</v>
      </c>
      <c r="C105" s="76">
        <v>0</v>
      </c>
      <c r="D105" s="76">
        <v>0</v>
      </c>
      <c r="E105" s="76">
        <v>0</v>
      </c>
      <c r="F105" s="76">
        <v>0</v>
      </c>
      <c r="G105" s="76">
        <v>0</v>
      </c>
      <c r="H105" s="76">
        <v>0</v>
      </c>
      <c r="I105" s="76">
        <v>0</v>
      </c>
      <c r="J105" s="197">
        <v>100</v>
      </c>
      <c r="K105" s="76">
        <v>0</v>
      </c>
      <c r="L105" s="76">
        <v>0</v>
      </c>
      <c r="M105" s="76">
        <v>0</v>
      </c>
      <c r="N105" s="76">
        <v>0</v>
      </c>
      <c r="O105" s="76">
        <v>0</v>
      </c>
      <c r="P105" s="76">
        <v>0</v>
      </c>
      <c r="Q105" s="75">
        <v>0</v>
      </c>
    </row>
    <row r="106" spans="1:17">
      <c r="A106" s="1191">
        <v>422</v>
      </c>
      <c r="B106" s="1192" t="s">
        <v>385</v>
      </c>
      <c r="C106" s="76">
        <v>159565</v>
      </c>
      <c r="D106" s="76">
        <v>103203</v>
      </c>
      <c r="E106" s="76">
        <v>39076</v>
      </c>
      <c r="F106" s="76">
        <v>121919</v>
      </c>
      <c r="G106" s="76">
        <v>44567</v>
      </c>
      <c r="H106" s="76">
        <v>53829</v>
      </c>
      <c r="I106" s="76">
        <v>48950</v>
      </c>
      <c r="J106" s="76">
        <v>435144</v>
      </c>
      <c r="K106" s="76">
        <v>47727</v>
      </c>
      <c r="L106" s="76">
        <v>78892</v>
      </c>
      <c r="M106" s="76">
        <v>95980</v>
      </c>
      <c r="N106" s="76">
        <v>104127</v>
      </c>
      <c r="O106" s="76">
        <v>63776</v>
      </c>
      <c r="P106" s="76">
        <v>49699</v>
      </c>
      <c r="Q106" s="75">
        <v>147446</v>
      </c>
    </row>
    <row r="107" spans="1:17">
      <c r="A107" s="1191">
        <v>441</v>
      </c>
      <c r="B107" s="1192" t="s">
        <v>386</v>
      </c>
      <c r="C107" s="76">
        <v>5400</v>
      </c>
      <c r="D107" s="76">
        <v>10859</v>
      </c>
      <c r="E107" s="76">
        <v>6663</v>
      </c>
      <c r="F107" s="76">
        <v>4113</v>
      </c>
      <c r="G107" s="76">
        <v>20487</v>
      </c>
      <c r="H107" s="76">
        <v>12265</v>
      </c>
      <c r="I107" s="76">
        <v>24137</v>
      </c>
      <c r="J107" s="76">
        <v>3562</v>
      </c>
      <c r="K107" s="76">
        <v>217950</v>
      </c>
      <c r="L107" s="197">
        <v>61000</v>
      </c>
      <c r="M107" s="197">
        <v>45940</v>
      </c>
      <c r="N107" s="197">
        <v>22191</v>
      </c>
      <c r="O107" s="76">
        <v>4596</v>
      </c>
      <c r="P107" s="76">
        <v>281536</v>
      </c>
      <c r="Q107" s="75">
        <v>40438</v>
      </c>
    </row>
    <row r="108" spans="1:17">
      <c r="A108" s="1191">
        <v>442</v>
      </c>
      <c r="B108" s="1192" t="s">
        <v>203</v>
      </c>
      <c r="C108" s="76">
        <v>69244</v>
      </c>
      <c r="D108" s="76">
        <v>43575</v>
      </c>
      <c r="E108" s="76">
        <v>49977</v>
      </c>
      <c r="F108" s="76">
        <v>73664</v>
      </c>
      <c r="G108" s="76">
        <v>43746</v>
      </c>
      <c r="H108" s="76">
        <v>36299</v>
      </c>
      <c r="I108" s="76">
        <v>28459</v>
      </c>
      <c r="J108" s="76">
        <v>36821</v>
      </c>
      <c r="K108" s="76">
        <v>73170</v>
      </c>
      <c r="L108" s="76">
        <v>36147</v>
      </c>
      <c r="M108" s="76">
        <v>46190</v>
      </c>
      <c r="N108" s="76">
        <v>41228</v>
      </c>
      <c r="O108" s="76">
        <v>81833</v>
      </c>
      <c r="P108" s="76">
        <v>14430</v>
      </c>
      <c r="Q108" s="75">
        <v>344055</v>
      </c>
    </row>
    <row r="109" spans="1:17">
      <c r="A109" s="1191">
        <v>443</v>
      </c>
      <c r="B109" s="1192" t="s">
        <v>204</v>
      </c>
      <c r="C109" s="76">
        <v>740302</v>
      </c>
      <c r="D109" s="76">
        <v>781328</v>
      </c>
      <c r="E109" s="76">
        <v>972948</v>
      </c>
      <c r="F109" s="76">
        <v>344150</v>
      </c>
      <c r="G109" s="76">
        <v>138970</v>
      </c>
      <c r="H109" s="76">
        <v>475885</v>
      </c>
      <c r="I109" s="76">
        <v>369284</v>
      </c>
      <c r="J109" s="76">
        <v>908972</v>
      </c>
      <c r="K109" s="76">
        <v>446585</v>
      </c>
      <c r="L109" s="76">
        <v>546083</v>
      </c>
      <c r="M109" s="76">
        <v>265632</v>
      </c>
      <c r="N109" s="76">
        <v>452021</v>
      </c>
      <c r="O109" s="76">
        <v>179185</v>
      </c>
      <c r="P109" s="76">
        <v>537127</v>
      </c>
      <c r="Q109" s="75">
        <v>382202</v>
      </c>
    </row>
    <row r="110" spans="1:17">
      <c r="A110" s="1191">
        <v>444</v>
      </c>
      <c r="B110" s="1192" t="s">
        <v>387</v>
      </c>
      <c r="C110" s="76">
        <v>330600</v>
      </c>
      <c r="D110" s="76">
        <v>232667</v>
      </c>
      <c r="E110" s="76">
        <v>339796</v>
      </c>
      <c r="F110" s="76">
        <v>310928</v>
      </c>
      <c r="G110" s="76">
        <v>82736</v>
      </c>
      <c r="H110" s="76">
        <v>137745</v>
      </c>
      <c r="I110" s="76">
        <v>132362</v>
      </c>
      <c r="J110" s="76">
        <v>149470</v>
      </c>
      <c r="K110" s="76">
        <v>130586</v>
      </c>
      <c r="L110" s="76">
        <v>218751</v>
      </c>
      <c r="M110" s="76">
        <v>265915</v>
      </c>
      <c r="N110" s="76">
        <v>104632</v>
      </c>
      <c r="O110" s="76">
        <v>178712</v>
      </c>
      <c r="P110" s="76">
        <v>127642</v>
      </c>
      <c r="Q110" s="75">
        <v>173838</v>
      </c>
    </row>
    <row r="111" spans="1:17">
      <c r="A111" s="1191">
        <v>445</v>
      </c>
      <c r="B111" s="1192" t="s">
        <v>388</v>
      </c>
      <c r="C111" s="76">
        <v>0</v>
      </c>
      <c r="D111" s="197">
        <v>100</v>
      </c>
      <c r="E111" s="76">
        <v>0</v>
      </c>
      <c r="F111" s="76">
        <v>0</v>
      </c>
      <c r="G111" s="76">
        <v>0</v>
      </c>
      <c r="H111" s="197">
        <v>1000</v>
      </c>
      <c r="I111" s="76">
        <v>1535</v>
      </c>
      <c r="J111" s="197">
        <v>100</v>
      </c>
      <c r="K111" s="197">
        <v>100</v>
      </c>
      <c r="L111" s="76">
        <v>0</v>
      </c>
      <c r="M111" s="76">
        <v>0</v>
      </c>
      <c r="N111" s="76">
        <v>0</v>
      </c>
      <c r="O111" s="76">
        <v>0</v>
      </c>
      <c r="P111" s="76">
        <v>0</v>
      </c>
      <c r="Q111" s="75">
        <v>0</v>
      </c>
    </row>
    <row r="112" spans="1:17">
      <c r="A112" s="1191">
        <v>461</v>
      </c>
      <c r="B112" s="1192" t="s">
        <v>389</v>
      </c>
      <c r="C112" s="76">
        <v>244055</v>
      </c>
      <c r="D112" s="76">
        <v>229812</v>
      </c>
      <c r="E112" s="76">
        <v>285369</v>
      </c>
      <c r="F112" s="76">
        <v>115607</v>
      </c>
      <c r="G112" s="76">
        <v>55312</v>
      </c>
      <c r="H112" s="76">
        <v>76734</v>
      </c>
      <c r="I112" s="76">
        <v>170839</v>
      </c>
      <c r="J112" s="76">
        <v>191457</v>
      </c>
      <c r="K112" s="76">
        <v>390854</v>
      </c>
      <c r="L112" s="76">
        <v>201311</v>
      </c>
      <c r="M112" s="76">
        <v>78173</v>
      </c>
      <c r="N112" s="76">
        <v>151815</v>
      </c>
      <c r="O112" s="76">
        <v>136595</v>
      </c>
      <c r="P112" s="76">
        <v>114614</v>
      </c>
      <c r="Q112" s="75">
        <v>52805</v>
      </c>
    </row>
    <row r="113" spans="1:17">
      <c r="A113" s="1191">
        <v>462</v>
      </c>
      <c r="B113" s="1192" t="s">
        <v>390</v>
      </c>
      <c r="C113" s="76">
        <v>279272</v>
      </c>
      <c r="D113" s="76">
        <v>258779</v>
      </c>
      <c r="E113" s="76">
        <v>250984</v>
      </c>
      <c r="F113" s="76">
        <v>283152</v>
      </c>
      <c r="G113" s="76">
        <v>54018</v>
      </c>
      <c r="H113" s="76">
        <v>114237</v>
      </c>
      <c r="I113" s="76">
        <v>4698</v>
      </c>
      <c r="J113" s="76">
        <v>245512</v>
      </c>
      <c r="K113" s="76">
        <v>232662</v>
      </c>
      <c r="L113" s="76">
        <v>299166</v>
      </c>
      <c r="M113" s="76">
        <v>1231403</v>
      </c>
      <c r="N113" s="76">
        <v>485685</v>
      </c>
      <c r="O113" s="76">
        <v>276861</v>
      </c>
      <c r="P113" s="76">
        <v>145522</v>
      </c>
      <c r="Q113" s="75">
        <v>272275</v>
      </c>
    </row>
    <row r="114" spans="1:17">
      <c r="A114" s="1191">
        <v>463</v>
      </c>
      <c r="B114" s="1192" t="s">
        <v>391</v>
      </c>
      <c r="C114" s="76">
        <v>124886</v>
      </c>
      <c r="D114" s="76">
        <v>257142</v>
      </c>
      <c r="E114" s="76">
        <v>255494</v>
      </c>
      <c r="F114" s="76">
        <v>151176</v>
      </c>
      <c r="G114" s="76">
        <v>106711</v>
      </c>
      <c r="H114" s="76">
        <v>103978</v>
      </c>
      <c r="I114" s="76">
        <v>351993</v>
      </c>
      <c r="J114" s="76">
        <v>175932</v>
      </c>
      <c r="K114" s="76">
        <v>91542</v>
      </c>
      <c r="L114" s="76">
        <v>103737</v>
      </c>
      <c r="M114" s="76">
        <v>93982</v>
      </c>
      <c r="N114" s="76">
        <v>115490</v>
      </c>
      <c r="O114" s="76">
        <v>102586</v>
      </c>
      <c r="P114" s="76">
        <v>49688</v>
      </c>
      <c r="Q114" s="75">
        <v>55039</v>
      </c>
    </row>
    <row r="115" spans="1:17">
      <c r="A115" s="1191">
        <v>464</v>
      </c>
      <c r="B115" s="1192" t="s">
        <v>208</v>
      </c>
      <c r="C115" s="76">
        <v>1195940</v>
      </c>
      <c r="D115" s="76">
        <v>1459110</v>
      </c>
      <c r="E115" s="76">
        <v>1277570</v>
      </c>
      <c r="F115" s="76">
        <v>723354</v>
      </c>
      <c r="G115" s="76">
        <v>899235</v>
      </c>
      <c r="H115" s="76">
        <v>1193516</v>
      </c>
      <c r="I115" s="76">
        <v>688554</v>
      </c>
      <c r="J115" s="76">
        <v>1019936</v>
      </c>
      <c r="K115" s="76">
        <v>1143429</v>
      </c>
      <c r="L115" s="76">
        <v>1420073</v>
      </c>
      <c r="M115" s="76">
        <v>859486</v>
      </c>
      <c r="N115" s="76">
        <v>917143</v>
      </c>
      <c r="O115" s="76">
        <v>410405</v>
      </c>
      <c r="P115" s="76">
        <v>307561</v>
      </c>
      <c r="Q115" s="75">
        <v>377070</v>
      </c>
    </row>
    <row r="116" spans="1:17">
      <c r="A116" s="1195">
        <v>481</v>
      </c>
      <c r="B116" s="1196" t="s">
        <v>209</v>
      </c>
      <c r="C116" s="76">
        <v>76000</v>
      </c>
      <c r="D116" s="76">
        <v>105875</v>
      </c>
      <c r="E116" s="76">
        <v>56098</v>
      </c>
      <c r="F116" s="76">
        <v>59101</v>
      </c>
      <c r="G116" s="76">
        <v>48317</v>
      </c>
      <c r="H116" s="76">
        <v>39148</v>
      </c>
      <c r="I116" s="76">
        <v>88958</v>
      </c>
      <c r="J116" s="76">
        <v>150772</v>
      </c>
      <c r="K116" s="76">
        <v>38260</v>
      </c>
      <c r="L116" s="76">
        <v>58784</v>
      </c>
      <c r="M116" s="76">
        <v>46375</v>
      </c>
      <c r="N116" s="76">
        <v>93351</v>
      </c>
      <c r="O116" s="76">
        <v>38356</v>
      </c>
      <c r="P116" s="76">
        <v>97521</v>
      </c>
      <c r="Q116" s="75">
        <v>111047</v>
      </c>
    </row>
    <row r="117" spans="1:17">
      <c r="A117" s="1195">
        <v>501</v>
      </c>
      <c r="B117" s="1196" t="s">
        <v>335</v>
      </c>
      <c r="C117" s="76">
        <v>8104</v>
      </c>
      <c r="D117" s="76">
        <v>23188</v>
      </c>
      <c r="E117" s="76">
        <v>10970</v>
      </c>
      <c r="F117" s="76">
        <v>5283</v>
      </c>
      <c r="G117" s="76">
        <v>7201</v>
      </c>
      <c r="H117" s="76">
        <v>24879</v>
      </c>
      <c r="I117" s="76">
        <v>21970</v>
      </c>
      <c r="J117" s="76">
        <v>37107</v>
      </c>
      <c r="K117" s="76">
        <v>31704</v>
      </c>
      <c r="L117" s="76">
        <v>16311</v>
      </c>
      <c r="M117" s="76">
        <v>13726</v>
      </c>
      <c r="N117" s="76">
        <v>20468</v>
      </c>
      <c r="O117" s="76">
        <v>13303</v>
      </c>
      <c r="P117" s="76">
        <v>6734</v>
      </c>
      <c r="Q117" s="75">
        <v>10312</v>
      </c>
    </row>
    <row r="118" spans="1:17">
      <c r="A118" s="1195">
        <v>502</v>
      </c>
      <c r="B118" s="1196" t="s">
        <v>392</v>
      </c>
      <c r="C118" s="76">
        <v>44177</v>
      </c>
      <c r="D118" s="76">
        <v>265025</v>
      </c>
      <c r="E118" s="76">
        <v>141331</v>
      </c>
      <c r="F118" s="76">
        <v>37801</v>
      </c>
      <c r="G118" s="76">
        <v>34492</v>
      </c>
      <c r="H118" s="76">
        <v>19406</v>
      </c>
      <c r="I118" s="76">
        <v>10174</v>
      </c>
      <c r="J118" s="76">
        <v>33495</v>
      </c>
      <c r="K118" s="76">
        <v>49003</v>
      </c>
      <c r="L118" s="76">
        <v>38081</v>
      </c>
      <c r="M118" s="76">
        <v>35938</v>
      </c>
      <c r="N118" s="76">
        <v>54899</v>
      </c>
      <c r="O118" s="76">
        <v>19718</v>
      </c>
      <c r="P118" s="76">
        <v>15876</v>
      </c>
      <c r="Q118" s="75">
        <v>15731</v>
      </c>
    </row>
    <row r="119" spans="1:17">
      <c r="A119" s="1195">
        <v>503</v>
      </c>
      <c r="B119" s="1196" t="s">
        <v>393</v>
      </c>
      <c r="C119" s="197">
        <v>1000</v>
      </c>
      <c r="D119" s="197">
        <v>1000</v>
      </c>
      <c r="E119" s="197">
        <f>1000-89</f>
        <v>911</v>
      </c>
      <c r="F119" s="197">
        <f>1000-159</f>
        <v>841</v>
      </c>
      <c r="G119" s="197">
        <v>2680</v>
      </c>
      <c r="H119" s="197">
        <v>4000</v>
      </c>
      <c r="I119" s="197">
        <v>3000</v>
      </c>
      <c r="J119" s="197">
        <v>1000</v>
      </c>
      <c r="K119" s="197">
        <v>2442</v>
      </c>
      <c r="L119" s="197">
        <v>1000</v>
      </c>
      <c r="M119" s="197">
        <v>1000</v>
      </c>
      <c r="N119" s="197">
        <v>1000</v>
      </c>
      <c r="O119" s="197">
        <v>1000</v>
      </c>
      <c r="P119" s="76">
        <v>4295</v>
      </c>
      <c r="Q119" s="75">
        <v>13250</v>
      </c>
    </row>
    <row r="120" spans="1:17">
      <c r="A120" s="1195">
        <v>504</v>
      </c>
      <c r="B120" s="1196" t="s">
        <v>394</v>
      </c>
      <c r="C120" s="197">
        <v>2617</v>
      </c>
      <c r="D120" s="197">
        <v>4717</v>
      </c>
      <c r="E120" s="76">
        <v>0</v>
      </c>
      <c r="F120" s="76">
        <v>9030</v>
      </c>
      <c r="G120" s="76">
        <v>4395</v>
      </c>
      <c r="H120" s="197">
        <v>9059</v>
      </c>
      <c r="I120" s="197">
        <v>3355</v>
      </c>
      <c r="J120" s="197">
        <v>1000</v>
      </c>
      <c r="K120" s="197">
        <v>2442</v>
      </c>
      <c r="L120" s="197">
        <v>1000</v>
      </c>
      <c r="M120" s="197">
        <v>1000</v>
      </c>
      <c r="N120" s="76">
        <v>0</v>
      </c>
      <c r="O120" s="76">
        <v>0</v>
      </c>
      <c r="P120" s="76">
        <v>0</v>
      </c>
      <c r="Q120" s="75">
        <v>0</v>
      </c>
    </row>
    <row r="121" spans="1:17">
      <c r="A121" s="1195">
        <v>521</v>
      </c>
      <c r="B121" s="1196" t="s">
        <v>395</v>
      </c>
      <c r="C121" s="76">
        <v>97089</v>
      </c>
      <c r="D121" s="76">
        <v>173817</v>
      </c>
      <c r="E121" s="76">
        <v>147615</v>
      </c>
      <c r="F121" s="76">
        <v>130614</v>
      </c>
      <c r="G121" s="76">
        <v>79266</v>
      </c>
      <c r="H121" s="76">
        <v>228153</v>
      </c>
      <c r="I121" s="76">
        <v>344768</v>
      </c>
      <c r="J121" s="76">
        <v>191013</v>
      </c>
      <c r="K121" s="76">
        <v>128013</v>
      </c>
      <c r="L121" s="76">
        <v>87743</v>
      </c>
      <c r="M121" s="76">
        <v>104330</v>
      </c>
      <c r="N121" s="76">
        <v>110325</v>
      </c>
      <c r="O121" s="76">
        <v>71015</v>
      </c>
      <c r="P121" s="76">
        <v>38554</v>
      </c>
      <c r="Q121" s="75">
        <v>99240</v>
      </c>
    </row>
    <row r="122" spans="1:17">
      <c r="A122" s="1197">
        <v>522</v>
      </c>
      <c r="B122" s="1198" t="s">
        <v>396</v>
      </c>
      <c r="C122" s="76">
        <v>68191</v>
      </c>
      <c r="D122" s="76">
        <v>93957</v>
      </c>
      <c r="E122" s="76">
        <v>50095</v>
      </c>
      <c r="F122" s="76">
        <v>133159</v>
      </c>
      <c r="G122" s="76">
        <v>105915</v>
      </c>
      <c r="H122" s="76">
        <v>54776</v>
      </c>
      <c r="I122" s="76">
        <v>59174</v>
      </c>
      <c r="J122" s="76">
        <v>67026</v>
      </c>
      <c r="K122" s="76">
        <v>28174</v>
      </c>
      <c r="L122" s="76">
        <v>29333</v>
      </c>
      <c r="M122" s="76">
        <v>39126</v>
      </c>
      <c r="N122" s="76">
        <v>127784</v>
      </c>
      <c r="O122" s="76">
        <v>101783</v>
      </c>
      <c r="P122" s="76">
        <v>76750</v>
      </c>
      <c r="Q122" s="75">
        <v>126654</v>
      </c>
    </row>
    <row r="123" spans="1:17">
      <c r="A123" s="1195">
        <v>523</v>
      </c>
      <c r="B123" s="1196" t="s">
        <v>776</v>
      </c>
      <c r="C123" s="76">
        <v>13383</v>
      </c>
      <c r="D123" s="76">
        <v>19609</v>
      </c>
      <c r="E123" s="76">
        <v>20970</v>
      </c>
      <c r="F123" s="76">
        <v>9317</v>
      </c>
      <c r="G123" s="76">
        <v>9020</v>
      </c>
      <c r="H123" s="76">
        <v>16423</v>
      </c>
      <c r="I123" s="76">
        <v>7424</v>
      </c>
      <c r="J123" s="76">
        <v>10266</v>
      </c>
      <c r="K123" s="76">
        <v>5761</v>
      </c>
      <c r="L123" s="76">
        <v>7061</v>
      </c>
      <c r="M123" s="76">
        <v>4805</v>
      </c>
      <c r="N123" s="76">
        <v>6306</v>
      </c>
      <c r="O123" s="76">
        <v>4874</v>
      </c>
      <c r="P123" s="76">
        <v>4396</v>
      </c>
      <c r="Q123" s="75">
        <v>7669</v>
      </c>
    </row>
    <row r="124" spans="1:17">
      <c r="A124" s="1195">
        <v>524</v>
      </c>
      <c r="B124" s="1196" t="s">
        <v>398</v>
      </c>
      <c r="C124" s="197">
        <v>1000</v>
      </c>
      <c r="D124" s="197">
        <v>1000</v>
      </c>
      <c r="E124" s="197">
        <v>100</v>
      </c>
      <c r="F124" s="197">
        <v>100</v>
      </c>
      <c r="G124" s="197">
        <v>100</v>
      </c>
      <c r="H124" s="197">
        <v>4000</v>
      </c>
      <c r="I124" s="197">
        <v>100</v>
      </c>
      <c r="J124" s="197">
        <v>100</v>
      </c>
      <c r="K124" s="197">
        <v>100</v>
      </c>
      <c r="L124" s="197">
        <v>1000</v>
      </c>
      <c r="M124" s="197">
        <v>1000</v>
      </c>
      <c r="N124" s="197">
        <v>1000</v>
      </c>
      <c r="O124" s="197">
        <v>1461</v>
      </c>
      <c r="P124" s="197">
        <v>4225</v>
      </c>
      <c r="Q124" s="257">
        <v>3530</v>
      </c>
    </row>
    <row r="125" spans="1:17">
      <c r="A125" s="1195">
        <v>525</v>
      </c>
      <c r="B125" s="1196" t="s">
        <v>399</v>
      </c>
      <c r="C125" s="76">
        <v>1041</v>
      </c>
      <c r="D125" s="76">
        <v>242</v>
      </c>
      <c r="E125" s="197">
        <v>200</v>
      </c>
      <c r="F125" s="197">
        <v>200</v>
      </c>
      <c r="G125" s="197">
        <v>200</v>
      </c>
      <c r="H125" s="197">
        <v>4000</v>
      </c>
      <c r="I125" s="197">
        <v>200</v>
      </c>
      <c r="J125" s="197">
        <v>200</v>
      </c>
      <c r="K125" s="197">
        <v>200</v>
      </c>
      <c r="L125" s="76">
        <v>0</v>
      </c>
      <c r="M125" s="76">
        <v>0</v>
      </c>
      <c r="N125" s="76">
        <v>0</v>
      </c>
      <c r="O125" s="197">
        <v>200</v>
      </c>
      <c r="P125" s="197">
        <v>200</v>
      </c>
      <c r="Q125" s="257">
        <v>200</v>
      </c>
    </row>
    <row r="126" spans="1:17">
      <c r="A126" s="1195">
        <v>541</v>
      </c>
      <c r="B126" s="1196" t="s">
        <v>400</v>
      </c>
      <c r="C126" s="76">
        <v>0</v>
      </c>
      <c r="D126" s="76">
        <v>0</v>
      </c>
      <c r="E126" s="76">
        <v>0</v>
      </c>
      <c r="F126" s="76">
        <v>0</v>
      </c>
      <c r="G126" s="76">
        <v>0</v>
      </c>
      <c r="H126" s="76">
        <v>0</v>
      </c>
      <c r="I126" s="76">
        <v>0</v>
      </c>
      <c r="J126" s="76">
        <v>0</v>
      </c>
      <c r="K126" s="76">
        <v>0</v>
      </c>
      <c r="L126" s="76">
        <v>0</v>
      </c>
      <c r="M126" s="76">
        <v>0</v>
      </c>
      <c r="N126" s="76">
        <v>0</v>
      </c>
      <c r="O126" s="76">
        <v>0</v>
      </c>
      <c r="P126" s="76">
        <v>0</v>
      </c>
      <c r="Q126" s="75">
        <v>0</v>
      </c>
    </row>
    <row r="127" spans="1:17">
      <c r="A127" s="1195">
        <v>542</v>
      </c>
      <c r="B127" s="1196" t="s">
        <v>401</v>
      </c>
      <c r="C127" s="197">
        <v>9410</v>
      </c>
      <c r="D127" s="197">
        <v>12267</v>
      </c>
      <c r="E127" s="197">
        <v>100</v>
      </c>
      <c r="F127" s="197">
        <v>100</v>
      </c>
      <c r="G127" s="76">
        <v>0</v>
      </c>
      <c r="H127" s="76">
        <v>0</v>
      </c>
      <c r="I127" s="197">
        <v>100</v>
      </c>
      <c r="J127" s="197">
        <v>100</v>
      </c>
      <c r="K127" s="197">
        <v>100</v>
      </c>
      <c r="L127" s="76">
        <v>0</v>
      </c>
      <c r="M127" s="76">
        <v>0</v>
      </c>
      <c r="N127" s="76">
        <v>0</v>
      </c>
      <c r="O127" s="76">
        <v>0</v>
      </c>
      <c r="P127" s="76">
        <v>0</v>
      </c>
      <c r="Q127" s="75">
        <v>0</v>
      </c>
    </row>
    <row r="128" spans="1:17">
      <c r="A128" s="1195">
        <v>543</v>
      </c>
      <c r="B128" s="1196" t="s">
        <v>402</v>
      </c>
      <c r="C128" s="76">
        <v>41322</v>
      </c>
      <c r="D128" s="76">
        <v>50656</v>
      </c>
      <c r="E128" s="76">
        <v>45018</v>
      </c>
      <c r="F128" s="76">
        <v>77417</v>
      </c>
      <c r="G128" s="76">
        <v>70317</v>
      </c>
      <c r="H128" s="76">
        <v>63290</v>
      </c>
      <c r="I128" s="76">
        <v>68717</v>
      </c>
      <c r="J128" s="76">
        <v>69923</v>
      </c>
      <c r="K128" s="76">
        <v>38181</v>
      </c>
      <c r="L128" s="76">
        <v>38848</v>
      </c>
      <c r="M128" s="76">
        <v>43363</v>
      </c>
      <c r="N128" s="76">
        <v>27308</v>
      </c>
      <c r="O128" s="76">
        <v>27892</v>
      </c>
      <c r="P128" s="76">
        <v>23553</v>
      </c>
      <c r="Q128" s="75">
        <v>22838</v>
      </c>
    </row>
    <row r="129" spans="1:17">
      <c r="A129" s="1195">
        <v>544</v>
      </c>
      <c r="B129" s="1196" t="s">
        <v>403</v>
      </c>
      <c r="C129" s="76">
        <v>116761</v>
      </c>
      <c r="D129" s="76">
        <v>160416</v>
      </c>
      <c r="E129" s="76">
        <v>85705</v>
      </c>
      <c r="F129" s="76">
        <v>59618</v>
      </c>
      <c r="G129" s="76">
        <v>99000</v>
      </c>
      <c r="H129" s="76">
        <v>10790</v>
      </c>
      <c r="I129" s="76">
        <v>73998</v>
      </c>
      <c r="J129" s="76">
        <v>62534</v>
      </c>
      <c r="K129" s="76">
        <v>59667</v>
      </c>
      <c r="L129" s="76">
        <v>46396</v>
      </c>
      <c r="M129" s="76">
        <v>99121</v>
      </c>
      <c r="N129" s="76">
        <v>46058</v>
      </c>
      <c r="O129" s="76">
        <v>40163</v>
      </c>
      <c r="P129" s="76">
        <v>17839</v>
      </c>
      <c r="Q129" s="75">
        <v>38899</v>
      </c>
    </row>
    <row r="130" spans="1:17">
      <c r="A130" s="1195">
        <v>561</v>
      </c>
      <c r="B130" s="1196" t="s">
        <v>404</v>
      </c>
      <c r="C130" s="76">
        <v>122527</v>
      </c>
      <c r="D130" s="76">
        <v>911648</v>
      </c>
      <c r="E130" s="76">
        <v>149005</v>
      </c>
      <c r="F130" s="76">
        <v>113927</v>
      </c>
      <c r="G130" s="76">
        <v>75923</v>
      </c>
      <c r="H130" s="76">
        <v>72674</v>
      </c>
      <c r="I130" s="76">
        <v>439778</v>
      </c>
      <c r="J130" s="76">
        <v>202837</v>
      </c>
      <c r="K130" s="76">
        <v>274017</v>
      </c>
      <c r="L130" s="76">
        <v>317688</v>
      </c>
      <c r="M130" s="76">
        <v>276981</v>
      </c>
      <c r="N130" s="76">
        <v>185897</v>
      </c>
      <c r="O130" s="76">
        <v>100967</v>
      </c>
      <c r="P130" s="76">
        <v>85900</v>
      </c>
      <c r="Q130" s="75">
        <v>72163</v>
      </c>
    </row>
    <row r="131" spans="1:17">
      <c r="A131" s="1195">
        <v>562</v>
      </c>
      <c r="B131" s="1196" t="s">
        <v>405</v>
      </c>
      <c r="C131" s="76">
        <v>13093</v>
      </c>
      <c r="D131" s="76">
        <v>76496</v>
      </c>
      <c r="E131" s="76">
        <v>51511</v>
      </c>
      <c r="F131" s="76">
        <v>27998</v>
      </c>
      <c r="G131" s="76">
        <v>12892</v>
      </c>
      <c r="H131" s="76">
        <v>3412</v>
      </c>
      <c r="I131" s="76">
        <v>6616</v>
      </c>
      <c r="J131" s="76">
        <v>12782</v>
      </c>
      <c r="K131" s="76">
        <v>2384</v>
      </c>
      <c r="L131" s="76">
        <v>311</v>
      </c>
      <c r="M131" s="76">
        <v>80</v>
      </c>
      <c r="N131" s="76">
        <v>863</v>
      </c>
      <c r="O131" s="76">
        <v>883</v>
      </c>
      <c r="P131" s="76">
        <v>3736</v>
      </c>
      <c r="Q131" s="75">
        <v>5196</v>
      </c>
    </row>
    <row r="132" spans="1:17">
      <c r="A132" s="1195">
        <v>581</v>
      </c>
      <c r="B132" s="1196" t="s">
        <v>406</v>
      </c>
      <c r="C132" s="76">
        <v>10926</v>
      </c>
      <c r="D132" s="76">
        <v>25081</v>
      </c>
      <c r="E132" s="76">
        <v>27912</v>
      </c>
      <c r="F132" s="76">
        <v>34</v>
      </c>
      <c r="G132" s="76">
        <v>382</v>
      </c>
      <c r="H132" s="76">
        <v>9861</v>
      </c>
      <c r="I132" s="76">
        <v>15077</v>
      </c>
      <c r="J132" s="76">
        <v>6249</v>
      </c>
      <c r="K132" s="76">
        <v>3780</v>
      </c>
      <c r="L132" s="76">
        <v>6595</v>
      </c>
      <c r="M132" s="76">
        <v>6361</v>
      </c>
      <c r="N132" s="76">
        <v>4616</v>
      </c>
      <c r="O132" s="76">
        <v>7212</v>
      </c>
      <c r="P132" s="76">
        <v>4723</v>
      </c>
      <c r="Q132" s="75">
        <v>5837</v>
      </c>
    </row>
    <row r="133" spans="1:17">
      <c r="A133" s="1195">
        <v>582</v>
      </c>
      <c r="B133" s="1196" t="s">
        <v>407</v>
      </c>
      <c r="C133" s="76">
        <v>16720</v>
      </c>
      <c r="D133" s="76">
        <v>18960</v>
      </c>
      <c r="E133" s="76">
        <v>21932</v>
      </c>
      <c r="F133" s="76">
        <v>58618</v>
      </c>
      <c r="G133" s="76">
        <v>25799</v>
      </c>
      <c r="H133" s="76">
        <v>39218</v>
      </c>
      <c r="I133" s="76">
        <v>53294</v>
      </c>
      <c r="J133" s="76">
        <v>41377</v>
      </c>
      <c r="K133" s="76">
        <v>32470</v>
      </c>
      <c r="L133" s="76">
        <v>18927</v>
      </c>
      <c r="M133" s="76">
        <v>17146</v>
      </c>
      <c r="N133" s="76">
        <v>19968</v>
      </c>
      <c r="O133" s="76">
        <v>14830</v>
      </c>
      <c r="P133" s="76">
        <v>44045</v>
      </c>
      <c r="Q133" s="75">
        <v>30604</v>
      </c>
    </row>
    <row r="134" spans="1:17">
      <c r="A134" s="1195">
        <v>583</v>
      </c>
      <c r="B134" s="1196" t="s">
        <v>408</v>
      </c>
      <c r="C134" s="197">
        <v>1000</v>
      </c>
      <c r="D134" s="197">
        <v>1000</v>
      </c>
      <c r="E134" s="197">
        <v>100</v>
      </c>
      <c r="F134" s="197">
        <v>100</v>
      </c>
      <c r="G134" s="76">
        <v>0</v>
      </c>
      <c r="H134" s="76">
        <v>0</v>
      </c>
      <c r="I134" s="197">
        <v>100</v>
      </c>
      <c r="J134" s="197">
        <v>100</v>
      </c>
      <c r="K134" s="197">
        <v>100</v>
      </c>
      <c r="L134" s="76">
        <v>0</v>
      </c>
      <c r="M134" s="76">
        <v>0</v>
      </c>
      <c r="N134" s="76">
        <v>0</v>
      </c>
      <c r="O134" s="76">
        <v>0</v>
      </c>
      <c r="P134" s="76">
        <v>0</v>
      </c>
      <c r="Q134" s="75">
        <v>0</v>
      </c>
    </row>
    <row r="135" spans="1:17">
      <c r="A135" s="1195">
        <v>584</v>
      </c>
      <c r="B135" s="1196" t="s">
        <v>409</v>
      </c>
      <c r="C135" s="76">
        <v>1180</v>
      </c>
      <c r="D135" s="76">
        <v>2649</v>
      </c>
      <c r="E135" s="76">
        <v>10343</v>
      </c>
      <c r="F135" s="76">
        <v>300</v>
      </c>
      <c r="G135" s="197">
        <v>300</v>
      </c>
      <c r="H135" s="197">
        <v>300</v>
      </c>
      <c r="I135" s="197">
        <v>300</v>
      </c>
      <c r="J135" s="197">
        <v>300</v>
      </c>
      <c r="K135" s="197">
        <v>300</v>
      </c>
      <c r="L135" s="197">
        <v>300</v>
      </c>
      <c r="M135" s="197">
        <v>300</v>
      </c>
      <c r="N135" s="197">
        <v>300</v>
      </c>
      <c r="O135" s="197">
        <v>300</v>
      </c>
      <c r="P135" s="197">
        <v>300</v>
      </c>
      <c r="Q135" s="257">
        <v>300</v>
      </c>
    </row>
    <row r="136" spans="1:17">
      <c r="A136" s="1195">
        <v>601</v>
      </c>
      <c r="B136" s="1196" t="s">
        <v>410</v>
      </c>
      <c r="C136" s="76">
        <v>82969</v>
      </c>
      <c r="D136" s="76">
        <v>102624</v>
      </c>
      <c r="E136" s="76">
        <v>67295</v>
      </c>
      <c r="F136" s="76">
        <v>39415</v>
      </c>
      <c r="G136" s="76">
        <v>51895</v>
      </c>
      <c r="H136" s="76">
        <v>73681</v>
      </c>
      <c r="I136" s="76">
        <v>42280</v>
      </c>
      <c r="J136" s="76">
        <v>34688</v>
      </c>
      <c r="K136" s="76">
        <v>25815</v>
      </c>
      <c r="L136" s="76">
        <v>24964</v>
      </c>
      <c r="M136" s="76">
        <v>33355</v>
      </c>
      <c r="N136" s="76">
        <v>64194</v>
      </c>
      <c r="O136" s="76">
        <v>33427</v>
      </c>
      <c r="P136" s="76">
        <v>54579</v>
      </c>
      <c r="Q136" s="200"/>
    </row>
    <row r="137" spans="1:17">
      <c r="A137" s="1195">
        <v>602</v>
      </c>
      <c r="B137" s="1196" t="s">
        <v>411</v>
      </c>
      <c r="C137" s="76">
        <v>227956</v>
      </c>
      <c r="D137" s="76">
        <v>150913</v>
      </c>
      <c r="E137" s="76">
        <v>279548</v>
      </c>
      <c r="F137" s="76">
        <v>193165</v>
      </c>
      <c r="G137" s="76">
        <v>84285</v>
      </c>
      <c r="H137" s="76">
        <v>52172</v>
      </c>
      <c r="I137" s="76">
        <v>255269</v>
      </c>
      <c r="J137" s="76">
        <v>500730</v>
      </c>
      <c r="K137" s="76">
        <v>261593</v>
      </c>
      <c r="L137" s="76">
        <v>91411</v>
      </c>
      <c r="M137" s="76">
        <v>72083</v>
      </c>
      <c r="N137" s="76">
        <v>50634</v>
      </c>
      <c r="O137" s="76">
        <v>33534</v>
      </c>
      <c r="P137" s="76">
        <v>31787</v>
      </c>
      <c r="Q137" s="200"/>
    </row>
    <row r="138" spans="1:17">
      <c r="A138" s="1195">
        <v>603</v>
      </c>
      <c r="B138" s="1196" t="s">
        <v>412</v>
      </c>
      <c r="C138" s="76">
        <v>8933</v>
      </c>
      <c r="D138" s="76">
        <v>24633</v>
      </c>
      <c r="E138" s="76">
        <v>13098</v>
      </c>
      <c r="F138" s="76">
        <v>10619</v>
      </c>
      <c r="G138" s="76">
        <v>3946</v>
      </c>
      <c r="H138" s="76">
        <v>14183</v>
      </c>
      <c r="I138" s="76">
        <v>11678</v>
      </c>
      <c r="J138" s="76">
        <v>9636</v>
      </c>
      <c r="K138" s="76">
        <v>47663</v>
      </c>
      <c r="L138" s="76">
        <v>26236</v>
      </c>
      <c r="M138" s="197">
        <v>20000</v>
      </c>
      <c r="N138" s="197">
        <v>20000</v>
      </c>
      <c r="O138" s="197">
        <v>20000</v>
      </c>
      <c r="P138" s="197">
        <v>20000</v>
      </c>
      <c r="Q138" s="200"/>
    </row>
    <row r="139" spans="1:17">
      <c r="A139" s="1195">
        <v>604</v>
      </c>
      <c r="B139" s="1196" t="s">
        <v>416</v>
      </c>
      <c r="C139" s="76">
        <v>10150</v>
      </c>
      <c r="D139" s="76">
        <v>12688</v>
      </c>
      <c r="E139" s="76">
        <v>18515</v>
      </c>
      <c r="F139" s="76">
        <v>36120</v>
      </c>
      <c r="G139" s="76">
        <v>8302</v>
      </c>
      <c r="H139" s="76">
        <v>98</v>
      </c>
      <c r="I139" s="76">
        <v>8059</v>
      </c>
      <c r="J139" s="76">
        <v>36661</v>
      </c>
      <c r="K139" s="76">
        <v>10584</v>
      </c>
      <c r="L139" s="76">
        <v>11759</v>
      </c>
      <c r="M139" s="76">
        <v>50246</v>
      </c>
      <c r="N139" s="76">
        <v>13185</v>
      </c>
      <c r="O139" s="76">
        <v>11477</v>
      </c>
      <c r="P139" s="76">
        <v>7102</v>
      </c>
      <c r="Q139" s="200"/>
    </row>
    <row r="140" spans="1:17">
      <c r="A140" s="1195">
        <v>621</v>
      </c>
      <c r="B140" s="1196" t="s">
        <v>418</v>
      </c>
      <c r="C140" s="76">
        <v>634514</v>
      </c>
      <c r="D140" s="76">
        <v>294739</v>
      </c>
      <c r="E140" s="76">
        <v>537214</v>
      </c>
      <c r="F140" s="76">
        <v>648171</v>
      </c>
      <c r="G140" s="76">
        <v>162709</v>
      </c>
      <c r="H140" s="76">
        <v>184908</v>
      </c>
      <c r="I140" s="76">
        <v>174078</v>
      </c>
      <c r="J140" s="76">
        <v>1067260</v>
      </c>
      <c r="K140" s="76">
        <v>266808</v>
      </c>
      <c r="L140" s="76">
        <v>254662</v>
      </c>
      <c r="M140" s="76">
        <v>503837</v>
      </c>
      <c r="N140" s="76">
        <v>304459</v>
      </c>
      <c r="O140" s="76">
        <v>77972</v>
      </c>
      <c r="P140" s="76">
        <v>98278</v>
      </c>
      <c r="Q140" s="75">
        <v>168952</v>
      </c>
    </row>
    <row r="141" spans="1:17">
      <c r="A141" s="1195">
        <v>622</v>
      </c>
      <c r="B141" s="1196" t="s">
        <v>419</v>
      </c>
      <c r="C141" s="76">
        <v>189013</v>
      </c>
      <c r="D141" s="76">
        <v>85246</v>
      </c>
      <c r="E141" s="76">
        <v>69756</v>
      </c>
      <c r="F141" s="76">
        <v>88442</v>
      </c>
      <c r="G141" s="76">
        <v>143095</v>
      </c>
      <c r="H141" s="76">
        <v>137653</v>
      </c>
      <c r="I141" s="76">
        <v>104859</v>
      </c>
      <c r="J141" s="76">
        <v>165492</v>
      </c>
      <c r="K141" s="76">
        <v>295237</v>
      </c>
      <c r="L141" s="76">
        <v>132533</v>
      </c>
      <c r="M141" s="76">
        <v>113978</v>
      </c>
      <c r="N141" s="76">
        <v>204820</v>
      </c>
      <c r="O141" s="76">
        <v>144303</v>
      </c>
      <c r="P141" s="76">
        <v>62699</v>
      </c>
      <c r="Q141" s="75">
        <v>69870</v>
      </c>
    </row>
    <row r="142" spans="1:17">
      <c r="A142" s="1195">
        <v>623</v>
      </c>
      <c r="B142" s="1196" t="s">
        <v>420</v>
      </c>
      <c r="C142" s="76">
        <v>28468</v>
      </c>
      <c r="D142" s="76">
        <v>30227</v>
      </c>
      <c r="E142" s="76">
        <v>36012</v>
      </c>
      <c r="F142" s="76">
        <v>45923</v>
      </c>
      <c r="G142" s="197">
        <v>26355</v>
      </c>
      <c r="H142" s="197">
        <v>24444</v>
      </c>
      <c r="I142" s="197">
        <v>6901</v>
      </c>
      <c r="J142" s="197">
        <v>21129</v>
      </c>
      <c r="K142" s="197">
        <f>17862-3863</f>
        <v>13999</v>
      </c>
      <c r="L142" s="197">
        <v>26071</v>
      </c>
      <c r="M142" s="197">
        <v>22194</v>
      </c>
      <c r="N142" s="197">
        <v>107394</v>
      </c>
      <c r="O142" s="197">
        <v>103621</v>
      </c>
      <c r="P142" s="197">
        <v>10344</v>
      </c>
      <c r="Q142" s="257">
        <v>29748</v>
      </c>
    </row>
    <row r="143" spans="1:17">
      <c r="A143" s="1195">
        <v>624</v>
      </c>
      <c r="B143" s="1196" t="s">
        <v>421</v>
      </c>
      <c r="C143" s="76">
        <v>11451</v>
      </c>
      <c r="D143" s="76">
        <v>4501</v>
      </c>
      <c r="E143" s="197">
        <v>76547</v>
      </c>
      <c r="F143" s="197">
        <v>6625</v>
      </c>
      <c r="G143" s="76">
        <v>62879</v>
      </c>
      <c r="H143" s="76">
        <v>9210</v>
      </c>
      <c r="I143" s="76">
        <v>149436</v>
      </c>
      <c r="J143" s="76">
        <v>148453</v>
      </c>
      <c r="K143" s="76">
        <v>6188</v>
      </c>
      <c r="L143" s="76">
        <v>3381</v>
      </c>
      <c r="M143" s="76">
        <v>3473</v>
      </c>
      <c r="N143" s="76">
        <v>3755</v>
      </c>
      <c r="O143" s="76">
        <v>10744</v>
      </c>
      <c r="P143" s="76">
        <v>8359</v>
      </c>
      <c r="Q143" s="75">
        <v>7310</v>
      </c>
    </row>
    <row r="144" spans="1:17">
      <c r="A144" s="1195">
        <v>641</v>
      </c>
      <c r="B144" s="1196" t="s">
        <v>422</v>
      </c>
      <c r="C144" s="76">
        <v>237245</v>
      </c>
      <c r="D144" s="76">
        <v>249041</v>
      </c>
      <c r="E144" s="76">
        <v>213934</v>
      </c>
      <c r="F144" s="76">
        <v>17930</v>
      </c>
      <c r="G144" s="76">
        <v>143277</v>
      </c>
      <c r="H144" s="76">
        <v>128131</v>
      </c>
      <c r="I144" s="76">
        <v>134107</v>
      </c>
      <c r="J144" s="76">
        <v>112046</v>
      </c>
      <c r="K144" s="76">
        <v>112039</v>
      </c>
      <c r="L144" s="76">
        <v>80743</v>
      </c>
      <c r="M144" s="76">
        <v>92400</v>
      </c>
      <c r="N144" s="76">
        <v>123989</v>
      </c>
      <c r="O144" s="76">
        <v>106039</v>
      </c>
      <c r="P144" s="76">
        <v>134742</v>
      </c>
      <c r="Q144" s="200"/>
    </row>
    <row r="145" spans="1:17">
      <c r="A145" s="1195">
        <v>642</v>
      </c>
      <c r="B145" s="1196" t="s">
        <v>423</v>
      </c>
      <c r="C145" s="76">
        <v>177583</v>
      </c>
      <c r="D145" s="76">
        <v>135522</v>
      </c>
      <c r="E145" s="76">
        <v>164053</v>
      </c>
      <c r="F145" s="76">
        <v>55493</v>
      </c>
      <c r="G145" s="76">
        <v>54022</v>
      </c>
      <c r="H145" s="76">
        <v>91847</v>
      </c>
      <c r="I145" s="76">
        <v>162258</v>
      </c>
      <c r="J145" s="76">
        <v>262188</v>
      </c>
      <c r="K145" s="76">
        <v>196330</v>
      </c>
      <c r="L145" s="76">
        <v>105529</v>
      </c>
      <c r="M145" s="76">
        <v>98401</v>
      </c>
      <c r="N145" s="76">
        <v>72284</v>
      </c>
      <c r="O145" s="76">
        <v>71758</v>
      </c>
      <c r="P145" s="76">
        <v>46995</v>
      </c>
      <c r="Q145" s="200"/>
    </row>
    <row r="146" spans="1:17">
      <c r="A146" s="1195">
        <v>643</v>
      </c>
      <c r="B146" s="1196" t="s">
        <v>424</v>
      </c>
      <c r="C146" s="197">
        <v>4855</v>
      </c>
      <c r="D146" s="197">
        <v>34868</v>
      </c>
      <c r="E146" s="197">
        <v>79951</v>
      </c>
      <c r="F146" s="76">
        <v>7716</v>
      </c>
      <c r="G146" s="76">
        <v>3475</v>
      </c>
      <c r="H146" s="76">
        <v>9834</v>
      </c>
      <c r="I146" s="76">
        <v>18685</v>
      </c>
      <c r="J146" s="197">
        <v>32551</v>
      </c>
      <c r="K146" s="197">
        <v>25862</v>
      </c>
      <c r="L146" s="76">
        <v>8024</v>
      </c>
      <c r="M146" s="76">
        <v>10865</v>
      </c>
      <c r="N146" s="76">
        <v>13922</v>
      </c>
      <c r="O146" s="76">
        <v>24894</v>
      </c>
      <c r="P146" s="76">
        <v>1706</v>
      </c>
      <c r="Q146" s="200"/>
    </row>
    <row r="147" spans="1:17">
      <c r="A147" s="1195">
        <v>644</v>
      </c>
      <c r="B147" s="1196" t="s">
        <v>425</v>
      </c>
      <c r="C147" s="76">
        <v>133023</v>
      </c>
      <c r="D147" s="76">
        <v>96772</v>
      </c>
      <c r="E147" s="76">
        <v>106030</v>
      </c>
      <c r="F147" s="76">
        <v>72238</v>
      </c>
      <c r="G147" s="76">
        <v>65073</v>
      </c>
      <c r="H147" s="76">
        <v>95437</v>
      </c>
      <c r="I147" s="76">
        <v>186182</v>
      </c>
      <c r="J147" s="76">
        <v>142200</v>
      </c>
      <c r="K147" s="76">
        <v>44062</v>
      </c>
      <c r="L147" s="76">
        <v>26270</v>
      </c>
      <c r="M147" s="76">
        <v>33125</v>
      </c>
      <c r="N147" s="76">
        <v>14137</v>
      </c>
      <c r="O147" s="76">
        <v>54814</v>
      </c>
      <c r="P147" s="76">
        <v>142587</v>
      </c>
      <c r="Q147" s="200"/>
    </row>
    <row r="148" spans="1:17">
      <c r="A148" s="1195">
        <v>645</v>
      </c>
      <c r="B148" s="1196" t="s">
        <v>426</v>
      </c>
      <c r="C148" s="76">
        <v>328842</v>
      </c>
      <c r="D148" s="76">
        <v>255057</v>
      </c>
      <c r="E148" s="76">
        <v>221860</v>
      </c>
      <c r="F148" s="76">
        <v>388997</v>
      </c>
      <c r="G148" s="76">
        <v>48466</v>
      </c>
      <c r="H148" s="76">
        <v>40979</v>
      </c>
      <c r="I148" s="76">
        <v>112157</v>
      </c>
      <c r="J148" s="76">
        <v>158119</v>
      </c>
      <c r="K148" s="76">
        <v>148700</v>
      </c>
      <c r="L148" s="76">
        <v>190886</v>
      </c>
      <c r="M148" s="76">
        <v>113239</v>
      </c>
      <c r="N148" s="76">
        <v>64453</v>
      </c>
      <c r="O148" s="76">
        <v>86188</v>
      </c>
      <c r="P148" s="76">
        <v>115655</v>
      </c>
      <c r="Q148" s="200"/>
    </row>
    <row r="149" spans="1:17">
      <c r="A149" s="1195">
        <v>646</v>
      </c>
      <c r="B149" s="1196" t="s">
        <v>427</v>
      </c>
      <c r="C149" s="76">
        <v>103269</v>
      </c>
      <c r="D149" s="76">
        <v>160274</v>
      </c>
      <c r="E149" s="76">
        <v>91096</v>
      </c>
      <c r="F149" s="76">
        <v>88577</v>
      </c>
      <c r="G149" s="76">
        <v>115676</v>
      </c>
      <c r="H149" s="76">
        <v>50641</v>
      </c>
      <c r="I149" s="76">
        <v>786763</v>
      </c>
      <c r="J149" s="76">
        <v>128395</v>
      </c>
      <c r="K149" s="76">
        <v>134379</v>
      </c>
      <c r="L149" s="76">
        <v>123418</v>
      </c>
      <c r="M149" s="76">
        <v>82304</v>
      </c>
      <c r="N149" s="76">
        <v>87162</v>
      </c>
      <c r="O149" s="76">
        <v>119607</v>
      </c>
      <c r="P149" s="76">
        <v>78322</v>
      </c>
      <c r="Q149" s="200"/>
    </row>
    <row r="150" spans="1:17">
      <c r="A150" s="1195">
        <v>661</v>
      </c>
      <c r="B150" s="1196" t="s">
        <v>795</v>
      </c>
      <c r="C150" s="76">
        <v>173863</v>
      </c>
      <c r="D150" s="76">
        <v>227687</v>
      </c>
      <c r="E150" s="76">
        <v>240226</v>
      </c>
      <c r="F150" s="76">
        <v>121716</v>
      </c>
      <c r="G150" s="76">
        <v>126208</v>
      </c>
      <c r="H150" s="76">
        <v>151661</v>
      </c>
      <c r="I150" s="76">
        <v>159819</v>
      </c>
      <c r="J150" s="76">
        <v>167726</v>
      </c>
      <c r="K150" s="76">
        <v>130749</v>
      </c>
      <c r="L150" s="196"/>
      <c r="M150" s="196"/>
      <c r="N150" s="196"/>
      <c r="O150" s="196"/>
      <c r="P150" s="196"/>
      <c r="Q150" s="200"/>
    </row>
    <row r="151" spans="1:17">
      <c r="A151" s="1195">
        <v>664</v>
      </c>
      <c r="B151" s="1196" t="s">
        <v>796</v>
      </c>
      <c r="C151" s="76">
        <v>60502</v>
      </c>
      <c r="D151" s="76">
        <v>44719</v>
      </c>
      <c r="E151" s="76">
        <v>32423</v>
      </c>
      <c r="F151" s="76">
        <v>3972</v>
      </c>
      <c r="G151" s="76">
        <v>12214</v>
      </c>
      <c r="H151" s="76">
        <v>169077</v>
      </c>
      <c r="I151" s="76">
        <v>26459</v>
      </c>
      <c r="J151" s="76">
        <v>30013</v>
      </c>
      <c r="K151" s="76">
        <v>45582</v>
      </c>
      <c r="L151" s="196"/>
      <c r="M151" s="196"/>
      <c r="N151" s="196"/>
      <c r="O151" s="196"/>
      <c r="P151" s="196"/>
      <c r="Q151" s="200"/>
    </row>
    <row r="152" spans="1:17">
      <c r="A152" s="1195">
        <v>665</v>
      </c>
      <c r="B152" s="1196" t="s">
        <v>797</v>
      </c>
      <c r="C152" s="76">
        <v>108930</v>
      </c>
      <c r="D152" s="76">
        <v>78840</v>
      </c>
      <c r="E152" s="76">
        <v>172416</v>
      </c>
      <c r="F152" s="76">
        <v>52634</v>
      </c>
      <c r="G152" s="76">
        <v>77439</v>
      </c>
      <c r="H152" s="76">
        <v>57078</v>
      </c>
      <c r="I152" s="76">
        <v>64162</v>
      </c>
      <c r="J152" s="76">
        <v>79980</v>
      </c>
      <c r="K152" s="76">
        <v>86192</v>
      </c>
      <c r="L152" s="196"/>
      <c r="M152" s="196"/>
      <c r="N152" s="196"/>
      <c r="O152" s="196"/>
      <c r="P152" s="196"/>
      <c r="Q152" s="200"/>
    </row>
    <row r="153" spans="1:17">
      <c r="A153" s="1195">
        <v>666</v>
      </c>
      <c r="B153" s="1196" t="s">
        <v>798</v>
      </c>
      <c r="C153" s="197">
        <v>100</v>
      </c>
      <c r="D153" s="197">
        <v>100</v>
      </c>
      <c r="E153" s="197">
        <v>100</v>
      </c>
      <c r="F153" s="197">
        <v>183890</v>
      </c>
      <c r="G153" s="197">
        <v>9186</v>
      </c>
      <c r="H153" s="197">
        <v>13996</v>
      </c>
      <c r="I153" s="197">
        <v>12706</v>
      </c>
      <c r="J153" s="197">
        <v>100</v>
      </c>
      <c r="K153" s="197">
        <v>100</v>
      </c>
      <c r="L153" s="196"/>
      <c r="M153" s="196"/>
      <c r="N153" s="196"/>
      <c r="O153" s="196"/>
      <c r="P153" s="196"/>
      <c r="Q153" s="200"/>
    </row>
    <row r="154" spans="1:17">
      <c r="A154" s="1195">
        <v>681</v>
      </c>
      <c r="B154" s="1196" t="s">
        <v>433</v>
      </c>
      <c r="C154" s="76">
        <v>47058</v>
      </c>
      <c r="D154" s="76">
        <v>49418</v>
      </c>
      <c r="E154" s="76">
        <v>26889</v>
      </c>
      <c r="F154" s="76">
        <v>190374</v>
      </c>
      <c r="G154" s="76">
        <v>21081</v>
      </c>
      <c r="H154" s="76">
        <v>50339</v>
      </c>
      <c r="I154" s="76">
        <v>40073</v>
      </c>
      <c r="J154" s="76">
        <v>27929</v>
      </c>
      <c r="K154" s="76">
        <v>24732</v>
      </c>
      <c r="L154" s="76">
        <v>22832</v>
      </c>
      <c r="M154" s="76">
        <v>35355</v>
      </c>
      <c r="N154" s="76">
        <v>18244</v>
      </c>
      <c r="O154" s="76">
        <v>9445</v>
      </c>
      <c r="P154" s="76">
        <v>7584</v>
      </c>
      <c r="Q154" s="75">
        <v>7777</v>
      </c>
    </row>
    <row r="155" spans="1:17">
      <c r="A155" s="1195">
        <v>682</v>
      </c>
      <c r="B155" s="1196" t="s">
        <v>434</v>
      </c>
      <c r="C155" s="76">
        <v>0</v>
      </c>
      <c r="D155" s="76">
        <v>0</v>
      </c>
      <c r="E155" s="76">
        <v>0</v>
      </c>
      <c r="F155" s="76">
        <v>0</v>
      </c>
      <c r="G155" s="76">
        <v>0</v>
      </c>
      <c r="H155" s="197">
        <v>100</v>
      </c>
      <c r="I155" s="197">
        <v>100</v>
      </c>
      <c r="J155" s="197">
        <v>100</v>
      </c>
      <c r="K155" s="197">
        <v>100</v>
      </c>
      <c r="L155" s="197">
        <v>100</v>
      </c>
      <c r="M155" s="197">
        <v>100</v>
      </c>
      <c r="N155" s="197">
        <v>100</v>
      </c>
      <c r="O155" s="197">
        <v>100</v>
      </c>
      <c r="P155" s="197">
        <v>100</v>
      </c>
      <c r="Q155" s="257">
        <v>100</v>
      </c>
    </row>
    <row r="156" spans="1:17">
      <c r="A156" s="1195">
        <v>683</v>
      </c>
      <c r="B156" s="1196" t="s">
        <v>435</v>
      </c>
      <c r="C156" s="76">
        <v>0</v>
      </c>
      <c r="D156" s="76">
        <v>0</v>
      </c>
      <c r="E156" s="76">
        <v>0</v>
      </c>
      <c r="F156" s="76">
        <v>0</v>
      </c>
      <c r="G156" s="76">
        <v>0</v>
      </c>
      <c r="H156" s="76">
        <v>0</v>
      </c>
      <c r="I156" s="76">
        <v>0</v>
      </c>
      <c r="J156" s="76">
        <v>0</v>
      </c>
      <c r="K156" s="76"/>
      <c r="L156" s="76">
        <v>0</v>
      </c>
      <c r="M156" s="76">
        <v>0</v>
      </c>
      <c r="N156" s="76">
        <v>0</v>
      </c>
      <c r="O156" s="76">
        <v>0</v>
      </c>
      <c r="P156" s="76">
        <v>0</v>
      </c>
      <c r="Q156" s="75">
        <v>0</v>
      </c>
    </row>
    <row r="157" spans="1:17">
      <c r="A157" s="1195">
        <v>684</v>
      </c>
      <c r="B157" s="1196" t="s">
        <v>777</v>
      </c>
      <c r="C157" s="76">
        <v>22240</v>
      </c>
      <c r="D157" s="76">
        <v>41631</v>
      </c>
      <c r="E157" s="76">
        <v>187573</v>
      </c>
      <c r="F157" s="76">
        <v>69967</v>
      </c>
      <c r="G157" s="76">
        <v>8331</v>
      </c>
      <c r="H157" s="76">
        <v>11999</v>
      </c>
      <c r="I157" s="76">
        <v>15199</v>
      </c>
      <c r="J157" s="76">
        <v>29053</v>
      </c>
      <c r="K157" s="76">
        <v>60329</v>
      </c>
      <c r="L157" s="76">
        <v>34779</v>
      </c>
      <c r="M157" s="76">
        <v>17991</v>
      </c>
      <c r="N157" s="76">
        <v>44098</v>
      </c>
      <c r="O157" s="76">
        <v>16115</v>
      </c>
      <c r="P157" s="76">
        <v>30949</v>
      </c>
      <c r="Q157" s="75">
        <v>13895</v>
      </c>
    </row>
    <row r="158" spans="1:17">
      <c r="A158" s="1195">
        <v>685</v>
      </c>
      <c r="B158" s="1196" t="s">
        <v>436</v>
      </c>
      <c r="C158" s="76">
        <v>93916</v>
      </c>
      <c r="D158" s="76">
        <v>207070</v>
      </c>
      <c r="E158" s="76">
        <v>85512</v>
      </c>
      <c r="F158" s="76">
        <v>136587</v>
      </c>
      <c r="G158" s="76">
        <v>28723</v>
      </c>
      <c r="H158" s="76">
        <v>50905</v>
      </c>
      <c r="I158" s="76">
        <v>55813</v>
      </c>
      <c r="J158" s="76">
        <v>133474</v>
      </c>
      <c r="K158" s="76">
        <v>97215</v>
      </c>
      <c r="L158" s="76">
        <v>61987</v>
      </c>
      <c r="M158" s="76">
        <v>111407</v>
      </c>
      <c r="N158" s="76">
        <v>66353</v>
      </c>
      <c r="O158" s="76">
        <v>45887</v>
      </c>
      <c r="P158" s="76">
        <v>102432</v>
      </c>
      <c r="Q158" s="75">
        <v>132217</v>
      </c>
    </row>
    <row r="159" spans="1:17">
      <c r="A159" s="1195">
        <v>686</v>
      </c>
      <c r="B159" s="1196" t="s">
        <v>437</v>
      </c>
      <c r="C159" s="197">
        <v>13000</v>
      </c>
      <c r="D159" s="197">
        <v>13000</v>
      </c>
      <c r="E159" s="76">
        <v>13389</v>
      </c>
      <c r="F159" s="197">
        <f>1000+3118</f>
        <v>4118</v>
      </c>
      <c r="G159" s="197">
        <f>1000+5920</f>
        <v>6920</v>
      </c>
      <c r="H159" s="197">
        <f>1000+3287</f>
        <v>4287</v>
      </c>
      <c r="I159" s="197">
        <f>1000+2124</f>
        <v>3124</v>
      </c>
      <c r="J159" s="197">
        <f>1000+6469</f>
        <v>7469</v>
      </c>
      <c r="K159" s="197">
        <f>1000+1548</f>
        <v>2548</v>
      </c>
      <c r="L159" s="197">
        <f>1000+28797</f>
        <v>29797</v>
      </c>
      <c r="M159" s="197">
        <f>1000+9642</f>
        <v>10642</v>
      </c>
      <c r="N159" s="197">
        <f>1000+11811</f>
        <v>12811</v>
      </c>
      <c r="O159" s="197">
        <f>1000+9720</f>
        <v>10720</v>
      </c>
      <c r="P159" s="197">
        <f>1000+15389</f>
        <v>16389</v>
      </c>
      <c r="Q159" s="257">
        <f>1000+11441</f>
        <v>12441</v>
      </c>
    </row>
    <row r="160" spans="1:17">
      <c r="A160" s="1195">
        <v>701</v>
      </c>
      <c r="B160" s="1196" t="s">
        <v>778</v>
      </c>
      <c r="C160" s="76">
        <v>39589</v>
      </c>
      <c r="D160" s="76">
        <v>115513</v>
      </c>
      <c r="E160" s="76">
        <v>149146</v>
      </c>
      <c r="F160" s="76">
        <v>84891</v>
      </c>
      <c r="G160" s="76">
        <v>134599</v>
      </c>
      <c r="H160" s="76">
        <v>54389</v>
      </c>
      <c r="I160" s="76">
        <v>48896</v>
      </c>
      <c r="J160" s="76">
        <v>65356</v>
      </c>
      <c r="K160" s="76">
        <v>36897</v>
      </c>
      <c r="L160" s="76">
        <v>18923</v>
      </c>
      <c r="M160" s="76">
        <v>13832</v>
      </c>
      <c r="N160" s="76">
        <v>147194</v>
      </c>
      <c r="O160" s="76">
        <v>50597</v>
      </c>
      <c r="P160" s="76">
        <v>13738</v>
      </c>
      <c r="Q160" s="75">
        <v>31015</v>
      </c>
    </row>
    <row r="161" spans="1:17">
      <c r="A161" s="1195">
        <v>702</v>
      </c>
      <c r="B161" s="1196" t="s">
        <v>439</v>
      </c>
      <c r="C161" s="76">
        <v>38259</v>
      </c>
      <c r="D161" s="76">
        <v>107194</v>
      </c>
      <c r="E161" s="76">
        <v>64546</v>
      </c>
      <c r="F161" s="76">
        <v>30136</v>
      </c>
      <c r="G161" s="76">
        <v>15254</v>
      </c>
      <c r="H161" s="76">
        <v>76825</v>
      </c>
      <c r="I161" s="76">
        <v>46136</v>
      </c>
      <c r="J161" s="76">
        <v>17630</v>
      </c>
      <c r="K161" s="197">
        <v>1000</v>
      </c>
      <c r="L161" s="197">
        <v>1000</v>
      </c>
      <c r="M161" s="197">
        <v>1000</v>
      </c>
      <c r="N161" s="76">
        <v>1203</v>
      </c>
      <c r="O161" s="76">
        <v>705</v>
      </c>
      <c r="P161" s="76">
        <v>823</v>
      </c>
      <c r="Q161" s="75">
        <v>143</v>
      </c>
    </row>
    <row r="162" spans="1:17">
      <c r="A162" s="1195">
        <v>703</v>
      </c>
      <c r="B162" s="1196" t="s">
        <v>440</v>
      </c>
      <c r="C162" s="76">
        <v>14337</v>
      </c>
      <c r="D162" s="76">
        <v>30993</v>
      </c>
      <c r="E162" s="76">
        <v>56447</v>
      </c>
      <c r="F162" s="76">
        <v>25724</v>
      </c>
      <c r="G162" s="76">
        <v>15454</v>
      </c>
      <c r="H162" s="76">
        <v>7928</v>
      </c>
      <c r="I162" s="76">
        <v>16320</v>
      </c>
      <c r="J162" s="76">
        <v>5185</v>
      </c>
      <c r="K162" s="76">
        <v>3906</v>
      </c>
      <c r="L162" s="76">
        <v>4912</v>
      </c>
      <c r="M162" s="76">
        <v>6637</v>
      </c>
      <c r="N162" s="76">
        <v>2021</v>
      </c>
      <c r="O162" s="76">
        <v>6917</v>
      </c>
      <c r="P162" s="197">
        <v>6000</v>
      </c>
      <c r="Q162" s="257">
        <v>6000</v>
      </c>
    </row>
    <row r="163" spans="1:17">
      <c r="A163" s="1195">
        <v>704</v>
      </c>
      <c r="B163" s="1196" t="s">
        <v>441</v>
      </c>
      <c r="C163" s="76">
        <v>226323</v>
      </c>
      <c r="D163" s="76">
        <v>63172</v>
      </c>
      <c r="E163" s="76">
        <v>73254</v>
      </c>
      <c r="F163" s="76">
        <v>48157</v>
      </c>
      <c r="G163" s="76">
        <v>56559</v>
      </c>
      <c r="H163" s="76">
        <v>62542</v>
      </c>
      <c r="I163" s="76">
        <v>181698</v>
      </c>
      <c r="J163" s="76">
        <v>111580</v>
      </c>
      <c r="K163" s="76">
        <v>58137</v>
      </c>
      <c r="L163" s="76">
        <v>115521</v>
      </c>
      <c r="M163" s="76">
        <v>107371</v>
      </c>
      <c r="N163" s="76">
        <v>77608</v>
      </c>
      <c r="O163" s="76">
        <v>107839</v>
      </c>
      <c r="P163" s="76">
        <v>258742</v>
      </c>
      <c r="Q163" s="75">
        <v>255719</v>
      </c>
    </row>
    <row r="164" spans="1:17">
      <c r="A164" s="130"/>
      <c r="B164" s="130" t="s">
        <v>748</v>
      </c>
      <c r="C164" s="130">
        <f>C70</f>
        <v>12823071</v>
      </c>
      <c r="D164" s="130">
        <f t="shared" ref="D164:Q164" si="101">D70</f>
        <v>15596314</v>
      </c>
      <c r="E164" s="130">
        <f t="shared" si="101"/>
        <v>14861928</v>
      </c>
      <c r="F164" s="130">
        <f t="shared" si="101"/>
        <v>12860232</v>
      </c>
      <c r="G164" s="130">
        <f t="shared" si="101"/>
        <v>11142205</v>
      </c>
      <c r="H164" s="130">
        <f t="shared" si="101"/>
        <v>8957066</v>
      </c>
      <c r="I164" s="130">
        <f t="shared" si="101"/>
        <v>13394998</v>
      </c>
      <c r="J164" s="130">
        <f t="shared" si="101"/>
        <v>13692726</v>
      </c>
      <c r="K164" s="130">
        <f t="shared" si="101"/>
        <v>11845913</v>
      </c>
      <c r="L164" s="130">
        <f t="shared" si="101"/>
        <v>9670434</v>
      </c>
      <c r="M164" s="130">
        <f t="shared" si="101"/>
        <v>6693014</v>
      </c>
      <c r="N164" s="130">
        <f t="shared" si="101"/>
        <v>10938714</v>
      </c>
      <c r="O164" s="130">
        <f t="shared" si="101"/>
        <v>6937874</v>
      </c>
      <c r="P164" s="130">
        <f t="shared" si="101"/>
        <v>5531824</v>
      </c>
      <c r="Q164" s="130">
        <f t="shared" si="101"/>
        <v>5846111</v>
      </c>
    </row>
    <row r="165" spans="1:17">
      <c r="B165" s="75" t="s">
        <v>801</v>
      </c>
      <c r="C165" s="75">
        <f>C72+C74+C77+C84+C87+C89+C94+C76</f>
        <v>20785989</v>
      </c>
      <c r="D165" s="75">
        <f t="shared" ref="D165:Q165" si="102">D72+D74+D77+D84+D87+D89+D94+D76</f>
        <v>19522003</v>
      </c>
      <c r="E165" s="75">
        <f t="shared" si="102"/>
        <v>21374168</v>
      </c>
      <c r="F165" s="75">
        <f t="shared" si="102"/>
        <v>17479813</v>
      </c>
      <c r="G165" s="75">
        <f t="shared" si="102"/>
        <v>13189443</v>
      </c>
      <c r="H165" s="75">
        <f t="shared" si="102"/>
        <v>13368982</v>
      </c>
      <c r="I165" s="75">
        <f t="shared" si="102"/>
        <v>19070217</v>
      </c>
      <c r="J165" s="75">
        <f t="shared" si="102"/>
        <v>17718605</v>
      </c>
      <c r="K165" s="75">
        <f t="shared" si="102"/>
        <v>13608797</v>
      </c>
      <c r="L165" s="75">
        <f t="shared" si="102"/>
        <v>12878481</v>
      </c>
      <c r="M165" s="75">
        <f t="shared" si="102"/>
        <v>13457660</v>
      </c>
      <c r="N165" s="75">
        <f t="shared" si="102"/>
        <v>19133844</v>
      </c>
      <c r="O165" s="75">
        <f t="shared" si="102"/>
        <v>10210128</v>
      </c>
      <c r="P165" s="75">
        <f t="shared" si="102"/>
        <v>10002938</v>
      </c>
      <c r="Q165" s="75">
        <f t="shared" si="102"/>
        <v>10391884</v>
      </c>
    </row>
    <row r="166" spans="1:17">
      <c r="B166" s="75" t="s">
        <v>802</v>
      </c>
      <c r="C166" s="75">
        <f>C73+C80+C83+C85+C86+C88+C90+SUM(C95:C104)</f>
        <v>21810333</v>
      </c>
      <c r="D166" s="75">
        <f t="shared" ref="D166:Q166" si="103">D73+D80+D83+D85+D86+D88+D90+SUM(D95:D104)</f>
        <v>25263432</v>
      </c>
      <c r="E166" s="75">
        <f t="shared" si="103"/>
        <v>29503311</v>
      </c>
      <c r="F166" s="75">
        <f t="shared" si="103"/>
        <v>24984498</v>
      </c>
      <c r="G166" s="75">
        <f t="shared" si="103"/>
        <v>14901480</v>
      </c>
      <c r="H166" s="75">
        <f t="shared" si="103"/>
        <v>16667153</v>
      </c>
      <c r="I166" s="75">
        <f t="shared" si="103"/>
        <v>23077960</v>
      </c>
      <c r="J166" s="75">
        <f t="shared" si="103"/>
        <v>20595068</v>
      </c>
      <c r="K166" s="75">
        <f t="shared" si="103"/>
        <v>18874883</v>
      </c>
      <c r="L166" s="75">
        <f t="shared" si="103"/>
        <v>19488969</v>
      </c>
      <c r="M166" s="75">
        <f t="shared" si="103"/>
        <v>11459510</v>
      </c>
      <c r="N166" s="75">
        <f t="shared" si="103"/>
        <v>11180583</v>
      </c>
      <c r="O166" s="75">
        <f t="shared" si="103"/>
        <v>10902763</v>
      </c>
      <c r="P166" s="75">
        <f t="shared" si="103"/>
        <v>11819228</v>
      </c>
      <c r="Q166" s="75">
        <f t="shared" si="103"/>
        <v>13913252</v>
      </c>
    </row>
    <row r="167" spans="1:17">
      <c r="B167" s="75" t="s">
        <v>803</v>
      </c>
      <c r="C167" s="75">
        <f>C71+C78+C81+C82+SUM(C105:C125)</f>
        <v>17572230</v>
      </c>
      <c r="D167" s="75">
        <f t="shared" ref="D167:Q167" si="104">D71+D78+D81+D82+SUM(D105:D125)</f>
        <v>22898301</v>
      </c>
      <c r="E167" s="75">
        <f t="shared" si="104"/>
        <v>19307847</v>
      </c>
      <c r="F167" s="75">
        <f t="shared" si="104"/>
        <v>16743284</v>
      </c>
      <c r="G167" s="75">
        <f t="shared" si="104"/>
        <v>16237132</v>
      </c>
      <c r="H167" s="75">
        <f t="shared" si="104"/>
        <v>15983526</v>
      </c>
      <c r="I167" s="75">
        <f t="shared" si="104"/>
        <v>14496399</v>
      </c>
      <c r="J167" s="75">
        <f t="shared" si="104"/>
        <v>20435316</v>
      </c>
      <c r="K167" s="75">
        <f t="shared" si="104"/>
        <v>15522284</v>
      </c>
      <c r="L167" s="75">
        <f t="shared" si="104"/>
        <v>15576152</v>
      </c>
      <c r="M167" s="75">
        <f t="shared" si="104"/>
        <v>13641068</v>
      </c>
      <c r="N167" s="75">
        <f t="shared" si="104"/>
        <v>11740773</v>
      </c>
      <c r="O167" s="75">
        <f t="shared" si="104"/>
        <v>7740004</v>
      </c>
      <c r="P167" s="75">
        <f t="shared" si="104"/>
        <v>9646606</v>
      </c>
      <c r="Q167" s="75">
        <f t="shared" si="104"/>
        <v>10084586</v>
      </c>
    </row>
    <row r="168" spans="1:17">
      <c r="B168" s="75" t="s">
        <v>804</v>
      </c>
      <c r="C168" s="75">
        <f>C79+C92+SUM(C126:C143)</f>
        <v>2173426</v>
      </c>
      <c r="D168" s="75">
        <f t="shared" ref="D168:Q168" si="105">D79+D92+SUM(D126:D143)</f>
        <v>2455044</v>
      </c>
      <c r="E168" s="75">
        <f t="shared" si="105"/>
        <v>1757771</v>
      </c>
      <c r="F168" s="75">
        <f t="shared" si="105"/>
        <v>1609952</v>
      </c>
      <c r="G168" s="75">
        <f t="shared" si="105"/>
        <v>1106220</v>
      </c>
      <c r="H168" s="75">
        <f t="shared" si="105"/>
        <v>859040</v>
      </c>
      <c r="I168" s="75">
        <f t="shared" si="105"/>
        <v>1726407</v>
      </c>
      <c r="J168" s="75">
        <f t="shared" si="105"/>
        <v>2908474</v>
      </c>
      <c r="K168" s="75">
        <f t="shared" si="105"/>
        <v>1984971</v>
      </c>
      <c r="L168" s="75">
        <f t="shared" si="105"/>
        <v>1549299</v>
      </c>
      <c r="M168" s="75">
        <f t="shared" si="105"/>
        <v>1445827</v>
      </c>
      <c r="N168" s="75">
        <f t="shared" si="105"/>
        <v>1245362</v>
      </c>
      <c r="O168" s="75">
        <f t="shared" si="105"/>
        <v>778761</v>
      </c>
      <c r="P168" s="75">
        <f t="shared" si="105"/>
        <v>583020</v>
      </c>
      <c r="Q168" s="75">
        <f t="shared" si="105"/>
        <v>777567</v>
      </c>
    </row>
    <row r="169" spans="1:17">
      <c r="B169" s="75" t="s">
        <v>805</v>
      </c>
      <c r="C169" s="75">
        <f>C91+C93+SUM(C144:C153)</f>
        <v>1328212</v>
      </c>
      <c r="D169" s="75">
        <f t="shared" ref="D169:Q169" si="106">D91+D93+SUM(D144:D153)</f>
        <v>1282880</v>
      </c>
      <c r="E169" s="75">
        <f t="shared" si="106"/>
        <v>1322089</v>
      </c>
      <c r="F169" s="75">
        <f t="shared" si="106"/>
        <v>993163</v>
      </c>
      <c r="G169" s="75">
        <f t="shared" si="106"/>
        <v>655036</v>
      </c>
      <c r="H169" s="75">
        <f t="shared" si="106"/>
        <v>808681</v>
      </c>
      <c r="I169" s="75">
        <f t="shared" si="106"/>
        <v>1663298</v>
      </c>
      <c r="J169" s="75">
        <f t="shared" si="106"/>
        <v>1113318</v>
      </c>
      <c r="K169" s="75">
        <f t="shared" si="106"/>
        <v>923995</v>
      </c>
      <c r="L169" s="75">
        <f t="shared" si="106"/>
        <v>694164</v>
      </c>
      <c r="M169" s="75">
        <f t="shared" si="106"/>
        <v>682902</v>
      </c>
      <c r="N169" s="75">
        <f t="shared" si="106"/>
        <v>565260</v>
      </c>
      <c r="O169" s="75">
        <f t="shared" si="106"/>
        <v>680176</v>
      </c>
      <c r="P169" s="75">
        <f t="shared" si="106"/>
        <v>947279</v>
      </c>
      <c r="Q169" s="75">
        <f t="shared" si="106"/>
        <v>1431748</v>
      </c>
    </row>
    <row r="170" spans="1:17">
      <c r="B170" s="75" t="s">
        <v>806</v>
      </c>
      <c r="C170" s="75">
        <f>C75+SUM(C154:C163)</f>
        <v>1094860</v>
      </c>
      <c r="D170" s="75">
        <f t="shared" ref="D170:Q170" si="107">D75+SUM(D154:D163)</f>
        <v>2191685</v>
      </c>
      <c r="E170" s="75">
        <f t="shared" si="107"/>
        <v>2318449</v>
      </c>
      <c r="F170" s="75">
        <f t="shared" si="107"/>
        <v>1686609</v>
      </c>
      <c r="G170" s="75">
        <f t="shared" si="107"/>
        <v>1689540</v>
      </c>
      <c r="H170" s="75">
        <f t="shared" si="107"/>
        <v>2301680</v>
      </c>
      <c r="I170" s="75">
        <f t="shared" si="107"/>
        <v>2800656</v>
      </c>
      <c r="J170" s="75">
        <f t="shared" si="107"/>
        <v>1975490</v>
      </c>
      <c r="K170" s="75">
        <f t="shared" si="107"/>
        <v>1966442</v>
      </c>
      <c r="L170" s="75">
        <f t="shared" si="107"/>
        <v>1207384</v>
      </c>
      <c r="M170" s="75">
        <f t="shared" si="107"/>
        <v>1333537</v>
      </c>
      <c r="N170" s="75">
        <f t="shared" si="107"/>
        <v>1162766</v>
      </c>
      <c r="O170" s="75">
        <f t="shared" si="107"/>
        <v>794784</v>
      </c>
      <c r="P170" s="75">
        <f t="shared" si="107"/>
        <v>1140398</v>
      </c>
      <c r="Q170" s="75">
        <f t="shared" si="107"/>
        <v>701515</v>
      </c>
    </row>
    <row r="171" spans="1:17">
      <c r="A171" s="132"/>
      <c r="B171" s="132" t="s">
        <v>829</v>
      </c>
      <c r="C171" s="132">
        <f>SUM(C164:C170)</f>
        <v>77588121</v>
      </c>
      <c r="D171" s="132">
        <f t="shared" ref="D171:Q171" si="108">SUM(D164:D170)</f>
        <v>89209659</v>
      </c>
      <c r="E171" s="132">
        <f t="shared" si="108"/>
        <v>90445563</v>
      </c>
      <c r="F171" s="132">
        <f t="shared" si="108"/>
        <v>76357551</v>
      </c>
      <c r="G171" s="132">
        <f t="shared" si="108"/>
        <v>58921056</v>
      </c>
      <c r="H171" s="132">
        <f t="shared" si="108"/>
        <v>58946128</v>
      </c>
      <c r="I171" s="132">
        <f t="shared" si="108"/>
        <v>76229935</v>
      </c>
      <c r="J171" s="132">
        <f t="shared" si="108"/>
        <v>78438997</v>
      </c>
      <c r="K171" s="132">
        <f t="shared" si="108"/>
        <v>64727285</v>
      </c>
      <c r="L171" s="132">
        <f t="shared" si="108"/>
        <v>61064883</v>
      </c>
      <c r="M171" s="132">
        <f t="shared" si="108"/>
        <v>48713518</v>
      </c>
      <c r="N171" s="132">
        <f t="shared" si="108"/>
        <v>55967302</v>
      </c>
      <c r="O171" s="132">
        <f t="shared" si="108"/>
        <v>38044490</v>
      </c>
      <c r="P171" s="132">
        <f t="shared" si="108"/>
        <v>39671293</v>
      </c>
      <c r="Q171" s="132">
        <f t="shared" si="108"/>
        <v>43146663</v>
      </c>
    </row>
    <row r="172" spans="1:17">
      <c r="A172" s="130" t="s">
        <v>807</v>
      </c>
      <c r="B172" s="130" t="s">
        <v>748</v>
      </c>
      <c r="C172" s="130">
        <f>C62-C164</f>
        <v>0</v>
      </c>
      <c r="D172" s="130">
        <f t="shared" ref="D172:Q172" si="109">D62-D164</f>
        <v>0</v>
      </c>
      <c r="E172" s="130">
        <f t="shared" si="109"/>
        <v>0</v>
      </c>
      <c r="F172" s="130">
        <f t="shared" si="109"/>
        <v>0</v>
      </c>
      <c r="G172" s="130">
        <f t="shared" si="109"/>
        <v>0</v>
      </c>
      <c r="H172" s="130">
        <f t="shared" si="109"/>
        <v>0</v>
      </c>
      <c r="I172" s="130">
        <f t="shared" si="109"/>
        <v>0</v>
      </c>
      <c r="J172" s="130">
        <f t="shared" si="109"/>
        <v>0</v>
      </c>
      <c r="K172" s="130">
        <f t="shared" si="109"/>
        <v>0</v>
      </c>
      <c r="L172" s="130">
        <f t="shared" si="109"/>
        <v>0</v>
      </c>
      <c r="M172" s="130">
        <f t="shared" si="109"/>
        <v>0</v>
      </c>
      <c r="N172" s="130">
        <f t="shared" si="109"/>
        <v>0</v>
      </c>
      <c r="O172" s="130">
        <f t="shared" si="109"/>
        <v>0</v>
      </c>
      <c r="P172" s="130">
        <f t="shared" si="109"/>
        <v>0</v>
      </c>
      <c r="Q172" s="130">
        <f t="shared" si="109"/>
        <v>0</v>
      </c>
    </row>
    <row r="173" spans="1:17">
      <c r="B173" s="75" t="s">
        <v>801</v>
      </c>
      <c r="C173" s="75">
        <f t="shared" ref="C173:Q178" si="110">C63-C165</f>
        <v>0</v>
      </c>
      <c r="D173" s="75">
        <f t="shared" si="110"/>
        <v>0</v>
      </c>
      <c r="E173" s="75">
        <f t="shared" si="110"/>
        <v>0</v>
      </c>
      <c r="F173" s="75">
        <f t="shared" si="110"/>
        <v>0</v>
      </c>
      <c r="G173" s="75">
        <f t="shared" si="110"/>
        <v>0</v>
      </c>
      <c r="H173" s="75">
        <f t="shared" si="110"/>
        <v>0</v>
      </c>
      <c r="I173" s="75">
        <f t="shared" si="110"/>
        <v>0</v>
      </c>
      <c r="J173" s="75">
        <f t="shared" si="110"/>
        <v>0</v>
      </c>
      <c r="K173" s="75">
        <f t="shared" si="110"/>
        <v>0</v>
      </c>
      <c r="L173" s="75">
        <f t="shared" si="110"/>
        <v>0</v>
      </c>
      <c r="M173" s="75">
        <f t="shared" si="110"/>
        <v>0</v>
      </c>
      <c r="N173" s="75">
        <f t="shared" si="110"/>
        <v>0</v>
      </c>
      <c r="O173" s="75">
        <f t="shared" si="110"/>
        <v>0</v>
      </c>
      <c r="P173" s="75">
        <f t="shared" si="110"/>
        <v>0</v>
      </c>
      <c r="Q173" s="75">
        <f t="shared" si="110"/>
        <v>0</v>
      </c>
    </row>
    <row r="174" spans="1:17">
      <c r="B174" s="75" t="s">
        <v>802</v>
      </c>
      <c r="C174" s="75">
        <f t="shared" si="110"/>
        <v>0</v>
      </c>
      <c r="D174" s="75">
        <f t="shared" si="110"/>
        <v>0</v>
      </c>
      <c r="E174" s="75">
        <f t="shared" si="110"/>
        <v>0</v>
      </c>
      <c r="F174" s="75">
        <f t="shared" si="110"/>
        <v>0</v>
      </c>
      <c r="G174" s="75">
        <f t="shared" si="110"/>
        <v>0</v>
      </c>
      <c r="H174" s="75">
        <f t="shared" si="110"/>
        <v>0</v>
      </c>
      <c r="I174" s="75">
        <f t="shared" si="110"/>
        <v>0</v>
      </c>
      <c r="J174" s="75">
        <f t="shared" si="110"/>
        <v>0</v>
      </c>
      <c r="K174" s="75">
        <f t="shared" si="110"/>
        <v>0</v>
      </c>
      <c r="L174" s="75">
        <f t="shared" si="110"/>
        <v>0</v>
      </c>
      <c r="M174" s="75">
        <f t="shared" si="110"/>
        <v>0</v>
      </c>
      <c r="N174" s="75">
        <f t="shared" si="110"/>
        <v>0</v>
      </c>
      <c r="O174" s="75">
        <f t="shared" si="110"/>
        <v>0</v>
      </c>
      <c r="P174" s="75">
        <f t="shared" si="110"/>
        <v>0</v>
      </c>
      <c r="Q174" s="75">
        <f t="shared" si="110"/>
        <v>0</v>
      </c>
    </row>
    <row r="175" spans="1:17">
      <c r="B175" s="75" t="s">
        <v>803</v>
      </c>
      <c r="C175" s="75">
        <f t="shared" si="110"/>
        <v>0</v>
      </c>
      <c r="D175" s="75">
        <f t="shared" si="110"/>
        <v>0</v>
      </c>
      <c r="E175" s="75">
        <f t="shared" si="110"/>
        <v>0</v>
      </c>
      <c r="F175" s="75">
        <f t="shared" si="110"/>
        <v>0</v>
      </c>
      <c r="G175" s="75">
        <f t="shared" si="110"/>
        <v>0</v>
      </c>
      <c r="H175" s="75">
        <f t="shared" si="110"/>
        <v>0</v>
      </c>
      <c r="I175" s="75">
        <f t="shared" si="110"/>
        <v>0</v>
      </c>
      <c r="J175" s="75">
        <f t="shared" si="110"/>
        <v>0</v>
      </c>
      <c r="K175" s="75">
        <f t="shared" si="110"/>
        <v>0</v>
      </c>
      <c r="L175" s="75">
        <f t="shared" si="110"/>
        <v>0</v>
      </c>
      <c r="M175" s="75">
        <f t="shared" si="110"/>
        <v>0</v>
      </c>
      <c r="N175" s="75">
        <f t="shared" si="110"/>
        <v>0</v>
      </c>
      <c r="O175" s="75">
        <f t="shared" si="110"/>
        <v>0</v>
      </c>
      <c r="P175" s="75">
        <f t="shared" si="110"/>
        <v>0</v>
      </c>
      <c r="Q175" s="75">
        <f t="shared" si="110"/>
        <v>0</v>
      </c>
    </row>
    <row r="176" spans="1:17">
      <c r="B176" s="75" t="s">
        <v>804</v>
      </c>
      <c r="C176" s="75">
        <f t="shared" si="110"/>
        <v>0</v>
      </c>
      <c r="D176" s="75">
        <f t="shared" si="110"/>
        <v>0</v>
      </c>
      <c r="E176" s="75">
        <f t="shared" si="110"/>
        <v>0</v>
      </c>
      <c r="F176" s="75">
        <f t="shared" si="110"/>
        <v>0</v>
      </c>
      <c r="G176" s="75">
        <f t="shared" si="110"/>
        <v>0</v>
      </c>
      <c r="H176" s="75">
        <f t="shared" si="110"/>
        <v>0</v>
      </c>
      <c r="I176" s="75">
        <f t="shared" si="110"/>
        <v>0</v>
      </c>
      <c r="J176" s="75">
        <f t="shared" si="110"/>
        <v>0</v>
      </c>
      <c r="K176" s="75">
        <f t="shared" si="110"/>
        <v>0</v>
      </c>
      <c r="L176" s="75">
        <f t="shared" si="110"/>
        <v>0</v>
      </c>
      <c r="M176" s="75">
        <f t="shared" si="110"/>
        <v>0</v>
      </c>
      <c r="N176" s="75">
        <f t="shared" si="110"/>
        <v>0</v>
      </c>
      <c r="O176" s="75">
        <f t="shared" si="110"/>
        <v>0</v>
      </c>
      <c r="P176" s="75">
        <f t="shared" si="110"/>
        <v>0</v>
      </c>
      <c r="Q176" s="75">
        <f t="shared" si="110"/>
        <v>0</v>
      </c>
    </row>
    <row r="177" spans="1:17">
      <c r="B177" s="75" t="s">
        <v>805</v>
      </c>
      <c r="C177" s="75">
        <f t="shared" si="110"/>
        <v>0</v>
      </c>
      <c r="D177" s="75">
        <f t="shared" si="110"/>
        <v>0</v>
      </c>
      <c r="E177" s="75">
        <f t="shared" si="110"/>
        <v>0</v>
      </c>
      <c r="F177" s="75">
        <f t="shared" si="110"/>
        <v>0</v>
      </c>
      <c r="G177" s="75">
        <f t="shared" si="110"/>
        <v>0</v>
      </c>
      <c r="H177" s="75">
        <f t="shared" si="110"/>
        <v>0</v>
      </c>
      <c r="I177" s="75">
        <f t="shared" si="110"/>
        <v>0</v>
      </c>
      <c r="J177" s="75">
        <f t="shared" si="110"/>
        <v>0</v>
      </c>
      <c r="K177" s="75">
        <f t="shared" si="110"/>
        <v>0</v>
      </c>
      <c r="L177" s="75">
        <f t="shared" si="110"/>
        <v>0</v>
      </c>
      <c r="M177" s="75">
        <f t="shared" si="110"/>
        <v>0</v>
      </c>
      <c r="N177" s="75">
        <f t="shared" si="110"/>
        <v>0</v>
      </c>
      <c r="O177" s="75">
        <f t="shared" si="110"/>
        <v>0</v>
      </c>
      <c r="P177" s="75">
        <f t="shared" si="110"/>
        <v>0</v>
      </c>
      <c r="Q177" s="75">
        <f t="shared" si="110"/>
        <v>0</v>
      </c>
    </row>
    <row r="178" spans="1:17">
      <c r="B178" s="75" t="s">
        <v>806</v>
      </c>
      <c r="C178" s="75">
        <f t="shared" si="110"/>
        <v>0</v>
      </c>
      <c r="D178" s="75">
        <f t="shared" si="110"/>
        <v>0</v>
      </c>
      <c r="E178" s="75">
        <f t="shared" si="110"/>
        <v>0</v>
      </c>
      <c r="F178" s="75">
        <f t="shared" si="110"/>
        <v>0</v>
      </c>
      <c r="G178" s="75">
        <f t="shared" si="110"/>
        <v>0</v>
      </c>
      <c r="H178" s="75">
        <f t="shared" si="110"/>
        <v>0</v>
      </c>
      <c r="I178" s="75">
        <f t="shared" si="110"/>
        <v>0</v>
      </c>
      <c r="J178" s="75">
        <f t="shared" si="110"/>
        <v>0</v>
      </c>
      <c r="K178" s="75">
        <f t="shared" si="110"/>
        <v>0</v>
      </c>
      <c r="L178" s="75">
        <f t="shared" si="110"/>
        <v>0</v>
      </c>
      <c r="M178" s="75">
        <f t="shared" si="110"/>
        <v>0</v>
      </c>
      <c r="N178" s="75">
        <f t="shared" si="110"/>
        <v>0</v>
      </c>
      <c r="O178" s="75">
        <f t="shared" si="110"/>
        <v>0</v>
      </c>
      <c r="P178" s="75">
        <f t="shared" si="110"/>
        <v>0</v>
      </c>
      <c r="Q178" s="75">
        <f t="shared" si="110"/>
        <v>0</v>
      </c>
    </row>
    <row r="179" spans="1:17">
      <c r="A179" s="132"/>
      <c r="B179" s="132" t="s">
        <v>829</v>
      </c>
      <c r="C179" s="132">
        <f>SUM(C172:C178)</f>
        <v>0</v>
      </c>
      <c r="D179" s="132">
        <f t="shared" ref="D179:Q179" si="111">SUM(D172:D178)</f>
        <v>0</v>
      </c>
      <c r="E179" s="132">
        <f t="shared" si="111"/>
        <v>0</v>
      </c>
      <c r="F179" s="132">
        <f t="shared" si="111"/>
        <v>0</v>
      </c>
      <c r="G179" s="132">
        <f t="shared" si="111"/>
        <v>0</v>
      </c>
      <c r="H179" s="132">
        <f t="shared" si="111"/>
        <v>0</v>
      </c>
      <c r="I179" s="132">
        <f t="shared" si="111"/>
        <v>0</v>
      </c>
      <c r="J179" s="132">
        <f t="shared" si="111"/>
        <v>0</v>
      </c>
      <c r="K179" s="132">
        <f t="shared" si="111"/>
        <v>0</v>
      </c>
      <c r="L179" s="132">
        <f t="shared" si="111"/>
        <v>0</v>
      </c>
      <c r="M179" s="132">
        <f t="shared" si="111"/>
        <v>0</v>
      </c>
      <c r="N179" s="132">
        <f t="shared" si="111"/>
        <v>0</v>
      </c>
      <c r="O179" s="132">
        <f t="shared" si="111"/>
        <v>0</v>
      </c>
      <c r="P179" s="132">
        <f t="shared" si="111"/>
        <v>0</v>
      </c>
      <c r="Q179" s="132">
        <f t="shared" si="111"/>
        <v>0</v>
      </c>
    </row>
  </sheetData>
  <phoneticPr fontId="13"/>
  <pageMargins left="0.75" right="0.75" top="1" bottom="1" header="0.51200000000000001" footer="0.51200000000000001"/>
  <headerFooter alignWithMargins="0"/>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5">
    <tabColor indexed="43"/>
  </sheetPr>
  <dimension ref="A1:AL137"/>
  <sheetViews>
    <sheetView workbookViewId="0">
      <pane xSplit="2" ySplit="4" topLeftCell="S73" activePane="bottomRight" state="frozen"/>
      <selection pane="topRight" activeCell="C1" sqref="C1"/>
      <selection pane="bottomLeft" activeCell="A5" sqref="A5"/>
      <selection pane="bottomRight" activeCell="X80" sqref="X80"/>
    </sheetView>
  </sheetViews>
  <sheetFormatPr defaultColWidth="8.7109375" defaultRowHeight="13"/>
  <cols>
    <col min="1" max="1" width="3.2109375" style="75" customWidth="1"/>
    <col min="2" max="24" width="8.7109375" style="75"/>
    <col min="25" max="25" width="3.5" style="75" customWidth="1"/>
    <col min="26" max="26" width="8.5703125" style="75" customWidth="1"/>
    <col min="27" max="16384" width="8.7109375" style="75"/>
  </cols>
  <sheetData>
    <row r="1" spans="1:25">
      <c r="B1" s="65" t="s">
        <v>760</v>
      </c>
      <c r="C1" s="74"/>
      <c r="L1" s="74" t="s">
        <v>351</v>
      </c>
      <c r="M1" s="75" t="s">
        <v>11</v>
      </c>
      <c r="N1" s="75" t="s">
        <v>627</v>
      </c>
      <c r="O1" s="75" t="s">
        <v>11</v>
      </c>
      <c r="R1" s="628"/>
      <c r="S1" s="935"/>
      <c r="U1" s="935" t="s">
        <v>948</v>
      </c>
      <c r="V1" s="75" t="s">
        <v>14</v>
      </c>
      <c r="W1" s="75" t="s">
        <v>14</v>
      </c>
      <c r="X1" s="75" t="s">
        <v>14</v>
      </c>
    </row>
    <row r="2" spans="1:25">
      <c r="A2" s="728"/>
      <c r="B2" s="729" t="s">
        <v>319</v>
      </c>
      <c r="C2" s="1375">
        <v>2006</v>
      </c>
      <c r="D2" s="1375">
        <v>2007</v>
      </c>
      <c r="E2" s="1375">
        <v>2008</v>
      </c>
      <c r="F2" s="1375">
        <v>2009</v>
      </c>
      <c r="G2" s="1375">
        <v>2010</v>
      </c>
      <c r="H2" s="1375">
        <v>2011</v>
      </c>
      <c r="I2" s="1376">
        <v>2012</v>
      </c>
      <c r="J2" s="1376">
        <v>2013</v>
      </c>
      <c r="K2" s="1376">
        <v>2014</v>
      </c>
      <c r="L2" s="1376">
        <v>2015</v>
      </c>
      <c r="M2" s="1376">
        <v>2016</v>
      </c>
      <c r="N2" s="1376">
        <v>2017</v>
      </c>
      <c r="O2" s="1376">
        <v>2018</v>
      </c>
      <c r="P2" s="1376">
        <v>2019</v>
      </c>
      <c r="Q2" s="1376">
        <v>2020</v>
      </c>
      <c r="R2" s="1376">
        <v>2021</v>
      </c>
      <c r="S2" s="1376">
        <v>2022</v>
      </c>
      <c r="T2" s="1376">
        <v>2023</v>
      </c>
      <c r="U2" s="1376">
        <v>2024</v>
      </c>
      <c r="V2" s="804">
        <v>2025</v>
      </c>
      <c r="W2" s="804">
        <v>2026</v>
      </c>
      <c r="X2" s="476">
        <v>2027</v>
      </c>
    </row>
    <row r="3" spans="1:25">
      <c r="A3" s="730"/>
      <c r="B3" s="730"/>
      <c r="C3" s="77" t="s">
        <v>369</v>
      </c>
      <c r="D3" s="77" t="s">
        <v>370</v>
      </c>
      <c r="E3" s="77" t="s">
        <v>858</v>
      </c>
      <c r="F3" s="77" t="s">
        <v>859</v>
      </c>
      <c r="G3" s="77" t="s">
        <v>912</v>
      </c>
      <c r="H3" s="77" t="s">
        <v>101</v>
      </c>
      <c r="I3" s="77" t="s">
        <v>317</v>
      </c>
      <c r="J3" s="77" t="s">
        <v>119</v>
      </c>
      <c r="K3" s="77" t="s">
        <v>67</v>
      </c>
      <c r="L3" s="77" t="s">
        <v>157</v>
      </c>
      <c r="M3" s="77" t="s">
        <v>1000</v>
      </c>
      <c r="N3" s="77" t="s">
        <v>1036</v>
      </c>
      <c r="O3" s="77" t="s">
        <v>1062</v>
      </c>
      <c r="P3" s="77" t="s">
        <v>1161</v>
      </c>
      <c r="Q3" s="77" t="s">
        <v>1129</v>
      </c>
      <c r="R3" s="77" t="s">
        <v>1160</v>
      </c>
      <c r="S3" s="77" t="s">
        <v>1200</v>
      </c>
      <c r="T3" s="77" t="s">
        <v>1234</v>
      </c>
      <c r="U3" s="77" t="s">
        <v>1561</v>
      </c>
      <c r="V3" s="75" t="s">
        <v>1603</v>
      </c>
      <c r="W3" s="75" t="s">
        <v>1745</v>
      </c>
      <c r="X3" s="491" t="s">
        <v>1783</v>
      </c>
    </row>
    <row r="4" spans="1:25">
      <c r="A4" s="730"/>
      <c r="B4" s="730" t="s">
        <v>320</v>
      </c>
      <c r="C4" s="78"/>
      <c r="D4" s="78" t="s">
        <v>672</v>
      </c>
      <c r="E4" s="78" t="s">
        <v>672</v>
      </c>
      <c r="F4" s="78" t="s">
        <v>672</v>
      </c>
      <c r="G4" s="78" t="s">
        <v>672</v>
      </c>
      <c r="H4" s="78"/>
      <c r="I4" s="132"/>
      <c r="J4" s="132"/>
      <c r="K4" s="132"/>
      <c r="L4" s="132"/>
      <c r="M4" s="132"/>
      <c r="N4" s="132"/>
      <c r="O4" s="132"/>
      <c r="P4" s="132"/>
      <c r="Q4" s="132"/>
      <c r="R4" s="132"/>
      <c r="S4" s="132"/>
      <c r="T4" s="132"/>
      <c r="U4" s="132"/>
      <c r="X4" s="477"/>
    </row>
    <row r="5" spans="1:25">
      <c r="A5" s="895" t="s">
        <v>1336</v>
      </c>
      <c r="B5" s="732"/>
      <c r="C5" s="382">
        <f>名目県内総支出!H58</f>
        <v>2305770.9127167165</v>
      </c>
      <c r="D5" s="382">
        <f>名目県内総支出!I58</f>
        <v>2360176.7103006858</v>
      </c>
      <c r="E5" s="382">
        <f>名目県内総支出!J58</f>
        <v>2251941.1074773134</v>
      </c>
      <c r="F5" s="382">
        <f>名目県内総支出!K58</f>
        <v>1834796.0019116669</v>
      </c>
      <c r="G5" s="382">
        <f>名目県内総支出!L58</f>
        <v>1928019.5281965241</v>
      </c>
      <c r="H5" s="382">
        <f>名目県内総支出!M58</f>
        <v>1965444.8156101932</v>
      </c>
      <c r="I5" s="733">
        <f>名目県内総支出!N58</f>
        <v>2014467.9840030307</v>
      </c>
      <c r="J5" s="733">
        <f>名目県内総支出!O58</f>
        <v>2248690.764454558</v>
      </c>
      <c r="K5" s="733">
        <f>名目県内総支出!P58</f>
        <v>2293516.8861769917</v>
      </c>
      <c r="L5" s="733">
        <f>名目県内総支出!Q58</f>
        <v>2407870.1411048295</v>
      </c>
      <c r="M5" s="733">
        <f>名目県内総支出!R58</f>
        <v>2337068.2151271454</v>
      </c>
      <c r="N5" s="733">
        <f>名目県内総支出!S58</f>
        <v>2444881.3262309013</v>
      </c>
      <c r="O5" s="733">
        <f>名目県内総支出!T58</f>
        <v>2481803.0202672537</v>
      </c>
      <c r="P5" s="733">
        <f>名目県内総支出!U58</f>
        <v>2517141.8535119742</v>
      </c>
      <c r="Q5" s="733">
        <f>名目県内総支出!V58</f>
        <v>2420563</v>
      </c>
      <c r="R5" s="459">
        <f>名目県内総支出!W58</f>
        <v>2507644</v>
      </c>
      <c r="S5" s="459">
        <f>名目県内総支出!X58</f>
        <v>2841096</v>
      </c>
      <c r="T5" s="459">
        <f>名目県内総支出!Y58</f>
        <v>3124308</v>
      </c>
      <c r="U5" s="459">
        <f>名目県内総支出!Z58</f>
        <v>3246203</v>
      </c>
      <c r="V5" s="459">
        <f>名目県内総支出!AA58</f>
        <v>3397695</v>
      </c>
      <c r="W5" s="459">
        <f>名目県内総支出!AB58</f>
        <v>3484521</v>
      </c>
      <c r="X5" s="459">
        <f>名目県内総支出!AC58</f>
        <v>3583039</v>
      </c>
    </row>
    <row r="6" spans="1:25">
      <c r="A6" s="732"/>
      <c r="B6" s="732" t="s">
        <v>322</v>
      </c>
      <c r="C6" s="736">
        <f>SUM(C7:C16)</f>
        <v>2305770.9127167165</v>
      </c>
      <c r="D6" s="736">
        <f>SUM(D7:D16)</f>
        <v>2360176.7103006858</v>
      </c>
      <c r="E6" s="736">
        <f t="shared" ref="E6:J6" si="0">SUM(E7:E16)</f>
        <v>2251941.1074773134</v>
      </c>
      <c r="F6" s="736">
        <f>SUM(F7:F16)</f>
        <v>1834796.0019116669</v>
      </c>
      <c r="G6" s="736">
        <f t="shared" si="0"/>
        <v>1928019.5281965241</v>
      </c>
      <c r="H6" s="736">
        <f t="shared" si="0"/>
        <v>1965444.8156101932</v>
      </c>
      <c r="I6" s="736">
        <f t="shared" si="0"/>
        <v>2014467.9840030307</v>
      </c>
      <c r="J6" s="736">
        <f t="shared" si="0"/>
        <v>2248690.764454558</v>
      </c>
      <c r="K6" s="736">
        <f t="shared" ref="K6:P6" si="1">SUM(K7:K16)</f>
        <v>2293516.8861769917</v>
      </c>
      <c r="L6" s="736">
        <f t="shared" si="1"/>
        <v>2407870.1411048295</v>
      </c>
      <c r="M6" s="736">
        <f t="shared" si="1"/>
        <v>2337068.2151271454</v>
      </c>
      <c r="N6" s="736">
        <f t="shared" si="1"/>
        <v>2444881.3262309013</v>
      </c>
      <c r="O6" s="736">
        <f t="shared" si="1"/>
        <v>2481803.0202672537</v>
      </c>
      <c r="P6" s="736">
        <f t="shared" si="1"/>
        <v>2517141.8535119742</v>
      </c>
      <c r="Q6" s="736">
        <f t="shared" ref="Q6:V6" si="2">SUM(Q7:Q16)</f>
        <v>2420563</v>
      </c>
      <c r="R6" s="736">
        <f t="shared" si="2"/>
        <v>2507644</v>
      </c>
      <c r="S6" s="736">
        <f t="shared" si="2"/>
        <v>2841096</v>
      </c>
      <c r="T6" s="736">
        <f t="shared" si="2"/>
        <v>3124308</v>
      </c>
      <c r="U6" s="736">
        <f t="shared" si="2"/>
        <v>3246203</v>
      </c>
      <c r="V6" s="736">
        <f t="shared" si="2"/>
        <v>3397695</v>
      </c>
      <c r="W6" s="736">
        <f t="shared" ref="W6:X6" si="3">SUM(W7:W16)</f>
        <v>3484521</v>
      </c>
      <c r="X6" s="736">
        <f t="shared" si="3"/>
        <v>3583039</v>
      </c>
      <c r="Y6" s="897"/>
    </row>
    <row r="7" spans="1:25">
      <c r="A7" s="730">
        <v>100</v>
      </c>
      <c r="B7" s="730" t="s">
        <v>172</v>
      </c>
      <c r="C7" s="733">
        <f>C18</f>
        <v>673999.91271671653</v>
      </c>
      <c r="D7" s="733">
        <f>D18</f>
        <v>684011.71030068584</v>
      </c>
      <c r="E7" s="733">
        <f t="shared" ref="E7:G8" si="4">E18</f>
        <v>650573.10747731337</v>
      </c>
      <c r="F7" s="733">
        <f t="shared" si="4"/>
        <v>528194.00191166694</v>
      </c>
      <c r="G7" s="733">
        <f t="shared" si="4"/>
        <v>562334.52819652413</v>
      </c>
      <c r="H7" s="733">
        <f t="shared" ref="H7:J8" si="5">H18</f>
        <v>571878.81561019318</v>
      </c>
      <c r="I7" s="733">
        <f t="shared" si="5"/>
        <v>576419.9840030307</v>
      </c>
      <c r="J7" s="733">
        <f t="shared" si="5"/>
        <v>663599.76445455803</v>
      </c>
      <c r="K7" s="733">
        <f t="shared" ref="K7:M8" si="6">K18</f>
        <v>664915.88617699174</v>
      </c>
      <c r="L7" s="733">
        <f t="shared" si="6"/>
        <v>697624.1411048295</v>
      </c>
      <c r="M7" s="733">
        <f t="shared" si="6"/>
        <v>690342.21512714541</v>
      </c>
      <c r="N7" s="733">
        <f t="shared" ref="N7:P8" si="7">N18</f>
        <v>748362.32623090129</v>
      </c>
      <c r="O7" s="733">
        <f t="shared" si="7"/>
        <v>747995.02026725374</v>
      </c>
      <c r="P7" s="733">
        <f t="shared" si="7"/>
        <v>763523.85351197422</v>
      </c>
      <c r="Q7" s="733">
        <f t="shared" ref="Q7:S8" si="8">Q18</f>
        <v>739464</v>
      </c>
      <c r="R7" s="733">
        <f t="shared" si="8"/>
        <v>734117</v>
      </c>
      <c r="S7" s="733">
        <f t="shared" si="8"/>
        <v>833970</v>
      </c>
      <c r="T7" s="733">
        <f t="shared" ref="T7:U7" si="9">T18</f>
        <v>922265</v>
      </c>
      <c r="U7" s="733">
        <f t="shared" si="9"/>
        <v>957221</v>
      </c>
      <c r="V7" s="733">
        <f t="shared" ref="V7:W7" si="10">V18</f>
        <v>1001889</v>
      </c>
      <c r="W7" s="733">
        <f t="shared" si="10"/>
        <v>1027492</v>
      </c>
      <c r="X7" s="733">
        <f t="shared" ref="X7" si="11">X18</f>
        <v>1056538</v>
      </c>
      <c r="Y7" s="73"/>
    </row>
    <row r="8" spans="1:25">
      <c r="A8" s="730">
        <v>1</v>
      </c>
      <c r="B8" s="730" t="s">
        <v>323</v>
      </c>
      <c r="C8" s="733">
        <f>C19</f>
        <v>452329</v>
      </c>
      <c r="D8" s="733">
        <f>D19</f>
        <v>461382</v>
      </c>
      <c r="E8" s="733">
        <f t="shared" si="4"/>
        <v>454260</v>
      </c>
      <c r="F8" s="733">
        <f t="shared" si="4"/>
        <v>367014</v>
      </c>
      <c r="G8" s="733">
        <f t="shared" si="4"/>
        <v>369825</v>
      </c>
      <c r="H8" s="733">
        <f t="shared" si="5"/>
        <v>369654</v>
      </c>
      <c r="I8" s="733">
        <f t="shared" si="5"/>
        <v>376893</v>
      </c>
      <c r="J8" s="733">
        <f t="shared" si="5"/>
        <v>421834</v>
      </c>
      <c r="K8" s="733">
        <f t="shared" si="6"/>
        <v>424792</v>
      </c>
      <c r="L8" s="733">
        <f t="shared" si="6"/>
        <v>457381</v>
      </c>
      <c r="M8" s="733">
        <f t="shared" si="6"/>
        <v>443656</v>
      </c>
      <c r="N8" s="733">
        <f t="shared" si="7"/>
        <v>447364</v>
      </c>
      <c r="O8" s="733">
        <f t="shared" si="7"/>
        <v>458878</v>
      </c>
      <c r="P8" s="733">
        <f t="shared" si="7"/>
        <v>457652</v>
      </c>
      <c r="Q8" s="733">
        <f t="shared" si="8"/>
        <v>445679</v>
      </c>
      <c r="R8" s="733">
        <f t="shared" si="8"/>
        <v>447603</v>
      </c>
      <c r="S8" s="733">
        <f t="shared" si="8"/>
        <v>502931</v>
      </c>
      <c r="T8" s="733">
        <f t="shared" ref="T8:U8" si="12">T19</f>
        <v>557303</v>
      </c>
      <c r="U8" s="733">
        <f t="shared" si="12"/>
        <v>578228</v>
      </c>
      <c r="V8" s="733">
        <f t="shared" ref="V8:W8" si="13">V19</f>
        <v>605211</v>
      </c>
      <c r="W8" s="733">
        <f t="shared" si="13"/>
        <v>620678</v>
      </c>
      <c r="X8" s="733">
        <f t="shared" ref="X8" si="14">X19</f>
        <v>638226</v>
      </c>
    </row>
    <row r="9" spans="1:25">
      <c r="A9" s="730">
        <v>2</v>
      </c>
      <c r="B9" s="730" t="s">
        <v>324</v>
      </c>
      <c r="C9" s="733">
        <f>C23</f>
        <v>266763</v>
      </c>
      <c r="D9" s="733">
        <f>D23</f>
        <v>274063</v>
      </c>
      <c r="E9" s="733">
        <f t="shared" ref="E9:J9" si="15">E23</f>
        <v>259159</v>
      </c>
      <c r="F9" s="733">
        <f t="shared" si="15"/>
        <v>210429</v>
      </c>
      <c r="G9" s="733">
        <f t="shared" si="15"/>
        <v>217676</v>
      </c>
      <c r="H9" s="733">
        <f t="shared" si="15"/>
        <v>224709</v>
      </c>
      <c r="I9" s="733">
        <f t="shared" si="15"/>
        <v>233818</v>
      </c>
      <c r="J9" s="733">
        <f t="shared" si="15"/>
        <v>263377</v>
      </c>
      <c r="K9" s="733">
        <f t="shared" ref="K9:P9" si="16">K23</f>
        <v>273154</v>
      </c>
      <c r="L9" s="733">
        <f t="shared" si="16"/>
        <v>282534</v>
      </c>
      <c r="M9" s="733">
        <f t="shared" si="16"/>
        <v>274017</v>
      </c>
      <c r="N9" s="733">
        <f t="shared" si="16"/>
        <v>282453</v>
      </c>
      <c r="O9" s="733">
        <f t="shared" si="16"/>
        <v>286451</v>
      </c>
      <c r="P9" s="733">
        <f t="shared" si="16"/>
        <v>291649</v>
      </c>
      <c r="Q9" s="733">
        <f t="shared" ref="Q9:V9" si="17">Q23</f>
        <v>274896</v>
      </c>
      <c r="R9" s="733">
        <f t="shared" si="17"/>
        <v>294457</v>
      </c>
      <c r="S9" s="733">
        <f t="shared" si="17"/>
        <v>336394</v>
      </c>
      <c r="T9" s="733">
        <f t="shared" si="17"/>
        <v>368144</v>
      </c>
      <c r="U9" s="733">
        <f t="shared" si="17"/>
        <v>382534</v>
      </c>
      <c r="V9" s="733">
        <f t="shared" si="17"/>
        <v>400386</v>
      </c>
      <c r="W9" s="733">
        <f t="shared" ref="W9:X9" si="18">W23</f>
        <v>410617</v>
      </c>
      <c r="X9" s="733">
        <f t="shared" si="18"/>
        <v>422226</v>
      </c>
    </row>
    <row r="10" spans="1:25">
      <c r="A10" s="730">
        <v>3</v>
      </c>
      <c r="B10" s="730" t="s">
        <v>192</v>
      </c>
      <c r="C10" s="733">
        <f>C29</f>
        <v>287108</v>
      </c>
      <c r="D10" s="733">
        <f>D29</f>
        <v>298207</v>
      </c>
      <c r="E10" s="733">
        <f t="shared" ref="E10:J10" si="19">E29</f>
        <v>293440</v>
      </c>
      <c r="F10" s="733">
        <f t="shared" si="19"/>
        <v>243894</v>
      </c>
      <c r="G10" s="733">
        <f t="shared" si="19"/>
        <v>242551</v>
      </c>
      <c r="H10" s="733">
        <f t="shared" si="19"/>
        <v>262514</v>
      </c>
      <c r="I10" s="733">
        <f t="shared" si="19"/>
        <v>272039</v>
      </c>
      <c r="J10" s="733">
        <f t="shared" si="19"/>
        <v>292453</v>
      </c>
      <c r="K10" s="733">
        <f t="shared" ref="K10:P10" si="20">K29</f>
        <v>319923</v>
      </c>
      <c r="L10" s="733">
        <f t="shared" si="20"/>
        <v>330691</v>
      </c>
      <c r="M10" s="733">
        <f t="shared" si="20"/>
        <v>303387</v>
      </c>
      <c r="N10" s="733">
        <f t="shared" si="20"/>
        <v>323125</v>
      </c>
      <c r="O10" s="733">
        <f t="shared" si="20"/>
        <v>324098</v>
      </c>
      <c r="P10" s="733">
        <f t="shared" si="20"/>
        <v>332272</v>
      </c>
      <c r="Q10" s="733">
        <f t="shared" ref="Q10:V10" si="21">Q29</f>
        <v>319257</v>
      </c>
      <c r="R10" s="733">
        <f t="shared" si="21"/>
        <v>338932</v>
      </c>
      <c r="S10" s="733">
        <f t="shared" si="21"/>
        <v>385640</v>
      </c>
      <c r="T10" s="733">
        <f t="shared" si="21"/>
        <v>422702</v>
      </c>
      <c r="U10" s="733">
        <f t="shared" si="21"/>
        <v>442847</v>
      </c>
      <c r="V10" s="733">
        <f t="shared" si="21"/>
        <v>463514</v>
      </c>
      <c r="W10" s="733">
        <f t="shared" ref="W10:X10" si="22">W29</f>
        <v>475359</v>
      </c>
      <c r="X10" s="733">
        <f t="shared" si="22"/>
        <v>488801</v>
      </c>
      <c r="Y10" s="733"/>
    </row>
    <row r="11" spans="1:25">
      <c r="A11" s="730">
        <v>4</v>
      </c>
      <c r="B11" s="730" t="s">
        <v>325</v>
      </c>
      <c r="C11" s="733">
        <f>C35</f>
        <v>103418</v>
      </c>
      <c r="D11" s="733">
        <f>D35</f>
        <v>111765</v>
      </c>
      <c r="E11" s="733">
        <f t="shared" ref="E11:J11" si="23">E35</f>
        <v>99356</v>
      </c>
      <c r="F11" s="733">
        <f t="shared" si="23"/>
        <v>79154</v>
      </c>
      <c r="G11" s="733">
        <f t="shared" si="23"/>
        <v>81589</v>
      </c>
      <c r="H11" s="733">
        <f t="shared" si="23"/>
        <v>96080</v>
      </c>
      <c r="I11" s="733">
        <f t="shared" si="23"/>
        <v>100491</v>
      </c>
      <c r="J11" s="733">
        <f t="shared" si="23"/>
        <v>109756</v>
      </c>
      <c r="K11" s="733">
        <f t="shared" ref="K11:P11" si="24">K35</f>
        <v>101661</v>
      </c>
      <c r="L11" s="733">
        <f t="shared" si="24"/>
        <v>107543</v>
      </c>
      <c r="M11" s="733">
        <f t="shared" si="24"/>
        <v>107283</v>
      </c>
      <c r="N11" s="733">
        <f t="shared" si="24"/>
        <v>108708</v>
      </c>
      <c r="O11" s="733">
        <f t="shared" si="24"/>
        <v>111332</v>
      </c>
      <c r="P11" s="733">
        <f t="shared" si="24"/>
        <v>117791</v>
      </c>
      <c r="Q11" s="733">
        <f t="shared" ref="Q11:V11" si="25">Q35</f>
        <v>110073</v>
      </c>
      <c r="R11" s="733">
        <f t="shared" si="25"/>
        <v>122911</v>
      </c>
      <c r="S11" s="733">
        <f t="shared" si="25"/>
        <v>139588</v>
      </c>
      <c r="T11" s="733">
        <f t="shared" si="25"/>
        <v>152821</v>
      </c>
      <c r="U11" s="733">
        <f t="shared" si="25"/>
        <v>159124</v>
      </c>
      <c r="V11" s="733">
        <f t="shared" si="25"/>
        <v>166550</v>
      </c>
      <c r="W11" s="733">
        <f t="shared" ref="W11:X11" si="26">W35</f>
        <v>170805</v>
      </c>
      <c r="X11" s="733">
        <f t="shared" si="26"/>
        <v>175636</v>
      </c>
      <c r="Y11" s="733"/>
    </row>
    <row r="12" spans="1:25">
      <c r="A12" s="730">
        <v>5</v>
      </c>
      <c r="B12" s="730" t="s">
        <v>326</v>
      </c>
      <c r="C12" s="733">
        <f>C42</f>
        <v>241703</v>
      </c>
      <c r="D12" s="733">
        <f>D42</f>
        <v>251383</v>
      </c>
      <c r="E12" s="733">
        <f t="shared" ref="E12:J12" si="27">E42</f>
        <v>233342</v>
      </c>
      <c r="F12" s="733">
        <f t="shared" si="27"/>
        <v>189877</v>
      </c>
      <c r="G12" s="733">
        <f t="shared" si="27"/>
        <v>232241</v>
      </c>
      <c r="H12" s="733">
        <f t="shared" si="27"/>
        <v>206439</v>
      </c>
      <c r="I12" s="733">
        <f t="shared" si="27"/>
        <v>211930</v>
      </c>
      <c r="J12" s="733">
        <f t="shared" si="27"/>
        <v>236534</v>
      </c>
      <c r="K12" s="733">
        <f t="shared" ref="K12:P12" si="28">K42</f>
        <v>238749</v>
      </c>
      <c r="L12" s="733">
        <f t="shared" si="28"/>
        <v>249548</v>
      </c>
      <c r="M12" s="733">
        <f t="shared" si="28"/>
        <v>249495</v>
      </c>
      <c r="N12" s="733">
        <f t="shared" si="28"/>
        <v>258461</v>
      </c>
      <c r="O12" s="733">
        <f t="shared" si="28"/>
        <v>275769</v>
      </c>
      <c r="P12" s="733">
        <f t="shared" si="28"/>
        <v>268913</v>
      </c>
      <c r="Q12" s="733">
        <f t="shared" ref="Q12:V12" si="29">Q42</f>
        <v>261669</v>
      </c>
      <c r="R12" s="733">
        <f t="shared" si="29"/>
        <v>268147</v>
      </c>
      <c r="S12" s="733">
        <f t="shared" si="29"/>
        <v>302439</v>
      </c>
      <c r="T12" s="733">
        <f t="shared" si="29"/>
        <v>329021</v>
      </c>
      <c r="U12" s="733">
        <f t="shared" si="29"/>
        <v>341836</v>
      </c>
      <c r="V12" s="733">
        <f t="shared" si="29"/>
        <v>357789</v>
      </c>
      <c r="W12" s="733">
        <f t="shared" ref="W12:X12" si="30">W42</f>
        <v>366932</v>
      </c>
      <c r="X12" s="733">
        <f t="shared" si="30"/>
        <v>377307</v>
      </c>
      <c r="Y12" s="733"/>
    </row>
    <row r="13" spans="1:25">
      <c r="A13" s="730">
        <v>6</v>
      </c>
      <c r="B13" s="730" t="s">
        <v>327</v>
      </c>
      <c r="C13" s="733">
        <f>C47</f>
        <v>107644</v>
      </c>
      <c r="D13" s="733">
        <f>D47</f>
        <v>106597</v>
      </c>
      <c r="E13" s="733">
        <f t="shared" ref="E13:J13" si="31">E47</f>
        <v>99776</v>
      </c>
      <c r="F13" s="733">
        <f t="shared" si="31"/>
        <v>81398</v>
      </c>
      <c r="G13" s="733">
        <f t="shared" si="31"/>
        <v>84363</v>
      </c>
      <c r="H13" s="733">
        <f t="shared" si="31"/>
        <v>89133</v>
      </c>
      <c r="I13" s="733">
        <f t="shared" si="31"/>
        <v>91141</v>
      </c>
      <c r="J13" s="733">
        <f t="shared" si="31"/>
        <v>97472</v>
      </c>
      <c r="K13" s="733">
        <f t="shared" ref="K13:P13" si="32">K47</f>
        <v>99492</v>
      </c>
      <c r="L13" s="733">
        <f t="shared" si="32"/>
        <v>105611</v>
      </c>
      <c r="M13" s="733">
        <f t="shared" si="32"/>
        <v>101439</v>
      </c>
      <c r="N13" s="733">
        <f t="shared" si="32"/>
        <v>100128</v>
      </c>
      <c r="O13" s="733">
        <f t="shared" si="32"/>
        <v>104529</v>
      </c>
      <c r="P13" s="733">
        <f t="shared" si="32"/>
        <v>108266</v>
      </c>
      <c r="Q13" s="733">
        <f t="shared" ref="Q13:V13" si="33">Q47</f>
        <v>101278</v>
      </c>
      <c r="R13" s="733">
        <f t="shared" si="33"/>
        <v>114086</v>
      </c>
      <c r="S13" s="733">
        <f t="shared" si="33"/>
        <v>128421</v>
      </c>
      <c r="T13" s="733">
        <f t="shared" si="33"/>
        <v>139205</v>
      </c>
      <c r="U13" s="733">
        <f t="shared" si="33"/>
        <v>143563</v>
      </c>
      <c r="V13" s="733">
        <f t="shared" si="33"/>
        <v>150264</v>
      </c>
      <c r="W13" s="733">
        <f t="shared" ref="W13:X13" si="34">W47</f>
        <v>154103</v>
      </c>
      <c r="X13" s="733">
        <f t="shared" si="34"/>
        <v>158461</v>
      </c>
      <c r="Y13" s="733"/>
    </row>
    <row r="14" spans="1:25">
      <c r="A14" s="730">
        <v>7</v>
      </c>
      <c r="B14" s="730" t="s">
        <v>210</v>
      </c>
      <c r="C14" s="733">
        <f>C55</f>
        <v>75319</v>
      </c>
      <c r="D14" s="733">
        <f>D55</f>
        <v>75027</v>
      </c>
      <c r="E14" s="733">
        <f t="shared" ref="E14:J14" si="35">E55</f>
        <v>70375</v>
      </c>
      <c r="F14" s="733">
        <f t="shared" si="35"/>
        <v>58327</v>
      </c>
      <c r="G14" s="733">
        <f t="shared" si="35"/>
        <v>58450</v>
      </c>
      <c r="H14" s="733">
        <f t="shared" si="35"/>
        <v>64296</v>
      </c>
      <c r="I14" s="733">
        <f t="shared" si="35"/>
        <v>67418</v>
      </c>
      <c r="J14" s="733">
        <f t="shared" si="35"/>
        <v>70734</v>
      </c>
      <c r="K14" s="733">
        <f t="shared" ref="K14:P14" si="36">K55</f>
        <v>72151</v>
      </c>
      <c r="L14" s="733">
        <f t="shared" si="36"/>
        <v>74761</v>
      </c>
      <c r="M14" s="733">
        <f t="shared" si="36"/>
        <v>71571</v>
      </c>
      <c r="N14" s="733">
        <f t="shared" si="36"/>
        <v>79568</v>
      </c>
      <c r="O14" s="733">
        <f t="shared" si="36"/>
        <v>73241</v>
      </c>
      <c r="P14" s="733">
        <f t="shared" si="36"/>
        <v>74666</v>
      </c>
      <c r="Q14" s="733">
        <f t="shared" ref="Q14:V14" si="37">Q55</f>
        <v>73003</v>
      </c>
      <c r="R14" s="733">
        <f t="shared" si="37"/>
        <v>78904</v>
      </c>
      <c r="S14" s="733">
        <f t="shared" si="37"/>
        <v>89612</v>
      </c>
      <c r="T14" s="733">
        <f t="shared" si="37"/>
        <v>97691</v>
      </c>
      <c r="U14" s="733">
        <f t="shared" si="37"/>
        <v>99775</v>
      </c>
      <c r="V14" s="733">
        <f t="shared" si="37"/>
        <v>104432</v>
      </c>
      <c r="W14" s="733">
        <f t="shared" ref="W14:X14" si="38">W55</f>
        <v>107102</v>
      </c>
      <c r="X14" s="733">
        <f t="shared" si="38"/>
        <v>110129</v>
      </c>
      <c r="Y14" s="733"/>
    </row>
    <row r="15" spans="1:25">
      <c r="A15" s="730">
        <v>8</v>
      </c>
      <c r="B15" s="730" t="s">
        <v>211</v>
      </c>
      <c r="C15" s="733">
        <f>C61</f>
        <v>43562</v>
      </c>
      <c r="D15" s="733">
        <f>D61</f>
        <v>44903</v>
      </c>
      <c r="E15" s="733">
        <f t="shared" ref="E15:J15" si="39">E61</f>
        <v>41853</v>
      </c>
      <c r="F15" s="733">
        <f t="shared" si="39"/>
        <v>33553</v>
      </c>
      <c r="G15" s="733">
        <f t="shared" si="39"/>
        <v>34850</v>
      </c>
      <c r="H15" s="733">
        <f t="shared" si="39"/>
        <v>35974</v>
      </c>
      <c r="I15" s="733">
        <f t="shared" si="39"/>
        <v>37398</v>
      </c>
      <c r="J15" s="733">
        <f t="shared" si="39"/>
        <v>41082</v>
      </c>
      <c r="K15" s="733">
        <f t="shared" ref="K15:P15" si="40">K61</f>
        <v>47166</v>
      </c>
      <c r="L15" s="733">
        <f t="shared" si="40"/>
        <v>47604</v>
      </c>
      <c r="M15" s="733">
        <f t="shared" si="40"/>
        <v>43345</v>
      </c>
      <c r="N15" s="733">
        <f t="shared" si="40"/>
        <v>43227</v>
      </c>
      <c r="O15" s="733">
        <f t="shared" si="40"/>
        <v>47244</v>
      </c>
      <c r="P15" s="733">
        <f t="shared" si="40"/>
        <v>47373</v>
      </c>
      <c r="Q15" s="733">
        <f t="shared" ref="Q15:V15" si="41">Q61</f>
        <v>42722</v>
      </c>
      <c r="R15" s="733">
        <f t="shared" si="41"/>
        <v>49374</v>
      </c>
      <c r="S15" s="733">
        <f t="shared" si="41"/>
        <v>55489</v>
      </c>
      <c r="T15" s="733">
        <f t="shared" si="41"/>
        <v>59860</v>
      </c>
      <c r="U15" s="733">
        <f t="shared" si="41"/>
        <v>62624</v>
      </c>
      <c r="V15" s="733">
        <f t="shared" si="41"/>
        <v>65547</v>
      </c>
      <c r="W15" s="733">
        <f t="shared" ref="W15:X15" si="42">W61</f>
        <v>67221</v>
      </c>
      <c r="X15" s="733">
        <f t="shared" si="42"/>
        <v>69123</v>
      </c>
      <c r="Y15" s="733"/>
    </row>
    <row r="16" spans="1:25">
      <c r="A16" s="730">
        <v>9</v>
      </c>
      <c r="B16" s="730" t="s">
        <v>212</v>
      </c>
      <c r="C16" s="733">
        <f>C64</f>
        <v>53925</v>
      </c>
      <c r="D16" s="733">
        <f>D64</f>
        <v>52838</v>
      </c>
      <c r="E16" s="733">
        <f t="shared" ref="E16:J16" si="43">E64</f>
        <v>49807</v>
      </c>
      <c r="F16" s="733">
        <f t="shared" si="43"/>
        <v>42956</v>
      </c>
      <c r="G16" s="733">
        <f t="shared" si="43"/>
        <v>44140</v>
      </c>
      <c r="H16" s="733">
        <f t="shared" si="43"/>
        <v>44767</v>
      </c>
      <c r="I16" s="733">
        <f t="shared" si="43"/>
        <v>46920</v>
      </c>
      <c r="J16" s="733">
        <f t="shared" si="43"/>
        <v>51849</v>
      </c>
      <c r="K16" s="733">
        <f t="shared" ref="K16:P16" si="44">K64</f>
        <v>51513</v>
      </c>
      <c r="L16" s="733">
        <f t="shared" si="44"/>
        <v>54573</v>
      </c>
      <c r="M16" s="733">
        <f t="shared" si="44"/>
        <v>52533</v>
      </c>
      <c r="N16" s="733">
        <f t="shared" si="44"/>
        <v>53485</v>
      </c>
      <c r="O16" s="733">
        <f t="shared" si="44"/>
        <v>52266</v>
      </c>
      <c r="P16" s="733">
        <f t="shared" si="44"/>
        <v>55036</v>
      </c>
      <c r="Q16" s="733">
        <f t="shared" ref="Q16:V16" si="45">Q64</f>
        <v>52522</v>
      </c>
      <c r="R16" s="733">
        <f t="shared" si="45"/>
        <v>59113</v>
      </c>
      <c r="S16" s="733">
        <f t="shared" si="45"/>
        <v>66612</v>
      </c>
      <c r="T16" s="733">
        <f t="shared" si="45"/>
        <v>75296</v>
      </c>
      <c r="U16" s="733">
        <f t="shared" si="45"/>
        <v>78451</v>
      </c>
      <c r="V16" s="733">
        <f t="shared" si="45"/>
        <v>82113</v>
      </c>
      <c r="W16" s="733">
        <f t="shared" ref="W16:X16" si="46">W64</f>
        <v>84212</v>
      </c>
      <c r="X16" s="733">
        <f t="shared" si="46"/>
        <v>86592</v>
      </c>
      <c r="Y16" s="733"/>
    </row>
    <row r="17" spans="1:25">
      <c r="A17" s="816" t="s">
        <v>1352</v>
      </c>
      <c r="B17" s="732"/>
      <c r="C17" s="736">
        <f>ROUND(C$5*C88/C$76,0)-C18</f>
        <v>1.0872832834720612</v>
      </c>
      <c r="D17" s="736">
        <f>ROUND(D$5*D88/D$76,0)-D18</f>
        <v>1.2896993141621351</v>
      </c>
      <c r="E17" s="736">
        <f>ROUND(E$5*E88/E$76,0)-E18</f>
        <v>1.8925226866267622</v>
      </c>
      <c r="F17" s="736">
        <f>ROUND(F$5*F88/F$76,0)-F18</f>
        <v>-3.0019116669427603</v>
      </c>
      <c r="G17" s="736">
        <f t="shared" ref="G17:P17" si="47">ROUND(G$5*G88/G$76,0)-G18</f>
        <v>-2.5281965241301805</v>
      </c>
      <c r="H17" s="736">
        <f t="shared" si="47"/>
        <v>2.184389806818217</v>
      </c>
      <c r="I17" s="736">
        <f t="shared" si="47"/>
        <v>1.5996969304978848E-2</v>
      </c>
      <c r="J17" s="736">
        <f t="shared" si="47"/>
        <v>-0.76445455802604556</v>
      </c>
      <c r="K17" s="736">
        <f t="shared" si="47"/>
        <v>0.11382300825789571</v>
      </c>
      <c r="L17" s="736">
        <f t="shared" si="47"/>
        <v>-2.1411048294976354</v>
      </c>
      <c r="M17" s="736">
        <f t="shared" si="47"/>
        <v>0.78487285459414124</v>
      </c>
      <c r="N17" s="736">
        <f t="shared" si="47"/>
        <v>1.6737690987065434</v>
      </c>
      <c r="O17" s="736">
        <f t="shared" si="47"/>
        <v>-3.020267253741622</v>
      </c>
      <c r="P17" s="736">
        <f t="shared" si="47"/>
        <v>1.1464880257844925</v>
      </c>
      <c r="Q17" s="736"/>
      <c r="R17" s="736"/>
      <c r="S17" s="736"/>
      <c r="T17" s="736"/>
      <c r="U17" s="736"/>
      <c r="V17" s="736"/>
      <c r="W17" s="736"/>
      <c r="X17" s="736"/>
      <c r="Y17" s="733"/>
    </row>
    <row r="18" spans="1:25">
      <c r="A18" s="730">
        <v>100</v>
      </c>
      <c r="B18" s="730" t="s">
        <v>172</v>
      </c>
      <c r="C18" s="733">
        <f>C5-SUM(C8:C16)</f>
        <v>673999.91271671653</v>
      </c>
      <c r="D18" s="733">
        <f>D5-SUM(D8:D16)</f>
        <v>684011.71030068584</v>
      </c>
      <c r="E18" s="733">
        <f>E5-SUM(E8:E16)</f>
        <v>650573.10747731337</v>
      </c>
      <c r="F18" s="733">
        <f>F5-SUM(F8:F16)</f>
        <v>528194.00191166694</v>
      </c>
      <c r="G18" s="733">
        <f t="shared" ref="G18:L18" si="48">G5-SUM(G8:G16)</f>
        <v>562334.52819652413</v>
      </c>
      <c r="H18" s="733">
        <f t="shared" si="48"/>
        <v>571878.81561019318</v>
      </c>
      <c r="I18" s="733">
        <f t="shared" si="48"/>
        <v>576419.9840030307</v>
      </c>
      <c r="J18" s="733">
        <f t="shared" si="48"/>
        <v>663599.76445455803</v>
      </c>
      <c r="K18" s="733">
        <f t="shared" si="48"/>
        <v>664915.88617699174</v>
      </c>
      <c r="L18" s="733">
        <f t="shared" si="48"/>
        <v>697624.1411048295</v>
      </c>
      <c r="M18" s="733">
        <f t="shared" ref="M18:R18" si="49">M5-SUM(M8:M16)</f>
        <v>690342.21512714541</v>
      </c>
      <c r="N18" s="733">
        <f t="shared" si="49"/>
        <v>748362.32623090129</v>
      </c>
      <c r="O18" s="733">
        <f t="shared" si="49"/>
        <v>747995.02026725374</v>
      </c>
      <c r="P18" s="733">
        <f t="shared" si="49"/>
        <v>763523.85351197422</v>
      </c>
      <c r="Q18" s="733">
        <f t="shared" si="49"/>
        <v>739464</v>
      </c>
      <c r="R18" s="733">
        <f t="shared" si="49"/>
        <v>734117</v>
      </c>
      <c r="S18" s="733">
        <f t="shared" ref="S18:X18" si="50">S5-SUM(S8:S16)</f>
        <v>833970</v>
      </c>
      <c r="T18" s="733">
        <f t="shared" si="50"/>
        <v>922265</v>
      </c>
      <c r="U18" s="733">
        <f t="shared" si="50"/>
        <v>957221</v>
      </c>
      <c r="V18" s="733">
        <f t="shared" si="50"/>
        <v>1001889</v>
      </c>
      <c r="W18" s="733">
        <f t="shared" si="50"/>
        <v>1027492</v>
      </c>
      <c r="X18" s="733">
        <f t="shared" si="50"/>
        <v>1056538</v>
      </c>
      <c r="Y18" s="733"/>
    </row>
    <row r="19" spans="1:25">
      <c r="A19" s="728">
        <v>1</v>
      </c>
      <c r="B19" s="728" t="s">
        <v>328</v>
      </c>
      <c r="C19" s="734">
        <f>SUM(C20:C22)</f>
        <v>452329</v>
      </c>
      <c r="D19" s="734">
        <f>SUM(D20:D22)</f>
        <v>461382</v>
      </c>
      <c r="E19" s="734">
        <f>SUM(E20:E22)</f>
        <v>454260</v>
      </c>
      <c r="F19" s="734">
        <f t="shared" ref="F19:K19" si="51">SUM(F20:F22)</f>
        <v>367014</v>
      </c>
      <c r="G19" s="734">
        <f t="shared" si="51"/>
        <v>369825</v>
      </c>
      <c r="H19" s="734">
        <f t="shared" si="51"/>
        <v>369654</v>
      </c>
      <c r="I19" s="734">
        <f t="shared" si="51"/>
        <v>376893</v>
      </c>
      <c r="J19" s="734">
        <f t="shared" si="51"/>
        <v>421834</v>
      </c>
      <c r="K19" s="734">
        <f t="shared" si="51"/>
        <v>424792</v>
      </c>
      <c r="L19" s="734">
        <f t="shared" ref="L19:Q19" si="52">SUM(L20:L22)</f>
        <v>457381</v>
      </c>
      <c r="M19" s="734">
        <f t="shared" si="52"/>
        <v>443656</v>
      </c>
      <c r="N19" s="734">
        <f t="shared" si="52"/>
        <v>447364</v>
      </c>
      <c r="O19" s="734">
        <f t="shared" si="52"/>
        <v>458878</v>
      </c>
      <c r="P19" s="734">
        <f t="shared" si="52"/>
        <v>457652</v>
      </c>
      <c r="Q19" s="734">
        <f t="shared" si="52"/>
        <v>445679</v>
      </c>
      <c r="R19" s="734">
        <f t="shared" ref="R19:W19" si="53">SUM(R20:R22)</f>
        <v>447603</v>
      </c>
      <c r="S19" s="734">
        <f t="shared" si="53"/>
        <v>502931</v>
      </c>
      <c r="T19" s="734">
        <f t="shared" si="53"/>
        <v>557303</v>
      </c>
      <c r="U19" s="734">
        <f t="shared" si="53"/>
        <v>578228</v>
      </c>
      <c r="V19" s="734">
        <f t="shared" si="53"/>
        <v>605211</v>
      </c>
      <c r="W19" s="734">
        <f t="shared" si="53"/>
        <v>620678</v>
      </c>
      <c r="X19" s="734">
        <f t="shared" ref="X19" si="54">SUM(X20:X22)</f>
        <v>638226</v>
      </c>
      <c r="Y19" s="733"/>
    </row>
    <row r="20" spans="1:25">
      <c r="A20" s="730">
        <v>202</v>
      </c>
      <c r="B20" s="730" t="s">
        <v>183</v>
      </c>
      <c r="C20" s="733">
        <f t="shared" ref="C20:E22" si="55">ROUND(C$5*C90/C$76,0)</f>
        <v>229089</v>
      </c>
      <c r="D20" s="733">
        <f t="shared" si="55"/>
        <v>230113</v>
      </c>
      <c r="E20" s="733">
        <f t="shared" si="55"/>
        <v>229963</v>
      </c>
      <c r="F20" s="733">
        <f t="shared" ref="F20:S20" si="56">ROUND(F$5*F90/F$76,0)</f>
        <v>188691</v>
      </c>
      <c r="G20" s="733">
        <f t="shared" si="56"/>
        <v>182307</v>
      </c>
      <c r="H20" s="733">
        <f t="shared" si="56"/>
        <v>176024</v>
      </c>
      <c r="I20" s="733">
        <f t="shared" si="56"/>
        <v>178388</v>
      </c>
      <c r="J20" s="733">
        <f t="shared" si="56"/>
        <v>195702</v>
      </c>
      <c r="K20" s="733">
        <f t="shared" si="56"/>
        <v>198972</v>
      </c>
      <c r="L20" s="733">
        <f t="shared" si="56"/>
        <v>212173</v>
      </c>
      <c r="M20" s="733">
        <f t="shared" si="56"/>
        <v>206608</v>
      </c>
      <c r="N20" s="733">
        <f t="shared" si="56"/>
        <v>205535</v>
      </c>
      <c r="O20" s="733">
        <f t="shared" si="56"/>
        <v>211523</v>
      </c>
      <c r="P20" s="733">
        <f t="shared" si="56"/>
        <v>212139</v>
      </c>
      <c r="Q20" s="733">
        <f t="shared" si="56"/>
        <v>204783</v>
      </c>
      <c r="R20" s="733">
        <f t="shared" si="56"/>
        <v>205553</v>
      </c>
      <c r="S20" s="733">
        <f t="shared" si="56"/>
        <v>229870</v>
      </c>
      <c r="T20" s="733">
        <f t="shared" ref="T20:U20" si="57">ROUND(T$5*T90/T$76,0)</f>
        <v>255797</v>
      </c>
      <c r="U20" s="733">
        <f t="shared" si="57"/>
        <v>266027</v>
      </c>
      <c r="V20" s="733">
        <f t="shared" ref="V20:W20" si="58">ROUND(V$5*V90/V$76,0)</f>
        <v>278442</v>
      </c>
      <c r="W20" s="733">
        <f t="shared" si="58"/>
        <v>285558</v>
      </c>
      <c r="X20" s="733">
        <f t="shared" ref="X20" si="59">ROUND(X$5*X90/X$76,0)</f>
        <v>293631</v>
      </c>
      <c r="Y20" s="733"/>
    </row>
    <row r="21" spans="1:25">
      <c r="A21" s="730">
        <v>204</v>
      </c>
      <c r="B21" s="730" t="s">
        <v>184</v>
      </c>
      <c r="C21" s="733">
        <f t="shared" si="55"/>
        <v>185622</v>
      </c>
      <c r="D21" s="733">
        <f t="shared" si="55"/>
        <v>192376</v>
      </c>
      <c r="E21" s="733">
        <f t="shared" si="55"/>
        <v>187655</v>
      </c>
      <c r="F21" s="733">
        <f t="shared" ref="F21:S21" si="60">ROUND(F$5*F91/F$76,0)</f>
        <v>148093</v>
      </c>
      <c r="G21" s="733">
        <f t="shared" si="60"/>
        <v>157286</v>
      </c>
      <c r="H21" s="733">
        <f t="shared" si="60"/>
        <v>161765</v>
      </c>
      <c r="I21" s="733">
        <f t="shared" si="60"/>
        <v>165301</v>
      </c>
      <c r="J21" s="733">
        <f t="shared" si="60"/>
        <v>186637</v>
      </c>
      <c r="K21" s="733">
        <f t="shared" si="60"/>
        <v>186839</v>
      </c>
      <c r="L21" s="733">
        <f t="shared" si="60"/>
        <v>202232</v>
      </c>
      <c r="M21" s="733">
        <f t="shared" si="60"/>
        <v>194969</v>
      </c>
      <c r="N21" s="733">
        <f t="shared" si="60"/>
        <v>200783</v>
      </c>
      <c r="O21" s="733">
        <f t="shared" si="60"/>
        <v>204771</v>
      </c>
      <c r="P21" s="733">
        <f t="shared" si="60"/>
        <v>203517</v>
      </c>
      <c r="Q21" s="733">
        <f t="shared" si="60"/>
        <v>200488</v>
      </c>
      <c r="R21" s="733">
        <f t="shared" si="60"/>
        <v>197545</v>
      </c>
      <c r="S21" s="733">
        <f t="shared" si="60"/>
        <v>222823</v>
      </c>
      <c r="T21" s="733">
        <f t="shared" ref="T21:U21" si="61">ROUND(T$5*T91/T$76,0)</f>
        <v>246612</v>
      </c>
      <c r="U21" s="733">
        <f t="shared" si="61"/>
        <v>256040</v>
      </c>
      <c r="V21" s="733">
        <f t="shared" ref="V21:W21" si="62">ROUND(V$5*V91/V$76,0)</f>
        <v>267988</v>
      </c>
      <c r="W21" s="733">
        <f t="shared" si="62"/>
        <v>274837</v>
      </c>
      <c r="X21" s="733">
        <f t="shared" ref="X21" si="63">ROUND(X$5*X91/X$76,0)</f>
        <v>282607</v>
      </c>
      <c r="Y21" s="733"/>
    </row>
    <row r="22" spans="1:25">
      <c r="A22" s="731">
        <v>206</v>
      </c>
      <c r="B22" s="731" t="s">
        <v>185</v>
      </c>
      <c r="C22" s="733">
        <f t="shared" si="55"/>
        <v>37618</v>
      </c>
      <c r="D22" s="733">
        <f t="shared" si="55"/>
        <v>38893</v>
      </c>
      <c r="E22" s="733">
        <f t="shared" si="55"/>
        <v>36642</v>
      </c>
      <c r="F22" s="733">
        <f t="shared" ref="F22:S22" si="64">ROUND(F$5*F92/F$76,0)</f>
        <v>30230</v>
      </c>
      <c r="G22" s="733">
        <f t="shared" si="64"/>
        <v>30232</v>
      </c>
      <c r="H22" s="733">
        <f t="shared" si="64"/>
        <v>31865</v>
      </c>
      <c r="I22" s="733">
        <f t="shared" si="64"/>
        <v>33204</v>
      </c>
      <c r="J22" s="733">
        <f t="shared" si="64"/>
        <v>39495</v>
      </c>
      <c r="K22" s="733">
        <f t="shared" si="64"/>
        <v>38981</v>
      </c>
      <c r="L22" s="733">
        <f t="shared" si="64"/>
        <v>42976</v>
      </c>
      <c r="M22" s="733">
        <f t="shared" si="64"/>
        <v>42079</v>
      </c>
      <c r="N22" s="733">
        <f t="shared" si="64"/>
        <v>41046</v>
      </c>
      <c r="O22" s="733">
        <f t="shared" si="64"/>
        <v>42584</v>
      </c>
      <c r="P22" s="733">
        <f t="shared" si="64"/>
        <v>41996</v>
      </c>
      <c r="Q22" s="733">
        <f t="shared" si="64"/>
        <v>40408</v>
      </c>
      <c r="R22" s="733">
        <f t="shared" si="64"/>
        <v>44505</v>
      </c>
      <c r="S22" s="733">
        <f t="shared" si="64"/>
        <v>50238</v>
      </c>
      <c r="T22" s="733">
        <f t="shared" ref="T22:U22" si="65">ROUND(T$5*T92/T$76,0)</f>
        <v>54894</v>
      </c>
      <c r="U22" s="733">
        <f t="shared" si="65"/>
        <v>56161</v>
      </c>
      <c r="V22" s="733">
        <f t="shared" ref="V22:W22" si="66">ROUND(V$5*V92/V$76,0)</f>
        <v>58781</v>
      </c>
      <c r="W22" s="733">
        <f t="shared" si="66"/>
        <v>60283</v>
      </c>
      <c r="X22" s="733">
        <f t="shared" ref="X22" si="67">ROUND(X$5*X92/X$76,0)</f>
        <v>61988</v>
      </c>
      <c r="Y22" s="733"/>
    </row>
    <row r="23" spans="1:25">
      <c r="A23" s="730">
        <v>2</v>
      </c>
      <c r="B23" s="730" t="s">
        <v>324</v>
      </c>
      <c r="C23" s="734">
        <f>SUM(C24:C28)</f>
        <v>266763</v>
      </c>
      <c r="D23" s="734">
        <f>SUM(D24:D28)</f>
        <v>274063</v>
      </c>
      <c r="E23" s="734">
        <f>SUM(E24:E28)</f>
        <v>259159</v>
      </c>
      <c r="F23" s="734">
        <f t="shared" ref="F23:K23" si="68">SUM(F24:F28)</f>
        <v>210429</v>
      </c>
      <c r="G23" s="734">
        <f t="shared" si="68"/>
        <v>217676</v>
      </c>
      <c r="H23" s="734">
        <f t="shared" si="68"/>
        <v>224709</v>
      </c>
      <c r="I23" s="734">
        <f t="shared" si="68"/>
        <v>233818</v>
      </c>
      <c r="J23" s="734">
        <f t="shared" si="68"/>
        <v>263377</v>
      </c>
      <c r="K23" s="734">
        <f t="shared" si="68"/>
        <v>273154</v>
      </c>
      <c r="L23" s="734">
        <f t="shared" ref="L23:Q23" si="69">SUM(L24:L28)</f>
        <v>282534</v>
      </c>
      <c r="M23" s="734">
        <f t="shared" si="69"/>
        <v>274017</v>
      </c>
      <c r="N23" s="734">
        <f t="shared" si="69"/>
        <v>282453</v>
      </c>
      <c r="O23" s="734">
        <f t="shared" si="69"/>
        <v>286451</v>
      </c>
      <c r="P23" s="734">
        <f t="shared" si="69"/>
        <v>291649</v>
      </c>
      <c r="Q23" s="734">
        <f t="shared" si="69"/>
        <v>274896</v>
      </c>
      <c r="R23" s="734">
        <f t="shared" ref="R23:W23" si="70">SUM(R24:R28)</f>
        <v>294457</v>
      </c>
      <c r="S23" s="734">
        <f t="shared" si="70"/>
        <v>336394</v>
      </c>
      <c r="T23" s="734">
        <f t="shared" si="70"/>
        <v>368144</v>
      </c>
      <c r="U23" s="734">
        <f t="shared" si="70"/>
        <v>382534</v>
      </c>
      <c r="V23" s="734">
        <f t="shared" si="70"/>
        <v>400386</v>
      </c>
      <c r="W23" s="734">
        <f t="shared" si="70"/>
        <v>410617</v>
      </c>
      <c r="X23" s="734">
        <f t="shared" ref="X23" si="71">SUM(X24:X28)</f>
        <v>422226</v>
      </c>
      <c r="Y23" s="733"/>
    </row>
    <row r="24" spans="1:25">
      <c r="A24" s="730">
        <v>207</v>
      </c>
      <c r="B24" s="730" t="s">
        <v>187</v>
      </c>
      <c r="C24" s="733">
        <f t="shared" ref="C24:E28" si="72">ROUND(C$5*C94/C$76,0)</f>
        <v>78291</v>
      </c>
      <c r="D24" s="733">
        <f t="shared" si="72"/>
        <v>79602</v>
      </c>
      <c r="E24" s="733">
        <f t="shared" si="72"/>
        <v>74080</v>
      </c>
      <c r="F24" s="733">
        <f t="shared" ref="F24:S24" si="73">ROUND(F$5*F94/F$76,0)</f>
        <v>60073</v>
      </c>
      <c r="G24" s="733">
        <f t="shared" si="73"/>
        <v>61302</v>
      </c>
      <c r="H24" s="733">
        <f t="shared" si="73"/>
        <v>65274</v>
      </c>
      <c r="I24" s="733">
        <f t="shared" si="73"/>
        <v>66003</v>
      </c>
      <c r="J24" s="733">
        <f t="shared" si="73"/>
        <v>76347</v>
      </c>
      <c r="K24" s="733">
        <f t="shared" si="73"/>
        <v>76728</v>
      </c>
      <c r="L24" s="733">
        <f t="shared" si="73"/>
        <v>80137</v>
      </c>
      <c r="M24" s="733">
        <f t="shared" si="73"/>
        <v>79954</v>
      </c>
      <c r="N24" s="733">
        <f t="shared" si="73"/>
        <v>81455</v>
      </c>
      <c r="O24" s="733">
        <f t="shared" si="73"/>
        <v>82664</v>
      </c>
      <c r="P24" s="733">
        <f t="shared" si="73"/>
        <v>85180</v>
      </c>
      <c r="Q24" s="733">
        <f t="shared" si="73"/>
        <v>81557</v>
      </c>
      <c r="R24" s="733">
        <f t="shared" si="73"/>
        <v>85500</v>
      </c>
      <c r="S24" s="733">
        <f t="shared" si="73"/>
        <v>98743</v>
      </c>
      <c r="T24" s="733">
        <f t="shared" ref="T24:U24" si="74">ROUND(T$5*T94/T$76,0)</f>
        <v>108562</v>
      </c>
      <c r="U24" s="733">
        <f t="shared" si="74"/>
        <v>113222</v>
      </c>
      <c r="V24" s="733">
        <f t="shared" ref="V24:W24" si="75">ROUND(V$5*V94/V$76,0)</f>
        <v>118506</v>
      </c>
      <c r="W24" s="733">
        <f t="shared" si="75"/>
        <v>121534</v>
      </c>
      <c r="X24" s="733">
        <f t="shared" ref="X24" si="76">ROUND(X$5*X94/X$76,0)</f>
        <v>124970</v>
      </c>
      <c r="Y24" s="733"/>
    </row>
    <row r="25" spans="1:25">
      <c r="A25" s="730">
        <v>214</v>
      </c>
      <c r="B25" s="730" t="s">
        <v>188</v>
      </c>
      <c r="C25" s="733">
        <f t="shared" si="72"/>
        <v>82865</v>
      </c>
      <c r="D25" s="733">
        <f t="shared" si="72"/>
        <v>84427</v>
      </c>
      <c r="E25" s="733">
        <f t="shared" si="72"/>
        <v>80387</v>
      </c>
      <c r="F25" s="733">
        <f t="shared" ref="F25:S25" si="77">ROUND(F$5*F95/F$76,0)</f>
        <v>66053</v>
      </c>
      <c r="G25" s="733">
        <f t="shared" si="77"/>
        <v>69832</v>
      </c>
      <c r="H25" s="733">
        <f t="shared" si="77"/>
        <v>70171</v>
      </c>
      <c r="I25" s="733">
        <f t="shared" si="77"/>
        <v>73179</v>
      </c>
      <c r="J25" s="733">
        <f t="shared" si="77"/>
        <v>83350</v>
      </c>
      <c r="K25" s="733">
        <f t="shared" si="77"/>
        <v>85494</v>
      </c>
      <c r="L25" s="733">
        <f t="shared" si="77"/>
        <v>88386</v>
      </c>
      <c r="M25" s="733">
        <f t="shared" si="77"/>
        <v>83636</v>
      </c>
      <c r="N25" s="733">
        <f t="shared" si="77"/>
        <v>87724</v>
      </c>
      <c r="O25" s="733">
        <f t="shared" si="77"/>
        <v>88394</v>
      </c>
      <c r="P25" s="733">
        <f t="shared" si="77"/>
        <v>89774</v>
      </c>
      <c r="Q25" s="733">
        <f t="shared" si="77"/>
        <v>83753</v>
      </c>
      <c r="R25" s="733">
        <f t="shared" si="77"/>
        <v>89762</v>
      </c>
      <c r="S25" s="733">
        <f t="shared" si="77"/>
        <v>102671</v>
      </c>
      <c r="T25" s="733">
        <f t="shared" ref="T25:U25" si="78">ROUND(T$5*T95/T$76,0)</f>
        <v>111009</v>
      </c>
      <c r="U25" s="733">
        <f t="shared" si="78"/>
        <v>115790</v>
      </c>
      <c r="V25" s="733">
        <f t="shared" ref="V25:W25" si="79">ROUND(V$5*V95/V$76,0)</f>
        <v>121193</v>
      </c>
      <c r="W25" s="733">
        <f t="shared" si="79"/>
        <v>124290</v>
      </c>
      <c r="X25" s="733">
        <f t="shared" ref="X25" si="80">ROUND(X$5*X95/X$76,0)</f>
        <v>127804</v>
      </c>
      <c r="Y25" s="733"/>
    </row>
    <row r="26" spans="1:25">
      <c r="A26" s="730">
        <v>217</v>
      </c>
      <c r="B26" s="730" t="s">
        <v>189</v>
      </c>
      <c r="C26" s="733">
        <f t="shared" si="72"/>
        <v>55460</v>
      </c>
      <c r="D26" s="733">
        <f t="shared" si="72"/>
        <v>59015</v>
      </c>
      <c r="E26" s="733">
        <f t="shared" si="72"/>
        <v>55571</v>
      </c>
      <c r="F26" s="733">
        <f t="shared" ref="F26:S26" si="81">ROUND(F$5*F96/F$76,0)</f>
        <v>44466</v>
      </c>
      <c r="G26" s="733">
        <f t="shared" si="81"/>
        <v>45884</v>
      </c>
      <c r="H26" s="733">
        <f t="shared" si="81"/>
        <v>46362</v>
      </c>
      <c r="I26" s="733">
        <f t="shared" si="81"/>
        <v>48790</v>
      </c>
      <c r="J26" s="733">
        <f t="shared" si="81"/>
        <v>54793</v>
      </c>
      <c r="K26" s="733">
        <f t="shared" si="81"/>
        <v>56657</v>
      </c>
      <c r="L26" s="733">
        <f t="shared" si="81"/>
        <v>58681</v>
      </c>
      <c r="M26" s="733">
        <f t="shared" si="81"/>
        <v>55881</v>
      </c>
      <c r="N26" s="733">
        <f t="shared" si="81"/>
        <v>59979</v>
      </c>
      <c r="O26" s="733">
        <f t="shared" si="81"/>
        <v>59187</v>
      </c>
      <c r="P26" s="733">
        <f t="shared" si="81"/>
        <v>60105</v>
      </c>
      <c r="Q26" s="733">
        <f t="shared" si="81"/>
        <v>57068</v>
      </c>
      <c r="R26" s="733">
        <f t="shared" si="81"/>
        <v>59695</v>
      </c>
      <c r="S26" s="733">
        <f t="shared" si="81"/>
        <v>67973</v>
      </c>
      <c r="T26" s="733">
        <f t="shared" ref="T26:U26" si="82">ROUND(T$5*T96/T$76,0)</f>
        <v>74607</v>
      </c>
      <c r="U26" s="733">
        <f t="shared" si="82"/>
        <v>77569</v>
      </c>
      <c r="V26" s="733">
        <f t="shared" ref="V26:W26" si="83">ROUND(V$5*V96/V$76,0)</f>
        <v>81189</v>
      </c>
      <c r="W26" s="733">
        <f t="shared" si="83"/>
        <v>83264</v>
      </c>
      <c r="X26" s="733">
        <f t="shared" ref="X26" si="84">ROUND(X$5*X96/X$76,0)</f>
        <v>85618</v>
      </c>
      <c r="Y26" s="733"/>
    </row>
    <row r="27" spans="1:25">
      <c r="A27" s="730">
        <v>219</v>
      </c>
      <c r="B27" s="730" t="s">
        <v>190</v>
      </c>
      <c r="C27" s="733">
        <f t="shared" si="72"/>
        <v>39886</v>
      </c>
      <c r="D27" s="733">
        <f t="shared" si="72"/>
        <v>40494</v>
      </c>
      <c r="E27" s="733">
        <f t="shared" si="72"/>
        <v>39111</v>
      </c>
      <c r="F27" s="733">
        <f t="shared" ref="F27:S27" si="85">ROUND(F$5*F97/F$76,0)</f>
        <v>31761</v>
      </c>
      <c r="G27" s="733">
        <f t="shared" si="85"/>
        <v>32330</v>
      </c>
      <c r="H27" s="733">
        <f t="shared" si="85"/>
        <v>34035</v>
      </c>
      <c r="I27" s="733">
        <f t="shared" si="85"/>
        <v>36685</v>
      </c>
      <c r="J27" s="733">
        <f t="shared" si="85"/>
        <v>38947</v>
      </c>
      <c r="K27" s="733">
        <f t="shared" si="85"/>
        <v>43752</v>
      </c>
      <c r="L27" s="733">
        <f t="shared" si="85"/>
        <v>44468</v>
      </c>
      <c r="M27" s="733">
        <f t="shared" si="85"/>
        <v>44321</v>
      </c>
      <c r="N27" s="733">
        <f t="shared" si="85"/>
        <v>42594</v>
      </c>
      <c r="O27" s="733">
        <f t="shared" si="85"/>
        <v>45568</v>
      </c>
      <c r="P27" s="733">
        <f t="shared" si="85"/>
        <v>45348</v>
      </c>
      <c r="Q27" s="733">
        <f t="shared" si="85"/>
        <v>42074</v>
      </c>
      <c r="R27" s="733">
        <f t="shared" si="85"/>
        <v>47711</v>
      </c>
      <c r="S27" s="733">
        <f t="shared" si="85"/>
        <v>53674</v>
      </c>
      <c r="T27" s="733">
        <f t="shared" ref="T27:U27" si="86">ROUND(T$5*T97/T$76,0)</f>
        <v>59390</v>
      </c>
      <c r="U27" s="733">
        <f t="shared" si="86"/>
        <v>61127</v>
      </c>
      <c r="V27" s="733">
        <f t="shared" ref="V27:W27" si="87">ROUND(V$5*V97/V$76,0)</f>
        <v>63980</v>
      </c>
      <c r="W27" s="733">
        <f t="shared" si="87"/>
        <v>65615</v>
      </c>
      <c r="X27" s="733">
        <f t="shared" ref="X27" si="88">ROUND(X$5*X97/X$76,0)</f>
        <v>67470</v>
      </c>
      <c r="Y27" s="733"/>
    </row>
    <row r="28" spans="1:25">
      <c r="A28" s="730">
        <v>301</v>
      </c>
      <c r="B28" s="730" t="s">
        <v>191</v>
      </c>
      <c r="C28" s="735">
        <f t="shared" si="72"/>
        <v>10261</v>
      </c>
      <c r="D28" s="735">
        <f t="shared" si="72"/>
        <v>10525</v>
      </c>
      <c r="E28" s="735">
        <f t="shared" si="72"/>
        <v>10010</v>
      </c>
      <c r="F28" s="735">
        <f t="shared" ref="F28:S28" si="89">ROUND(F$5*F98/F$76,0)</f>
        <v>8076</v>
      </c>
      <c r="G28" s="735">
        <f t="shared" si="89"/>
        <v>8328</v>
      </c>
      <c r="H28" s="735">
        <f t="shared" si="89"/>
        <v>8867</v>
      </c>
      <c r="I28" s="735">
        <f t="shared" si="89"/>
        <v>9161</v>
      </c>
      <c r="J28" s="735">
        <f t="shared" si="89"/>
        <v>9940</v>
      </c>
      <c r="K28" s="735">
        <f t="shared" si="89"/>
        <v>10523</v>
      </c>
      <c r="L28" s="735">
        <f t="shared" si="89"/>
        <v>10862</v>
      </c>
      <c r="M28" s="735">
        <f t="shared" si="89"/>
        <v>10225</v>
      </c>
      <c r="N28" s="735">
        <f t="shared" si="89"/>
        <v>10701</v>
      </c>
      <c r="O28" s="735">
        <f t="shared" si="89"/>
        <v>10638</v>
      </c>
      <c r="P28" s="735">
        <f t="shared" si="89"/>
        <v>11242</v>
      </c>
      <c r="Q28" s="735">
        <f t="shared" si="89"/>
        <v>10444</v>
      </c>
      <c r="R28" s="735">
        <f t="shared" si="89"/>
        <v>11789</v>
      </c>
      <c r="S28" s="735">
        <f t="shared" si="89"/>
        <v>13333</v>
      </c>
      <c r="T28" s="735">
        <f t="shared" ref="T28:U28" si="90">ROUND(T$5*T98/T$76,0)</f>
        <v>14576</v>
      </c>
      <c r="U28" s="735">
        <f t="shared" si="90"/>
        <v>14826</v>
      </c>
      <c r="V28" s="735">
        <f t="shared" ref="V28:W28" si="91">ROUND(V$5*V98/V$76,0)</f>
        <v>15518</v>
      </c>
      <c r="W28" s="735">
        <f t="shared" si="91"/>
        <v>15914</v>
      </c>
      <c r="X28" s="735">
        <f t="shared" ref="X28" si="92">ROUND(X$5*X98/X$76,0)</f>
        <v>16364</v>
      </c>
      <c r="Y28" s="733"/>
    </row>
    <row r="29" spans="1:25">
      <c r="A29" s="728">
        <v>3</v>
      </c>
      <c r="B29" s="728" t="s">
        <v>192</v>
      </c>
      <c r="C29" s="734">
        <f>SUM(C30:C34)</f>
        <v>287108</v>
      </c>
      <c r="D29" s="734">
        <f>SUM(D30:D34)</f>
        <v>298207</v>
      </c>
      <c r="E29" s="734">
        <f>SUM(E30:E34)</f>
        <v>293440</v>
      </c>
      <c r="F29" s="734">
        <f t="shared" ref="F29:K29" si="93">SUM(F30:F34)</f>
        <v>243894</v>
      </c>
      <c r="G29" s="734">
        <f t="shared" si="93"/>
        <v>242551</v>
      </c>
      <c r="H29" s="734">
        <f t="shared" si="93"/>
        <v>262514</v>
      </c>
      <c r="I29" s="734">
        <f t="shared" si="93"/>
        <v>272039</v>
      </c>
      <c r="J29" s="734">
        <f t="shared" si="93"/>
        <v>292453</v>
      </c>
      <c r="K29" s="734">
        <f t="shared" si="93"/>
        <v>319923</v>
      </c>
      <c r="L29" s="734">
        <f t="shared" ref="L29:Q29" si="94">SUM(L30:L34)</f>
        <v>330691</v>
      </c>
      <c r="M29" s="734">
        <f t="shared" si="94"/>
        <v>303387</v>
      </c>
      <c r="N29" s="734">
        <f t="shared" si="94"/>
        <v>323125</v>
      </c>
      <c r="O29" s="734">
        <f t="shared" si="94"/>
        <v>324098</v>
      </c>
      <c r="P29" s="734">
        <f t="shared" si="94"/>
        <v>332272</v>
      </c>
      <c r="Q29" s="734">
        <f t="shared" si="94"/>
        <v>319257</v>
      </c>
      <c r="R29" s="734">
        <f t="shared" ref="R29:W29" si="95">SUM(R30:R34)</f>
        <v>338932</v>
      </c>
      <c r="S29" s="734">
        <f t="shared" si="95"/>
        <v>385640</v>
      </c>
      <c r="T29" s="734">
        <f t="shared" si="95"/>
        <v>422702</v>
      </c>
      <c r="U29" s="734">
        <f t="shared" si="95"/>
        <v>442847</v>
      </c>
      <c r="V29" s="734">
        <f t="shared" si="95"/>
        <v>463514</v>
      </c>
      <c r="W29" s="734">
        <f t="shared" si="95"/>
        <v>475359</v>
      </c>
      <c r="X29" s="734">
        <f t="shared" ref="X29" si="96">SUM(X30:X34)</f>
        <v>488801</v>
      </c>
      <c r="Y29" s="733"/>
    </row>
    <row r="30" spans="1:25">
      <c r="A30" s="730">
        <v>203</v>
      </c>
      <c r="B30" s="730" t="s">
        <v>193</v>
      </c>
      <c r="C30" s="733">
        <f t="shared" ref="C30:E34" si="97">ROUND(C$5*C100/C$76,0)</f>
        <v>113402</v>
      </c>
      <c r="D30" s="733">
        <f t="shared" si="97"/>
        <v>117226</v>
      </c>
      <c r="E30" s="733">
        <f t="shared" si="97"/>
        <v>115329</v>
      </c>
      <c r="F30" s="733">
        <f t="shared" ref="F30:S30" si="98">ROUND(F$5*F100/F$76,0)</f>
        <v>92085</v>
      </c>
      <c r="G30" s="733">
        <f t="shared" si="98"/>
        <v>95692</v>
      </c>
      <c r="H30" s="733">
        <f t="shared" si="98"/>
        <v>99035</v>
      </c>
      <c r="I30" s="733">
        <f t="shared" si="98"/>
        <v>102544</v>
      </c>
      <c r="J30" s="733">
        <f t="shared" si="98"/>
        <v>117950</v>
      </c>
      <c r="K30" s="733">
        <f t="shared" si="98"/>
        <v>121208</v>
      </c>
      <c r="L30" s="733">
        <f t="shared" si="98"/>
        <v>126200</v>
      </c>
      <c r="M30" s="733">
        <f t="shared" si="98"/>
        <v>123193</v>
      </c>
      <c r="N30" s="733">
        <f t="shared" si="98"/>
        <v>130577</v>
      </c>
      <c r="O30" s="733">
        <f t="shared" si="98"/>
        <v>133738</v>
      </c>
      <c r="P30" s="733">
        <f t="shared" si="98"/>
        <v>133682</v>
      </c>
      <c r="Q30" s="733">
        <f t="shared" si="98"/>
        <v>130046</v>
      </c>
      <c r="R30" s="733">
        <f t="shared" si="98"/>
        <v>136833</v>
      </c>
      <c r="S30" s="733">
        <f t="shared" si="98"/>
        <v>154270</v>
      </c>
      <c r="T30" s="733">
        <f t="shared" ref="T30:U30" si="99">ROUND(T$5*T100/T$76,0)</f>
        <v>170601</v>
      </c>
      <c r="U30" s="733">
        <f t="shared" si="99"/>
        <v>178707</v>
      </c>
      <c r="V30" s="733">
        <f t="shared" ref="V30:W30" si="100">ROUND(V$5*V100/V$76,0)</f>
        <v>187047</v>
      </c>
      <c r="W30" s="733">
        <f t="shared" si="100"/>
        <v>191827</v>
      </c>
      <c r="X30" s="733">
        <f t="shared" ref="X30" si="101">ROUND(X$5*X100/X$76,0)</f>
        <v>197251</v>
      </c>
      <c r="Y30" s="733"/>
    </row>
    <row r="31" spans="1:25">
      <c r="A31" s="730">
        <v>210</v>
      </c>
      <c r="B31" s="730" t="s">
        <v>194</v>
      </c>
      <c r="C31" s="733">
        <f t="shared" si="97"/>
        <v>102856</v>
      </c>
      <c r="D31" s="733">
        <f t="shared" si="97"/>
        <v>108391</v>
      </c>
      <c r="E31" s="733">
        <f t="shared" si="97"/>
        <v>105204</v>
      </c>
      <c r="F31" s="733">
        <f t="shared" ref="F31:S31" si="102">ROUND(F$5*F101/F$76,0)</f>
        <v>88893</v>
      </c>
      <c r="G31" s="733">
        <f t="shared" si="102"/>
        <v>90304</v>
      </c>
      <c r="H31" s="733">
        <f t="shared" si="102"/>
        <v>103718</v>
      </c>
      <c r="I31" s="733">
        <f t="shared" si="102"/>
        <v>106931</v>
      </c>
      <c r="J31" s="733">
        <f t="shared" si="102"/>
        <v>106031</v>
      </c>
      <c r="K31" s="733">
        <f t="shared" si="102"/>
        <v>114319</v>
      </c>
      <c r="L31" s="733">
        <f t="shared" si="102"/>
        <v>116747</v>
      </c>
      <c r="M31" s="733">
        <f t="shared" si="102"/>
        <v>111119</v>
      </c>
      <c r="N31" s="733">
        <f t="shared" si="102"/>
        <v>117450</v>
      </c>
      <c r="O31" s="733">
        <f t="shared" si="102"/>
        <v>113198</v>
      </c>
      <c r="P31" s="733">
        <f t="shared" si="102"/>
        <v>113603</v>
      </c>
      <c r="Q31" s="733">
        <f t="shared" si="102"/>
        <v>110288</v>
      </c>
      <c r="R31" s="733">
        <f t="shared" si="102"/>
        <v>115594</v>
      </c>
      <c r="S31" s="733">
        <f t="shared" si="102"/>
        <v>131327</v>
      </c>
      <c r="T31" s="733">
        <f t="shared" ref="T31:U31" si="103">ROUND(T$5*T101/T$76,0)</f>
        <v>143841</v>
      </c>
      <c r="U31" s="733">
        <f t="shared" si="103"/>
        <v>150439</v>
      </c>
      <c r="V31" s="733">
        <f t="shared" ref="V31:W31" si="104">ROUND(V$5*V101/V$76,0)</f>
        <v>157460</v>
      </c>
      <c r="W31" s="733">
        <f t="shared" si="104"/>
        <v>161484</v>
      </c>
      <c r="X31" s="733">
        <f t="shared" ref="X31" si="105">ROUND(X$5*X101/X$76,0)</f>
        <v>166050</v>
      </c>
      <c r="Y31" s="733"/>
    </row>
    <row r="32" spans="1:25">
      <c r="A32" s="730">
        <v>216</v>
      </c>
      <c r="B32" s="730" t="s">
        <v>195</v>
      </c>
      <c r="C32" s="733">
        <f t="shared" si="97"/>
        <v>46497</v>
      </c>
      <c r="D32" s="733">
        <f t="shared" si="97"/>
        <v>46523</v>
      </c>
      <c r="E32" s="733">
        <f t="shared" si="97"/>
        <v>48292</v>
      </c>
      <c r="F32" s="733">
        <f t="shared" ref="F32:S32" si="106">ROUND(F$5*F102/F$76,0)</f>
        <v>43022</v>
      </c>
      <c r="G32" s="733">
        <f t="shared" si="106"/>
        <v>36569</v>
      </c>
      <c r="H32" s="733">
        <f t="shared" si="106"/>
        <v>38748</v>
      </c>
      <c r="I32" s="733">
        <f t="shared" si="106"/>
        <v>40938</v>
      </c>
      <c r="J32" s="733">
        <f t="shared" si="106"/>
        <v>43240</v>
      </c>
      <c r="K32" s="733">
        <f t="shared" si="106"/>
        <v>59448</v>
      </c>
      <c r="L32" s="733">
        <f t="shared" si="106"/>
        <v>61611</v>
      </c>
      <c r="M32" s="733">
        <f t="shared" si="106"/>
        <v>44234</v>
      </c>
      <c r="N32" s="733">
        <f t="shared" si="106"/>
        <v>46199</v>
      </c>
      <c r="O32" s="733">
        <f t="shared" si="106"/>
        <v>47995</v>
      </c>
      <c r="P32" s="733">
        <f t="shared" si="106"/>
        <v>56501</v>
      </c>
      <c r="Q32" s="733">
        <f t="shared" si="106"/>
        <v>50487</v>
      </c>
      <c r="R32" s="733">
        <f t="shared" si="106"/>
        <v>54755</v>
      </c>
      <c r="S32" s="733">
        <f t="shared" si="106"/>
        <v>64289</v>
      </c>
      <c r="T32" s="733">
        <f t="shared" ref="T32:U32" si="107">ROUND(T$5*T102/T$76,0)</f>
        <v>68668</v>
      </c>
      <c r="U32" s="733">
        <f t="shared" si="107"/>
        <v>71753</v>
      </c>
      <c r="V32" s="733">
        <f t="shared" ref="V32:W32" si="108">ROUND(V$5*V102/V$76,0)</f>
        <v>75101</v>
      </c>
      <c r="W32" s="733">
        <f t="shared" si="108"/>
        <v>77020</v>
      </c>
      <c r="X32" s="733">
        <f t="shared" ref="X32" si="109">ROUND(X$5*X102/X$76,0)</f>
        <v>79198</v>
      </c>
      <c r="Y32" s="733"/>
    </row>
    <row r="33" spans="1:25">
      <c r="A33" s="730">
        <v>381</v>
      </c>
      <c r="B33" s="730" t="s">
        <v>196</v>
      </c>
      <c r="C33" s="733">
        <f t="shared" si="97"/>
        <v>10732</v>
      </c>
      <c r="D33" s="733">
        <f t="shared" si="97"/>
        <v>11474</v>
      </c>
      <c r="E33" s="733">
        <f t="shared" si="97"/>
        <v>10253</v>
      </c>
      <c r="F33" s="733">
        <f t="shared" ref="F33:S33" si="110">ROUND(F$5*F103/F$76,0)</f>
        <v>8289</v>
      </c>
      <c r="G33" s="733">
        <f t="shared" si="110"/>
        <v>8531</v>
      </c>
      <c r="H33" s="733">
        <f t="shared" si="110"/>
        <v>9026</v>
      </c>
      <c r="I33" s="733">
        <f t="shared" si="110"/>
        <v>9327</v>
      </c>
      <c r="J33" s="733">
        <f t="shared" si="110"/>
        <v>10239</v>
      </c>
      <c r="K33" s="733">
        <f t="shared" si="110"/>
        <v>10493</v>
      </c>
      <c r="L33" s="733">
        <f t="shared" si="110"/>
        <v>10979</v>
      </c>
      <c r="M33" s="733">
        <f t="shared" si="110"/>
        <v>10193</v>
      </c>
      <c r="N33" s="733">
        <f t="shared" si="110"/>
        <v>11244</v>
      </c>
      <c r="O33" s="733">
        <f t="shared" si="110"/>
        <v>12395</v>
      </c>
      <c r="P33" s="733">
        <f t="shared" si="110"/>
        <v>12491</v>
      </c>
      <c r="Q33" s="733">
        <f t="shared" si="110"/>
        <v>11759</v>
      </c>
      <c r="R33" s="733">
        <f t="shared" si="110"/>
        <v>13496</v>
      </c>
      <c r="S33" s="733">
        <f t="shared" si="110"/>
        <v>15347</v>
      </c>
      <c r="T33" s="733">
        <f t="shared" ref="T33:U33" si="111">ROUND(T$5*T103/T$76,0)</f>
        <v>16913</v>
      </c>
      <c r="U33" s="733">
        <f t="shared" si="111"/>
        <v>17986</v>
      </c>
      <c r="V33" s="733">
        <f t="shared" ref="V33:W33" si="112">ROUND(V$5*V103/V$76,0)</f>
        <v>18826</v>
      </c>
      <c r="W33" s="733">
        <f t="shared" si="112"/>
        <v>19307</v>
      </c>
      <c r="X33" s="733">
        <f t="shared" ref="X33" si="113">ROUND(X$5*X103/X$76,0)</f>
        <v>19853</v>
      </c>
      <c r="Y33" s="733"/>
    </row>
    <row r="34" spans="1:25">
      <c r="A34" s="731">
        <v>382</v>
      </c>
      <c r="B34" s="731" t="s">
        <v>197</v>
      </c>
      <c r="C34" s="733">
        <f t="shared" si="97"/>
        <v>13621</v>
      </c>
      <c r="D34" s="733">
        <f t="shared" si="97"/>
        <v>14593</v>
      </c>
      <c r="E34" s="733">
        <f t="shared" si="97"/>
        <v>14362</v>
      </c>
      <c r="F34" s="733">
        <f t="shared" ref="F34:S34" si="114">ROUND(F$5*F104/F$76,0)</f>
        <v>11605</v>
      </c>
      <c r="G34" s="733">
        <f t="shared" si="114"/>
        <v>11455</v>
      </c>
      <c r="H34" s="733">
        <f t="shared" si="114"/>
        <v>11987</v>
      </c>
      <c r="I34" s="733">
        <f t="shared" si="114"/>
        <v>12299</v>
      </c>
      <c r="J34" s="733">
        <f t="shared" si="114"/>
        <v>14993</v>
      </c>
      <c r="K34" s="733">
        <f t="shared" si="114"/>
        <v>14455</v>
      </c>
      <c r="L34" s="733">
        <f t="shared" si="114"/>
        <v>15154</v>
      </c>
      <c r="M34" s="733">
        <f t="shared" si="114"/>
        <v>14648</v>
      </c>
      <c r="N34" s="733">
        <f t="shared" si="114"/>
        <v>17655</v>
      </c>
      <c r="O34" s="733">
        <f t="shared" si="114"/>
        <v>16772</v>
      </c>
      <c r="P34" s="733">
        <f t="shared" si="114"/>
        <v>15995</v>
      </c>
      <c r="Q34" s="733">
        <f t="shared" si="114"/>
        <v>16677</v>
      </c>
      <c r="R34" s="733">
        <f t="shared" si="114"/>
        <v>18254</v>
      </c>
      <c r="S34" s="733">
        <f t="shared" si="114"/>
        <v>20407</v>
      </c>
      <c r="T34" s="733">
        <f t="shared" ref="T34:U34" si="115">ROUND(T$5*T104/T$76,0)</f>
        <v>22679</v>
      </c>
      <c r="U34" s="733">
        <f t="shared" si="115"/>
        <v>23962</v>
      </c>
      <c r="V34" s="733">
        <f t="shared" ref="V34:W34" si="116">ROUND(V$5*V104/V$76,0)</f>
        <v>25080</v>
      </c>
      <c r="W34" s="733">
        <f t="shared" si="116"/>
        <v>25721</v>
      </c>
      <c r="X34" s="733">
        <f t="shared" ref="X34" si="117">ROUND(X$5*X104/X$76,0)</f>
        <v>26449</v>
      </c>
      <c r="Y34" s="733"/>
    </row>
    <row r="35" spans="1:25">
      <c r="A35" s="730">
        <v>4</v>
      </c>
      <c r="B35" s="730" t="s">
        <v>325</v>
      </c>
      <c r="C35" s="734">
        <f>SUM(C36:C41)</f>
        <v>103418</v>
      </c>
      <c r="D35" s="734">
        <f>SUM(D36:D41)</f>
        <v>111765</v>
      </c>
      <c r="E35" s="734">
        <f>SUM(E36:E41)</f>
        <v>99356</v>
      </c>
      <c r="F35" s="734">
        <f t="shared" ref="F35:K35" si="118">SUM(F36:F41)</f>
        <v>79154</v>
      </c>
      <c r="G35" s="734">
        <f t="shared" si="118"/>
        <v>81589</v>
      </c>
      <c r="H35" s="734">
        <f t="shared" si="118"/>
        <v>96080</v>
      </c>
      <c r="I35" s="734">
        <f t="shared" si="118"/>
        <v>100491</v>
      </c>
      <c r="J35" s="734">
        <f t="shared" si="118"/>
        <v>109756</v>
      </c>
      <c r="K35" s="734">
        <f t="shared" si="118"/>
        <v>101661</v>
      </c>
      <c r="L35" s="734">
        <f t="shared" ref="L35:Q35" si="119">SUM(L36:L41)</f>
        <v>107543</v>
      </c>
      <c r="M35" s="734">
        <f t="shared" si="119"/>
        <v>107283</v>
      </c>
      <c r="N35" s="734">
        <f t="shared" si="119"/>
        <v>108708</v>
      </c>
      <c r="O35" s="734">
        <f t="shared" si="119"/>
        <v>111332</v>
      </c>
      <c r="P35" s="734">
        <f t="shared" si="119"/>
        <v>117791</v>
      </c>
      <c r="Q35" s="734">
        <f t="shared" si="119"/>
        <v>110073</v>
      </c>
      <c r="R35" s="734">
        <f t="shared" ref="R35:W35" si="120">SUM(R36:R41)</f>
        <v>122911</v>
      </c>
      <c r="S35" s="734">
        <f t="shared" si="120"/>
        <v>139588</v>
      </c>
      <c r="T35" s="734">
        <f t="shared" si="120"/>
        <v>152821</v>
      </c>
      <c r="U35" s="734">
        <f t="shared" si="120"/>
        <v>159124</v>
      </c>
      <c r="V35" s="734">
        <f t="shared" si="120"/>
        <v>166550</v>
      </c>
      <c r="W35" s="734">
        <f t="shared" si="120"/>
        <v>170805</v>
      </c>
      <c r="X35" s="734">
        <f t="shared" ref="X35" si="121">SUM(X36:X41)</f>
        <v>175636</v>
      </c>
      <c r="Y35" s="733"/>
    </row>
    <row r="36" spans="1:25">
      <c r="A36" s="730">
        <v>213</v>
      </c>
      <c r="B36" s="730" t="s">
        <v>199</v>
      </c>
      <c r="C36" s="733">
        <f t="shared" ref="C36:E41" si="122">ROUND(C$5*C106/C$76,0)</f>
        <v>15635</v>
      </c>
      <c r="D36" s="733">
        <f t="shared" si="122"/>
        <v>18612</v>
      </c>
      <c r="E36" s="733">
        <f t="shared" si="122"/>
        <v>14791</v>
      </c>
      <c r="F36" s="733">
        <f t="shared" ref="F36:S36" si="123">ROUND(F$5*F106/F$76,0)</f>
        <v>11431</v>
      </c>
      <c r="G36" s="733">
        <f t="shared" si="123"/>
        <v>11616</v>
      </c>
      <c r="H36" s="733">
        <f t="shared" si="123"/>
        <v>15684</v>
      </c>
      <c r="I36" s="733">
        <f t="shared" si="123"/>
        <v>16573</v>
      </c>
      <c r="J36" s="733">
        <f t="shared" si="123"/>
        <v>14903</v>
      </c>
      <c r="K36" s="733">
        <f t="shared" si="123"/>
        <v>14038</v>
      </c>
      <c r="L36" s="733">
        <f t="shared" si="123"/>
        <v>14495</v>
      </c>
      <c r="M36" s="733">
        <f t="shared" si="123"/>
        <v>14189</v>
      </c>
      <c r="N36" s="733">
        <f t="shared" si="123"/>
        <v>14153</v>
      </c>
      <c r="O36" s="733">
        <f t="shared" si="123"/>
        <v>14752</v>
      </c>
      <c r="P36" s="733">
        <f t="shared" si="123"/>
        <v>15542</v>
      </c>
      <c r="Q36" s="733">
        <f t="shared" si="123"/>
        <v>16232</v>
      </c>
      <c r="R36" s="733">
        <f t="shared" si="123"/>
        <v>16785</v>
      </c>
      <c r="S36" s="733">
        <f t="shared" si="123"/>
        <v>19583</v>
      </c>
      <c r="T36" s="733">
        <f t="shared" ref="T36:U36" si="124">ROUND(T$5*T106/T$76,0)</f>
        <v>20904</v>
      </c>
      <c r="U36" s="733">
        <f t="shared" si="124"/>
        <v>20909</v>
      </c>
      <c r="V36" s="733">
        <f t="shared" ref="V36:W36" si="125">ROUND(V$5*V106/V$76,0)</f>
        <v>21885</v>
      </c>
      <c r="W36" s="733">
        <f t="shared" si="125"/>
        <v>22444</v>
      </c>
      <c r="X36" s="733">
        <f t="shared" ref="X36" si="126">ROUND(X$5*X106/X$76,0)</f>
        <v>23079</v>
      </c>
      <c r="Y36" s="733"/>
    </row>
    <row r="37" spans="1:25">
      <c r="A37" s="730">
        <v>215</v>
      </c>
      <c r="B37" s="730" t="s">
        <v>329</v>
      </c>
      <c r="C37" s="733">
        <f t="shared" si="122"/>
        <v>27650</v>
      </c>
      <c r="D37" s="733">
        <f t="shared" si="122"/>
        <v>28929</v>
      </c>
      <c r="E37" s="733">
        <f t="shared" si="122"/>
        <v>27553</v>
      </c>
      <c r="F37" s="733">
        <f t="shared" ref="F37:S37" si="127">ROUND(F$5*F107/F$76,0)</f>
        <v>22379</v>
      </c>
      <c r="G37" s="733">
        <f t="shared" si="127"/>
        <v>22431</v>
      </c>
      <c r="H37" s="733">
        <f t="shared" si="127"/>
        <v>23252</v>
      </c>
      <c r="I37" s="733">
        <f t="shared" si="127"/>
        <v>24682</v>
      </c>
      <c r="J37" s="733">
        <f t="shared" si="127"/>
        <v>28063</v>
      </c>
      <c r="K37" s="733">
        <f t="shared" si="127"/>
        <v>28366</v>
      </c>
      <c r="L37" s="733">
        <f t="shared" si="127"/>
        <v>29803</v>
      </c>
      <c r="M37" s="733">
        <f t="shared" si="127"/>
        <v>29219</v>
      </c>
      <c r="N37" s="733">
        <f t="shared" si="127"/>
        <v>29597</v>
      </c>
      <c r="O37" s="733">
        <f t="shared" si="127"/>
        <v>30505</v>
      </c>
      <c r="P37" s="733">
        <f t="shared" si="127"/>
        <v>31786</v>
      </c>
      <c r="Q37" s="733">
        <f t="shared" si="127"/>
        <v>29585</v>
      </c>
      <c r="R37" s="733">
        <f t="shared" si="127"/>
        <v>32978</v>
      </c>
      <c r="S37" s="733">
        <f t="shared" si="127"/>
        <v>37163</v>
      </c>
      <c r="T37" s="733">
        <f t="shared" ref="T37:U37" si="128">ROUND(T$5*T107/T$76,0)</f>
        <v>40815</v>
      </c>
      <c r="U37" s="733">
        <f t="shared" si="128"/>
        <v>42427</v>
      </c>
      <c r="V37" s="733">
        <f t="shared" ref="V37:W37" si="129">ROUND(V$5*V107/V$76,0)</f>
        <v>44407</v>
      </c>
      <c r="W37" s="733">
        <f t="shared" si="129"/>
        <v>45542</v>
      </c>
      <c r="X37" s="733">
        <f t="shared" ref="X37" si="130">ROUND(X$5*X107/X$76,0)</f>
        <v>46830</v>
      </c>
      <c r="Y37" s="733"/>
    </row>
    <row r="38" spans="1:25">
      <c r="A38" s="730">
        <v>218</v>
      </c>
      <c r="B38" s="730" t="s">
        <v>200</v>
      </c>
      <c r="C38" s="733">
        <f t="shared" si="122"/>
        <v>19820</v>
      </c>
      <c r="D38" s="733">
        <f t="shared" si="122"/>
        <v>18835</v>
      </c>
      <c r="E38" s="733">
        <f t="shared" si="122"/>
        <v>18018</v>
      </c>
      <c r="F38" s="733">
        <f t="shared" ref="F38:S38" si="131">ROUND(F$5*F108/F$76,0)</f>
        <v>14315</v>
      </c>
      <c r="G38" s="733">
        <f t="shared" si="131"/>
        <v>14262</v>
      </c>
      <c r="H38" s="733">
        <f t="shared" si="131"/>
        <v>15441</v>
      </c>
      <c r="I38" s="733">
        <f t="shared" si="131"/>
        <v>15849</v>
      </c>
      <c r="J38" s="733">
        <f t="shared" si="131"/>
        <v>24026</v>
      </c>
      <c r="K38" s="733">
        <f t="shared" si="131"/>
        <v>18372</v>
      </c>
      <c r="L38" s="733">
        <f t="shared" si="131"/>
        <v>19049</v>
      </c>
      <c r="M38" s="733">
        <f t="shared" si="131"/>
        <v>21473</v>
      </c>
      <c r="N38" s="733">
        <f t="shared" si="131"/>
        <v>19435</v>
      </c>
      <c r="O38" s="733">
        <f t="shared" si="131"/>
        <v>20621</v>
      </c>
      <c r="P38" s="733">
        <f t="shared" si="131"/>
        <v>22452</v>
      </c>
      <c r="Q38" s="733">
        <f t="shared" si="131"/>
        <v>19296</v>
      </c>
      <c r="R38" s="733">
        <f t="shared" si="131"/>
        <v>22600</v>
      </c>
      <c r="S38" s="733">
        <f t="shared" si="131"/>
        <v>25894</v>
      </c>
      <c r="T38" s="733">
        <f t="shared" ref="T38:U38" si="132">ROUND(T$5*T108/T$76,0)</f>
        <v>27878</v>
      </c>
      <c r="U38" s="733">
        <f t="shared" si="132"/>
        <v>29125</v>
      </c>
      <c r="V38" s="733">
        <f t="shared" ref="V38:W38" si="133">ROUND(V$5*V108/V$76,0)</f>
        <v>30484</v>
      </c>
      <c r="W38" s="733">
        <f t="shared" si="133"/>
        <v>31263</v>
      </c>
      <c r="X38" s="733">
        <f t="shared" ref="X38" si="134">ROUND(X$5*X108/X$76,0)</f>
        <v>32147</v>
      </c>
      <c r="Y38" s="733"/>
    </row>
    <row r="39" spans="1:25">
      <c r="A39" s="730">
        <v>220</v>
      </c>
      <c r="B39" s="730" t="s">
        <v>201</v>
      </c>
      <c r="C39" s="733">
        <f t="shared" si="122"/>
        <v>17231</v>
      </c>
      <c r="D39" s="733">
        <f t="shared" si="122"/>
        <v>18216</v>
      </c>
      <c r="E39" s="733">
        <f t="shared" si="122"/>
        <v>16547</v>
      </c>
      <c r="F39" s="733">
        <f t="shared" ref="F39:S39" si="135">ROUND(F$5*F109/F$76,0)</f>
        <v>13291</v>
      </c>
      <c r="G39" s="733">
        <f t="shared" si="135"/>
        <v>14063</v>
      </c>
      <c r="H39" s="733">
        <f t="shared" si="135"/>
        <v>18699</v>
      </c>
      <c r="I39" s="733">
        <f t="shared" si="135"/>
        <v>18999</v>
      </c>
      <c r="J39" s="733">
        <f t="shared" si="135"/>
        <v>18812</v>
      </c>
      <c r="K39" s="733">
        <f t="shared" si="135"/>
        <v>17593</v>
      </c>
      <c r="L39" s="733">
        <f t="shared" si="135"/>
        <v>19273</v>
      </c>
      <c r="M39" s="733">
        <f t="shared" si="135"/>
        <v>18247</v>
      </c>
      <c r="N39" s="733">
        <f t="shared" si="135"/>
        <v>18819</v>
      </c>
      <c r="O39" s="733">
        <f t="shared" si="135"/>
        <v>18523</v>
      </c>
      <c r="P39" s="733">
        <f t="shared" si="135"/>
        <v>19681</v>
      </c>
      <c r="Q39" s="733">
        <f t="shared" si="135"/>
        <v>18686</v>
      </c>
      <c r="R39" s="733">
        <f t="shared" si="135"/>
        <v>20555</v>
      </c>
      <c r="S39" s="733">
        <f t="shared" si="135"/>
        <v>23346</v>
      </c>
      <c r="T39" s="733">
        <f t="shared" ref="T39:U39" si="136">ROUND(T$5*T109/T$76,0)</f>
        <v>25824</v>
      </c>
      <c r="U39" s="733">
        <f t="shared" si="136"/>
        <v>27115</v>
      </c>
      <c r="V39" s="733">
        <f t="shared" ref="V39:W39" si="137">ROUND(V$5*V109/V$76,0)</f>
        <v>28380</v>
      </c>
      <c r="W39" s="733">
        <f t="shared" si="137"/>
        <v>29105</v>
      </c>
      <c r="X39" s="733">
        <f t="shared" ref="X39" si="138">ROUND(X$5*X109/X$76,0)</f>
        <v>29928</v>
      </c>
      <c r="Y39" s="733"/>
    </row>
    <row r="40" spans="1:25">
      <c r="A40" s="730">
        <v>228</v>
      </c>
      <c r="B40" s="730" t="s">
        <v>330</v>
      </c>
      <c r="C40" s="733">
        <f t="shared" si="122"/>
        <v>15688</v>
      </c>
      <c r="D40" s="733">
        <f t="shared" si="122"/>
        <v>19647</v>
      </c>
      <c r="E40" s="733">
        <f t="shared" si="122"/>
        <v>15346</v>
      </c>
      <c r="F40" s="733">
        <f t="shared" ref="F40:S40" si="139">ROUND(F$5*F110/F$76,0)</f>
        <v>11871</v>
      </c>
      <c r="G40" s="733">
        <f t="shared" si="139"/>
        <v>12985</v>
      </c>
      <c r="H40" s="733">
        <f t="shared" si="139"/>
        <v>16448</v>
      </c>
      <c r="I40" s="733">
        <f t="shared" si="139"/>
        <v>17233</v>
      </c>
      <c r="J40" s="733">
        <f t="shared" si="139"/>
        <v>16480</v>
      </c>
      <c r="K40" s="733">
        <f t="shared" si="139"/>
        <v>16181</v>
      </c>
      <c r="L40" s="733">
        <f t="shared" si="139"/>
        <v>17303</v>
      </c>
      <c r="M40" s="733">
        <f t="shared" si="139"/>
        <v>16829</v>
      </c>
      <c r="N40" s="733">
        <f t="shared" si="139"/>
        <v>19274</v>
      </c>
      <c r="O40" s="733">
        <f t="shared" si="139"/>
        <v>18803</v>
      </c>
      <c r="P40" s="733">
        <f t="shared" si="139"/>
        <v>20865</v>
      </c>
      <c r="Q40" s="733">
        <f t="shared" si="139"/>
        <v>19237</v>
      </c>
      <c r="R40" s="733">
        <f t="shared" si="139"/>
        <v>21867</v>
      </c>
      <c r="S40" s="733">
        <f t="shared" si="139"/>
        <v>24591</v>
      </c>
      <c r="T40" s="733">
        <f t="shared" ref="T40:U40" si="140">ROUND(T$5*T110/T$76,0)</f>
        <v>27674</v>
      </c>
      <c r="U40" s="733">
        <f t="shared" si="140"/>
        <v>29597</v>
      </c>
      <c r="V40" s="733">
        <f t="shared" ref="V40:W40" si="141">ROUND(V$5*V110/V$76,0)</f>
        <v>30979</v>
      </c>
      <c r="W40" s="733">
        <f t="shared" si="141"/>
        <v>31770</v>
      </c>
      <c r="X40" s="733">
        <f t="shared" ref="X40" si="142">ROUND(X$5*X110/X$76,0)</f>
        <v>32669</v>
      </c>
      <c r="Y40" s="733"/>
    </row>
    <row r="41" spans="1:25">
      <c r="A41" s="730">
        <v>365</v>
      </c>
      <c r="B41" s="730" t="s">
        <v>331</v>
      </c>
      <c r="C41" s="735">
        <f t="shared" si="122"/>
        <v>7394</v>
      </c>
      <c r="D41" s="735">
        <f t="shared" si="122"/>
        <v>7526</v>
      </c>
      <c r="E41" s="735">
        <f t="shared" si="122"/>
        <v>7101</v>
      </c>
      <c r="F41" s="735">
        <f t="shared" ref="F41:S41" si="143">ROUND(F$5*F111/F$76,0)</f>
        <v>5867</v>
      </c>
      <c r="G41" s="735">
        <f t="shared" si="143"/>
        <v>6232</v>
      </c>
      <c r="H41" s="735">
        <f t="shared" si="143"/>
        <v>6556</v>
      </c>
      <c r="I41" s="735">
        <f t="shared" si="143"/>
        <v>7155</v>
      </c>
      <c r="J41" s="735">
        <f t="shared" si="143"/>
        <v>7472</v>
      </c>
      <c r="K41" s="735">
        <f t="shared" si="143"/>
        <v>7111</v>
      </c>
      <c r="L41" s="735">
        <f t="shared" si="143"/>
        <v>7620</v>
      </c>
      <c r="M41" s="735">
        <f t="shared" si="143"/>
        <v>7326</v>
      </c>
      <c r="N41" s="735">
        <f t="shared" si="143"/>
        <v>7430</v>
      </c>
      <c r="O41" s="735">
        <f t="shared" si="143"/>
        <v>8128</v>
      </c>
      <c r="P41" s="735">
        <f t="shared" si="143"/>
        <v>7465</v>
      </c>
      <c r="Q41" s="735">
        <f t="shared" si="143"/>
        <v>7037</v>
      </c>
      <c r="R41" s="735">
        <f t="shared" si="143"/>
        <v>8126</v>
      </c>
      <c r="S41" s="735">
        <f t="shared" si="143"/>
        <v>9011</v>
      </c>
      <c r="T41" s="735">
        <f t="shared" ref="T41:U41" si="144">ROUND(T$5*T111/T$76,0)</f>
        <v>9726</v>
      </c>
      <c r="U41" s="735">
        <f t="shared" si="144"/>
        <v>9951</v>
      </c>
      <c r="V41" s="735">
        <f t="shared" ref="V41:W41" si="145">ROUND(V$5*V111/V$76,0)</f>
        <v>10415</v>
      </c>
      <c r="W41" s="735">
        <f t="shared" si="145"/>
        <v>10681</v>
      </c>
      <c r="X41" s="735">
        <f t="shared" ref="X41" si="146">ROUND(X$5*X111/X$76,0)</f>
        <v>10983</v>
      </c>
      <c r="Y41" s="733"/>
    </row>
    <row r="42" spans="1:25">
      <c r="A42" s="728">
        <v>5</v>
      </c>
      <c r="B42" s="728" t="s">
        <v>326</v>
      </c>
      <c r="C42" s="734">
        <f>SUM(C43:C46)</f>
        <v>241703</v>
      </c>
      <c r="D42" s="734">
        <f>SUM(D43:D46)</f>
        <v>251383</v>
      </c>
      <c r="E42" s="734">
        <f>SUM(E43:E46)</f>
        <v>233342</v>
      </c>
      <c r="F42" s="734">
        <f t="shared" ref="F42:K42" si="147">SUM(F43:F46)</f>
        <v>189877</v>
      </c>
      <c r="G42" s="734">
        <f t="shared" si="147"/>
        <v>232241</v>
      </c>
      <c r="H42" s="734">
        <f t="shared" si="147"/>
        <v>206439</v>
      </c>
      <c r="I42" s="734">
        <f t="shared" si="147"/>
        <v>211930</v>
      </c>
      <c r="J42" s="734">
        <f t="shared" si="147"/>
        <v>236534</v>
      </c>
      <c r="K42" s="734">
        <f t="shared" si="147"/>
        <v>238749</v>
      </c>
      <c r="L42" s="734">
        <f t="shared" ref="L42:Q42" si="148">SUM(L43:L46)</f>
        <v>249548</v>
      </c>
      <c r="M42" s="734">
        <f t="shared" si="148"/>
        <v>249495</v>
      </c>
      <c r="N42" s="734">
        <f t="shared" si="148"/>
        <v>258461</v>
      </c>
      <c r="O42" s="734">
        <f t="shared" si="148"/>
        <v>275769</v>
      </c>
      <c r="P42" s="734">
        <f t="shared" si="148"/>
        <v>268913</v>
      </c>
      <c r="Q42" s="734">
        <f t="shared" si="148"/>
        <v>261669</v>
      </c>
      <c r="R42" s="734">
        <f t="shared" ref="R42:W42" si="149">SUM(R43:R46)</f>
        <v>268147</v>
      </c>
      <c r="S42" s="734">
        <f t="shared" si="149"/>
        <v>302439</v>
      </c>
      <c r="T42" s="734">
        <f t="shared" si="149"/>
        <v>329021</v>
      </c>
      <c r="U42" s="734">
        <f t="shared" si="149"/>
        <v>341836</v>
      </c>
      <c r="V42" s="734">
        <f t="shared" si="149"/>
        <v>357789</v>
      </c>
      <c r="W42" s="734">
        <f t="shared" si="149"/>
        <v>366932</v>
      </c>
      <c r="X42" s="734">
        <f t="shared" ref="X42" si="150">SUM(X43:X46)</f>
        <v>377307</v>
      </c>
      <c r="Y42" s="733"/>
    </row>
    <row r="43" spans="1:25">
      <c r="A43" s="730">
        <v>201</v>
      </c>
      <c r="B43" s="730" t="s">
        <v>332</v>
      </c>
      <c r="C43" s="733">
        <f t="shared" ref="C43:E46" si="151">ROUND(C$5*C113/C$76,0)</f>
        <v>225910</v>
      </c>
      <c r="D43" s="733">
        <f t="shared" si="151"/>
        <v>233898</v>
      </c>
      <c r="E43" s="733">
        <f t="shared" si="151"/>
        <v>217370</v>
      </c>
      <c r="F43" s="733">
        <f t="shared" ref="F43:S43" si="152">ROUND(F$5*F113/F$76,0)</f>
        <v>177370</v>
      </c>
      <c r="G43" s="733">
        <f t="shared" si="152"/>
        <v>218755</v>
      </c>
      <c r="H43" s="733">
        <f t="shared" si="152"/>
        <v>191481</v>
      </c>
      <c r="I43" s="733">
        <f t="shared" si="152"/>
        <v>196507</v>
      </c>
      <c r="J43" s="733">
        <f t="shared" si="152"/>
        <v>220332</v>
      </c>
      <c r="K43" s="733">
        <f t="shared" si="152"/>
        <v>221375</v>
      </c>
      <c r="L43" s="733">
        <f t="shared" si="152"/>
        <v>231187</v>
      </c>
      <c r="M43" s="733">
        <f t="shared" si="152"/>
        <v>232547</v>
      </c>
      <c r="N43" s="733">
        <f t="shared" si="152"/>
        <v>239778</v>
      </c>
      <c r="O43" s="733">
        <f t="shared" si="152"/>
        <v>254788</v>
      </c>
      <c r="P43" s="733">
        <f t="shared" si="152"/>
        <v>247622</v>
      </c>
      <c r="Q43" s="733">
        <f t="shared" si="152"/>
        <v>242775</v>
      </c>
      <c r="R43" s="733">
        <f t="shared" si="152"/>
        <v>246280</v>
      </c>
      <c r="S43" s="733">
        <f t="shared" si="152"/>
        <v>277840</v>
      </c>
      <c r="T43" s="733">
        <f t="shared" ref="T43:U43" si="153">ROUND(T$5*T113/T$76,0)</f>
        <v>302687</v>
      </c>
      <c r="U43" s="733">
        <f t="shared" si="153"/>
        <v>314374</v>
      </c>
      <c r="V43" s="733">
        <f t="shared" ref="V43:W43" si="154">ROUND(V$5*V113/V$76,0)</f>
        <v>329045</v>
      </c>
      <c r="W43" s="733">
        <f t="shared" si="154"/>
        <v>337454</v>
      </c>
      <c r="X43" s="733">
        <f t="shared" ref="X43" si="155">ROUND(X$5*X113/X$76,0)</f>
        <v>346995</v>
      </c>
      <c r="Y43" s="733"/>
    </row>
    <row r="44" spans="1:25">
      <c r="A44" s="730">
        <v>442</v>
      </c>
      <c r="B44" s="730" t="s">
        <v>203</v>
      </c>
      <c r="C44" s="733">
        <f t="shared" si="151"/>
        <v>4312</v>
      </c>
      <c r="D44" s="733">
        <f t="shared" si="151"/>
        <v>4541</v>
      </c>
      <c r="E44" s="733">
        <f t="shared" si="151"/>
        <v>4548</v>
      </c>
      <c r="F44" s="733">
        <f t="shared" ref="F44:S44" si="156">ROUND(F$5*F114/F$76,0)</f>
        <v>3500</v>
      </c>
      <c r="G44" s="733">
        <f t="shared" si="156"/>
        <v>3539</v>
      </c>
      <c r="H44" s="733">
        <f t="shared" si="156"/>
        <v>3874</v>
      </c>
      <c r="I44" s="733">
        <f t="shared" si="156"/>
        <v>3942</v>
      </c>
      <c r="J44" s="733">
        <f t="shared" si="156"/>
        <v>4262</v>
      </c>
      <c r="K44" s="733">
        <f t="shared" si="156"/>
        <v>4360</v>
      </c>
      <c r="L44" s="733">
        <f t="shared" si="156"/>
        <v>4630</v>
      </c>
      <c r="M44" s="733">
        <f t="shared" si="156"/>
        <v>4240</v>
      </c>
      <c r="N44" s="733">
        <f t="shared" si="156"/>
        <v>4776</v>
      </c>
      <c r="O44" s="733">
        <f t="shared" si="156"/>
        <v>5292</v>
      </c>
      <c r="P44" s="733">
        <f t="shared" si="156"/>
        <v>5102</v>
      </c>
      <c r="Q44" s="733">
        <f t="shared" si="156"/>
        <v>4822</v>
      </c>
      <c r="R44" s="733">
        <f t="shared" si="156"/>
        <v>5463</v>
      </c>
      <c r="S44" s="733">
        <f t="shared" si="156"/>
        <v>6068</v>
      </c>
      <c r="T44" s="733">
        <f t="shared" ref="T44:U44" si="157">ROUND(T$5*T114/T$76,0)</f>
        <v>6532</v>
      </c>
      <c r="U44" s="733">
        <f t="shared" si="157"/>
        <v>6671</v>
      </c>
      <c r="V44" s="733">
        <f t="shared" ref="V44:W44" si="158">ROUND(V$5*V114/V$76,0)</f>
        <v>6982</v>
      </c>
      <c r="W44" s="733">
        <f t="shared" si="158"/>
        <v>7161</v>
      </c>
      <c r="X44" s="733">
        <f t="shared" ref="X44" si="159">ROUND(X$5*X114/X$76,0)</f>
        <v>7363</v>
      </c>
      <c r="Y44" s="733"/>
    </row>
    <row r="45" spans="1:25">
      <c r="A45" s="730">
        <v>443</v>
      </c>
      <c r="B45" s="730" t="s">
        <v>204</v>
      </c>
      <c r="C45" s="733">
        <f t="shared" si="151"/>
        <v>7370</v>
      </c>
      <c r="D45" s="733">
        <f t="shared" si="151"/>
        <v>7769</v>
      </c>
      <c r="E45" s="733">
        <f t="shared" si="151"/>
        <v>7337</v>
      </c>
      <c r="F45" s="733">
        <f t="shared" ref="F45:S45" si="160">ROUND(F$5*F115/F$76,0)</f>
        <v>5466</v>
      </c>
      <c r="G45" s="733">
        <f t="shared" si="160"/>
        <v>6026</v>
      </c>
      <c r="H45" s="733">
        <f t="shared" si="160"/>
        <v>7388</v>
      </c>
      <c r="I45" s="733">
        <f t="shared" si="160"/>
        <v>7285</v>
      </c>
      <c r="J45" s="733">
        <f t="shared" si="160"/>
        <v>7899</v>
      </c>
      <c r="K45" s="733">
        <f t="shared" si="160"/>
        <v>8650</v>
      </c>
      <c r="L45" s="733">
        <f t="shared" si="160"/>
        <v>9133</v>
      </c>
      <c r="M45" s="733">
        <f t="shared" si="160"/>
        <v>8347</v>
      </c>
      <c r="N45" s="733">
        <f t="shared" si="160"/>
        <v>8811</v>
      </c>
      <c r="O45" s="733">
        <f t="shared" si="160"/>
        <v>9930</v>
      </c>
      <c r="P45" s="733">
        <f t="shared" si="160"/>
        <v>10342</v>
      </c>
      <c r="Q45" s="733">
        <f t="shared" si="160"/>
        <v>9038</v>
      </c>
      <c r="R45" s="733">
        <f t="shared" si="160"/>
        <v>10443</v>
      </c>
      <c r="S45" s="733">
        <f t="shared" si="160"/>
        <v>11853</v>
      </c>
      <c r="T45" s="733">
        <f t="shared" ref="T45:U45" si="161">ROUND(T$5*T115/T$76,0)</f>
        <v>12933</v>
      </c>
      <c r="U45" s="733">
        <f t="shared" si="161"/>
        <v>13666</v>
      </c>
      <c r="V45" s="733">
        <f t="shared" ref="V45:W45" si="162">ROUND(V$5*V115/V$76,0)</f>
        <v>14304</v>
      </c>
      <c r="W45" s="733">
        <f t="shared" si="162"/>
        <v>14669</v>
      </c>
      <c r="X45" s="733">
        <f t="shared" ref="X45" si="163">ROUND(X$5*X115/X$76,0)</f>
        <v>15084</v>
      </c>
      <c r="Y45" s="733"/>
    </row>
    <row r="46" spans="1:25">
      <c r="A46" s="731">
        <v>446</v>
      </c>
      <c r="B46" s="731" t="s">
        <v>333</v>
      </c>
      <c r="C46" s="735">
        <f t="shared" si="151"/>
        <v>4111</v>
      </c>
      <c r="D46" s="735">
        <f t="shared" si="151"/>
        <v>5175</v>
      </c>
      <c r="E46" s="735">
        <f t="shared" si="151"/>
        <v>4087</v>
      </c>
      <c r="F46" s="735">
        <f t="shared" ref="F46:S46" si="164">ROUND(F$5*F116/F$76,0)</f>
        <v>3541</v>
      </c>
      <c r="G46" s="735">
        <f t="shared" si="164"/>
        <v>3921</v>
      </c>
      <c r="H46" s="735">
        <f t="shared" si="164"/>
        <v>3696</v>
      </c>
      <c r="I46" s="735">
        <f t="shared" si="164"/>
        <v>4196</v>
      </c>
      <c r="J46" s="735">
        <f t="shared" si="164"/>
        <v>4041</v>
      </c>
      <c r="K46" s="735">
        <f t="shared" si="164"/>
        <v>4364</v>
      </c>
      <c r="L46" s="735">
        <f t="shared" si="164"/>
        <v>4598</v>
      </c>
      <c r="M46" s="735">
        <f t="shared" si="164"/>
        <v>4361</v>
      </c>
      <c r="N46" s="735">
        <f t="shared" si="164"/>
        <v>5096</v>
      </c>
      <c r="O46" s="735">
        <f t="shared" si="164"/>
        <v>5759</v>
      </c>
      <c r="P46" s="735">
        <f t="shared" si="164"/>
        <v>5847</v>
      </c>
      <c r="Q46" s="735">
        <f t="shared" si="164"/>
        <v>5034</v>
      </c>
      <c r="R46" s="735">
        <f t="shared" si="164"/>
        <v>5961</v>
      </c>
      <c r="S46" s="735">
        <f t="shared" si="164"/>
        <v>6678</v>
      </c>
      <c r="T46" s="735">
        <f t="shared" ref="T46:U46" si="165">ROUND(T$5*T116/T$76,0)</f>
        <v>6869</v>
      </c>
      <c r="U46" s="735">
        <f t="shared" si="165"/>
        <v>7125</v>
      </c>
      <c r="V46" s="735">
        <f t="shared" ref="V46:W46" si="166">ROUND(V$5*V116/V$76,0)</f>
        <v>7458</v>
      </c>
      <c r="W46" s="735">
        <f t="shared" si="166"/>
        <v>7648</v>
      </c>
      <c r="X46" s="735">
        <f t="shared" ref="X46" si="167">ROUND(X$5*X116/X$76,0)</f>
        <v>7865</v>
      </c>
      <c r="Y46" s="733"/>
    </row>
    <row r="47" spans="1:25">
      <c r="A47" s="730">
        <v>6</v>
      </c>
      <c r="B47" s="730" t="s">
        <v>327</v>
      </c>
      <c r="C47" s="733">
        <f>SUM(C48:C54)</f>
        <v>107644</v>
      </c>
      <c r="D47" s="733">
        <f>SUM(D48:D54)</f>
        <v>106597</v>
      </c>
      <c r="E47" s="733">
        <f>SUM(E48:E54)</f>
        <v>99776</v>
      </c>
      <c r="F47" s="733">
        <f t="shared" ref="F47:K47" si="168">SUM(F48:F54)</f>
        <v>81398</v>
      </c>
      <c r="G47" s="733">
        <f t="shared" si="168"/>
        <v>84363</v>
      </c>
      <c r="H47" s="733">
        <f t="shared" si="168"/>
        <v>89133</v>
      </c>
      <c r="I47" s="733">
        <f t="shared" si="168"/>
        <v>91141</v>
      </c>
      <c r="J47" s="733">
        <f t="shared" si="168"/>
        <v>97472</v>
      </c>
      <c r="K47" s="733">
        <f t="shared" si="168"/>
        <v>99492</v>
      </c>
      <c r="L47" s="733">
        <f t="shared" ref="L47:Q47" si="169">SUM(L48:L54)</f>
        <v>105611</v>
      </c>
      <c r="M47" s="733">
        <f t="shared" si="169"/>
        <v>101439</v>
      </c>
      <c r="N47" s="733">
        <f t="shared" si="169"/>
        <v>100128</v>
      </c>
      <c r="O47" s="733">
        <f t="shared" si="169"/>
        <v>104529</v>
      </c>
      <c r="P47" s="733">
        <f t="shared" si="169"/>
        <v>108266</v>
      </c>
      <c r="Q47" s="733">
        <f t="shared" si="169"/>
        <v>101278</v>
      </c>
      <c r="R47" s="733">
        <f t="shared" ref="R47:W47" si="170">SUM(R48:R54)</f>
        <v>114086</v>
      </c>
      <c r="S47" s="733">
        <f t="shared" si="170"/>
        <v>128421</v>
      </c>
      <c r="T47" s="733">
        <f t="shared" si="170"/>
        <v>139205</v>
      </c>
      <c r="U47" s="733">
        <f t="shared" si="170"/>
        <v>143563</v>
      </c>
      <c r="V47" s="733">
        <f t="shared" si="170"/>
        <v>150264</v>
      </c>
      <c r="W47" s="733">
        <f t="shared" si="170"/>
        <v>154103</v>
      </c>
      <c r="X47" s="733">
        <f t="shared" ref="X47" si="171">SUM(X48:X54)</f>
        <v>158461</v>
      </c>
      <c r="Y47" s="733"/>
    </row>
    <row r="48" spans="1:25">
      <c r="A48" s="730">
        <v>208</v>
      </c>
      <c r="B48" s="730" t="s">
        <v>206</v>
      </c>
      <c r="C48" s="733">
        <f t="shared" ref="C48:E54" si="172">ROUND(C$5*C118/C$76,0)</f>
        <v>12388</v>
      </c>
      <c r="D48" s="733">
        <f t="shared" si="172"/>
        <v>12763</v>
      </c>
      <c r="E48" s="733">
        <f t="shared" si="172"/>
        <v>11574</v>
      </c>
      <c r="F48" s="733">
        <f t="shared" ref="F48:S48" si="173">ROUND(F$5*F118/F$76,0)</f>
        <v>9372</v>
      </c>
      <c r="G48" s="733">
        <f t="shared" si="173"/>
        <v>9935</v>
      </c>
      <c r="H48" s="733">
        <f t="shared" si="173"/>
        <v>10599</v>
      </c>
      <c r="I48" s="733">
        <f t="shared" si="173"/>
        <v>10891</v>
      </c>
      <c r="J48" s="733">
        <f t="shared" si="173"/>
        <v>11533</v>
      </c>
      <c r="K48" s="733">
        <f t="shared" si="173"/>
        <v>12291</v>
      </c>
      <c r="L48" s="733">
        <f t="shared" si="173"/>
        <v>13756</v>
      </c>
      <c r="M48" s="733">
        <f t="shared" si="173"/>
        <v>12691</v>
      </c>
      <c r="N48" s="733">
        <f t="shared" si="173"/>
        <v>11685</v>
      </c>
      <c r="O48" s="733">
        <f t="shared" si="173"/>
        <v>11985</v>
      </c>
      <c r="P48" s="733">
        <f t="shared" si="173"/>
        <v>11882</v>
      </c>
      <c r="Q48" s="733">
        <f t="shared" si="173"/>
        <v>11144</v>
      </c>
      <c r="R48" s="733">
        <f t="shared" si="173"/>
        <v>12685</v>
      </c>
      <c r="S48" s="733">
        <f t="shared" si="173"/>
        <v>14221</v>
      </c>
      <c r="T48" s="733">
        <f t="shared" ref="T48:U48" si="174">ROUND(T$5*T118/T$76,0)</f>
        <v>15411</v>
      </c>
      <c r="U48" s="733">
        <f t="shared" si="174"/>
        <v>15759</v>
      </c>
      <c r="V48" s="733">
        <f t="shared" ref="V48:W48" si="175">ROUND(V$5*V118/V$76,0)</f>
        <v>16495</v>
      </c>
      <c r="W48" s="733">
        <f t="shared" si="175"/>
        <v>16916</v>
      </c>
      <c r="X48" s="733">
        <f t="shared" ref="X48" si="176">ROUND(X$5*X118/X$76,0)</f>
        <v>17394</v>
      </c>
      <c r="Y48" s="733"/>
    </row>
    <row r="49" spans="1:25">
      <c r="A49" s="730">
        <v>212</v>
      </c>
      <c r="B49" s="730" t="s">
        <v>207</v>
      </c>
      <c r="C49" s="733">
        <f t="shared" si="172"/>
        <v>20466</v>
      </c>
      <c r="D49" s="733">
        <f t="shared" si="172"/>
        <v>20938</v>
      </c>
      <c r="E49" s="733">
        <f t="shared" si="172"/>
        <v>20935</v>
      </c>
      <c r="F49" s="733">
        <f t="shared" ref="F49:S49" si="177">ROUND(F$5*F119/F$76,0)</f>
        <v>15921</v>
      </c>
      <c r="G49" s="733">
        <f t="shared" si="177"/>
        <v>17443</v>
      </c>
      <c r="H49" s="733">
        <f t="shared" si="177"/>
        <v>18231</v>
      </c>
      <c r="I49" s="733">
        <f t="shared" si="177"/>
        <v>18683</v>
      </c>
      <c r="J49" s="733">
        <f t="shared" si="177"/>
        <v>21399</v>
      </c>
      <c r="K49" s="733">
        <f t="shared" si="177"/>
        <v>22341</v>
      </c>
      <c r="L49" s="733">
        <f t="shared" si="177"/>
        <v>23713</v>
      </c>
      <c r="M49" s="733">
        <f t="shared" si="177"/>
        <v>22080</v>
      </c>
      <c r="N49" s="733">
        <f t="shared" si="177"/>
        <v>21855</v>
      </c>
      <c r="O49" s="733">
        <f t="shared" si="177"/>
        <v>21637</v>
      </c>
      <c r="P49" s="733">
        <f t="shared" si="177"/>
        <v>23224</v>
      </c>
      <c r="Q49" s="733">
        <f t="shared" si="177"/>
        <v>20971</v>
      </c>
      <c r="R49" s="733">
        <f t="shared" si="177"/>
        <v>23998</v>
      </c>
      <c r="S49" s="733">
        <f t="shared" si="177"/>
        <v>26888</v>
      </c>
      <c r="T49" s="733">
        <f t="shared" ref="T49:U49" si="178">ROUND(T$5*T119/T$76,0)</f>
        <v>29024</v>
      </c>
      <c r="U49" s="733">
        <f t="shared" si="178"/>
        <v>30292</v>
      </c>
      <c r="V49" s="733">
        <f t="shared" ref="V49:W49" si="179">ROUND(V$5*V119/V$76,0)</f>
        <v>31705</v>
      </c>
      <c r="W49" s="733">
        <f t="shared" si="179"/>
        <v>32515</v>
      </c>
      <c r="X49" s="733">
        <f t="shared" ref="X49" si="180">ROUND(X$5*X119/X$76,0)</f>
        <v>33435</v>
      </c>
      <c r="Y49" s="733"/>
    </row>
    <row r="50" spans="1:25">
      <c r="A50" s="730">
        <v>227</v>
      </c>
      <c r="B50" s="730" t="s">
        <v>219</v>
      </c>
      <c r="C50" s="733">
        <f t="shared" si="172"/>
        <v>13817</v>
      </c>
      <c r="D50" s="733">
        <f t="shared" si="172"/>
        <v>14279</v>
      </c>
      <c r="E50" s="733">
        <f t="shared" si="172"/>
        <v>13330</v>
      </c>
      <c r="F50" s="733">
        <f t="shared" ref="F50:S50" si="181">ROUND(F$5*F120/F$76,0)</f>
        <v>11977</v>
      </c>
      <c r="G50" s="733">
        <f t="shared" si="181"/>
        <v>12037</v>
      </c>
      <c r="H50" s="733">
        <f t="shared" si="181"/>
        <v>12419</v>
      </c>
      <c r="I50" s="733">
        <f t="shared" si="181"/>
        <v>12451</v>
      </c>
      <c r="J50" s="733">
        <f t="shared" si="181"/>
        <v>13585</v>
      </c>
      <c r="K50" s="733">
        <f t="shared" si="181"/>
        <v>13739</v>
      </c>
      <c r="L50" s="733">
        <f t="shared" si="181"/>
        <v>14340</v>
      </c>
      <c r="M50" s="733">
        <f t="shared" si="181"/>
        <v>13420</v>
      </c>
      <c r="N50" s="733">
        <f t="shared" si="181"/>
        <v>13676</v>
      </c>
      <c r="O50" s="733">
        <f t="shared" si="181"/>
        <v>14836</v>
      </c>
      <c r="P50" s="733">
        <f t="shared" si="181"/>
        <v>15035</v>
      </c>
      <c r="Q50" s="733">
        <f t="shared" si="181"/>
        <v>13831</v>
      </c>
      <c r="R50" s="733">
        <f t="shared" si="181"/>
        <v>15781</v>
      </c>
      <c r="S50" s="733">
        <f t="shared" si="181"/>
        <v>17675</v>
      </c>
      <c r="T50" s="733">
        <f t="shared" ref="T50:U50" si="182">ROUND(T$5*T120/T$76,0)</f>
        <v>18799</v>
      </c>
      <c r="U50" s="733">
        <f t="shared" si="182"/>
        <v>19335</v>
      </c>
      <c r="V50" s="733">
        <f t="shared" ref="V50:W50" si="183">ROUND(V$5*V120/V$76,0)</f>
        <v>20238</v>
      </c>
      <c r="W50" s="733">
        <f t="shared" si="183"/>
        <v>20755</v>
      </c>
      <c r="X50" s="733">
        <f t="shared" ref="X50" si="184">ROUND(X$5*X120/X$76,0)</f>
        <v>21342</v>
      </c>
      <c r="Y50" s="733"/>
    </row>
    <row r="51" spans="1:25">
      <c r="A51" s="730">
        <v>229</v>
      </c>
      <c r="B51" s="730" t="s">
        <v>334</v>
      </c>
      <c r="C51" s="733">
        <f t="shared" si="172"/>
        <v>29952</v>
      </c>
      <c r="D51" s="733">
        <f t="shared" si="172"/>
        <v>31883</v>
      </c>
      <c r="E51" s="733">
        <f t="shared" si="172"/>
        <v>29146</v>
      </c>
      <c r="F51" s="733">
        <f t="shared" ref="F51:S51" si="185">ROUND(F$5*F121/F$76,0)</f>
        <v>23156</v>
      </c>
      <c r="G51" s="733">
        <f t="shared" si="185"/>
        <v>23774</v>
      </c>
      <c r="H51" s="733">
        <f t="shared" si="185"/>
        <v>25761</v>
      </c>
      <c r="I51" s="733">
        <f t="shared" si="185"/>
        <v>26436</v>
      </c>
      <c r="J51" s="733">
        <f t="shared" si="185"/>
        <v>26768</v>
      </c>
      <c r="K51" s="733">
        <f t="shared" si="185"/>
        <v>27295</v>
      </c>
      <c r="L51" s="733">
        <f t="shared" si="185"/>
        <v>28131</v>
      </c>
      <c r="M51" s="733">
        <f t="shared" si="185"/>
        <v>29477</v>
      </c>
      <c r="N51" s="733">
        <f t="shared" si="185"/>
        <v>28152</v>
      </c>
      <c r="O51" s="733">
        <f t="shared" si="185"/>
        <v>30254</v>
      </c>
      <c r="P51" s="733">
        <f t="shared" si="185"/>
        <v>31103</v>
      </c>
      <c r="Q51" s="733">
        <f t="shared" si="185"/>
        <v>29634</v>
      </c>
      <c r="R51" s="733">
        <f t="shared" si="185"/>
        <v>32774</v>
      </c>
      <c r="S51" s="733">
        <f t="shared" si="185"/>
        <v>37106</v>
      </c>
      <c r="T51" s="733">
        <f t="shared" ref="T51:U51" si="186">ROUND(T$5*T121/T$76,0)</f>
        <v>40576</v>
      </c>
      <c r="U51" s="733">
        <f t="shared" si="186"/>
        <v>41738</v>
      </c>
      <c r="V51" s="733">
        <f t="shared" ref="V51:W51" si="187">ROUND(V$5*V121/V$76,0)</f>
        <v>43686</v>
      </c>
      <c r="W51" s="733">
        <f t="shared" si="187"/>
        <v>44802</v>
      </c>
      <c r="X51" s="733">
        <f t="shared" ref="X51" si="188">ROUND(X$5*X121/X$76,0)</f>
        <v>46069</v>
      </c>
      <c r="Y51" s="733"/>
    </row>
    <row r="52" spans="1:25">
      <c r="A52" s="730">
        <v>464</v>
      </c>
      <c r="B52" s="730" t="s">
        <v>208</v>
      </c>
      <c r="C52" s="733">
        <f t="shared" si="172"/>
        <v>17323</v>
      </c>
      <c r="D52" s="733">
        <f t="shared" si="172"/>
        <v>12828</v>
      </c>
      <c r="E52" s="733">
        <f t="shared" si="172"/>
        <v>11807</v>
      </c>
      <c r="F52" s="733">
        <f t="shared" ref="F52:S52" si="189">ROUND(F$5*F122/F$76,0)</f>
        <v>9088</v>
      </c>
      <c r="G52" s="733">
        <f t="shared" si="189"/>
        <v>9325</v>
      </c>
      <c r="H52" s="733">
        <f t="shared" si="189"/>
        <v>10148</v>
      </c>
      <c r="I52" s="733">
        <f t="shared" si="189"/>
        <v>10602</v>
      </c>
      <c r="J52" s="733">
        <f t="shared" si="189"/>
        <v>11227</v>
      </c>
      <c r="K52" s="733">
        <f t="shared" si="189"/>
        <v>10888</v>
      </c>
      <c r="L52" s="733">
        <f t="shared" si="189"/>
        <v>12456</v>
      </c>
      <c r="M52" s="733">
        <f t="shared" si="189"/>
        <v>11460</v>
      </c>
      <c r="N52" s="733">
        <f t="shared" si="189"/>
        <v>12045</v>
      </c>
      <c r="O52" s="733">
        <f t="shared" si="189"/>
        <v>12827</v>
      </c>
      <c r="P52" s="733">
        <f t="shared" si="189"/>
        <v>13409</v>
      </c>
      <c r="Q52" s="733">
        <f t="shared" si="189"/>
        <v>12656</v>
      </c>
      <c r="R52" s="733">
        <f t="shared" si="189"/>
        <v>14434</v>
      </c>
      <c r="S52" s="733">
        <f t="shared" si="189"/>
        <v>16416</v>
      </c>
      <c r="T52" s="733">
        <f t="shared" ref="T52:U52" si="190">ROUND(T$5*T122/T$76,0)</f>
        <v>17892</v>
      </c>
      <c r="U52" s="733">
        <f t="shared" si="190"/>
        <v>18591</v>
      </c>
      <c r="V52" s="733">
        <f t="shared" ref="V52:W52" si="191">ROUND(V$5*V122/V$76,0)</f>
        <v>19459</v>
      </c>
      <c r="W52" s="733">
        <f t="shared" si="191"/>
        <v>19956</v>
      </c>
      <c r="X52" s="733">
        <f t="shared" ref="X52" si="192">ROUND(X$5*X122/X$76,0)</f>
        <v>20520</v>
      </c>
      <c r="Y52" s="733"/>
    </row>
    <row r="53" spans="1:25">
      <c r="A53" s="730">
        <v>481</v>
      </c>
      <c r="B53" s="730" t="s">
        <v>209</v>
      </c>
      <c r="C53" s="733">
        <f t="shared" si="172"/>
        <v>6170</v>
      </c>
      <c r="D53" s="733">
        <f t="shared" si="172"/>
        <v>6441</v>
      </c>
      <c r="E53" s="733">
        <f t="shared" si="172"/>
        <v>5883</v>
      </c>
      <c r="F53" s="733">
        <f t="shared" ref="F53:S53" si="193">ROUND(F$5*F123/F$76,0)</f>
        <v>4871</v>
      </c>
      <c r="G53" s="733">
        <f t="shared" si="193"/>
        <v>4928</v>
      </c>
      <c r="H53" s="733">
        <f t="shared" si="193"/>
        <v>5103</v>
      </c>
      <c r="I53" s="733">
        <f t="shared" si="193"/>
        <v>5253</v>
      </c>
      <c r="J53" s="733">
        <f t="shared" si="193"/>
        <v>5830</v>
      </c>
      <c r="K53" s="733">
        <f t="shared" si="193"/>
        <v>5799</v>
      </c>
      <c r="L53" s="733">
        <f t="shared" si="193"/>
        <v>5981</v>
      </c>
      <c r="M53" s="733">
        <f t="shared" si="193"/>
        <v>5468</v>
      </c>
      <c r="N53" s="733">
        <f t="shared" si="193"/>
        <v>5974</v>
      </c>
      <c r="O53" s="733">
        <f t="shared" si="193"/>
        <v>5895</v>
      </c>
      <c r="P53" s="733">
        <f t="shared" si="193"/>
        <v>6278</v>
      </c>
      <c r="Q53" s="733">
        <f t="shared" si="193"/>
        <v>5978</v>
      </c>
      <c r="R53" s="733">
        <f t="shared" si="193"/>
        <v>6597</v>
      </c>
      <c r="S53" s="733">
        <f t="shared" si="193"/>
        <v>7421</v>
      </c>
      <c r="T53" s="733">
        <f t="shared" ref="T53:U53" si="194">ROUND(T$5*T123/T$76,0)</f>
        <v>8156</v>
      </c>
      <c r="U53" s="733">
        <f t="shared" si="194"/>
        <v>8367</v>
      </c>
      <c r="V53" s="733">
        <f t="shared" ref="V53:W53" si="195">ROUND(V$5*V123/V$76,0)</f>
        <v>8758</v>
      </c>
      <c r="W53" s="733">
        <f t="shared" si="195"/>
        <v>8982</v>
      </c>
      <c r="X53" s="733">
        <f t="shared" ref="X53" si="196">ROUND(X$5*X123/X$76,0)</f>
        <v>9236</v>
      </c>
      <c r="Y53" s="733"/>
    </row>
    <row r="54" spans="1:25">
      <c r="A54" s="730">
        <v>501</v>
      </c>
      <c r="B54" s="730" t="s">
        <v>335</v>
      </c>
      <c r="C54" s="733">
        <f t="shared" si="172"/>
        <v>7528</v>
      </c>
      <c r="D54" s="733">
        <f t="shared" si="172"/>
        <v>7465</v>
      </c>
      <c r="E54" s="733">
        <f t="shared" si="172"/>
        <v>7101</v>
      </c>
      <c r="F54" s="733">
        <f t="shared" ref="F54:S54" si="197">ROUND(F$5*F124/F$76,0)</f>
        <v>7013</v>
      </c>
      <c r="G54" s="733">
        <f t="shared" si="197"/>
        <v>6921</v>
      </c>
      <c r="H54" s="733">
        <f t="shared" si="197"/>
        <v>6872</v>
      </c>
      <c r="I54" s="733">
        <f t="shared" si="197"/>
        <v>6825</v>
      </c>
      <c r="J54" s="733">
        <f t="shared" si="197"/>
        <v>7130</v>
      </c>
      <c r="K54" s="733">
        <f t="shared" si="197"/>
        <v>7139</v>
      </c>
      <c r="L54" s="733">
        <f t="shared" si="197"/>
        <v>7234</v>
      </c>
      <c r="M54" s="733">
        <f t="shared" si="197"/>
        <v>6843</v>
      </c>
      <c r="N54" s="733">
        <f t="shared" si="197"/>
        <v>6741</v>
      </c>
      <c r="O54" s="733">
        <f t="shared" si="197"/>
        <v>7095</v>
      </c>
      <c r="P54" s="733">
        <f t="shared" si="197"/>
        <v>7335</v>
      </c>
      <c r="Q54" s="733">
        <f t="shared" si="197"/>
        <v>7064</v>
      </c>
      <c r="R54" s="733">
        <f t="shared" si="197"/>
        <v>7817</v>
      </c>
      <c r="S54" s="733">
        <f t="shared" si="197"/>
        <v>8694</v>
      </c>
      <c r="T54" s="733">
        <f t="shared" ref="T54:U54" si="198">ROUND(T$5*T124/T$76,0)</f>
        <v>9347</v>
      </c>
      <c r="U54" s="733">
        <f t="shared" si="198"/>
        <v>9481</v>
      </c>
      <c r="V54" s="733">
        <f t="shared" ref="V54:W54" si="199">ROUND(V$5*V124/V$76,0)</f>
        <v>9923</v>
      </c>
      <c r="W54" s="733">
        <f t="shared" si="199"/>
        <v>10177</v>
      </c>
      <c r="X54" s="733">
        <f t="shared" ref="X54" si="200">ROUND(X$5*X124/X$76,0)</f>
        <v>10465</v>
      </c>
      <c r="Y54" s="733"/>
    </row>
    <row r="55" spans="1:25">
      <c r="A55" s="728">
        <v>7</v>
      </c>
      <c r="B55" s="728" t="s">
        <v>210</v>
      </c>
      <c r="C55" s="734">
        <f>SUM(C56:C60)</f>
        <v>75319</v>
      </c>
      <c r="D55" s="734">
        <f>SUM(D56:D60)</f>
        <v>75027</v>
      </c>
      <c r="E55" s="734">
        <f>SUM(E56:E60)</f>
        <v>70375</v>
      </c>
      <c r="F55" s="734">
        <f t="shared" ref="F55:K55" si="201">SUM(F56:F60)</f>
        <v>58327</v>
      </c>
      <c r="G55" s="734">
        <f t="shared" si="201"/>
        <v>58450</v>
      </c>
      <c r="H55" s="734">
        <f t="shared" si="201"/>
        <v>64296</v>
      </c>
      <c r="I55" s="734">
        <f t="shared" si="201"/>
        <v>67418</v>
      </c>
      <c r="J55" s="734">
        <f t="shared" si="201"/>
        <v>70734</v>
      </c>
      <c r="K55" s="734">
        <f t="shared" si="201"/>
        <v>72151</v>
      </c>
      <c r="L55" s="734">
        <f t="shared" ref="L55:Q55" si="202">SUM(L56:L60)</f>
        <v>74761</v>
      </c>
      <c r="M55" s="734">
        <f t="shared" si="202"/>
        <v>71571</v>
      </c>
      <c r="N55" s="734">
        <f t="shared" si="202"/>
        <v>79568</v>
      </c>
      <c r="O55" s="734">
        <f t="shared" si="202"/>
        <v>73241</v>
      </c>
      <c r="P55" s="734">
        <f t="shared" si="202"/>
        <v>74666</v>
      </c>
      <c r="Q55" s="734">
        <f t="shared" si="202"/>
        <v>73003</v>
      </c>
      <c r="R55" s="734">
        <f t="shared" ref="R55:W55" si="203">SUM(R56:R60)</f>
        <v>78904</v>
      </c>
      <c r="S55" s="734">
        <f t="shared" si="203"/>
        <v>89612</v>
      </c>
      <c r="T55" s="734">
        <f t="shared" si="203"/>
        <v>97691</v>
      </c>
      <c r="U55" s="734">
        <f t="shared" si="203"/>
        <v>99775</v>
      </c>
      <c r="V55" s="734">
        <f t="shared" si="203"/>
        <v>104432</v>
      </c>
      <c r="W55" s="734">
        <f t="shared" si="203"/>
        <v>107102</v>
      </c>
      <c r="X55" s="734">
        <f t="shared" ref="X55" si="204">SUM(X56:X60)</f>
        <v>110129</v>
      </c>
      <c r="Y55" s="733"/>
    </row>
    <row r="56" spans="1:25">
      <c r="A56" s="730">
        <v>209</v>
      </c>
      <c r="B56" s="730" t="s">
        <v>336</v>
      </c>
      <c r="C56" s="733">
        <f t="shared" ref="C56:E60" si="205">ROUND(C$5*C126/C$76,0)</f>
        <v>35121</v>
      </c>
      <c r="D56" s="733">
        <f t="shared" si="205"/>
        <v>34798</v>
      </c>
      <c r="E56" s="733">
        <f t="shared" si="205"/>
        <v>32996</v>
      </c>
      <c r="F56" s="733">
        <f t="shared" ref="F56:S56" si="206">ROUND(F$5*F126/F$76,0)</f>
        <v>27165</v>
      </c>
      <c r="G56" s="733">
        <f t="shared" si="206"/>
        <v>26258</v>
      </c>
      <c r="H56" s="733">
        <f t="shared" si="206"/>
        <v>30601</v>
      </c>
      <c r="I56" s="733">
        <f t="shared" si="206"/>
        <v>32973</v>
      </c>
      <c r="J56" s="733">
        <f t="shared" si="206"/>
        <v>33223</v>
      </c>
      <c r="K56" s="733">
        <f t="shared" si="206"/>
        <v>33054</v>
      </c>
      <c r="L56" s="733">
        <f t="shared" si="206"/>
        <v>33969</v>
      </c>
      <c r="M56" s="733">
        <f t="shared" si="206"/>
        <v>33645</v>
      </c>
      <c r="N56" s="733">
        <f t="shared" si="206"/>
        <v>33249</v>
      </c>
      <c r="O56" s="733">
        <f t="shared" si="206"/>
        <v>34360</v>
      </c>
      <c r="P56" s="733">
        <f t="shared" si="206"/>
        <v>35384</v>
      </c>
      <c r="Q56" s="733">
        <f t="shared" si="206"/>
        <v>32747</v>
      </c>
      <c r="R56" s="733">
        <f t="shared" si="206"/>
        <v>36582</v>
      </c>
      <c r="S56" s="733">
        <f t="shared" si="206"/>
        <v>41403</v>
      </c>
      <c r="T56" s="733">
        <f t="shared" ref="T56:U56" si="207">ROUND(T$5*T126/T$76,0)</f>
        <v>45250</v>
      </c>
      <c r="U56" s="733">
        <f t="shared" si="207"/>
        <v>46757</v>
      </c>
      <c r="V56" s="733">
        <f t="shared" ref="V56:W56" si="208">ROUND(V$5*V126/V$76,0)</f>
        <v>48939</v>
      </c>
      <c r="W56" s="733">
        <f t="shared" si="208"/>
        <v>50190</v>
      </c>
      <c r="X56" s="733">
        <f t="shared" ref="X56" si="209">ROUND(X$5*X126/X$76,0)</f>
        <v>51609</v>
      </c>
      <c r="Y56" s="733"/>
    </row>
    <row r="57" spans="1:25">
      <c r="A57" s="730">
        <v>222</v>
      </c>
      <c r="B57" s="730" t="s">
        <v>337</v>
      </c>
      <c r="C57" s="733">
        <f t="shared" si="205"/>
        <v>11051</v>
      </c>
      <c r="D57" s="733">
        <f t="shared" si="205"/>
        <v>11190</v>
      </c>
      <c r="E57" s="733">
        <f t="shared" si="205"/>
        <v>10385</v>
      </c>
      <c r="F57" s="733">
        <f t="shared" ref="F57:S57" si="210">ROUND(F$5*F127/F$76,0)</f>
        <v>8892</v>
      </c>
      <c r="G57" s="733">
        <f t="shared" si="210"/>
        <v>9001</v>
      </c>
      <c r="H57" s="733">
        <f t="shared" si="210"/>
        <v>9393</v>
      </c>
      <c r="I57" s="733">
        <f t="shared" si="210"/>
        <v>9302</v>
      </c>
      <c r="J57" s="733">
        <f t="shared" si="210"/>
        <v>9779</v>
      </c>
      <c r="K57" s="733">
        <f t="shared" si="210"/>
        <v>10822</v>
      </c>
      <c r="L57" s="733">
        <f t="shared" si="210"/>
        <v>11122</v>
      </c>
      <c r="M57" s="733">
        <f t="shared" si="210"/>
        <v>10267</v>
      </c>
      <c r="N57" s="733">
        <f t="shared" si="210"/>
        <v>10158</v>
      </c>
      <c r="O57" s="733">
        <f t="shared" si="210"/>
        <v>10664</v>
      </c>
      <c r="P57" s="733">
        <f t="shared" si="210"/>
        <v>10361</v>
      </c>
      <c r="Q57" s="733">
        <f t="shared" si="210"/>
        <v>10747</v>
      </c>
      <c r="R57" s="733">
        <f t="shared" si="210"/>
        <v>11349</v>
      </c>
      <c r="S57" s="733">
        <f t="shared" si="210"/>
        <v>12826</v>
      </c>
      <c r="T57" s="733">
        <f t="shared" ref="T57:U57" si="211">ROUND(T$5*T127/T$76,0)</f>
        <v>14064</v>
      </c>
      <c r="U57" s="733">
        <f t="shared" si="211"/>
        <v>14114</v>
      </c>
      <c r="V57" s="733">
        <f t="shared" ref="V57:W57" si="212">ROUND(V$5*V127/V$76,0)</f>
        <v>14773</v>
      </c>
      <c r="W57" s="733">
        <f t="shared" si="212"/>
        <v>15151</v>
      </c>
      <c r="X57" s="733">
        <f t="shared" ref="X57" si="213">ROUND(X$5*X127/X$76,0)</f>
        <v>15579</v>
      </c>
      <c r="Y57" s="733"/>
    </row>
    <row r="58" spans="1:25">
      <c r="A58" s="730">
        <v>225</v>
      </c>
      <c r="B58" s="730" t="s">
        <v>222</v>
      </c>
      <c r="C58" s="733">
        <f t="shared" si="205"/>
        <v>15310</v>
      </c>
      <c r="D58" s="733">
        <f t="shared" si="205"/>
        <v>14970</v>
      </c>
      <c r="E58" s="733">
        <f t="shared" si="205"/>
        <v>13847</v>
      </c>
      <c r="F58" s="733">
        <f t="shared" ref="F58:S58" si="214">ROUND(F$5*F128/F$76,0)</f>
        <v>11219</v>
      </c>
      <c r="G58" s="733">
        <f t="shared" si="214"/>
        <v>12116</v>
      </c>
      <c r="H58" s="733">
        <f t="shared" si="214"/>
        <v>12522</v>
      </c>
      <c r="I58" s="733">
        <f t="shared" si="214"/>
        <v>12858</v>
      </c>
      <c r="J58" s="733">
        <f t="shared" si="214"/>
        <v>14075</v>
      </c>
      <c r="K58" s="733">
        <f t="shared" si="214"/>
        <v>14645</v>
      </c>
      <c r="L58" s="733">
        <f t="shared" si="214"/>
        <v>15899</v>
      </c>
      <c r="M58" s="733">
        <f t="shared" si="214"/>
        <v>14669</v>
      </c>
      <c r="N58" s="733">
        <f t="shared" si="214"/>
        <v>22293</v>
      </c>
      <c r="O58" s="733">
        <f t="shared" si="214"/>
        <v>14175</v>
      </c>
      <c r="P58" s="733">
        <f t="shared" si="214"/>
        <v>14590</v>
      </c>
      <c r="Q58" s="733">
        <f t="shared" si="214"/>
        <v>15700</v>
      </c>
      <c r="R58" s="733">
        <f t="shared" si="214"/>
        <v>15967</v>
      </c>
      <c r="S58" s="733">
        <f t="shared" si="214"/>
        <v>18417</v>
      </c>
      <c r="T58" s="733">
        <f t="shared" ref="T58:U58" si="215">ROUND(T$5*T128/T$76,0)</f>
        <v>20138</v>
      </c>
      <c r="U58" s="733">
        <f t="shared" si="215"/>
        <v>20394</v>
      </c>
      <c r="V58" s="733">
        <f t="shared" ref="V58:W58" si="216">ROUND(V$5*V128/V$76,0)</f>
        <v>21346</v>
      </c>
      <c r="W58" s="733">
        <f t="shared" si="216"/>
        <v>21891</v>
      </c>
      <c r="X58" s="733">
        <f t="shared" ref="X58" si="217">ROUND(X$5*X128/X$76,0)</f>
        <v>22510</v>
      </c>
      <c r="Y58" s="733"/>
    </row>
    <row r="59" spans="1:25">
      <c r="A59" s="730">
        <v>585</v>
      </c>
      <c r="B59" s="730" t="s">
        <v>220</v>
      </c>
      <c r="C59" s="733">
        <f t="shared" si="205"/>
        <v>7492</v>
      </c>
      <c r="D59" s="733">
        <f t="shared" si="205"/>
        <v>7659</v>
      </c>
      <c r="E59" s="733">
        <f t="shared" si="205"/>
        <v>7197</v>
      </c>
      <c r="F59" s="733">
        <f t="shared" ref="F59:S59" si="218">ROUND(F$5*F129/F$76,0)</f>
        <v>5906</v>
      </c>
      <c r="G59" s="733">
        <f t="shared" si="218"/>
        <v>5994</v>
      </c>
      <c r="H59" s="733">
        <f t="shared" si="218"/>
        <v>6417</v>
      </c>
      <c r="I59" s="733">
        <f t="shared" si="218"/>
        <v>6768</v>
      </c>
      <c r="J59" s="733">
        <f t="shared" si="218"/>
        <v>7450</v>
      </c>
      <c r="K59" s="733">
        <f t="shared" si="218"/>
        <v>7587</v>
      </c>
      <c r="L59" s="733">
        <f t="shared" si="218"/>
        <v>7585</v>
      </c>
      <c r="M59" s="733">
        <f t="shared" si="218"/>
        <v>7166</v>
      </c>
      <c r="N59" s="733">
        <f t="shared" si="218"/>
        <v>7703</v>
      </c>
      <c r="O59" s="733">
        <f t="shared" si="218"/>
        <v>7957</v>
      </c>
      <c r="P59" s="733">
        <f t="shared" si="218"/>
        <v>7687</v>
      </c>
      <c r="Q59" s="733">
        <f t="shared" si="218"/>
        <v>7529</v>
      </c>
      <c r="R59" s="733">
        <f t="shared" si="218"/>
        <v>8221</v>
      </c>
      <c r="S59" s="733">
        <f t="shared" si="218"/>
        <v>9192</v>
      </c>
      <c r="T59" s="733">
        <f t="shared" ref="T59:U59" si="219">ROUND(T$5*T129/T$76,0)</f>
        <v>9949</v>
      </c>
      <c r="U59" s="733">
        <f t="shared" si="219"/>
        <v>10124</v>
      </c>
      <c r="V59" s="733">
        <f t="shared" ref="V59:W59" si="220">ROUND(V$5*V129/V$76,0)</f>
        <v>10597</v>
      </c>
      <c r="W59" s="733">
        <f t="shared" si="220"/>
        <v>10868</v>
      </c>
      <c r="X59" s="733">
        <f t="shared" ref="X59" si="221">ROUND(X$5*X129/X$76,0)</f>
        <v>11175</v>
      </c>
      <c r="Y59" s="733"/>
    </row>
    <row r="60" spans="1:25">
      <c r="A60" s="731">
        <v>586</v>
      </c>
      <c r="B60" s="731" t="s">
        <v>338</v>
      </c>
      <c r="C60" s="733">
        <f t="shared" si="205"/>
        <v>6345</v>
      </c>
      <c r="D60" s="733">
        <f t="shared" si="205"/>
        <v>6410</v>
      </c>
      <c r="E60" s="733">
        <f t="shared" si="205"/>
        <v>5950</v>
      </c>
      <c r="F60" s="733">
        <f t="shared" ref="F60:S60" si="222">ROUND(F$5*F130/F$76,0)</f>
        <v>5145</v>
      </c>
      <c r="G60" s="733">
        <f t="shared" si="222"/>
        <v>5081</v>
      </c>
      <c r="H60" s="733">
        <f t="shared" si="222"/>
        <v>5363</v>
      </c>
      <c r="I60" s="733">
        <f t="shared" si="222"/>
        <v>5517</v>
      </c>
      <c r="J60" s="733">
        <f t="shared" si="222"/>
        <v>6207</v>
      </c>
      <c r="K60" s="733">
        <f t="shared" si="222"/>
        <v>6043</v>
      </c>
      <c r="L60" s="733">
        <f t="shared" si="222"/>
        <v>6186</v>
      </c>
      <c r="M60" s="733">
        <f t="shared" si="222"/>
        <v>5824</v>
      </c>
      <c r="N60" s="733">
        <f t="shared" si="222"/>
        <v>6165</v>
      </c>
      <c r="O60" s="733">
        <f t="shared" si="222"/>
        <v>6085</v>
      </c>
      <c r="P60" s="733">
        <f t="shared" si="222"/>
        <v>6644</v>
      </c>
      <c r="Q60" s="733">
        <f t="shared" si="222"/>
        <v>6280</v>
      </c>
      <c r="R60" s="733">
        <f t="shared" si="222"/>
        <v>6785</v>
      </c>
      <c r="S60" s="733">
        <f t="shared" si="222"/>
        <v>7774</v>
      </c>
      <c r="T60" s="733">
        <f t="shared" ref="T60:U60" si="223">ROUND(T$5*T130/T$76,0)</f>
        <v>8290</v>
      </c>
      <c r="U60" s="733">
        <f t="shared" si="223"/>
        <v>8386</v>
      </c>
      <c r="V60" s="733">
        <f t="shared" ref="V60:W60" si="224">ROUND(V$5*V130/V$76,0)</f>
        <v>8777</v>
      </c>
      <c r="W60" s="733">
        <f t="shared" si="224"/>
        <v>9002</v>
      </c>
      <c r="X60" s="733">
        <f t="shared" ref="X60" si="225">ROUND(X$5*X130/X$76,0)</f>
        <v>9256</v>
      </c>
      <c r="Y60" s="733"/>
    </row>
    <row r="61" spans="1:25">
      <c r="A61" s="730">
        <v>8</v>
      </c>
      <c r="B61" s="730" t="s">
        <v>211</v>
      </c>
      <c r="C61" s="734">
        <f>SUM(C62:C63)</f>
        <v>43562</v>
      </c>
      <c r="D61" s="734">
        <f>SUM(D62:D63)</f>
        <v>44903</v>
      </c>
      <c r="E61" s="734">
        <f>SUM(E62:E63)</f>
        <v>41853</v>
      </c>
      <c r="F61" s="734">
        <f t="shared" ref="F61:K61" si="226">SUM(F62:F63)</f>
        <v>33553</v>
      </c>
      <c r="G61" s="734">
        <f t="shared" si="226"/>
        <v>34850</v>
      </c>
      <c r="H61" s="734">
        <f t="shared" si="226"/>
        <v>35974</v>
      </c>
      <c r="I61" s="734">
        <f t="shared" si="226"/>
        <v>37398</v>
      </c>
      <c r="J61" s="734">
        <f t="shared" si="226"/>
        <v>41082</v>
      </c>
      <c r="K61" s="734">
        <f t="shared" si="226"/>
        <v>47166</v>
      </c>
      <c r="L61" s="734">
        <f t="shared" ref="L61:Q61" si="227">SUM(L62:L63)</f>
        <v>47604</v>
      </c>
      <c r="M61" s="734">
        <f t="shared" si="227"/>
        <v>43345</v>
      </c>
      <c r="N61" s="734">
        <f t="shared" si="227"/>
        <v>43227</v>
      </c>
      <c r="O61" s="734">
        <f t="shared" si="227"/>
        <v>47244</v>
      </c>
      <c r="P61" s="734">
        <f t="shared" si="227"/>
        <v>47373</v>
      </c>
      <c r="Q61" s="734">
        <f t="shared" si="227"/>
        <v>42722</v>
      </c>
      <c r="R61" s="734">
        <f t="shared" ref="R61:W61" si="228">SUM(R62:R63)</f>
        <v>49374</v>
      </c>
      <c r="S61" s="734">
        <f t="shared" si="228"/>
        <v>55489</v>
      </c>
      <c r="T61" s="734">
        <f t="shared" si="228"/>
        <v>59860</v>
      </c>
      <c r="U61" s="734">
        <f t="shared" si="228"/>
        <v>62624</v>
      </c>
      <c r="V61" s="734">
        <f t="shared" si="228"/>
        <v>65547</v>
      </c>
      <c r="W61" s="734">
        <f t="shared" si="228"/>
        <v>67221</v>
      </c>
      <c r="X61" s="734">
        <f t="shared" ref="X61" si="229">SUM(X62:X63)</f>
        <v>69123</v>
      </c>
      <c r="Y61" s="733"/>
    </row>
    <row r="62" spans="1:25">
      <c r="A62" s="730">
        <v>221</v>
      </c>
      <c r="B62" s="730" t="s">
        <v>1156</v>
      </c>
      <c r="C62" s="733">
        <f t="shared" ref="C62:E63" si="230">ROUND(C$5*C132/C$76,0)</f>
        <v>17950</v>
      </c>
      <c r="D62" s="733">
        <f t="shared" si="230"/>
        <v>17764</v>
      </c>
      <c r="E62" s="733">
        <f t="shared" si="230"/>
        <v>16434</v>
      </c>
      <c r="F62" s="733">
        <f t="shared" ref="F62:S62" si="231">ROUND(F$5*F132/F$76,0)</f>
        <v>13472</v>
      </c>
      <c r="G62" s="733">
        <f t="shared" si="231"/>
        <v>14032</v>
      </c>
      <c r="H62" s="733">
        <f t="shared" si="231"/>
        <v>14588</v>
      </c>
      <c r="I62" s="733">
        <f t="shared" si="231"/>
        <v>15038</v>
      </c>
      <c r="J62" s="733">
        <f t="shared" si="231"/>
        <v>16568</v>
      </c>
      <c r="K62" s="733">
        <f t="shared" si="231"/>
        <v>16927</v>
      </c>
      <c r="L62" s="733">
        <f t="shared" si="231"/>
        <v>17633</v>
      </c>
      <c r="M62" s="733">
        <f t="shared" si="231"/>
        <v>16642</v>
      </c>
      <c r="N62" s="733">
        <f t="shared" si="231"/>
        <v>17252</v>
      </c>
      <c r="O62" s="733">
        <f t="shared" si="231"/>
        <v>18713</v>
      </c>
      <c r="P62" s="733">
        <f t="shared" si="231"/>
        <v>19225</v>
      </c>
      <c r="Q62" s="733">
        <f t="shared" si="231"/>
        <v>17432</v>
      </c>
      <c r="R62" s="733">
        <f t="shared" si="231"/>
        <v>20015</v>
      </c>
      <c r="S62" s="733">
        <f t="shared" si="231"/>
        <v>22872</v>
      </c>
      <c r="T62" s="733">
        <f t="shared" ref="T62:U62" si="232">ROUND(T$5*T132/T$76,0)</f>
        <v>24542</v>
      </c>
      <c r="U62" s="733">
        <f t="shared" si="232"/>
        <v>25507</v>
      </c>
      <c r="V62" s="733">
        <f t="shared" ref="V62:W62" si="233">ROUND(V$5*V132/V$76,0)</f>
        <v>26697</v>
      </c>
      <c r="W62" s="733">
        <f t="shared" si="233"/>
        <v>27379</v>
      </c>
      <c r="X62" s="733">
        <f t="shared" ref="X62" si="234">ROUND(X$5*X132/X$76,0)</f>
        <v>28154</v>
      </c>
      <c r="Y62" s="733"/>
    </row>
    <row r="63" spans="1:25">
      <c r="A63" s="730">
        <v>223</v>
      </c>
      <c r="B63" s="730" t="s">
        <v>223</v>
      </c>
      <c r="C63" s="733">
        <f t="shared" si="230"/>
        <v>25612</v>
      </c>
      <c r="D63" s="733">
        <f t="shared" si="230"/>
        <v>27139</v>
      </c>
      <c r="E63" s="733">
        <f t="shared" si="230"/>
        <v>25419</v>
      </c>
      <c r="F63" s="733">
        <f t="shared" ref="F63:S63" si="235">ROUND(F$5*F133/F$76,0)</f>
        <v>20081</v>
      </c>
      <c r="G63" s="733">
        <f t="shared" si="235"/>
        <v>20818</v>
      </c>
      <c r="H63" s="733">
        <f t="shared" si="235"/>
        <v>21386</v>
      </c>
      <c r="I63" s="733">
        <f t="shared" si="235"/>
        <v>22360</v>
      </c>
      <c r="J63" s="733">
        <f t="shared" si="235"/>
        <v>24514</v>
      </c>
      <c r="K63" s="733">
        <f t="shared" si="235"/>
        <v>30239</v>
      </c>
      <c r="L63" s="733">
        <f t="shared" si="235"/>
        <v>29971</v>
      </c>
      <c r="M63" s="733">
        <f t="shared" si="235"/>
        <v>26703</v>
      </c>
      <c r="N63" s="733">
        <f t="shared" si="235"/>
        <v>25975</v>
      </c>
      <c r="O63" s="733">
        <f t="shared" si="235"/>
        <v>28531</v>
      </c>
      <c r="P63" s="733">
        <f t="shared" si="235"/>
        <v>28148</v>
      </c>
      <c r="Q63" s="733">
        <f t="shared" si="235"/>
        <v>25290</v>
      </c>
      <c r="R63" s="733">
        <f t="shared" si="235"/>
        <v>29359</v>
      </c>
      <c r="S63" s="733">
        <f t="shared" si="235"/>
        <v>32617</v>
      </c>
      <c r="T63" s="733">
        <f t="shared" ref="T63:U63" si="236">ROUND(T$5*T133/T$76,0)</f>
        <v>35318</v>
      </c>
      <c r="U63" s="733">
        <f t="shared" si="236"/>
        <v>37117</v>
      </c>
      <c r="V63" s="733">
        <f t="shared" ref="V63:W63" si="237">ROUND(V$5*V133/V$76,0)</f>
        <v>38850</v>
      </c>
      <c r="W63" s="733">
        <f t="shared" si="237"/>
        <v>39842</v>
      </c>
      <c r="X63" s="733">
        <f t="shared" ref="X63" si="238">ROUND(X$5*X133/X$76,0)</f>
        <v>40969</v>
      </c>
      <c r="Y63" s="733"/>
    </row>
    <row r="64" spans="1:25">
      <c r="A64" s="728">
        <v>9</v>
      </c>
      <c r="B64" s="728" t="s">
        <v>212</v>
      </c>
      <c r="C64" s="734">
        <f>SUM(C65:C67)</f>
        <v>53925</v>
      </c>
      <c r="D64" s="734">
        <f>SUM(D65:D67)</f>
        <v>52838</v>
      </c>
      <c r="E64" s="734">
        <f>SUM(E65:E67)</f>
        <v>49807</v>
      </c>
      <c r="F64" s="734">
        <f t="shared" ref="F64:K64" si="239">SUM(F65:F67)</f>
        <v>42956</v>
      </c>
      <c r="G64" s="734">
        <f t="shared" si="239"/>
        <v>44140</v>
      </c>
      <c r="H64" s="734">
        <f t="shared" si="239"/>
        <v>44767</v>
      </c>
      <c r="I64" s="734">
        <f t="shared" si="239"/>
        <v>46920</v>
      </c>
      <c r="J64" s="734">
        <f t="shared" si="239"/>
        <v>51849</v>
      </c>
      <c r="K64" s="734">
        <f t="shared" si="239"/>
        <v>51513</v>
      </c>
      <c r="L64" s="734">
        <f t="shared" ref="L64:Q64" si="240">SUM(L65:L67)</f>
        <v>54573</v>
      </c>
      <c r="M64" s="734">
        <f t="shared" si="240"/>
        <v>52533</v>
      </c>
      <c r="N64" s="734">
        <f t="shared" si="240"/>
        <v>53485</v>
      </c>
      <c r="O64" s="734">
        <f t="shared" si="240"/>
        <v>52266</v>
      </c>
      <c r="P64" s="734">
        <f t="shared" si="240"/>
        <v>55036</v>
      </c>
      <c r="Q64" s="734">
        <f t="shared" si="240"/>
        <v>52522</v>
      </c>
      <c r="R64" s="734">
        <f t="shared" ref="R64:W64" si="241">SUM(R65:R67)</f>
        <v>59113</v>
      </c>
      <c r="S64" s="734">
        <f t="shared" si="241"/>
        <v>66612</v>
      </c>
      <c r="T64" s="734">
        <f t="shared" si="241"/>
        <v>75296</v>
      </c>
      <c r="U64" s="734">
        <f t="shared" si="241"/>
        <v>78451</v>
      </c>
      <c r="V64" s="734">
        <f t="shared" si="241"/>
        <v>82113</v>
      </c>
      <c r="W64" s="734">
        <f t="shared" si="241"/>
        <v>84212</v>
      </c>
      <c r="X64" s="734">
        <f t="shared" ref="X64" si="242">SUM(X65:X67)</f>
        <v>86592</v>
      </c>
      <c r="Y64" s="733"/>
    </row>
    <row r="65" spans="1:38">
      <c r="A65" s="730">
        <v>205</v>
      </c>
      <c r="B65" s="730" t="s">
        <v>339</v>
      </c>
      <c r="C65" s="733">
        <f t="shared" ref="C65:E67" si="243">ROUND(C$5*C135/C$76,0)</f>
        <v>18898</v>
      </c>
      <c r="D65" s="733">
        <f t="shared" si="243"/>
        <v>18049</v>
      </c>
      <c r="E65" s="733">
        <f t="shared" si="243"/>
        <v>17362</v>
      </c>
      <c r="F65" s="733">
        <f t="shared" ref="F65:S65" si="244">ROUND(F$5*F135/F$76,0)</f>
        <v>14876</v>
      </c>
      <c r="G65" s="733">
        <f t="shared" si="244"/>
        <v>16917</v>
      </c>
      <c r="H65" s="733">
        <f t="shared" si="244"/>
        <v>15176</v>
      </c>
      <c r="I65" s="733">
        <f t="shared" si="244"/>
        <v>15788</v>
      </c>
      <c r="J65" s="733">
        <f t="shared" si="244"/>
        <v>17831</v>
      </c>
      <c r="K65" s="733">
        <f t="shared" si="244"/>
        <v>16820</v>
      </c>
      <c r="L65" s="733">
        <f t="shared" si="244"/>
        <v>18087</v>
      </c>
      <c r="M65" s="733">
        <f t="shared" si="244"/>
        <v>18643</v>
      </c>
      <c r="N65" s="733">
        <f t="shared" si="244"/>
        <v>19128</v>
      </c>
      <c r="O65" s="733">
        <f t="shared" si="244"/>
        <v>17557</v>
      </c>
      <c r="P65" s="733">
        <f t="shared" si="244"/>
        <v>18623</v>
      </c>
      <c r="Q65" s="733">
        <f t="shared" si="244"/>
        <v>18557</v>
      </c>
      <c r="R65" s="733">
        <f t="shared" si="244"/>
        <v>20156</v>
      </c>
      <c r="S65" s="733">
        <f t="shared" si="244"/>
        <v>23028</v>
      </c>
      <c r="T65" s="733">
        <f t="shared" ref="T65:U65" si="245">ROUND(T$5*T135/T$76,0)</f>
        <v>26020</v>
      </c>
      <c r="U65" s="733">
        <f t="shared" si="245"/>
        <v>27075</v>
      </c>
      <c r="V65" s="733">
        <f t="shared" ref="V65:W65" si="246">ROUND(V$5*V135/V$76,0)</f>
        <v>28339</v>
      </c>
      <c r="W65" s="733">
        <f t="shared" si="246"/>
        <v>29063</v>
      </c>
      <c r="X65" s="733">
        <f t="shared" ref="X65" si="247">ROUND(X$5*X135/X$76,0)</f>
        <v>29885</v>
      </c>
      <c r="Y65" s="733"/>
    </row>
    <row r="66" spans="1:38">
      <c r="A66" s="730">
        <v>224</v>
      </c>
      <c r="B66" s="730" t="s">
        <v>224</v>
      </c>
      <c r="C66" s="733">
        <f t="shared" si="243"/>
        <v>16430</v>
      </c>
      <c r="D66" s="733">
        <f t="shared" si="243"/>
        <v>17171</v>
      </c>
      <c r="E66" s="733">
        <f t="shared" si="243"/>
        <v>16325</v>
      </c>
      <c r="F66" s="733">
        <f t="shared" ref="F66:S66" si="248">ROUND(F$5*F136/F$76,0)</f>
        <v>13405</v>
      </c>
      <c r="G66" s="733">
        <f t="shared" si="248"/>
        <v>13763</v>
      </c>
      <c r="H66" s="733">
        <f t="shared" si="248"/>
        <v>14463</v>
      </c>
      <c r="I66" s="733">
        <f t="shared" si="248"/>
        <v>15011</v>
      </c>
      <c r="J66" s="733">
        <f t="shared" si="248"/>
        <v>16338</v>
      </c>
      <c r="K66" s="733">
        <f t="shared" si="248"/>
        <v>17501</v>
      </c>
      <c r="L66" s="733">
        <f t="shared" si="248"/>
        <v>17933</v>
      </c>
      <c r="M66" s="733">
        <f t="shared" si="248"/>
        <v>16950</v>
      </c>
      <c r="N66" s="733">
        <f t="shared" si="248"/>
        <v>17049</v>
      </c>
      <c r="O66" s="733">
        <f t="shared" si="248"/>
        <v>17262</v>
      </c>
      <c r="P66" s="733">
        <f t="shared" si="248"/>
        <v>17673</v>
      </c>
      <c r="Q66" s="733">
        <f t="shared" si="248"/>
        <v>16596</v>
      </c>
      <c r="R66" s="733">
        <f t="shared" si="248"/>
        <v>18923</v>
      </c>
      <c r="S66" s="733">
        <f t="shared" si="248"/>
        <v>21215</v>
      </c>
      <c r="T66" s="733">
        <f t="shared" ref="T66:U66" si="249">ROUND(T$5*T136/T$76,0)</f>
        <v>23954</v>
      </c>
      <c r="U66" s="733">
        <f t="shared" si="249"/>
        <v>25298</v>
      </c>
      <c r="V66" s="733">
        <f t="shared" ref="V66:W66" si="250">ROUND(V$5*V136/V$76,0)</f>
        <v>26479</v>
      </c>
      <c r="W66" s="733">
        <f t="shared" si="250"/>
        <v>27156</v>
      </c>
      <c r="X66" s="733">
        <f t="shared" ref="X66" si="251">ROUND(X$5*X136/X$76,0)</f>
        <v>27923</v>
      </c>
      <c r="Y66" s="733"/>
    </row>
    <row r="67" spans="1:38">
      <c r="A67" s="731">
        <v>226</v>
      </c>
      <c r="B67" s="731" t="s">
        <v>225</v>
      </c>
      <c r="C67" s="735">
        <f t="shared" si="243"/>
        <v>18597</v>
      </c>
      <c r="D67" s="735">
        <f t="shared" si="243"/>
        <v>17618</v>
      </c>
      <c r="E67" s="735">
        <f t="shared" si="243"/>
        <v>16120</v>
      </c>
      <c r="F67" s="735">
        <f t="shared" ref="F67:S67" si="252">ROUND(F$5*F137/F$76,0)</f>
        <v>14675</v>
      </c>
      <c r="G67" s="735">
        <f t="shared" si="252"/>
        <v>13460</v>
      </c>
      <c r="H67" s="735">
        <f t="shared" si="252"/>
        <v>15128</v>
      </c>
      <c r="I67" s="735">
        <f t="shared" si="252"/>
        <v>16121</v>
      </c>
      <c r="J67" s="735">
        <f t="shared" si="252"/>
        <v>17680</v>
      </c>
      <c r="K67" s="735">
        <f t="shared" si="252"/>
        <v>17192</v>
      </c>
      <c r="L67" s="735">
        <f t="shared" si="252"/>
        <v>18553</v>
      </c>
      <c r="M67" s="735">
        <f t="shared" si="252"/>
        <v>16940</v>
      </c>
      <c r="N67" s="735">
        <f t="shared" si="252"/>
        <v>17308</v>
      </c>
      <c r="O67" s="735">
        <f t="shared" si="252"/>
        <v>17447</v>
      </c>
      <c r="P67" s="735">
        <f t="shared" si="252"/>
        <v>18740</v>
      </c>
      <c r="Q67" s="735">
        <f t="shared" si="252"/>
        <v>17369</v>
      </c>
      <c r="R67" s="735">
        <f t="shared" si="252"/>
        <v>20034</v>
      </c>
      <c r="S67" s="735">
        <f t="shared" si="252"/>
        <v>22369</v>
      </c>
      <c r="T67" s="735">
        <f t="shared" ref="T67:U67" si="253">ROUND(T$5*T137/T$76,0)</f>
        <v>25322</v>
      </c>
      <c r="U67" s="735">
        <f t="shared" si="253"/>
        <v>26078</v>
      </c>
      <c r="V67" s="735">
        <f t="shared" ref="V67:W67" si="254">ROUND(V$5*V137/V$76,0)</f>
        <v>27295</v>
      </c>
      <c r="W67" s="735">
        <f t="shared" si="254"/>
        <v>27993</v>
      </c>
      <c r="X67" s="735">
        <f t="shared" ref="X67" si="255">ROUND(X$5*X137/X$76,0)</f>
        <v>28784</v>
      </c>
      <c r="Y67" s="733"/>
    </row>
    <row r="68" spans="1:38">
      <c r="Y68" s="733"/>
      <c r="AL68" s="75" t="s">
        <v>1185</v>
      </c>
    </row>
    <row r="69" spans="1:38">
      <c r="Y69" s="733"/>
    </row>
    <row r="70" spans="1:38">
      <c r="Y70" s="733"/>
    </row>
    <row r="71" spans="1:38">
      <c r="C71" s="75" t="s">
        <v>1337</v>
      </c>
      <c r="D71" s="75" t="s">
        <v>1338</v>
      </c>
      <c r="E71" s="75" t="s">
        <v>1339</v>
      </c>
      <c r="F71" s="75" t="s">
        <v>64</v>
      </c>
      <c r="G71" s="75" t="s">
        <v>65</v>
      </c>
      <c r="H71" s="75" t="s">
        <v>114</v>
      </c>
      <c r="I71" s="75" t="s">
        <v>111</v>
      </c>
      <c r="J71" s="75" t="s">
        <v>757</v>
      </c>
      <c r="K71" s="75" t="s">
        <v>771</v>
      </c>
      <c r="L71" s="75" t="s">
        <v>133</v>
      </c>
      <c r="M71" s="75" t="s">
        <v>1024</v>
      </c>
      <c r="N71" s="75" t="s">
        <v>1059</v>
      </c>
      <c r="O71" s="75" t="s">
        <v>1090</v>
      </c>
      <c r="P71" s="75" t="s">
        <v>1169</v>
      </c>
      <c r="Q71" s="75" t="s">
        <v>1132</v>
      </c>
      <c r="R71" s="75" t="s">
        <v>1179</v>
      </c>
      <c r="S71" s="75" t="s">
        <v>1226</v>
      </c>
      <c r="T71" s="75" t="s">
        <v>1549</v>
      </c>
      <c r="U71" s="75" t="s">
        <v>1597</v>
      </c>
      <c r="V71" s="75" t="s">
        <v>1730</v>
      </c>
      <c r="W71" s="75" t="s">
        <v>1775</v>
      </c>
      <c r="X71" s="75" t="s">
        <v>1815</v>
      </c>
      <c r="Y71" s="733"/>
    </row>
    <row r="72" spans="1:38">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row>
    <row r="73" spans="1:38" ht="28.5">
      <c r="A73" s="1199"/>
      <c r="B73" s="1199"/>
      <c r="C73" s="1199" t="s">
        <v>1351</v>
      </c>
      <c r="D73" s="1199" t="s">
        <v>1351</v>
      </c>
      <c r="E73" s="1199" t="s">
        <v>1351</v>
      </c>
      <c r="F73" s="1199" t="s">
        <v>1351</v>
      </c>
      <c r="G73" s="1199" t="s">
        <v>1351</v>
      </c>
      <c r="H73" s="1199" t="s">
        <v>1351</v>
      </c>
      <c r="I73" s="1199" t="s">
        <v>1351</v>
      </c>
      <c r="J73" s="1199" t="s">
        <v>1351</v>
      </c>
      <c r="K73" s="1199" t="s">
        <v>1351</v>
      </c>
      <c r="L73" s="1199" t="s">
        <v>1351</v>
      </c>
      <c r="M73" s="1199" t="s">
        <v>1351</v>
      </c>
      <c r="N73" s="1199" t="s">
        <v>1351</v>
      </c>
      <c r="O73" s="1199" t="s">
        <v>1351</v>
      </c>
      <c r="P73" s="1199" t="s">
        <v>1351</v>
      </c>
      <c r="Q73" s="1199" t="s">
        <v>1351</v>
      </c>
      <c r="R73" s="1199" t="s">
        <v>1351</v>
      </c>
      <c r="S73" s="1199" t="s">
        <v>1351</v>
      </c>
      <c r="T73" s="1199" t="s">
        <v>1351</v>
      </c>
      <c r="U73" s="1199" t="s">
        <v>1351</v>
      </c>
      <c r="V73" s="1199" t="s">
        <v>1351</v>
      </c>
      <c r="W73" s="1199" t="s">
        <v>1351</v>
      </c>
      <c r="X73" s="1199" t="s">
        <v>1351</v>
      </c>
    </row>
    <row r="74" spans="1:38">
      <c r="A74" s="132"/>
      <c r="B74" s="132"/>
      <c r="C74" s="132"/>
      <c r="D74" s="132"/>
      <c r="E74" s="132"/>
      <c r="F74" s="132" t="s">
        <v>347</v>
      </c>
      <c r="G74" s="132" t="s">
        <v>347</v>
      </c>
      <c r="H74" s="132" t="s">
        <v>347</v>
      </c>
      <c r="I74" s="132" t="s">
        <v>347</v>
      </c>
      <c r="J74" s="132" t="s">
        <v>347</v>
      </c>
      <c r="K74" s="132" t="s">
        <v>347</v>
      </c>
      <c r="L74" s="132" t="s">
        <v>136</v>
      </c>
      <c r="M74" s="132" t="s">
        <v>11</v>
      </c>
      <c r="N74" s="132" t="s">
        <v>11</v>
      </c>
      <c r="O74" s="132" t="s">
        <v>11</v>
      </c>
      <c r="P74" s="132" t="s">
        <v>11</v>
      </c>
      <c r="Q74" s="132" t="s">
        <v>11</v>
      </c>
      <c r="R74" s="132" t="s">
        <v>11</v>
      </c>
      <c r="S74" s="132" t="s">
        <v>11</v>
      </c>
      <c r="T74" s="132" t="s">
        <v>11</v>
      </c>
      <c r="U74" s="132" t="s">
        <v>11</v>
      </c>
      <c r="V74" s="132" t="s">
        <v>11</v>
      </c>
      <c r="W74" s="132"/>
      <c r="X74" s="132"/>
    </row>
    <row r="76" spans="1:38">
      <c r="A76" s="736"/>
      <c r="B76" s="736" t="s">
        <v>322</v>
      </c>
      <c r="C76" s="736">
        <f>'7H18'!V4</f>
        <v>18146062.846759606</v>
      </c>
      <c r="D76" s="736">
        <f>'8H19'!V4</f>
        <v>17963714.74240277</v>
      </c>
      <c r="E76" s="736">
        <f>'9H20'!V4</f>
        <v>17897049.98520378</v>
      </c>
      <c r="F76" s="736">
        <f>'10H21'!V4</f>
        <v>17730639.421632834</v>
      </c>
      <c r="G76" s="382">
        <f>'11H22'!V4</f>
        <v>17857670.718191542</v>
      </c>
      <c r="H76" s="382">
        <f>'12H23'!V4</f>
        <v>17785254.747016102</v>
      </c>
      <c r="I76" s="130">
        <f>'13H24'!V4</f>
        <v>17848531.747016102</v>
      </c>
      <c r="J76" s="130">
        <f>'14H25'!V4</f>
        <v>18241105.370937664</v>
      </c>
      <c r="K76" s="382">
        <f>'15H26'!V4</f>
        <v>18158588.360226333</v>
      </c>
      <c r="L76" s="382">
        <f>'16H27'!V4</f>
        <v>18422133.360226333</v>
      </c>
      <c r="M76" s="382">
        <f>'17H28'!V4</f>
        <v>18379151.94955264</v>
      </c>
      <c r="N76" s="382">
        <f>'18H29'!V4</f>
        <v>18693217.280126885</v>
      </c>
      <c r="O76" s="130">
        <f>'19H30'!V4</f>
        <v>18627682.164241441</v>
      </c>
      <c r="P76" s="130">
        <f>'20R1'!V4</f>
        <v>18951699.483498532</v>
      </c>
      <c r="Q76" s="130">
        <f>'21R2'!U4</f>
        <v>18260322</v>
      </c>
      <c r="R76" s="382">
        <f>'22R3'!U4</f>
        <v>20765633.174126696</v>
      </c>
      <c r="S76" s="382">
        <f>'23R4'!U4</f>
        <v>22059305.317901988</v>
      </c>
      <c r="T76" s="382">
        <f>'24R5'!U4</f>
        <v>23229962.042749591</v>
      </c>
      <c r="U76" s="130">
        <f>'25R6'!U4</f>
        <v>23463199</v>
      </c>
      <c r="V76" s="130">
        <f>'26R7'!U4</f>
        <v>23463199</v>
      </c>
      <c r="W76" s="130">
        <f>'27R8'!U4</f>
        <v>23463199</v>
      </c>
      <c r="X76" s="130">
        <f>'28R9'!U4</f>
        <v>23463199</v>
      </c>
    </row>
    <row r="77" spans="1:38">
      <c r="A77" s="733">
        <v>100</v>
      </c>
      <c r="B77" s="733" t="s">
        <v>172</v>
      </c>
      <c r="C77" s="733">
        <f>'7H18'!V5</f>
        <v>5304282.8467596034</v>
      </c>
      <c r="D77" s="733">
        <f>'8H19'!V5</f>
        <v>5206143.7424027715</v>
      </c>
      <c r="E77" s="733">
        <f>'9H20'!V5</f>
        <v>5170372.9852037793</v>
      </c>
      <c r="F77" s="733">
        <f>'10H21'!V5</f>
        <v>5104203.4216328347</v>
      </c>
      <c r="G77" s="75">
        <f>'11H22'!V5</f>
        <v>5208421.7181915399</v>
      </c>
      <c r="H77" s="75">
        <f>'12H23'!V5</f>
        <v>5174934.7470161011</v>
      </c>
      <c r="I77" s="130">
        <f>'13H24'!V5</f>
        <v>5107177.7470161011</v>
      </c>
      <c r="J77" s="130">
        <f>'14H25'!V5</f>
        <v>5383035.370937665</v>
      </c>
      <c r="K77" s="130">
        <f>'15H26'!V5</f>
        <v>5264375.3602263322</v>
      </c>
      <c r="L77" s="75">
        <f>'16H27'!V5</f>
        <v>5337370.3602263322</v>
      </c>
      <c r="M77" s="75">
        <f>'17H28'!V5</f>
        <v>5428988.9495526403</v>
      </c>
      <c r="N77" s="130">
        <f>'18H29'!V5</f>
        <v>5721882.2801268827</v>
      </c>
      <c r="O77" s="130">
        <f>'19H30'!V5</f>
        <v>5614211.1642414387</v>
      </c>
      <c r="P77" s="130">
        <f>'20R1'!V5</f>
        <v>5748625.4834985305</v>
      </c>
      <c r="Q77" s="130">
        <f>'21R2'!U5</f>
        <v>5578382</v>
      </c>
      <c r="R77" s="75">
        <f>'22R3'!U5</f>
        <v>6079199.1741266968</v>
      </c>
      <c r="S77" s="130">
        <f>'23R4'!U5</f>
        <v>6475241.3179019867</v>
      </c>
      <c r="T77" s="130">
        <f>'24R5'!U5</f>
        <v>6857274.042749593</v>
      </c>
      <c r="U77" s="130">
        <f>'25R6'!U5</f>
        <v>6918660</v>
      </c>
      <c r="V77" s="130">
        <f>'26R7'!U5</f>
        <v>6918660</v>
      </c>
      <c r="W77" s="75">
        <f>'27R8'!U5</f>
        <v>6918660</v>
      </c>
      <c r="X77" s="75">
        <f>'28R9'!U5</f>
        <v>6918660</v>
      </c>
    </row>
    <row r="78" spans="1:38">
      <c r="A78" s="733">
        <v>1</v>
      </c>
      <c r="B78" s="733" t="s">
        <v>323</v>
      </c>
      <c r="C78" s="733">
        <f>'7H18'!V6</f>
        <v>3559763</v>
      </c>
      <c r="D78" s="733">
        <f>'8H19'!V6</f>
        <v>3511661</v>
      </c>
      <c r="E78" s="733">
        <f>'9H20'!V6</f>
        <v>3610180</v>
      </c>
      <c r="F78" s="733">
        <f>'10H21'!V6</f>
        <v>3546666</v>
      </c>
      <c r="G78" s="75">
        <f>'11H22'!V6</f>
        <v>3425390</v>
      </c>
      <c r="H78" s="75">
        <f>'12H23'!V6</f>
        <v>3344986</v>
      </c>
      <c r="I78" s="75">
        <f>'13H24'!V6</f>
        <v>3339344</v>
      </c>
      <c r="J78" s="75">
        <f>'14H25'!V6</f>
        <v>3421870</v>
      </c>
      <c r="K78" s="75">
        <f>'15H26'!V6</f>
        <v>3363226</v>
      </c>
      <c r="L78" s="75">
        <f>'16H27'!V6</f>
        <v>3499330</v>
      </c>
      <c r="M78" s="75">
        <f>'17H28'!V6</f>
        <v>3488999</v>
      </c>
      <c r="N78" s="75">
        <f>'18H29'!V6</f>
        <v>3420479</v>
      </c>
      <c r="O78" s="75">
        <f>'19H30'!V6</f>
        <v>3444207</v>
      </c>
      <c r="P78" s="75">
        <f>'20R1'!V6</f>
        <v>3445685</v>
      </c>
      <c r="Q78" s="75">
        <f>'21R2'!U6</f>
        <v>3362127</v>
      </c>
      <c r="R78" s="75">
        <f>'22R3'!U6</f>
        <v>3706563</v>
      </c>
      <c r="S78" s="75">
        <f>'23R4'!U6</f>
        <v>3904936</v>
      </c>
      <c r="T78" s="75">
        <f>'24R5'!U6</f>
        <v>4143678</v>
      </c>
      <c r="U78" s="75">
        <f>'25R6'!U6</f>
        <v>4179364</v>
      </c>
      <c r="V78" s="75">
        <f>'26R7'!U6</f>
        <v>4179364</v>
      </c>
      <c r="W78" s="75">
        <f>'27R8'!U6</f>
        <v>4179364</v>
      </c>
      <c r="X78" s="75">
        <f>'28R9'!U6</f>
        <v>4179364</v>
      </c>
    </row>
    <row r="79" spans="1:38">
      <c r="A79" s="733">
        <v>2</v>
      </c>
      <c r="B79" s="733" t="s">
        <v>324</v>
      </c>
      <c r="C79" s="733">
        <f>'7H18'!V7</f>
        <v>2099381</v>
      </c>
      <c r="D79" s="733">
        <f>'8H19'!V7</f>
        <v>2085943</v>
      </c>
      <c r="E79" s="733">
        <f>'9H20'!V7</f>
        <v>2059638</v>
      </c>
      <c r="F79" s="733">
        <f>'10H21'!V7</f>
        <v>2033501</v>
      </c>
      <c r="G79" s="75">
        <f>'11H22'!V7</f>
        <v>2016157</v>
      </c>
      <c r="H79" s="75">
        <f>'12H23'!V7</f>
        <v>2033380</v>
      </c>
      <c r="I79" s="75">
        <f>'13H24'!V7</f>
        <v>2071670</v>
      </c>
      <c r="J79" s="75">
        <f>'14H25'!V7</f>
        <v>2136479</v>
      </c>
      <c r="K79" s="75">
        <f>'15H26'!V7</f>
        <v>2156180</v>
      </c>
      <c r="L79" s="75">
        <f>'16H27'!V7</f>
        <v>2161608</v>
      </c>
      <c r="M79" s="75">
        <f>'17H28'!V7</f>
        <v>2154922</v>
      </c>
      <c r="N79" s="75">
        <f>'18H29'!V7</f>
        <v>2159598</v>
      </c>
      <c r="O79" s="75">
        <f>'19H30'!V7</f>
        <v>2150016</v>
      </c>
      <c r="P79" s="75">
        <f>'20R1'!V7</f>
        <v>2195840</v>
      </c>
      <c r="Q79" s="75">
        <f>'21R2'!U7</f>
        <v>2073775</v>
      </c>
      <c r="R79" s="75">
        <f>'22R3'!U7</f>
        <v>2438375</v>
      </c>
      <c r="S79" s="75">
        <f>'23R4'!U7</f>
        <v>2611884</v>
      </c>
      <c r="T79" s="75">
        <f>'24R5'!U7</f>
        <v>2737243</v>
      </c>
      <c r="U79" s="75">
        <f>'25R6'!U7</f>
        <v>2764914</v>
      </c>
      <c r="V79" s="75">
        <f>'26R7'!U7</f>
        <v>2764914</v>
      </c>
      <c r="W79" s="75">
        <f>'27R8'!U7</f>
        <v>2764914</v>
      </c>
      <c r="X79" s="75">
        <f>'28R9'!U7</f>
        <v>2764914</v>
      </c>
    </row>
    <row r="80" spans="1:38">
      <c r="A80" s="733">
        <v>3</v>
      </c>
      <c r="B80" s="733" t="s">
        <v>192</v>
      </c>
      <c r="C80" s="733">
        <f>'7H18'!V8</f>
        <v>2259491</v>
      </c>
      <c r="D80" s="733">
        <f>'8H19'!V8</f>
        <v>2269706</v>
      </c>
      <c r="E80" s="733">
        <f>'9H20'!V8</f>
        <v>2332078</v>
      </c>
      <c r="F80" s="733">
        <f>'10H21'!V8</f>
        <v>2356874</v>
      </c>
      <c r="G80" s="75">
        <f>'11H22'!V8</f>
        <v>2246558</v>
      </c>
      <c r="H80" s="75">
        <f>'12H23'!V8</f>
        <v>2375481</v>
      </c>
      <c r="I80" s="75">
        <f>'13H24'!V8</f>
        <v>2410318</v>
      </c>
      <c r="J80" s="75">
        <f>'14H25'!V8</f>
        <v>2372335</v>
      </c>
      <c r="K80" s="75">
        <f>'15H26'!V8</f>
        <v>2532954</v>
      </c>
      <c r="L80" s="75">
        <f>'16H27'!V8</f>
        <v>2530049</v>
      </c>
      <c r="M80" s="75">
        <f>'17H28'!V8</f>
        <v>2385894</v>
      </c>
      <c r="N80" s="75">
        <f>'18H29'!V8</f>
        <v>2470567</v>
      </c>
      <c r="O80" s="75">
        <f>'19H30'!V8</f>
        <v>2432587</v>
      </c>
      <c r="P80" s="75">
        <f>'20R1'!V8</f>
        <v>2501698</v>
      </c>
      <c r="Q80" s="75">
        <f>'21R2'!U8</f>
        <v>2408418</v>
      </c>
      <c r="R80" s="75">
        <f>'22R3'!U8</f>
        <v>2806665</v>
      </c>
      <c r="S80" s="75">
        <f>'23R4'!U8</f>
        <v>2994256</v>
      </c>
      <c r="T80" s="75">
        <f>'24R5'!U8</f>
        <v>3142881</v>
      </c>
      <c r="U80" s="75">
        <f>'25R6'!U8</f>
        <v>3200858</v>
      </c>
      <c r="V80" s="75">
        <f>'26R7'!U8</f>
        <v>3200858</v>
      </c>
      <c r="W80" s="75">
        <f>'27R8'!U8</f>
        <v>3200858</v>
      </c>
      <c r="X80" s="75">
        <f>'28R9'!U8</f>
        <v>3200858</v>
      </c>
    </row>
    <row r="81" spans="1:24">
      <c r="A81" s="733">
        <v>4</v>
      </c>
      <c r="B81" s="733" t="s">
        <v>325</v>
      </c>
      <c r="C81" s="733">
        <f>'7H18'!V9</f>
        <v>813875</v>
      </c>
      <c r="D81" s="733">
        <f>'8H19'!V9</f>
        <v>850660</v>
      </c>
      <c r="E81" s="733">
        <f>'9H20'!V9</f>
        <v>789623</v>
      </c>
      <c r="F81" s="733">
        <f>'10H21'!V9</f>
        <v>764907</v>
      </c>
      <c r="G81" s="75">
        <f>'11H22'!V9</f>
        <v>755686</v>
      </c>
      <c r="H81" s="75">
        <f>'12H23'!V9</f>
        <v>869428</v>
      </c>
      <c r="I81" s="75">
        <f>'13H24'!V9</f>
        <v>890360</v>
      </c>
      <c r="J81" s="75">
        <f>'14H25'!V9</f>
        <v>890326</v>
      </c>
      <c r="K81" s="75">
        <f>'15H26'!V9</f>
        <v>804889</v>
      </c>
      <c r="L81" s="75">
        <f>'16H27'!V9</f>
        <v>822791</v>
      </c>
      <c r="M81" s="75">
        <f>'17H28'!V9</f>
        <v>843693</v>
      </c>
      <c r="N81" s="75">
        <f>'18H29'!V9</f>
        <v>831165</v>
      </c>
      <c r="O81" s="75">
        <f>'19H30'!V9</f>
        <v>835628</v>
      </c>
      <c r="P81" s="75">
        <f>'20R1'!V9</f>
        <v>886854</v>
      </c>
      <c r="Q81" s="75">
        <f>'21R2'!U9</f>
        <v>830380</v>
      </c>
      <c r="R81" s="75">
        <f>'22R3'!U9</f>
        <v>1017821</v>
      </c>
      <c r="S81" s="75">
        <f>'23R4'!U9</f>
        <v>1083820</v>
      </c>
      <c r="T81" s="75">
        <f>'24R5'!U9</f>
        <v>1136262</v>
      </c>
      <c r="U81" s="75">
        <f>'25R6'!U9</f>
        <v>1150135</v>
      </c>
      <c r="V81" s="75">
        <f>'26R7'!U9</f>
        <v>1150135</v>
      </c>
      <c r="W81" s="75">
        <f>'27R8'!U9</f>
        <v>1150135</v>
      </c>
      <c r="X81" s="75">
        <f>'28R9'!U9</f>
        <v>1150135</v>
      </c>
    </row>
    <row r="82" spans="1:24">
      <c r="A82" s="733">
        <v>5</v>
      </c>
      <c r="B82" s="733" t="s">
        <v>326</v>
      </c>
      <c r="C82" s="733">
        <f>'7H18'!V10</f>
        <v>1902169</v>
      </c>
      <c r="D82" s="733">
        <f>'8H19'!V10</f>
        <v>1913321</v>
      </c>
      <c r="E82" s="733">
        <f>'9H20'!V10</f>
        <v>1854457</v>
      </c>
      <c r="F82" s="733">
        <f>'10H21'!V10</f>
        <v>1834890</v>
      </c>
      <c r="G82" s="75">
        <f>'11H22'!V10</f>
        <v>2151052</v>
      </c>
      <c r="H82" s="75">
        <f>'12H23'!V10</f>
        <v>1868053</v>
      </c>
      <c r="I82" s="75">
        <f>'13H24'!V10</f>
        <v>1877734</v>
      </c>
      <c r="J82" s="75">
        <f>'14H25'!V10</f>
        <v>1918740</v>
      </c>
      <c r="K82" s="75">
        <f>'15H26'!V10</f>
        <v>1890251</v>
      </c>
      <c r="L82" s="75">
        <f>'16H27'!V10</f>
        <v>1909256</v>
      </c>
      <c r="M82" s="75">
        <f>'17H28'!V10</f>
        <v>1962074</v>
      </c>
      <c r="N82" s="75">
        <f>'18H29'!V10</f>
        <v>1976155</v>
      </c>
      <c r="O82" s="75">
        <f>'19H30'!V10</f>
        <v>2069846</v>
      </c>
      <c r="P82" s="75">
        <f>'20R1'!V10</f>
        <v>2024655</v>
      </c>
      <c r="Q82" s="75">
        <f>'21R2'!U10</f>
        <v>1973989</v>
      </c>
      <c r="R82" s="75">
        <f>'22R3'!U10</f>
        <v>2220496</v>
      </c>
      <c r="S82" s="75">
        <f>'23R4'!U10</f>
        <v>2348248</v>
      </c>
      <c r="T82" s="75">
        <f>'24R5'!U10</f>
        <v>2446343</v>
      </c>
      <c r="U82" s="75">
        <f>'25R6'!U10</f>
        <v>2470755</v>
      </c>
      <c r="V82" s="75">
        <f>'26R7'!U10</f>
        <v>2470755</v>
      </c>
      <c r="W82" s="75">
        <f>'27R8'!U10</f>
        <v>2470755</v>
      </c>
      <c r="X82" s="75">
        <f>'28R9'!U10</f>
        <v>2470755</v>
      </c>
    </row>
    <row r="83" spans="1:24">
      <c r="A83" s="733">
        <v>6</v>
      </c>
      <c r="B83" s="733" t="s">
        <v>327</v>
      </c>
      <c r="C83" s="733">
        <f>'7H18'!V11</f>
        <v>847145</v>
      </c>
      <c r="D83" s="733">
        <f>'8H19'!V11</f>
        <v>811320</v>
      </c>
      <c r="E83" s="733">
        <f>'9H20'!V11</f>
        <v>792955</v>
      </c>
      <c r="F83" s="733">
        <f>'10H21'!V11</f>
        <v>786586</v>
      </c>
      <c r="G83" s="75">
        <f>'11H22'!V11</f>
        <v>781391</v>
      </c>
      <c r="H83" s="75">
        <f>'12H23'!V11</f>
        <v>806564</v>
      </c>
      <c r="I83" s="75">
        <f>'13H24'!V11</f>
        <v>807527</v>
      </c>
      <c r="J83" s="75">
        <f>'14H25'!V11</f>
        <v>790688</v>
      </c>
      <c r="K83" s="75">
        <f>'15H26'!V11</f>
        <v>787710</v>
      </c>
      <c r="L83" s="75">
        <f>'16H27'!V11</f>
        <v>808004</v>
      </c>
      <c r="M83" s="75">
        <f>'17H28'!V11</f>
        <v>797736</v>
      </c>
      <c r="N83" s="75">
        <f>'18H29'!V11</f>
        <v>765569</v>
      </c>
      <c r="O83" s="75">
        <f>'19H30'!V11</f>
        <v>784561</v>
      </c>
      <c r="P83" s="75">
        <f>'20R1'!V11</f>
        <v>815136</v>
      </c>
      <c r="Q83" s="75">
        <f>'21R2'!U11</f>
        <v>764024</v>
      </c>
      <c r="R83" s="75">
        <f>'22R3'!U11</f>
        <v>944742</v>
      </c>
      <c r="S83" s="75">
        <f>'23R4'!U11</f>
        <v>997106</v>
      </c>
      <c r="T83" s="75">
        <f>'24R5'!U11</f>
        <v>1035020</v>
      </c>
      <c r="U83" s="75">
        <f>'25R6'!U11</f>
        <v>1037662</v>
      </c>
      <c r="V83" s="75">
        <f>'26R7'!U11</f>
        <v>1037662</v>
      </c>
      <c r="W83" s="75">
        <f>'27R8'!U11</f>
        <v>1037662</v>
      </c>
      <c r="X83" s="75">
        <f>'28R9'!U11</f>
        <v>1037662</v>
      </c>
    </row>
    <row r="84" spans="1:24">
      <c r="A84" s="733">
        <v>7</v>
      </c>
      <c r="B84" s="733" t="s">
        <v>210</v>
      </c>
      <c r="C84" s="733">
        <f>'7H18'!V12</f>
        <v>592752</v>
      </c>
      <c r="D84" s="733">
        <f>'8H19'!V12</f>
        <v>571036</v>
      </c>
      <c r="E84" s="733">
        <f>'9H20'!V12</f>
        <v>559294</v>
      </c>
      <c r="F84" s="733">
        <f>'10H21'!V12</f>
        <v>563654</v>
      </c>
      <c r="G84" s="75">
        <f>'11H22'!V12</f>
        <v>541388</v>
      </c>
      <c r="H84" s="75">
        <f>'12H23'!V12</f>
        <v>581802</v>
      </c>
      <c r="I84" s="75">
        <f>'13H24'!V12</f>
        <v>597336</v>
      </c>
      <c r="J84" s="75">
        <f>'14H25'!V12</f>
        <v>573787</v>
      </c>
      <c r="K84" s="75">
        <f>'15H26'!V12</f>
        <v>571244</v>
      </c>
      <c r="L84" s="75">
        <f>'16H27'!V12</f>
        <v>571984</v>
      </c>
      <c r="M84" s="75">
        <f>'17H28'!V12</f>
        <v>562847</v>
      </c>
      <c r="N84" s="75">
        <f>'18H29'!V12</f>
        <v>608358</v>
      </c>
      <c r="O84" s="75">
        <f>'19H30'!V12</f>
        <v>549726</v>
      </c>
      <c r="P84" s="75">
        <f>'20R1'!V12</f>
        <v>562164</v>
      </c>
      <c r="Q84" s="75">
        <f>'21R2'!U12</f>
        <v>550720</v>
      </c>
      <c r="R84" s="75">
        <f>'22R3'!U12</f>
        <v>653410</v>
      </c>
      <c r="S84" s="75">
        <f>'23R4'!U12</f>
        <v>695778</v>
      </c>
      <c r="T84" s="75">
        <f>'24R5'!U12</f>
        <v>726350</v>
      </c>
      <c r="U84" s="75">
        <f>'25R6'!U12</f>
        <v>721168</v>
      </c>
      <c r="V84" s="75">
        <f>'26R7'!U12</f>
        <v>721168</v>
      </c>
      <c r="W84" s="75">
        <f>'27R8'!U12</f>
        <v>721168</v>
      </c>
      <c r="X84" s="75">
        <f>'28R9'!U12</f>
        <v>721168</v>
      </c>
    </row>
    <row r="85" spans="1:24">
      <c r="A85" s="733">
        <v>8</v>
      </c>
      <c r="B85" s="733" t="s">
        <v>211</v>
      </c>
      <c r="C85" s="733">
        <f>'7H18'!V13</f>
        <v>342822</v>
      </c>
      <c r="D85" s="733">
        <f>'8H19'!V13</f>
        <v>341760</v>
      </c>
      <c r="E85" s="733">
        <f>'9H20'!V13</f>
        <v>332617</v>
      </c>
      <c r="F85" s="733">
        <f>'10H21'!V13</f>
        <v>324248</v>
      </c>
      <c r="G85" s="75">
        <f>'11H22'!V13</f>
        <v>322790</v>
      </c>
      <c r="H85" s="75">
        <f>'12H23'!V13</f>
        <v>325529</v>
      </c>
      <c r="I85" s="75">
        <f>'13H24'!V13</f>
        <v>331351</v>
      </c>
      <c r="J85" s="75">
        <f>'14H25'!V13</f>
        <v>333254</v>
      </c>
      <c r="K85" s="75">
        <f>'15H26'!V13</f>
        <v>373436</v>
      </c>
      <c r="L85" s="75">
        <f>'16H27'!V13</f>
        <v>364210</v>
      </c>
      <c r="M85" s="75">
        <f>'17H28'!V13</f>
        <v>340869</v>
      </c>
      <c r="N85" s="75">
        <f>'18H29'!V13</f>
        <v>330505</v>
      </c>
      <c r="O85" s="75">
        <f>'19H30'!V13</f>
        <v>354600</v>
      </c>
      <c r="P85" s="75">
        <f>'20R1'!V13</f>
        <v>356678</v>
      </c>
      <c r="Q85" s="75">
        <f>'21R2'!U13</f>
        <v>322289</v>
      </c>
      <c r="R85" s="75">
        <f>'22R3'!U13</f>
        <v>408860</v>
      </c>
      <c r="S85" s="75">
        <f>'23R4'!U13</f>
        <v>430838</v>
      </c>
      <c r="T85" s="75">
        <f>'24R5'!U13</f>
        <v>445072</v>
      </c>
      <c r="U85" s="75">
        <f>'25R6'!U13</f>
        <v>452642</v>
      </c>
      <c r="V85" s="75">
        <f>'26R7'!U13</f>
        <v>452642</v>
      </c>
      <c r="W85" s="75">
        <f>'27R8'!U13</f>
        <v>452642</v>
      </c>
      <c r="X85" s="75">
        <f>'28R9'!U13</f>
        <v>452642</v>
      </c>
    </row>
    <row r="86" spans="1:24">
      <c r="A86" s="733">
        <v>9</v>
      </c>
      <c r="B86" s="733" t="s">
        <v>212</v>
      </c>
      <c r="C86" s="733">
        <f>'7H18'!V14</f>
        <v>424382</v>
      </c>
      <c r="D86" s="733">
        <f>'8H19'!V14</f>
        <v>402164</v>
      </c>
      <c r="E86" s="733">
        <f>'9H20'!V14</f>
        <v>395835</v>
      </c>
      <c r="F86" s="733">
        <f>'10H21'!V14</f>
        <v>415110</v>
      </c>
      <c r="G86" s="75">
        <f>'11H22'!V14</f>
        <v>408837</v>
      </c>
      <c r="H86" s="75">
        <f>'12H23'!V14</f>
        <v>405097</v>
      </c>
      <c r="I86" s="132">
        <f>'13H24'!V14</f>
        <v>415714</v>
      </c>
      <c r="J86" s="132">
        <f>'14H25'!V14</f>
        <v>420591</v>
      </c>
      <c r="K86" s="132">
        <f>'15H26'!V14</f>
        <v>407846</v>
      </c>
      <c r="L86" s="132">
        <f>'16H27'!V14</f>
        <v>417531</v>
      </c>
      <c r="M86" s="75">
        <f>'17H28'!V14</f>
        <v>413129</v>
      </c>
      <c r="N86" s="132">
        <f>'18H29'!V14</f>
        <v>408939</v>
      </c>
      <c r="O86" s="132">
        <f>'19H30'!V14</f>
        <v>392300</v>
      </c>
      <c r="P86" s="132">
        <f>'20R1'!V14</f>
        <v>414364</v>
      </c>
      <c r="Q86" s="132">
        <f>'21R2'!U14</f>
        <v>396218</v>
      </c>
      <c r="R86" s="75">
        <f>'22R3'!U14</f>
        <v>489502</v>
      </c>
      <c r="S86" s="132">
        <f>'23R4'!U14</f>
        <v>517198</v>
      </c>
      <c r="T86" s="132">
        <f>'24R5'!U14</f>
        <v>559839</v>
      </c>
      <c r="U86" s="132">
        <f>'25R6'!U14</f>
        <v>567041</v>
      </c>
      <c r="V86" s="132">
        <f>'26R7'!U14</f>
        <v>567041</v>
      </c>
      <c r="W86" s="132">
        <f>'27R8'!U14</f>
        <v>567041</v>
      </c>
      <c r="X86" s="132">
        <f>'28R9'!U14</f>
        <v>567041</v>
      </c>
    </row>
    <row r="87" spans="1:24">
      <c r="A87" s="736"/>
      <c r="B87" s="736"/>
      <c r="C87" s="736"/>
      <c r="D87" s="736"/>
      <c r="E87" s="736"/>
      <c r="F87" s="736"/>
      <c r="G87" s="382" t="str">
        <f>'11H22'!V15</f>
        <v xml:space="preserve"> </v>
      </c>
      <c r="H87" s="382" t="str">
        <f>'12H23'!V15</f>
        <v xml:space="preserve"> </v>
      </c>
      <c r="I87" s="75" t="str">
        <f>'13H24'!V15</f>
        <v xml:space="preserve"> </v>
      </c>
      <c r="J87" s="75" t="str">
        <f>'14H25'!V15</f>
        <v xml:space="preserve"> </v>
      </c>
      <c r="K87" s="75" t="str">
        <f>'15H26'!V15</f>
        <v xml:space="preserve"> </v>
      </c>
      <c r="L87" s="75" t="str">
        <f>'16H27'!V15</f>
        <v xml:space="preserve"> </v>
      </c>
      <c r="M87" s="382" t="str">
        <f>'17H28'!V15</f>
        <v xml:space="preserve"> </v>
      </c>
      <c r="N87" s="75" t="str">
        <f>'18H29'!V15</f>
        <v xml:space="preserve"> </v>
      </c>
      <c r="O87" s="75" t="str">
        <f>'19H30'!V15</f>
        <v xml:space="preserve"> </v>
      </c>
      <c r="P87" s="75" t="str">
        <f>'20R1'!V15</f>
        <v xml:space="preserve"> </v>
      </c>
      <c r="Q87" s="75" t="str">
        <f>'21R2'!U15</f>
        <v xml:space="preserve"> </v>
      </c>
      <c r="R87" s="382" t="str">
        <f>'22R3'!U15</f>
        <v xml:space="preserve"> </v>
      </c>
      <c r="S87" s="75" t="str">
        <f>'23R4'!U15</f>
        <v xml:space="preserve"> </v>
      </c>
      <c r="T87" s="75" t="str">
        <f>'24R5'!U15</f>
        <v xml:space="preserve"> </v>
      </c>
      <c r="U87" s="75" t="str">
        <f>'25R6'!U15</f>
        <v xml:space="preserve"> </v>
      </c>
      <c r="V87" s="75" t="str">
        <f>'26R7'!U15</f>
        <v xml:space="preserve"> </v>
      </c>
      <c r="W87" s="75" t="str">
        <f>'27R8'!U15</f>
        <v xml:space="preserve"> </v>
      </c>
      <c r="X87" s="75" t="str">
        <f>'28R9'!U15</f>
        <v xml:space="preserve"> </v>
      </c>
    </row>
    <row r="88" spans="1:24">
      <c r="A88" s="733">
        <v>100</v>
      </c>
      <c r="B88" s="733" t="s">
        <v>172</v>
      </c>
      <c r="C88" s="733">
        <f>'7H18'!V16</f>
        <v>5304282.8467596034</v>
      </c>
      <c r="D88" s="733">
        <f>'8H19'!V16</f>
        <v>5206143.7424027715</v>
      </c>
      <c r="E88" s="733">
        <f>'9H20'!V16</f>
        <v>5170372.9852037793</v>
      </c>
      <c r="F88" s="733">
        <f>'10H21'!V16</f>
        <v>5104203.4216328347</v>
      </c>
      <c r="G88" s="75">
        <f>'11H22'!V16</f>
        <v>5208421.7181915399</v>
      </c>
      <c r="H88" s="75">
        <f>'12H23'!V16</f>
        <v>5174934.7470161011</v>
      </c>
      <c r="I88" s="382">
        <f>'13H24'!V16</f>
        <v>5107177.7470161011</v>
      </c>
      <c r="J88" s="382">
        <f>'14H25'!V16</f>
        <v>5383035.370937665</v>
      </c>
      <c r="K88" s="382">
        <f>'15H26'!V16</f>
        <v>5264375.3602263322</v>
      </c>
      <c r="L88" s="382">
        <f>'16H27'!V16</f>
        <v>5337370.3602263322</v>
      </c>
      <c r="M88" s="75">
        <f>'17H28'!V16</f>
        <v>5428988.9495526403</v>
      </c>
      <c r="N88" s="382">
        <f>'18H29'!V16</f>
        <v>5721882.2801268827</v>
      </c>
      <c r="O88" s="382">
        <f>'19H30'!V16</f>
        <v>5614211.1642414387</v>
      </c>
      <c r="P88" s="382">
        <f>'20R1'!V16</f>
        <v>5748625.4834985305</v>
      </c>
      <c r="Q88" s="382">
        <f>'21R2'!U16</f>
        <v>5578382</v>
      </c>
      <c r="R88" s="75">
        <f>'22R3'!U16</f>
        <v>6079199.1741266968</v>
      </c>
      <c r="S88" s="382">
        <f>'23R4'!U16</f>
        <v>6475241.3179019867</v>
      </c>
      <c r="T88" s="382">
        <f>'24R5'!U16</f>
        <v>6857274.042749593</v>
      </c>
      <c r="U88" s="382">
        <f>'25R6'!U16</f>
        <v>6918660</v>
      </c>
      <c r="V88" s="382">
        <f>'26R7'!U16</f>
        <v>6918660</v>
      </c>
      <c r="W88" s="75">
        <f>'27R8'!U16</f>
        <v>6918660</v>
      </c>
      <c r="X88" s="75">
        <f>'28R9'!U16</f>
        <v>6918660</v>
      </c>
    </row>
    <row r="89" spans="1:24">
      <c r="A89" s="734">
        <v>1</v>
      </c>
      <c r="B89" s="734" t="s">
        <v>328</v>
      </c>
      <c r="C89" s="734">
        <f>'7H18'!V17</f>
        <v>3559763</v>
      </c>
      <c r="D89" s="734">
        <f>'8H19'!V17</f>
        <v>3511661</v>
      </c>
      <c r="E89" s="734">
        <f>'9H20'!V17</f>
        <v>3610180</v>
      </c>
      <c r="F89" s="734">
        <f>'10H21'!V17</f>
        <v>3546666</v>
      </c>
      <c r="G89" s="130">
        <f>'11H22'!V17</f>
        <v>3425390</v>
      </c>
      <c r="H89" s="130">
        <f>'12H23'!V17</f>
        <v>3344986</v>
      </c>
      <c r="I89" s="75">
        <f>'13H24'!V17</f>
        <v>3339344</v>
      </c>
      <c r="J89" s="75">
        <f>'14H25'!V17</f>
        <v>3421870</v>
      </c>
      <c r="K89" s="75">
        <f>'15H26'!V17</f>
        <v>3363226</v>
      </c>
      <c r="L89" s="75">
        <f>'16H27'!V17</f>
        <v>3499330</v>
      </c>
      <c r="M89" s="130">
        <f>'17H28'!V17</f>
        <v>3488999</v>
      </c>
      <c r="N89" s="130">
        <f>'18H29'!V17</f>
        <v>3420479</v>
      </c>
      <c r="O89" s="75">
        <f>'19H30'!V17</f>
        <v>3444207</v>
      </c>
      <c r="P89" s="75">
        <f>'20R1'!V17</f>
        <v>3445685</v>
      </c>
      <c r="Q89" s="75">
        <f>'21R2'!U17</f>
        <v>3362127</v>
      </c>
      <c r="R89" s="130">
        <f>'22R3'!U17</f>
        <v>3706563</v>
      </c>
      <c r="S89" s="75">
        <f>'23R4'!U17</f>
        <v>3904936</v>
      </c>
      <c r="T89" s="75">
        <f>'24R5'!U17</f>
        <v>4143678</v>
      </c>
      <c r="U89" s="75">
        <f>'25R6'!U17</f>
        <v>4179364</v>
      </c>
      <c r="V89" s="75">
        <f>'26R7'!U17</f>
        <v>4179364</v>
      </c>
      <c r="W89" s="75">
        <f>'27R8'!U17</f>
        <v>4179364</v>
      </c>
      <c r="X89" s="75">
        <f>'28R9'!U17</f>
        <v>4179364</v>
      </c>
    </row>
    <row r="90" spans="1:24">
      <c r="A90" s="733">
        <v>202</v>
      </c>
      <c r="B90" s="733" t="s">
        <v>183</v>
      </c>
      <c r="C90" s="733">
        <f>'7H18'!V18</f>
        <v>1802897</v>
      </c>
      <c r="D90" s="733">
        <f>'8H19'!V18</f>
        <v>1751433</v>
      </c>
      <c r="E90" s="733">
        <f>'9H20'!V18</f>
        <v>1827609</v>
      </c>
      <c r="F90" s="733">
        <f>'10H21'!V18</f>
        <v>1823429</v>
      </c>
      <c r="G90" s="75">
        <f>'11H22'!V18</f>
        <v>1688564</v>
      </c>
      <c r="H90" s="75">
        <f>'12H23'!V18</f>
        <v>1592833</v>
      </c>
      <c r="I90" s="75">
        <f>'13H24'!V18</f>
        <v>1580552</v>
      </c>
      <c r="J90" s="75">
        <f>'14H25'!V18</f>
        <v>1587513</v>
      </c>
      <c r="K90" s="75">
        <f>'15H26'!V18</f>
        <v>1575330</v>
      </c>
      <c r="L90" s="75">
        <f>'16H27'!V18</f>
        <v>1623293</v>
      </c>
      <c r="M90" s="75">
        <f>'17H28'!V18</f>
        <v>1624803</v>
      </c>
      <c r="N90" s="75">
        <f>'18H29'!V18</f>
        <v>1571488</v>
      </c>
      <c r="O90" s="75">
        <f>'19H30'!V18</f>
        <v>1587628</v>
      </c>
      <c r="P90" s="75">
        <f>'20R1'!V18</f>
        <v>1597205</v>
      </c>
      <c r="Q90" s="75">
        <f>'21R2'!U18</f>
        <v>1544847</v>
      </c>
      <c r="R90" s="75">
        <f>'22R3'!U18</f>
        <v>1702168</v>
      </c>
      <c r="S90" s="75">
        <f>'23R4'!U18</f>
        <v>1784793</v>
      </c>
      <c r="T90" s="75">
        <f>'24R5'!U18</f>
        <v>1901910</v>
      </c>
      <c r="U90" s="75">
        <f>'25R6'!U18</f>
        <v>1922816</v>
      </c>
      <c r="V90" s="75">
        <f>'26R7'!U18</f>
        <v>1922816</v>
      </c>
      <c r="W90" s="75">
        <f>'27R8'!U18</f>
        <v>1922816</v>
      </c>
      <c r="X90" s="75">
        <f>'28R9'!U18</f>
        <v>1922816</v>
      </c>
    </row>
    <row r="91" spans="1:24">
      <c r="A91" s="733">
        <v>204</v>
      </c>
      <c r="B91" s="733" t="s">
        <v>184</v>
      </c>
      <c r="C91" s="733">
        <f>'7H18'!V19</f>
        <v>1460816</v>
      </c>
      <c r="D91" s="733">
        <f>'8H19'!V19</f>
        <v>1464210</v>
      </c>
      <c r="E91" s="733">
        <f>'9H20'!V19</f>
        <v>1491366</v>
      </c>
      <c r="F91" s="733">
        <f>'10H21'!V19</f>
        <v>1431107</v>
      </c>
      <c r="G91" s="75">
        <f>'11H22'!V19</f>
        <v>1456809</v>
      </c>
      <c r="H91" s="75">
        <f>'12H23'!V19</f>
        <v>1463806</v>
      </c>
      <c r="I91" s="75">
        <f>'13H24'!V19</f>
        <v>1464596</v>
      </c>
      <c r="J91" s="75">
        <f>'14H25'!V19</f>
        <v>1513979</v>
      </c>
      <c r="K91" s="75">
        <f>'15H26'!V19</f>
        <v>1479268</v>
      </c>
      <c r="L91" s="75">
        <f>'16H27'!V19</f>
        <v>1547237</v>
      </c>
      <c r="M91" s="75">
        <f>'17H28'!V19</f>
        <v>1533276</v>
      </c>
      <c r="N91" s="75">
        <f>'18H29'!V19</f>
        <v>1535157</v>
      </c>
      <c r="O91" s="75">
        <f>'19H30'!V19</f>
        <v>1536953</v>
      </c>
      <c r="P91" s="75">
        <f>'20R1'!V19</f>
        <v>1532288</v>
      </c>
      <c r="Q91" s="75">
        <f>'21R2'!U19</f>
        <v>1512451</v>
      </c>
      <c r="R91" s="75">
        <f>'22R3'!U19</f>
        <v>1635855</v>
      </c>
      <c r="S91" s="75">
        <f>'23R4'!U19</f>
        <v>1730076</v>
      </c>
      <c r="T91" s="75">
        <f>'24R5'!U19</f>
        <v>1833617</v>
      </c>
      <c r="U91" s="75">
        <f>'25R6'!U19</f>
        <v>1850626</v>
      </c>
      <c r="V91" s="75">
        <f>'26R7'!U19</f>
        <v>1850626</v>
      </c>
      <c r="W91" s="75">
        <f>'27R8'!U19</f>
        <v>1850626</v>
      </c>
      <c r="X91" s="75">
        <f>'28R9'!U19</f>
        <v>1850626</v>
      </c>
    </row>
    <row r="92" spans="1:24">
      <c r="A92" s="735">
        <v>206</v>
      </c>
      <c r="B92" s="735" t="s">
        <v>185</v>
      </c>
      <c r="C92" s="735">
        <f>'7H18'!V20</f>
        <v>296050</v>
      </c>
      <c r="D92" s="735">
        <f>'8H19'!V20</f>
        <v>296018</v>
      </c>
      <c r="E92" s="735">
        <f>'9H20'!V20</f>
        <v>291205</v>
      </c>
      <c r="F92" s="735">
        <f>'10H21'!V20</f>
        <v>292130</v>
      </c>
      <c r="G92" s="132">
        <f>'11H22'!V20</f>
        <v>280017</v>
      </c>
      <c r="H92" s="132">
        <f>'12H23'!V20</f>
        <v>288347</v>
      </c>
      <c r="I92" s="75">
        <f>'13H24'!V20</f>
        <v>294196</v>
      </c>
      <c r="J92" s="75">
        <f>'14H25'!V20</f>
        <v>320378</v>
      </c>
      <c r="K92" s="132">
        <f>'15H26'!V20</f>
        <v>308628</v>
      </c>
      <c r="L92" s="75">
        <f>'16H27'!V20</f>
        <v>328800</v>
      </c>
      <c r="M92" s="132">
        <f>'17H28'!V20</f>
        <v>330920</v>
      </c>
      <c r="N92" s="132">
        <f>'18H29'!V20</f>
        <v>313834</v>
      </c>
      <c r="O92" s="75">
        <f>'19H30'!V20</f>
        <v>319626</v>
      </c>
      <c r="P92" s="75">
        <f>'20R1'!V20</f>
        <v>316192</v>
      </c>
      <c r="Q92" s="75">
        <f>'21R2'!U20</f>
        <v>304829</v>
      </c>
      <c r="R92" s="132">
        <f>'22R3'!U20</f>
        <v>368540</v>
      </c>
      <c r="S92" s="75">
        <f>'23R4'!U20</f>
        <v>390067</v>
      </c>
      <c r="T92" s="75">
        <f>'24R5'!U20</f>
        <v>408151</v>
      </c>
      <c r="U92" s="75">
        <f>'25R6'!U20</f>
        <v>405922</v>
      </c>
      <c r="V92" s="75">
        <f>'26R7'!U20</f>
        <v>405922</v>
      </c>
      <c r="W92" s="75">
        <f>'27R8'!U20</f>
        <v>405922</v>
      </c>
      <c r="X92" s="75">
        <f>'28R9'!U20</f>
        <v>405922</v>
      </c>
    </row>
    <row r="93" spans="1:24">
      <c r="A93" s="733">
        <v>2</v>
      </c>
      <c r="B93" s="733" t="s">
        <v>324</v>
      </c>
      <c r="C93" s="733">
        <f>'7H18'!V21</f>
        <v>2099381</v>
      </c>
      <c r="D93" s="733">
        <f>'8H19'!V21</f>
        <v>2085943</v>
      </c>
      <c r="E93" s="733">
        <f>'9H20'!V21</f>
        <v>2059638</v>
      </c>
      <c r="F93" s="733">
        <f>'10H21'!V21</f>
        <v>2033501</v>
      </c>
      <c r="G93" s="75">
        <f>'11H22'!V21</f>
        <v>2016157</v>
      </c>
      <c r="H93" s="75">
        <f>'12H23'!V21</f>
        <v>2033380</v>
      </c>
      <c r="I93" s="130">
        <f>'13H24'!V21</f>
        <v>2071670</v>
      </c>
      <c r="J93" s="130">
        <f>'14H25'!V21</f>
        <v>2136479</v>
      </c>
      <c r="K93" s="75">
        <f>'15H26'!V21</f>
        <v>2162657</v>
      </c>
      <c r="L93" s="130">
        <f>'16H27'!V21</f>
        <v>2161608</v>
      </c>
      <c r="M93" s="75">
        <f>'17H28'!V21</f>
        <v>2154922</v>
      </c>
      <c r="N93" s="75">
        <f>'18H29'!V21</f>
        <v>2159598</v>
      </c>
      <c r="O93" s="130">
        <f>'19H30'!V21</f>
        <v>2150016</v>
      </c>
      <c r="P93" s="130">
        <f>'20R1'!V21</f>
        <v>2195840</v>
      </c>
      <c r="Q93" s="130">
        <f>'21R2'!U21</f>
        <v>2073775</v>
      </c>
      <c r="R93" s="75">
        <f>'22R3'!U21</f>
        <v>2438375</v>
      </c>
      <c r="S93" s="130">
        <f>'23R4'!U21</f>
        <v>2611884</v>
      </c>
      <c r="T93" s="130">
        <f>'24R5'!U21</f>
        <v>2737243</v>
      </c>
      <c r="U93" s="130">
        <f>'25R6'!U21</f>
        <v>2764914</v>
      </c>
      <c r="V93" s="75">
        <f>'26R7'!U21</f>
        <v>2764914</v>
      </c>
      <c r="W93" s="75">
        <f>'27R8'!U21</f>
        <v>2764914</v>
      </c>
      <c r="X93" s="75">
        <f>'28R9'!U21</f>
        <v>2764914</v>
      </c>
    </row>
    <row r="94" spans="1:24">
      <c r="A94" s="733">
        <v>207</v>
      </c>
      <c r="B94" s="733" t="s">
        <v>187</v>
      </c>
      <c r="C94" s="733">
        <f>'7H18'!V22</f>
        <v>616140</v>
      </c>
      <c r="D94" s="733">
        <f>'8H19'!V22</f>
        <v>605867</v>
      </c>
      <c r="E94" s="733">
        <f>'9H20'!V22</f>
        <v>588740</v>
      </c>
      <c r="F94" s="733">
        <f>'10H21'!V22</f>
        <v>580521</v>
      </c>
      <c r="G94" s="75">
        <f>'11H22'!V22</f>
        <v>567790</v>
      </c>
      <c r="H94" s="75">
        <f>'12H23'!V22</f>
        <v>590664</v>
      </c>
      <c r="I94" s="75">
        <f>'13H24'!V22</f>
        <v>584799</v>
      </c>
      <c r="J94" s="75">
        <f>'14H25'!V22</f>
        <v>619316</v>
      </c>
      <c r="K94" s="75">
        <f>'15H26'!V22</f>
        <v>607479</v>
      </c>
      <c r="L94" s="75">
        <f>'16H27'!V22</f>
        <v>613109</v>
      </c>
      <c r="M94" s="75">
        <f>'17H28'!V22</f>
        <v>628775</v>
      </c>
      <c r="N94" s="75">
        <f>'18H29'!V22</f>
        <v>622796</v>
      </c>
      <c r="O94" s="75">
        <f>'19H30'!V22</f>
        <v>620453</v>
      </c>
      <c r="P94" s="75">
        <f>'20R1'!V22</f>
        <v>641326</v>
      </c>
      <c r="Q94" s="75">
        <f>'21R2'!U22</f>
        <v>615254</v>
      </c>
      <c r="R94" s="75">
        <f>'22R3'!U22</f>
        <v>708018</v>
      </c>
      <c r="S94" s="75">
        <f>'23R4'!U22</f>
        <v>766673</v>
      </c>
      <c r="T94" s="75">
        <f>'24R5'!U22</f>
        <v>807182</v>
      </c>
      <c r="U94" s="75">
        <f>'25R6'!U22</f>
        <v>818356</v>
      </c>
      <c r="V94" s="75">
        <f>'26R7'!U22</f>
        <v>818356</v>
      </c>
      <c r="W94" s="75">
        <f>'27R8'!U22</f>
        <v>818356</v>
      </c>
      <c r="X94" s="75">
        <f>'28R9'!U22</f>
        <v>818356</v>
      </c>
    </row>
    <row r="95" spans="1:24">
      <c r="A95" s="733">
        <v>214</v>
      </c>
      <c r="B95" s="733" t="s">
        <v>188</v>
      </c>
      <c r="C95" s="733">
        <f>'7H18'!V23</f>
        <v>652137</v>
      </c>
      <c r="D95" s="733">
        <f>'8H19'!V23</f>
        <v>642590</v>
      </c>
      <c r="E95" s="733">
        <f>'9H20'!V23</f>
        <v>638869</v>
      </c>
      <c r="F95" s="733">
        <f>'10H21'!V23</f>
        <v>638311</v>
      </c>
      <c r="G95" s="75">
        <f>'11H22'!V23</f>
        <v>646799</v>
      </c>
      <c r="H95" s="75">
        <f>'12H23'!V23</f>
        <v>634973</v>
      </c>
      <c r="I95" s="75">
        <f>'13H24'!V23</f>
        <v>648378</v>
      </c>
      <c r="J95" s="75">
        <f>'14H25'!V23</f>
        <v>676122</v>
      </c>
      <c r="K95" s="75">
        <f>'15H26'!V23</f>
        <v>676886</v>
      </c>
      <c r="L95" s="75">
        <f>'16H27'!V23</f>
        <v>676226</v>
      </c>
      <c r="M95" s="75">
        <f>'17H28'!V23</f>
        <v>657728</v>
      </c>
      <c r="N95" s="75">
        <f>'18H29'!V23</f>
        <v>670722</v>
      </c>
      <c r="O95" s="75">
        <f>'19H30'!V23</f>
        <v>663458</v>
      </c>
      <c r="P95" s="75">
        <f>'20R1'!V23</f>
        <v>675913</v>
      </c>
      <c r="Q95" s="75">
        <f>'21R2'!U23</f>
        <v>631820</v>
      </c>
      <c r="R95" s="75">
        <f>'22R3'!U23</f>
        <v>743312</v>
      </c>
      <c r="S95" s="75">
        <f>'23R4'!U23</f>
        <v>797177</v>
      </c>
      <c r="T95" s="75">
        <f>'24R5'!U23</f>
        <v>825381</v>
      </c>
      <c r="U95" s="75">
        <f>'25R6'!U23</f>
        <v>836914</v>
      </c>
      <c r="V95" s="75">
        <f>'26R7'!U23</f>
        <v>836914</v>
      </c>
      <c r="W95" s="75">
        <f>'27R8'!U23</f>
        <v>836914</v>
      </c>
      <c r="X95" s="75">
        <f>'28R9'!U23</f>
        <v>836914</v>
      </c>
    </row>
    <row r="96" spans="1:24">
      <c r="A96" s="733">
        <v>217</v>
      </c>
      <c r="B96" s="733" t="s">
        <v>189</v>
      </c>
      <c r="C96" s="733">
        <f>'7H18'!V24</f>
        <v>436461</v>
      </c>
      <c r="D96" s="733">
        <f>'8H19'!V24</f>
        <v>449174</v>
      </c>
      <c r="E96" s="733">
        <f>'9H20'!V24</f>
        <v>441647</v>
      </c>
      <c r="F96" s="733">
        <f>'10H21'!V24</f>
        <v>429701</v>
      </c>
      <c r="G96" s="75">
        <f>'11H22'!V24</f>
        <v>424989</v>
      </c>
      <c r="H96" s="75">
        <f>'12H23'!V24</f>
        <v>419526</v>
      </c>
      <c r="I96" s="75">
        <f>'13H24'!V24</f>
        <v>432287</v>
      </c>
      <c r="J96" s="75">
        <f>'14H25'!V24</f>
        <v>444476</v>
      </c>
      <c r="K96" s="75">
        <f>'15H26'!V24</f>
        <v>448577</v>
      </c>
      <c r="L96" s="75">
        <f>'16H27'!V24</f>
        <v>448953</v>
      </c>
      <c r="M96" s="75">
        <f>'17H28'!V24</f>
        <v>439456</v>
      </c>
      <c r="N96" s="75">
        <f>'18H29'!V24</f>
        <v>458593</v>
      </c>
      <c r="O96" s="75">
        <f>'19H30'!V24</f>
        <v>444238</v>
      </c>
      <c r="P96" s="75">
        <f>'20R1'!V24</f>
        <v>452534</v>
      </c>
      <c r="Q96" s="75">
        <f>'21R2'!U24</f>
        <v>430509</v>
      </c>
      <c r="R96" s="75">
        <f>'22R3'!U24</f>
        <v>494334</v>
      </c>
      <c r="S96" s="75">
        <f>'23R4'!U24</f>
        <v>527767</v>
      </c>
      <c r="T96" s="75">
        <f>'24R5'!U24</f>
        <v>554722</v>
      </c>
      <c r="U96" s="75">
        <f>'25R6'!U24</f>
        <v>560663</v>
      </c>
      <c r="V96" s="75">
        <f>'26R7'!U24</f>
        <v>560663</v>
      </c>
      <c r="W96" s="75">
        <f>'27R8'!U24</f>
        <v>560663</v>
      </c>
      <c r="X96" s="75">
        <f>'28R9'!U24</f>
        <v>560663</v>
      </c>
    </row>
    <row r="97" spans="1:24">
      <c r="A97" s="733">
        <v>219</v>
      </c>
      <c r="B97" s="733" t="s">
        <v>190</v>
      </c>
      <c r="C97" s="733">
        <f>'7H18'!V25</f>
        <v>313893</v>
      </c>
      <c r="D97" s="733">
        <f>'8H19'!V25</f>
        <v>308206</v>
      </c>
      <c r="E97" s="733">
        <f>'9H20'!V25</f>
        <v>310831</v>
      </c>
      <c r="F97" s="733">
        <f>'10H21'!V25</f>
        <v>306925</v>
      </c>
      <c r="G97" s="75">
        <f>'11H22'!V25</f>
        <v>299442</v>
      </c>
      <c r="H97" s="75">
        <f>'12H23'!V25</f>
        <v>307979</v>
      </c>
      <c r="I97" s="75">
        <f>'13H24'!V25</f>
        <v>325034</v>
      </c>
      <c r="J97" s="75">
        <f>'14H25'!V25</f>
        <v>315931</v>
      </c>
      <c r="K97" s="75">
        <f>'15H26'!V25</f>
        <v>346404</v>
      </c>
      <c r="L97" s="75">
        <f>'16H27'!V25</f>
        <v>340214</v>
      </c>
      <c r="M97" s="75">
        <f>'17H28'!V25</f>
        <v>348549</v>
      </c>
      <c r="N97" s="75">
        <f>'18H29'!V25</f>
        <v>325667</v>
      </c>
      <c r="O97" s="75">
        <f>'19H30'!V25</f>
        <v>342022</v>
      </c>
      <c r="P97" s="75">
        <f>'20R1'!V25</f>
        <v>341427</v>
      </c>
      <c r="Q97" s="75">
        <f>'21R2'!U25</f>
        <v>317401</v>
      </c>
      <c r="R97" s="75">
        <f>'22R3'!U25</f>
        <v>395089</v>
      </c>
      <c r="S97" s="75">
        <f>'23R4'!U25</f>
        <v>416743</v>
      </c>
      <c r="T97" s="75">
        <f>'24R5'!U25</f>
        <v>441579</v>
      </c>
      <c r="U97" s="75">
        <f>'25R6'!U25</f>
        <v>441821</v>
      </c>
      <c r="V97" s="75">
        <f>'26R7'!U25</f>
        <v>441821</v>
      </c>
      <c r="W97" s="75">
        <f>'27R8'!U25</f>
        <v>441821</v>
      </c>
      <c r="X97" s="75">
        <f>'28R9'!U25</f>
        <v>441821</v>
      </c>
    </row>
    <row r="98" spans="1:24">
      <c r="A98" s="733">
        <v>301</v>
      </c>
      <c r="B98" s="733" t="s">
        <v>191</v>
      </c>
      <c r="C98" s="733">
        <f>'7H18'!V26</f>
        <v>80750</v>
      </c>
      <c r="D98" s="733">
        <f>'8H19'!V26</f>
        <v>80106</v>
      </c>
      <c r="E98" s="733">
        <f>'9H20'!V26</f>
        <v>79551</v>
      </c>
      <c r="F98" s="733">
        <f>'10H21'!V26</f>
        <v>78043</v>
      </c>
      <c r="G98" s="75">
        <f>'11H22'!V26</f>
        <v>77137</v>
      </c>
      <c r="H98" s="75">
        <f>'12H23'!V26</f>
        <v>80238</v>
      </c>
      <c r="I98" s="132">
        <f>'13H24'!V26</f>
        <v>81172</v>
      </c>
      <c r="J98" s="132">
        <f>'14H25'!V26</f>
        <v>80634</v>
      </c>
      <c r="K98" s="75">
        <f>'15H26'!V26</f>
        <v>83311</v>
      </c>
      <c r="L98" s="132">
        <f>'16H27'!V26</f>
        <v>83106</v>
      </c>
      <c r="M98" s="75">
        <f>'17H28'!V26</f>
        <v>80414</v>
      </c>
      <c r="N98" s="75">
        <f>'18H29'!V26</f>
        <v>81820</v>
      </c>
      <c r="O98" s="132">
        <f>'19H30'!V26</f>
        <v>79845</v>
      </c>
      <c r="P98" s="132">
        <f>'20R1'!V26</f>
        <v>84640</v>
      </c>
      <c r="Q98" s="132">
        <f>'21R2'!U26</f>
        <v>78791</v>
      </c>
      <c r="R98" s="75">
        <f>'22R3'!U26</f>
        <v>97622</v>
      </c>
      <c r="S98" s="132">
        <f>'23R4'!U26</f>
        <v>103524</v>
      </c>
      <c r="T98" s="132">
        <f>'24R5'!U26</f>
        <v>108379</v>
      </c>
      <c r="U98" s="132">
        <f>'25R6'!U26</f>
        <v>107160</v>
      </c>
      <c r="V98" s="75">
        <f>'26R7'!U26</f>
        <v>107160</v>
      </c>
      <c r="W98" s="75">
        <f>'27R8'!U26</f>
        <v>107160</v>
      </c>
      <c r="X98" s="75">
        <f>'28R9'!U26</f>
        <v>107160</v>
      </c>
    </row>
    <row r="99" spans="1:24">
      <c r="A99" s="734">
        <v>3</v>
      </c>
      <c r="B99" s="734" t="s">
        <v>192</v>
      </c>
      <c r="C99" s="734">
        <f>'7H18'!V27</f>
        <v>2259491</v>
      </c>
      <c r="D99" s="734">
        <f>'8H19'!V27</f>
        <v>2269706</v>
      </c>
      <c r="E99" s="734">
        <f>'9H20'!V27</f>
        <v>2332078</v>
      </c>
      <c r="F99" s="734">
        <f>'10H21'!V27</f>
        <v>2356874</v>
      </c>
      <c r="G99" s="130">
        <f>'11H22'!V27</f>
        <v>2246558</v>
      </c>
      <c r="H99" s="130">
        <f>'12H23'!V27</f>
        <v>2375481</v>
      </c>
      <c r="I99" s="75">
        <f>'13H24'!V27</f>
        <v>2410318</v>
      </c>
      <c r="J99" s="75">
        <f>'14H25'!V27</f>
        <v>2372335</v>
      </c>
      <c r="K99" s="130">
        <f>'15H26'!V27</f>
        <v>2532954</v>
      </c>
      <c r="L99" s="75">
        <f>'16H27'!V27</f>
        <v>2530049</v>
      </c>
      <c r="M99" s="130">
        <f>'17H28'!V27</f>
        <v>2385894</v>
      </c>
      <c r="N99" s="130">
        <f>'18H29'!V27</f>
        <v>2470567</v>
      </c>
      <c r="O99" s="75">
        <f>'19H30'!V27</f>
        <v>2432587</v>
      </c>
      <c r="P99" s="75">
        <f>'20R1'!V27</f>
        <v>2501698</v>
      </c>
      <c r="Q99" s="75">
        <f>'21R2'!U27</f>
        <v>2408418</v>
      </c>
      <c r="R99" s="130">
        <f>'22R3'!U27</f>
        <v>2806665</v>
      </c>
      <c r="S99" s="130">
        <f>'23R4'!U27</f>
        <v>2994256</v>
      </c>
      <c r="T99" s="130">
        <f>'24R5'!U27</f>
        <v>3142881</v>
      </c>
      <c r="U99" s="75">
        <f>'25R6'!U27</f>
        <v>3200858</v>
      </c>
      <c r="V99" s="75">
        <f>'26R7'!U27</f>
        <v>3200858</v>
      </c>
      <c r="W99" s="75">
        <f>'27R8'!U27</f>
        <v>3200858</v>
      </c>
      <c r="X99" s="75">
        <f>'28R9'!U27</f>
        <v>3200858</v>
      </c>
    </row>
    <row r="100" spans="1:24">
      <c r="A100" s="733">
        <v>203</v>
      </c>
      <c r="B100" s="733" t="s">
        <v>193</v>
      </c>
      <c r="C100" s="733">
        <f>'7H18'!V28</f>
        <v>892454</v>
      </c>
      <c r="D100" s="733">
        <f>'8H19'!V28</f>
        <v>892231</v>
      </c>
      <c r="E100" s="733">
        <f>'9H20'!V28</f>
        <v>916562</v>
      </c>
      <c r="F100" s="733">
        <f>'10H21'!V28</f>
        <v>889863</v>
      </c>
      <c r="G100" s="75">
        <f>'11H22'!V28</f>
        <v>886321</v>
      </c>
      <c r="H100" s="75">
        <f>'12H23'!V28</f>
        <v>896165</v>
      </c>
      <c r="I100" s="75">
        <f>'13H24'!V28</f>
        <v>908561</v>
      </c>
      <c r="J100" s="75">
        <f>'14H25'!V28</f>
        <v>956794</v>
      </c>
      <c r="K100" s="75">
        <f>'15H26'!V28</f>
        <v>959650</v>
      </c>
      <c r="L100" s="75">
        <f>'16H27'!V28</f>
        <v>965530</v>
      </c>
      <c r="M100" s="75">
        <f>'17H28'!V28</f>
        <v>968811</v>
      </c>
      <c r="N100" s="75">
        <f>'18H29'!V28</f>
        <v>998372</v>
      </c>
      <c r="O100" s="75">
        <f>'19H30'!V28</f>
        <v>1003799</v>
      </c>
      <c r="P100" s="75">
        <f>'20R1'!V28</f>
        <v>1006497</v>
      </c>
      <c r="Q100" s="75">
        <f>'21R2'!U28</f>
        <v>981046</v>
      </c>
      <c r="R100" s="75">
        <f>'22R3'!U28</f>
        <v>1133101</v>
      </c>
      <c r="S100" s="75">
        <f>'23R4'!U28</f>
        <v>1197806</v>
      </c>
      <c r="T100" s="75">
        <f>'24R5'!U28</f>
        <v>1268455</v>
      </c>
      <c r="U100" s="75">
        <f>'25R6'!U28</f>
        <v>1291677</v>
      </c>
      <c r="V100" s="75">
        <f>'26R7'!U28</f>
        <v>1291677</v>
      </c>
      <c r="W100" s="75">
        <f>'27R8'!U28</f>
        <v>1291677</v>
      </c>
      <c r="X100" s="75">
        <f>'28R9'!U28</f>
        <v>1291677</v>
      </c>
    </row>
    <row r="101" spans="1:24">
      <c r="A101" s="733">
        <v>210</v>
      </c>
      <c r="B101" s="733" t="s">
        <v>194</v>
      </c>
      <c r="C101" s="733">
        <f>'7H18'!V29</f>
        <v>809464</v>
      </c>
      <c r="D101" s="733">
        <f>'8H19'!V29</f>
        <v>824986</v>
      </c>
      <c r="E101" s="733">
        <f>'9H20'!V29</f>
        <v>836097</v>
      </c>
      <c r="F101" s="733">
        <f>'10H21'!V29</f>
        <v>859017</v>
      </c>
      <c r="G101" s="75">
        <f>'11H22'!V29</f>
        <v>836414</v>
      </c>
      <c r="H101" s="75">
        <f>'12H23'!V29</f>
        <v>938543</v>
      </c>
      <c r="I101" s="75">
        <f>'13H24'!V29</f>
        <v>947426</v>
      </c>
      <c r="J101" s="75">
        <f>'14H25'!V29</f>
        <v>860112</v>
      </c>
      <c r="K101" s="75">
        <f>'15H26'!V29</f>
        <v>905108</v>
      </c>
      <c r="L101" s="75">
        <f>'16H27'!V29</f>
        <v>893206</v>
      </c>
      <c r="M101" s="75">
        <f>'17H28'!V29</f>
        <v>873858</v>
      </c>
      <c r="N101" s="75">
        <f>'18H29'!V29</f>
        <v>898007</v>
      </c>
      <c r="O101" s="75">
        <f>'19H30'!V29</f>
        <v>849632</v>
      </c>
      <c r="P101" s="75">
        <f>'20R1'!V29</f>
        <v>855327</v>
      </c>
      <c r="Q101" s="75">
        <f>'21R2'!U29</f>
        <v>831993</v>
      </c>
      <c r="R101" s="75">
        <f>'22R3'!U29</f>
        <v>957230</v>
      </c>
      <c r="S101" s="75">
        <f>'23R4'!U29</f>
        <v>1019671</v>
      </c>
      <c r="T101" s="75">
        <f>'24R5'!U29</f>
        <v>1069491</v>
      </c>
      <c r="U101" s="75">
        <f>'25R6'!U29</f>
        <v>1087360</v>
      </c>
      <c r="V101" s="75">
        <f>'26R7'!U29</f>
        <v>1087360</v>
      </c>
      <c r="W101" s="75">
        <f>'27R8'!U29</f>
        <v>1087360</v>
      </c>
      <c r="X101" s="75">
        <f>'28R9'!U29</f>
        <v>1087360</v>
      </c>
    </row>
    <row r="102" spans="1:24">
      <c r="A102" s="733">
        <v>216</v>
      </c>
      <c r="B102" s="733" t="s">
        <v>195</v>
      </c>
      <c r="C102" s="733">
        <f>'7H18'!V30</f>
        <v>365923</v>
      </c>
      <c r="D102" s="733">
        <f>'8H19'!V30</f>
        <v>354091</v>
      </c>
      <c r="E102" s="733">
        <f>'9H20'!V30</f>
        <v>383793</v>
      </c>
      <c r="F102" s="733">
        <f>'10H21'!V30</f>
        <v>415749</v>
      </c>
      <c r="G102" s="75">
        <f>'11H22'!V30</f>
        <v>338713</v>
      </c>
      <c r="H102" s="75">
        <f>'12H23'!V30</f>
        <v>350632</v>
      </c>
      <c r="I102" s="75">
        <f>'13H24'!V30</f>
        <v>362720</v>
      </c>
      <c r="J102" s="75">
        <f>'14H25'!V30</f>
        <v>350754</v>
      </c>
      <c r="K102" s="75">
        <f>'15H26'!V30</f>
        <v>470670</v>
      </c>
      <c r="L102" s="75">
        <f>'16H27'!V30</f>
        <v>471376</v>
      </c>
      <c r="M102" s="75">
        <f>'17H28'!V30</f>
        <v>347867</v>
      </c>
      <c r="N102" s="75">
        <f>'18H29'!V30</f>
        <v>353231</v>
      </c>
      <c r="O102" s="75">
        <f>'19H30'!V30</f>
        <v>360237</v>
      </c>
      <c r="P102" s="75">
        <f>'20R1'!V30</f>
        <v>425401</v>
      </c>
      <c r="Q102" s="75">
        <f>'21R2'!U30</f>
        <v>380867</v>
      </c>
      <c r="R102" s="75">
        <f>'22R3'!U30</f>
        <v>453421</v>
      </c>
      <c r="S102" s="75">
        <f>'23R4'!U30</f>
        <v>499166</v>
      </c>
      <c r="T102" s="75">
        <f>'24R5'!U30</f>
        <v>510559</v>
      </c>
      <c r="U102" s="75">
        <f>'25R6'!U30</f>
        <v>518621</v>
      </c>
      <c r="V102" s="75">
        <f>'26R7'!U30</f>
        <v>518621</v>
      </c>
      <c r="W102" s="75">
        <f>'27R8'!U30</f>
        <v>518621</v>
      </c>
      <c r="X102" s="75">
        <f>'28R9'!U30</f>
        <v>518621</v>
      </c>
    </row>
    <row r="103" spans="1:24">
      <c r="A103" s="733">
        <v>381</v>
      </c>
      <c r="B103" s="733" t="s">
        <v>196</v>
      </c>
      <c r="C103" s="733">
        <f>'7H18'!V31</f>
        <v>84458</v>
      </c>
      <c r="D103" s="733">
        <f>'8H19'!V31</f>
        <v>87331</v>
      </c>
      <c r="E103" s="733">
        <f>'9H20'!V31</f>
        <v>81488</v>
      </c>
      <c r="F103" s="733">
        <f>'10H21'!V31</f>
        <v>80104</v>
      </c>
      <c r="G103" s="75">
        <f>'11H22'!V31</f>
        <v>79015</v>
      </c>
      <c r="H103" s="75">
        <f>'12H23'!V31</f>
        <v>81672</v>
      </c>
      <c r="I103" s="75">
        <f>'13H24'!V31</f>
        <v>82638</v>
      </c>
      <c r="J103" s="75">
        <f>'14H25'!V31</f>
        <v>83055</v>
      </c>
      <c r="K103" s="75">
        <f>'15H26'!V31</f>
        <v>83080</v>
      </c>
      <c r="L103" s="75">
        <f>'16H27'!V31</f>
        <v>83995</v>
      </c>
      <c r="M103" s="75">
        <f>'17H28'!V31</f>
        <v>80160</v>
      </c>
      <c r="N103" s="75">
        <f>'18H29'!V31</f>
        <v>85969</v>
      </c>
      <c r="O103" s="75">
        <f>'19H30'!V31</f>
        <v>93036</v>
      </c>
      <c r="P103" s="75">
        <f>'20R1'!V31</f>
        <v>94043</v>
      </c>
      <c r="Q103" s="75">
        <f>'21R2'!U31</f>
        <v>88707</v>
      </c>
      <c r="R103" s="75">
        <f>'22R3'!U31</f>
        <v>111756</v>
      </c>
      <c r="S103" s="75">
        <f>'23R4'!U31</f>
        <v>119162</v>
      </c>
      <c r="T103" s="75">
        <f>'24R5'!U31</f>
        <v>125755</v>
      </c>
      <c r="U103" s="75">
        <f>'25R6'!U31</f>
        <v>130004</v>
      </c>
      <c r="V103" s="75">
        <f>'26R7'!U31</f>
        <v>130004</v>
      </c>
      <c r="W103" s="75">
        <f>'27R8'!U31</f>
        <v>130004</v>
      </c>
      <c r="X103" s="75">
        <f>'28R9'!U31</f>
        <v>130004</v>
      </c>
    </row>
    <row r="104" spans="1:24">
      <c r="A104" s="735">
        <v>382</v>
      </c>
      <c r="B104" s="735" t="s">
        <v>197</v>
      </c>
      <c r="C104" s="735">
        <f>'7H18'!V32</f>
        <v>107192</v>
      </c>
      <c r="D104" s="735">
        <f>'8H19'!V32</f>
        <v>111067</v>
      </c>
      <c r="E104" s="735">
        <f>'9H20'!V32</f>
        <v>114138</v>
      </c>
      <c r="F104" s="735">
        <f>'10H21'!V32</f>
        <v>112141</v>
      </c>
      <c r="G104" s="132">
        <f>'11H22'!V32</f>
        <v>106095</v>
      </c>
      <c r="H104" s="132">
        <f>'12H23'!V32</f>
        <v>108469</v>
      </c>
      <c r="I104" s="75">
        <f>'13H24'!V32</f>
        <v>108973</v>
      </c>
      <c r="J104" s="75">
        <f>'14H25'!V32</f>
        <v>121620</v>
      </c>
      <c r="K104" s="132">
        <f>'15H26'!V32</f>
        <v>114446</v>
      </c>
      <c r="L104" s="75">
        <f>'16H27'!V32</f>
        <v>115942</v>
      </c>
      <c r="M104" s="132">
        <f>'17H28'!V32</f>
        <v>115198</v>
      </c>
      <c r="N104" s="132">
        <f>'18H29'!V32</f>
        <v>134988</v>
      </c>
      <c r="O104" s="75">
        <f>'19H30'!V32</f>
        <v>125883</v>
      </c>
      <c r="P104" s="75">
        <f>'20R1'!V32</f>
        <v>120430</v>
      </c>
      <c r="Q104" s="75">
        <f>'21R2'!U32</f>
        <v>125805</v>
      </c>
      <c r="R104" s="132">
        <f>'22R3'!U32</f>
        <v>151157</v>
      </c>
      <c r="S104" s="132">
        <f>'23R4'!U32</f>
        <v>158451</v>
      </c>
      <c r="T104" s="132">
        <f>'24R5'!U32</f>
        <v>168621</v>
      </c>
      <c r="U104" s="75">
        <f>'25R6'!U32</f>
        <v>173196</v>
      </c>
      <c r="V104" s="75">
        <f>'26R7'!U32</f>
        <v>173196</v>
      </c>
      <c r="W104" s="75">
        <f>'27R8'!U32</f>
        <v>173196</v>
      </c>
      <c r="X104" s="75">
        <f>'28R9'!U32</f>
        <v>173196</v>
      </c>
    </row>
    <row r="105" spans="1:24">
      <c r="A105" s="733">
        <v>4</v>
      </c>
      <c r="B105" s="733" t="s">
        <v>325</v>
      </c>
      <c r="C105" s="733">
        <f>'7H18'!V33</f>
        <v>813875</v>
      </c>
      <c r="D105" s="733">
        <f>'8H19'!V33</f>
        <v>850660</v>
      </c>
      <c r="E105" s="733">
        <f>'9H20'!V33</f>
        <v>789623</v>
      </c>
      <c r="F105" s="733">
        <f>'10H21'!V33</f>
        <v>764907</v>
      </c>
      <c r="G105" s="75">
        <f>'11H22'!V33</f>
        <v>755686</v>
      </c>
      <c r="H105" s="75">
        <f>'12H23'!V33</f>
        <v>869428</v>
      </c>
      <c r="I105" s="130">
        <f>'13H24'!V33</f>
        <v>890360</v>
      </c>
      <c r="J105" s="130">
        <f>'14H25'!V33</f>
        <v>890326</v>
      </c>
      <c r="K105" s="75">
        <f>'15H26'!V33</f>
        <v>804889</v>
      </c>
      <c r="L105" s="130">
        <f>'16H27'!V33</f>
        <v>822791</v>
      </c>
      <c r="M105" s="75">
        <f>'17H28'!V33</f>
        <v>843693</v>
      </c>
      <c r="N105" s="75">
        <f>'18H29'!V33</f>
        <v>831165</v>
      </c>
      <c r="O105" s="130">
        <f>'19H30'!V33</f>
        <v>835628</v>
      </c>
      <c r="P105" s="130">
        <f>'20R1'!V33</f>
        <v>886854</v>
      </c>
      <c r="Q105" s="130">
        <f>'21R2'!U33</f>
        <v>830380</v>
      </c>
      <c r="R105" s="75">
        <f>'22R3'!U33</f>
        <v>1017821</v>
      </c>
      <c r="S105" s="75">
        <f>'23R4'!U33</f>
        <v>1083820</v>
      </c>
      <c r="T105" s="75">
        <f>'24R5'!U33</f>
        <v>1136262</v>
      </c>
      <c r="U105" s="130">
        <f>'25R6'!U33</f>
        <v>1150135</v>
      </c>
      <c r="V105" s="75">
        <f>'26R7'!U33</f>
        <v>1150135</v>
      </c>
      <c r="W105" s="75">
        <f>'27R8'!U33</f>
        <v>1150135</v>
      </c>
      <c r="X105" s="75">
        <f>'28R9'!U33</f>
        <v>1150135</v>
      </c>
    </row>
    <row r="106" spans="1:24">
      <c r="A106" s="733">
        <v>213</v>
      </c>
      <c r="B106" s="733" t="s">
        <v>199</v>
      </c>
      <c r="C106" s="733">
        <f>'7H18'!V34</f>
        <v>123043</v>
      </c>
      <c r="D106" s="733">
        <f>'8H19'!V34</f>
        <v>141656</v>
      </c>
      <c r="E106" s="733">
        <f>'9H20'!V34</f>
        <v>117546</v>
      </c>
      <c r="F106" s="733">
        <f>'10H21'!V34</f>
        <v>110466</v>
      </c>
      <c r="G106" s="75">
        <f>'11H22'!V34</f>
        <v>107586</v>
      </c>
      <c r="H106" s="75">
        <f>'12H23'!V34</f>
        <v>141922</v>
      </c>
      <c r="I106" s="75">
        <f>'13H24'!V34</f>
        <v>146836</v>
      </c>
      <c r="J106" s="75">
        <f>'14H25'!V34</f>
        <v>120891</v>
      </c>
      <c r="K106" s="75">
        <f>'15H26'!V34</f>
        <v>111147</v>
      </c>
      <c r="L106" s="75">
        <f>'16H27'!V34</f>
        <v>110898</v>
      </c>
      <c r="M106" s="75">
        <f>'17H28'!V34</f>
        <v>111585</v>
      </c>
      <c r="N106" s="75">
        <f>'18H29'!V34</f>
        <v>108214</v>
      </c>
      <c r="O106" s="75">
        <f>'19H30'!V34</f>
        <v>110723</v>
      </c>
      <c r="P106" s="75">
        <f>'20R1'!V34</f>
        <v>117020</v>
      </c>
      <c r="Q106" s="75">
        <f>'21R2'!U34</f>
        <v>122449</v>
      </c>
      <c r="R106" s="75">
        <f>'22R3'!U34</f>
        <v>138993</v>
      </c>
      <c r="S106" s="75">
        <f>'23R4'!U34</f>
        <v>152052</v>
      </c>
      <c r="T106" s="75">
        <f>'24R5'!U34</f>
        <v>155426</v>
      </c>
      <c r="U106" s="75">
        <f>'25R6'!U34</f>
        <v>151131</v>
      </c>
      <c r="V106" s="75">
        <f>'26R7'!U34</f>
        <v>151131</v>
      </c>
      <c r="W106" s="75">
        <f>'27R8'!U34</f>
        <v>151131</v>
      </c>
      <c r="X106" s="75">
        <f>'28R9'!U34</f>
        <v>151131</v>
      </c>
    </row>
    <row r="107" spans="1:24">
      <c r="A107" s="733">
        <v>215</v>
      </c>
      <c r="B107" s="733" t="s">
        <v>329</v>
      </c>
      <c r="C107" s="733">
        <f>'7H18'!V35</f>
        <v>217600</v>
      </c>
      <c r="D107" s="733">
        <f>'8H19'!V35</f>
        <v>220186</v>
      </c>
      <c r="E107" s="733">
        <f>'9H20'!V35</f>
        <v>218976</v>
      </c>
      <c r="F107" s="733">
        <f>'10H21'!V35</f>
        <v>216257</v>
      </c>
      <c r="G107" s="75">
        <f>'11H22'!V35</f>
        <v>207759</v>
      </c>
      <c r="H107" s="75">
        <f>'12H23'!V35</f>
        <v>210409</v>
      </c>
      <c r="I107" s="75">
        <f>'13H24'!V35</f>
        <v>218689</v>
      </c>
      <c r="J107" s="75">
        <f>'14H25'!V35</f>
        <v>227646</v>
      </c>
      <c r="K107" s="75">
        <f>'15H26'!V35</f>
        <v>224582</v>
      </c>
      <c r="L107" s="75">
        <f>'16H27'!V35</f>
        <v>228015</v>
      </c>
      <c r="M107" s="75">
        <f>'17H28'!V35</f>
        <v>229782</v>
      </c>
      <c r="N107" s="75">
        <f>'18H29'!V35</f>
        <v>226291</v>
      </c>
      <c r="O107" s="75">
        <f>'19H30'!V35</f>
        <v>228964</v>
      </c>
      <c r="P107" s="75">
        <f>'20R1'!V35</f>
        <v>239316</v>
      </c>
      <c r="Q107" s="75">
        <f>'21R2'!U35</f>
        <v>223188</v>
      </c>
      <c r="R107" s="75">
        <f>'22R3'!U35</f>
        <v>273089</v>
      </c>
      <c r="S107" s="75">
        <f>'23R4'!U35</f>
        <v>288547</v>
      </c>
      <c r="T107" s="75">
        <f>'24R5'!U35</f>
        <v>303466</v>
      </c>
      <c r="U107" s="75">
        <f>'25R6'!U35</f>
        <v>306659</v>
      </c>
      <c r="V107" s="75">
        <f>'26R7'!U35</f>
        <v>306659</v>
      </c>
      <c r="W107" s="75">
        <f>'27R8'!U35</f>
        <v>306659</v>
      </c>
      <c r="X107" s="75">
        <f>'28R9'!U35</f>
        <v>306659</v>
      </c>
    </row>
    <row r="108" spans="1:24">
      <c r="A108" s="733">
        <v>218</v>
      </c>
      <c r="B108" s="733" t="s">
        <v>200</v>
      </c>
      <c r="C108" s="733">
        <f>'7H18'!V36</f>
        <v>155977</v>
      </c>
      <c r="D108" s="733">
        <f>'8H19'!V36</f>
        <v>143356</v>
      </c>
      <c r="E108" s="733">
        <f>'9H20'!V36</f>
        <v>143199</v>
      </c>
      <c r="F108" s="733">
        <f>'10H21'!V36</f>
        <v>138332</v>
      </c>
      <c r="G108" s="75">
        <f>'11H22'!V36</f>
        <v>132101</v>
      </c>
      <c r="H108" s="75">
        <f>'12H23'!V36</f>
        <v>139729</v>
      </c>
      <c r="I108" s="75">
        <f>'13H24'!V36</f>
        <v>140425</v>
      </c>
      <c r="J108" s="75">
        <f>'14H25'!V36</f>
        <v>194897</v>
      </c>
      <c r="K108" s="75">
        <f>'15H26'!V36</f>
        <v>145460</v>
      </c>
      <c r="L108" s="75">
        <f>'16H27'!V36</f>
        <v>145739</v>
      </c>
      <c r="M108" s="75">
        <f>'17H28'!V36</f>
        <v>168869</v>
      </c>
      <c r="N108" s="75">
        <f>'18H29'!V36</f>
        <v>148596</v>
      </c>
      <c r="O108" s="75">
        <f>'19H30'!V36</f>
        <v>154773</v>
      </c>
      <c r="P108" s="75">
        <f>'20R1'!V36</f>
        <v>169041</v>
      </c>
      <c r="Q108" s="75">
        <f>'21R2'!U36</f>
        <v>145569</v>
      </c>
      <c r="R108" s="75">
        <f>'22R3'!U36</f>
        <v>187152</v>
      </c>
      <c r="S108" s="75">
        <f>'23R4'!U36</f>
        <v>201052</v>
      </c>
      <c r="T108" s="75">
        <f>'24R5'!U36</f>
        <v>207278</v>
      </c>
      <c r="U108" s="75">
        <f>'25R6'!U36</f>
        <v>210511</v>
      </c>
      <c r="V108" s="75">
        <f>'26R7'!U36</f>
        <v>210511</v>
      </c>
      <c r="W108" s="75">
        <f>'27R8'!U36</f>
        <v>210511</v>
      </c>
      <c r="X108" s="75">
        <f>'28R9'!U36</f>
        <v>210511</v>
      </c>
    </row>
    <row r="109" spans="1:24">
      <c r="A109" s="733">
        <v>220</v>
      </c>
      <c r="B109" s="733" t="s">
        <v>201</v>
      </c>
      <c r="C109" s="733">
        <f>'7H18'!V37</f>
        <v>135603</v>
      </c>
      <c r="D109" s="733">
        <f>'8H19'!V37</f>
        <v>138644</v>
      </c>
      <c r="E109" s="733">
        <f>'9H20'!V37</f>
        <v>131503</v>
      </c>
      <c r="F109" s="733">
        <f>'10H21'!V37</f>
        <v>128440</v>
      </c>
      <c r="G109" s="75">
        <f>'11H22'!V37</f>
        <v>130253</v>
      </c>
      <c r="H109" s="75">
        <f>'12H23'!V37</f>
        <v>169205</v>
      </c>
      <c r="I109" s="75">
        <f>'13H24'!V37</f>
        <v>168336</v>
      </c>
      <c r="J109" s="75">
        <f>'14H25'!V37</f>
        <v>152597</v>
      </c>
      <c r="K109" s="75">
        <f>'15H26'!V37</f>
        <v>139293</v>
      </c>
      <c r="L109" s="75">
        <f>'16H27'!V37</f>
        <v>147455</v>
      </c>
      <c r="M109" s="75">
        <f>'17H28'!V37</f>
        <v>143498</v>
      </c>
      <c r="N109" s="75">
        <f>'18H29'!V37</f>
        <v>143890</v>
      </c>
      <c r="O109" s="75">
        <f>'19H30'!V37</f>
        <v>139027</v>
      </c>
      <c r="P109" s="75">
        <f>'20R1'!V37</f>
        <v>148178</v>
      </c>
      <c r="Q109" s="75">
        <f>'21R2'!U37</f>
        <v>140966</v>
      </c>
      <c r="R109" s="75">
        <f>'22R3'!U37</f>
        <v>170216</v>
      </c>
      <c r="S109" s="75">
        <f>'23R4'!U37</f>
        <v>181268</v>
      </c>
      <c r="T109" s="75">
        <f>'24R5'!U37</f>
        <v>192011</v>
      </c>
      <c r="U109" s="75">
        <f>'25R6'!U37</f>
        <v>195983</v>
      </c>
      <c r="V109" s="75">
        <f>'26R7'!U37</f>
        <v>195983</v>
      </c>
      <c r="W109" s="75">
        <f>'27R8'!U37</f>
        <v>195983</v>
      </c>
      <c r="X109" s="75">
        <f>'28R9'!U37</f>
        <v>195983</v>
      </c>
    </row>
    <row r="110" spans="1:24">
      <c r="A110" s="733">
        <v>228</v>
      </c>
      <c r="B110" s="733" t="s">
        <v>330</v>
      </c>
      <c r="C110" s="733">
        <f>'7H18'!V38</f>
        <v>123465</v>
      </c>
      <c r="D110" s="733">
        <f>'8H19'!V38</f>
        <v>149534</v>
      </c>
      <c r="E110" s="733">
        <f>'9H20'!V38</f>
        <v>121964</v>
      </c>
      <c r="F110" s="733">
        <f>'10H21'!V38</f>
        <v>114713</v>
      </c>
      <c r="G110" s="75">
        <f>'11H22'!V38</f>
        <v>120265</v>
      </c>
      <c r="H110" s="75">
        <f>'12H23'!V38</f>
        <v>148838</v>
      </c>
      <c r="I110" s="75">
        <f>'13H24'!V38</f>
        <v>152683</v>
      </c>
      <c r="J110" s="75">
        <f>'14H25'!V38</f>
        <v>133680</v>
      </c>
      <c r="K110" s="75">
        <f>'15H26'!V38</f>
        <v>128110</v>
      </c>
      <c r="L110" s="75">
        <f>'16H27'!V38</f>
        <v>132384</v>
      </c>
      <c r="M110" s="75">
        <f>'17H28'!V38</f>
        <v>132344</v>
      </c>
      <c r="N110" s="75">
        <f>'18H29'!V38</f>
        <v>147367</v>
      </c>
      <c r="O110" s="75">
        <f>'19H30'!V38</f>
        <v>141132</v>
      </c>
      <c r="P110" s="75">
        <f>'20R1'!V38</f>
        <v>157093</v>
      </c>
      <c r="Q110" s="75">
        <f>'21R2'!U38</f>
        <v>145119</v>
      </c>
      <c r="R110" s="75">
        <f>'22R3'!U38</f>
        <v>181077</v>
      </c>
      <c r="S110" s="75">
        <f>'23R4'!U38</f>
        <v>190937</v>
      </c>
      <c r="T110" s="75">
        <f>'24R5'!U38</f>
        <v>205764</v>
      </c>
      <c r="U110" s="75">
        <f>'25R6'!U38</f>
        <v>213927</v>
      </c>
      <c r="V110" s="75">
        <f>'26R7'!U38</f>
        <v>213927</v>
      </c>
      <c r="W110" s="75">
        <f>'27R8'!U38</f>
        <v>213927</v>
      </c>
      <c r="X110" s="75">
        <f>'28R9'!U38</f>
        <v>213927</v>
      </c>
    </row>
    <row r="111" spans="1:24">
      <c r="A111" s="733">
        <v>365</v>
      </c>
      <c r="B111" s="733" t="s">
        <v>331</v>
      </c>
      <c r="C111" s="733">
        <f>'7H18'!V39</f>
        <v>58187</v>
      </c>
      <c r="D111" s="733">
        <f>'8H19'!V39</f>
        <v>57284</v>
      </c>
      <c r="E111" s="733">
        <f>'9H20'!V39</f>
        <v>56435</v>
      </c>
      <c r="F111" s="733">
        <f>'10H21'!V39</f>
        <v>56699</v>
      </c>
      <c r="G111" s="75">
        <f>'11H22'!V39</f>
        <v>57722</v>
      </c>
      <c r="H111" s="75">
        <f>'12H23'!V39</f>
        <v>59325</v>
      </c>
      <c r="I111" s="132">
        <f>'13H24'!V39</f>
        <v>63391</v>
      </c>
      <c r="J111" s="132">
        <f>'14H25'!V39</f>
        <v>60615</v>
      </c>
      <c r="K111" s="75">
        <f>'15H26'!V39</f>
        <v>56297</v>
      </c>
      <c r="L111" s="132">
        <f>'16H27'!V39</f>
        <v>58300</v>
      </c>
      <c r="M111" s="75">
        <f>'17H28'!V39</f>
        <v>57615</v>
      </c>
      <c r="N111" s="75">
        <f>'18H29'!V39</f>
        <v>56807</v>
      </c>
      <c r="O111" s="132">
        <f>'19H30'!V39</f>
        <v>61009</v>
      </c>
      <c r="P111" s="132">
        <f>'20R1'!V39</f>
        <v>56206</v>
      </c>
      <c r="Q111" s="132">
        <f>'21R2'!U39</f>
        <v>53089</v>
      </c>
      <c r="R111" s="75">
        <f>'22R3'!U39</f>
        <v>67294</v>
      </c>
      <c r="S111" s="75">
        <f>'23R4'!U39</f>
        <v>69964</v>
      </c>
      <c r="T111" s="75">
        <f>'24R5'!U39</f>
        <v>72317</v>
      </c>
      <c r="U111" s="132">
        <f>'25R6'!U39</f>
        <v>71924</v>
      </c>
      <c r="V111" s="75">
        <f>'26R7'!U39</f>
        <v>71924</v>
      </c>
      <c r="W111" s="75">
        <f>'27R8'!U39</f>
        <v>71924</v>
      </c>
      <c r="X111" s="75">
        <f>'28R9'!U39</f>
        <v>71924</v>
      </c>
    </row>
    <row r="112" spans="1:24">
      <c r="A112" s="734">
        <v>5</v>
      </c>
      <c r="B112" s="734" t="s">
        <v>326</v>
      </c>
      <c r="C112" s="734">
        <f>'7H18'!V40</f>
        <v>1902169</v>
      </c>
      <c r="D112" s="734">
        <f>'8H19'!V40</f>
        <v>1913321</v>
      </c>
      <c r="E112" s="734">
        <f>'9H20'!V40</f>
        <v>1854457</v>
      </c>
      <c r="F112" s="734">
        <f>'10H21'!V40</f>
        <v>1834890</v>
      </c>
      <c r="G112" s="130">
        <f>'11H22'!V40</f>
        <v>2151052</v>
      </c>
      <c r="H112" s="130">
        <f>'12H23'!V40</f>
        <v>1868053</v>
      </c>
      <c r="I112" s="75">
        <f>'13H24'!V40</f>
        <v>1877734</v>
      </c>
      <c r="J112" s="75">
        <f>'14H25'!V40</f>
        <v>1918740</v>
      </c>
      <c r="K112" s="130">
        <f>'15H26'!V40</f>
        <v>1890251</v>
      </c>
      <c r="L112" s="75">
        <f>'16H27'!V40</f>
        <v>1909256</v>
      </c>
      <c r="M112" s="130">
        <f>'17H28'!V40</f>
        <v>1962074</v>
      </c>
      <c r="N112" s="130">
        <f>'18H29'!V40</f>
        <v>1976155</v>
      </c>
      <c r="O112" s="75">
        <f>'19H30'!V40</f>
        <v>2069846</v>
      </c>
      <c r="P112" s="75">
        <f>'20R1'!V40</f>
        <v>2024655</v>
      </c>
      <c r="Q112" s="75">
        <f>'21R2'!U40</f>
        <v>1973989</v>
      </c>
      <c r="R112" s="130">
        <f>'22R3'!U40</f>
        <v>2220496</v>
      </c>
      <c r="S112" s="130">
        <f>'23R4'!U40</f>
        <v>2348248</v>
      </c>
      <c r="T112" s="130">
        <f>'24R5'!U40</f>
        <v>2446343</v>
      </c>
      <c r="U112" s="75">
        <f>'25R6'!U40</f>
        <v>2470755</v>
      </c>
      <c r="V112" s="75">
        <f>'26R7'!U40</f>
        <v>2470755</v>
      </c>
      <c r="W112" s="75">
        <f>'27R8'!U40</f>
        <v>2470755</v>
      </c>
      <c r="X112" s="75">
        <f>'28R9'!U40</f>
        <v>2470755</v>
      </c>
    </row>
    <row r="113" spans="1:24">
      <c r="A113" s="733">
        <v>201</v>
      </c>
      <c r="B113" s="733" t="s">
        <v>332</v>
      </c>
      <c r="C113" s="733">
        <f>'7H18'!V41</f>
        <v>1777877</v>
      </c>
      <c r="D113" s="733">
        <f>'8H19'!V41</f>
        <v>1780236</v>
      </c>
      <c r="E113" s="733">
        <f>'9H20'!V41</f>
        <v>1727526</v>
      </c>
      <c r="F113" s="733">
        <f>'10H21'!V41</f>
        <v>1714023</v>
      </c>
      <c r="G113" s="75">
        <f>'11H22'!V41</f>
        <v>2026145</v>
      </c>
      <c r="H113" s="75">
        <f>'12H23'!V41</f>
        <v>1732704</v>
      </c>
      <c r="I113" s="75">
        <f>'13H24'!V41</f>
        <v>1741090</v>
      </c>
      <c r="J113" s="75">
        <f>'14H25'!V41</f>
        <v>1787307</v>
      </c>
      <c r="K113" s="75">
        <f>'15H26'!V41</f>
        <v>1752701</v>
      </c>
      <c r="L113" s="75">
        <f>'16H27'!V41</f>
        <v>1768769</v>
      </c>
      <c r="M113" s="75">
        <f>'17H28'!V41</f>
        <v>1828794</v>
      </c>
      <c r="N113" s="75">
        <f>'18H29'!V41</f>
        <v>1833306</v>
      </c>
      <c r="O113" s="75">
        <f>'19H30'!V41</f>
        <v>1912365</v>
      </c>
      <c r="P113" s="75">
        <f>'20R1'!V41</f>
        <v>1864362</v>
      </c>
      <c r="Q113" s="75">
        <f>'21R2'!U41</f>
        <v>1831456</v>
      </c>
      <c r="R113" s="75">
        <f>'22R3'!U41</f>
        <v>2039427</v>
      </c>
      <c r="S113" s="75">
        <f>'23R4'!U41</f>
        <v>2157252</v>
      </c>
      <c r="T113" s="75">
        <f>'24R5'!U41</f>
        <v>2250546</v>
      </c>
      <c r="U113" s="75">
        <f>'25R6'!U41</f>
        <v>2272262</v>
      </c>
      <c r="V113" s="75">
        <f>'26R7'!U41</f>
        <v>2272262</v>
      </c>
      <c r="W113" s="75">
        <f>'27R8'!U41</f>
        <v>2272262</v>
      </c>
      <c r="X113" s="75">
        <f>'28R9'!U41</f>
        <v>2272262</v>
      </c>
    </row>
    <row r="114" spans="1:24">
      <c r="A114" s="733">
        <v>442</v>
      </c>
      <c r="B114" s="733" t="s">
        <v>203</v>
      </c>
      <c r="C114" s="733">
        <f>'7H18'!V42</f>
        <v>33938</v>
      </c>
      <c r="D114" s="733">
        <f>'8H19'!V42</f>
        <v>34561</v>
      </c>
      <c r="E114" s="733">
        <f>'9H20'!V42</f>
        <v>36143</v>
      </c>
      <c r="F114" s="733">
        <f>'10H21'!V42</f>
        <v>33826</v>
      </c>
      <c r="G114" s="75">
        <f>'11H22'!V42</f>
        <v>32776</v>
      </c>
      <c r="H114" s="75">
        <f>'12H23'!V42</f>
        <v>35053</v>
      </c>
      <c r="I114" s="75">
        <f>'13H24'!V42</f>
        <v>34926</v>
      </c>
      <c r="J114" s="75">
        <f>'14H25'!V42</f>
        <v>34576</v>
      </c>
      <c r="K114" s="75">
        <f>'15H26'!V42</f>
        <v>34516</v>
      </c>
      <c r="L114" s="75">
        <f>'16H27'!V42</f>
        <v>35427</v>
      </c>
      <c r="M114" s="75">
        <f>'17H28'!V42</f>
        <v>33342</v>
      </c>
      <c r="N114" s="75">
        <f>'18H29'!V42</f>
        <v>36514</v>
      </c>
      <c r="O114" s="75">
        <f>'19H30'!V42</f>
        <v>39722</v>
      </c>
      <c r="P114" s="75">
        <f>'20R1'!V42</f>
        <v>38410</v>
      </c>
      <c r="Q114" s="75">
        <f>'21R2'!U42</f>
        <v>36375</v>
      </c>
      <c r="R114" s="75">
        <f>'22R3'!U42</f>
        <v>45235</v>
      </c>
      <c r="S114" s="75">
        <f>'23R4'!U42</f>
        <v>47116</v>
      </c>
      <c r="T114" s="75">
        <f>'24R5'!U42</f>
        <v>48569</v>
      </c>
      <c r="U114" s="75">
        <f>'25R6'!U42</f>
        <v>48218</v>
      </c>
      <c r="V114" s="75">
        <f>'26R7'!U42</f>
        <v>48218</v>
      </c>
      <c r="W114" s="75">
        <f>'27R8'!U42</f>
        <v>48218</v>
      </c>
      <c r="X114" s="75">
        <f>'28R9'!U42</f>
        <v>48218</v>
      </c>
    </row>
    <row r="115" spans="1:24">
      <c r="A115" s="733">
        <v>443</v>
      </c>
      <c r="B115" s="733" t="s">
        <v>204</v>
      </c>
      <c r="C115" s="733">
        <f>'7H18'!V43</f>
        <v>58002</v>
      </c>
      <c r="D115" s="733">
        <f>'8H19'!V43</f>
        <v>59135</v>
      </c>
      <c r="E115" s="733">
        <f>'9H20'!V43</f>
        <v>58309</v>
      </c>
      <c r="F115" s="733">
        <f>'10H21'!V43</f>
        <v>52819</v>
      </c>
      <c r="G115" s="75">
        <f>'11H22'!V43</f>
        <v>55818</v>
      </c>
      <c r="H115" s="75">
        <f>'12H23'!V43</f>
        <v>66853</v>
      </c>
      <c r="I115" s="75">
        <f>'13H24'!V43</f>
        <v>64545</v>
      </c>
      <c r="J115" s="75">
        <f>'14H25'!V43</f>
        <v>64073</v>
      </c>
      <c r="K115" s="75">
        <f>'15H26'!V43</f>
        <v>68484</v>
      </c>
      <c r="L115" s="75">
        <f>'16H27'!V43</f>
        <v>69878</v>
      </c>
      <c r="M115" s="75">
        <f>'17H28'!V43</f>
        <v>65639</v>
      </c>
      <c r="N115" s="75">
        <f>'18H29'!V43</f>
        <v>67371</v>
      </c>
      <c r="O115" s="75">
        <f>'19H30'!V43</f>
        <v>74530</v>
      </c>
      <c r="P115" s="75">
        <f>'20R1'!V43</f>
        <v>77862</v>
      </c>
      <c r="Q115" s="75">
        <f>'21R2'!U43</f>
        <v>68182</v>
      </c>
      <c r="R115" s="75">
        <f>'22R3'!U43</f>
        <v>86474</v>
      </c>
      <c r="S115" s="75">
        <f>'23R4'!U43</f>
        <v>92028</v>
      </c>
      <c r="T115" s="75">
        <f>'24R5'!U43</f>
        <v>96158</v>
      </c>
      <c r="U115" s="75">
        <f>'25R6'!U43</f>
        <v>98775</v>
      </c>
      <c r="V115" s="75">
        <f>'26R7'!U43</f>
        <v>98775</v>
      </c>
      <c r="W115" s="75">
        <f>'27R8'!U43</f>
        <v>98775</v>
      </c>
      <c r="X115" s="75">
        <f>'28R9'!U43</f>
        <v>98775</v>
      </c>
    </row>
    <row r="116" spans="1:24">
      <c r="A116" s="735">
        <v>446</v>
      </c>
      <c r="B116" s="735" t="s">
        <v>333</v>
      </c>
      <c r="C116" s="735">
        <f>'7H18'!V44</f>
        <v>32352</v>
      </c>
      <c r="D116" s="735">
        <f>'8H19'!V44</f>
        <v>39389</v>
      </c>
      <c r="E116" s="735">
        <f>'9H20'!V44</f>
        <v>32479</v>
      </c>
      <c r="F116" s="735">
        <f>'10H21'!V44</f>
        <v>34222</v>
      </c>
      <c r="G116" s="132">
        <f>'11H22'!V44</f>
        <v>36313</v>
      </c>
      <c r="H116" s="132">
        <f>'12H23'!V44</f>
        <v>33443</v>
      </c>
      <c r="I116" s="75">
        <f>'13H24'!V44</f>
        <v>37173</v>
      </c>
      <c r="J116" s="75">
        <f>'14H25'!V44</f>
        <v>32784</v>
      </c>
      <c r="K116" s="132">
        <f>'15H26'!V44</f>
        <v>34550</v>
      </c>
      <c r="L116" s="75">
        <f>'16H27'!V44</f>
        <v>35182</v>
      </c>
      <c r="M116" s="132">
        <f>'17H28'!V44</f>
        <v>34299</v>
      </c>
      <c r="N116" s="132">
        <f>'18H29'!V44</f>
        <v>38964</v>
      </c>
      <c r="O116" s="75">
        <f>'19H30'!V44</f>
        <v>43229</v>
      </c>
      <c r="P116" s="75">
        <f>'20R1'!V44</f>
        <v>44021</v>
      </c>
      <c r="Q116" s="75">
        <f>'21R2'!U44</f>
        <v>37976</v>
      </c>
      <c r="R116" s="132">
        <f>'22R3'!U44</f>
        <v>49360</v>
      </c>
      <c r="S116" s="132">
        <f>'23R4'!U44</f>
        <v>51852</v>
      </c>
      <c r="T116" s="132">
        <f>'24R5'!U44</f>
        <v>51070</v>
      </c>
      <c r="U116" s="75">
        <f>'25R6'!U44</f>
        <v>51500</v>
      </c>
      <c r="V116" s="75">
        <f>'26R7'!U44</f>
        <v>51500</v>
      </c>
      <c r="W116" s="75">
        <f>'27R8'!U44</f>
        <v>51500</v>
      </c>
      <c r="X116" s="75">
        <f>'28R9'!U44</f>
        <v>51500</v>
      </c>
    </row>
    <row r="117" spans="1:24">
      <c r="A117" s="733">
        <v>6</v>
      </c>
      <c r="B117" s="733" t="s">
        <v>327</v>
      </c>
      <c r="C117" s="733">
        <f>'7H18'!V45</f>
        <v>847145</v>
      </c>
      <c r="D117" s="733">
        <f>'8H19'!V45</f>
        <v>811320</v>
      </c>
      <c r="E117" s="733">
        <f>'9H20'!V45</f>
        <v>792955</v>
      </c>
      <c r="F117" s="733">
        <f>'10H21'!V45</f>
        <v>786586</v>
      </c>
      <c r="G117" s="75">
        <f>'11H22'!V45</f>
        <v>781391</v>
      </c>
      <c r="H117" s="75">
        <f>'12H23'!V45</f>
        <v>806564</v>
      </c>
      <c r="I117" s="130">
        <f>'13H24'!V45</f>
        <v>807527</v>
      </c>
      <c r="J117" s="130">
        <f>'14H25'!V45</f>
        <v>790688</v>
      </c>
      <c r="K117" s="75">
        <f>'15H26'!V45</f>
        <v>787710</v>
      </c>
      <c r="L117" s="130">
        <f>'16H27'!V45</f>
        <v>808004</v>
      </c>
      <c r="M117" s="75">
        <f>'17H28'!V45</f>
        <v>797736</v>
      </c>
      <c r="N117" s="75">
        <f>'18H29'!V45</f>
        <v>765569</v>
      </c>
      <c r="O117" s="130">
        <f>'19H30'!V45</f>
        <v>784561</v>
      </c>
      <c r="P117" s="130">
        <f>'20R1'!V45</f>
        <v>815136</v>
      </c>
      <c r="Q117" s="130">
        <f>'21R2'!U45</f>
        <v>764024</v>
      </c>
      <c r="R117" s="75">
        <f>'22R3'!U45</f>
        <v>944742</v>
      </c>
      <c r="S117" s="75">
        <f>'23R4'!U45</f>
        <v>997106</v>
      </c>
      <c r="T117" s="75">
        <f>'24R5'!U45</f>
        <v>1035020</v>
      </c>
      <c r="U117" s="130">
        <f>'25R6'!U45</f>
        <v>1037662</v>
      </c>
      <c r="V117" s="75">
        <f>'26R7'!U45</f>
        <v>1037662</v>
      </c>
      <c r="W117" s="75">
        <f>'27R8'!U45</f>
        <v>1037662</v>
      </c>
      <c r="X117" s="75">
        <f>'28R9'!U45</f>
        <v>1037662</v>
      </c>
    </row>
    <row r="118" spans="1:24">
      <c r="A118" s="733">
        <v>208</v>
      </c>
      <c r="B118" s="733" t="s">
        <v>206</v>
      </c>
      <c r="C118" s="733">
        <f>'7H18'!V46</f>
        <v>97493</v>
      </c>
      <c r="D118" s="733">
        <f>'8H19'!V46</f>
        <v>97138</v>
      </c>
      <c r="E118" s="733">
        <f>'9H20'!V46</f>
        <v>91982</v>
      </c>
      <c r="F118" s="733">
        <f>'10H21'!V46</f>
        <v>90564</v>
      </c>
      <c r="G118" s="75">
        <f>'11H22'!V46</f>
        <v>92018</v>
      </c>
      <c r="H118" s="75">
        <f>'12H23'!V46</f>
        <v>95909</v>
      </c>
      <c r="I118" s="75">
        <f>'13H24'!V46</f>
        <v>96498</v>
      </c>
      <c r="J118" s="75">
        <f>'14H25'!V46</f>
        <v>93555</v>
      </c>
      <c r="K118" s="75">
        <f>'15H26'!V46</f>
        <v>97309</v>
      </c>
      <c r="L118" s="75">
        <f>'16H27'!V46</f>
        <v>105242</v>
      </c>
      <c r="M118" s="75">
        <f>'17H28'!V46</f>
        <v>99804</v>
      </c>
      <c r="N118" s="75">
        <f>'18H29'!V46</f>
        <v>89344</v>
      </c>
      <c r="O118" s="75">
        <f>'19H30'!V46</f>
        <v>89956</v>
      </c>
      <c r="P118" s="75">
        <f>'20R1'!V46</f>
        <v>89460</v>
      </c>
      <c r="Q118" s="75">
        <f>'21R2'!U46</f>
        <v>84065</v>
      </c>
      <c r="R118" s="75">
        <f>'22R3'!U46</f>
        <v>105046</v>
      </c>
      <c r="S118" s="75">
        <f>'23R4'!U46</f>
        <v>110417</v>
      </c>
      <c r="T118" s="75">
        <f>'24R5'!U46</f>
        <v>114583</v>
      </c>
      <c r="U118" s="75">
        <f>'25R6'!U46</f>
        <v>113906</v>
      </c>
      <c r="V118" s="75">
        <f>'26R7'!U46</f>
        <v>113906</v>
      </c>
      <c r="W118" s="75">
        <f>'27R8'!U46</f>
        <v>113906</v>
      </c>
      <c r="X118" s="75">
        <f>'28R9'!U46</f>
        <v>113906</v>
      </c>
    </row>
    <row r="119" spans="1:24">
      <c r="A119" s="733">
        <v>212</v>
      </c>
      <c r="B119" s="733" t="s">
        <v>207</v>
      </c>
      <c r="C119" s="733">
        <f>'7H18'!V47</f>
        <v>161066</v>
      </c>
      <c r="D119" s="733">
        <f>'8H19'!V47</f>
        <v>159364</v>
      </c>
      <c r="E119" s="733">
        <f>'9H20'!V47</f>
        <v>166382</v>
      </c>
      <c r="F119" s="733">
        <f>'10H21'!V47</f>
        <v>153855</v>
      </c>
      <c r="G119" s="75">
        <f>'11H22'!V47</f>
        <v>161562</v>
      </c>
      <c r="H119" s="75">
        <f>'12H23'!V47</f>
        <v>164969</v>
      </c>
      <c r="I119" s="75">
        <f>'13H24'!V47</f>
        <v>165538</v>
      </c>
      <c r="J119" s="75">
        <f>'14H25'!V47</f>
        <v>173589</v>
      </c>
      <c r="K119" s="75">
        <f>'15H26'!V47</f>
        <v>176884</v>
      </c>
      <c r="L119" s="75">
        <f>'16H27'!V47</f>
        <v>181424</v>
      </c>
      <c r="M119" s="75">
        <f>'17H28'!V47</f>
        <v>173638</v>
      </c>
      <c r="N119" s="75">
        <f>'18H29'!V47</f>
        <v>167097</v>
      </c>
      <c r="O119" s="75">
        <f>'19H30'!V47</f>
        <v>162403</v>
      </c>
      <c r="P119" s="75">
        <f>'20R1'!V47</f>
        <v>174857</v>
      </c>
      <c r="Q119" s="75">
        <f>'21R2'!U47</f>
        <v>158200</v>
      </c>
      <c r="R119" s="75">
        <f>'22R3'!U47</f>
        <v>198729</v>
      </c>
      <c r="S119" s="75">
        <f>'23R4'!U47</f>
        <v>208770</v>
      </c>
      <c r="T119" s="75">
        <f>'24R5'!U47</f>
        <v>215797</v>
      </c>
      <c r="U119" s="75">
        <f>'25R6'!U47</f>
        <v>218944</v>
      </c>
      <c r="V119" s="75">
        <f>'26R7'!U47</f>
        <v>218944</v>
      </c>
      <c r="W119" s="75">
        <f>'27R8'!U47</f>
        <v>218944</v>
      </c>
      <c r="X119" s="75">
        <f>'28R9'!U47</f>
        <v>218944</v>
      </c>
    </row>
    <row r="120" spans="1:24">
      <c r="A120" s="733">
        <v>227</v>
      </c>
      <c r="B120" s="733" t="s">
        <v>219</v>
      </c>
      <c r="C120" s="733">
        <f>'7H18'!V48</f>
        <v>108738</v>
      </c>
      <c r="D120" s="733">
        <f>'8H19'!V48</f>
        <v>108677</v>
      </c>
      <c r="E120" s="733">
        <f>'9H20'!V48</f>
        <v>105938</v>
      </c>
      <c r="F120" s="733">
        <f>'10H21'!V48</f>
        <v>115736</v>
      </c>
      <c r="G120" s="75">
        <f>'11H22'!V48</f>
        <v>111487</v>
      </c>
      <c r="H120" s="75">
        <f>'12H23'!V48</f>
        <v>112380</v>
      </c>
      <c r="I120" s="75">
        <f>'13H24'!V48</f>
        <v>110318</v>
      </c>
      <c r="J120" s="75">
        <f>'14H25'!V48</f>
        <v>110202</v>
      </c>
      <c r="K120" s="75">
        <f>'15H26'!V48</f>
        <v>108777</v>
      </c>
      <c r="L120" s="75">
        <f>'16H27'!V48</f>
        <v>109715</v>
      </c>
      <c r="M120" s="75">
        <f>'17H28'!V48</f>
        <v>105541</v>
      </c>
      <c r="N120" s="75">
        <f>'18H29'!V48</f>
        <v>104562</v>
      </c>
      <c r="O120" s="75">
        <f>'19H30'!V48</f>
        <v>111357</v>
      </c>
      <c r="P120" s="75">
        <f>'20R1'!V48</f>
        <v>113197</v>
      </c>
      <c r="Q120" s="75">
        <f>'21R2'!U48</f>
        <v>104342</v>
      </c>
      <c r="R120" s="75">
        <f>'22R3'!U48</f>
        <v>130684</v>
      </c>
      <c r="S120" s="75">
        <f>'23R4'!U48</f>
        <v>137235</v>
      </c>
      <c r="T120" s="75">
        <f>'24R5'!U48</f>
        <v>139772</v>
      </c>
      <c r="U120" s="75">
        <f>'25R6'!U48</f>
        <v>139753</v>
      </c>
      <c r="V120" s="75">
        <f>'26R7'!U48</f>
        <v>139753</v>
      </c>
      <c r="W120" s="75">
        <f>'27R8'!U48</f>
        <v>139753</v>
      </c>
      <c r="X120" s="75">
        <f>'28R9'!U48</f>
        <v>139753</v>
      </c>
    </row>
    <row r="121" spans="1:24">
      <c r="A121" s="733">
        <v>229</v>
      </c>
      <c r="B121" s="733" t="s">
        <v>334</v>
      </c>
      <c r="C121" s="733">
        <f>'7H18'!V49</f>
        <v>235716</v>
      </c>
      <c r="D121" s="733">
        <f>'8H19'!V49</f>
        <v>242664</v>
      </c>
      <c r="E121" s="733">
        <f>'9H20'!V49</f>
        <v>231631</v>
      </c>
      <c r="F121" s="733">
        <f>'10H21'!V49</f>
        <v>223767</v>
      </c>
      <c r="G121" s="75">
        <f>'11H22'!V49</f>
        <v>220198</v>
      </c>
      <c r="H121" s="75">
        <f>'12H23'!V49</f>
        <v>233112</v>
      </c>
      <c r="I121" s="75">
        <f>'13H24'!V49</f>
        <v>234226</v>
      </c>
      <c r="J121" s="75">
        <f>'14H25'!V49</f>
        <v>217137</v>
      </c>
      <c r="K121" s="75">
        <f>'15H26'!V49</f>
        <v>216103</v>
      </c>
      <c r="L121" s="75">
        <f>'16H27'!V49</f>
        <v>215222</v>
      </c>
      <c r="M121" s="75">
        <f>'17H28'!V49</f>
        <v>231814</v>
      </c>
      <c r="N121" s="75">
        <f>'18H29'!V49</f>
        <v>215249</v>
      </c>
      <c r="O121" s="75">
        <f>'19H30'!V49</f>
        <v>227074</v>
      </c>
      <c r="P121" s="75">
        <f>'20R1'!V49</f>
        <v>234173</v>
      </c>
      <c r="Q121" s="75">
        <f>'21R2'!U49</f>
        <v>223556</v>
      </c>
      <c r="R121" s="75">
        <f>'22R3'!U49</f>
        <v>271400</v>
      </c>
      <c r="S121" s="75">
        <f>'23R4'!U49</f>
        <v>288101</v>
      </c>
      <c r="T121" s="75">
        <f>'24R5'!U49</f>
        <v>301692</v>
      </c>
      <c r="U121" s="75">
        <f>'25R6'!U49</f>
        <v>301679</v>
      </c>
      <c r="V121" s="75">
        <f>'26R7'!U49</f>
        <v>301679</v>
      </c>
      <c r="W121" s="75">
        <f>'27R8'!U49</f>
        <v>301679</v>
      </c>
      <c r="X121" s="75">
        <f>'28R9'!U49</f>
        <v>301679</v>
      </c>
    </row>
    <row r="122" spans="1:24">
      <c r="A122" s="733">
        <v>464</v>
      </c>
      <c r="B122" s="733" t="s">
        <v>208</v>
      </c>
      <c r="C122" s="733">
        <f>'7H18'!V50</f>
        <v>136331</v>
      </c>
      <c r="D122" s="733">
        <f>'8H19'!V50</f>
        <v>97633</v>
      </c>
      <c r="E122" s="733">
        <f>'9H20'!V50</f>
        <v>93835</v>
      </c>
      <c r="F122" s="733">
        <f>'10H21'!V50</f>
        <v>87822</v>
      </c>
      <c r="G122" s="75">
        <f>'11H22'!V50</f>
        <v>86371</v>
      </c>
      <c r="H122" s="75">
        <f>'12H23'!V50</f>
        <v>91829</v>
      </c>
      <c r="I122" s="75">
        <f>'13H24'!V50</f>
        <v>93933</v>
      </c>
      <c r="J122" s="75">
        <f>'14H25'!V50</f>
        <v>91076</v>
      </c>
      <c r="K122" s="75">
        <f>'15H26'!V50</f>
        <v>86203</v>
      </c>
      <c r="L122" s="75">
        <f>'16H27'!V50</f>
        <v>95297</v>
      </c>
      <c r="M122" s="75">
        <f>'17H28'!V50</f>
        <v>90125</v>
      </c>
      <c r="N122" s="75">
        <f>'18H29'!V50</f>
        <v>92097</v>
      </c>
      <c r="O122" s="75">
        <f>'19H30'!V50</f>
        <v>96272</v>
      </c>
      <c r="P122" s="75">
        <f>'20R1'!V50</f>
        <v>100955</v>
      </c>
      <c r="Q122" s="75">
        <f>'21R2'!U50</f>
        <v>95476</v>
      </c>
      <c r="R122" s="75">
        <f>'22R3'!U50</f>
        <v>119525</v>
      </c>
      <c r="S122" s="75">
        <f>'23R4'!U50</f>
        <v>127460</v>
      </c>
      <c r="T122" s="75">
        <f>'24R5'!U50</f>
        <v>133033</v>
      </c>
      <c r="U122" s="75">
        <f>'25R6'!U50</f>
        <v>134375</v>
      </c>
      <c r="V122" s="75">
        <f>'26R7'!U50</f>
        <v>134375</v>
      </c>
      <c r="W122" s="75">
        <f>'27R8'!U50</f>
        <v>134375</v>
      </c>
      <c r="X122" s="75">
        <f>'28R9'!U50</f>
        <v>134375</v>
      </c>
    </row>
    <row r="123" spans="1:24">
      <c r="A123" s="733">
        <v>481</v>
      </c>
      <c r="B123" s="733" t="s">
        <v>209</v>
      </c>
      <c r="C123" s="733">
        <f>'7H18'!V51</f>
        <v>48556</v>
      </c>
      <c r="D123" s="733">
        <f>'8H19'!V51</f>
        <v>49025</v>
      </c>
      <c r="E123" s="733">
        <f>'9H20'!V51</f>
        <v>46754</v>
      </c>
      <c r="F123" s="733">
        <f>'10H21'!V51</f>
        <v>47073</v>
      </c>
      <c r="G123" s="75">
        <f>'11H22'!V51</f>
        <v>45647</v>
      </c>
      <c r="H123" s="75">
        <f>'12H23'!V51</f>
        <v>46179</v>
      </c>
      <c r="I123" s="75">
        <f>'13H24'!V51</f>
        <v>46545</v>
      </c>
      <c r="J123" s="75">
        <f>'14H25'!V51</f>
        <v>47294</v>
      </c>
      <c r="K123" s="75">
        <f>'15H26'!V51</f>
        <v>45915</v>
      </c>
      <c r="L123" s="75">
        <f>'16H27'!V51</f>
        <v>45756</v>
      </c>
      <c r="M123" s="75">
        <f>'17H28'!V51</f>
        <v>43003</v>
      </c>
      <c r="N123" s="75">
        <f>'18H29'!V51</f>
        <v>45680</v>
      </c>
      <c r="O123" s="75">
        <f>'19H30'!V51</f>
        <v>44248</v>
      </c>
      <c r="P123" s="75">
        <f>'20R1'!V51</f>
        <v>47267</v>
      </c>
      <c r="Q123" s="75">
        <f>'21R2'!U51</f>
        <v>45097</v>
      </c>
      <c r="R123" s="75">
        <f>'22R3'!U51</f>
        <v>54626</v>
      </c>
      <c r="S123" s="75">
        <f>'23R4'!U51</f>
        <v>57623</v>
      </c>
      <c r="T123" s="75">
        <f>'24R5'!U51</f>
        <v>60643</v>
      </c>
      <c r="U123" s="75">
        <f>'25R6'!U51</f>
        <v>60479</v>
      </c>
      <c r="V123" s="75">
        <f>'26R7'!U51</f>
        <v>60479</v>
      </c>
      <c r="W123" s="75">
        <f>'27R8'!U51</f>
        <v>60479</v>
      </c>
      <c r="X123" s="75">
        <f>'28R9'!U51</f>
        <v>60479</v>
      </c>
    </row>
    <row r="124" spans="1:24">
      <c r="A124" s="733">
        <v>501</v>
      </c>
      <c r="B124" s="733" t="s">
        <v>335</v>
      </c>
      <c r="C124" s="733">
        <f>'7H18'!V52</f>
        <v>59245</v>
      </c>
      <c r="D124" s="733">
        <f>'8H19'!V52</f>
        <v>56819</v>
      </c>
      <c r="E124" s="733">
        <f>'9H20'!V52</f>
        <v>56433</v>
      </c>
      <c r="F124" s="733">
        <f>'10H21'!V52</f>
        <v>67769</v>
      </c>
      <c r="G124" s="75">
        <f>'11H22'!V52</f>
        <v>64108</v>
      </c>
      <c r="H124" s="75">
        <f>'12H23'!V52</f>
        <v>62186</v>
      </c>
      <c r="I124" s="132">
        <f>'13H24'!V52</f>
        <v>60469</v>
      </c>
      <c r="J124" s="132">
        <f>'14H25'!V52</f>
        <v>57835</v>
      </c>
      <c r="K124" s="75">
        <f>'15H26'!V52</f>
        <v>56519</v>
      </c>
      <c r="L124" s="132">
        <f>'16H27'!V52</f>
        <v>55348</v>
      </c>
      <c r="M124" s="75">
        <f>'17H28'!V52</f>
        <v>53811</v>
      </c>
      <c r="N124" s="75">
        <f>'18H29'!V52</f>
        <v>51540</v>
      </c>
      <c r="O124" s="132">
        <f>'19H30'!V52</f>
        <v>53251</v>
      </c>
      <c r="P124" s="132">
        <f>'20R1'!V52</f>
        <v>55227</v>
      </c>
      <c r="Q124" s="132">
        <f>'21R2'!U52</f>
        <v>53288</v>
      </c>
      <c r="R124" s="75">
        <f>'22R3'!U52</f>
        <v>64732</v>
      </c>
      <c r="S124" s="75">
        <f>'23R4'!U52</f>
        <v>67500</v>
      </c>
      <c r="T124" s="75">
        <f>'24R5'!U52</f>
        <v>69500</v>
      </c>
      <c r="U124" s="132">
        <f>'25R6'!U52</f>
        <v>68526</v>
      </c>
      <c r="V124" s="75">
        <f>'26R7'!U52</f>
        <v>68526</v>
      </c>
      <c r="W124" s="75">
        <f>'27R8'!U52</f>
        <v>68526</v>
      </c>
      <c r="X124" s="75">
        <f>'28R9'!U52</f>
        <v>68526</v>
      </c>
    </row>
    <row r="125" spans="1:24">
      <c r="A125" s="734">
        <v>7</v>
      </c>
      <c r="B125" s="734" t="s">
        <v>210</v>
      </c>
      <c r="C125" s="734">
        <f>'7H18'!V53</f>
        <v>592752</v>
      </c>
      <c r="D125" s="734">
        <f>'8H19'!V53</f>
        <v>571036</v>
      </c>
      <c r="E125" s="734">
        <f>'9H20'!V53</f>
        <v>559294</v>
      </c>
      <c r="F125" s="734">
        <f>'10H21'!V53</f>
        <v>563654</v>
      </c>
      <c r="G125" s="130">
        <f>'11H22'!V53</f>
        <v>541388</v>
      </c>
      <c r="H125" s="130">
        <f>'12H23'!V53</f>
        <v>581802</v>
      </c>
      <c r="I125" s="75">
        <f>'13H24'!V53</f>
        <v>597336</v>
      </c>
      <c r="J125" s="75">
        <f>'14H25'!V53</f>
        <v>573787</v>
      </c>
      <c r="K125" s="130">
        <f>'15H26'!V53</f>
        <v>571244</v>
      </c>
      <c r="L125" s="75">
        <f>'16H27'!V53</f>
        <v>571984</v>
      </c>
      <c r="M125" s="130">
        <f>'17H28'!V53</f>
        <v>562847</v>
      </c>
      <c r="N125" s="130">
        <f>'18H29'!V53</f>
        <v>608358</v>
      </c>
      <c r="O125" s="75">
        <f>'19H30'!V53</f>
        <v>549726</v>
      </c>
      <c r="P125" s="75">
        <f>'20R1'!V53</f>
        <v>562164</v>
      </c>
      <c r="Q125" s="75">
        <f>'21R2'!U53</f>
        <v>550720</v>
      </c>
      <c r="R125" s="130">
        <f>'22R3'!U53</f>
        <v>653410</v>
      </c>
      <c r="S125" s="130">
        <f>'23R4'!U53</f>
        <v>695778</v>
      </c>
      <c r="T125" s="130">
        <f>'24R5'!U53</f>
        <v>726350</v>
      </c>
      <c r="U125" s="75">
        <f>'25R6'!U53</f>
        <v>721168</v>
      </c>
      <c r="V125" s="75">
        <f>'26R7'!U53</f>
        <v>721168</v>
      </c>
      <c r="W125" s="75">
        <f>'27R8'!U53</f>
        <v>721168</v>
      </c>
      <c r="X125" s="75">
        <f>'28R9'!U53</f>
        <v>721168</v>
      </c>
    </row>
    <row r="126" spans="1:24">
      <c r="A126" s="733">
        <v>209</v>
      </c>
      <c r="B126" s="733" t="s">
        <v>336</v>
      </c>
      <c r="C126" s="733">
        <f>'7H18'!V54</f>
        <v>276400</v>
      </c>
      <c r="D126" s="733">
        <f>'8H19'!V54</f>
        <v>264851</v>
      </c>
      <c r="E126" s="733">
        <f>'9H20'!V54</f>
        <v>262229</v>
      </c>
      <c r="F126" s="733">
        <f>'10H21'!V54</f>
        <v>262513</v>
      </c>
      <c r="G126" s="75">
        <f>'11H22'!V54</f>
        <v>243211</v>
      </c>
      <c r="H126" s="75">
        <f>'12H23'!V54</f>
        <v>276906</v>
      </c>
      <c r="I126" s="75">
        <f>'13H24'!V54</f>
        <v>292148</v>
      </c>
      <c r="J126" s="75">
        <f>'14H25'!V54</f>
        <v>269504</v>
      </c>
      <c r="K126" s="75">
        <f>'15H26'!V54</f>
        <v>261697</v>
      </c>
      <c r="L126" s="75">
        <f>'16H27'!V54</f>
        <v>259893</v>
      </c>
      <c r="M126" s="75">
        <f>'17H28'!V54</f>
        <v>264590</v>
      </c>
      <c r="N126" s="75">
        <f>'18H29'!V54</f>
        <v>254214</v>
      </c>
      <c r="O126" s="75">
        <f>'19H30'!V54</f>
        <v>257899</v>
      </c>
      <c r="P126" s="75">
        <f>'20R1'!V54</f>
        <v>266407</v>
      </c>
      <c r="Q126" s="75">
        <f>'21R2'!U54</f>
        <v>247039</v>
      </c>
      <c r="R126" s="75">
        <f>'22R3'!U54</f>
        <v>302937</v>
      </c>
      <c r="S126" s="75">
        <f>'23R4'!U54</f>
        <v>321468</v>
      </c>
      <c r="T126" s="75">
        <f>'24R5'!U54</f>
        <v>336444</v>
      </c>
      <c r="U126" s="75">
        <f>'25R6'!U54</f>
        <v>337954</v>
      </c>
      <c r="V126" s="75">
        <f>'26R7'!U54</f>
        <v>337954</v>
      </c>
      <c r="W126" s="75">
        <f>'27R8'!U54</f>
        <v>337954</v>
      </c>
      <c r="X126" s="75">
        <f>'28R9'!U54</f>
        <v>337954</v>
      </c>
    </row>
    <row r="127" spans="1:24">
      <c r="A127" s="733">
        <v>222</v>
      </c>
      <c r="B127" s="733" t="s">
        <v>337</v>
      </c>
      <c r="C127" s="733">
        <f>'7H18'!V55</f>
        <v>86967</v>
      </c>
      <c r="D127" s="733">
        <f>'8H19'!V55</f>
        <v>85166</v>
      </c>
      <c r="E127" s="733">
        <f>'9H20'!V55</f>
        <v>82530</v>
      </c>
      <c r="F127" s="733">
        <f>'10H21'!V55</f>
        <v>85932</v>
      </c>
      <c r="G127" s="75">
        <f>'11H22'!V55</f>
        <v>83373</v>
      </c>
      <c r="H127" s="75">
        <f>'12H23'!V55</f>
        <v>84993</v>
      </c>
      <c r="I127" s="75">
        <f>'13H24'!V55</f>
        <v>82415</v>
      </c>
      <c r="J127" s="75">
        <f>'14H25'!V55</f>
        <v>79325</v>
      </c>
      <c r="K127" s="75">
        <f>'15H26'!V55</f>
        <v>85684</v>
      </c>
      <c r="L127" s="75">
        <f>'16H27'!V55</f>
        <v>85095</v>
      </c>
      <c r="M127" s="75">
        <f>'17H28'!V55</f>
        <v>80744</v>
      </c>
      <c r="N127" s="75">
        <f>'18H29'!V55</f>
        <v>77663</v>
      </c>
      <c r="O127" s="75">
        <f>'19H30'!V55</f>
        <v>80040</v>
      </c>
      <c r="P127" s="75">
        <f>'20R1'!V55</f>
        <v>78005</v>
      </c>
      <c r="Q127" s="75">
        <f>'21R2'!U55</f>
        <v>81071</v>
      </c>
      <c r="R127" s="75">
        <f>'22R3'!U55</f>
        <v>93979</v>
      </c>
      <c r="S127" s="75">
        <f>'23R4'!U55</f>
        <v>99585</v>
      </c>
      <c r="T127" s="75">
        <f>'24R5'!U55</f>
        <v>104566</v>
      </c>
      <c r="U127" s="75">
        <f>'25R6'!U55</f>
        <v>102018</v>
      </c>
      <c r="V127" s="75">
        <f>'26R7'!U55</f>
        <v>102018</v>
      </c>
      <c r="W127" s="75">
        <f>'27R8'!U55</f>
        <v>102018</v>
      </c>
      <c r="X127" s="75">
        <f>'28R9'!U55</f>
        <v>102018</v>
      </c>
    </row>
    <row r="128" spans="1:24">
      <c r="A128" s="733">
        <v>225</v>
      </c>
      <c r="B128" s="733" t="s">
        <v>222</v>
      </c>
      <c r="C128" s="733">
        <f>'7H18'!V56</f>
        <v>120485</v>
      </c>
      <c r="D128" s="733">
        <f>'8H19'!V56</f>
        <v>113941</v>
      </c>
      <c r="E128" s="733">
        <f>'9H20'!V56</f>
        <v>110046</v>
      </c>
      <c r="F128" s="733">
        <f>'10H21'!V56</f>
        <v>108420</v>
      </c>
      <c r="G128" s="75">
        <f>'11H22'!V56</f>
        <v>112225</v>
      </c>
      <c r="H128" s="75">
        <f>'12H23'!V56</f>
        <v>113309</v>
      </c>
      <c r="I128" s="75">
        <f>'13H24'!V56</f>
        <v>113921</v>
      </c>
      <c r="J128" s="75">
        <f>'14H25'!V56</f>
        <v>114171</v>
      </c>
      <c r="K128" s="75">
        <f>'15H26'!V56</f>
        <v>115951</v>
      </c>
      <c r="L128" s="75">
        <f>'16H27'!V56</f>
        <v>121637</v>
      </c>
      <c r="M128" s="75">
        <f>'17H28'!V56</f>
        <v>115359</v>
      </c>
      <c r="N128" s="75">
        <f>'18H29'!V56</f>
        <v>170449</v>
      </c>
      <c r="O128" s="75">
        <f>'19H30'!V56</f>
        <v>106396</v>
      </c>
      <c r="P128" s="75">
        <f>'20R1'!V56</f>
        <v>109849</v>
      </c>
      <c r="Q128" s="75">
        <f>'21R2'!U56</f>
        <v>118437</v>
      </c>
      <c r="R128" s="75">
        <f>'22R3'!U56</f>
        <v>132224</v>
      </c>
      <c r="S128" s="75">
        <f>'23R4'!U56</f>
        <v>142995</v>
      </c>
      <c r="T128" s="75">
        <f>'24R5'!U56</f>
        <v>149728</v>
      </c>
      <c r="U128" s="75">
        <f>'25R6'!U56</f>
        <v>147406</v>
      </c>
      <c r="V128" s="75">
        <f>'26R7'!U56</f>
        <v>147406</v>
      </c>
      <c r="W128" s="75">
        <f>'27R8'!U56</f>
        <v>147406</v>
      </c>
      <c r="X128" s="75">
        <f>'28R9'!U56</f>
        <v>147406</v>
      </c>
    </row>
    <row r="129" spans="1:24">
      <c r="A129" s="733">
        <v>585</v>
      </c>
      <c r="B129" s="733" t="s">
        <v>220</v>
      </c>
      <c r="C129" s="733">
        <f>'7H18'!V57</f>
        <v>58964</v>
      </c>
      <c r="D129" s="733">
        <f>'8H19'!V57</f>
        <v>58292</v>
      </c>
      <c r="E129" s="733">
        <f>'9H20'!V57</f>
        <v>57200</v>
      </c>
      <c r="F129" s="733">
        <f>'10H21'!V57</f>
        <v>57069</v>
      </c>
      <c r="G129" s="75">
        <f>'11H22'!V57</f>
        <v>55519</v>
      </c>
      <c r="H129" s="75">
        <f>'12H23'!V57</f>
        <v>58067</v>
      </c>
      <c r="I129" s="75">
        <f>'13H24'!V57</f>
        <v>59967</v>
      </c>
      <c r="J129" s="75">
        <f>'14H25'!V57</f>
        <v>60437</v>
      </c>
      <c r="K129" s="75">
        <f>'15H26'!V57</f>
        <v>60067</v>
      </c>
      <c r="L129" s="75">
        <f>'16H27'!V57</f>
        <v>58028</v>
      </c>
      <c r="M129" s="75">
        <f>'17H28'!V57</f>
        <v>56354</v>
      </c>
      <c r="N129" s="75">
        <f>'18H29'!V57</f>
        <v>58899</v>
      </c>
      <c r="O129" s="75">
        <f>'19H30'!V57</f>
        <v>59722</v>
      </c>
      <c r="P129" s="75">
        <f>'20R1'!V57</f>
        <v>57879</v>
      </c>
      <c r="Q129" s="75">
        <f>'21R2'!U57</f>
        <v>56799</v>
      </c>
      <c r="R129" s="75">
        <f>'22R3'!U57</f>
        <v>68081</v>
      </c>
      <c r="S129" s="75">
        <f>'23R4'!U57</f>
        <v>71371</v>
      </c>
      <c r="T129" s="75">
        <f>'24R5'!U57</f>
        <v>73971</v>
      </c>
      <c r="U129" s="75">
        <f>'25R6'!U57</f>
        <v>73177</v>
      </c>
      <c r="V129" s="75">
        <f>'26R7'!U57</f>
        <v>73177</v>
      </c>
      <c r="W129" s="75">
        <f>'27R8'!U57</f>
        <v>73177</v>
      </c>
      <c r="X129" s="75">
        <f>'28R9'!U57</f>
        <v>73177</v>
      </c>
    </row>
    <row r="130" spans="1:24">
      <c r="A130" s="735">
        <v>586</v>
      </c>
      <c r="B130" s="735" t="s">
        <v>338</v>
      </c>
      <c r="C130" s="735">
        <f>'7H18'!V58</f>
        <v>49936</v>
      </c>
      <c r="D130" s="735">
        <f>'8H19'!V58</f>
        <v>48786</v>
      </c>
      <c r="E130" s="735">
        <f>'9H20'!V58</f>
        <v>47289</v>
      </c>
      <c r="F130" s="735">
        <f>'10H21'!V58</f>
        <v>49720</v>
      </c>
      <c r="G130" s="132">
        <f>'11H22'!V58</f>
        <v>47060</v>
      </c>
      <c r="H130" s="132">
        <f>'12H23'!V58</f>
        <v>48527</v>
      </c>
      <c r="I130" s="75">
        <f>'13H24'!V58</f>
        <v>48885</v>
      </c>
      <c r="J130" s="75">
        <f>'14H25'!V58</f>
        <v>50350</v>
      </c>
      <c r="K130" s="132">
        <f>'15H26'!V58</f>
        <v>47845</v>
      </c>
      <c r="L130" s="75">
        <f>'16H27'!V58</f>
        <v>47331</v>
      </c>
      <c r="M130" s="132">
        <f>'17H28'!V58</f>
        <v>45800</v>
      </c>
      <c r="N130" s="132">
        <f>'18H29'!V58</f>
        <v>47133</v>
      </c>
      <c r="O130" s="75">
        <f>'19H30'!V58</f>
        <v>45669</v>
      </c>
      <c r="P130" s="75">
        <f>'20R1'!V58</f>
        <v>50024</v>
      </c>
      <c r="Q130" s="75">
        <f>'21R2'!U58</f>
        <v>47374</v>
      </c>
      <c r="R130" s="132">
        <f>'22R3'!U58</f>
        <v>56189</v>
      </c>
      <c r="S130" s="132">
        <f>'23R4'!U58</f>
        <v>60359</v>
      </c>
      <c r="T130" s="132">
        <f>'24R5'!U58</f>
        <v>61641</v>
      </c>
      <c r="U130" s="75">
        <f>'25R6'!U58</f>
        <v>60613</v>
      </c>
      <c r="V130" s="75">
        <f>'26R7'!U58</f>
        <v>60613</v>
      </c>
      <c r="W130" s="75">
        <f>'27R8'!U58</f>
        <v>60613</v>
      </c>
      <c r="X130" s="75">
        <f>'28R9'!U58</f>
        <v>60613</v>
      </c>
    </row>
    <row r="131" spans="1:24">
      <c r="A131" s="733">
        <v>8</v>
      </c>
      <c r="B131" s="733" t="s">
        <v>211</v>
      </c>
      <c r="C131" s="733">
        <f>'7H18'!V59</f>
        <v>342822</v>
      </c>
      <c r="D131" s="733">
        <f>'8H19'!V59</f>
        <v>341760</v>
      </c>
      <c r="E131" s="733">
        <f>'9H20'!V59</f>
        <v>332617</v>
      </c>
      <c r="F131" s="733">
        <f>'10H21'!V59</f>
        <v>324248</v>
      </c>
      <c r="G131" s="75">
        <f>'11H22'!V59</f>
        <v>322790</v>
      </c>
      <c r="H131" s="75">
        <f>'12H23'!V59</f>
        <v>325529</v>
      </c>
      <c r="I131" s="130">
        <f>'13H24'!V59</f>
        <v>331351</v>
      </c>
      <c r="J131" s="130">
        <f>'14H25'!V59</f>
        <v>333254</v>
      </c>
      <c r="K131" s="75">
        <f>'15H26'!V59</f>
        <v>373436</v>
      </c>
      <c r="L131" s="130">
        <f>'16H27'!V59</f>
        <v>364210</v>
      </c>
      <c r="M131" s="75">
        <f>'17H28'!V59</f>
        <v>340869</v>
      </c>
      <c r="N131" s="75">
        <f>'18H29'!V59</f>
        <v>330505</v>
      </c>
      <c r="O131" s="130">
        <f>'19H30'!V59</f>
        <v>354600</v>
      </c>
      <c r="P131" s="130">
        <f>'20R1'!V59</f>
        <v>356678</v>
      </c>
      <c r="Q131" s="130">
        <f>'21R2'!U59</f>
        <v>322289</v>
      </c>
      <c r="R131" s="75">
        <f>'22R3'!U59</f>
        <v>408860</v>
      </c>
      <c r="S131" s="75">
        <f>'23R4'!U59</f>
        <v>430838</v>
      </c>
      <c r="T131" s="75">
        <f>'24R5'!U59</f>
        <v>445072</v>
      </c>
      <c r="U131" s="130">
        <f>'25R6'!U59</f>
        <v>452642</v>
      </c>
      <c r="V131" s="75">
        <f>'26R7'!U59</f>
        <v>452642</v>
      </c>
      <c r="W131" s="75">
        <f>'27R8'!U59</f>
        <v>452642</v>
      </c>
      <c r="X131" s="75">
        <f>'28R9'!U59</f>
        <v>452642</v>
      </c>
    </row>
    <row r="132" spans="1:24">
      <c r="A132" s="733">
        <v>221</v>
      </c>
      <c r="B132" s="733" t="s">
        <v>1144</v>
      </c>
      <c r="C132" s="733">
        <f>'7H18'!V60</f>
        <v>141263</v>
      </c>
      <c r="D132" s="733">
        <f>'8H19'!V60</f>
        <v>135202</v>
      </c>
      <c r="E132" s="733">
        <f>'9H20'!V60</f>
        <v>130606</v>
      </c>
      <c r="F132" s="733">
        <f>'10H21'!V60</f>
        <v>130191</v>
      </c>
      <c r="G132" s="75">
        <f>'11H22'!V60</f>
        <v>129969</v>
      </c>
      <c r="H132" s="75">
        <f>'12H23'!V60</f>
        <v>132010</v>
      </c>
      <c r="I132" s="75">
        <f>'13H24'!V60</f>
        <v>133241</v>
      </c>
      <c r="J132" s="75">
        <f>'14H25'!V60</f>
        <v>134398</v>
      </c>
      <c r="K132" s="75">
        <f>'15H26'!V60</f>
        <v>134020</v>
      </c>
      <c r="L132" s="75">
        <f>'16H27'!V60</f>
        <v>134908</v>
      </c>
      <c r="M132" s="75">
        <f>'17H28'!V60</f>
        <v>130873</v>
      </c>
      <c r="N132" s="75">
        <f>'18H29'!V60</f>
        <v>131904</v>
      </c>
      <c r="O132" s="75">
        <f>'19H30'!V60</f>
        <v>140457</v>
      </c>
      <c r="P132" s="75">
        <f>'20R1'!V60</f>
        <v>144748</v>
      </c>
      <c r="Q132" s="75">
        <f>'21R2'!U60</f>
        <v>131507</v>
      </c>
      <c r="R132" s="75">
        <f>'22R3'!U60</f>
        <v>165739</v>
      </c>
      <c r="S132" s="75">
        <f>'23R4'!U60</f>
        <v>177586</v>
      </c>
      <c r="T132" s="75">
        <f>'24R5'!U60</f>
        <v>182475</v>
      </c>
      <c r="U132" s="75">
        <f>'25R6'!U60</f>
        <v>184361</v>
      </c>
      <c r="V132" s="75">
        <f>'26R7'!U60</f>
        <v>184361</v>
      </c>
      <c r="W132" s="75">
        <f>'27R8'!U60</f>
        <v>184361</v>
      </c>
      <c r="X132" s="75">
        <f>'28R9'!U60</f>
        <v>184361</v>
      </c>
    </row>
    <row r="133" spans="1:24">
      <c r="A133" s="733">
        <v>223</v>
      </c>
      <c r="B133" s="733" t="s">
        <v>223</v>
      </c>
      <c r="C133" s="733">
        <f>'7H18'!V61</f>
        <v>201559</v>
      </c>
      <c r="D133" s="733">
        <f>'8H19'!V61</f>
        <v>206558</v>
      </c>
      <c r="E133" s="733">
        <f>'9H20'!V61</f>
        <v>202011</v>
      </c>
      <c r="F133" s="733">
        <f>'10H21'!V61</f>
        <v>194057</v>
      </c>
      <c r="G133" s="75">
        <f>'11H22'!V61</f>
        <v>192821</v>
      </c>
      <c r="H133" s="75">
        <f>'12H23'!V61</f>
        <v>193519</v>
      </c>
      <c r="I133" s="132">
        <f>'13H24'!V61</f>
        <v>198110</v>
      </c>
      <c r="J133" s="132">
        <f>'14H25'!V61</f>
        <v>198856</v>
      </c>
      <c r="K133" s="75">
        <f>'15H26'!V61</f>
        <v>239416</v>
      </c>
      <c r="L133" s="132">
        <f>'16H27'!V61</f>
        <v>229302</v>
      </c>
      <c r="M133" s="75">
        <f>'17H28'!V61</f>
        <v>209996</v>
      </c>
      <c r="N133" s="75">
        <f>'18H29'!V61</f>
        <v>198601</v>
      </c>
      <c r="O133" s="132">
        <f>'19H30'!V61</f>
        <v>214143</v>
      </c>
      <c r="P133" s="132">
        <f>'20R1'!V61</f>
        <v>211930</v>
      </c>
      <c r="Q133" s="132">
        <f>'21R2'!U61</f>
        <v>190782</v>
      </c>
      <c r="R133" s="75">
        <f>'22R3'!U61</f>
        <v>243121</v>
      </c>
      <c r="S133" s="75">
        <f>'23R4'!U61</f>
        <v>253252</v>
      </c>
      <c r="T133" s="75">
        <f>'24R5'!U61</f>
        <v>262597</v>
      </c>
      <c r="U133" s="132">
        <f>'25R6'!U61</f>
        <v>268281</v>
      </c>
      <c r="V133" s="75">
        <f>'26R7'!U61</f>
        <v>268281</v>
      </c>
      <c r="W133" s="75">
        <f>'27R8'!U61</f>
        <v>268281</v>
      </c>
      <c r="X133" s="75">
        <f>'28R9'!U61</f>
        <v>268281</v>
      </c>
    </row>
    <row r="134" spans="1:24">
      <c r="A134" s="734">
        <v>9</v>
      </c>
      <c r="B134" s="734" t="s">
        <v>212</v>
      </c>
      <c r="C134" s="734">
        <f>'7H18'!V62</f>
        <v>424382</v>
      </c>
      <c r="D134" s="734">
        <f>'8H19'!V62</f>
        <v>402164</v>
      </c>
      <c r="E134" s="734">
        <f>'9H20'!V62</f>
        <v>395835</v>
      </c>
      <c r="F134" s="734">
        <f>'10H21'!V62</f>
        <v>415110</v>
      </c>
      <c r="G134" s="130">
        <f>'11H22'!V62</f>
        <v>408837</v>
      </c>
      <c r="H134" s="130">
        <f>'12H23'!V62</f>
        <v>405097</v>
      </c>
      <c r="I134" s="75">
        <f>'13H24'!V62</f>
        <v>415714</v>
      </c>
      <c r="J134" s="75">
        <f>'14H25'!V62</f>
        <v>420591</v>
      </c>
      <c r="K134" s="130">
        <f>'15H26'!V62</f>
        <v>407846</v>
      </c>
      <c r="L134" s="130">
        <f>'16H27'!V62</f>
        <v>417531</v>
      </c>
      <c r="M134" s="130">
        <f>'17H28'!V62</f>
        <v>413129</v>
      </c>
      <c r="N134" s="130">
        <f>'18H29'!V62</f>
        <v>408939</v>
      </c>
      <c r="O134" s="75">
        <f>'19H30'!V62</f>
        <v>392300</v>
      </c>
      <c r="P134" s="75">
        <f>'20R1'!V62</f>
        <v>414364</v>
      </c>
      <c r="Q134" s="75">
        <f>'21R2'!U62</f>
        <v>396218</v>
      </c>
      <c r="R134" s="130">
        <f>'22R3'!U62</f>
        <v>489502</v>
      </c>
      <c r="S134" s="130">
        <f>'23R4'!U62</f>
        <v>517198</v>
      </c>
      <c r="T134" s="130">
        <f>'24R5'!U62</f>
        <v>559839</v>
      </c>
      <c r="U134" s="75">
        <f>'25R6'!U62</f>
        <v>567041</v>
      </c>
      <c r="V134" s="75">
        <f>'26R7'!U62</f>
        <v>567041</v>
      </c>
      <c r="W134" s="75">
        <f>'27R8'!U62</f>
        <v>567041</v>
      </c>
      <c r="X134" s="75">
        <f>'28R9'!U62</f>
        <v>567041</v>
      </c>
    </row>
    <row r="135" spans="1:24">
      <c r="A135" s="733">
        <v>205</v>
      </c>
      <c r="B135" s="733" t="s">
        <v>339</v>
      </c>
      <c r="C135" s="733">
        <f>'7H18'!V63</f>
        <v>148721</v>
      </c>
      <c r="D135" s="733">
        <f>'8H19'!V63</f>
        <v>137377</v>
      </c>
      <c r="E135" s="733">
        <f>'9H20'!V63</f>
        <v>137986</v>
      </c>
      <c r="F135" s="733">
        <f>'10H21'!V63</f>
        <v>143757</v>
      </c>
      <c r="G135" s="75">
        <f>'11H22'!V63</f>
        <v>156690</v>
      </c>
      <c r="H135" s="75">
        <f>'12H23'!V63</f>
        <v>137329</v>
      </c>
      <c r="I135" s="75">
        <f>'13H24'!V63</f>
        <v>139882</v>
      </c>
      <c r="J135" s="75">
        <f>'14H25'!V63</f>
        <v>144646</v>
      </c>
      <c r="K135" s="75">
        <f>'15H26'!V63</f>
        <v>133168</v>
      </c>
      <c r="L135" s="75">
        <f>'16H27'!V63</f>
        <v>138383</v>
      </c>
      <c r="M135" s="75">
        <f>'17H28'!V63</f>
        <v>146609</v>
      </c>
      <c r="N135" s="75">
        <f>'18H29'!V63</f>
        <v>146252</v>
      </c>
      <c r="O135" s="75">
        <f>'19H30'!V63</f>
        <v>131780</v>
      </c>
      <c r="P135" s="75">
        <f>'20R1'!V63</f>
        <v>140210</v>
      </c>
      <c r="Q135" s="75">
        <f>'21R2'!U63</f>
        <v>139994</v>
      </c>
      <c r="R135" s="75">
        <f>'22R3'!U63</f>
        <v>166909</v>
      </c>
      <c r="S135" s="75">
        <f>'23R4'!U63</f>
        <v>178796</v>
      </c>
      <c r="T135" s="75">
        <f>'24R5'!U63</f>
        <v>193464</v>
      </c>
      <c r="U135" s="75">
        <f>'25R6'!U63</f>
        <v>195697</v>
      </c>
      <c r="V135" s="75">
        <f>'26R7'!U63</f>
        <v>195697</v>
      </c>
      <c r="W135" s="75">
        <f>'27R8'!U63</f>
        <v>195697</v>
      </c>
      <c r="X135" s="75">
        <f>'28R9'!U63</f>
        <v>195697</v>
      </c>
    </row>
    <row r="136" spans="1:24">
      <c r="A136" s="733">
        <v>224</v>
      </c>
      <c r="B136" s="733" t="s">
        <v>224</v>
      </c>
      <c r="C136" s="733">
        <f>'7H18'!V64</f>
        <v>129303</v>
      </c>
      <c r="D136" s="733">
        <f>'8H19'!V64</f>
        <v>130690</v>
      </c>
      <c r="E136" s="733">
        <f>'9H20'!V64</f>
        <v>129739</v>
      </c>
      <c r="F136" s="733">
        <f>'10H21'!V64</f>
        <v>129537</v>
      </c>
      <c r="G136" s="75">
        <f>'11H22'!V64</f>
        <v>127480</v>
      </c>
      <c r="H136" s="75">
        <f>'12H23'!V64</f>
        <v>130876</v>
      </c>
      <c r="I136" s="75">
        <f>'13H24'!V64</f>
        <v>132998</v>
      </c>
      <c r="J136" s="75">
        <f>'14H25'!V64</f>
        <v>132531</v>
      </c>
      <c r="K136" s="75">
        <f>'15H26'!V64</f>
        <v>138560</v>
      </c>
      <c r="L136" s="75">
        <f>'16H27'!V64</f>
        <v>137200</v>
      </c>
      <c r="M136" s="75">
        <f>'17H28'!V64</f>
        <v>133298</v>
      </c>
      <c r="N136" s="75">
        <f>'18H29'!V64</f>
        <v>130354</v>
      </c>
      <c r="O136" s="75">
        <f>'19H30'!V64</f>
        <v>129566</v>
      </c>
      <c r="P136" s="75">
        <f>'20R1'!V64</f>
        <v>133058</v>
      </c>
      <c r="Q136" s="75">
        <f>'21R2'!U64</f>
        <v>125197</v>
      </c>
      <c r="R136" s="75">
        <f>'22R3'!U64</f>
        <v>156696</v>
      </c>
      <c r="S136" s="75">
        <f>'23R4'!U64</f>
        <v>164724</v>
      </c>
      <c r="T136" s="75">
        <f>'24R5'!U64</f>
        <v>178101</v>
      </c>
      <c r="U136" s="75">
        <f>'25R6'!U64</f>
        <v>182854</v>
      </c>
      <c r="V136" s="75">
        <f>'26R7'!U64</f>
        <v>182854</v>
      </c>
      <c r="W136" s="75">
        <f>'27R8'!U64</f>
        <v>182854</v>
      </c>
      <c r="X136" s="75">
        <f>'28R9'!U64</f>
        <v>182854</v>
      </c>
    </row>
    <row r="137" spans="1:24">
      <c r="A137" s="735">
        <v>226</v>
      </c>
      <c r="B137" s="735" t="s">
        <v>225</v>
      </c>
      <c r="C137" s="735">
        <f>'7H18'!V65</f>
        <v>146358</v>
      </c>
      <c r="D137" s="735">
        <f>'8H19'!V65</f>
        <v>134097</v>
      </c>
      <c r="E137" s="735">
        <f>'9H20'!V65</f>
        <v>128110</v>
      </c>
      <c r="F137" s="735">
        <f>'10H21'!V65</f>
        <v>141816</v>
      </c>
      <c r="G137" s="132">
        <f>'11H22'!V65</f>
        <v>124667</v>
      </c>
      <c r="H137" s="132">
        <f>'12H23'!V65</f>
        <v>136892</v>
      </c>
      <c r="I137" s="132">
        <f>'13H24'!V65</f>
        <v>142834</v>
      </c>
      <c r="J137" s="132">
        <f>'14H25'!V65</f>
        <v>143414</v>
      </c>
      <c r="K137" s="132">
        <f>'15H26'!V65</f>
        <v>136118</v>
      </c>
      <c r="L137" s="132">
        <f>'16H27'!V65</f>
        <v>141948</v>
      </c>
      <c r="M137" s="132">
        <f>'17H28'!V65</f>
        <v>133222</v>
      </c>
      <c r="N137" s="132">
        <f>'18H29'!V65</f>
        <v>132333</v>
      </c>
      <c r="O137" s="132">
        <f>'19H30'!V65</f>
        <v>130954</v>
      </c>
      <c r="P137" s="132">
        <f>'20R1'!V65</f>
        <v>141096</v>
      </c>
      <c r="Q137" s="132">
        <f>'21R2'!U65</f>
        <v>131027</v>
      </c>
      <c r="R137" s="132">
        <f>'22R3'!U65</f>
        <v>165897</v>
      </c>
      <c r="S137" s="132">
        <f>'23R4'!U65</f>
        <v>173678</v>
      </c>
      <c r="T137" s="132">
        <f>'24R5'!U65</f>
        <v>188274</v>
      </c>
      <c r="U137" s="132">
        <f>'25R6'!U65</f>
        <v>188490</v>
      </c>
      <c r="V137" s="132">
        <f>'26R7'!U65</f>
        <v>188490</v>
      </c>
      <c r="W137" s="132">
        <f>'27R8'!U65</f>
        <v>188490</v>
      </c>
      <c r="X137" s="132">
        <f>'28R9'!U65</f>
        <v>188490</v>
      </c>
    </row>
  </sheetData>
  <phoneticPr fontId="13"/>
  <pageMargins left="0.75" right="0.75" top="1" bottom="1" header="0.51200000000000001" footer="0.51200000000000001"/>
  <pageSetup paperSize="9"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6">
    <tabColor indexed="43"/>
  </sheetPr>
  <dimension ref="A1:X137"/>
  <sheetViews>
    <sheetView workbookViewId="0">
      <pane xSplit="2" ySplit="4" topLeftCell="S123" activePane="bottomRight" state="frozen"/>
      <selection pane="topRight" activeCell="C1" sqref="C1"/>
      <selection pane="bottomLeft" activeCell="A5" sqref="A5"/>
      <selection pane="bottomRight" activeCell="AB124" sqref="AB124"/>
    </sheetView>
  </sheetViews>
  <sheetFormatPr defaultColWidth="8.7109375" defaultRowHeight="13"/>
  <cols>
    <col min="1" max="1" width="3.2109375" style="75" customWidth="1"/>
    <col min="2" max="20" width="8.7109375" style="75"/>
    <col min="21" max="21" width="8.7109375" style="75" customWidth="1"/>
    <col min="22" max="22" width="9.2109375" style="75" customWidth="1"/>
    <col min="23" max="16384" width="8.7109375" style="75"/>
  </cols>
  <sheetData>
    <row r="1" spans="1:24">
      <c r="B1" s="65" t="s">
        <v>825</v>
      </c>
      <c r="C1" s="74"/>
      <c r="F1" s="74" t="s">
        <v>351</v>
      </c>
      <c r="R1" s="628"/>
      <c r="S1" s="935"/>
      <c r="U1" s="935" t="s">
        <v>948</v>
      </c>
      <c r="V1" s="75" t="s">
        <v>14</v>
      </c>
      <c r="W1" s="75" t="s">
        <v>14</v>
      </c>
      <c r="X1" s="75" t="s">
        <v>14</v>
      </c>
    </row>
    <row r="2" spans="1:24">
      <c r="A2" s="728"/>
      <c r="B2" s="729" t="s">
        <v>319</v>
      </c>
      <c r="C2" s="1375">
        <v>2006</v>
      </c>
      <c r="D2" s="1375">
        <v>2007</v>
      </c>
      <c r="E2" s="1375">
        <v>2008</v>
      </c>
      <c r="F2" s="1375">
        <v>2009</v>
      </c>
      <c r="G2" s="1375">
        <v>2010</v>
      </c>
      <c r="H2" s="1375">
        <v>2011</v>
      </c>
      <c r="I2" s="1376">
        <v>2012</v>
      </c>
      <c r="J2" s="1376">
        <v>2013</v>
      </c>
      <c r="K2" s="1376">
        <v>2014</v>
      </c>
      <c r="L2" s="1376">
        <v>2015</v>
      </c>
      <c r="M2" s="1376">
        <v>2016</v>
      </c>
      <c r="N2" s="1376">
        <v>2017</v>
      </c>
      <c r="O2" s="1376">
        <v>2018</v>
      </c>
      <c r="P2" s="1376">
        <v>2019</v>
      </c>
      <c r="Q2" s="1376">
        <v>2020</v>
      </c>
      <c r="R2" s="1376">
        <v>2021</v>
      </c>
      <c r="S2" s="1376">
        <v>2022</v>
      </c>
      <c r="T2" s="1376">
        <v>2023</v>
      </c>
      <c r="U2" s="1376">
        <v>2024</v>
      </c>
      <c r="V2" s="804">
        <v>2025</v>
      </c>
      <c r="W2" s="804">
        <v>2026</v>
      </c>
      <c r="X2" s="476">
        <v>2027</v>
      </c>
    </row>
    <row r="3" spans="1:24">
      <c r="A3" s="730"/>
      <c r="B3" s="730"/>
      <c r="C3" s="77" t="s">
        <v>369</v>
      </c>
      <c r="D3" s="77" t="s">
        <v>370</v>
      </c>
      <c r="E3" s="77" t="s">
        <v>858</v>
      </c>
      <c r="F3" s="77" t="s">
        <v>859</v>
      </c>
      <c r="G3" s="77" t="s">
        <v>911</v>
      </c>
      <c r="H3" s="77" t="s">
        <v>96</v>
      </c>
      <c r="I3" s="77" t="s">
        <v>118</v>
      </c>
      <c r="J3" s="77" t="s">
        <v>119</v>
      </c>
      <c r="K3" s="77" t="s">
        <v>67</v>
      </c>
      <c r="L3" s="77" t="s">
        <v>157</v>
      </c>
      <c r="M3" s="77" t="s">
        <v>1000</v>
      </c>
      <c r="N3" s="77" t="s">
        <v>1036</v>
      </c>
      <c r="O3" s="77" t="s">
        <v>1062</v>
      </c>
      <c r="P3" s="77" t="s">
        <v>1161</v>
      </c>
      <c r="Q3" s="77" t="s">
        <v>1129</v>
      </c>
      <c r="R3" s="77" t="s">
        <v>1160</v>
      </c>
      <c r="S3" s="77" t="s">
        <v>1200</v>
      </c>
      <c r="T3" s="77" t="s">
        <v>1234</v>
      </c>
      <c r="U3" s="77" t="s">
        <v>1561</v>
      </c>
      <c r="V3" s="75" t="s">
        <v>1603</v>
      </c>
      <c r="W3" s="75" t="s">
        <v>1745</v>
      </c>
      <c r="X3" s="491" t="s">
        <v>1783</v>
      </c>
    </row>
    <row r="4" spans="1:24">
      <c r="A4" s="730"/>
      <c r="B4" s="730" t="s">
        <v>320</v>
      </c>
      <c r="C4" s="78"/>
      <c r="D4" s="78" t="s">
        <v>672</v>
      </c>
      <c r="E4" s="78" t="s">
        <v>672</v>
      </c>
      <c r="F4" s="78" t="s">
        <v>672</v>
      </c>
      <c r="G4" s="259"/>
      <c r="H4" s="259"/>
      <c r="I4" s="132"/>
      <c r="J4" s="132"/>
      <c r="K4" s="132"/>
      <c r="L4" s="132"/>
      <c r="M4" s="132"/>
      <c r="N4" s="132"/>
      <c r="O4" s="132"/>
      <c r="P4" s="132"/>
      <c r="Q4" s="132"/>
      <c r="R4" s="132"/>
      <c r="X4" s="477"/>
    </row>
    <row r="5" spans="1:24">
      <c r="A5" s="895" t="s">
        <v>1336</v>
      </c>
      <c r="B5" s="732"/>
      <c r="C5" s="806">
        <f>名目県内総支出!H36</f>
        <v>15595.775042590958</v>
      </c>
      <c r="D5" s="806">
        <f>名目県内総支出!I36</f>
        <v>79330.687787132949</v>
      </c>
      <c r="E5" s="806">
        <f>名目県内総支出!J36</f>
        <v>192431.61218192161</v>
      </c>
      <c r="F5" s="806">
        <f>名目県内総支出!K36</f>
        <v>-196651.89282518681</v>
      </c>
      <c r="G5" s="806">
        <f>名目県内総支出!L36</f>
        <v>-50838.875645655848</v>
      </c>
      <c r="H5" s="806">
        <f>名目県内総支出!M36</f>
        <v>71410</v>
      </c>
      <c r="I5" s="806">
        <f>名目県内総支出!N36</f>
        <v>15577</v>
      </c>
      <c r="J5" s="806">
        <f>名目県内総支出!O36</f>
        <v>42513</v>
      </c>
      <c r="K5" s="806">
        <f>名目県内総支出!P36</f>
        <v>-30584</v>
      </c>
      <c r="L5" s="806">
        <f>名目県内総支出!Q36</f>
        <v>155637</v>
      </c>
      <c r="M5" s="806">
        <f>名目県内総支出!R36</f>
        <v>-62558</v>
      </c>
      <c r="N5" s="806">
        <f>名目県内総支出!S36</f>
        <v>52629</v>
      </c>
      <c r="O5" s="806">
        <f>名目県内総支出!T36</f>
        <v>85436</v>
      </c>
      <c r="P5" s="806">
        <f>名目県内総支出!U36</f>
        <v>146485</v>
      </c>
      <c r="Q5" s="806">
        <f>名目県内総支出!V36</f>
        <v>-181001</v>
      </c>
      <c r="R5" s="1125">
        <f>名目県内総支出!W36</f>
        <v>-61249</v>
      </c>
      <c r="S5" s="1125">
        <f>名目県内総支出!X36</f>
        <v>252762</v>
      </c>
      <c r="T5" s="1125">
        <f>名目県内総支出!Y36</f>
        <v>-2985</v>
      </c>
      <c r="U5" s="1125">
        <f>名目県内総支出!Z36</f>
        <v>-14442</v>
      </c>
      <c r="V5" s="1125">
        <f>名目県内総支出!AA36</f>
        <v>-9490</v>
      </c>
      <c r="W5" s="1125">
        <f>名目県内総支出!AB36</f>
        <v>-9490</v>
      </c>
      <c r="X5" s="1125">
        <f>名目県内総支出!AC36</f>
        <v>-9490</v>
      </c>
    </row>
    <row r="6" spans="1:24">
      <c r="A6" s="732"/>
      <c r="B6" s="732" t="s">
        <v>322</v>
      </c>
      <c r="C6" s="736">
        <f>SUM(C7:C16)</f>
        <v>15595.775042590958</v>
      </c>
      <c r="D6" s="736">
        <f>SUM(D7:D16)</f>
        <v>79330.687787132949</v>
      </c>
      <c r="E6" s="736">
        <f t="shared" ref="E6:J6" si="0">SUM(E7:E16)</f>
        <v>192431.61218192161</v>
      </c>
      <c r="F6" s="736">
        <f t="shared" si="0"/>
        <v>-196651.89282518681</v>
      </c>
      <c r="G6" s="736">
        <f t="shared" si="0"/>
        <v>-50838.875645655848</v>
      </c>
      <c r="H6" s="736">
        <f t="shared" si="0"/>
        <v>71410</v>
      </c>
      <c r="I6" s="736">
        <f t="shared" si="0"/>
        <v>15577</v>
      </c>
      <c r="J6" s="736">
        <f t="shared" si="0"/>
        <v>42513</v>
      </c>
      <c r="K6" s="736">
        <f t="shared" ref="K6:P6" si="1">SUM(K7:K16)</f>
        <v>-30584</v>
      </c>
      <c r="L6" s="736">
        <f t="shared" si="1"/>
        <v>155637</v>
      </c>
      <c r="M6" s="736">
        <f t="shared" si="1"/>
        <v>-62558</v>
      </c>
      <c r="N6" s="736">
        <f t="shared" si="1"/>
        <v>52629</v>
      </c>
      <c r="O6" s="736">
        <f t="shared" si="1"/>
        <v>85436</v>
      </c>
      <c r="P6" s="736">
        <f t="shared" si="1"/>
        <v>146485</v>
      </c>
      <c r="Q6" s="736">
        <f t="shared" ref="Q6:V6" si="2">SUM(Q7:Q16)</f>
        <v>-181001</v>
      </c>
      <c r="R6" s="736">
        <f t="shared" si="2"/>
        <v>-61249</v>
      </c>
      <c r="S6" s="736">
        <f t="shared" si="2"/>
        <v>252762</v>
      </c>
      <c r="T6" s="736">
        <f t="shared" si="2"/>
        <v>-2985</v>
      </c>
      <c r="U6" s="736">
        <f t="shared" si="2"/>
        <v>-14442</v>
      </c>
      <c r="V6" s="736">
        <f t="shared" si="2"/>
        <v>-9490</v>
      </c>
      <c r="W6" s="736">
        <f t="shared" ref="W6:X6" si="3">SUM(W7:W16)</f>
        <v>-9490</v>
      </c>
      <c r="X6" s="736">
        <f t="shared" si="3"/>
        <v>-9490</v>
      </c>
    </row>
    <row r="7" spans="1:24">
      <c r="A7" s="730">
        <v>100</v>
      </c>
      <c r="B7" s="730" t="s">
        <v>172</v>
      </c>
      <c r="C7" s="733">
        <f>C18</f>
        <v>4556.775042590958</v>
      </c>
      <c r="D7" s="733">
        <f>D18</f>
        <v>22990.687787132949</v>
      </c>
      <c r="E7" s="733">
        <f t="shared" ref="E7:G8" si="4">E18</f>
        <v>55592.612181921606</v>
      </c>
      <c r="F7" s="734">
        <f t="shared" si="4"/>
        <v>-56609.892825186806</v>
      </c>
      <c r="G7" s="734">
        <f t="shared" si="4"/>
        <v>-14832.875645655848</v>
      </c>
      <c r="H7" s="734">
        <f t="shared" ref="H7:J8" si="5">H18</f>
        <v>20780</v>
      </c>
      <c r="I7" s="734">
        <f t="shared" si="5"/>
        <v>4459</v>
      </c>
      <c r="J7" s="734">
        <f t="shared" si="5"/>
        <v>12545</v>
      </c>
      <c r="K7" s="734">
        <f t="shared" ref="K7:M8" si="6">K18</f>
        <v>-8870</v>
      </c>
      <c r="L7" s="734">
        <f t="shared" si="6"/>
        <v>45092</v>
      </c>
      <c r="M7" s="734">
        <f t="shared" si="6"/>
        <v>-18480</v>
      </c>
      <c r="N7" s="734">
        <f t="shared" ref="N7:P8" si="7">N18</f>
        <v>16109</v>
      </c>
      <c r="O7" s="734">
        <f t="shared" si="7"/>
        <v>25749</v>
      </c>
      <c r="P7" s="739">
        <f t="shared" si="7"/>
        <v>44435</v>
      </c>
      <c r="Q7" s="734">
        <f t="shared" ref="Q7:S8" si="8">Q18</f>
        <v>-55294</v>
      </c>
      <c r="R7" s="734">
        <f t="shared" si="8"/>
        <v>-17933</v>
      </c>
      <c r="S7" s="734">
        <f t="shared" si="8"/>
        <v>74197</v>
      </c>
      <c r="T7" s="734">
        <f t="shared" ref="T7:U7" si="9">T18</f>
        <v>-881</v>
      </c>
      <c r="U7" s="734">
        <f t="shared" si="9"/>
        <v>-4256</v>
      </c>
      <c r="V7" s="734">
        <f t="shared" ref="V7:W7" si="10">V18</f>
        <v>-2794</v>
      </c>
      <c r="W7" s="734">
        <f t="shared" si="10"/>
        <v>-2794</v>
      </c>
      <c r="X7" s="734">
        <f t="shared" ref="X7" si="11">X18</f>
        <v>-2794</v>
      </c>
    </row>
    <row r="8" spans="1:24">
      <c r="A8" s="730">
        <v>1</v>
      </c>
      <c r="B8" s="730" t="s">
        <v>323</v>
      </c>
      <c r="C8" s="733">
        <f>C19</f>
        <v>3060</v>
      </c>
      <c r="D8" s="733">
        <f>D19</f>
        <v>15508</v>
      </c>
      <c r="E8" s="733">
        <f t="shared" si="4"/>
        <v>38817</v>
      </c>
      <c r="F8" s="733">
        <f t="shared" si="4"/>
        <v>-39337</v>
      </c>
      <c r="G8" s="733">
        <f t="shared" si="4"/>
        <v>-9751</v>
      </c>
      <c r="H8" s="733">
        <f t="shared" si="5"/>
        <v>13430</v>
      </c>
      <c r="I8" s="733">
        <f t="shared" si="5"/>
        <v>2914</v>
      </c>
      <c r="J8" s="733">
        <f t="shared" si="5"/>
        <v>7976</v>
      </c>
      <c r="K8" s="733">
        <f t="shared" si="6"/>
        <v>-5664</v>
      </c>
      <c r="L8" s="733">
        <f t="shared" si="6"/>
        <v>29564</v>
      </c>
      <c r="M8" s="733">
        <f t="shared" si="6"/>
        <v>-11875</v>
      </c>
      <c r="N8" s="733">
        <f t="shared" si="7"/>
        <v>9630</v>
      </c>
      <c r="O8" s="733">
        <f t="shared" si="7"/>
        <v>15797</v>
      </c>
      <c r="P8" s="737">
        <f t="shared" si="7"/>
        <v>26633</v>
      </c>
      <c r="Q8" s="733">
        <f t="shared" si="8"/>
        <v>-33327</v>
      </c>
      <c r="R8" s="733">
        <f t="shared" si="8"/>
        <v>-10933</v>
      </c>
      <c r="S8" s="733">
        <f t="shared" si="8"/>
        <v>44745</v>
      </c>
      <c r="T8" s="733">
        <f t="shared" ref="T8:U8" si="12">T19</f>
        <v>-532</v>
      </c>
      <c r="U8" s="733">
        <f t="shared" si="12"/>
        <v>-2573</v>
      </c>
      <c r="V8" s="733">
        <f t="shared" ref="V8:W8" si="13">V19</f>
        <v>-1691</v>
      </c>
      <c r="W8" s="733">
        <f t="shared" si="13"/>
        <v>-1691</v>
      </c>
      <c r="X8" s="733">
        <f t="shared" ref="X8" si="14">X19</f>
        <v>-1691</v>
      </c>
    </row>
    <row r="9" spans="1:24">
      <c r="A9" s="730">
        <v>2</v>
      </c>
      <c r="B9" s="730" t="s">
        <v>324</v>
      </c>
      <c r="C9" s="733">
        <f>C23</f>
        <v>1804</v>
      </c>
      <c r="D9" s="733">
        <f>D23</f>
        <v>9213</v>
      </c>
      <c r="E9" s="733">
        <f t="shared" ref="E9:J9" si="15">E23</f>
        <v>22145</v>
      </c>
      <c r="F9" s="733">
        <f t="shared" si="15"/>
        <v>-22555</v>
      </c>
      <c r="G9" s="733">
        <f t="shared" si="15"/>
        <v>-5739</v>
      </c>
      <c r="H9" s="733">
        <f t="shared" si="15"/>
        <v>8164</v>
      </c>
      <c r="I9" s="733">
        <f t="shared" si="15"/>
        <v>1808</v>
      </c>
      <c r="J9" s="733">
        <f t="shared" si="15"/>
        <v>4979</v>
      </c>
      <c r="K9" s="733">
        <f t="shared" ref="K9:P9" si="16">K23</f>
        <v>-3642</v>
      </c>
      <c r="L9" s="733">
        <f t="shared" si="16"/>
        <v>18262</v>
      </c>
      <c r="M9" s="733">
        <f t="shared" si="16"/>
        <v>-7335</v>
      </c>
      <c r="N9" s="733">
        <f t="shared" si="16"/>
        <v>6079</v>
      </c>
      <c r="O9" s="733">
        <f t="shared" si="16"/>
        <v>9862</v>
      </c>
      <c r="P9" s="737">
        <f t="shared" si="16"/>
        <v>16972</v>
      </c>
      <c r="Q9" s="733">
        <f t="shared" ref="Q9:V9" si="17">Q23</f>
        <v>-20556</v>
      </c>
      <c r="R9" s="733">
        <f t="shared" si="17"/>
        <v>-7191</v>
      </c>
      <c r="S9" s="733">
        <f t="shared" si="17"/>
        <v>29927</v>
      </c>
      <c r="T9" s="733">
        <f t="shared" si="17"/>
        <v>-352</v>
      </c>
      <c r="U9" s="733">
        <f t="shared" si="17"/>
        <v>-1702</v>
      </c>
      <c r="V9" s="733">
        <f t="shared" si="17"/>
        <v>-1119</v>
      </c>
      <c r="W9" s="733">
        <f t="shared" ref="W9:X9" si="18">W23</f>
        <v>-1119</v>
      </c>
      <c r="X9" s="733">
        <f t="shared" si="18"/>
        <v>-1119</v>
      </c>
    </row>
    <row r="10" spans="1:24">
      <c r="A10" s="730">
        <v>3</v>
      </c>
      <c r="B10" s="730" t="s">
        <v>192</v>
      </c>
      <c r="C10" s="733">
        <f>C29</f>
        <v>1942</v>
      </c>
      <c r="D10" s="733">
        <f>D29</f>
        <v>10023</v>
      </c>
      <c r="E10" s="733">
        <f t="shared" ref="E10:J10" si="19">E29</f>
        <v>25075</v>
      </c>
      <c r="F10" s="733">
        <f t="shared" si="19"/>
        <v>-26140</v>
      </c>
      <c r="G10" s="733">
        <f t="shared" si="19"/>
        <v>-6395</v>
      </c>
      <c r="H10" s="733">
        <f t="shared" si="19"/>
        <v>9538</v>
      </c>
      <c r="I10" s="733">
        <f t="shared" si="19"/>
        <v>2104</v>
      </c>
      <c r="J10" s="733">
        <f t="shared" si="19"/>
        <v>5529</v>
      </c>
      <c r="K10" s="733">
        <f t="shared" ref="K10:P10" si="20">K29</f>
        <v>-4266</v>
      </c>
      <c r="L10" s="733">
        <f t="shared" si="20"/>
        <v>21375</v>
      </c>
      <c r="M10" s="733">
        <f t="shared" si="20"/>
        <v>-8121</v>
      </c>
      <c r="N10" s="733">
        <f t="shared" si="20"/>
        <v>6955</v>
      </c>
      <c r="O10" s="733">
        <f t="shared" si="20"/>
        <v>11157</v>
      </c>
      <c r="P10" s="737">
        <f t="shared" si="20"/>
        <v>19337</v>
      </c>
      <c r="Q10" s="733">
        <f t="shared" ref="Q10:V10" si="21">Q29</f>
        <v>-23872</v>
      </c>
      <c r="R10" s="733">
        <f t="shared" si="21"/>
        <v>-8278</v>
      </c>
      <c r="S10" s="733">
        <f t="shared" si="21"/>
        <v>34310</v>
      </c>
      <c r="T10" s="733">
        <f t="shared" si="21"/>
        <v>-404</v>
      </c>
      <c r="U10" s="733">
        <f t="shared" si="21"/>
        <v>-1970</v>
      </c>
      <c r="V10" s="733">
        <f t="shared" si="21"/>
        <v>-1295</v>
      </c>
      <c r="W10" s="733">
        <f t="shared" ref="W10:X10" si="22">W29</f>
        <v>-1295</v>
      </c>
      <c r="X10" s="733">
        <f t="shared" si="22"/>
        <v>-1295</v>
      </c>
    </row>
    <row r="11" spans="1:24">
      <c r="A11" s="730">
        <v>4</v>
      </c>
      <c r="B11" s="730" t="s">
        <v>325</v>
      </c>
      <c r="C11" s="733">
        <f>C35</f>
        <v>700</v>
      </c>
      <c r="D11" s="733">
        <f>D35</f>
        <v>3756</v>
      </c>
      <c r="E11" s="733">
        <f t="shared" ref="E11:J11" si="23">E35</f>
        <v>8490</v>
      </c>
      <c r="F11" s="733">
        <f t="shared" si="23"/>
        <v>-8484</v>
      </c>
      <c r="G11" s="733">
        <f t="shared" si="23"/>
        <v>-2150</v>
      </c>
      <c r="H11" s="733">
        <f t="shared" si="23"/>
        <v>3491</v>
      </c>
      <c r="I11" s="733">
        <f t="shared" si="23"/>
        <v>777</v>
      </c>
      <c r="J11" s="733">
        <f t="shared" si="23"/>
        <v>2076</v>
      </c>
      <c r="K11" s="733">
        <f t="shared" ref="K11:P11" si="24">K35</f>
        <v>-1356</v>
      </c>
      <c r="L11" s="733">
        <f t="shared" si="24"/>
        <v>6951</v>
      </c>
      <c r="M11" s="733">
        <f t="shared" si="24"/>
        <v>-2871</v>
      </c>
      <c r="N11" s="733">
        <f t="shared" si="24"/>
        <v>2340</v>
      </c>
      <c r="O11" s="733">
        <f t="shared" si="24"/>
        <v>3833</v>
      </c>
      <c r="P11" s="733">
        <f t="shared" si="24"/>
        <v>6854</v>
      </c>
      <c r="Q11" s="733">
        <f t="shared" ref="Q11:V11" si="25">Q35</f>
        <v>-8230</v>
      </c>
      <c r="R11" s="733">
        <f t="shared" si="25"/>
        <v>-3001</v>
      </c>
      <c r="S11" s="733">
        <f t="shared" si="25"/>
        <v>12419</v>
      </c>
      <c r="T11" s="733">
        <f t="shared" si="25"/>
        <v>-146</v>
      </c>
      <c r="U11" s="733">
        <f t="shared" si="25"/>
        <v>-709</v>
      </c>
      <c r="V11" s="733">
        <f t="shared" si="25"/>
        <v>-465</v>
      </c>
      <c r="W11" s="733">
        <f t="shared" ref="W11:X11" si="26">W35</f>
        <v>-465</v>
      </c>
      <c r="X11" s="733">
        <f t="shared" si="26"/>
        <v>-465</v>
      </c>
    </row>
    <row r="12" spans="1:24">
      <c r="A12" s="730">
        <v>5</v>
      </c>
      <c r="B12" s="730" t="s">
        <v>326</v>
      </c>
      <c r="C12" s="733">
        <f>C42</f>
        <v>1635</v>
      </c>
      <c r="D12" s="733">
        <f>D42</f>
        <v>8450</v>
      </c>
      <c r="E12" s="733">
        <f t="shared" ref="E12:J12" si="27">E42</f>
        <v>19940</v>
      </c>
      <c r="F12" s="733">
        <f t="shared" si="27"/>
        <v>-20351</v>
      </c>
      <c r="G12" s="733">
        <f t="shared" si="27"/>
        <v>-6123</v>
      </c>
      <c r="H12" s="733">
        <f t="shared" si="27"/>
        <v>7500</v>
      </c>
      <c r="I12" s="733">
        <f t="shared" si="27"/>
        <v>1638</v>
      </c>
      <c r="J12" s="733">
        <f t="shared" si="27"/>
        <v>4472</v>
      </c>
      <c r="K12" s="733">
        <f t="shared" ref="K12:P12" si="28">K42</f>
        <v>-3183</v>
      </c>
      <c r="L12" s="733">
        <f t="shared" si="28"/>
        <v>16129</v>
      </c>
      <c r="M12" s="733">
        <f t="shared" si="28"/>
        <v>-6678</v>
      </c>
      <c r="N12" s="733">
        <f t="shared" si="28"/>
        <v>5565</v>
      </c>
      <c r="O12" s="733">
        <f t="shared" si="28"/>
        <v>9493</v>
      </c>
      <c r="P12" s="733">
        <f t="shared" si="28"/>
        <v>15649</v>
      </c>
      <c r="Q12" s="733">
        <f t="shared" ref="Q12:V12" si="29">Q42</f>
        <v>-19567</v>
      </c>
      <c r="R12" s="733">
        <f t="shared" si="29"/>
        <v>-6549</v>
      </c>
      <c r="S12" s="733">
        <f t="shared" si="29"/>
        <v>26906</v>
      </c>
      <c r="T12" s="733">
        <f t="shared" si="29"/>
        <v>-314</v>
      </c>
      <c r="U12" s="733">
        <f t="shared" si="29"/>
        <v>-1522</v>
      </c>
      <c r="V12" s="733">
        <f t="shared" si="29"/>
        <v>-1000</v>
      </c>
      <c r="W12" s="733">
        <f t="shared" ref="W12:X12" si="30">W42</f>
        <v>-1000</v>
      </c>
      <c r="X12" s="733">
        <f t="shared" si="30"/>
        <v>-1000</v>
      </c>
    </row>
    <row r="13" spans="1:24">
      <c r="A13" s="730">
        <v>6</v>
      </c>
      <c r="B13" s="730" t="s">
        <v>327</v>
      </c>
      <c r="C13" s="733">
        <f>C47</f>
        <v>728</v>
      </c>
      <c r="D13" s="733">
        <f>D47</f>
        <v>3584</v>
      </c>
      <c r="E13" s="733">
        <f t="shared" ref="E13:J13" si="31">E47</f>
        <v>8527</v>
      </c>
      <c r="F13" s="733">
        <f t="shared" si="31"/>
        <v>-8724</v>
      </c>
      <c r="G13" s="733">
        <f t="shared" si="31"/>
        <v>-2225</v>
      </c>
      <c r="H13" s="733">
        <f t="shared" si="31"/>
        <v>3238</v>
      </c>
      <c r="I13" s="733">
        <f t="shared" si="31"/>
        <v>704</v>
      </c>
      <c r="J13" s="733">
        <f t="shared" si="31"/>
        <v>1843</v>
      </c>
      <c r="K13" s="733">
        <f t="shared" ref="K13:P13" si="32">K47</f>
        <v>-1326</v>
      </c>
      <c r="L13" s="733">
        <f t="shared" si="32"/>
        <v>6827</v>
      </c>
      <c r="M13" s="733">
        <f t="shared" si="32"/>
        <v>-2715</v>
      </c>
      <c r="N13" s="733">
        <f t="shared" si="32"/>
        <v>2155</v>
      </c>
      <c r="O13" s="733">
        <f t="shared" si="32"/>
        <v>3599</v>
      </c>
      <c r="P13" s="733">
        <f t="shared" si="32"/>
        <v>6300</v>
      </c>
      <c r="Q13" s="733">
        <f t="shared" ref="Q13:V13" si="33">Q47</f>
        <v>-7572</v>
      </c>
      <c r="R13" s="733">
        <f t="shared" si="33"/>
        <v>-2787</v>
      </c>
      <c r="S13" s="733">
        <f t="shared" si="33"/>
        <v>11423</v>
      </c>
      <c r="T13" s="733">
        <f t="shared" si="33"/>
        <v>-134</v>
      </c>
      <c r="U13" s="733">
        <f t="shared" si="33"/>
        <v>-639</v>
      </c>
      <c r="V13" s="733">
        <f t="shared" si="33"/>
        <v>-420</v>
      </c>
      <c r="W13" s="733">
        <f t="shared" ref="W13:X13" si="34">W47</f>
        <v>-420</v>
      </c>
      <c r="X13" s="733">
        <f t="shared" si="34"/>
        <v>-420</v>
      </c>
    </row>
    <row r="14" spans="1:24">
      <c r="A14" s="730">
        <v>7</v>
      </c>
      <c r="B14" s="730" t="s">
        <v>210</v>
      </c>
      <c r="C14" s="733">
        <f>C55</f>
        <v>511</v>
      </c>
      <c r="D14" s="733">
        <f>D55</f>
        <v>2521</v>
      </c>
      <c r="E14" s="733">
        <f t="shared" ref="E14:J14" si="35">E55</f>
        <v>6013</v>
      </c>
      <c r="F14" s="733">
        <f t="shared" si="35"/>
        <v>-6251</v>
      </c>
      <c r="G14" s="733">
        <f t="shared" si="35"/>
        <v>-1540</v>
      </c>
      <c r="H14" s="733">
        <f t="shared" si="35"/>
        <v>2336</v>
      </c>
      <c r="I14" s="733">
        <f t="shared" si="35"/>
        <v>521</v>
      </c>
      <c r="J14" s="733">
        <f t="shared" si="35"/>
        <v>1337</v>
      </c>
      <c r="K14" s="733">
        <f t="shared" ref="K14:P14" si="36">K55</f>
        <v>-962</v>
      </c>
      <c r="L14" s="733">
        <f t="shared" si="36"/>
        <v>4833</v>
      </c>
      <c r="M14" s="733">
        <f t="shared" si="36"/>
        <v>-1917</v>
      </c>
      <c r="N14" s="733">
        <f t="shared" si="36"/>
        <v>1714</v>
      </c>
      <c r="O14" s="733">
        <f t="shared" si="36"/>
        <v>2521</v>
      </c>
      <c r="P14" s="733">
        <f t="shared" si="36"/>
        <v>4345</v>
      </c>
      <c r="Q14" s="733">
        <f t="shared" ref="Q14:V14" si="37">Q55</f>
        <v>-5460</v>
      </c>
      <c r="R14" s="733">
        <f t="shared" si="37"/>
        <v>-1928</v>
      </c>
      <c r="S14" s="733">
        <f t="shared" si="37"/>
        <v>7972</v>
      </c>
      <c r="T14" s="733">
        <f t="shared" si="37"/>
        <v>-93</v>
      </c>
      <c r="U14" s="733">
        <f t="shared" si="37"/>
        <v>-444</v>
      </c>
      <c r="V14" s="733">
        <f t="shared" si="37"/>
        <v>-293</v>
      </c>
      <c r="W14" s="733">
        <f t="shared" ref="W14:X14" si="38">W55</f>
        <v>-293</v>
      </c>
      <c r="X14" s="733">
        <f t="shared" si="38"/>
        <v>-293</v>
      </c>
    </row>
    <row r="15" spans="1:24">
      <c r="A15" s="730">
        <v>8</v>
      </c>
      <c r="B15" s="730" t="s">
        <v>211</v>
      </c>
      <c r="C15" s="733">
        <f>C61</f>
        <v>294</v>
      </c>
      <c r="D15" s="733">
        <f>D61</f>
        <v>1509</v>
      </c>
      <c r="E15" s="733">
        <f t="shared" ref="E15:J15" si="39">E61</f>
        <v>3576</v>
      </c>
      <c r="F15" s="733">
        <f t="shared" si="39"/>
        <v>-3596</v>
      </c>
      <c r="G15" s="733">
        <f t="shared" si="39"/>
        <v>-919</v>
      </c>
      <c r="H15" s="733">
        <f t="shared" si="39"/>
        <v>1307</v>
      </c>
      <c r="I15" s="733">
        <f t="shared" si="39"/>
        <v>289</v>
      </c>
      <c r="J15" s="733">
        <f t="shared" si="39"/>
        <v>776</v>
      </c>
      <c r="K15" s="733">
        <f t="shared" ref="K15:P15" si="40">K61</f>
        <v>-629</v>
      </c>
      <c r="L15" s="733">
        <f t="shared" si="40"/>
        <v>3077</v>
      </c>
      <c r="M15" s="733">
        <f t="shared" si="40"/>
        <v>-1160</v>
      </c>
      <c r="N15" s="733">
        <f t="shared" si="40"/>
        <v>930</v>
      </c>
      <c r="O15" s="733">
        <f t="shared" si="40"/>
        <v>1626</v>
      </c>
      <c r="P15" s="733">
        <f t="shared" si="40"/>
        <v>2757</v>
      </c>
      <c r="Q15" s="733">
        <f t="shared" ref="Q15:V15" si="41">Q61</f>
        <v>-3195</v>
      </c>
      <c r="R15" s="733">
        <f t="shared" si="41"/>
        <v>-1206</v>
      </c>
      <c r="S15" s="733">
        <f t="shared" si="41"/>
        <v>4937</v>
      </c>
      <c r="T15" s="733">
        <f t="shared" si="41"/>
        <v>-57</v>
      </c>
      <c r="U15" s="733">
        <f t="shared" si="41"/>
        <v>-278</v>
      </c>
      <c r="V15" s="733">
        <f t="shared" si="41"/>
        <v>-184</v>
      </c>
      <c r="W15" s="733">
        <f t="shared" ref="W15:X15" si="42">W61</f>
        <v>-184</v>
      </c>
      <c r="X15" s="733">
        <f t="shared" si="42"/>
        <v>-184</v>
      </c>
    </row>
    <row r="16" spans="1:24">
      <c r="A16" s="730">
        <v>9</v>
      </c>
      <c r="B16" s="730" t="s">
        <v>212</v>
      </c>
      <c r="C16" s="733">
        <f>C64</f>
        <v>365</v>
      </c>
      <c r="D16" s="733">
        <f>D64</f>
        <v>1776</v>
      </c>
      <c r="E16" s="733">
        <f t="shared" ref="E16:J16" si="43">E64</f>
        <v>4256</v>
      </c>
      <c r="F16" s="733">
        <f t="shared" si="43"/>
        <v>-4604</v>
      </c>
      <c r="G16" s="733">
        <f t="shared" si="43"/>
        <v>-1164</v>
      </c>
      <c r="H16" s="733">
        <f t="shared" si="43"/>
        <v>1626</v>
      </c>
      <c r="I16" s="733">
        <f t="shared" si="43"/>
        <v>363</v>
      </c>
      <c r="J16" s="733">
        <f t="shared" si="43"/>
        <v>980</v>
      </c>
      <c r="K16" s="733">
        <f t="shared" ref="K16:P16" si="44">K64</f>
        <v>-686</v>
      </c>
      <c r="L16" s="733">
        <f t="shared" si="44"/>
        <v>3527</v>
      </c>
      <c r="M16" s="733">
        <f t="shared" si="44"/>
        <v>-1406</v>
      </c>
      <c r="N16" s="733">
        <f t="shared" si="44"/>
        <v>1152</v>
      </c>
      <c r="O16" s="733">
        <f t="shared" si="44"/>
        <v>1799</v>
      </c>
      <c r="P16" s="733">
        <f t="shared" si="44"/>
        <v>3203</v>
      </c>
      <c r="Q16" s="733">
        <f t="shared" ref="Q16:V16" si="45">Q64</f>
        <v>-3928</v>
      </c>
      <c r="R16" s="733">
        <f t="shared" si="45"/>
        <v>-1443</v>
      </c>
      <c r="S16" s="733">
        <f t="shared" si="45"/>
        <v>5926</v>
      </c>
      <c r="T16" s="733">
        <f t="shared" si="45"/>
        <v>-72</v>
      </c>
      <c r="U16" s="733">
        <f t="shared" si="45"/>
        <v>-349</v>
      </c>
      <c r="V16" s="733">
        <f t="shared" si="45"/>
        <v>-229</v>
      </c>
      <c r="W16" s="733">
        <f t="shared" ref="W16:X16" si="46">W64</f>
        <v>-229</v>
      </c>
      <c r="X16" s="733">
        <f t="shared" si="46"/>
        <v>-229</v>
      </c>
    </row>
    <row r="17" spans="1:24">
      <c r="A17" s="816" t="s">
        <v>1352</v>
      </c>
      <c r="B17" s="732"/>
      <c r="C17" s="736">
        <f>ROUND(C$5*C88/C$76,0)-C18</f>
        <v>2.2249574090419628</v>
      </c>
      <c r="D17" s="736">
        <f t="shared" ref="D17:P17" si="47">ROUND(D$5*D88/D$76,0)-D18</f>
        <v>0.31221286705113016</v>
      </c>
      <c r="E17" s="736">
        <f t="shared" si="47"/>
        <v>0.38781807839404792</v>
      </c>
      <c r="F17" s="736">
        <f t="shared" si="47"/>
        <v>-1.1071748131944332</v>
      </c>
      <c r="G17" s="736">
        <f t="shared" si="47"/>
        <v>4.8756456558476202</v>
      </c>
      <c r="H17" s="736">
        <f t="shared" si="47"/>
        <v>-2</v>
      </c>
      <c r="I17" s="736">
        <f t="shared" si="47"/>
        <v>-2</v>
      </c>
      <c r="J17" s="736">
        <f t="shared" si="47"/>
        <v>1</v>
      </c>
      <c r="K17" s="736">
        <f t="shared" si="47"/>
        <v>3</v>
      </c>
      <c r="L17" s="736">
        <f t="shared" si="47"/>
        <v>0</v>
      </c>
      <c r="M17" s="736">
        <f t="shared" si="47"/>
        <v>1</v>
      </c>
      <c r="N17" s="736">
        <f t="shared" si="47"/>
        <v>0</v>
      </c>
      <c r="O17" s="736">
        <f t="shared" si="47"/>
        <v>1</v>
      </c>
      <c r="P17" s="736">
        <f t="shared" si="47"/>
        <v>-2</v>
      </c>
      <c r="Q17" s="736">
        <f t="shared" ref="Q17:V17" si="48">ROUND(Q$5*Q88/Q$76,0)-Q18</f>
        <v>0</v>
      </c>
      <c r="R17" s="736">
        <f t="shared" si="48"/>
        <v>2</v>
      </c>
      <c r="S17" s="736">
        <f t="shared" si="48"/>
        <v>-2</v>
      </c>
      <c r="T17" s="736">
        <f t="shared" si="48"/>
        <v>0</v>
      </c>
      <c r="U17" s="736">
        <f t="shared" si="48"/>
        <v>-3</v>
      </c>
      <c r="V17" s="736">
        <f t="shared" si="48"/>
        <v>-4</v>
      </c>
      <c r="W17" s="736">
        <f t="shared" ref="W17:X17" si="49">ROUND(W$5*W88/W$76,0)-W18</f>
        <v>-4</v>
      </c>
      <c r="X17" s="736">
        <f t="shared" si="49"/>
        <v>-4</v>
      </c>
    </row>
    <row r="18" spans="1:24">
      <c r="A18" s="730">
        <v>100</v>
      </c>
      <c r="B18" s="730" t="s">
        <v>172</v>
      </c>
      <c r="C18" s="733">
        <f>C5-SUM(C8:C16)</f>
        <v>4556.775042590958</v>
      </c>
      <c r="D18" s="733">
        <f>D5-SUM(D8:D16)</f>
        <v>22990.687787132949</v>
      </c>
      <c r="E18" s="733">
        <f>E5-SUM(E8:E16)</f>
        <v>55592.612181921606</v>
      </c>
      <c r="F18" s="733">
        <f>F5-SUM(F8:F16)</f>
        <v>-56609.892825186806</v>
      </c>
      <c r="G18" s="733">
        <f t="shared" ref="G18:L18" si="50">G5-SUM(G8:G16)</f>
        <v>-14832.875645655848</v>
      </c>
      <c r="H18" s="733">
        <f t="shared" si="50"/>
        <v>20780</v>
      </c>
      <c r="I18" s="733">
        <f t="shared" si="50"/>
        <v>4459</v>
      </c>
      <c r="J18" s="733">
        <f t="shared" si="50"/>
        <v>12545</v>
      </c>
      <c r="K18" s="733">
        <f t="shared" si="50"/>
        <v>-8870</v>
      </c>
      <c r="L18" s="733">
        <f t="shared" si="50"/>
        <v>45092</v>
      </c>
      <c r="M18" s="733">
        <f t="shared" ref="M18:R18" si="51">M5-SUM(M8:M16)</f>
        <v>-18480</v>
      </c>
      <c r="N18" s="733">
        <f t="shared" si="51"/>
        <v>16109</v>
      </c>
      <c r="O18" s="733">
        <f t="shared" si="51"/>
        <v>25749</v>
      </c>
      <c r="P18" s="737">
        <f t="shared" si="51"/>
        <v>44435</v>
      </c>
      <c r="Q18" s="733">
        <f t="shared" si="51"/>
        <v>-55294</v>
      </c>
      <c r="R18" s="733">
        <f t="shared" si="51"/>
        <v>-17933</v>
      </c>
      <c r="S18" s="733">
        <f t="shared" ref="S18:X18" si="52">S5-SUM(S8:S16)</f>
        <v>74197</v>
      </c>
      <c r="T18" s="733">
        <f t="shared" si="52"/>
        <v>-881</v>
      </c>
      <c r="U18" s="733">
        <f t="shared" si="52"/>
        <v>-4256</v>
      </c>
      <c r="V18" s="733">
        <f t="shared" si="52"/>
        <v>-2794</v>
      </c>
      <c r="W18" s="733">
        <f t="shared" si="52"/>
        <v>-2794</v>
      </c>
      <c r="X18" s="733">
        <f t="shared" si="52"/>
        <v>-2794</v>
      </c>
    </row>
    <row r="19" spans="1:24">
      <c r="A19" s="728">
        <v>1</v>
      </c>
      <c r="B19" s="728" t="s">
        <v>328</v>
      </c>
      <c r="C19" s="734">
        <f>SUM(C20:C22)</f>
        <v>3060</v>
      </c>
      <c r="D19" s="734">
        <f>SUM(D20:D22)</f>
        <v>15508</v>
      </c>
      <c r="E19" s="734">
        <f>SUM(E20:E22)</f>
        <v>38817</v>
      </c>
      <c r="F19" s="734">
        <f>SUM(F20:F22)</f>
        <v>-39337</v>
      </c>
      <c r="G19" s="734">
        <f t="shared" ref="G19:L19" si="53">SUM(G20:G22)</f>
        <v>-9751</v>
      </c>
      <c r="H19" s="734">
        <f t="shared" si="53"/>
        <v>13430</v>
      </c>
      <c r="I19" s="734">
        <f t="shared" si="53"/>
        <v>2914</v>
      </c>
      <c r="J19" s="734">
        <f t="shared" si="53"/>
        <v>7976</v>
      </c>
      <c r="K19" s="734">
        <f t="shared" si="53"/>
        <v>-5664</v>
      </c>
      <c r="L19" s="734">
        <f t="shared" si="53"/>
        <v>29564</v>
      </c>
      <c r="M19" s="734">
        <f t="shared" ref="M19:R19" si="54">SUM(M20:M22)</f>
        <v>-11875</v>
      </c>
      <c r="N19" s="734">
        <f t="shared" si="54"/>
        <v>9630</v>
      </c>
      <c r="O19" s="734">
        <f t="shared" si="54"/>
        <v>15797</v>
      </c>
      <c r="P19" s="734">
        <f t="shared" si="54"/>
        <v>26633</v>
      </c>
      <c r="Q19" s="734">
        <f t="shared" si="54"/>
        <v>-33327</v>
      </c>
      <c r="R19" s="734">
        <f t="shared" si="54"/>
        <v>-10933</v>
      </c>
      <c r="S19" s="734">
        <f t="shared" ref="S19:X19" si="55">SUM(S20:S22)</f>
        <v>44745</v>
      </c>
      <c r="T19" s="734">
        <f t="shared" si="55"/>
        <v>-532</v>
      </c>
      <c r="U19" s="734">
        <f t="shared" si="55"/>
        <v>-2573</v>
      </c>
      <c r="V19" s="734">
        <f t="shared" si="55"/>
        <v>-1691</v>
      </c>
      <c r="W19" s="734">
        <f t="shared" si="55"/>
        <v>-1691</v>
      </c>
      <c r="X19" s="734">
        <f t="shared" si="55"/>
        <v>-1691</v>
      </c>
    </row>
    <row r="20" spans="1:24">
      <c r="A20" s="730">
        <v>202</v>
      </c>
      <c r="B20" s="730" t="s">
        <v>183</v>
      </c>
      <c r="C20" s="733">
        <f t="shared" ref="C20:E22" si="56">ROUND(C$5*C90/C$76,0)</f>
        <v>1550</v>
      </c>
      <c r="D20" s="733">
        <f t="shared" si="56"/>
        <v>7735</v>
      </c>
      <c r="E20" s="733">
        <f t="shared" si="56"/>
        <v>19651</v>
      </c>
      <c r="F20" s="733">
        <f t="shared" ref="F20:S20" si="57">ROUND(F$5*F90/F$76,0)</f>
        <v>-20224</v>
      </c>
      <c r="G20" s="733">
        <f t="shared" si="57"/>
        <v>-4807</v>
      </c>
      <c r="H20" s="733">
        <f t="shared" si="57"/>
        <v>6395</v>
      </c>
      <c r="I20" s="733">
        <f t="shared" si="57"/>
        <v>1379</v>
      </c>
      <c r="J20" s="733">
        <f t="shared" si="57"/>
        <v>3700</v>
      </c>
      <c r="K20" s="733">
        <f t="shared" si="57"/>
        <v>-2653</v>
      </c>
      <c r="L20" s="733">
        <f t="shared" si="57"/>
        <v>13714</v>
      </c>
      <c r="M20" s="733">
        <f t="shared" si="57"/>
        <v>-5530</v>
      </c>
      <c r="N20" s="733">
        <f t="shared" si="57"/>
        <v>4424</v>
      </c>
      <c r="O20" s="733">
        <f t="shared" si="57"/>
        <v>7282</v>
      </c>
      <c r="P20" s="733">
        <f t="shared" si="57"/>
        <v>12345</v>
      </c>
      <c r="Q20" s="733">
        <f t="shared" si="57"/>
        <v>-15313</v>
      </c>
      <c r="R20" s="733">
        <f t="shared" si="57"/>
        <v>-5021</v>
      </c>
      <c r="S20" s="733">
        <f t="shared" si="57"/>
        <v>20451</v>
      </c>
      <c r="T20" s="733">
        <f t="shared" ref="T20:U20" si="58">ROUND(T$5*T90/T$76,0)</f>
        <v>-244</v>
      </c>
      <c r="U20" s="733">
        <f t="shared" si="58"/>
        <v>-1184</v>
      </c>
      <c r="V20" s="733">
        <f t="shared" ref="V20:W20" si="59">ROUND(V$5*V90/V$76,0)</f>
        <v>-778</v>
      </c>
      <c r="W20" s="733">
        <f t="shared" si="59"/>
        <v>-778</v>
      </c>
      <c r="X20" s="733">
        <f t="shared" ref="X20" si="60">ROUND(X$5*X90/X$76,0)</f>
        <v>-778</v>
      </c>
    </row>
    <row r="21" spans="1:24">
      <c r="A21" s="730">
        <v>204</v>
      </c>
      <c r="B21" s="730" t="s">
        <v>184</v>
      </c>
      <c r="C21" s="733">
        <f t="shared" si="56"/>
        <v>1256</v>
      </c>
      <c r="D21" s="733">
        <f t="shared" si="56"/>
        <v>6466</v>
      </c>
      <c r="E21" s="733">
        <f t="shared" si="56"/>
        <v>16035</v>
      </c>
      <c r="F21" s="733">
        <f t="shared" ref="F21:S21" si="61">ROUND(F$5*F91/F$76,0)</f>
        <v>-15873</v>
      </c>
      <c r="G21" s="733">
        <f t="shared" si="61"/>
        <v>-4147</v>
      </c>
      <c r="H21" s="733">
        <f t="shared" si="61"/>
        <v>5877</v>
      </c>
      <c r="I21" s="733">
        <f t="shared" si="61"/>
        <v>1278</v>
      </c>
      <c r="J21" s="733">
        <f t="shared" si="61"/>
        <v>3529</v>
      </c>
      <c r="K21" s="733">
        <f t="shared" si="61"/>
        <v>-2491</v>
      </c>
      <c r="L21" s="733">
        <f t="shared" si="61"/>
        <v>13072</v>
      </c>
      <c r="M21" s="733">
        <f t="shared" si="61"/>
        <v>-5219</v>
      </c>
      <c r="N21" s="733">
        <f t="shared" si="61"/>
        <v>4322</v>
      </c>
      <c r="O21" s="733">
        <f t="shared" si="61"/>
        <v>7049</v>
      </c>
      <c r="P21" s="737">
        <f t="shared" si="61"/>
        <v>11844</v>
      </c>
      <c r="Q21" s="733">
        <f t="shared" si="61"/>
        <v>-14992</v>
      </c>
      <c r="R21" s="733">
        <f t="shared" si="61"/>
        <v>-4825</v>
      </c>
      <c r="S21" s="733">
        <f t="shared" si="61"/>
        <v>19824</v>
      </c>
      <c r="T21" s="733">
        <f t="shared" ref="T21:U21" si="62">ROUND(T$5*T91/T$76,0)</f>
        <v>-236</v>
      </c>
      <c r="U21" s="733">
        <f t="shared" si="62"/>
        <v>-1139</v>
      </c>
      <c r="V21" s="733">
        <f t="shared" ref="V21:W21" si="63">ROUND(V$5*V91/V$76,0)</f>
        <v>-749</v>
      </c>
      <c r="W21" s="733">
        <f t="shared" si="63"/>
        <v>-749</v>
      </c>
      <c r="X21" s="733">
        <f t="shared" ref="X21" si="64">ROUND(X$5*X91/X$76,0)</f>
        <v>-749</v>
      </c>
    </row>
    <row r="22" spans="1:24">
      <c r="A22" s="731">
        <v>206</v>
      </c>
      <c r="B22" s="731" t="s">
        <v>185</v>
      </c>
      <c r="C22" s="735">
        <f t="shared" si="56"/>
        <v>254</v>
      </c>
      <c r="D22" s="735">
        <f t="shared" si="56"/>
        <v>1307</v>
      </c>
      <c r="E22" s="735">
        <f t="shared" si="56"/>
        <v>3131</v>
      </c>
      <c r="F22" s="735">
        <f t="shared" ref="F22:S22" si="65">ROUND(F$5*F92/F$76,0)</f>
        <v>-3240</v>
      </c>
      <c r="G22" s="735">
        <f t="shared" si="65"/>
        <v>-797</v>
      </c>
      <c r="H22" s="735">
        <f t="shared" si="65"/>
        <v>1158</v>
      </c>
      <c r="I22" s="735">
        <f t="shared" si="65"/>
        <v>257</v>
      </c>
      <c r="J22" s="735">
        <f t="shared" si="65"/>
        <v>747</v>
      </c>
      <c r="K22" s="735">
        <f t="shared" si="65"/>
        <v>-520</v>
      </c>
      <c r="L22" s="735">
        <f t="shared" si="65"/>
        <v>2778</v>
      </c>
      <c r="M22" s="735">
        <f t="shared" si="65"/>
        <v>-1126</v>
      </c>
      <c r="N22" s="735">
        <f t="shared" si="65"/>
        <v>884</v>
      </c>
      <c r="O22" s="735">
        <f t="shared" si="65"/>
        <v>1466</v>
      </c>
      <c r="P22" s="735">
        <f t="shared" si="65"/>
        <v>2444</v>
      </c>
      <c r="Q22" s="735">
        <f t="shared" si="65"/>
        <v>-3022</v>
      </c>
      <c r="R22" s="735">
        <f t="shared" si="65"/>
        <v>-1087</v>
      </c>
      <c r="S22" s="735">
        <f t="shared" si="65"/>
        <v>4470</v>
      </c>
      <c r="T22" s="735">
        <f t="shared" ref="T22:U22" si="66">ROUND(T$5*T92/T$76,0)</f>
        <v>-52</v>
      </c>
      <c r="U22" s="735">
        <f t="shared" si="66"/>
        <v>-250</v>
      </c>
      <c r="V22" s="735">
        <f t="shared" ref="V22:W22" si="67">ROUND(V$5*V92/V$76,0)</f>
        <v>-164</v>
      </c>
      <c r="W22" s="735">
        <f t="shared" si="67"/>
        <v>-164</v>
      </c>
      <c r="X22" s="735">
        <f t="shared" ref="X22" si="68">ROUND(X$5*X92/X$76,0)</f>
        <v>-164</v>
      </c>
    </row>
    <row r="23" spans="1:24">
      <c r="A23" s="730">
        <v>2</v>
      </c>
      <c r="B23" s="730" t="s">
        <v>324</v>
      </c>
      <c r="C23" s="733">
        <f>SUM(C24:C28)</f>
        <v>1804</v>
      </c>
      <c r="D23" s="733">
        <f>SUM(D24:D28)</f>
        <v>9213</v>
      </c>
      <c r="E23" s="733">
        <f>SUM(E24:E28)</f>
        <v>22145</v>
      </c>
      <c r="F23" s="733">
        <f>SUM(F24:F28)</f>
        <v>-22555</v>
      </c>
      <c r="G23" s="733">
        <f t="shared" ref="G23:L23" si="69">SUM(G24:G28)</f>
        <v>-5739</v>
      </c>
      <c r="H23" s="733">
        <f t="shared" si="69"/>
        <v>8164</v>
      </c>
      <c r="I23" s="733">
        <f t="shared" si="69"/>
        <v>1808</v>
      </c>
      <c r="J23" s="733">
        <f t="shared" si="69"/>
        <v>4979</v>
      </c>
      <c r="K23" s="733">
        <f t="shared" si="69"/>
        <v>-3642</v>
      </c>
      <c r="L23" s="733">
        <f t="shared" si="69"/>
        <v>18262</v>
      </c>
      <c r="M23" s="733">
        <f t="shared" ref="M23:R23" si="70">SUM(M24:M28)</f>
        <v>-7335</v>
      </c>
      <c r="N23" s="733">
        <f t="shared" si="70"/>
        <v>6079</v>
      </c>
      <c r="O23" s="733">
        <f t="shared" si="70"/>
        <v>9862</v>
      </c>
      <c r="P23" s="733">
        <f t="shared" si="70"/>
        <v>16972</v>
      </c>
      <c r="Q23" s="733">
        <f t="shared" si="70"/>
        <v>-20556</v>
      </c>
      <c r="R23" s="733">
        <f t="shared" si="70"/>
        <v>-7191</v>
      </c>
      <c r="S23" s="733">
        <f t="shared" ref="S23:X23" si="71">SUM(S24:S28)</f>
        <v>29927</v>
      </c>
      <c r="T23" s="733">
        <f t="shared" si="71"/>
        <v>-352</v>
      </c>
      <c r="U23" s="733">
        <f t="shared" si="71"/>
        <v>-1702</v>
      </c>
      <c r="V23" s="733">
        <f t="shared" si="71"/>
        <v>-1119</v>
      </c>
      <c r="W23" s="733">
        <f t="shared" si="71"/>
        <v>-1119</v>
      </c>
      <c r="X23" s="733">
        <f t="shared" si="71"/>
        <v>-1119</v>
      </c>
    </row>
    <row r="24" spans="1:24">
      <c r="A24" s="730">
        <v>207</v>
      </c>
      <c r="B24" s="730" t="s">
        <v>187</v>
      </c>
      <c r="C24" s="733">
        <f t="shared" ref="C24:E28" si="72">ROUND(C$5*C94/C$76,0)</f>
        <v>530</v>
      </c>
      <c r="D24" s="733">
        <f t="shared" si="72"/>
        <v>2676</v>
      </c>
      <c r="E24" s="733">
        <f t="shared" si="72"/>
        <v>6330</v>
      </c>
      <c r="F24" s="733">
        <f t="shared" ref="F24:S24" si="73">ROUND(F$5*F94/F$76,0)</f>
        <v>-6439</v>
      </c>
      <c r="G24" s="733">
        <f t="shared" si="73"/>
        <v>-1616</v>
      </c>
      <c r="H24" s="733">
        <f t="shared" si="73"/>
        <v>2372</v>
      </c>
      <c r="I24" s="733">
        <f t="shared" si="73"/>
        <v>510</v>
      </c>
      <c r="J24" s="733">
        <f t="shared" si="73"/>
        <v>1443</v>
      </c>
      <c r="K24" s="733">
        <f t="shared" si="73"/>
        <v>-1023</v>
      </c>
      <c r="L24" s="733">
        <f t="shared" si="73"/>
        <v>5180</v>
      </c>
      <c r="M24" s="733">
        <f t="shared" si="73"/>
        <v>-2140</v>
      </c>
      <c r="N24" s="733">
        <f t="shared" si="73"/>
        <v>1753</v>
      </c>
      <c r="O24" s="733">
        <f t="shared" si="73"/>
        <v>2846</v>
      </c>
      <c r="P24" s="733">
        <f t="shared" si="73"/>
        <v>4957</v>
      </c>
      <c r="Q24" s="733">
        <f t="shared" si="73"/>
        <v>-6099</v>
      </c>
      <c r="R24" s="733">
        <f t="shared" si="73"/>
        <v>-2088</v>
      </c>
      <c r="S24" s="733">
        <f t="shared" si="73"/>
        <v>8785</v>
      </c>
      <c r="T24" s="733">
        <f t="shared" ref="T24:U24" si="74">ROUND(T$5*T94/T$76,0)</f>
        <v>-104</v>
      </c>
      <c r="U24" s="733">
        <f t="shared" si="74"/>
        <v>-504</v>
      </c>
      <c r="V24" s="733">
        <f t="shared" ref="V24:W24" si="75">ROUND(V$5*V94/V$76,0)</f>
        <v>-331</v>
      </c>
      <c r="W24" s="733">
        <f t="shared" si="75"/>
        <v>-331</v>
      </c>
      <c r="X24" s="733">
        <f t="shared" ref="X24" si="76">ROUND(X$5*X94/X$76,0)</f>
        <v>-331</v>
      </c>
    </row>
    <row r="25" spans="1:24">
      <c r="A25" s="730">
        <v>214</v>
      </c>
      <c r="B25" s="730" t="s">
        <v>188</v>
      </c>
      <c r="C25" s="733">
        <f t="shared" si="72"/>
        <v>560</v>
      </c>
      <c r="D25" s="733">
        <f t="shared" si="72"/>
        <v>2838</v>
      </c>
      <c r="E25" s="733">
        <f t="shared" si="72"/>
        <v>6869</v>
      </c>
      <c r="F25" s="733">
        <f t="shared" ref="F25:S25" si="77">ROUND(F$5*F95/F$76,0)</f>
        <v>-7080</v>
      </c>
      <c r="G25" s="733">
        <f t="shared" si="77"/>
        <v>-1841</v>
      </c>
      <c r="H25" s="733">
        <f t="shared" si="77"/>
        <v>2549</v>
      </c>
      <c r="I25" s="733">
        <f t="shared" si="77"/>
        <v>566</v>
      </c>
      <c r="J25" s="733">
        <f t="shared" si="77"/>
        <v>1576</v>
      </c>
      <c r="K25" s="733">
        <f t="shared" si="77"/>
        <v>-1140</v>
      </c>
      <c r="L25" s="733">
        <f t="shared" si="77"/>
        <v>5713</v>
      </c>
      <c r="M25" s="733">
        <f t="shared" si="77"/>
        <v>-2239</v>
      </c>
      <c r="N25" s="733">
        <f t="shared" si="77"/>
        <v>1888</v>
      </c>
      <c r="O25" s="733">
        <f t="shared" si="77"/>
        <v>3043</v>
      </c>
      <c r="P25" s="733">
        <f t="shared" si="77"/>
        <v>5224</v>
      </c>
      <c r="Q25" s="733">
        <f t="shared" si="77"/>
        <v>-6263</v>
      </c>
      <c r="R25" s="733">
        <f t="shared" si="77"/>
        <v>-2192</v>
      </c>
      <c r="S25" s="733">
        <f t="shared" si="77"/>
        <v>9134</v>
      </c>
      <c r="T25" s="733">
        <f t="shared" ref="T25:U25" si="78">ROUND(T$5*T95/T$76,0)</f>
        <v>-106</v>
      </c>
      <c r="U25" s="733">
        <f t="shared" si="78"/>
        <v>-515</v>
      </c>
      <c r="V25" s="733">
        <f t="shared" ref="V25:W25" si="79">ROUND(V$5*V95/V$76,0)</f>
        <v>-339</v>
      </c>
      <c r="W25" s="733">
        <f t="shared" si="79"/>
        <v>-339</v>
      </c>
      <c r="X25" s="733">
        <f t="shared" ref="X25" si="80">ROUND(X$5*X95/X$76,0)</f>
        <v>-339</v>
      </c>
    </row>
    <row r="26" spans="1:24">
      <c r="A26" s="730">
        <v>217</v>
      </c>
      <c r="B26" s="730" t="s">
        <v>189</v>
      </c>
      <c r="C26" s="733">
        <f t="shared" si="72"/>
        <v>375</v>
      </c>
      <c r="D26" s="733">
        <f t="shared" si="72"/>
        <v>1984</v>
      </c>
      <c r="E26" s="733">
        <f t="shared" si="72"/>
        <v>4749</v>
      </c>
      <c r="F26" s="733">
        <f t="shared" ref="F26:S26" si="81">ROUND(F$5*F96/F$76,0)</f>
        <v>-4766</v>
      </c>
      <c r="G26" s="733">
        <f t="shared" si="81"/>
        <v>-1210</v>
      </c>
      <c r="H26" s="733">
        <f t="shared" si="81"/>
        <v>1684</v>
      </c>
      <c r="I26" s="733">
        <f t="shared" si="81"/>
        <v>377</v>
      </c>
      <c r="J26" s="733">
        <f t="shared" si="81"/>
        <v>1036</v>
      </c>
      <c r="K26" s="733">
        <f t="shared" si="81"/>
        <v>-756</v>
      </c>
      <c r="L26" s="733">
        <f t="shared" si="81"/>
        <v>3793</v>
      </c>
      <c r="M26" s="733">
        <f t="shared" si="81"/>
        <v>-1496</v>
      </c>
      <c r="N26" s="733">
        <f t="shared" si="81"/>
        <v>1291</v>
      </c>
      <c r="O26" s="733">
        <f t="shared" si="81"/>
        <v>2038</v>
      </c>
      <c r="P26" s="733">
        <f t="shared" si="81"/>
        <v>3498</v>
      </c>
      <c r="Q26" s="733">
        <f t="shared" si="81"/>
        <v>-4267</v>
      </c>
      <c r="R26" s="733">
        <f t="shared" si="81"/>
        <v>-1458</v>
      </c>
      <c r="S26" s="733">
        <f t="shared" si="81"/>
        <v>6047</v>
      </c>
      <c r="T26" s="733">
        <f t="shared" ref="T26:U26" si="82">ROUND(T$5*T96/T$76,0)</f>
        <v>-71</v>
      </c>
      <c r="U26" s="733">
        <f t="shared" si="82"/>
        <v>-345</v>
      </c>
      <c r="V26" s="733">
        <f t="shared" ref="V26:W26" si="83">ROUND(V$5*V96/V$76,0)</f>
        <v>-227</v>
      </c>
      <c r="W26" s="733">
        <f t="shared" si="83"/>
        <v>-227</v>
      </c>
      <c r="X26" s="733">
        <f t="shared" ref="X26" si="84">ROUND(X$5*X96/X$76,0)</f>
        <v>-227</v>
      </c>
    </row>
    <row r="27" spans="1:24">
      <c r="A27" s="730">
        <v>219</v>
      </c>
      <c r="B27" s="730" t="s">
        <v>190</v>
      </c>
      <c r="C27" s="733">
        <f t="shared" si="72"/>
        <v>270</v>
      </c>
      <c r="D27" s="733">
        <f t="shared" si="72"/>
        <v>1361</v>
      </c>
      <c r="E27" s="733">
        <f t="shared" si="72"/>
        <v>3342</v>
      </c>
      <c r="F27" s="733">
        <f t="shared" ref="F27:S27" si="85">ROUND(F$5*F97/F$76,0)</f>
        <v>-3404</v>
      </c>
      <c r="G27" s="733">
        <f t="shared" si="85"/>
        <v>-852</v>
      </c>
      <c r="H27" s="733">
        <f t="shared" si="85"/>
        <v>1237</v>
      </c>
      <c r="I27" s="733">
        <f t="shared" si="85"/>
        <v>284</v>
      </c>
      <c r="J27" s="733">
        <f t="shared" si="85"/>
        <v>736</v>
      </c>
      <c r="K27" s="733">
        <f t="shared" si="85"/>
        <v>-583</v>
      </c>
      <c r="L27" s="733">
        <f t="shared" si="85"/>
        <v>2874</v>
      </c>
      <c r="M27" s="733">
        <f t="shared" si="85"/>
        <v>-1186</v>
      </c>
      <c r="N27" s="733">
        <f t="shared" si="85"/>
        <v>917</v>
      </c>
      <c r="O27" s="733">
        <f t="shared" si="85"/>
        <v>1569</v>
      </c>
      <c r="P27" s="733">
        <f t="shared" si="85"/>
        <v>2639</v>
      </c>
      <c r="Q27" s="733">
        <f t="shared" si="85"/>
        <v>-3146</v>
      </c>
      <c r="R27" s="733">
        <f t="shared" si="85"/>
        <v>-1165</v>
      </c>
      <c r="S27" s="733">
        <f t="shared" si="85"/>
        <v>4775</v>
      </c>
      <c r="T27" s="733">
        <f t="shared" ref="T27:U27" si="86">ROUND(T$5*T97/T$76,0)</f>
        <v>-57</v>
      </c>
      <c r="U27" s="733">
        <f t="shared" si="86"/>
        <v>-272</v>
      </c>
      <c r="V27" s="733">
        <f t="shared" ref="V27:W27" si="87">ROUND(V$5*V97/V$76,0)</f>
        <v>-179</v>
      </c>
      <c r="W27" s="733">
        <f t="shared" si="87"/>
        <v>-179</v>
      </c>
      <c r="X27" s="733">
        <f t="shared" ref="X27" si="88">ROUND(X$5*X97/X$76,0)</f>
        <v>-179</v>
      </c>
    </row>
    <row r="28" spans="1:24">
      <c r="A28" s="730">
        <v>301</v>
      </c>
      <c r="B28" s="730" t="s">
        <v>191</v>
      </c>
      <c r="C28" s="735">
        <f t="shared" si="72"/>
        <v>69</v>
      </c>
      <c r="D28" s="735">
        <f t="shared" si="72"/>
        <v>354</v>
      </c>
      <c r="E28" s="735">
        <f t="shared" si="72"/>
        <v>855</v>
      </c>
      <c r="F28" s="735">
        <f t="shared" ref="F28:S28" si="89">ROUND(F$5*F98/F$76,0)</f>
        <v>-866</v>
      </c>
      <c r="G28" s="735">
        <f t="shared" si="89"/>
        <v>-220</v>
      </c>
      <c r="H28" s="735">
        <f t="shared" si="89"/>
        <v>322</v>
      </c>
      <c r="I28" s="735">
        <f t="shared" si="89"/>
        <v>71</v>
      </c>
      <c r="J28" s="735">
        <f t="shared" si="89"/>
        <v>188</v>
      </c>
      <c r="K28" s="735">
        <f t="shared" si="89"/>
        <v>-140</v>
      </c>
      <c r="L28" s="735">
        <f t="shared" si="89"/>
        <v>702</v>
      </c>
      <c r="M28" s="735">
        <f t="shared" si="89"/>
        <v>-274</v>
      </c>
      <c r="N28" s="735">
        <f t="shared" si="89"/>
        <v>230</v>
      </c>
      <c r="O28" s="735">
        <f t="shared" si="89"/>
        <v>366</v>
      </c>
      <c r="P28" s="735">
        <f t="shared" si="89"/>
        <v>654</v>
      </c>
      <c r="Q28" s="735">
        <f t="shared" si="89"/>
        <v>-781</v>
      </c>
      <c r="R28" s="735">
        <f t="shared" si="89"/>
        <v>-288</v>
      </c>
      <c r="S28" s="735">
        <f t="shared" si="89"/>
        <v>1186</v>
      </c>
      <c r="T28" s="735">
        <f t="shared" ref="T28:U28" si="90">ROUND(T$5*T98/T$76,0)</f>
        <v>-14</v>
      </c>
      <c r="U28" s="735">
        <f t="shared" si="90"/>
        <v>-66</v>
      </c>
      <c r="V28" s="735">
        <f t="shared" ref="V28:W28" si="91">ROUND(V$5*V98/V$76,0)</f>
        <v>-43</v>
      </c>
      <c r="W28" s="735">
        <f t="shared" si="91"/>
        <v>-43</v>
      </c>
      <c r="X28" s="735">
        <f t="shared" ref="X28" si="92">ROUND(X$5*X98/X$76,0)</f>
        <v>-43</v>
      </c>
    </row>
    <row r="29" spans="1:24">
      <c r="A29" s="728">
        <v>3</v>
      </c>
      <c r="B29" s="728" t="s">
        <v>192</v>
      </c>
      <c r="C29" s="734">
        <f>SUM(C30:C34)</f>
        <v>1942</v>
      </c>
      <c r="D29" s="734">
        <f>SUM(D30:D34)</f>
        <v>10023</v>
      </c>
      <c r="E29" s="734">
        <f>SUM(E30:E34)</f>
        <v>25075</v>
      </c>
      <c r="F29" s="734">
        <f>SUM(F30:F34)</f>
        <v>-26140</v>
      </c>
      <c r="G29" s="734">
        <f t="shared" ref="G29:L29" si="93">SUM(G30:G34)</f>
        <v>-6395</v>
      </c>
      <c r="H29" s="734">
        <f t="shared" si="93"/>
        <v>9538</v>
      </c>
      <c r="I29" s="734">
        <f t="shared" si="93"/>
        <v>2104</v>
      </c>
      <c r="J29" s="734">
        <f t="shared" si="93"/>
        <v>5529</v>
      </c>
      <c r="K29" s="734">
        <f t="shared" si="93"/>
        <v>-4266</v>
      </c>
      <c r="L29" s="734">
        <f t="shared" si="93"/>
        <v>21375</v>
      </c>
      <c r="M29" s="734">
        <f t="shared" ref="M29:R29" si="94">SUM(M30:M34)</f>
        <v>-8121</v>
      </c>
      <c r="N29" s="734">
        <f t="shared" si="94"/>
        <v>6955</v>
      </c>
      <c r="O29" s="734">
        <f t="shared" si="94"/>
        <v>11157</v>
      </c>
      <c r="P29" s="734">
        <f t="shared" si="94"/>
        <v>19337</v>
      </c>
      <c r="Q29" s="734">
        <f t="shared" si="94"/>
        <v>-23872</v>
      </c>
      <c r="R29" s="734">
        <f t="shared" si="94"/>
        <v>-8278</v>
      </c>
      <c r="S29" s="734">
        <f t="shared" ref="S29:X29" si="95">SUM(S30:S34)</f>
        <v>34310</v>
      </c>
      <c r="T29" s="734">
        <f t="shared" si="95"/>
        <v>-404</v>
      </c>
      <c r="U29" s="734">
        <f t="shared" si="95"/>
        <v>-1970</v>
      </c>
      <c r="V29" s="734">
        <f t="shared" si="95"/>
        <v>-1295</v>
      </c>
      <c r="W29" s="734">
        <f t="shared" si="95"/>
        <v>-1295</v>
      </c>
      <c r="X29" s="734">
        <f t="shared" si="95"/>
        <v>-1295</v>
      </c>
    </row>
    <row r="30" spans="1:24">
      <c r="A30" s="730">
        <v>203</v>
      </c>
      <c r="B30" s="730" t="s">
        <v>193</v>
      </c>
      <c r="C30" s="733">
        <f t="shared" ref="C30:E34" si="96">ROUND(C$5*C100/C$76,0)</f>
        <v>767</v>
      </c>
      <c r="D30" s="733">
        <f t="shared" si="96"/>
        <v>3940</v>
      </c>
      <c r="E30" s="733">
        <f t="shared" si="96"/>
        <v>9855</v>
      </c>
      <c r="F30" s="733">
        <f t="shared" ref="F30:S30" si="97">ROUND(F$5*F100/F$76,0)</f>
        <v>-9870</v>
      </c>
      <c r="G30" s="733">
        <f t="shared" si="97"/>
        <v>-2523</v>
      </c>
      <c r="H30" s="733">
        <f t="shared" si="97"/>
        <v>3598</v>
      </c>
      <c r="I30" s="733">
        <f t="shared" si="97"/>
        <v>793</v>
      </c>
      <c r="J30" s="733">
        <f t="shared" si="97"/>
        <v>2230</v>
      </c>
      <c r="K30" s="733">
        <f t="shared" si="97"/>
        <v>-1616</v>
      </c>
      <c r="L30" s="733">
        <f t="shared" si="97"/>
        <v>8157</v>
      </c>
      <c r="M30" s="733">
        <f t="shared" si="97"/>
        <v>-3298</v>
      </c>
      <c r="N30" s="733">
        <f t="shared" si="97"/>
        <v>2811</v>
      </c>
      <c r="O30" s="733">
        <f t="shared" si="97"/>
        <v>4604</v>
      </c>
      <c r="P30" s="733">
        <f t="shared" si="97"/>
        <v>7780</v>
      </c>
      <c r="Q30" s="733">
        <f t="shared" si="97"/>
        <v>-9724</v>
      </c>
      <c r="R30" s="733">
        <f t="shared" si="97"/>
        <v>-3342</v>
      </c>
      <c r="S30" s="733">
        <f t="shared" si="97"/>
        <v>13725</v>
      </c>
      <c r="T30" s="733">
        <f t="shared" ref="T30:U30" si="98">ROUND(T$5*T100/T$76,0)</f>
        <v>-163</v>
      </c>
      <c r="U30" s="733">
        <f t="shared" si="98"/>
        <v>-795</v>
      </c>
      <c r="V30" s="733">
        <f t="shared" ref="V30:W30" si="99">ROUND(V$5*V100/V$76,0)</f>
        <v>-522</v>
      </c>
      <c r="W30" s="733">
        <f t="shared" si="99"/>
        <v>-522</v>
      </c>
      <c r="X30" s="733">
        <f t="shared" ref="X30" si="100">ROUND(X$5*X100/X$76,0)</f>
        <v>-522</v>
      </c>
    </row>
    <row r="31" spans="1:24">
      <c r="A31" s="730">
        <v>210</v>
      </c>
      <c r="B31" s="730" t="s">
        <v>194</v>
      </c>
      <c r="C31" s="733">
        <f t="shared" si="96"/>
        <v>696</v>
      </c>
      <c r="D31" s="733">
        <f t="shared" si="96"/>
        <v>3643</v>
      </c>
      <c r="E31" s="733">
        <f t="shared" si="96"/>
        <v>8990</v>
      </c>
      <c r="F31" s="733">
        <f t="shared" ref="F31:S31" si="101">ROUND(F$5*F101/F$76,0)</f>
        <v>-9527</v>
      </c>
      <c r="G31" s="733">
        <f t="shared" si="101"/>
        <v>-2381</v>
      </c>
      <c r="H31" s="733">
        <f t="shared" si="101"/>
        <v>3768</v>
      </c>
      <c r="I31" s="733">
        <f t="shared" si="101"/>
        <v>827</v>
      </c>
      <c r="J31" s="733">
        <f t="shared" si="101"/>
        <v>2005</v>
      </c>
      <c r="K31" s="733">
        <f t="shared" si="101"/>
        <v>-1524</v>
      </c>
      <c r="L31" s="733">
        <f t="shared" si="101"/>
        <v>7546</v>
      </c>
      <c r="M31" s="733">
        <f t="shared" si="101"/>
        <v>-2974</v>
      </c>
      <c r="N31" s="733">
        <f t="shared" si="101"/>
        <v>2528</v>
      </c>
      <c r="O31" s="733">
        <f t="shared" si="101"/>
        <v>3897</v>
      </c>
      <c r="P31" s="733">
        <f t="shared" si="101"/>
        <v>6611</v>
      </c>
      <c r="Q31" s="733">
        <f t="shared" si="101"/>
        <v>-8247</v>
      </c>
      <c r="R31" s="733">
        <f t="shared" si="101"/>
        <v>-2823</v>
      </c>
      <c r="S31" s="733">
        <f t="shared" si="101"/>
        <v>11684</v>
      </c>
      <c r="T31" s="733">
        <f t="shared" ref="T31:U31" si="102">ROUND(T$5*T101/T$76,0)</f>
        <v>-137</v>
      </c>
      <c r="U31" s="733">
        <f t="shared" si="102"/>
        <v>-669</v>
      </c>
      <c r="V31" s="733">
        <f t="shared" ref="V31:W31" si="103">ROUND(V$5*V101/V$76,0)</f>
        <v>-440</v>
      </c>
      <c r="W31" s="733">
        <f t="shared" si="103"/>
        <v>-440</v>
      </c>
      <c r="X31" s="733">
        <f t="shared" ref="X31" si="104">ROUND(X$5*X101/X$76,0)</f>
        <v>-440</v>
      </c>
    </row>
    <row r="32" spans="1:24">
      <c r="A32" s="730">
        <v>216</v>
      </c>
      <c r="B32" s="730" t="s">
        <v>195</v>
      </c>
      <c r="C32" s="733">
        <f t="shared" si="96"/>
        <v>314</v>
      </c>
      <c r="D32" s="733">
        <f t="shared" si="96"/>
        <v>1564</v>
      </c>
      <c r="E32" s="733">
        <f t="shared" si="96"/>
        <v>4127</v>
      </c>
      <c r="F32" s="733">
        <f t="shared" ref="F32:S32" si="105">ROUND(F$5*F102/F$76,0)</f>
        <v>-4611</v>
      </c>
      <c r="G32" s="733">
        <f t="shared" si="105"/>
        <v>-964</v>
      </c>
      <c r="H32" s="733">
        <f t="shared" si="105"/>
        <v>1408</v>
      </c>
      <c r="I32" s="733">
        <f t="shared" si="105"/>
        <v>317</v>
      </c>
      <c r="J32" s="733">
        <f t="shared" si="105"/>
        <v>817</v>
      </c>
      <c r="K32" s="733">
        <f t="shared" si="105"/>
        <v>-793</v>
      </c>
      <c r="L32" s="733">
        <f t="shared" si="105"/>
        <v>3982</v>
      </c>
      <c r="M32" s="733">
        <f t="shared" si="105"/>
        <v>-1184</v>
      </c>
      <c r="N32" s="733">
        <f t="shared" si="105"/>
        <v>994</v>
      </c>
      <c r="O32" s="733">
        <f t="shared" si="105"/>
        <v>1652</v>
      </c>
      <c r="P32" s="733">
        <f t="shared" si="105"/>
        <v>3288</v>
      </c>
      <c r="Q32" s="733">
        <f t="shared" si="105"/>
        <v>-3775</v>
      </c>
      <c r="R32" s="733">
        <f t="shared" si="105"/>
        <v>-1337</v>
      </c>
      <c r="S32" s="733">
        <f t="shared" si="105"/>
        <v>5720</v>
      </c>
      <c r="T32" s="733">
        <f t="shared" ref="T32:U32" si="106">ROUND(T$5*T102/T$76,0)</f>
        <v>-66</v>
      </c>
      <c r="U32" s="733">
        <f t="shared" si="106"/>
        <v>-319</v>
      </c>
      <c r="V32" s="733">
        <f t="shared" ref="V32:W32" si="107">ROUND(V$5*V102/V$76,0)</f>
        <v>-210</v>
      </c>
      <c r="W32" s="733">
        <f t="shared" si="107"/>
        <v>-210</v>
      </c>
      <c r="X32" s="733">
        <f t="shared" ref="X32" si="108">ROUND(X$5*X102/X$76,0)</f>
        <v>-210</v>
      </c>
    </row>
    <row r="33" spans="1:24">
      <c r="A33" s="730">
        <v>381</v>
      </c>
      <c r="B33" s="730" t="s">
        <v>196</v>
      </c>
      <c r="C33" s="733">
        <f t="shared" si="96"/>
        <v>73</v>
      </c>
      <c r="D33" s="733">
        <f t="shared" si="96"/>
        <v>386</v>
      </c>
      <c r="E33" s="733">
        <f t="shared" si="96"/>
        <v>876</v>
      </c>
      <c r="F33" s="733">
        <f t="shared" ref="F33:S33" si="109">ROUND(F$5*F103/F$76,0)</f>
        <v>-888</v>
      </c>
      <c r="G33" s="733">
        <f t="shared" si="109"/>
        <v>-225</v>
      </c>
      <c r="H33" s="733">
        <f t="shared" si="109"/>
        <v>328</v>
      </c>
      <c r="I33" s="733">
        <f t="shared" si="109"/>
        <v>72</v>
      </c>
      <c r="J33" s="733">
        <f t="shared" si="109"/>
        <v>194</v>
      </c>
      <c r="K33" s="733">
        <f t="shared" si="109"/>
        <v>-140</v>
      </c>
      <c r="L33" s="733">
        <f t="shared" si="109"/>
        <v>710</v>
      </c>
      <c r="M33" s="733">
        <f t="shared" si="109"/>
        <v>-273</v>
      </c>
      <c r="N33" s="733">
        <f t="shared" si="109"/>
        <v>242</v>
      </c>
      <c r="O33" s="733">
        <f t="shared" si="109"/>
        <v>427</v>
      </c>
      <c r="P33" s="733">
        <f t="shared" si="109"/>
        <v>727</v>
      </c>
      <c r="Q33" s="733">
        <f t="shared" si="109"/>
        <v>-879</v>
      </c>
      <c r="R33" s="733">
        <f t="shared" si="109"/>
        <v>-330</v>
      </c>
      <c r="S33" s="733">
        <f t="shared" si="109"/>
        <v>1365</v>
      </c>
      <c r="T33" s="733">
        <f t="shared" ref="T33:U33" si="110">ROUND(T$5*T103/T$76,0)</f>
        <v>-16</v>
      </c>
      <c r="U33" s="733">
        <f t="shared" si="110"/>
        <v>-80</v>
      </c>
      <c r="V33" s="733">
        <f t="shared" ref="V33:W33" si="111">ROUND(V$5*V103/V$76,0)</f>
        <v>-53</v>
      </c>
      <c r="W33" s="733">
        <f t="shared" si="111"/>
        <v>-53</v>
      </c>
      <c r="X33" s="733">
        <f t="shared" ref="X33" si="112">ROUND(X$5*X103/X$76,0)</f>
        <v>-53</v>
      </c>
    </row>
    <row r="34" spans="1:24">
      <c r="A34" s="731">
        <v>382</v>
      </c>
      <c r="B34" s="731" t="s">
        <v>197</v>
      </c>
      <c r="C34" s="735">
        <f t="shared" si="96"/>
        <v>92</v>
      </c>
      <c r="D34" s="735">
        <f t="shared" si="96"/>
        <v>490</v>
      </c>
      <c r="E34" s="735">
        <f t="shared" si="96"/>
        <v>1227</v>
      </c>
      <c r="F34" s="735">
        <f t="shared" ref="F34:S34" si="113">ROUND(F$5*F104/F$76,0)</f>
        <v>-1244</v>
      </c>
      <c r="G34" s="735">
        <f t="shared" si="113"/>
        <v>-302</v>
      </c>
      <c r="H34" s="735">
        <f t="shared" si="113"/>
        <v>436</v>
      </c>
      <c r="I34" s="735">
        <f t="shared" si="113"/>
        <v>95</v>
      </c>
      <c r="J34" s="735">
        <f t="shared" si="113"/>
        <v>283</v>
      </c>
      <c r="K34" s="735">
        <f t="shared" si="113"/>
        <v>-193</v>
      </c>
      <c r="L34" s="735">
        <f t="shared" si="113"/>
        <v>980</v>
      </c>
      <c r="M34" s="735">
        <f t="shared" si="113"/>
        <v>-392</v>
      </c>
      <c r="N34" s="735">
        <f t="shared" si="113"/>
        <v>380</v>
      </c>
      <c r="O34" s="735">
        <f t="shared" si="113"/>
        <v>577</v>
      </c>
      <c r="P34" s="735">
        <f t="shared" si="113"/>
        <v>931</v>
      </c>
      <c r="Q34" s="735">
        <f t="shared" si="113"/>
        <v>-1247</v>
      </c>
      <c r="R34" s="735">
        <f t="shared" si="113"/>
        <v>-446</v>
      </c>
      <c r="S34" s="735">
        <f t="shared" si="113"/>
        <v>1816</v>
      </c>
      <c r="T34" s="735">
        <f t="shared" ref="T34:U34" si="114">ROUND(T$5*T104/T$76,0)</f>
        <v>-22</v>
      </c>
      <c r="U34" s="735">
        <f t="shared" si="114"/>
        <v>-107</v>
      </c>
      <c r="V34" s="735">
        <f t="shared" ref="V34:W34" si="115">ROUND(V$5*V104/V$76,0)</f>
        <v>-70</v>
      </c>
      <c r="W34" s="735">
        <f t="shared" si="115"/>
        <v>-70</v>
      </c>
      <c r="X34" s="735">
        <f t="shared" ref="X34" si="116">ROUND(X$5*X104/X$76,0)</f>
        <v>-70</v>
      </c>
    </row>
    <row r="35" spans="1:24">
      <c r="A35" s="730">
        <v>4</v>
      </c>
      <c r="B35" s="730" t="s">
        <v>325</v>
      </c>
      <c r="C35" s="733">
        <f>SUM(C36:C41)</f>
        <v>700</v>
      </c>
      <c r="D35" s="733">
        <f>SUM(D36:D41)</f>
        <v>3756</v>
      </c>
      <c r="E35" s="733">
        <f>SUM(E36:E41)</f>
        <v>8490</v>
      </c>
      <c r="F35" s="733">
        <f>SUM(F36:F41)</f>
        <v>-8484</v>
      </c>
      <c r="G35" s="733">
        <f t="shared" ref="G35:L35" si="117">SUM(G36:G41)</f>
        <v>-2150</v>
      </c>
      <c r="H35" s="733">
        <f t="shared" si="117"/>
        <v>3491</v>
      </c>
      <c r="I35" s="733">
        <f t="shared" si="117"/>
        <v>777</v>
      </c>
      <c r="J35" s="733">
        <f t="shared" si="117"/>
        <v>2076</v>
      </c>
      <c r="K35" s="733">
        <f t="shared" si="117"/>
        <v>-1356</v>
      </c>
      <c r="L35" s="733">
        <f t="shared" si="117"/>
        <v>6951</v>
      </c>
      <c r="M35" s="733">
        <f t="shared" ref="M35:R35" si="118">SUM(M36:M41)</f>
        <v>-2871</v>
      </c>
      <c r="N35" s="733">
        <f t="shared" si="118"/>
        <v>2340</v>
      </c>
      <c r="O35" s="733">
        <f t="shared" si="118"/>
        <v>3833</v>
      </c>
      <c r="P35" s="733">
        <f t="shared" si="118"/>
        <v>6854</v>
      </c>
      <c r="Q35" s="733">
        <f t="shared" si="118"/>
        <v>-8230</v>
      </c>
      <c r="R35" s="733">
        <f t="shared" si="118"/>
        <v>-3001</v>
      </c>
      <c r="S35" s="733">
        <f t="shared" ref="S35:X35" si="119">SUM(S36:S41)</f>
        <v>12419</v>
      </c>
      <c r="T35" s="733">
        <f t="shared" si="119"/>
        <v>-146</v>
      </c>
      <c r="U35" s="733">
        <f t="shared" si="119"/>
        <v>-709</v>
      </c>
      <c r="V35" s="733">
        <f t="shared" si="119"/>
        <v>-465</v>
      </c>
      <c r="W35" s="733">
        <f t="shared" si="119"/>
        <v>-465</v>
      </c>
      <c r="X35" s="733">
        <f t="shared" si="119"/>
        <v>-465</v>
      </c>
    </row>
    <row r="36" spans="1:24">
      <c r="A36" s="730">
        <v>213</v>
      </c>
      <c r="B36" s="730" t="s">
        <v>199</v>
      </c>
      <c r="C36" s="733">
        <f t="shared" ref="C36:E41" si="120">ROUND(C$5*C106/C$76,0)</f>
        <v>106</v>
      </c>
      <c r="D36" s="733">
        <f t="shared" si="120"/>
        <v>626</v>
      </c>
      <c r="E36" s="733">
        <f t="shared" si="120"/>
        <v>1264</v>
      </c>
      <c r="F36" s="733">
        <f t="shared" ref="F36:S36" si="121">ROUND(F$5*F106/F$76,0)</f>
        <v>-1225</v>
      </c>
      <c r="G36" s="733">
        <f t="shared" si="121"/>
        <v>-306</v>
      </c>
      <c r="H36" s="733">
        <f t="shared" si="121"/>
        <v>570</v>
      </c>
      <c r="I36" s="733">
        <f t="shared" si="121"/>
        <v>128</v>
      </c>
      <c r="J36" s="733">
        <f t="shared" si="121"/>
        <v>282</v>
      </c>
      <c r="K36" s="733">
        <f t="shared" si="121"/>
        <v>-187</v>
      </c>
      <c r="L36" s="733">
        <f t="shared" si="121"/>
        <v>937</v>
      </c>
      <c r="M36" s="733">
        <f t="shared" si="121"/>
        <v>-380</v>
      </c>
      <c r="N36" s="733">
        <f t="shared" si="121"/>
        <v>305</v>
      </c>
      <c r="O36" s="733">
        <f t="shared" si="121"/>
        <v>508</v>
      </c>
      <c r="P36" s="733">
        <f t="shared" si="121"/>
        <v>904</v>
      </c>
      <c r="Q36" s="733">
        <f t="shared" si="121"/>
        <v>-1214</v>
      </c>
      <c r="R36" s="733">
        <f t="shared" si="121"/>
        <v>-410</v>
      </c>
      <c r="S36" s="733">
        <f t="shared" si="121"/>
        <v>1742</v>
      </c>
      <c r="T36" s="733">
        <f t="shared" ref="T36:U36" si="122">ROUND(T$5*T106/T$76,0)</f>
        <v>-20</v>
      </c>
      <c r="U36" s="733">
        <f t="shared" si="122"/>
        <v>-93</v>
      </c>
      <c r="V36" s="733">
        <f t="shared" ref="V36:W36" si="123">ROUND(V$5*V106/V$76,0)</f>
        <v>-61</v>
      </c>
      <c r="W36" s="733">
        <f t="shared" si="123"/>
        <v>-61</v>
      </c>
      <c r="X36" s="733">
        <f t="shared" ref="X36" si="124">ROUND(X$5*X106/X$76,0)</f>
        <v>-61</v>
      </c>
    </row>
    <row r="37" spans="1:24">
      <c r="A37" s="730">
        <v>215</v>
      </c>
      <c r="B37" s="730" t="s">
        <v>329</v>
      </c>
      <c r="C37" s="733">
        <f t="shared" si="120"/>
        <v>187</v>
      </c>
      <c r="D37" s="733">
        <f t="shared" si="120"/>
        <v>972</v>
      </c>
      <c r="E37" s="733">
        <f t="shared" si="120"/>
        <v>2354</v>
      </c>
      <c r="F37" s="733">
        <f t="shared" ref="F37:S37" si="125">ROUND(F$5*F107/F$76,0)</f>
        <v>-2399</v>
      </c>
      <c r="G37" s="733">
        <f t="shared" si="125"/>
        <v>-591</v>
      </c>
      <c r="H37" s="733">
        <f t="shared" si="125"/>
        <v>845</v>
      </c>
      <c r="I37" s="733">
        <f t="shared" si="125"/>
        <v>191</v>
      </c>
      <c r="J37" s="733">
        <f t="shared" si="125"/>
        <v>531</v>
      </c>
      <c r="K37" s="733">
        <f t="shared" si="125"/>
        <v>-378</v>
      </c>
      <c r="L37" s="733">
        <f t="shared" si="125"/>
        <v>1926</v>
      </c>
      <c r="M37" s="733">
        <f t="shared" si="125"/>
        <v>-782</v>
      </c>
      <c r="N37" s="733">
        <f t="shared" si="125"/>
        <v>637</v>
      </c>
      <c r="O37" s="733">
        <f t="shared" si="125"/>
        <v>1050</v>
      </c>
      <c r="P37" s="733">
        <f t="shared" si="125"/>
        <v>1850</v>
      </c>
      <c r="Q37" s="733">
        <f t="shared" si="125"/>
        <v>-2212</v>
      </c>
      <c r="R37" s="733">
        <f t="shared" si="125"/>
        <v>-805</v>
      </c>
      <c r="S37" s="733">
        <f t="shared" si="125"/>
        <v>3306</v>
      </c>
      <c r="T37" s="733">
        <f t="shared" ref="T37:U37" si="126">ROUND(T$5*T107/T$76,0)</f>
        <v>-39</v>
      </c>
      <c r="U37" s="733">
        <f t="shared" si="126"/>
        <v>-189</v>
      </c>
      <c r="V37" s="733">
        <f t="shared" ref="V37:W37" si="127">ROUND(V$5*V107/V$76,0)</f>
        <v>-124</v>
      </c>
      <c r="W37" s="733">
        <f t="shared" si="127"/>
        <v>-124</v>
      </c>
      <c r="X37" s="733">
        <f t="shared" ref="X37" si="128">ROUND(X$5*X107/X$76,0)</f>
        <v>-124</v>
      </c>
    </row>
    <row r="38" spans="1:24">
      <c r="A38" s="730">
        <v>218</v>
      </c>
      <c r="B38" s="730" t="s">
        <v>200</v>
      </c>
      <c r="C38" s="733">
        <f t="shared" si="120"/>
        <v>134</v>
      </c>
      <c r="D38" s="733">
        <f t="shared" si="120"/>
        <v>633</v>
      </c>
      <c r="E38" s="733">
        <f t="shared" si="120"/>
        <v>1540</v>
      </c>
      <c r="F38" s="733">
        <f t="shared" ref="F38:S38" si="129">ROUND(F$5*F108/F$76,0)</f>
        <v>-1534</v>
      </c>
      <c r="G38" s="733">
        <f t="shared" si="129"/>
        <v>-376</v>
      </c>
      <c r="H38" s="733">
        <f t="shared" si="129"/>
        <v>561</v>
      </c>
      <c r="I38" s="733">
        <f t="shared" si="129"/>
        <v>123</v>
      </c>
      <c r="J38" s="733">
        <f t="shared" si="129"/>
        <v>454</v>
      </c>
      <c r="K38" s="733">
        <f t="shared" si="129"/>
        <v>-245</v>
      </c>
      <c r="L38" s="733">
        <f t="shared" si="129"/>
        <v>1231</v>
      </c>
      <c r="M38" s="733">
        <f t="shared" si="129"/>
        <v>-575</v>
      </c>
      <c r="N38" s="733">
        <f t="shared" si="129"/>
        <v>418</v>
      </c>
      <c r="O38" s="733">
        <f t="shared" si="129"/>
        <v>710</v>
      </c>
      <c r="P38" s="733">
        <f t="shared" si="129"/>
        <v>1307</v>
      </c>
      <c r="Q38" s="733">
        <f t="shared" si="129"/>
        <v>-1443</v>
      </c>
      <c r="R38" s="733">
        <f t="shared" si="129"/>
        <v>-552</v>
      </c>
      <c r="S38" s="733">
        <f t="shared" si="129"/>
        <v>2304</v>
      </c>
      <c r="T38" s="733">
        <f t="shared" ref="T38:U38" si="130">ROUND(T$5*T108/T$76,0)</f>
        <v>-27</v>
      </c>
      <c r="U38" s="733">
        <f t="shared" si="130"/>
        <v>-130</v>
      </c>
      <c r="V38" s="733">
        <f t="shared" ref="V38:W38" si="131">ROUND(V$5*V108/V$76,0)</f>
        <v>-85</v>
      </c>
      <c r="W38" s="733">
        <f t="shared" si="131"/>
        <v>-85</v>
      </c>
      <c r="X38" s="733">
        <f t="shared" ref="X38" si="132">ROUND(X$5*X108/X$76,0)</f>
        <v>-85</v>
      </c>
    </row>
    <row r="39" spans="1:24">
      <c r="A39" s="730">
        <v>220</v>
      </c>
      <c r="B39" s="730" t="s">
        <v>201</v>
      </c>
      <c r="C39" s="733">
        <f t="shared" si="120"/>
        <v>117</v>
      </c>
      <c r="D39" s="733">
        <f t="shared" si="120"/>
        <v>612</v>
      </c>
      <c r="E39" s="733">
        <f t="shared" si="120"/>
        <v>1414</v>
      </c>
      <c r="F39" s="733">
        <f t="shared" ref="F39:S39" si="133">ROUND(F$5*F109/F$76,0)</f>
        <v>-1425</v>
      </c>
      <c r="G39" s="733">
        <f t="shared" si="133"/>
        <v>-371</v>
      </c>
      <c r="H39" s="733">
        <f t="shared" si="133"/>
        <v>679</v>
      </c>
      <c r="I39" s="733">
        <f t="shared" si="133"/>
        <v>147</v>
      </c>
      <c r="J39" s="733">
        <f t="shared" si="133"/>
        <v>356</v>
      </c>
      <c r="K39" s="733">
        <f t="shared" si="133"/>
        <v>-235</v>
      </c>
      <c r="L39" s="733">
        <f t="shared" si="133"/>
        <v>1246</v>
      </c>
      <c r="M39" s="733">
        <f t="shared" si="133"/>
        <v>-488</v>
      </c>
      <c r="N39" s="733">
        <f t="shared" si="133"/>
        <v>405</v>
      </c>
      <c r="O39" s="733">
        <f t="shared" si="133"/>
        <v>638</v>
      </c>
      <c r="P39" s="733">
        <f t="shared" si="133"/>
        <v>1145</v>
      </c>
      <c r="Q39" s="733">
        <f t="shared" si="133"/>
        <v>-1397</v>
      </c>
      <c r="R39" s="733">
        <f t="shared" si="133"/>
        <v>-502</v>
      </c>
      <c r="S39" s="733">
        <f t="shared" si="133"/>
        <v>2077</v>
      </c>
      <c r="T39" s="733">
        <f t="shared" ref="T39:U39" si="134">ROUND(T$5*T109/T$76,0)</f>
        <v>-25</v>
      </c>
      <c r="U39" s="733">
        <f t="shared" si="134"/>
        <v>-121</v>
      </c>
      <c r="V39" s="733">
        <f t="shared" ref="V39:W39" si="135">ROUND(V$5*V109/V$76,0)</f>
        <v>-79</v>
      </c>
      <c r="W39" s="733">
        <f t="shared" si="135"/>
        <v>-79</v>
      </c>
      <c r="X39" s="733">
        <f t="shared" ref="X39" si="136">ROUND(X$5*X109/X$76,0)</f>
        <v>-79</v>
      </c>
    </row>
    <row r="40" spans="1:24">
      <c r="A40" s="730">
        <v>228</v>
      </c>
      <c r="B40" s="730" t="s">
        <v>330</v>
      </c>
      <c r="C40" s="733">
        <f t="shared" si="120"/>
        <v>106</v>
      </c>
      <c r="D40" s="733">
        <f t="shared" si="120"/>
        <v>660</v>
      </c>
      <c r="E40" s="733">
        <f t="shared" si="120"/>
        <v>1311</v>
      </c>
      <c r="F40" s="733">
        <f t="shared" ref="F40:S40" si="137">ROUND(F$5*F110/F$76,0)</f>
        <v>-1272</v>
      </c>
      <c r="G40" s="733">
        <f t="shared" si="137"/>
        <v>-342</v>
      </c>
      <c r="H40" s="733">
        <f t="shared" si="137"/>
        <v>598</v>
      </c>
      <c r="I40" s="733">
        <f t="shared" si="137"/>
        <v>133</v>
      </c>
      <c r="J40" s="733">
        <f t="shared" si="137"/>
        <v>312</v>
      </c>
      <c r="K40" s="733">
        <f t="shared" si="137"/>
        <v>-216</v>
      </c>
      <c r="L40" s="733">
        <f t="shared" si="137"/>
        <v>1118</v>
      </c>
      <c r="M40" s="733">
        <f t="shared" si="137"/>
        <v>-450</v>
      </c>
      <c r="N40" s="733">
        <f t="shared" si="137"/>
        <v>415</v>
      </c>
      <c r="O40" s="733">
        <f t="shared" si="137"/>
        <v>647</v>
      </c>
      <c r="P40" s="733">
        <f t="shared" si="137"/>
        <v>1214</v>
      </c>
      <c r="Q40" s="733">
        <f t="shared" si="137"/>
        <v>-1438</v>
      </c>
      <c r="R40" s="733">
        <f t="shared" si="137"/>
        <v>-534</v>
      </c>
      <c r="S40" s="733">
        <f t="shared" si="137"/>
        <v>2188</v>
      </c>
      <c r="T40" s="733">
        <f t="shared" ref="T40:U40" si="138">ROUND(T$5*T110/T$76,0)</f>
        <v>-26</v>
      </c>
      <c r="U40" s="733">
        <f t="shared" si="138"/>
        <v>-132</v>
      </c>
      <c r="V40" s="733">
        <f t="shared" ref="V40:W40" si="139">ROUND(V$5*V110/V$76,0)</f>
        <v>-87</v>
      </c>
      <c r="W40" s="733">
        <f t="shared" si="139"/>
        <v>-87</v>
      </c>
      <c r="X40" s="733">
        <f t="shared" ref="X40" si="140">ROUND(X$5*X110/X$76,0)</f>
        <v>-87</v>
      </c>
    </row>
    <row r="41" spans="1:24">
      <c r="A41" s="730">
        <v>365</v>
      </c>
      <c r="B41" s="730" t="s">
        <v>331</v>
      </c>
      <c r="C41" s="733">
        <f t="shared" si="120"/>
        <v>50</v>
      </c>
      <c r="D41" s="733">
        <f t="shared" si="120"/>
        <v>253</v>
      </c>
      <c r="E41" s="733">
        <f t="shared" si="120"/>
        <v>607</v>
      </c>
      <c r="F41" s="733">
        <f t="shared" ref="F41:S41" si="141">ROUND(F$5*F111/F$76,0)</f>
        <v>-629</v>
      </c>
      <c r="G41" s="733">
        <f t="shared" si="141"/>
        <v>-164</v>
      </c>
      <c r="H41" s="733">
        <f t="shared" si="141"/>
        <v>238</v>
      </c>
      <c r="I41" s="733">
        <f t="shared" si="141"/>
        <v>55</v>
      </c>
      <c r="J41" s="733">
        <f t="shared" si="141"/>
        <v>141</v>
      </c>
      <c r="K41" s="733">
        <f t="shared" si="141"/>
        <v>-95</v>
      </c>
      <c r="L41" s="733">
        <f t="shared" si="141"/>
        <v>493</v>
      </c>
      <c r="M41" s="733">
        <f t="shared" si="141"/>
        <v>-196</v>
      </c>
      <c r="N41" s="733">
        <f t="shared" si="141"/>
        <v>160</v>
      </c>
      <c r="O41" s="733">
        <f t="shared" si="141"/>
        <v>280</v>
      </c>
      <c r="P41" s="733">
        <f t="shared" si="141"/>
        <v>434</v>
      </c>
      <c r="Q41" s="733">
        <f t="shared" si="141"/>
        <v>-526</v>
      </c>
      <c r="R41" s="733">
        <f t="shared" si="141"/>
        <v>-198</v>
      </c>
      <c r="S41" s="733">
        <f t="shared" si="141"/>
        <v>802</v>
      </c>
      <c r="T41" s="733">
        <f t="shared" ref="T41:U41" si="142">ROUND(T$5*T111/T$76,0)</f>
        <v>-9</v>
      </c>
      <c r="U41" s="733">
        <f t="shared" si="142"/>
        <v>-44</v>
      </c>
      <c r="V41" s="733">
        <f t="shared" ref="V41:W41" si="143">ROUND(V$5*V111/V$76,0)</f>
        <v>-29</v>
      </c>
      <c r="W41" s="733">
        <f t="shared" si="143"/>
        <v>-29</v>
      </c>
      <c r="X41" s="733">
        <f t="shared" ref="X41" si="144">ROUND(X$5*X111/X$76,0)</f>
        <v>-29</v>
      </c>
    </row>
    <row r="42" spans="1:24">
      <c r="A42" s="728">
        <v>5</v>
      </c>
      <c r="B42" s="728" t="s">
        <v>326</v>
      </c>
      <c r="C42" s="734">
        <f>SUM(C43:C46)</f>
        <v>1635</v>
      </c>
      <c r="D42" s="734">
        <f>SUM(D43:D46)</f>
        <v>8450</v>
      </c>
      <c r="E42" s="734">
        <f>SUM(E43:E46)</f>
        <v>19940</v>
      </c>
      <c r="F42" s="734">
        <f>SUM(F43:F46)</f>
        <v>-20351</v>
      </c>
      <c r="G42" s="734">
        <f t="shared" ref="G42:L42" si="145">SUM(G43:G46)</f>
        <v>-6123</v>
      </c>
      <c r="H42" s="734">
        <f t="shared" si="145"/>
        <v>7500</v>
      </c>
      <c r="I42" s="734">
        <f t="shared" si="145"/>
        <v>1638</v>
      </c>
      <c r="J42" s="734">
        <f t="shared" si="145"/>
        <v>4472</v>
      </c>
      <c r="K42" s="734">
        <f t="shared" si="145"/>
        <v>-3183</v>
      </c>
      <c r="L42" s="734">
        <f t="shared" si="145"/>
        <v>16129</v>
      </c>
      <c r="M42" s="734">
        <f t="shared" ref="M42:R42" si="146">SUM(M43:M46)</f>
        <v>-6678</v>
      </c>
      <c r="N42" s="734">
        <f t="shared" si="146"/>
        <v>5565</v>
      </c>
      <c r="O42" s="734">
        <f t="shared" si="146"/>
        <v>9493</v>
      </c>
      <c r="P42" s="734">
        <f t="shared" si="146"/>
        <v>15649</v>
      </c>
      <c r="Q42" s="734">
        <f t="shared" si="146"/>
        <v>-19567</v>
      </c>
      <c r="R42" s="734">
        <f t="shared" si="146"/>
        <v>-6549</v>
      </c>
      <c r="S42" s="734">
        <f t="shared" ref="S42:X42" si="147">SUM(S43:S46)</f>
        <v>26906</v>
      </c>
      <c r="T42" s="734">
        <f t="shared" si="147"/>
        <v>-314</v>
      </c>
      <c r="U42" s="734">
        <f t="shared" si="147"/>
        <v>-1522</v>
      </c>
      <c r="V42" s="734">
        <f t="shared" si="147"/>
        <v>-1000</v>
      </c>
      <c r="W42" s="734">
        <f t="shared" si="147"/>
        <v>-1000</v>
      </c>
      <c r="X42" s="734">
        <f t="shared" si="147"/>
        <v>-1000</v>
      </c>
    </row>
    <row r="43" spans="1:24">
      <c r="A43" s="730">
        <v>201</v>
      </c>
      <c r="B43" s="730" t="s">
        <v>332</v>
      </c>
      <c r="C43" s="733">
        <f t="shared" ref="C43:E46" si="148">ROUND(C$5*C113/C$76,0)</f>
        <v>1528</v>
      </c>
      <c r="D43" s="733">
        <f t="shared" si="148"/>
        <v>7862</v>
      </c>
      <c r="E43" s="733">
        <f t="shared" si="148"/>
        <v>18575</v>
      </c>
      <c r="F43" s="733">
        <f t="shared" ref="F43:S43" si="149">ROUND(F$5*F113/F$76,0)</f>
        <v>-19010</v>
      </c>
      <c r="G43" s="733">
        <f t="shared" si="149"/>
        <v>-5768</v>
      </c>
      <c r="H43" s="733">
        <f t="shared" si="149"/>
        <v>6957</v>
      </c>
      <c r="I43" s="733">
        <f t="shared" si="149"/>
        <v>1520</v>
      </c>
      <c r="J43" s="733">
        <f t="shared" si="149"/>
        <v>4166</v>
      </c>
      <c r="K43" s="733">
        <f t="shared" si="149"/>
        <v>-2952</v>
      </c>
      <c r="L43" s="733">
        <f t="shared" si="149"/>
        <v>14943</v>
      </c>
      <c r="M43" s="733">
        <f t="shared" si="149"/>
        <v>-6225</v>
      </c>
      <c r="N43" s="733">
        <f t="shared" si="149"/>
        <v>5162</v>
      </c>
      <c r="O43" s="733">
        <f t="shared" si="149"/>
        <v>8771</v>
      </c>
      <c r="P43" s="733">
        <f t="shared" si="149"/>
        <v>14410</v>
      </c>
      <c r="Q43" s="733">
        <f t="shared" si="149"/>
        <v>-18154</v>
      </c>
      <c r="R43" s="733">
        <f t="shared" si="149"/>
        <v>-6015</v>
      </c>
      <c r="S43" s="733">
        <f t="shared" si="149"/>
        <v>24718</v>
      </c>
      <c r="T43" s="733">
        <f t="shared" ref="T43:U43" si="150">ROUND(T$5*T113/T$76,0)</f>
        <v>-289</v>
      </c>
      <c r="U43" s="733">
        <f t="shared" si="150"/>
        <v>-1399</v>
      </c>
      <c r="V43" s="733">
        <f t="shared" ref="V43:W43" si="151">ROUND(V$5*V113/V$76,0)</f>
        <v>-919</v>
      </c>
      <c r="W43" s="733">
        <f t="shared" si="151"/>
        <v>-919</v>
      </c>
      <c r="X43" s="733">
        <f t="shared" ref="X43" si="152">ROUND(X$5*X113/X$76,0)</f>
        <v>-919</v>
      </c>
    </row>
    <row r="44" spans="1:24">
      <c r="A44" s="730">
        <v>442</v>
      </c>
      <c r="B44" s="730" t="s">
        <v>203</v>
      </c>
      <c r="C44" s="733">
        <f t="shared" si="148"/>
        <v>29</v>
      </c>
      <c r="D44" s="733">
        <f t="shared" si="148"/>
        <v>153</v>
      </c>
      <c r="E44" s="733">
        <f t="shared" si="148"/>
        <v>389</v>
      </c>
      <c r="F44" s="733">
        <f t="shared" ref="F44:S44" si="153">ROUND(F$5*F114/F$76,0)</f>
        <v>-375</v>
      </c>
      <c r="G44" s="733">
        <f t="shared" si="153"/>
        <v>-93</v>
      </c>
      <c r="H44" s="733">
        <f t="shared" si="153"/>
        <v>141</v>
      </c>
      <c r="I44" s="733">
        <f t="shared" si="153"/>
        <v>30</v>
      </c>
      <c r="J44" s="733">
        <f t="shared" si="153"/>
        <v>81</v>
      </c>
      <c r="K44" s="733">
        <f t="shared" si="153"/>
        <v>-58</v>
      </c>
      <c r="L44" s="733">
        <f t="shared" si="153"/>
        <v>299</v>
      </c>
      <c r="M44" s="733">
        <f t="shared" si="153"/>
        <v>-113</v>
      </c>
      <c r="N44" s="733">
        <f t="shared" si="153"/>
        <v>103</v>
      </c>
      <c r="O44" s="733">
        <f t="shared" si="153"/>
        <v>182</v>
      </c>
      <c r="P44" s="733">
        <f t="shared" si="153"/>
        <v>297</v>
      </c>
      <c r="Q44" s="733">
        <f t="shared" si="153"/>
        <v>-361</v>
      </c>
      <c r="R44" s="733">
        <f t="shared" si="153"/>
        <v>-133</v>
      </c>
      <c r="S44" s="733">
        <f t="shared" si="153"/>
        <v>540</v>
      </c>
      <c r="T44" s="733">
        <f t="shared" ref="T44:U44" si="154">ROUND(T$5*T114/T$76,0)</f>
        <v>-6</v>
      </c>
      <c r="U44" s="733">
        <f t="shared" si="154"/>
        <v>-30</v>
      </c>
      <c r="V44" s="733">
        <f t="shared" ref="V44:W44" si="155">ROUND(V$5*V114/V$76,0)</f>
        <v>-20</v>
      </c>
      <c r="W44" s="733">
        <f t="shared" si="155"/>
        <v>-20</v>
      </c>
      <c r="X44" s="733">
        <f t="shared" ref="X44" si="156">ROUND(X$5*X114/X$76,0)</f>
        <v>-20</v>
      </c>
    </row>
    <row r="45" spans="1:24">
      <c r="A45" s="730">
        <v>443</v>
      </c>
      <c r="B45" s="730" t="s">
        <v>204</v>
      </c>
      <c r="C45" s="733">
        <f t="shared" si="148"/>
        <v>50</v>
      </c>
      <c r="D45" s="733">
        <f t="shared" si="148"/>
        <v>261</v>
      </c>
      <c r="E45" s="733">
        <f t="shared" si="148"/>
        <v>627</v>
      </c>
      <c r="F45" s="733">
        <f t="shared" ref="F45:S45" si="157">ROUND(F$5*F115/F$76,0)</f>
        <v>-586</v>
      </c>
      <c r="G45" s="733">
        <f t="shared" si="157"/>
        <v>-159</v>
      </c>
      <c r="H45" s="733">
        <f t="shared" si="157"/>
        <v>268</v>
      </c>
      <c r="I45" s="733">
        <f t="shared" si="157"/>
        <v>56</v>
      </c>
      <c r="J45" s="733">
        <f t="shared" si="157"/>
        <v>149</v>
      </c>
      <c r="K45" s="733">
        <f t="shared" si="157"/>
        <v>-115</v>
      </c>
      <c r="L45" s="733">
        <f t="shared" si="157"/>
        <v>590</v>
      </c>
      <c r="M45" s="733">
        <f t="shared" si="157"/>
        <v>-223</v>
      </c>
      <c r="N45" s="733">
        <f t="shared" si="157"/>
        <v>190</v>
      </c>
      <c r="O45" s="733">
        <f t="shared" si="157"/>
        <v>342</v>
      </c>
      <c r="P45" s="733">
        <f t="shared" si="157"/>
        <v>602</v>
      </c>
      <c r="Q45" s="733">
        <f t="shared" si="157"/>
        <v>-676</v>
      </c>
      <c r="R45" s="733">
        <f t="shared" si="157"/>
        <v>-255</v>
      </c>
      <c r="S45" s="733">
        <f t="shared" si="157"/>
        <v>1054</v>
      </c>
      <c r="T45" s="733">
        <f t="shared" ref="T45:U45" si="158">ROUND(T$5*T115/T$76,0)</f>
        <v>-12</v>
      </c>
      <c r="U45" s="733">
        <f t="shared" si="158"/>
        <v>-61</v>
      </c>
      <c r="V45" s="733">
        <f t="shared" ref="V45:W45" si="159">ROUND(V$5*V115/V$76,0)</f>
        <v>-40</v>
      </c>
      <c r="W45" s="733">
        <f t="shared" si="159"/>
        <v>-40</v>
      </c>
      <c r="X45" s="733">
        <f t="shared" ref="X45" si="160">ROUND(X$5*X115/X$76,0)</f>
        <v>-40</v>
      </c>
    </row>
    <row r="46" spans="1:24">
      <c r="A46" s="731">
        <v>446</v>
      </c>
      <c r="B46" s="731" t="s">
        <v>333</v>
      </c>
      <c r="C46" s="733">
        <f t="shared" si="148"/>
        <v>28</v>
      </c>
      <c r="D46" s="733">
        <f t="shared" si="148"/>
        <v>174</v>
      </c>
      <c r="E46" s="733">
        <f t="shared" si="148"/>
        <v>349</v>
      </c>
      <c r="F46" s="733">
        <f t="shared" ref="F46:S46" si="161">ROUND(F$5*F116/F$76,0)</f>
        <v>-380</v>
      </c>
      <c r="G46" s="733">
        <f t="shared" si="161"/>
        <v>-103</v>
      </c>
      <c r="H46" s="733">
        <f t="shared" si="161"/>
        <v>134</v>
      </c>
      <c r="I46" s="733">
        <f t="shared" si="161"/>
        <v>32</v>
      </c>
      <c r="J46" s="733">
        <f t="shared" si="161"/>
        <v>76</v>
      </c>
      <c r="K46" s="733">
        <f t="shared" si="161"/>
        <v>-58</v>
      </c>
      <c r="L46" s="733">
        <f t="shared" si="161"/>
        <v>297</v>
      </c>
      <c r="M46" s="733">
        <f t="shared" si="161"/>
        <v>-117</v>
      </c>
      <c r="N46" s="733">
        <f t="shared" si="161"/>
        <v>110</v>
      </c>
      <c r="O46" s="733">
        <f t="shared" si="161"/>
        <v>198</v>
      </c>
      <c r="P46" s="733">
        <f t="shared" si="161"/>
        <v>340</v>
      </c>
      <c r="Q46" s="733">
        <f t="shared" si="161"/>
        <v>-376</v>
      </c>
      <c r="R46" s="733">
        <f t="shared" si="161"/>
        <v>-146</v>
      </c>
      <c r="S46" s="733">
        <f t="shared" si="161"/>
        <v>594</v>
      </c>
      <c r="T46" s="733">
        <f t="shared" ref="T46:U46" si="162">ROUND(T$5*T116/T$76,0)</f>
        <v>-7</v>
      </c>
      <c r="U46" s="733">
        <f t="shared" si="162"/>
        <v>-32</v>
      </c>
      <c r="V46" s="733">
        <f t="shared" ref="V46:W46" si="163">ROUND(V$5*V116/V$76,0)</f>
        <v>-21</v>
      </c>
      <c r="W46" s="733">
        <f t="shared" si="163"/>
        <v>-21</v>
      </c>
      <c r="X46" s="733">
        <f t="shared" ref="X46" si="164">ROUND(X$5*X116/X$76,0)</f>
        <v>-21</v>
      </c>
    </row>
    <row r="47" spans="1:24">
      <c r="A47" s="730">
        <v>6</v>
      </c>
      <c r="B47" s="730" t="s">
        <v>327</v>
      </c>
      <c r="C47" s="734">
        <f>SUM(C48:C54)</f>
        <v>728</v>
      </c>
      <c r="D47" s="734">
        <f>SUM(D48:D54)</f>
        <v>3584</v>
      </c>
      <c r="E47" s="734">
        <f>SUM(E48:E54)</f>
        <v>8527</v>
      </c>
      <c r="F47" s="734">
        <f>SUM(F48:F54)</f>
        <v>-8724</v>
      </c>
      <c r="G47" s="734">
        <f t="shared" ref="G47:L47" si="165">SUM(G48:G54)</f>
        <v>-2225</v>
      </c>
      <c r="H47" s="734">
        <f t="shared" si="165"/>
        <v>3238</v>
      </c>
      <c r="I47" s="734">
        <f t="shared" si="165"/>
        <v>704</v>
      </c>
      <c r="J47" s="734">
        <f t="shared" si="165"/>
        <v>1843</v>
      </c>
      <c r="K47" s="734">
        <f t="shared" si="165"/>
        <v>-1326</v>
      </c>
      <c r="L47" s="734">
        <f t="shared" si="165"/>
        <v>6827</v>
      </c>
      <c r="M47" s="734">
        <f t="shared" ref="M47:R47" si="166">SUM(M48:M54)</f>
        <v>-2715</v>
      </c>
      <c r="N47" s="734">
        <f t="shared" si="166"/>
        <v>2155</v>
      </c>
      <c r="O47" s="734">
        <f t="shared" si="166"/>
        <v>3599</v>
      </c>
      <c r="P47" s="734">
        <f t="shared" si="166"/>
        <v>6300</v>
      </c>
      <c r="Q47" s="734">
        <f t="shared" si="166"/>
        <v>-7572</v>
      </c>
      <c r="R47" s="734">
        <f t="shared" si="166"/>
        <v>-2787</v>
      </c>
      <c r="S47" s="734">
        <f t="shared" ref="S47:X47" si="167">SUM(S48:S54)</f>
        <v>11423</v>
      </c>
      <c r="T47" s="734">
        <f t="shared" si="167"/>
        <v>-134</v>
      </c>
      <c r="U47" s="734">
        <f t="shared" si="167"/>
        <v>-639</v>
      </c>
      <c r="V47" s="734">
        <f t="shared" si="167"/>
        <v>-420</v>
      </c>
      <c r="W47" s="734">
        <f t="shared" si="167"/>
        <v>-420</v>
      </c>
      <c r="X47" s="734">
        <f t="shared" si="167"/>
        <v>-420</v>
      </c>
    </row>
    <row r="48" spans="1:24">
      <c r="A48" s="730">
        <v>208</v>
      </c>
      <c r="B48" s="730" t="s">
        <v>206</v>
      </c>
      <c r="C48" s="733">
        <f t="shared" ref="C48:E54" si="168">ROUND(C$5*C118/C$76,0)</f>
        <v>84</v>
      </c>
      <c r="D48" s="733">
        <f t="shared" si="168"/>
        <v>429</v>
      </c>
      <c r="E48" s="733">
        <f t="shared" si="168"/>
        <v>989</v>
      </c>
      <c r="F48" s="733">
        <f t="shared" ref="F48:S48" si="169">ROUND(F$5*F118/F$76,0)</f>
        <v>-1004</v>
      </c>
      <c r="G48" s="733">
        <f t="shared" si="169"/>
        <v>-262</v>
      </c>
      <c r="H48" s="733">
        <f t="shared" si="169"/>
        <v>385</v>
      </c>
      <c r="I48" s="733">
        <f t="shared" si="169"/>
        <v>84</v>
      </c>
      <c r="J48" s="733">
        <f t="shared" si="169"/>
        <v>218</v>
      </c>
      <c r="K48" s="733">
        <f t="shared" si="169"/>
        <v>-164</v>
      </c>
      <c r="L48" s="733">
        <f t="shared" si="169"/>
        <v>889</v>
      </c>
      <c r="M48" s="733">
        <f t="shared" si="169"/>
        <v>-340</v>
      </c>
      <c r="N48" s="733">
        <f t="shared" si="169"/>
        <v>252</v>
      </c>
      <c r="O48" s="733">
        <f t="shared" si="169"/>
        <v>413</v>
      </c>
      <c r="P48" s="733">
        <f t="shared" si="169"/>
        <v>691</v>
      </c>
      <c r="Q48" s="733">
        <f t="shared" si="169"/>
        <v>-833</v>
      </c>
      <c r="R48" s="733">
        <f t="shared" si="169"/>
        <v>-310</v>
      </c>
      <c r="S48" s="733">
        <f t="shared" si="169"/>
        <v>1265</v>
      </c>
      <c r="T48" s="733">
        <f t="shared" ref="T48:U48" si="170">ROUND(T$5*T118/T$76,0)</f>
        <v>-15</v>
      </c>
      <c r="U48" s="733">
        <f t="shared" si="170"/>
        <v>-70</v>
      </c>
      <c r="V48" s="733">
        <f t="shared" ref="V48:W48" si="171">ROUND(V$5*V118/V$76,0)</f>
        <v>-46</v>
      </c>
      <c r="W48" s="733">
        <f t="shared" si="171"/>
        <v>-46</v>
      </c>
      <c r="X48" s="733">
        <f t="shared" ref="X48" si="172">ROUND(X$5*X118/X$76,0)</f>
        <v>-46</v>
      </c>
    </row>
    <row r="49" spans="1:24">
      <c r="A49" s="730">
        <v>212</v>
      </c>
      <c r="B49" s="730" t="s">
        <v>207</v>
      </c>
      <c r="C49" s="733">
        <f t="shared" si="168"/>
        <v>138</v>
      </c>
      <c r="D49" s="733">
        <f t="shared" si="168"/>
        <v>704</v>
      </c>
      <c r="E49" s="733">
        <f t="shared" si="168"/>
        <v>1789</v>
      </c>
      <c r="F49" s="733">
        <f t="shared" ref="F49:S49" si="173">ROUND(F$5*F119/F$76,0)</f>
        <v>-1706</v>
      </c>
      <c r="G49" s="733">
        <f t="shared" si="173"/>
        <v>-460</v>
      </c>
      <c r="H49" s="733">
        <f t="shared" si="173"/>
        <v>662</v>
      </c>
      <c r="I49" s="733">
        <f t="shared" si="173"/>
        <v>144</v>
      </c>
      <c r="J49" s="733">
        <f t="shared" si="173"/>
        <v>405</v>
      </c>
      <c r="K49" s="733">
        <f t="shared" si="173"/>
        <v>-298</v>
      </c>
      <c r="L49" s="733">
        <f t="shared" si="173"/>
        <v>1533</v>
      </c>
      <c r="M49" s="733">
        <f t="shared" si="173"/>
        <v>-591</v>
      </c>
      <c r="N49" s="733">
        <f t="shared" si="173"/>
        <v>470</v>
      </c>
      <c r="O49" s="733">
        <f t="shared" si="173"/>
        <v>745</v>
      </c>
      <c r="P49" s="733">
        <f t="shared" si="173"/>
        <v>1352</v>
      </c>
      <c r="Q49" s="733">
        <f t="shared" si="173"/>
        <v>-1568</v>
      </c>
      <c r="R49" s="733">
        <f t="shared" si="173"/>
        <v>-586</v>
      </c>
      <c r="S49" s="733">
        <f t="shared" si="173"/>
        <v>2392</v>
      </c>
      <c r="T49" s="733">
        <f t="shared" ref="T49:U49" si="174">ROUND(T$5*T119/T$76,0)</f>
        <v>-28</v>
      </c>
      <c r="U49" s="733">
        <f t="shared" si="174"/>
        <v>-135</v>
      </c>
      <c r="V49" s="733">
        <f t="shared" ref="V49:W49" si="175">ROUND(V$5*V119/V$76,0)</f>
        <v>-89</v>
      </c>
      <c r="W49" s="733">
        <f t="shared" si="175"/>
        <v>-89</v>
      </c>
      <c r="X49" s="733">
        <f t="shared" ref="X49" si="176">ROUND(X$5*X119/X$76,0)</f>
        <v>-89</v>
      </c>
    </row>
    <row r="50" spans="1:24">
      <c r="A50" s="730">
        <v>227</v>
      </c>
      <c r="B50" s="730" t="s">
        <v>219</v>
      </c>
      <c r="C50" s="733">
        <f t="shared" si="168"/>
        <v>93</v>
      </c>
      <c r="D50" s="733">
        <f t="shared" si="168"/>
        <v>480</v>
      </c>
      <c r="E50" s="733">
        <f t="shared" si="168"/>
        <v>1139</v>
      </c>
      <c r="F50" s="733">
        <f t="shared" ref="F50:S50" si="177">ROUND(F$5*F120/F$76,0)</f>
        <v>-1284</v>
      </c>
      <c r="G50" s="733">
        <f t="shared" si="177"/>
        <v>-317</v>
      </c>
      <c r="H50" s="733">
        <f t="shared" si="177"/>
        <v>451</v>
      </c>
      <c r="I50" s="733">
        <f t="shared" si="177"/>
        <v>96</v>
      </c>
      <c r="J50" s="733">
        <f t="shared" si="177"/>
        <v>257</v>
      </c>
      <c r="K50" s="733">
        <f t="shared" si="177"/>
        <v>-183</v>
      </c>
      <c r="L50" s="733">
        <f t="shared" si="177"/>
        <v>927</v>
      </c>
      <c r="M50" s="733">
        <f t="shared" si="177"/>
        <v>-359</v>
      </c>
      <c r="N50" s="733">
        <f t="shared" si="177"/>
        <v>294</v>
      </c>
      <c r="O50" s="733">
        <f t="shared" si="177"/>
        <v>511</v>
      </c>
      <c r="P50" s="733">
        <f t="shared" si="177"/>
        <v>875</v>
      </c>
      <c r="Q50" s="733">
        <f t="shared" si="177"/>
        <v>-1034</v>
      </c>
      <c r="R50" s="733">
        <f t="shared" si="177"/>
        <v>-385</v>
      </c>
      <c r="S50" s="733">
        <f t="shared" si="177"/>
        <v>1572</v>
      </c>
      <c r="T50" s="733">
        <f t="shared" ref="T50:U50" si="178">ROUND(T$5*T120/T$76,0)</f>
        <v>-18</v>
      </c>
      <c r="U50" s="733">
        <f t="shared" si="178"/>
        <v>-86</v>
      </c>
      <c r="V50" s="733">
        <f t="shared" ref="V50:W50" si="179">ROUND(V$5*V120/V$76,0)</f>
        <v>-57</v>
      </c>
      <c r="W50" s="733">
        <f t="shared" si="179"/>
        <v>-57</v>
      </c>
      <c r="X50" s="733">
        <f t="shared" ref="X50" si="180">ROUND(X$5*X120/X$76,0)</f>
        <v>-57</v>
      </c>
    </row>
    <row r="51" spans="1:24">
      <c r="A51" s="730">
        <v>229</v>
      </c>
      <c r="B51" s="730" t="s">
        <v>334</v>
      </c>
      <c r="C51" s="733">
        <f t="shared" si="168"/>
        <v>203</v>
      </c>
      <c r="D51" s="733">
        <f t="shared" si="168"/>
        <v>1072</v>
      </c>
      <c r="E51" s="733">
        <f t="shared" si="168"/>
        <v>2491</v>
      </c>
      <c r="F51" s="733">
        <f t="shared" ref="F51:S51" si="181">ROUND(F$5*F121/F$76,0)</f>
        <v>-2482</v>
      </c>
      <c r="G51" s="733">
        <f t="shared" si="181"/>
        <v>-627</v>
      </c>
      <c r="H51" s="733">
        <f t="shared" si="181"/>
        <v>936</v>
      </c>
      <c r="I51" s="733">
        <f t="shared" si="181"/>
        <v>204</v>
      </c>
      <c r="J51" s="733">
        <f t="shared" si="181"/>
        <v>506</v>
      </c>
      <c r="K51" s="733">
        <f t="shared" si="181"/>
        <v>-364</v>
      </c>
      <c r="L51" s="733">
        <f t="shared" si="181"/>
        <v>1818</v>
      </c>
      <c r="M51" s="733">
        <f t="shared" si="181"/>
        <v>-789</v>
      </c>
      <c r="N51" s="733">
        <f t="shared" si="181"/>
        <v>606</v>
      </c>
      <c r="O51" s="733">
        <f t="shared" si="181"/>
        <v>1041</v>
      </c>
      <c r="P51" s="733">
        <f t="shared" si="181"/>
        <v>1810</v>
      </c>
      <c r="Q51" s="733">
        <f t="shared" si="181"/>
        <v>-2216</v>
      </c>
      <c r="R51" s="733">
        <f t="shared" si="181"/>
        <v>-801</v>
      </c>
      <c r="S51" s="733">
        <f t="shared" si="181"/>
        <v>3301</v>
      </c>
      <c r="T51" s="733">
        <f t="shared" ref="T51:U51" si="182">ROUND(T$5*T121/T$76,0)</f>
        <v>-39</v>
      </c>
      <c r="U51" s="733">
        <f t="shared" si="182"/>
        <v>-186</v>
      </c>
      <c r="V51" s="733">
        <f t="shared" ref="V51:W51" si="183">ROUND(V$5*V121/V$76,0)</f>
        <v>-122</v>
      </c>
      <c r="W51" s="733">
        <f t="shared" si="183"/>
        <v>-122</v>
      </c>
      <c r="X51" s="733">
        <f t="shared" ref="X51" si="184">ROUND(X$5*X121/X$76,0)</f>
        <v>-122</v>
      </c>
    </row>
    <row r="52" spans="1:24">
      <c r="A52" s="730">
        <v>464</v>
      </c>
      <c r="B52" s="730" t="s">
        <v>208</v>
      </c>
      <c r="C52" s="733">
        <f t="shared" si="168"/>
        <v>117</v>
      </c>
      <c r="D52" s="733">
        <f t="shared" si="168"/>
        <v>431</v>
      </c>
      <c r="E52" s="733">
        <f t="shared" si="168"/>
        <v>1009</v>
      </c>
      <c r="F52" s="733">
        <f t="shared" ref="F52:S52" si="185">ROUND(F$5*F122/F$76,0)</f>
        <v>-974</v>
      </c>
      <c r="G52" s="733">
        <f t="shared" si="185"/>
        <v>-246</v>
      </c>
      <c r="H52" s="733">
        <f t="shared" si="185"/>
        <v>369</v>
      </c>
      <c r="I52" s="733">
        <f t="shared" si="185"/>
        <v>82</v>
      </c>
      <c r="J52" s="733">
        <f t="shared" si="185"/>
        <v>212</v>
      </c>
      <c r="K52" s="733">
        <f t="shared" si="185"/>
        <v>-145</v>
      </c>
      <c r="L52" s="733">
        <f t="shared" si="185"/>
        <v>805</v>
      </c>
      <c r="M52" s="733">
        <f t="shared" si="185"/>
        <v>-307</v>
      </c>
      <c r="N52" s="733">
        <f t="shared" si="185"/>
        <v>259</v>
      </c>
      <c r="O52" s="733">
        <f t="shared" si="185"/>
        <v>442</v>
      </c>
      <c r="P52" s="733">
        <f t="shared" si="185"/>
        <v>780</v>
      </c>
      <c r="Q52" s="733">
        <f t="shared" si="185"/>
        <v>-946</v>
      </c>
      <c r="R52" s="733">
        <f t="shared" si="185"/>
        <v>-353</v>
      </c>
      <c r="S52" s="733">
        <f t="shared" si="185"/>
        <v>1460</v>
      </c>
      <c r="T52" s="733">
        <f t="shared" ref="T52:U52" si="186">ROUND(T$5*T122/T$76,0)</f>
        <v>-17</v>
      </c>
      <c r="U52" s="733">
        <f t="shared" si="186"/>
        <v>-83</v>
      </c>
      <c r="V52" s="733">
        <f t="shared" ref="V52:W52" si="187">ROUND(V$5*V122/V$76,0)</f>
        <v>-54</v>
      </c>
      <c r="W52" s="733">
        <f t="shared" si="187"/>
        <v>-54</v>
      </c>
      <c r="X52" s="733">
        <f t="shared" ref="X52" si="188">ROUND(X$5*X122/X$76,0)</f>
        <v>-54</v>
      </c>
    </row>
    <row r="53" spans="1:24">
      <c r="A53" s="730">
        <v>481</v>
      </c>
      <c r="B53" s="730" t="s">
        <v>209</v>
      </c>
      <c r="C53" s="733">
        <f t="shared" si="168"/>
        <v>42</v>
      </c>
      <c r="D53" s="733">
        <f t="shared" si="168"/>
        <v>217</v>
      </c>
      <c r="E53" s="733">
        <f t="shared" si="168"/>
        <v>503</v>
      </c>
      <c r="F53" s="733">
        <f t="shared" ref="F53:S53" si="189">ROUND(F$5*F123/F$76,0)</f>
        <v>-522</v>
      </c>
      <c r="G53" s="733">
        <f t="shared" si="189"/>
        <v>-130</v>
      </c>
      <c r="H53" s="733">
        <f t="shared" si="189"/>
        <v>185</v>
      </c>
      <c r="I53" s="733">
        <f t="shared" si="189"/>
        <v>41</v>
      </c>
      <c r="J53" s="733">
        <f t="shared" si="189"/>
        <v>110</v>
      </c>
      <c r="K53" s="733">
        <f t="shared" si="189"/>
        <v>-77</v>
      </c>
      <c r="L53" s="733">
        <f t="shared" si="189"/>
        <v>387</v>
      </c>
      <c r="M53" s="733">
        <f t="shared" si="189"/>
        <v>-146</v>
      </c>
      <c r="N53" s="733">
        <f t="shared" si="189"/>
        <v>129</v>
      </c>
      <c r="O53" s="733">
        <f t="shared" si="189"/>
        <v>203</v>
      </c>
      <c r="P53" s="733">
        <f t="shared" si="189"/>
        <v>365</v>
      </c>
      <c r="Q53" s="733">
        <f t="shared" si="189"/>
        <v>-447</v>
      </c>
      <c r="R53" s="733">
        <f t="shared" si="189"/>
        <v>-161</v>
      </c>
      <c r="S53" s="733">
        <f t="shared" si="189"/>
        <v>660</v>
      </c>
      <c r="T53" s="733">
        <f t="shared" ref="T53:U53" si="190">ROUND(T$5*T123/T$76,0)</f>
        <v>-8</v>
      </c>
      <c r="U53" s="733">
        <f t="shared" si="190"/>
        <v>-37</v>
      </c>
      <c r="V53" s="733">
        <f t="shared" ref="V53:W53" si="191">ROUND(V$5*V123/V$76,0)</f>
        <v>-24</v>
      </c>
      <c r="W53" s="733">
        <f t="shared" si="191"/>
        <v>-24</v>
      </c>
      <c r="X53" s="733">
        <f t="shared" ref="X53" si="192">ROUND(X$5*X123/X$76,0)</f>
        <v>-24</v>
      </c>
    </row>
    <row r="54" spans="1:24">
      <c r="A54" s="730">
        <v>501</v>
      </c>
      <c r="B54" s="730" t="s">
        <v>335</v>
      </c>
      <c r="C54" s="735">
        <f t="shared" si="168"/>
        <v>51</v>
      </c>
      <c r="D54" s="735">
        <f t="shared" si="168"/>
        <v>251</v>
      </c>
      <c r="E54" s="735">
        <f t="shared" si="168"/>
        <v>607</v>
      </c>
      <c r="F54" s="735">
        <f t="shared" ref="F54:S54" si="193">ROUND(F$5*F124/F$76,0)</f>
        <v>-752</v>
      </c>
      <c r="G54" s="735">
        <f t="shared" si="193"/>
        <v>-183</v>
      </c>
      <c r="H54" s="735">
        <f t="shared" si="193"/>
        <v>250</v>
      </c>
      <c r="I54" s="735">
        <f t="shared" si="193"/>
        <v>53</v>
      </c>
      <c r="J54" s="735">
        <f t="shared" si="193"/>
        <v>135</v>
      </c>
      <c r="K54" s="735">
        <f t="shared" si="193"/>
        <v>-95</v>
      </c>
      <c r="L54" s="735">
        <f t="shared" si="193"/>
        <v>468</v>
      </c>
      <c r="M54" s="735">
        <f t="shared" si="193"/>
        <v>-183</v>
      </c>
      <c r="N54" s="735">
        <f t="shared" si="193"/>
        <v>145</v>
      </c>
      <c r="O54" s="735">
        <f t="shared" si="193"/>
        <v>244</v>
      </c>
      <c r="P54" s="735">
        <f t="shared" si="193"/>
        <v>427</v>
      </c>
      <c r="Q54" s="735">
        <f t="shared" si="193"/>
        <v>-528</v>
      </c>
      <c r="R54" s="735">
        <f t="shared" si="193"/>
        <v>-191</v>
      </c>
      <c r="S54" s="735">
        <f t="shared" si="193"/>
        <v>773</v>
      </c>
      <c r="T54" s="735">
        <f t="shared" ref="T54:U54" si="194">ROUND(T$5*T124/T$76,0)</f>
        <v>-9</v>
      </c>
      <c r="U54" s="735">
        <f t="shared" si="194"/>
        <v>-42</v>
      </c>
      <c r="V54" s="735">
        <f t="shared" ref="V54:W54" si="195">ROUND(V$5*V124/V$76,0)</f>
        <v>-28</v>
      </c>
      <c r="W54" s="735">
        <f t="shared" si="195"/>
        <v>-28</v>
      </c>
      <c r="X54" s="735">
        <f t="shared" ref="X54" si="196">ROUND(X$5*X124/X$76,0)</f>
        <v>-28</v>
      </c>
    </row>
    <row r="55" spans="1:24">
      <c r="A55" s="728">
        <v>7</v>
      </c>
      <c r="B55" s="728" t="s">
        <v>210</v>
      </c>
      <c r="C55" s="734">
        <f>SUM(C56:C60)</f>
        <v>511</v>
      </c>
      <c r="D55" s="734">
        <f>SUM(D56:D60)</f>
        <v>2521</v>
      </c>
      <c r="E55" s="734">
        <f>SUM(E56:E60)</f>
        <v>6013</v>
      </c>
      <c r="F55" s="734">
        <f>SUM(F56:F60)</f>
        <v>-6251</v>
      </c>
      <c r="G55" s="734">
        <f t="shared" ref="G55:L55" si="197">SUM(G56:G60)</f>
        <v>-1540</v>
      </c>
      <c r="H55" s="734">
        <f t="shared" si="197"/>
        <v>2336</v>
      </c>
      <c r="I55" s="734">
        <f t="shared" si="197"/>
        <v>521</v>
      </c>
      <c r="J55" s="734">
        <f t="shared" si="197"/>
        <v>1337</v>
      </c>
      <c r="K55" s="734">
        <f t="shared" si="197"/>
        <v>-962</v>
      </c>
      <c r="L55" s="734">
        <f t="shared" si="197"/>
        <v>4833</v>
      </c>
      <c r="M55" s="734">
        <f t="shared" ref="M55:R55" si="198">SUM(M56:M60)</f>
        <v>-1917</v>
      </c>
      <c r="N55" s="734">
        <f t="shared" si="198"/>
        <v>1714</v>
      </c>
      <c r="O55" s="734">
        <f t="shared" si="198"/>
        <v>2521</v>
      </c>
      <c r="P55" s="734">
        <f t="shared" si="198"/>
        <v>4345</v>
      </c>
      <c r="Q55" s="734">
        <f t="shared" si="198"/>
        <v>-5460</v>
      </c>
      <c r="R55" s="734">
        <f t="shared" si="198"/>
        <v>-1928</v>
      </c>
      <c r="S55" s="734">
        <f t="shared" ref="S55:X55" si="199">SUM(S56:S60)</f>
        <v>7972</v>
      </c>
      <c r="T55" s="734">
        <f t="shared" si="199"/>
        <v>-93</v>
      </c>
      <c r="U55" s="734">
        <f t="shared" si="199"/>
        <v>-444</v>
      </c>
      <c r="V55" s="734">
        <f t="shared" si="199"/>
        <v>-293</v>
      </c>
      <c r="W55" s="734">
        <f t="shared" si="199"/>
        <v>-293</v>
      </c>
      <c r="X55" s="734">
        <f t="shared" si="199"/>
        <v>-293</v>
      </c>
    </row>
    <row r="56" spans="1:24">
      <c r="A56" s="730">
        <v>209</v>
      </c>
      <c r="B56" s="730" t="s">
        <v>336</v>
      </c>
      <c r="C56" s="733">
        <f t="shared" ref="C56:E60" si="200">ROUND(C$5*C126/C$76,0)</f>
        <v>238</v>
      </c>
      <c r="D56" s="733">
        <f t="shared" si="200"/>
        <v>1170</v>
      </c>
      <c r="E56" s="733">
        <f t="shared" si="200"/>
        <v>2820</v>
      </c>
      <c r="F56" s="733">
        <f t="shared" ref="F56:S56" si="201">ROUND(F$5*F126/F$76,0)</f>
        <v>-2912</v>
      </c>
      <c r="G56" s="733">
        <f t="shared" si="201"/>
        <v>-692</v>
      </c>
      <c r="H56" s="733">
        <f t="shared" si="201"/>
        <v>1112</v>
      </c>
      <c r="I56" s="733">
        <f t="shared" si="201"/>
        <v>255</v>
      </c>
      <c r="J56" s="733">
        <f t="shared" si="201"/>
        <v>628</v>
      </c>
      <c r="K56" s="733">
        <f t="shared" si="201"/>
        <v>-441</v>
      </c>
      <c r="L56" s="733">
        <f t="shared" si="201"/>
        <v>2196</v>
      </c>
      <c r="M56" s="733">
        <f t="shared" si="201"/>
        <v>-901</v>
      </c>
      <c r="N56" s="733">
        <f t="shared" si="201"/>
        <v>716</v>
      </c>
      <c r="O56" s="733">
        <f t="shared" si="201"/>
        <v>1183</v>
      </c>
      <c r="P56" s="733">
        <f t="shared" si="201"/>
        <v>2059</v>
      </c>
      <c r="Q56" s="733">
        <f t="shared" si="201"/>
        <v>-2449</v>
      </c>
      <c r="R56" s="733">
        <f t="shared" si="201"/>
        <v>-894</v>
      </c>
      <c r="S56" s="733">
        <f t="shared" si="201"/>
        <v>3683</v>
      </c>
      <c r="T56" s="733">
        <f t="shared" ref="T56:U56" si="202">ROUND(T$5*T126/T$76,0)</f>
        <v>-43</v>
      </c>
      <c r="U56" s="733">
        <f t="shared" si="202"/>
        <v>-208</v>
      </c>
      <c r="V56" s="733">
        <f t="shared" ref="V56:W56" si="203">ROUND(V$5*V126/V$76,0)</f>
        <v>-137</v>
      </c>
      <c r="W56" s="733">
        <f t="shared" si="203"/>
        <v>-137</v>
      </c>
      <c r="X56" s="733">
        <f t="shared" ref="X56" si="204">ROUND(X$5*X126/X$76,0)</f>
        <v>-137</v>
      </c>
    </row>
    <row r="57" spans="1:24">
      <c r="A57" s="730">
        <v>222</v>
      </c>
      <c r="B57" s="730" t="s">
        <v>337</v>
      </c>
      <c r="C57" s="733">
        <f t="shared" si="200"/>
        <v>75</v>
      </c>
      <c r="D57" s="733">
        <f t="shared" si="200"/>
        <v>376</v>
      </c>
      <c r="E57" s="733">
        <f t="shared" si="200"/>
        <v>887</v>
      </c>
      <c r="F57" s="733">
        <f t="shared" ref="F57:S57" si="205">ROUND(F$5*F127/F$76,0)</f>
        <v>-953</v>
      </c>
      <c r="G57" s="733">
        <f t="shared" si="205"/>
        <v>-237</v>
      </c>
      <c r="H57" s="733">
        <f t="shared" si="205"/>
        <v>341</v>
      </c>
      <c r="I57" s="733">
        <f t="shared" si="205"/>
        <v>72</v>
      </c>
      <c r="J57" s="733">
        <f t="shared" si="205"/>
        <v>185</v>
      </c>
      <c r="K57" s="733">
        <f t="shared" si="205"/>
        <v>-144</v>
      </c>
      <c r="L57" s="733">
        <f t="shared" si="205"/>
        <v>719</v>
      </c>
      <c r="M57" s="733">
        <f t="shared" si="205"/>
        <v>-275</v>
      </c>
      <c r="N57" s="733">
        <f t="shared" si="205"/>
        <v>219</v>
      </c>
      <c r="O57" s="733">
        <f t="shared" si="205"/>
        <v>367</v>
      </c>
      <c r="P57" s="733">
        <f t="shared" si="205"/>
        <v>603</v>
      </c>
      <c r="Q57" s="733">
        <f t="shared" si="205"/>
        <v>-804</v>
      </c>
      <c r="R57" s="733">
        <f t="shared" si="205"/>
        <v>-277</v>
      </c>
      <c r="S57" s="733">
        <f t="shared" si="205"/>
        <v>1141</v>
      </c>
      <c r="T57" s="733">
        <f t="shared" ref="T57:U57" si="206">ROUND(T$5*T127/T$76,0)</f>
        <v>-13</v>
      </c>
      <c r="U57" s="733">
        <f t="shared" si="206"/>
        <v>-63</v>
      </c>
      <c r="V57" s="733">
        <f t="shared" ref="V57:W57" si="207">ROUND(V$5*V127/V$76,0)</f>
        <v>-41</v>
      </c>
      <c r="W57" s="733">
        <f t="shared" si="207"/>
        <v>-41</v>
      </c>
      <c r="X57" s="733">
        <f t="shared" ref="X57" si="208">ROUND(X$5*X127/X$76,0)</f>
        <v>-41</v>
      </c>
    </row>
    <row r="58" spans="1:24">
      <c r="A58" s="730">
        <v>225</v>
      </c>
      <c r="B58" s="730" t="s">
        <v>222</v>
      </c>
      <c r="C58" s="733">
        <f t="shared" si="200"/>
        <v>104</v>
      </c>
      <c r="D58" s="733">
        <f t="shared" si="200"/>
        <v>503</v>
      </c>
      <c r="E58" s="733">
        <f t="shared" si="200"/>
        <v>1183</v>
      </c>
      <c r="F58" s="733">
        <f t="shared" ref="F58:S58" si="209">ROUND(F$5*F128/F$76,0)</f>
        <v>-1202</v>
      </c>
      <c r="G58" s="733">
        <f t="shared" si="209"/>
        <v>-319</v>
      </c>
      <c r="H58" s="733">
        <f t="shared" si="209"/>
        <v>455</v>
      </c>
      <c r="I58" s="733">
        <f t="shared" si="209"/>
        <v>99</v>
      </c>
      <c r="J58" s="733">
        <f t="shared" si="209"/>
        <v>266</v>
      </c>
      <c r="K58" s="733">
        <f t="shared" si="209"/>
        <v>-195</v>
      </c>
      <c r="L58" s="733">
        <f t="shared" si="209"/>
        <v>1028</v>
      </c>
      <c r="M58" s="733">
        <f t="shared" si="209"/>
        <v>-393</v>
      </c>
      <c r="N58" s="733">
        <f t="shared" si="209"/>
        <v>480</v>
      </c>
      <c r="O58" s="733">
        <f t="shared" si="209"/>
        <v>488</v>
      </c>
      <c r="P58" s="733">
        <f t="shared" si="209"/>
        <v>849</v>
      </c>
      <c r="Q58" s="733">
        <f t="shared" si="209"/>
        <v>-1174</v>
      </c>
      <c r="R58" s="733">
        <f t="shared" si="209"/>
        <v>-390</v>
      </c>
      <c r="S58" s="733">
        <f t="shared" si="209"/>
        <v>1638</v>
      </c>
      <c r="T58" s="733">
        <f t="shared" ref="T58:U58" si="210">ROUND(T$5*T128/T$76,0)</f>
        <v>-19</v>
      </c>
      <c r="U58" s="733">
        <f t="shared" si="210"/>
        <v>-91</v>
      </c>
      <c r="V58" s="733">
        <f t="shared" ref="V58:W58" si="211">ROUND(V$5*V128/V$76,0)</f>
        <v>-60</v>
      </c>
      <c r="W58" s="733">
        <f t="shared" si="211"/>
        <v>-60</v>
      </c>
      <c r="X58" s="733">
        <f t="shared" ref="X58" si="212">ROUND(X$5*X128/X$76,0)</f>
        <v>-60</v>
      </c>
    </row>
    <row r="59" spans="1:24">
      <c r="A59" s="730">
        <v>585</v>
      </c>
      <c r="B59" s="730" t="s">
        <v>220</v>
      </c>
      <c r="C59" s="733">
        <f t="shared" si="200"/>
        <v>51</v>
      </c>
      <c r="D59" s="733">
        <f t="shared" si="200"/>
        <v>257</v>
      </c>
      <c r="E59" s="733">
        <f t="shared" si="200"/>
        <v>615</v>
      </c>
      <c r="F59" s="733">
        <f t="shared" ref="F59:S59" si="213">ROUND(F$5*F129/F$76,0)</f>
        <v>-633</v>
      </c>
      <c r="G59" s="733">
        <f t="shared" si="213"/>
        <v>-158</v>
      </c>
      <c r="H59" s="733">
        <f t="shared" si="213"/>
        <v>233</v>
      </c>
      <c r="I59" s="733">
        <f t="shared" si="213"/>
        <v>52</v>
      </c>
      <c r="J59" s="733">
        <f t="shared" si="213"/>
        <v>141</v>
      </c>
      <c r="K59" s="733">
        <f t="shared" si="213"/>
        <v>-101</v>
      </c>
      <c r="L59" s="733">
        <f t="shared" si="213"/>
        <v>490</v>
      </c>
      <c r="M59" s="733">
        <f t="shared" si="213"/>
        <v>-192</v>
      </c>
      <c r="N59" s="733">
        <f t="shared" si="213"/>
        <v>166</v>
      </c>
      <c r="O59" s="733">
        <f t="shared" si="213"/>
        <v>274</v>
      </c>
      <c r="P59" s="733">
        <f t="shared" si="213"/>
        <v>447</v>
      </c>
      <c r="Q59" s="733">
        <f t="shared" si="213"/>
        <v>-563</v>
      </c>
      <c r="R59" s="733">
        <f t="shared" si="213"/>
        <v>-201</v>
      </c>
      <c r="S59" s="733">
        <f t="shared" si="213"/>
        <v>818</v>
      </c>
      <c r="T59" s="733">
        <f t="shared" ref="T59:U59" si="214">ROUND(T$5*T129/T$76,0)</f>
        <v>-10</v>
      </c>
      <c r="U59" s="733">
        <f t="shared" si="214"/>
        <v>-45</v>
      </c>
      <c r="V59" s="733">
        <f t="shared" ref="V59:W59" si="215">ROUND(V$5*V129/V$76,0)</f>
        <v>-30</v>
      </c>
      <c r="W59" s="733">
        <f t="shared" si="215"/>
        <v>-30</v>
      </c>
      <c r="X59" s="733">
        <f t="shared" ref="X59" si="216">ROUND(X$5*X129/X$76,0)</f>
        <v>-30</v>
      </c>
    </row>
    <row r="60" spans="1:24">
      <c r="A60" s="731">
        <v>586</v>
      </c>
      <c r="B60" s="731" t="s">
        <v>338</v>
      </c>
      <c r="C60" s="733">
        <f t="shared" si="200"/>
        <v>43</v>
      </c>
      <c r="D60" s="733">
        <f t="shared" si="200"/>
        <v>215</v>
      </c>
      <c r="E60" s="733">
        <f t="shared" si="200"/>
        <v>508</v>
      </c>
      <c r="F60" s="733">
        <f t="shared" ref="F60:S60" si="217">ROUND(F$5*F130/F$76,0)</f>
        <v>-551</v>
      </c>
      <c r="G60" s="733">
        <f t="shared" si="217"/>
        <v>-134</v>
      </c>
      <c r="H60" s="733">
        <f t="shared" si="217"/>
        <v>195</v>
      </c>
      <c r="I60" s="733">
        <f t="shared" si="217"/>
        <v>43</v>
      </c>
      <c r="J60" s="733">
        <f t="shared" si="217"/>
        <v>117</v>
      </c>
      <c r="K60" s="733">
        <f t="shared" si="217"/>
        <v>-81</v>
      </c>
      <c r="L60" s="733">
        <f t="shared" si="217"/>
        <v>400</v>
      </c>
      <c r="M60" s="733">
        <f t="shared" si="217"/>
        <v>-156</v>
      </c>
      <c r="N60" s="733">
        <f t="shared" si="217"/>
        <v>133</v>
      </c>
      <c r="O60" s="733">
        <f t="shared" si="217"/>
        <v>209</v>
      </c>
      <c r="P60" s="733">
        <f t="shared" si="217"/>
        <v>387</v>
      </c>
      <c r="Q60" s="733">
        <f t="shared" si="217"/>
        <v>-470</v>
      </c>
      <c r="R60" s="733">
        <f t="shared" si="217"/>
        <v>-166</v>
      </c>
      <c r="S60" s="733">
        <f t="shared" si="217"/>
        <v>692</v>
      </c>
      <c r="T60" s="733">
        <f t="shared" ref="T60:U60" si="218">ROUND(T$5*T130/T$76,0)</f>
        <v>-8</v>
      </c>
      <c r="U60" s="733">
        <f t="shared" si="218"/>
        <v>-37</v>
      </c>
      <c r="V60" s="733">
        <f t="shared" ref="V60:W60" si="219">ROUND(V$5*V130/V$76,0)</f>
        <v>-25</v>
      </c>
      <c r="W60" s="733">
        <f t="shared" si="219"/>
        <v>-25</v>
      </c>
      <c r="X60" s="733">
        <f t="shared" ref="X60" si="220">ROUND(X$5*X130/X$76,0)</f>
        <v>-25</v>
      </c>
    </row>
    <row r="61" spans="1:24">
      <c r="A61" s="730">
        <v>8</v>
      </c>
      <c r="B61" s="730" t="s">
        <v>211</v>
      </c>
      <c r="C61" s="734">
        <f>SUM(C62:C63)</f>
        <v>294</v>
      </c>
      <c r="D61" s="734">
        <f>SUM(D62:D63)</f>
        <v>1509</v>
      </c>
      <c r="E61" s="734">
        <f>SUM(E62:E63)</f>
        <v>3576</v>
      </c>
      <c r="F61" s="734">
        <f>SUM(F62:F63)</f>
        <v>-3596</v>
      </c>
      <c r="G61" s="734">
        <f t="shared" ref="G61:L61" si="221">SUM(G62:G63)</f>
        <v>-919</v>
      </c>
      <c r="H61" s="734">
        <f t="shared" si="221"/>
        <v>1307</v>
      </c>
      <c r="I61" s="734">
        <f t="shared" si="221"/>
        <v>289</v>
      </c>
      <c r="J61" s="734">
        <f t="shared" si="221"/>
        <v>776</v>
      </c>
      <c r="K61" s="734">
        <f t="shared" si="221"/>
        <v>-629</v>
      </c>
      <c r="L61" s="734">
        <f t="shared" si="221"/>
        <v>3077</v>
      </c>
      <c r="M61" s="734">
        <f t="shared" ref="M61:R61" si="222">SUM(M62:M63)</f>
        <v>-1160</v>
      </c>
      <c r="N61" s="734">
        <f t="shared" si="222"/>
        <v>930</v>
      </c>
      <c r="O61" s="734">
        <f t="shared" si="222"/>
        <v>1626</v>
      </c>
      <c r="P61" s="734">
        <f t="shared" si="222"/>
        <v>2757</v>
      </c>
      <c r="Q61" s="734">
        <f t="shared" si="222"/>
        <v>-3195</v>
      </c>
      <c r="R61" s="734">
        <f t="shared" si="222"/>
        <v>-1206</v>
      </c>
      <c r="S61" s="734">
        <f t="shared" ref="S61:X61" si="223">SUM(S62:S63)</f>
        <v>4937</v>
      </c>
      <c r="T61" s="734">
        <f t="shared" si="223"/>
        <v>-57</v>
      </c>
      <c r="U61" s="734">
        <f t="shared" si="223"/>
        <v>-278</v>
      </c>
      <c r="V61" s="734">
        <f t="shared" si="223"/>
        <v>-184</v>
      </c>
      <c r="W61" s="734">
        <f t="shared" si="223"/>
        <v>-184</v>
      </c>
      <c r="X61" s="734">
        <f t="shared" si="223"/>
        <v>-184</v>
      </c>
    </row>
    <row r="62" spans="1:24">
      <c r="A62" s="730">
        <v>221</v>
      </c>
      <c r="B62" s="730" t="s">
        <v>1148</v>
      </c>
      <c r="C62" s="733">
        <f t="shared" ref="C62:E63" si="224">ROUND(C$5*C132/C$76,0)</f>
        <v>121</v>
      </c>
      <c r="D62" s="733">
        <f t="shared" si="224"/>
        <v>597</v>
      </c>
      <c r="E62" s="733">
        <f t="shared" si="224"/>
        <v>1404</v>
      </c>
      <c r="F62" s="733">
        <f t="shared" ref="F62:S62" si="225">ROUND(F$5*F132/F$76,0)</f>
        <v>-1444</v>
      </c>
      <c r="G62" s="733">
        <f t="shared" si="225"/>
        <v>-370</v>
      </c>
      <c r="H62" s="733">
        <f t="shared" si="225"/>
        <v>530</v>
      </c>
      <c r="I62" s="733">
        <f t="shared" si="225"/>
        <v>116</v>
      </c>
      <c r="J62" s="733">
        <f t="shared" si="225"/>
        <v>313</v>
      </c>
      <c r="K62" s="733">
        <f t="shared" si="225"/>
        <v>-226</v>
      </c>
      <c r="L62" s="733">
        <f t="shared" si="225"/>
        <v>1140</v>
      </c>
      <c r="M62" s="733">
        <f t="shared" si="225"/>
        <v>-445</v>
      </c>
      <c r="N62" s="733">
        <f t="shared" si="225"/>
        <v>371</v>
      </c>
      <c r="O62" s="733">
        <f t="shared" si="225"/>
        <v>644</v>
      </c>
      <c r="P62" s="733">
        <f t="shared" si="225"/>
        <v>1119</v>
      </c>
      <c r="Q62" s="733">
        <f t="shared" si="225"/>
        <v>-1304</v>
      </c>
      <c r="R62" s="733">
        <f t="shared" si="225"/>
        <v>-489</v>
      </c>
      <c r="S62" s="733">
        <f t="shared" si="225"/>
        <v>2035</v>
      </c>
      <c r="T62" s="733">
        <f t="shared" ref="T62:U62" si="226">ROUND(T$5*T132/T$76,0)</f>
        <v>-23</v>
      </c>
      <c r="U62" s="733">
        <f t="shared" si="226"/>
        <v>-113</v>
      </c>
      <c r="V62" s="733">
        <f t="shared" ref="V62:W62" si="227">ROUND(V$5*V132/V$76,0)</f>
        <v>-75</v>
      </c>
      <c r="W62" s="733">
        <f t="shared" si="227"/>
        <v>-75</v>
      </c>
      <c r="X62" s="733">
        <f t="shared" ref="X62" si="228">ROUND(X$5*X132/X$76,0)</f>
        <v>-75</v>
      </c>
    </row>
    <row r="63" spans="1:24">
      <c r="A63" s="730">
        <v>223</v>
      </c>
      <c r="B63" s="730" t="s">
        <v>223</v>
      </c>
      <c r="C63" s="735">
        <f t="shared" si="224"/>
        <v>173</v>
      </c>
      <c r="D63" s="735">
        <f t="shared" si="224"/>
        <v>912</v>
      </c>
      <c r="E63" s="735">
        <f t="shared" si="224"/>
        <v>2172</v>
      </c>
      <c r="F63" s="735">
        <f t="shared" ref="F63:S63" si="229">ROUND(F$5*F133/F$76,0)</f>
        <v>-2152</v>
      </c>
      <c r="G63" s="735">
        <f t="shared" si="229"/>
        <v>-549</v>
      </c>
      <c r="H63" s="735">
        <f t="shared" si="229"/>
        <v>777</v>
      </c>
      <c r="I63" s="735">
        <f t="shared" si="229"/>
        <v>173</v>
      </c>
      <c r="J63" s="735">
        <f t="shared" si="229"/>
        <v>463</v>
      </c>
      <c r="K63" s="735">
        <f t="shared" si="229"/>
        <v>-403</v>
      </c>
      <c r="L63" s="735">
        <f t="shared" si="229"/>
        <v>1937</v>
      </c>
      <c r="M63" s="735">
        <f t="shared" si="229"/>
        <v>-715</v>
      </c>
      <c r="N63" s="735">
        <f t="shared" si="229"/>
        <v>559</v>
      </c>
      <c r="O63" s="735">
        <f t="shared" si="229"/>
        <v>982</v>
      </c>
      <c r="P63" s="735">
        <f t="shared" si="229"/>
        <v>1638</v>
      </c>
      <c r="Q63" s="735">
        <f t="shared" si="229"/>
        <v>-1891</v>
      </c>
      <c r="R63" s="735">
        <f t="shared" si="229"/>
        <v>-717</v>
      </c>
      <c r="S63" s="735">
        <f t="shared" si="229"/>
        <v>2902</v>
      </c>
      <c r="T63" s="735">
        <f t="shared" ref="T63:U63" si="230">ROUND(T$5*T133/T$76,0)</f>
        <v>-34</v>
      </c>
      <c r="U63" s="735">
        <f t="shared" si="230"/>
        <v>-165</v>
      </c>
      <c r="V63" s="735">
        <f t="shared" ref="V63:W63" si="231">ROUND(V$5*V133/V$76,0)</f>
        <v>-109</v>
      </c>
      <c r="W63" s="735">
        <f t="shared" si="231"/>
        <v>-109</v>
      </c>
      <c r="X63" s="735">
        <f t="shared" ref="X63" si="232">ROUND(X$5*X133/X$76,0)</f>
        <v>-109</v>
      </c>
    </row>
    <row r="64" spans="1:24">
      <c r="A64" s="728">
        <v>9</v>
      </c>
      <c r="B64" s="728" t="s">
        <v>212</v>
      </c>
      <c r="C64" s="734">
        <f>SUM(C65:C67)</f>
        <v>365</v>
      </c>
      <c r="D64" s="734">
        <f>SUM(D65:D67)</f>
        <v>1776</v>
      </c>
      <c r="E64" s="734">
        <f>SUM(E65:E67)</f>
        <v>4256</v>
      </c>
      <c r="F64" s="734">
        <f>SUM(F65:F67)</f>
        <v>-4604</v>
      </c>
      <c r="G64" s="734">
        <f t="shared" ref="G64:L64" si="233">SUM(G65:G67)</f>
        <v>-1164</v>
      </c>
      <c r="H64" s="734">
        <f t="shared" si="233"/>
        <v>1626</v>
      </c>
      <c r="I64" s="734">
        <f t="shared" si="233"/>
        <v>363</v>
      </c>
      <c r="J64" s="734">
        <f t="shared" si="233"/>
        <v>980</v>
      </c>
      <c r="K64" s="734">
        <f t="shared" si="233"/>
        <v>-686</v>
      </c>
      <c r="L64" s="734">
        <f t="shared" si="233"/>
        <v>3527</v>
      </c>
      <c r="M64" s="734">
        <f t="shared" ref="M64:R64" si="234">SUM(M65:M67)</f>
        <v>-1406</v>
      </c>
      <c r="N64" s="734">
        <f t="shared" si="234"/>
        <v>1152</v>
      </c>
      <c r="O64" s="734">
        <f t="shared" si="234"/>
        <v>1799</v>
      </c>
      <c r="P64" s="734">
        <f t="shared" si="234"/>
        <v>3203</v>
      </c>
      <c r="Q64" s="734">
        <f t="shared" si="234"/>
        <v>-3928</v>
      </c>
      <c r="R64" s="734">
        <f t="shared" si="234"/>
        <v>-1443</v>
      </c>
      <c r="S64" s="734">
        <f t="shared" ref="S64:X64" si="235">SUM(S65:S67)</f>
        <v>5926</v>
      </c>
      <c r="T64" s="734">
        <f t="shared" si="235"/>
        <v>-72</v>
      </c>
      <c r="U64" s="734">
        <f t="shared" si="235"/>
        <v>-349</v>
      </c>
      <c r="V64" s="734">
        <f t="shared" si="235"/>
        <v>-229</v>
      </c>
      <c r="W64" s="734">
        <f t="shared" si="235"/>
        <v>-229</v>
      </c>
      <c r="X64" s="734">
        <f t="shared" si="235"/>
        <v>-229</v>
      </c>
    </row>
    <row r="65" spans="1:24">
      <c r="A65" s="730">
        <v>205</v>
      </c>
      <c r="B65" s="730" t="s">
        <v>339</v>
      </c>
      <c r="C65" s="733">
        <f t="shared" ref="C65:E67" si="236">ROUND(C$5*C135/C$76,0)</f>
        <v>128</v>
      </c>
      <c r="D65" s="733">
        <f t="shared" si="236"/>
        <v>607</v>
      </c>
      <c r="E65" s="733">
        <f t="shared" si="236"/>
        <v>1484</v>
      </c>
      <c r="F65" s="733">
        <f t="shared" ref="F65:S65" si="237">ROUND(F$5*F135/F$76,0)</f>
        <v>-1594</v>
      </c>
      <c r="G65" s="733">
        <f t="shared" si="237"/>
        <v>-446</v>
      </c>
      <c r="H65" s="733">
        <f t="shared" si="237"/>
        <v>551</v>
      </c>
      <c r="I65" s="733">
        <f t="shared" si="237"/>
        <v>122</v>
      </c>
      <c r="J65" s="733">
        <f t="shared" si="237"/>
        <v>337</v>
      </c>
      <c r="K65" s="733">
        <f t="shared" si="237"/>
        <v>-224</v>
      </c>
      <c r="L65" s="733">
        <f t="shared" si="237"/>
        <v>1169</v>
      </c>
      <c r="M65" s="733">
        <f t="shared" si="237"/>
        <v>-499</v>
      </c>
      <c r="N65" s="733">
        <f t="shared" si="237"/>
        <v>412</v>
      </c>
      <c r="O65" s="733">
        <f t="shared" si="237"/>
        <v>604</v>
      </c>
      <c r="P65" s="733">
        <f t="shared" si="237"/>
        <v>1084</v>
      </c>
      <c r="Q65" s="733">
        <f t="shared" si="237"/>
        <v>-1388</v>
      </c>
      <c r="R65" s="733">
        <f t="shared" si="237"/>
        <v>-492</v>
      </c>
      <c r="S65" s="733">
        <f t="shared" si="237"/>
        <v>2049</v>
      </c>
      <c r="T65" s="733">
        <f t="shared" ref="T65:U65" si="238">ROUND(T$5*T135/T$76,0)</f>
        <v>-25</v>
      </c>
      <c r="U65" s="733">
        <f t="shared" si="238"/>
        <v>-120</v>
      </c>
      <c r="V65" s="733">
        <f t="shared" ref="V65:W65" si="239">ROUND(V$5*V135/V$76,0)</f>
        <v>-79</v>
      </c>
      <c r="W65" s="733">
        <f t="shared" si="239"/>
        <v>-79</v>
      </c>
      <c r="X65" s="733">
        <f t="shared" ref="X65" si="240">ROUND(X$5*X135/X$76,0)</f>
        <v>-79</v>
      </c>
    </row>
    <row r="66" spans="1:24">
      <c r="A66" s="730">
        <v>224</v>
      </c>
      <c r="B66" s="730" t="s">
        <v>224</v>
      </c>
      <c r="C66" s="733">
        <f t="shared" si="236"/>
        <v>111</v>
      </c>
      <c r="D66" s="733">
        <f t="shared" si="236"/>
        <v>577</v>
      </c>
      <c r="E66" s="733">
        <f t="shared" si="236"/>
        <v>1395</v>
      </c>
      <c r="F66" s="733">
        <f t="shared" ref="F66:S66" si="241">ROUND(F$5*F136/F$76,0)</f>
        <v>-1437</v>
      </c>
      <c r="G66" s="733">
        <f t="shared" si="241"/>
        <v>-363</v>
      </c>
      <c r="H66" s="733">
        <f t="shared" si="241"/>
        <v>525</v>
      </c>
      <c r="I66" s="733">
        <f t="shared" si="241"/>
        <v>116</v>
      </c>
      <c r="J66" s="733">
        <f t="shared" si="241"/>
        <v>309</v>
      </c>
      <c r="K66" s="733">
        <f t="shared" si="241"/>
        <v>-233</v>
      </c>
      <c r="L66" s="733">
        <f t="shared" si="241"/>
        <v>1159</v>
      </c>
      <c r="M66" s="733">
        <f t="shared" si="241"/>
        <v>-454</v>
      </c>
      <c r="N66" s="733">
        <f t="shared" si="241"/>
        <v>367</v>
      </c>
      <c r="O66" s="733">
        <f t="shared" si="241"/>
        <v>594</v>
      </c>
      <c r="P66" s="733">
        <f t="shared" si="241"/>
        <v>1028</v>
      </c>
      <c r="Q66" s="733">
        <f t="shared" si="241"/>
        <v>-1241</v>
      </c>
      <c r="R66" s="733">
        <f t="shared" si="241"/>
        <v>-462</v>
      </c>
      <c r="S66" s="733">
        <f t="shared" si="241"/>
        <v>1887</v>
      </c>
      <c r="T66" s="733">
        <f t="shared" ref="T66:U66" si="242">ROUND(T$5*T136/T$76,0)</f>
        <v>-23</v>
      </c>
      <c r="U66" s="733">
        <f t="shared" si="242"/>
        <v>-113</v>
      </c>
      <c r="V66" s="733">
        <f t="shared" ref="V66:W66" si="243">ROUND(V$5*V136/V$76,0)</f>
        <v>-74</v>
      </c>
      <c r="W66" s="733">
        <f t="shared" si="243"/>
        <v>-74</v>
      </c>
      <c r="X66" s="733">
        <f t="shared" ref="X66" si="244">ROUND(X$5*X136/X$76,0)</f>
        <v>-74</v>
      </c>
    </row>
    <row r="67" spans="1:24">
      <c r="A67" s="731">
        <v>226</v>
      </c>
      <c r="B67" s="731" t="s">
        <v>225</v>
      </c>
      <c r="C67" s="735">
        <f t="shared" si="236"/>
        <v>126</v>
      </c>
      <c r="D67" s="735">
        <f t="shared" si="236"/>
        <v>592</v>
      </c>
      <c r="E67" s="735">
        <f t="shared" si="236"/>
        <v>1377</v>
      </c>
      <c r="F67" s="735">
        <f t="shared" ref="F67:S67" si="245">ROUND(F$5*F137/F$76,0)</f>
        <v>-1573</v>
      </c>
      <c r="G67" s="735">
        <f t="shared" si="245"/>
        <v>-355</v>
      </c>
      <c r="H67" s="735">
        <f t="shared" si="245"/>
        <v>550</v>
      </c>
      <c r="I67" s="735">
        <f t="shared" si="245"/>
        <v>125</v>
      </c>
      <c r="J67" s="735">
        <f t="shared" si="245"/>
        <v>334</v>
      </c>
      <c r="K67" s="735">
        <f t="shared" si="245"/>
        <v>-229</v>
      </c>
      <c r="L67" s="735">
        <f t="shared" si="245"/>
        <v>1199</v>
      </c>
      <c r="M67" s="735">
        <f t="shared" si="245"/>
        <v>-453</v>
      </c>
      <c r="N67" s="735">
        <f t="shared" si="245"/>
        <v>373</v>
      </c>
      <c r="O67" s="735">
        <f t="shared" si="245"/>
        <v>601</v>
      </c>
      <c r="P67" s="735">
        <f t="shared" si="245"/>
        <v>1091</v>
      </c>
      <c r="Q67" s="735">
        <f t="shared" si="245"/>
        <v>-1299</v>
      </c>
      <c r="R67" s="735">
        <f t="shared" si="245"/>
        <v>-489</v>
      </c>
      <c r="S67" s="735">
        <f t="shared" si="245"/>
        <v>1990</v>
      </c>
      <c r="T67" s="735">
        <f t="shared" ref="T67:U67" si="246">ROUND(T$5*T137/T$76,0)</f>
        <v>-24</v>
      </c>
      <c r="U67" s="735">
        <f t="shared" si="246"/>
        <v>-116</v>
      </c>
      <c r="V67" s="735">
        <f t="shared" ref="V67:W67" si="247">ROUND(V$5*V137/V$76,0)</f>
        <v>-76</v>
      </c>
      <c r="W67" s="735">
        <f t="shared" si="247"/>
        <v>-76</v>
      </c>
      <c r="X67" s="735">
        <f t="shared" ref="X67" si="248">ROUND(X$5*X137/X$76,0)</f>
        <v>-76</v>
      </c>
    </row>
    <row r="71" spans="1:24">
      <c r="C71" s="898">
        <v>2006</v>
      </c>
      <c r="D71" s="898">
        <v>2007</v>
      </c>
      <c r="E71" s="898">
        <v>2008</v>
      </c>
      <c r="F71" s="898">
        <v>2009</v>
      </c>
      <c r="G71" s="898">
        <v>2010</v>
      </c>
      <c r="H71" s="898">
        <v>2011</v>
      </c>
      <c r="I71" s="898">
        <v>2012</v>
      </c>
      <c r="J71" s="898">
        <v>2013</v>
      </c>
      <c r="K71" s="898">
        <v>2014</v>
      </c>
      <c r="L71" s="898">
        <v>2015</v>
      </c>
      <c r="M71" s="898">
        <v>2016</v>
      </c>
      <c r="N71" s="898">
        <v>2017</v>
      </c>
      <c r="O71" s="898">
        <v>2018</v>
      </c>
      <c r="P71" s="898">
        <v>2019</v>
      </c>
      <c r="Q71" s="898">
        <v>2020</v>
      </c>
      <c r="R71" s="898">
        <v>2021</v>
      </c>
      <c r="S71" s="898">
        <v>2022</v>
      </c>
      <c r="T71" s="898">
        <v>2023</v>
      </c>
      <c r="U71" s="898">
        <v>2024</v>
      </c>
      <c r="V71" s="898">
        <v>2025</v>
      </c>
      <c r="W71" s="898">
        <v>2026</v>
      </c>
      <c r="X71" s="898">
        <v>2027</v>
      </c>
    </row>
    <row r="72" spans="1:24">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row>
    <row r="73" spans="1:24" ht="28.5">
      <c r="A73" s="1199"/>
      <c r="B73" s="1199"/>
      <c r="C73" s="1199" t="s">
        <v>1347</v>
      </c>
      <c r="D73" s="1199" t="s">
        <v>1347</v>
      </c>
      <c r="E73" s="1199" t="s">
        <v>1347</v>
      </c>
      <c r="F73" s="1199" t="s">
        <v>1347</v>
      </c>
      <c r="G73" s="1199" t="s">
        <v>1347</v>
      </c>
      <c r="H73" s="1199" t="s">
        <v>1347</v>
      </c>
      <c r="I73" s="1199" t="s">
        <v>1347</v>
      </c>
      <c r="J73" s="1199" t="s">
        <v>1347</v>
      </c>
      <c r="K73" s="1199" t="s">
        <v>1347</v>
      </c>
      <c r="L73" s="1199" t="s">
        <v>1347</v>
      </c>
      <c r="M73" s="1199" t="s">
        <v>1347</v>
      </c>
      <c r="N73" s="1199" t="s">
        <v>1347</v>
      </c>
      <c r="O73" s="1199" t="s">
        <v>1347</v>
      </c>
      <c r="P73" s="1199" t="s">
        <v>1347</v>
      </c>
      <c r="Q73" s="1199" t="s">
        <v>1347</v>
      </c>
      <c r="R73" s="1199" t="s">
        <v>1347</v>
      </c>
      <c r="S73" s="1199" t="s">
        <v>1347</v>
      </c>
      <c r="T73" s="1199" t="s">
        <v>1347</v>
      </c>
      <c r="U73" s="1199" t="s">
        <v>1347</v>
      </c>
      <c r="V73" s="1199" t="s">
        <v>1347</v>
      </c>
      <c r="W73" s="1199" t="s">
        <v>1347</v>
      </c>
      <c r="X73" s="1199" t="s">
        <v>1347</v>
      </c>
    </row>
    <row r="74" spans="1:24">
      <c r="A74" s="132"/>
      <c r="B74" s="132"/>
      <c r="C74" s="354" t="s">
        <v>459</v>
      </c>
      <c r="D74" s="354" t="s">
        <v>456</v>
      </c>
      <c r="E74" s="354" t="s">
        <v>750</v>
      </c>
      <c r="F74" s="354" t="s">
        <v>856</v>
      </c>
      <c r="G74" s="354" t="s">
        <v>911</v>
      </c>
      <c r="H74" s="354" t="s">
        <v>96</v>
      </c>
      <c r="I74" s="354" t="s">
        <v>118</v>
      </c>
      <c r="J74" s="354" t="s">
        <v>119</v>
      </c>
      <c r="K74" s="354" t="s">
        <v>67</v>
      </c>
      <c r="L74" s="354" t="s">
        <v>157</v>
      </c>
      <c r="M74" s="354" t="s">
        <v>1000</v>
      </c>
      <c r="N74" s="354" t="s">
        <v>1036</v>
      </c>
      <c r="O74" s="354" t="s">
        <v>1062</v>
      </c>
      <c r="P74" s="354" t="s">
        <v>1161</v>
      </c>
      <c r="Q74" s="354" t="s">
        <v>1129</v>
      </c>
      <c r="R74" s="354" t="s">
        <v>1160</v>
      </c>
      <c r="S74" s="354" t="s">
        <v>1200</v>
      </c>
      <c r="T74" s="354" t="s">
        <v>1234</v>
      </c>
      <c r="U74" s="354" t="s">
        <v>1561</v>
      </c>
      <c r="V74" s="354" t="s">
        <v>1603</v>
      </c>
      <c r="W74" s="354" t="s">
        <v>1745</v>
      </c>
      <c r="X74" s="354" t="s">
        <v>1783</v>
      </c>
    </row>
    <row r="76" spans="1:24">
      <c r="A76" s="736"/>
      <c r="B76" s="736" t="s">
        <v>322</v>
      </c>
      <c r="C76" s="130">
        <f>+民間設備非製造!C76</f>
        <v>18146062.846759606</v>
      </c>
      <c r="D76" s="130">
        <f>+民間設備非製造!D76</f>
        <v>17963714.74240277</v>
      </c>
      <c r="E76" s="130">
        <f>+民間設備非製造!E76</f>
        <v>17897049.98520378</v>
      </c>
      <c r="F76" s="130">
        <f>+民間設備非製造!F76</f>
        <v>17730639.421632834</v>
      </c>
      <c r="G76" s="130">
        <f>+民間設備非製造!G76</f>
        <v>17857670.718191542</v>
      </c>
      <c r="H76" s="130">
        <f>+民間設備非製造!H76</f>
        <v>17785254.747016102</v>
      </c>
      <c r="I76" s="130">
        <f>+民間設備非製造!I76</f>
        <v>17848531.747016102</v>
      </c>
      <c r="J76" s="130">
        <f>+民間設備非製造!J76</f>
        <v>18241105.370937664</v>
      </c>
      <c r="K76" s="130">
        <f>+民間設備非製造!K76</f>
        <v>18158588.360226333</v>
      </c>
      <c r="L76" s="130">
        <f>+民間設備非製造!L76</f>
        <v>18422133.360226333</v>
      </c>
      <c r="M76" s="130">
        <f>+民間設備非製造!M76</f>
        <v>18379151.94955264</v>
      </c>
      <c r="N76" s="130">
        <f>+民間設備非製造!N76</f>
        <v>18693217.280126885</v>
      </c>
      <c r="O76" s="130">
        <f>+民間設備非製造!O76</f>
        <v>18627682.164241441</v>
      </c>
      <c r="P76" s="130">
        <f>+民間設備非製造!P76</f>
        <v>18951699.483498532</v>
      </c>
      <c r="Q76" s="130">
        <f>+民間設備非製造!Q76</f>
        <v>18260322</v>
      </c>
      <c r="R76" s="130">
        <f>+民間設備非製造!R76</f>
        <v>20765633.174126696</v>
      </c>
      <c r="S76" s="130">
        <f>+民間設備非製造!S76</f>
        <v>22059305.317901988</v>
      </c>
      <c r="T76" s="130">
        <f>+民間設備非製造!T76</f>
        <v>23229962.042749591</v>
      </c>
      <c r="U76" s="130">
        <f>+民間設備非製造!U76</f>
        <v>23463199</v>
      </c>
      <c r="V76" s="130">
        <f>+民間設備非製造!V76</f>
        <v>23463199</v>
      </c>
      <c r="W76" s="130">
        <f>+民間設備非製造!W76</f>
        <v>23463199</v>
      </c>
      <c r="X76" s="130">
        <f>+民間設備非製造!X76</f>
        <v>23463199</v>
      </c>
    </row>
    <row r="77" spans="1:24">
      <c r="A77" s="733">
        <v>100</v>
      </c>
      <c r="B77" s="733" t="s">
        <v>172</v>
      </c>
      <c r="C77" s="130">
        <f>+民間設備非製造!C77</f>
        <v>5304282.8467596034</v>
      </c>
      <c r="D77" s="130">
        <f>+民間設備非製造!D77</f>
        <v>5206143.7424027715</v>
      </c>
      <c r="E77" s="130">
        <f>+民間設備非製造!E77</f>
        <v>5170372.9852037793</v>
      </c>
      <c r="F77" s="130">
        <f>+民間設備非製造!F77</f>
        <v>5104203.4216328347</v>
      </c>
      <c r="G77" s="130">
        <f>+民間設備非製造!G77</f>
        <v>5208421.7181915399</v>
      </c>
      <c r="H77" s="130">
        <f>+民間設備非製造!H77</f>
        <v>5174934.7470161011</v>
      </c>
      <c r="I77" s="130">
        <f>+民間設備非製造!I77</f>
        <v>5107177.7470161011</v>
      </c>
      <c r="J77" s="130">
        <f>+民間設備非製造!J77</f>
        <v>5383035.370937665</v>
      </c>
      <c r="K77" s="130">
        <f>+民間設備非製造!K77</f>
        <v>5264375.3602263322</v>
      </c>
      <c r="L77" s="130">
        <f>+民間設備非製造!L77</f>
        <v>5337370.3602263322</v>
      </c>
      <c r="M77" s="130">
        <f>+民間設備非製造!M77</f>
        <v>5428988.9495526403</v>
      </c>
      <c r="N77" s="130">
        <f>+民間設備非製造!N77</f>
        <v>5721882.2801268827</v>
      </c>
      <c r="O77" s="130">
        <f>+民間設備非製造!O77</f>
        <v>5614211.1642414387</v>
      </c>
      <c r="P77" s="130">
        <f>+民間設備非製造!P77</f>
        <v>5748625.4834985305</v>
      </c>
      <c r="Q77" s="130">
        <f>+民間設備非製造!Q77</f>
        <v>5578382</v>
      </c>
      <c r="R77" s="130">
        <f>+民間設備非製造!R77</f>
        <v>6079199.1741266968</v>
      </c>
      <c r="S77" s="130">
        <f>+民間設備非製造!S77</f>
        <v>6475241.3179019867</v>
      </c>
      <c r="T77" s="130">
        <f>+民間設備非製造!T77</f>
        <v>6857274.042749593</v>
      </c>
      <c r="U77" s="130">
        <f>+民間設備非製造!U77</f>
        <v>6918660</v>
      </c>
      <c r="V77" s="130">
        <f>+民間設備非製造!V77</f>
        <v>6918660</v>
      </c>
      <c r="W77" s="130">
        <f>+民間設備非製造!W77</f>
        <v>6918660</v>
      </c>
      <c r="X77" s="130">
        <f>+民間設備非製造!X77</f>
        <v>6918660</v>
      </c>
    </row>
    <row r="78" spans="1:24">
      <c r="A78" s="733">
        <v>1</v>
      </c>
      <c r="B78" s="733" t="s">
        <v>323</v>
      </c>
      <c r="C78" s="75">
        <f>+民間設備非製造!C78</f>
        <v>3559763</v>
      </c>
      <c r="D78" s="75">
        <f>+民間設備非製造!D78</f>
        <v>3511661</v>
      </c>
      <c r="E78" s="75">
        <f>+民間設備非製造!E78</f>
        <v>3610180</v>
      </c>
      <c r="F78" s="75">
        <f>+民間設備非製造!F78</f>
        <v>3546666</v>
      </c>
      <c r="G78" s="75">
        <f>+民間設備非製造!G78</f>
        <v>3425390</v>
      </c>
      <c r="H78" s="75">
        <f>+民間設備非製造!H78</f>
        <v>3344986</v>
      </c>
      <c r="I78" s="75">
        <f>+民間設備非製造!I78</f>
        <v>3339344</v>
      </c>
      <c r="J78" s="75">
        <f>+民間設備非製造!J78</f>
        <v>3421870</v>
      </c>
      <c r="K78" s="75">
        <f>+民間設備非製造!K78</f>
        <v>3363226</v>
      </c>
      <c r="L78" s="75">
        <f>+民間設備非製造!L78</f>
        <v>3499330</v>
      </c>
      <c r="M78" s="75">
        <f>+民間設備非製造!M78</f>
        <v>3488999</v>
      </c>
      <c r="N78" s="75">
        <f>+民間設備非製造!N78</f>
        <v>3420479</v>
      </c>
      <c r="O78" s="75">
        <f>+民間設備非製造!O78</f>
        <v>3444207</v>
      </c>
      <c r="P78" s="75">
        <f>+民間設備非製造!P78</f>
        <v>3445685</v>
      </c>
      <c r="Q78" s="75">
        <f>+民間設備非製造!Q78</f>
        <v>3362127</v>
      </c>
      <c r="R78" s="75">
        <f>+民間設備非製造!R78</f>
        <v>3706563</v>
      </c>
      <c r="S78" s="75">
        <f>+民間設備非製造!S78</f>
        <v>3904936</v>
      </c>
      <c r="T78" s="75">
        <f>+民間設備非製造!T78</f>
        <v>4143678</v>
      </c>
      <c r="U78" s="75">
        <f>+民間設備非製造!U78</f>
        <v>4179364</v>
      </c>
      <c r="V78" s="75">
        <f>+民間設備非製造!V78</f>
        <v>4179364</v>
      </c>
      <c r="W78" s="75">
        <f>+民間設備非製造!W78</f>
        <v>4179364</v>
      </c>
      <c r="X78" s="75">
        <f>+民間設備非製造!X78</f>
        <v>4179364</v>
      </c>
    </row>
    <row r="79" spans="1:24">
      <c r="A79" s="733">
        <v>2</v>
      </c>
      <c r="B79" s="733" t="s">
        <v>324</v>
      </c>
      <c r="C79" s="75">
        <f>+民間設備非製造!C79</f>
        <v>2099381</v>
      </c>
      <c r="D79" s="75">
        <f>+民間設備非製造!D79</f>
        <v>2085943</v>
      </c>
      <c r="E79" s="75">
        <f>+民間設備非製造!E79</f>
        <v>2059638</v>
      </c>
      <c r="F79" s="75">
        <f>+民間設備非製造!F79</f>
        <v>2033501</v>
      </c>
      <c r="G79" s="75">
        <f>+民間設備非製造!G79</f>
        <v>2016157</v>
      </c>
      <c r="H79" s="75">
        <f>+民間設備非製造!H79</f>
        <v>2033380</v>
      </c>
      <c r="I79" s="75">
        <f>+民間設備非製造!I79</f>
        <v>2071670</v>
      </c>
      <c r="J79" s="75">
        <f>+民間設備非製造!J79</f>
        <v>2136479</v>
      </c>
      <c r="K79" s="75">
        <f>+民間設備非製造!K79</f>
        <v>2156180</v>
      </c>
      <c r="L79" s="75">
        <f>+民間設備非製造!L79</f>
        <v>2161608</v>
      </c>
      <c r="M79" s="75">
        <f>+民間設備非製造!M79</f>
        <v>2154922</v>
      </c>
      <c r="N79" s="75">
        <f>+民間設備非製造!N79</f>
        <v>2159598</v>
      </c>
      <c r="O79" s="75">
        <f>+民間設備非製造!O79</f>
        <v>2150016</v>
      </c>
      <c r="P79" s="75">
        <f>+民間設備非製造!P79</f>
        <v>2195840</v>
      </c>
      <c r="Q79" s="75">
        <f>+民間設備非製造!Q79</f>
        <v>2073775</v>
      </c>
      <c r="R79" s="75">
        <f>+民間設備非製造!R79</f>
        <v>2438375</v>
      </c>
      <c r="S79" s="75">
        <f>+民間設備非製造!S79</f>
        <v>2611884</v>
      </c>
      <c r="T79" s="75">
        <f>+民間設備非製造!T79</f>
        <v>2737243</v>
      </c>
      <c r="U79" s="75">
        <f>+民間設備非製造!U79</f>
        <v>2764914</v>
      </c>
      <c r="V79" s="75">
        <f>+民間設備非製造!V79</f>
        <v>2764914</v>
      </c>
      <c r="W79" s="75">
        <f>+民間設備非製造!W79</f>
        <v>2764914</v>
      </c>
      <c r="X79" s="75">
        <f>+民間設備非製造!X79</f>
        <v>2764914</v>
      </c>
    </row>
    <row r="80" spans="1:24">
      <c r="A80" s="733">
        <v>3</v>
      </c>
      <c r="B80" s="733" t="s">
        <v>192</v>
      </c>
      <c r="C80" s="75">
        <f>+民間設備非製造!C80</f>
        <v>2259491</v>
      </c>
      <c r="D80" s="75">
        <f>+民間設備非製造!D80</f>
        <v>2269706</v>
      </c>
      <c r="E80" s="75">
        <f>+民間設備非製造!E80</f>
        <v>2332078</v>
      </c>
      <c r="F80" s="75">
        <f>+民間設備非製造!F80</f>
        <v>2356874</v>
      </c>
      <c r="G80" s="75">
        <f>+民間設備非製造!G80</f>
        <v>2246558</v>
      </c>
      <c r="H80" s="75">
        <f>+民間設備非製造!H80</f>
        <v>2375481</v>
      </c>
      <c r="I80" s="75">
        <f>+民間設備非製造!I80</f>
        <v>2410318</v>
      </c>
      <c r="J80" s="75">
        <f>+民間設備非製造!J80</f>
        <v>2372335</v>
      </c>
      <c r="K80" s="75">
        <f>+民間設備非製造!K80</f>
        <v>2532954</v>
      </c>
      <c r="L80" s="75">
        <f>+民間設備非製造!L80</f>
        <v>2530049</v>
      </c>
      <c r="M80" s="75">
        <f>+民間設備非製造!M80</f>
        <v>2385894</v>
      </c>
      <c r="N80" s="75">
        <f>+民間設備非製造!N80</f>
        <v>2470567</v>
      </c>
      <c r="O80" s="75">
        <f>+民間設備非製造!O80</f>
        <v>2432587</v>
      </c>
      <c r="P80" s="75">
        <f>+民間設備非製造!P80</f>
        <v>2501698</v>
      </c>
      <c r="Q80" s="75">
        <f>+民間設備非製造!Q80</f>
        <v>2408418</v>
      </c>
      <c r="R80" s="75">
        <f>+民間設備非製造!R80</f>
        <v>2806665</v>
      </c>
      <c r="S80" s="75">
        <f>+民間設備非製造!S80</f>
        <v>2994256</v>
      </c>
      <c r="T80" s="75">
        <f>+民間設備非製造!T80</f>
        <v>3142881</v>
      </c>
      <c r="U80" s="75">
        <f>+民間設備非製造!U80</f>
        <v>3200858</v>
      </c>
      <c r="V80" s="75">
        <f>+民間設備非製造!V80</f>
        <v>3200858</v>
      </c>
      <c r="W80" s="75">
        <f>+民間設備非製造!W80</f>
        <v>3200858</v>
      </c>
      <c r="X80" s="75">
        <f>+民間設備非製造!X80</f>
        <v>3200858</v>
      </c>
    </row>
    <row r="81" spans="1:24">
      <c r="A81" s="733">
        <v>4</v>
      </c>
      <c r="B81" s="733" t="s">
        <v>325</v>
      </c>
      <c r="C81" s="75">
        <f>+民間設備非製造!C81</f>
        <v>813875</v>
      </c>
      <c r="D81" s="75">
        <f>+民間設備非製造!D81</f>
        <v>850660</v>
      </c>
      <c r="E81" s="75">
        <f>+民間設備非製造!E81</f>
        <v>789623</v>
      </c>
      <c r="F81" s="75">
        <f>+民間設備非製造!F81</f>
        <v>764907</v>
      </c>
      <c r="G81" s="75">
        <f>+民間設備非製造!G81</f>
        <v>755686</v>
      </c>
      <c r="H81" s="75">
        <f>+民間設備非製造!H81</f>
        <v>869428</v>
      </c>
      <c r="I81" s="75">
        <f>+民間設備非製造!I81</f>
        <v>890360</v>
      </c>
      <c r="J81" s="75">
        <f>+民間設備非製造!J81</f>
        <v>890326</v>
      </c>
      <c r="K81" s="75">
        <f>+民間設備非製造!K81</f>
        <v>804889</v>
      </c>
      <c r="L81" s="75">
        <f>+民間設備非製造!L81</f>
        <v>822791</v>
      </c>
      <c r="M81" s="75">
        <f>+民間設備非製造!M81</f>
        <v>843693</v>
      </c>
      <c r="N81" s="75">
        <f>+民間設備非製造!N81</f>
        <v>831165</v>
      </c>
      <c r="O81" s="75">
        <f>+民間設備非製造!O81</f>
        <v>835628</v>
      </c>
      <c r="P81" s="75">
        <f>+民間設備非製造!P81</f>
        <v>886854</v>
      </c>
      <c r="Q81" s="75">
        <f>+民間設備非製造!Q81</f>
        <v>830380</v>
      </c>
      <c r="R81" s="75">
        <f>+民間設備非製造!R81</f>
        <v>1017821</v>
      </c>
      <c r="S81" s="75">
        <f>+民間設備非製造!S81</f>
        <v>1083820</v>
      </c>
      <c r="T81" s="75">
        <f>+民間設備非製造!T81</f>
        <v>1136262</v>
      </c>
      <c r="U81" s="75">
        <f>+民間設備非製造!U81</f>
        <v>1150135</v>
      </c>
      <c r="V81" s="75">
        <f>+民間設備非製造!V81</f>
        <v>1150135</v>
      </c>
      <c r="W81" s="75">
        <f>+民間設備非製造!W81</f>
        <v>1150135</v>
      </c>
      <c r="X81" s="75">
        <f>+民間設備非製造!X81</f>
        <v>1150135</v>
      </c>
    </row>
    <row r="82" spans="1:24">
      <c r="A82" s="733">
        <v>5</v>
      </c>
      <c r="B82" s="733" t="s">
        <v>326</v>
      </c>
      <c r="C82" s="75">
        <f>+民間設備非製造!C82</f>
        <v>1902169</v>
      </c>
      <c r="D82" s="75">
        <f>+民間設備非製造!D82</f>
        <v>1913321</v>
      </c>
      <c r="E82" s="75">
        <f>+民間設備非製造!E82</f>
        <v>1854457</v>
      </c>
      <c r="F82" s="75">
        <f>+民間設備非製造!F82</f>
        <v>1834890</v>
      </c>
      <c r="G82" s="75">
        <f>+民間設備非製造!G82</f>
        <v>2151052</v>
      </c>
      <c r="H82" s="75">
        <f>+民間設備非製造!H82</f>
        <v>1868053</v>
      </c>
      <c r="I82" s="75">
        <f>+民間設備非製造!I82</f>
        <v>1877734</v>
      </c>
      <c r="J82" s="75">
        <f>+民間設備非製造!J82</f>
        <v>1918740</v>
      </c>
      <c r="K82" s="75">
        <f>+民間設備非製造!K82</f>
        <v>1890251</v>
      </c>
      <c r="L82" s="75">
        <f>+民間設備非製造!L82</f>
        <v>1909256</v>
      </c>
      <c r="M82" s="75">
        <f>+民間設備非製造!M82</f>
        <v>1962074</v>
      </c>
      <c r="N82" s="75">
        <f>+民間設備非製造!N82</f>
        <v>1976155</v>
      </c>
      <c r="O82" s="75">
        <f>+民間設備非製造!O82</f>
        <v>2069846</v>
      </c>
      <c r="P82" s="75">
        <f>+民間設備非製造!P82</f>
        <v>2024655</v>
      </c>
      <c r="Q82" s="75">
        <f>+民間設備非製造!Q82</f>
        <v>1973989</v>
      </c>
      <c r="R82" s="75">
        <f>+民間設備非製造!R82</f>
        <v>2220496</v>
      </c>
      <c r="S82" s="75">
        <f>+民間設備非製造!S82</f>
        <v>2348248</v>
      </c>
      <c r="T82" s="75">
        <f>+民間設備非製造!T82</f>
        <v>2446343</v>
      </c>
      <c r="U82" s="75">
        <f>+民間設備非製造!U82</f>
        <v>2470755</v>
      </c>
      <c r="V82" s="75">
        <f>+民間設備非製造!V82</f>
        <v>2470755</v>
      </c>
      <c r="W82" s="75">
        <f>+民間設備非製造!W82</f>
        <v>2470755</v>
      </c>
      <c r="X82" s="75">
        <f>+民間設備非製造!X82</f>
        <v>2470755</v>
      </c>
    </row>
    <row r="83" spans="1:24">
      <c r="A83" s="733">
        <v>6</v>
      </c>
      <c r="B83" s="733" t="s">
        <v>327</v>
      </c>
      <c r="C83" s="75">
        <f>+民間設備非製造!C83</f>
        <v>847145</v>
      </c>
      <c r="D83" s="75">
        <f>+民間設備非製造!D83</f>
        <v>811320</v>
      </c>
      <c r="E83" s="75">
        <f>+民間設備非製造!E83</f>
        <v>792955</v>
      </c>
      <c r="F83" s="75">
        <f>+民間設備非製造!F83</f>
        <v>786586</v>
      </c>
      <c r="G83" s="75">
        <f>+民間設備非製造!G83</f>
        <v>781391</v>
      </c>
      <c r="H83" s="75">
        <f>+民間設備非製造!H83</f>
        <v>806564</v>
      </c>
      <c r="I83" s="75">
        <f>+民間設備非製造!I83</f>
        <v>807527</v>
      </c>
      <c r="J83" s="75">
        <f>+民間設備非製造!J83</f>
        <v>790688</v>
      </c>
      <c r="K83" s="75">
        <f>+民間設備非製造!K83</f>
        <v>787710</v>
      </c>
      <c r="L83" s="75">
        <f>+民間設備非製造!L83</f>
        <v>808004</v>
      </c>
      <c r="M83" s="75">
        <f>+民間設備非製造!M83</f>
        <v>797736</v>
      </c>
      <c r="N83" s="75">
        <f>+民間設備非製造!N83</f>
        <v>765569</v>
      </c>
      <c r="O83" s="75">
        <f>+民間設備非製造!O83</f>
        <v>784561</v>
      </c>
      <c r="P83" s="75">
        <f>+民間設備非製造!P83</f>
        <v>815136</v>
      </c>
      <c r="Q83" s="75">
        <f>+民間設備非製造!Q83</f>
        <v>764024</v>
      </c>
      <c r="R83" s="75">
        <f>+民間設備非製造!R83</f>
        <v>944742</v>
      </c>
      <c r="S83" s="75">
        <f>+民間設備非製造!S83</f>
        <v>997106</v>
      </c>
      <c r="T83" s="75">
        <f>+民間設備非製造!T83</f>
        <v>1035020</v>
      </c>
      <c r="U83" s="75">
        <f>+民間設備非製造!U83</f>
        <v>1037662</v>
      </c>
      <c r="V83" s="75">
        <f>+民間設備非製造!V83</f>
        <v>1037662</v>
      </c>
      <c r="W83" s="75">
        <f>+民間設備非製造!W83</f>
        <v>1037662</v>
      </c>
      <c r="X83" s="75">
        <f>+民間設備非製造!X83</f>
        <v>1037662</v>
      </c>
    </row>
    <row r="84" spans="1:24">
      <c r="A84" s="733">
        <v>7</v>
      </c>
      <c r="B84" s="733" t="s">
        <v>210</v>
      </c>
      <c r="C84" s="75">
        <f>+民間設備非製造!C84</f>
        <v>592752</v>
      </c>
      <c r="D84" s="75">
        <f>+民間設備非製造!D84</f>
        <v>571036</v>
      </c>
      <c r="E84" s="75">
        <f>+民間設備非製造!E84</f>
        <v>559294</v>
      </c>
      <c r="F84" s="75">
        <f>+民間設備非製造!F84</f>
        <v>563654</v>
      </c>
      <c r="G84" s="75">
        <f>+民間設備非製造!G84</f>
        <v>541388</v>
      </c>
      <c r="H84" s="75">
        <f>+民間設備非製造!H84</f>
        <v>581802</v>
      </c>
      <c r="I84" s="75">
        <f>+民間設備非製造!I84</f>
        <v>597336</v>
      </c>
      <c r="J84" s="75">
        <f>+民間設備非製造!J84</f>
        <v>573787</v>
      </c>
      <c r="K84" s="75">
        <f>+民間設備非製造!K84</f>
        <v>571244</v>
      </c>
      <c r="L84" s="75">
        <f>+民間設備非製造!L84</f>
        <v>571984</v>
      </c>
      <c r="M84" s="75">
        <f>+民間設備非製造!M84</f>
        <v>562847</v>
      </c>
      <c r="N84" s="75">
        <f>+民間設備非製造!N84</f>
        <v>608358</v>
      </c>
      <c r="O84" s="75">
        <f>+民間設備非製造!O84</f>
        <v>549726</v>
      </c>
      <c r="P84" s="75">
        <f>+民間設備非製造!P84</f>
        <v>562164</v>
      </c>
      <c r="Q84" s="75">
        <f>+民間設備非製造!Q84</f>
        <v>550720</v>
      </c>
      <c r="R84" s="75">
        <f>+民間設備非製造!R84</f>
        <v>653410</v>
      </c>
      <c r="S84" s="75">
        <f>+民間設備非製造!S84</f>
        <v>695778</v>
      </c>
      <c r="T84" s="75">
        <f>+民間設備非製造!T84</f>
        <v>726350</v>
      </c>
      <c r="U84" s="75">
        <f>+民間設備非製造!U84</f>
        <v>721168</v>
      </c>
      <c r="V84" s="75">
        <f>+民間設備非製造!V84</f>
        <v>721168</v>
      </c>
      <c r="W84" s="75">
        <f>+民間設備非製造!W84</f>
        <v>721168</v>
      </c>
      <c r="X84" s="75">
        <f>+民間設備非製造!X84</f>
        <v>721168</v>
      </c>
    </row>
    <row r="85" spans="1:24">
      <c r="A85" s="733">
        <v>8</v>
      </c>
      <c r="B85" s="733" t="s">
        <v>211</v>
      </c>
      <c r="C85" s="75">
        <f>+民間設備非製造!C85</f>
        <v>342822</v>
      </c>
      <c r="D85" s="75">
        <f>+民間設備非製造!D85</f>
        <v>341760</v>
      </c>
      <c r="E85" s="75">
        <f>+民間設備非製造!E85</f>
        <v>332617</v>
      </c>
      <c r="F85" s="75">
        <f>+民間設備非製造!F85</f>
        <v>324248</v>
      </c>
      <c r="G85" s="75">
        <f>+民間設備非製造!G85</f>
        <v>322790</v>
      </c>
      <c r="H85" s="75">
        <f>+民間設備非製造!H85</f>
        <v>325529</v>
      </c>
      <c r="I85" s="75">
        <f>+民間設備非製造!I85</f>
        <v>331351</v>
      </c>
      <c r="J85" s="75">
        <f>+民間設備非製造!J85</f>
        <v>333254</v>
      </c>
      <c r="K85" s="75">
        <f>+民間設備非製造!K85</f>
        <v>373436</v>
      </c>
      <c r="L85" s="75">
        <f>+民間設備非製造!L85</f>
        <v>364210</v>
      </c>
      <c r="M85" s="75">
        <f>+民間設備非製造!M85</f>
        <v>340869</v>
      </c>
      <c r="N85" s="75">
        <f>+民間設備非製造!N85</f>
        <v>330505</v>
      </c>
      <c r="O85" s="75">
        <f>+民間設備非製造!O85</f>
        <v>354600</v>
      </c>
      <c r="P85" s="75">
        <f>+民間設備非製造!P85</f>
        <v>356678</v>
      </c>
      <c r="Q85" s="75">
        <f>+民間設備非製造!Q85</f>
        <v>322289</v>
      </c>
      <c r="R85" s="75">
        <f>+民間設備非製造!R85</f>
        <v>408860</v>
      </c>
      <c r="S85" s="75">
        <f>+民間設備非製造!S85</f>
        <v>430838</v>
      </c>
      <c r="T85" s="75">
        <f>+民間設備非製造!T85</f>
        <v>445072</v>
      </c>
      <c r="U85" s="75">
        <f>+民間設備非製造!U85</f>
        <v>452642</v>
      </c>
      <c r="V85" s="75">
        <f>+民間設備非製造!V85</f>
        <v>452642</v>
      </c>
      <c r="W85" s="75">
        <f>+民間設備非製造!W85</f>
        <v>452642</v>
      </c>
      <c r="X85" s="75">
        <f>+民間設備非製造!X85</f>
        <v>452642</v>
      </c>
    </row>
    <row r="86" spans="1:24">
      <c r="A86" s="733">
        <v>9</v>
      </c>
      <c r="B86" s="733" t="s">
        <v>212</v>
      </c>
      <c r="C86" s="132">
        <f>+民間設備非製造!C86</f>
        <v>424382</v>
      </c>
      <c r="D86" s="132">
        <f>+民間設備非製造!D86</f>
        <v>402164</v>
      </c>
      <c r="E86" s="132">
        <f>+民間設備非製造!E86</f>
        <v>395835</v>
      </c>
      <c r="F86" s="132">
        <f>+民間設備非製造!F86</f>
        <v>415110</v>
      </c>
      <c r="G86" s="132">
        <f>+民間設備非製造!G86</f>
        <v>408837</v>
      </c>
      <c r="H86" s="132">
        <f>+民間設備非製造!H86</f>
        <v>405097</v>
      </c>
      <c r="I86" s="132">
        <f>+民間設備非製造!I86</f>
        <v>415714</v>
      </c>
      <c r="J86" s="132">
        <f>+民間設備非製造!J86</f>
        <v>420591</v>
      </c>
      <c r="K86" s="132">
        <f>+民間設備非製造!K86</f>
        <v>407846</v>
      </c>
      <c r="L86" s="132">
        <f>+民間設備非製造!L86</f>
        <v>417531</v>
      </c>
      <c r="M86" s="132">
        <f>+民間設備非製造!M86</f>
        <v>413129</v>
      </c>
      <c r="N86" s="132">
        <f>+民間設備非製造!N86</f>
        <v>408939</v>
      </c>
      <c r="O86" s="132">
        <f>+民間設備非製造!O86</f>
        <v>392300</v>
      </c>
      <c r="P86" s="132">
        <f>+民間設備非製造!P86</f>
        <v>414364</v>
      </c>
      <c r="Q86" s="132">
        <f>+民間設備非製造!Q86</f>
        <v>396218</v>
      </c>
      <c r="R86" s="132">
        <f>+民間設備非製造!R86</f>
        <v>489502</v>
      </c>
      <c r="S86" s="132">
        <f>+民間設備非製造!S86</f>
        <v>517198</v>
      </c>
      <c r="T86" s="132">
        <f>+民間設備非製造!T86</f>
        <v>559839</v>
      </c>
      <c r="U86" s="132">
        <f>+民間設備非製造!U86</f>
        <v>567041</v>
      </c>
      <c r="V86" s="132">
        <f>+民間設備非製造!V86</f>
        <v>567041</v>
      </c>
      <c r="W86" s="132">
        <f>+民間設備非製造!W86</f>
        <v>567041</v>
      </c>
      <c r="X86" s="132">
        <f>+民間設備非製造!X86</f>
        <v>567041</v>
      </c>
    </row>
    <row r="87" spans="1:24">
      <c r="A87" s="736"/>
      <c r="B87" s="736"/>
      <c r="C87" s="75">
        <f>'23R4'!E15</f>
        <v>0</v>
      </c>
      <c r="D87" s="75">
        <f>'23R4'!F15</f>
        <v>0</v>
      </c>
      <c r="E87" s="75">
        <f>'23R4'!G15</f>
        <v>0</v>
      </c>
      <c r="F87" s="75">
        <f>'23R4'!H15</f>
        <v>0</v>
      </c>
      <c r="G87" s="75">
        <f>'23R4'!I15</f>
        <v>0</v>
      </c>
      <c r="H87" s="75">
        <f>'23R4'!J15</f>
        <v>0</v>
      </c>
      <c r="I87" s="75">
        <f>'23R4'!K15</f>
        <v>0</v>
      </c>
      <c r="J87" s="75">
        <f>'23R4'!L15</f>
        <v>0</v>
      </c>
      <c r="K87" s="75">
        <f>'23R4'!M15</f>
        <v>0</v>
      </c>
      <c r="L87" s="75">
        <f>'23R4'!N15</f>
        <v>0</v>
      </c>
      <c r="M87" s="75">
        <f>'23R4'!O15</f>
        <v>0</v>
      </c>
      <c r="N87" s="75" t="str">
        <f>'23R4'!P15</f>
        <v xml:space="preserve"> </v>
      </c>
      <c r="O87" s="75" t="str">
        <f>'23R4'!Q15</f>
        <v xml:space="preserve"> </v>
      </c>
      <c r="P87" s="75" t="str">
        <f>'23R4'!R15</f>
        <v xml:space="preserve"> </v>
      </c>
      <c r="Q87" s="75" t="str">
        <f>'23R4'!S15</f>
        <v xml:space="preserve"> </v>
      </c>
      <c r="R87" s="75" t="str">
        <f>'23R4'!T15</f>
        <v xml:space="preserve"> </v>
      </c>
      <c r="S87" s="75" t="str">
        <f>'23R4'!U15</f>
        <v xml:space="preserve"> </v>
      </c>
    </row>
    <row r="88" spans="1:24">
      <c r="A88" s="733">
        <v>100</v>
      </c>
      <c r="B88" s="733" t="s">
        <v>172</v>
      </c>
      <c r="C88" s="382">
        <f>+民間設備非製造!C88</f>
        <v>5304282.8467596034</v>
      </c>
      <c r="D88" s="382">
        <f>+民間設備非製造!D88</f>
        <v>5206143.7424027715</v>
      </c>
      <c r="E88" s="382">
        <f>+民間設備非製造!E88</f>
        <v>5170372.9852037793</v>
      </c>
      <c r="F88" s="382">
        <f>+民間設備非製造!F88</f>
        <v>5104203.4216328347</v>
      </c>
      <c r="G88" s="382">
        <f>+民間設備非製造!G88</f>
        <v>5208421.7181915399</v>
      </c>
      <c r="H88" s="382">
        <f>+民間設備非製造!H88</f>
        <v>5174934.7470161011</v>
      </c>
      <c r="I88" s="382">
        <f>+民間設備非製造!I88</f>
        <v>5107177.7470161011</v>
      </c>
      <c r="J88" s="382">
        <f>+民間設備非製造!J88</f>
        <v>5383035.370937665</v>
      </c>
      <c r="K88" s="382">
        <f>+民間設備非製造!K88</f>
        <v>5264375.3602263322</v>
      </c>
      <c r="L88" s="382">
        <f>+民間設備非製造!L88</f>
        <v>5337370.3602263322</v>
      </c>
      <c r="M88" s="382">
        <f>+民間設備非製造!M88</f>
        <v>5428988.9495526403</v>
      </c>
      <c r="N88" s="382">
        <f>+民間設備非製造!N88</f>
        <v>5721882.2801268827</v>
      </c>
      <c r="O88" s="382">
        <f>+民間設備非製造!O88</f>
        <v>5614211.1642414387</v>
      </c>
      <c r="P88" s="382">
        <f>+民間設備非製造!P88</f>
        <v>5748625.4834985305</v>
      </c>
      <c r="Q88" s="382">
        <f>+民間設備非製造!Q88</f>
        <v>5578382</v>
      </c>
      <c r="R88" s="382">
        <f>+民間設備非製造!R88</f>
        <v>6079199.1741266968</v>
      </c>
      <c r="S88" s="382">
        <f>+民間設備非製造!S88</f>
        <v>6475241.3179019867</v>
      </c>
      <c r="T88" s="382">
        <f>+民間設備非製造!T88</f>
        <v>6857274.042749593</v>
      </c>
      <c r="U88" s="382">
        <f>+民間設備非製造!U88</f>
        <v>6918660</v>
      </c>
      <c r="V88" s="382">
        <f>+民間設備非製造!V88</f>
        <v>6918660</v>
      </c>
      <c r="W88" s="382">
        <f>+民間設備非製造!W88</f>
        <v>6918660</v>
      </c>
      <c r="X88" s="382">
        <f>+民間設備非製造!X88</f>
        <v>6918660</v>
      </c>
    </row>
    <row r="89" spans="1:24">
      <c r="A89" s="734">
        <v>1</v>
      </c>
      <c r="B89" s="734" t="s">
        <v>328</v>
      </c>
      <c r="C89" s="75">
        <f>+民間設備非製造!C89</f>
        <v>3559763</v>
      </c>
      <c r="D89" s="75">
        <f>+民間設備非製造!D89</f>
        <v>3511661</v>
      </c>
      <c r="E89" s="75">
        <f>+民間設備非製造!E89</f>
        <v>3610180</v>
      </c>
      <c r="F89" s="75">
        <f>+民間設備非製造!F89</f>
        <v>3546666</v>
      </c>
      <c r="G89" s="75">
        <f>+民間設備非製造!G89</f>
        <v>3425390</v>
      </c>
      <c r="H89" s="75">
        <f>+民間設備非製造!H89</f>
        <v>3344986</v>
      </c>
      <c r="I89" s="75">
        <f>+民間設備非製造!I89</f>
        <v>3339344</v>
      </c>
      <c r="J89" s="75">
        <f>+民間設備非製造!J89</f>
        <v>3421870</v>
      </c>
      <c r="K89" s="75">
        <f>+民間設備非製造!K89</f>
        <v>3363226</v>
      </c>
      <c r="L89" s="75">
        <f>+民間設備非製造!L89</f>
        <v>3499330</v>
      </c>
      <c r="M89" s="75">
        <f>+民間設備非製造!M89</f>
        <v>3488999</v>
      </c>
      <c r="N89" s="75">
        <f>+民間設備非製造!N89</f>
        <v>3420479</v>
      </c>
      <c r="O89" s="75">
        <f>+民間設備非製造!O89</f>
        <v>3444207</v>
      </c>
      <c r="P89" s="75">
        <f>+民間設備非製造!P89</f>
        <v>3445685</v>
      </c>
      <c r="Q89" s="75">
        <f>+民間設備非製造!Q89</f>
        <v>3362127</v>
      </c>
      <c r="R89" s="75">
        <f>+民間設備非製造!R89</f>
        <v>3706563</v>
      </c>
      <c r="S89" s="75">
        <f>+民間設備非製造!S89</f>
        <v>3904936</v>
      </c>
      <c r="T89" s="75">
        <f>+民間設備非製造!T89</f>
        <v>4143678</v>
      </c>
      <c r="U89" s="75">
        <f>+民間設備非製造!U89</f>
        <v>4179364</v>
      </c>
      <c r="V89" s="75">
        <f>+民間設備非製造!V89</f>
        <v>4179364</v>
      </c>
      <c r="W89" s="75">
        <f>+民間設備非製造!W89</f>
        <v>4179364</v>
      </c>
      <c r="X89" s="75">
        <f>+民間設備非製造!X89</f>
        <v>4179364</v>
      </c>
    </row>
    <row r="90" spans="1:24">
      <c r="A90" s="733">
        <v>202</v>
      </c>
      <c r="B90" s="733" t="s">
        <v>183</v>
      </c>
      <c r="C90" s="75">
        <f>+民間設備非製造!C90</f>
        <v>1802897</v>
      </c>
      <c r="D90" s="75">
        <f>+民間設備非製造!D90</f>
        <v>1751433</v>
      </c>
      <c r="E90" s="75">
        <f>+民間設備非製造!E90</f>
        <v>1827609</v>
      </c>
      <c r="F90" s="75">
        <f>+民間設備非製造!F90</f>
        <v>1823429</v>
      </c>
      <c r="G90" s="75">
        <f>+民間設備非製造!G90</f>
        <v>1688564</v>
      </c>
      <c r="H90" s="75">
        <f>+民間設備非製造!H90</f>
        <v>1592833</v>
      </c>
      <c r="I90" s="75">
        <f>+民間設備非製造!I90</f>
        <v>1580552</v>
      </c>
      <c r="J90" s="75">
        <f>+民間設備非製造!J90</f>
        <v>1587513</v>
      </c>
      <c r="K90" s="75">
        <f>+民間設備非製造!K90</f>
        <v>1575330</v>
      </c>
      <c r="L90" s="75">
        <f>+民間設備非製造!L90</f>
        <v>1623293</v>
      </c>
      <c r="M90" s="75">
        <f>+民間設備非製造!M90</f>
        <v>1624803</v>
      </c>
      <c r="N90" s="75">
        <f>+民間設備非製造!N90</f>
        <v>1571488</v>
      </c>
      <c r="O90" s="75">
        <f>+民間設備非製造!O90</f>
        <v>1587628</v>
      </c>
      <c r="P90" s="75">
        <f>+民間設備非製造!P90</f>
        <v>1597205</v>
      </c>
      <c r="Q90" s="75">
        <f>+民間設備非製造!Q90</f>
        <v>1544847</v>
      </c>
      <c r="R90" s="75">
        <f>+民間設備非製造!R90</f>
        <v>1702168</v>
      </c>
      <c r="S90" s="75">
        <f>+民間設備非製造!S90</f>
        <v>1784793</v>
      </c>
      <c r="T90" s="75">
        <f>+民間設備非製造!T90</f>
        <v>1901910</v>
      </c>
      <c r="U90" s="75">
        <f>+民間設備非製造!U90</f>
        <v>1922816</v>
      </c>
      <c r="V90" s="75">
        <f>+民間設備非製造!V90</f>
        <v>1922816</v>
      </c>
      <c r="W90" s="75">
        <f>+民間設備非製造!W90</f>
        <v>1922816</v>
      </c>
      <c r="X90" s="75">
        <f>+民間設備非製造!X90</f>
        <v>1922816</v>
      </c>
    </row>
    <row r="91" spans="1:24">
      <c r="A91" s="733">
        <v>204</v>
      </c>
      <c r="B91" s="733" t="s">
        <v>184</v>
      </c>
      <c r="C91" s="75">
        <f>+民間設備非製造!C91</f>
        <v>1460816</v>
      </c>
      <c r="D91" s="75">
        <f>+民間設備非製造!D91</f>
        <v>1464210</v>
      </c>
      <c r="E91" s="75">
        <f>+民間設備非製造!E91</f>
        <v>1491366</v>
      </c>
      <c r="F91" s="75">
        <f>+民間設備非製造!F91</f>
        <v>1431107</v>
      </c>
      <c r="G91" s="75">
        <f>+民間設備非製造!G91</f>
        <v>1456809</v>
      </c>
      <c r="H91" s="75">
        <f>+民間設備非製造!H91</f>
        <v>1463806</v>
      </c>
      <c r="I91" s="75">
        <f>+民間設備非製造!I91</f>
        <v>1464596</v>
      </c>
      <c r="J91" s="75">
        <f>+民間設備非製造!J91</f>
        <v>1513979</v>
      </c>
      <c r="K91" s="75">
        <f>+民間設備非製造!K91</f>
        <v>1479268</v>
      </c>
      <c r="L91" s="75">
        <f>+民間設備非製造!L91</f>
        <v>1547237</v>
      </c>
      <c r="M91" s="75">
        <f>+民間設備非製造!M91</f>
        <v>1533276</v>
      </c>
      <c r="N91" s="75">
        <f>+民間設備非製造!N91</f>
        <v>1535157</v>
      </c>
      <c r="O91" s="75">
        <f>+民間設備非製造!O91</f>
        <v>1536953</v>
      </c>
      <c r="P91" s="75">
        <f>+民間設備非製造!P91</f>
        <v>1532288</v>
      </c>
      <c r="Q91" s="75">
        <f>+民間設備非製造!Q91</f>
        <v>1512451</v>
      </c>
      <c r="R91" s="75">
        <f>+民間設備非製造!R91</f>
        <v>1635855</v>
      </c>
      <c r="S91" s="75">
        <f>+民間設備非製造!S91</f>
        <v>1730076</v>
      </c>
      <c r="T91" s="75">
        <f>+民間設備非製造!T91</f>
        <v>1833617</v>
      </c>
      <c r="U91" s="75">
        <f>+民間設備非製造!U91</f>
        <v>1850626</v>
      </c>
      <c r="V91" s="75">
        <f>+民間設備非製造!V91</f>
        <v>1850626</v>
      </c>
      <c r="W91" s="75">
        <f>+民間設備非製造!W91</f>
        <v>1850626</v>
      </c>
      <c r="X91" s="75">
        <f>+民間設備非製造!X91</f>
        <v>1850626</v>
      </c>
    </row>
    <row r="92" spans="1:24">
      <c r="A92" s="735">
        <v>206</v>
      </c>
      <c r="B92" s="735" t="s">
        <v>185</v>
      </c>
      <c r="C92" s="75">
        <f>+民間設備非製造!C92</f>
        <v>296050</v>
      </c>
      <c r="D92" s="75">
        <f>+民間設備非製造!D92</f>
        <v>296018</v>
      </c>
      <c r="E92" s="75">
        <f>+民間設備非製造!E92</f>
        <v>291205</v>
      </c>
      <c r="F92" s="75">
        <f>+民間設備非製造!F92</f>
        <v>292130</v>
      </c>
      <c r="G92" s="75">
        <f>+民間設備非製造!G92</f>
        <v>280017</v>
      </c>
      <c r="H92" s="75">
        <f>+民間設備非製造!H92</f>
        <v>288347</v>
      </c>
      <c r="I92" s="75">
        <f>+民間設備非製造!I92</f>
        <v>294196</v>
      </c>
      <c r="J92" s="75">
        <f>+民間設備非製造!J92</f>
        <v>320378</v>
      </c>
      <c r="K92" s="75">
        <f>+民間設備非製造!K92</f>
        <v>308628</v>
      </c>
      <c r="L92" s="75">
        <f>+民間設備非製造!L92</f>
        <v>328800</v>
      </c>
      <c r="M92" s="75">
        <f>+民間設備非製造!M92</f>
        <v>330920</v>
      </c>
      <c r="N92" s="75">
        <f>+民間設備非製造!N92</f>
        <v>313834</v>
      </c>
      <c r="O92" s="75">
        <f>+民間設備非製造!O92</f>
        <v>319626</v>
      </c>
      <c r="P92" s="75">
        <f>+民間設備非製造!P92</f>
        <v>316192</v>
      </c>
      <c r="Q92" s="75">
        <f>+民間設備非製造!Q92</f>
        <v>304829</v>
      </c>
      <c r="R92" s="75">
        <f>+民間設備非製造!R92</f>
        <v>368540</v>
      </c>
      <c r="S92" s="75">
        <f>+民間設備非製造!S92</f>
        <v>390067</v>
      </c>
      <c r="T92" s="75">
        <f>+民間設備非製造!T92</f>
        <v>408151</v>
      </c>
      <c r="U92" s="75">
        <f>+民間設備非製造!U92</f>
        <v>405922</v>
      </c>
      <c r="V92" s="75">
        <f>+民間設備非製造!V92</f>
        <v>405922</v>
      </c>
      <c r="W92" s="75">
        <f>+民間設備非製造!W92</f>
        <v>405922</v>
      </c>
      <c r="X92" s="75">
        <f>+民間設備非製造!X92</f>
        <v>405922</v>
      </c>
    </row>
    <row r="93" spans="1:24">
      <c r="A93" s="733">
        <v>2</v>
      </c>
      <c r="B93" s="733" t="s">
        <v>324</v>
      </c>
      <c r="C93" s="130">
        <f>+民間設備非製造!C93</f>
        <v>2099381</v>
      </c>
      <c r="D93" s="130">
        <f>+民間設備非製造!D93</f>
        <v>2085943</v>
      </c>
      <c r="E93" s="130">
        <f>+民間設備非製造!E93</f>
        <v>2059638</v>
      </c>
      <c r="F93" s="130">
        <f>+民間設備非製造!F93</f>
        <v>2033501</v>
      </c>
      <c r="G93" s="130">
        <f>+民間設備非製造!G93</f>
        <v>2016157</v>
      </c>
      <c r="H93" s="130">
        <f>+民間設備非製造!H93</f>
        <v>2033380</v>
      </c>
      <c r="I93" s="130">
        <f>+民間設備非製造!I93</f>
        <v>2071670</v>
      </c>
      <c r="J93" s="130">
        <f>+民間設備非製造!J93</f>
        <v>2136479</v>
      </c>
      <c r="K93" s="130">
        <f>+民間設備非製造!K93</f>
        <v>2162657</v>
      </c>
      <c r="L93" s="130">
        <f>+民間設備非製造!L93</f>
        <v>2161608</v>
      </c>
      <c r="M93" s="130">
        <f>+民間設備非製造!M93</f>
        <v>2154922</v>
      </c>
      <c r="N93" s="130">
        <f>+民間設備非製造!N93</f>
        <v>2159598</v>
      </c>
      <c r="O93" s="130">
        <f>+民間設備非製造!O93</f>
        <v>2150016</v>
      </c>
      <c r="P93" s="130">
        <f>+民間設備非製造!P93</f>
        <v>2195840</v>
      </c>
      <c r="Q93" s="130">
        <f>+民間設備非製造!Q93</f>
        <v>2073775</v>
      </c>
      <c r="R93" s="130">
        <f>+民間設備非製造!R93</f>
        <v>2438375</v>
      </c>
      <c r="S93" s="130">
        <f>+民間設備非製造!S93</f>
        <v>2611884</v>
      </c>
      <c r="T93" s="130">
        <f>+民間設備非製造!T93</f>
        <v>2737243</v>
      </c>
      <c r="U93" s="130">
        <f>+民間設備非製造!U93</f>
        <v>2764914</v>
      </c>
      <c r="V93" s="130">
        <f>+民間設備非製造!V93</f>
        <v>2764914</v>
      </c>
      <c r="W93" s="130">
        <f>+民間設備非製造!W93</f>
        <v>2764914</v>
      </c>
      <c r="X93" s="130">
        <f>+民間設備非製造!X93</f>
        <v>2764914</v>
      </c>
    </row>
    <row r="94" spans="1:24">
      <c r="A94" s="733">
        <v>207</v>
      </c>
      <c r="B94" s="733" t="s">
        <v>187</v>
      </c>
      <c r="C94" s="75">
        <f>+民間設備非製造!C94</f>
        <v>616140</v>
      </c>
      <c r="D94" s="75">
        <f>+民間設備非製造!D94</f>
        <v>605867</v>
      </c>
      <c r="E94" s="75">
        <f>+民間設備非製造!E94</f>
        <v>588740</v>
      </c>
      <c r="F94" s="75">
        <f>+民間設備非製造!F94</f>
        <v>580521</v>
      </c>
      <c r="G94" s="75">
        <f>+民間設備非製造!G94</f>
        <v>567790</v>
      </c>
      <c r="H94" s="75">
        <f>+民間設備非製造!H94</f>
        <v>590664</v>
      </c>
      <c r="I94" s="75">
        <f>+民間設備非製造!I94</f>
        <v>584799</v>
      </c>
      <c r="J94" s="75">
        <f>+民間設備非製造!J94</f>
        <v>619316</v>
      </c>
      <c r="K94" s="75">
        <f>+民間設備非製造!K94</f>
        <v>607479</v>
      </c>
      <c r="L94" s="75">
        <f>+民間設備非製造!L94</f>
        <v>613109</v>
      </c>
      <c r="M94" s="75">
        <f>+民間設備非製造!M94</f>
        <v>628775</v>
      </c>
      <c r="N94" s="75">
        <f>+民間設備非製造!N94</f>
        <v>622796</v>
      </c>
      <c r="O94" s="75">
        <f>+民間設備非製造!O94</f>
        <v>620453</v>
      </c>
      <c r="P94" s="75">
        <f>+民間設備非製造!P94</f>
        <v>641326</v>
      </c>
      <c r="Q94" s="75">
        <f>+民間設備非製造!Q94</f>
        <v>615254</v>
      </c>
      <c r="R94" s="75">
        <f>+民間設備非製造!R94</f>
        <v>708018</v>
      </c>
      <c r="S94" s="75">
        <f>+民間設備非製造!S94</f>
        <v>766673</v>
      </c>
      <c r="T94" s="75">
        <f>+民間設備非製造!T94</f>
        <v>807182</v>
      </c>
      <c r="U94" s="75">
        <f>+民間設備非製造!U94</f>
        <v>818356</v>
      </c>
      <c r="V94" s="75">
        <f>+民間設備非製造!V94</f>
        <v>818356</v>
      </c>
      <c r="W94" s="75">
        <f>+民間設備非製造!W94</f>
        <v>818356</v>
      </c>
      <c r="X94" s="75">
        <f>+民間設備非製造!X94</f>
        <v>818356</v>
      </c>
    </row>
    <row r="95" spans="1:24">
      <c r="A95" s="733">
        <v>214</v>
      </c>
      <c r="B95" s="733" t="s">
        <v>188</v>
      </c>
      <c r="C95" s="75">
        <f>+民間設備非製造!C95</f>
        <v>652137</v>
      </c>
      <c r="D95" s="75">
        <f>+民間設備非製造!D95</f>
        <v>642590</v>
      </c>
      <c r="E95" s="75">
        <f>+民間設備非製造!E95</f>
        <v>638869</v>
      </c>
      <c r="F95" s="75">
        <f>+民間設備非製造!F95</f>
        <v>638311</v>
      </c>
      <c r="G95" s="75">
        <f>+民間設備非製造!G95</f>
        <v>646799</v>
      </c>
      <c r="H95" s="75">
        <f>+民間設備非製造!H95</f>
        <v>634973</v>
      </c>
      <c r="I95" s="75">
        <f>+民間設備非製造!I95</f>
        <v>648378</v>
      </c>
      <c r="J95" s="75">
        <f>+民間設備非製造!J95</f>
        <v>676122</v>
      </c>
      <c r="K95" s="75">
        <f>+民間設備非製造!K95</f>
        <v>676886</v>
      </c>
      <c r="L95" s="75">
        <f>+民間設備非製造!L95</f>
        <v>676226</v>
      </c>
      <c r="M95" s="75">
        <f>+民間設備非製造!M95</f>
        <v>657728</v>
      </c>
      <c r="N95" s="75">
        <f>+民間設備非製造!N95</f>
        <v>670722</v>
      </c>
      <c r="O95" s="75">
        <f>+民間設備非製造!O95</f>
        <v>663458</v>
      </c>
      <c r="P95" s="75">
        <f>+民間設備非製造!P95</f>
        <v>675913</v>
      </c>
      <c r="Q95" s="75">
        <f>+民間設備非製造!Q95</f>
        <v>631820</v>
      </c>
      <c r="R95" s="75">
        <f>+民間設備非製造!R95</f>
        <v>743312</v>
      </c>
      <c r="S95" s="75">
        <f>+民間設備非製造!S95</f>
        <v>797177</v>
      </c>
      <c r="T95" s="75">
        <f>+民間設備非製造!T95</f>
        <v>825381</v>
      </c>
      <c r="U95" s="75">
        <f>+民間設備非製造!U95</f>
        <v>836914</v>
      </c>
      <c r="V95" s="75">
        <f>+民間設備非製造!V95</f>
        <v>836914</v>
      </c>
      <c r="W95" s="75">
        <f>+民間設備非製造!W95</f>
        <v>836914</v>
      </c>
      <c r="X95" s="75">
        <f>+民間設備非製造!X95</f>
        <v>836914</v>
      </c>
    </row>
    <row r="96" spans="1:24">
      <c r="A96" s="733">
        <v>217</v>
      </c>
      <c r="B96" s="733" t="s">
        <v>189</v>
      </c>
      <c r="C96" s="75">
        <f>+民間設備非製造!C96</f>
        <v>436461</v>
      </c>
      <c r="D96" s="75">
        <f>+民間設備非製造!D96</f>
        <v>449174</v>
      </c>
      <c r="E96" s="75">
        <f>+民間設備非製造!E96</f>
        <v>441647</v>
      </c>
      <c r="F96" s="75">
        <f>+民間設備非製造!F96</f>
        <v>429701</v>
      </c>
      <c r="G96" s="75">
        <f>+民間設備非製造!G96</f>
        <v>424989</v>
      </c>
      <c r="H96" s="75">
        <f>+民間設備非製造!H96</f>
        <v>419526</v>
      </c>
      <c r="I96" s="75">
        <f>+民間設備非製造!I96</f>
        <v>432287</v>
      </c>
      <c r="J96" s="75">
        <f>+民間設備非製造!J96</f>
        <v>444476</v>
      </c>
      <c r="K96" s="75">
        <f>+民間設備非製造!K96</f>
        <v>448577</v>
      </c>
      <c r="L96" s="75">
        <f>+民間設備非製造!L96</f>
        <v>448953</v>
      </c>
      <c r="M96" s="75">
        <f>+民間設備非製造!M96</f>
        <v>439456</v>
      </c>
      <c r="N96" s="75">
        <f>+民間設備非製造!N96</f>
        <v>458593</v>
      </c>
      <c r="O96" s="75">
        <f>+民間設備非製造!O96</f>
        <v>444238</v>
      </c>
      <c r="P96" s="75">
        <f>+民間設備非製造!P96</f>
        <v>452534</v>
      </c>
      <c r="Q96" s="75">
        <f>+民間設備非製造!Q96</f>
        <v>430509</v>
      </c>
      <c r="R96" s="75">
        <f>+民間設備非製造!R96</f>
        <v>494334</v>
      </c>
      <c r="S96" s="75">
        <f>+民間設備非製造!S96</f>
        <v>527767</v>
      </c>
      <c r="T96" s="75">
        <f>+民間設備非製造!T96</f>
        <v>554722</v>
      </c>
      <c r="U96" s="75">
        <f>+民間設備非製造!U96</f>
        <v>560663</v>
      </c>
      <c r="V96" s="75">
        <f>+民間設備非製造!V96</f>
        <v>560663</v>
      </c>
      <c r="W96" s="75">
        <f>+民間設備非製造!W96</f>
        <v>560663</v>
      </c>
      <c r="X96" s="75">
        <f>+民間設備非製造!X96</f>
        <v>560663</v>
      </c>
    </row>
    <row r="97" spans="1:24">
      <c r="A97" s="733">
        <v>219</v>
      </c>
      <c r="B97" s="733" t="s">
        <v>190</v>
      </c>
      <c r="C97" s="75">
        <f>+民間設備非製造!C97</f>
        <v>313893</v>
      </c>
      <c r="D97" s="75">
        <f>+民間設備非製造!D97</f>
        <v>308206</v>
      </c>
      <c r="E97" s="75">
        <f>+民間設備非製造!E97</f>
        <v>310831</v>
      </c>
      <c r="F97" s="75">
        <f>+民間設備非製造!F97</f>
        <v>306925</v>
      </c>
      <c r="G97" s="75">
        <f>+民間設備非製造!G97</f>
        <v>299442</v>
      </c>
      <c r="H97" s="75">
        <f>+民間設備非製造!H97</f>
        <v>307979</v>
      </c>
      <c r="I97" s="75">
        <f>+民間設備非製造!I97</f>
        <v>325034</v>
      </c>
      <c r="J97" s="75">
        <f>+民間設備非製造!J97</f>
        <v>315931</v>
      </c>
      <c r="K97" s="75">
        <f>+民間設備非製造!K97</f>
        <v>346404</v>
      </c>
      <c r="L97" s="75">
        <f>+民間設備非製造!L97</f>
        <v>340214</v>
      </c>
      <c r="M97" s="75">
        <f>+民間設備非製造!M97</f>
        <v>348549</v>
      </c>
      <c r="N97" s="75">
        <f>+民間設備非製造!N97</f>
        <v>325667</v>
      </c>
      <c r="O97" s="75">
        <f>+民間設備非製造!O97</f>
        <v>342022</v>
      </c>
      <c r="P97" s="75">
        <f>+民間設備非製造!P97</f>
        <v>341427</v>
      </c>
      <c r="Q97" s="75">
        <f>+民間設備非製造!Q97</f>
        <v>317401</v>
      </c>
      <c r="R97" s="75">
        <f>+民間設備非製造!R97</f>
        <v>395089</v>
      </c>
      <c r="S97" s="75">
        <f>+民間設備非製造!S97</f>
        <v>416743</v>
      </c>
      <c r="T97" s="75">
        <f>+民間設備非製造!T97</f>
        <v>441579</v>
      </c>
      <c r="U97" s="75">
        <f>+民間設備非製造!U97</f>
        <v>441821</v>
      </c>
      <c r="V97" s="75">
        <f>+民間設備非製造!V97</f>
        <v>441821</v>
      </c>
      <c r="W97" s="75">
        <f>+民間設備非製造!W97</f>
        <v>441821</v>
      </c>
      <c r="X97" s="75">
        <f>+民間設備非製造!X97</f>
        <v>441821</v>
      </c>
    </row>
    <row r="98" spans="1:24">
      <c r="A98" s="733">
        <v>301</v>
      </c>
      <c r="B98" s="733" t="s">
        <v>191</v>
      </c>
      <c r="C98" s="132">
        <f>+民間設備非製造!C98</f>
        <v>80750</v>
      </c>
      <c r="D98" s="132">
        <f>+民間設備非製造!D98</f>
        <v>80106</v>
      </c>
      <c r="E98" s="132">
        <f>+民間設備非製造!E98</f>
        <v>79551</v>
      </c>
      <c r="F98" s="132">
        <f>+民間設備非製造!F98</f>
        <v>78043</v>
      </c>
      <c r="G98" s="132">
        <f>+民間設備非製造!G98</f>
        <v>77137</v>
      </c>
      <c r="H98" s="132">
        <f>+民間設備非製造!H98</f>
        <v>80238</v>
      </c>
      <c r="I98" s="132">
        <f>+民間設備非製造!I98</f>
        <v>81172</v>
      </c>
      <c r="J98" s="132">
        <f>+民間設備非製造!J98</f>
        <v>80634</v>
      </c>
      <c r="K98" s="132">
        <f>+民間設備非製造!K98</f>
        <v>83311</v>
      </c>
      <c r="L98" s="132">
        <f>+民間設備非製造!L98</f>
        <v>83106</v>
      </c>
      <c r="M98" s="132">
        <f>+民間設備非製造!M98</f>
        <v>80414</v>
      </c>
      <c r="N98" s="132">
        <f>+民間設備非製造!N98</f>
        <v>81820</v>
      </c>
      <c r="O98" s="132">
        <f>+民間設備非製造!O98</f>
        <v>79845</v>
      </c>
      <c r="P98" s="132">
        <f>+民間設備非製造!P98</f>
        <v>84640</v>
      </c>
      <c r="Q98" s="132">
        <f>+民間設備非製造!Q98</f>
        <v>78791</v>
      </c>
      <c r="R98" s="132">
        <f>+民間設備非製造!R98</f>
        <v>97622</v>
      </c>
      <c r="S98" s="132">
        <f>+民間設備非製造!S98</f>
        <v>103524</v>
      </c>
      <c r="T98" s="132">
        <f>+民間設備非製造!T98</f>
        <v>108379</v>
      </c>
      <c r="U98" s="132">
        <f>+民間設備非製造!U98</f>
        <v>107160</v>
      </c>
      <c r="V98" s="132">
        <f>+民間設備非製造!V98</f>
        <v>107160</v>
      </c>
      <c r="W98" s="132">
        <f>+民間設備非製造!W98</f>
        <v>107160</v>
      </c>
      <c r="X98" s="132">
        <f>+民間設備非製造!X98</f>
        <v>107160</v>
      </c>
    </row>
    <row r="99" spans="1:24">
      <c r="A99" s="734">
        <v>3</v>
      </c>
      <c r="B99" s="734" t="s">
        <v>192</v>
      </c>
      <c r="C99" s="75">
        <f>+民間設備非製造!C99</f>
        <v>2259491</v>
      </c>
      <c r="D99" s="75">
        <f>+民間設備非製造!D99</f>
        <v>2269706</v>
      </c>
      <c r="E99" s="75">
        <f>+民間設備非製造!E99</f>
        <v>2332078</v>
      </c>
      <c r="F99" s="75">
        <f>+民間設備非製造!F99</f>
        <v>2356874</v>
      </c>
      <c r="G99" s="75">
        <f>+民間設備非製造!G99</f>
        <v>2246558</v>
      </c>
      <c r="H99" s="75">
        <f>+民間設備非製造!H99</f>
        <v>2375481</v>
      </c>
      <c r="I99" s="75">
        <f>+民間設備非製造!I99</f>
        <v>2410318</v>
      </c>
      <c r="J99" s="75">
        <f>+民間設備非製造!J99</f>
        <v>2372335</v>
      </c>
      <c r="K99" s="75">
        <f>+民間設備非製造!K99</f>
        <v>2532954</v>
      </c>
      <c r="L99" s="75">
        <f>+民間設備非製造!L99</f>
        <v>2530049</v>
      </c>
      <c r="M99" s="75">
        <f>+民間設備非製造!M99</f>
        <v>2385894</v>
      </c>
      <c r="N99" s="75">
        <f>+民間設備非製造!N99</f>
        <v>2470567</v>
      </c>
      <c r="O99" s="75">
        <f>+民間設備非製造!O99</f>
        <v>2432587</v>
      </c>
      <c r="P99" s="75">
        <f>+民間設備非製造!P99</f>
        <v>2501698</v>
      </c>
      <c r="Q99" s="75">
        <f>+民間設備非製造!Q99</f>
        <v>2408418</v>
      </c>
      <c r="R99" s="75">
        <f>+民間設備非製造!R99</f>
        <v>2806665</v>
      </c>
      <c r="S99" s="75">
        <f>+民間設備非製造!S99</f>
        <v>2994256</v>
      </c>
      <c r="T99" s="75">
        <f>+民間設備非製造!T99</f>
        <v>3142881</v>
      </c>
      <c r="U99" s="75">
        <f>+民間設備非製造!U99</f>
        <v>3200858</v>
      </c>
      <c r="V99" s="75">
        <f>+民間設備非製造!V99</f>
        <v>3200858</v>
      </c>
      <c r="W99" s="75">
        <f>+民間設備非製造!W99</f>
        <v>3200858</v>
      </c>
      <c r="X99" s="75">
        <f>+民間設備非製造!X99</f>
        <v>3200858</v>
      </c>
    </row>
    <row r="100" spans="1:24">
      <c r="A100" s="733">
        <v>203</v>
      </c>
      <c r="B100" s="733" t="s">
        <v>193</v>
      </c>
      <c r="C100" s="75">
        <f>+民間設備非製造!C100</f>
        <v>892454</v>
      </c>
      <c r="D100" s="75">
        <f>+民間設備非製造!D100</f>
        <v>892231</v>
      </c>
      <c r="E100" s="75">
        <f>+民間設備非製造!E100</f>
        <v>916562</v>
      </c>
      <c r="F100" s="75">
        <f>+民間設備非製造!F100</f>
        <v>889863</v>
      </c>
      <c r="G100" s="75">
        <f>+民間設備非製造!G100</f>
        <v>886321</v>
      </c>
      <c r="H100" s="75">
        <f>+民間設備非製造!H100</f>
        <v>896165</v>
      </c>
      <c r="I100" s="75">
        <f>+民間設備非製造!I100</f>
        <v>908561</v>
      </c>
      <c r="J100" s="75">
        <f>+民間設備非製造!J100</f>
        <v>956794</v>
      </c>
      <c r="K100" s="75">
        <f>+民間設備非製造!K100</f>
        <v>959650</v>
      </c>
      <c r="L100" s="75">
        <f>+民間設備非製造!L100</f>
        <v>965530</v>
      </c>
      <c r="M100" s="75">
        <f>+民間設備非製造!M100</f>
        <v>968811</v>
      </c>
      <c r="N100" s="75">
        <f>+民間設備非製造!N100</f>
        <v>998372</v>
      </c>
      <c r="O100" s="75">
        <f>+民間設備非製造!O100</f>
        <v>1003799</v>
      </c>
      <c r="P100" s="75">
        <f>+民間設備非製造!P100</f>
        <v>1006497</v>
      </c>
      <c r="Q100" s="75">
        <f>+民間設備非製造!Q100</f>
        <v>981046</v>
      </c>
      <c r="R100" s="75">
        <f>+民間設備非製造!R100</f>
        <v>1133101</v>
      </c>
      <c r="S100" s="75">
        <f>+民間設備非製造!S100</f>
        <v>1197806</v>
      </c>
      <c r="T100" s="75">
        <f>+民間設備非製造!T100</f>
        <v>1268455</v>
      </c>
      <c r="U100" s="75">
        <f>+民間設備非製造!U100</f>
        <v>1291677</v>
      </c>
      <c r="V100" s="75">
        <f>+民間設備非製造!V100</f>
        <v>1291677</v>
      </c>
      <c r="W100" s="75">
        <f>+民間設備非製造!W100</f>
        <v>1291677</v>
      </c>
      <c r="X100" s="75">
        <f>+民間設備非製造!X100</f>
        <v>1291677</v>
      </c>
    </row>
    <row r="101" spans="1:24">
      <c r="A101" s="733">
        <v>210</v>
      </c>
      <c r="B101" s="733" t="s">
        <v>194</v>
      </c>
      <c r="C101" s="75">
        <f>+民間設備非製造!C101</f>
        <v>809464</v>
      </c>
      <c r="D101" s="75">
        <f>+民間設備非製造!D101</f>
        <v>824986</v>
      </c>
      <c r="E101" s="75">
        <f>+民間設備非製造!E101</f>
        <v>836097</v>
      </c>
      <c r="F101" s="75">
        <f>+民間設備非製造!F101</f>
        <v>859017</v>
      </c>
      <c r="G101" s="75">
        <f>+民間設備非製造!G101</f>
        <v>836414</v>
      </c>
      <c r="H101" s="75">
        <f>+民間設備非製造!H101</f>
        <v>938543</v>
      </c>
      <c r="I101" s="75">
        <f>+民間設備非製造!I101</f>
        <v>947426</v>
      </c>
      <c r="J101" s="75">
        <f>+民間設備非製造!J101</f>
        <v>860112</v>
      </c>
      <c r="K101" s="75">
        <f>+民間設備非製造!K101</f>
        <v>905108</v>
      </c>
      <c r="L101" s="75">
        <f>+民間設備非製造!L101</f>
        <v>893206</v>
      </c>
      <c r="M101" s="75">
        <f>+民間設備非製造!M101</f>
        <v>873858</v>
      </c>
      <c r="N101" s="75">
        <f>+民間設備非製造!N101</f>
        <v>898007</v>
      </c>
      <c r="O101" s="75">
        <f>+民間設備非製造!O101</f>
        <v>849632</v>
      </c>
      <c r="P101" s="75">
        <f>+民間設備非製造!P101</f>
        <v>855327</v>
      </c>
      <c r="Q101" s="75">
        <f>+民間設備非製造!Q101</f>
        <v>831993</v>
      </c>
      <c r="R101" s="75">
        <f>+民間設備非製造!R101</f>
        <v>957230</v>
      </c>
      <c r="S101" s="75">
        <f>+民間設備非製造!S101</f>
        <v>1019671</v>
      </c>
      <c r="T101" s="75">
        <f>+民間設備非製造!T101</f>
        <v>1069491</v>
      </c>
      <c r="U101" s="75">
        <f>+民間設備非製造!U101</f>
        <v>1087360</v>
      </c>
      <c r="V101" s="75">
        <f>+民間設備非製造!V101</f>
        <v>1087360</v>
      </c>
      <c r="W101" s="75">
        <f>+民間設備非製造!W101</f>
        <v>1087360</v>
      </c>
      <c r="X101" s="75">
        <f>+民間設備非製造!X101</f>
        <v>1087360</v>
      </c>
    </row>
    <row r="102" spans="1:24">
      <c r="A102" s="733">
        <v>216</v>
      </c>
      <c r="B102" s="733" t="s">
        <v>195</v>
      </c>
      <c r="C102" s="75">
        <f>+民間設備非製造!C102</f>
        <v>365923</v>
      </c>
      <c r="D102" s="75">
        <f>+民間設備非製造!D102</f>
        <v>354091</v>
      </c>
      <c r="E102" s="75">
        <f>+民間設備非製造!E102</f>
        <v>383793</v>
      </c>
      <c r="F102" s="75">
        <f>+民間設備非製造!F102</f>
        <v>415749</v>
      </c>
      <c r="G102" s="75">
        <f>+民間設備非製造!G102</f>
        <v>338713</v>
      </c>
      <c r="H102" s="75">
        <f>+民間設備非製造!H102</f>
        <v>350632</v>
      </c>
      <c r="I102" s="75">
        <f>+民間設備非製造!I102</f>
        <v>362720</v>
      </c>
      <c r="J102" s="75">
        <f>+民間設備非製造!J102</f>
        <v>350754</v>
      </c>
      <c r="K102" s="75">
        <f>+民間設備非製造!K102</f>
        <v>470670</v>
      </c>
      <c r="L102" s="75">
        <f>+民間設備非製造!L102</f>
        <v>471376</v>
      </c>
      <c r="M102" s="75">
        <f>+民間設備非製造!M102</f>
        <v>347867</v>
      </c>
      <c r="N102" s="75">
        <f>+民間設備非製造!N102</f>
        <v>353231</v>
      </c>
      <c r="O102" s="75">
        <f>+民間設備非製造!O102</f>
        <v>360237</v>
      </c>
      <c r="P102" s="75">
        <f>+民間設備非製造!P102</f>
        <v>425401</v>
      </c>
      <c r="Q102" s="75">
        <f>+民間設備非製造!Q102</f>
        <v>380867</v>
      </c>
      <c r="R102" s="75">
        <f>+民間設備非製造!R102</f>
        <v>453421</v>
      </c>
      <c r="S102" s="75">
        <f>+民間設備非製造!S102</f>
        <v>499166</v>
      </c>
      <c r="T102" s="75">
        <f>+民間設備非製造!T102</f>
        <v>510559</v>
      </c>
      <c r="U102" s="75">
        <f>+民間設備非製造!U102</f>
        <v>518621</v>
      </c>
      <c r="V102" s="75">
        <f>+民間設備非製造!V102</f>
        <v>518621</v>
      </c>
      <c r="W102" s="75">
        <f>+民間設備非製造!W102</f>
        <v>518621</v>
      </c>
      <c r="X102" s="75">
        <f>+民間設備非製造!X102</f>
        <v>518621</v>
      </c>
    </row>
    <row r="103" spans="1:24">
      <c r="A103" s="733">
        <v>381</v>
      </c>
      <c r="B103" s="733" t="s">
        <v>196</v>
      </c>
      <c r="C103" s="75">
        <f>+民間設備非製造!C103</f>
        <v>84458</v>
      </c>
      <c r="D103" s="75">
        <f>+民間設備非製造!D103</f>
        <v>87331</v>
      </c>
      <c r="E103" s="75">
        <f>+民間設備非製造!E103</f>
        <v>81488</v>
      </c>
      <c r="F103" s="75">
        <f>+民間設備非製造!F103</f>
        <v>80104</v>
      </c>
      <c r="G103" s="75">
        <f>+民間設備非製造!G103</f>
        <v>79015</v>
      </c>
      <c r="H103" s="75">
        <f>+民間設備非製造!H103</f>
        <v>81672</v>
      </c>
      <c r="I103" s="75">
        <f>+民間設備非製造!I103</f>
        <v>82638</v>
      </c>
      <c r="J103" s="75">
        <f>+民間設備非製造!J103</f>
        <v>83055</v>
      </c>
      <c r="K103" s="75">
        <f>+民間設備非製造!K103</f>
        <v>83080</v>
      </c>
      <c r="L103" s="75">
        <f>+民間設備非製造!L103</f>
        <v>83995</v>
      </c>
      <c r="M103" s="75">
        <f>+民間設備非製造!M103</f>
        <v>80160</v>
      </c>
      <c r="N103" s="75">
        <f>+民間設備非製造!N103</f>
        <v>85969</v>
      </c>
      <c r="O103" s="75">
        <f>+民間設備非製造!O103</f>
        <v>93036</v>
      </c>
      <c r="P103" s="75">
        <f>+民間設備非製造!P103</f>
        <v>94043</v>
      </c>
      <c r="Q103" s="75">
        <f>+民間設備非製造!Q103</f>
        <v>88707</v>
      </c>
      <c r="R103" s="75">
        <f>+民間設備非製造!R103</f>
        <v>111756</v>
      </c>
      <c r="S103" s="75">
        <f>+民間設備非製造!S103</f>
        <v>119162</v>
      </c>
      <c r="T103" s="75">
        <f>+民間設備非製造!T103</f>
        <v>125755</v>
      </c>
      <c r="U103" s="75">
        <f>+民間設備非製造!U103</f>
        <v>130004</v>
      </c>
      <c r="V103" s="75">
        <f>+民間設備非製造!V103</f>
        <v>130004</v>
      </c>
      <c r="W103" s="75">
        <f>+民間設備非製造!W103</f>
        <v>130004</v>
      </c>
      <c r="X103" s="75">
        <f>+民間設備非製造!X103</f>
        <v>130004</v>
      </c>
    </row>
    <row r="104" spans="1:24">
      <c r="A104" s="735">
        <v>382</v>
      </c>
      <c r="B104" s="735" t="s">
        <v>197</v>
      </c>
      <c r="C104" s="75">
        <f>+民間設備非製造!C104</f>
        <v>107192</v>
      </c>
      <c r="D104" s="75">
        <f>+民間設備非製造!D104</f>
        <v>111067</v>
      </c>
      <c r="E104" s="75">
        <f>+民間設備非製造!E104</f>
        <v>114138</v>
      </c>
      <c r="F104" s="75">
        <f>+民間設備非製造!F104</f>
        <v>112141</v>
      </c>
      <c r="G104" s="75">
        <f>+民間設備非製造!G104</f>
        <v>106095</v>
      </c>
      <c r="H104" s="75">
        <f>+民間設備非製造!H104</f>
        <v>108469</v>
      </c>
      <c r="I104" s="75">
        <f>+民間設備非製造!I104</f>
        <v>108973</v>
      </c>
      <c r="J104" s="75">
        <f>+民間設備非製造!J104</f>
        <v>121620</v>
      </c>
      <c r="K104" s="75">
        <f>+民間設備非製造!K104</f>
        <v>114446</v>
      </c>
      <c r="L104" s="75">
        <f>+民間設備非製造!L104</f>
        <v>115942</v>
      </c>
      <c r="M104" s="75">
        <f>+民間設備非製造!M104</f>
        <v>115198</v>
      </c>
      <c r="N104" s="75">
        <f>+民間設備非製造!N104</f>
        <v>134988</v>
      </c>
      <c r="O104" s="75">
        <f>+民間設備非製造!O104</f>
        <v>125883</v>
      </c>
      <c r="P104" s="75">
        <f>+民間設備非製造!P104</f>
        <v>120430</v>
      </c>
      <c r="Q104" s="75">
        <f>+民間設備非製造!Q104</f>
        <v>125805</v>
      </c>
      <c r="R104" s="75">
        <f>+民間設備非製造!R104</f>
        <v>151157</v>
      </c>
      <c r="S104" s="75">
        <f>+民間設備非製造!S104</f>
        <v>158451</v>
      </c>
      <c r="T104" s="75">
        <f>+民間設備非製造!T104</f>
        <v>168621</v>
      </c>
      <c r="U104" s="75">
        <f>+民間設備非製造!U104</f>
        <v>173196</v>
      </c>
      <c r="V104" s="75">
        <f>+民間設備非製造!V104</f>
        <v>173196</v>
      </c>
      <c r="W104" s="75">
        <f>+民間設備非製造!W104</f>
        <v>173196</v>
      </c>
      <c r="X104" s="75">
        <f>+民間設備非製造!X104</f>
        <v>173196</v>
      </c>
    </row>
    <row r="105" spans="1:24">
      <c r="A105" s="733">
        <v>4</v>
      </c>
      <c r="B105" s="733" t="s">
        <v>325</v>
      </c>
      <c r="C105" s="130">
        <f>+民間設備非製造!C105</f>
        <v>813875</v>
      </c>
      <c r="D105" s="130">
        <f>+民間設備非製造!D105</f>
        <v>850660</v>
      </c>
      <c r="E105" s="130">
        <f>+民間設備非製造!E105</f>
        <v>789623</v>
      </c>
      <c r="F105" s="130">
        <f>+民間設備非製造!F105</f>
        <v>764907</v>
      </c>
      <c r="G105" s="130">
        <f>+民間設備非製造!G105</f>
        <v>755686</v>
      </c>
      <c r="H105" s="130">
        <f>+民間設備非製造!H105</f>
        <v>869428</v>
      </c>
      <c r="I105" s="130">
        <f>+民間設備非製造!I105</f>
        <v>890360</v>
      </c>
      <c r="J105" s="130">
        <f>+民間設備非製造!J105</f>
        <v>890326</v>
      </c>
      <c r="K105" s="130">
        <f>+民間設備非製造!K105</f>
        <v>804889</v>
      </c>
      <c r="L105" s="130">
        <f>+民間設備非製造!L105</f>
        <v>822791</v>
      </c>
      <c r="M105" s="130">
        <f>+民間設備非製造!M105</f>
        <v>843693</v>
      </c>
      <c r="N105" s="130">
        <f>+民間設備非製造!N105</f>
        <v>831165</v>
      </c>
      <c r="O105" s="130">
        <f>+民間設備非製造!O105</f>
        <v>835628</v>
      </c>
      <c r="P105" s="130">
        <f>+民間設備非製造!P105</f>
        <v>886854</v>
      </c>
      <c r="Q105" s="130">
        <f>+民間設備非製造!Q105</f>
        <v>830380</v>
      </c>
      <c r="R105" s="130">
        <f>+民間設備非製造!R105</f>
        <v>1017821</v>
      </c>
      <c r="S105" s="130">
        <f>+民間設備非製造!S105</f>
        <v>1083820</v>
      </c>
      <c r="T105" s="130">
        <f>+民間設備非製造!T105</f>
        <v>1136262</v>
      </c>
      <c r="U105" s="130">
        <f>+民間設備非製造!U105</f>
        <v>1150135</v>
      </c>
      <c r="V105" s="130">
        <f>+民間設備非製造!V105</f>
        <v>1150135</v>
      </c>
      <c r="W105" s="130">
        <f>+民間設備非製造!W105</f>
        <v>1150135</v>
      </c>
      <c r="X105" s="130">
        <f>+民間設備非製造!X105</f>
        <v>1150135</v>
      </c>
    </row>
    <row r="106" spans="1:24">
      <c r="A106" s="733">
        <v>213</v>
      </c>
      <c r="B106" s="733" t="s">
        <v>199</v>
      </c>
      <c r="C106" s="75">
        <f>+民間設備非製造!C106</f>
        <v>123043</v>
      </c>
      <c r="D106" s="75">
        <f>+民間設備非製造!D106</f>
        <v>141656</v>
      </c>
      <c r="E106" s="75">
        <f>+民間設備非製造!E106</f>
        <v>117546</v>
      </c>
      <c r="F106" s="75">
        <f>+民間設備非製造!F106</f>
        <v>110466</v>
      </c>
      <c r="G106" s="75">
        <f>+民間設備非製造!G106</f>
        <v>107586</v>
      </c>
      <c r="H106" s="75">
        <f>+民間設備非製造!H106</f>
        <v>141922</v>
      </c>
      <c r="I106" s="75">
        <f>+民間設備非製造!I106</f>
        <v>146836</v>
      </c>
      <c r="J106" s="75">
        <f>+民間設備非製造!J106</f>
        <v>120891</v>
      </c>
      <c r="K106" s="75">
        <f>+民間設備非製造!K106</f>
        <v>111147</v>
      </c>
      <c r="L106" s="75">
        <f>+民間設備非製造!L106</f>
        <v>110898</v>
      </c>
      <c r="M106" s="75">
        <f>+民間設備非製造!M106</f>
        <v>111585</v>
      </c>
      <c r="N106" s="75">
        <f>+民間設備非製造!N106</f>
        <v>108214</v>
      </c>
      <c r="O106" s="75">
        <f>+民間設備非製造!O106</f>
        <v>110723</v>
      </c>
      <c r="P106" s="75">
        <f>+民間設備非製造!P106</f>
        <v>117020</v>
      </c>
      <c r="Q106" s="75">
        <f>+民間設備非製造!Q106</f>
        <v>122449</v>
      </c>
      <c r="R106" s="75">
        <f>+民間設備非製造!R106</f>
        <v>138993</v>
      </c>
      <c r="S106" s="75">
        <f>+民間設備非製造!S106</f>
        <v>152052</v>
      </c>
      <c r="T106" s="75">
        <f>+民間設備非製造!T106</f>
        <v>155426</v>
      </c>
      <c r="U106" s="75">
        <f>+民間設備非製造!U106</f>
        <v>151131</v>
      </c>
      <c r="V106" s="75">
        <f>+民間設備非製造!V106</f>
        <v>151131</v>
      </c>
      <c r="W106" s="75">
        <f>+民間設備非製造!W106</f>
        <v>151131</v>
      </c>
      <c r="X106" s="75">
        <f>+民間設備非製造!X106</f>
        <v>151131</v>
      </c>
    </row>
    <row r="107" spans="1:24">
      <c r="A107" s="733">
        <v>215</v>
      </c>
      <c r="B107" s="733" t="s">
        <v>329</v>
      </c>
      <c r="C107" s="75">
        <f>+民間設備非製造!C107</f>
        <v>217600</v>
      </c>
      <c r="D107" s="75">
        <f>+民間設備非製造!D107</f>
        <v>220186</v>
      </c>
      <c r="E107" s="75">
        <f>+民間設備非製造!E107</f>
        <v>218976</v>
      </c>
      <c r="F107" s="75">
        <f>+民間設備非製造!F107</f>
        <v>216257</v>
      </c>
      <c r="G107" s="75">
        <f>+民間設備非製造!G107</f>
        <v>207759</v>
      </c>
      <c r="H107" s="75">
        <f>+民間設備非製造!H107</f>
        <v>210409</v>
      </c>
      <c r="I107" s="75">
        <f>+民間設備非製造!I107</f>
        <v>218689</v>
      </c>
      <c r="J107" s="75">
        <f>+民間設備非製造!J107</f>
        <v>227646</v>
      </c>
      <c r="K107" s="75">
        <f>+民間設備非製造!K107</f>
        <v>224582</v>
      </c>
      <c r="L107" s="75">
        <f>+民間設備非製造!L107</f>
        <v>228015</v>
      </c>
      <c r="M107" s="75">
        <f>+民間設備非製造!M107</f>
        <v>229782</v>
      </c>
      <c r="N107" s="75">
        <f>+民間設備非製造!N107</f>
        <v>226291</v>
      </c>
      <c r="O107" s="75">
        <f>+民間設備非製造!O107</f>
        <v>228964</v>
      </c>
      <c r="P107" s="75">
        <f>+民間設備非製造!P107</f>
        <v>239316</v>
      </c>
      <c r="Q107" s="75">
        <f>+民間設備非製造!Q107</f>
        <v>223188</v>
      </c>
      <c r="R107" s="75">
        <f>+民間設備非製造!R107</f>
        <v>273089</v>
      </c>
      <c r="S107" s="75">
        <f>+民間設備非製造!S107</f>
        <v>288547</v>
      </c>
      <c r="T107" s="75">
        <f>+民間設備非製造!T107</f>
        <v>303466</v>
      </c>
      <c r="U107" s="75">
        <f>+民間設備非製造!U107</f>
        <v>306659</v>
      </c>
      <c r="V107" s="75">
        <f>+民間設備非製造!V107</f>
        <v>306659</v>
      </c>
      <c r="W107" s="75">
        <f>+民間設備非製造!W107</f>
        <v>306659</v>
      </c>
      <c r="X107" s="75">
        <f>+民間設備非製造!X107</f>
        <v>306659</v>
      </c>
    </row>
    <row r="108" spans="1:24">
      <c r="A108" s="733">
        <v>218</v>
      </c>
      <c r="B108" s="733" t="s">
        <v>200</v>
      </c>
      <c r="C108" s="75">
        <f>+民間設備非製造!C108</f>
        <v>155977</v>
      </c>
      <c r="D108" s="75">
        <f>+民間設備非製造!D108</f>
        <v>143356</v>
      </c>
      <c r="E108" s="75">
        <f>+民間設備非製造!E108</f>
        <v>143199</v>
      </c>
      <c r="F108" s="75">
        <f>+民間設備非製造!F108</f>
        <v>138332</v>
      </c>
      <c r="G108" s="75">
        <f>+民間設備非製造!G108</f>
        <v>132101</v>
      </c>
      <c r="H108" s="75">
        <f>+民間設備非製造!H108</f>
        <v>139729</v>
      </c>
      <c r="I108" s="75">
        <f>+民間設備非製造!I108</f>
        <v>140425</v>
      </c>
      <c r="J108" s="75">
        <f>+民間設備非製造!J108</f>
        <v>194897</v>
      </c>
      <c r="K108" s="75">
        <f>+民間設備非製造!K108</f>
        <v>145460</v>
      </c>
      <c r="L108" s="75">
        <f>+民間設備非製造!L108</f>
        <v>145739</v>
      </c>
      <c r="M108" s="75">
        <f>+民間設備非製造!M108</f>
        <v>168869</v>
      </c>
      <c r="N108" s="75">
        <f>+民間設備非製造!N108</f>
        <v>148596</v>
      </c>
      <c r="O108" s="75">
        <f>+民間設備非製造!O108</f>
        <v>154773</v>
      </c>
      <c r="P108" s="75">
        <f>+民間設備非製造!P108</f>
        <v>169041</v>
      </c>
      <c r="Q108" s="75">
        <f>+民間設備非製造!Q108</f>
        <v>145569</v>
      </c>
      <c r="R108" s="75">
        <f>+民間設備非製造!R108</f>
        <v>187152</v>
      </c>
      <c r="S108" s="75">
        <f>+民間設備非製造!S108</f>
        <v>201052</v>
      </c>
      <c r="T108" s="75">
        <f>+民間設備非製造!T108</f>
        <v>207278</v>
      </c>
      <c r="U108" s="75">
        <f>+民間設備非製造!U108</f>
        <v>210511</v>
      </c>
      <c r="V108" s="75">
        <f>+民間設備非製造!V108</f>
        <v>210511</v>
      </c>
      <c r="W108" s="75">
        <f>+民間設備非製造!W108</f>
        <v>210511</v>
      </c>
      <c r="X108" s="75">
        <f>+民間設備非製造!X108</f>
        <v>210511</v>
      </c>
    </row>
    <row r="109" spans="1:24">
      <c r="A109" s="733">
        <v>220</v>
      </c>
      <c r="B109" s="733" t="s">
        <v>201</v>
      </c>
      <c r="C109" s="75">
        <f>+民間設備非製造!C109</f>
        <v>135603</v>
      </c>
      <c r="D109" s="75">
        <f>+民間設備非製造!D109</f>
        <v>138644</v>
      </c>
      <c r="E109" s="75">
        <f>+民間設備非製造!E109</f>
        <v>131503</v>
      </c>
      <c r="F109" s="75">
        <f>+民間設備非製造!F109</f>
        <v>128440</v>
      </c>
      <c r="G109" s="75">
        <f>+民間設備非製造!G109</f>
        <v>130253</v>
      </c>
      <c r="H109" s="75">
        <f>+民間設備非製造!H109</f>
        <v>169205</v>
      </c>
      <c r="I109" s="75">
        <f>+民間設備非製造!I109</f>
        <v>168336</v>
      </c>
      <c r="J109" s="75">
        <f>+民間設備非製造!J109</f>
        <v>152597</v>
      </c>
      <c r="K109" s="75">
        <f>+民間設備非製造!K109</f>
        <v>139293</v>
      </c>
      <c r="L109" s="75">
        <f>+民間設備非製造!L109</f>
        <v>147455</v>
      </c>
      <c r="M109" s="75">
        <f>+民間設備非製造!M109</f>
        <v>143498</v>
      </c>
      <c r="N109" s="75">
        <f>+民間設備非製造!N109</f>
        <v>143890</v>
      </c>
      <c r="O109" s="75">
        <f>+民間設備非製造!O109</f>
        <v>139027</v>
      </c>
      <c r="P109" s="75">
        <f>+民間設備非製造!P109</f>
        <v>148178</v>
      </c>
      <c r="Q109" s="75">
        <f>+民間設備非製造!Q109</f>
        <v>140966</v>
      </c>
      <c r="R109" s="75">
        <f>+民間設備非製造!R109</f>
        <v>170216</v>
      </c>
      <c r="S109" s="75">
        <f>+民間設備非製造!S109</f>
        <v>181268</v>
      </c>
      <c r="T109" s="75">
        <f>+民間設備非製造!T109</f>
        <v>192011</v>
      </c>
      <c r="U109" s="75">
        <f>+民間設備非製造!U109</f>
        <v>195983</v>
      </c>
      <c r="V109" s="75">
        <f>+民間設備非製造!V109</f>
        <v>195983</v>
      </c>
      <c r="W109" s="75">
        <f>+民間設備非製造!W109</f>
        <v>195983</v>
      </c>
      <c r="X109" s="75">
        <f>+民間設備非製造!X109</f>
        <v>195983</v>
      </c>
    </row>
    <row r="110" spans="1:24">
      <c r="A110" s="733">
        <v>228</v>
      </c>
      <c r="B110" s="733" t="s">
        <v>330</v>
      </c>
      <c r="C110" s="75">
        <f>+民間設備非製造!C110</f>
        <v>123465</v>
      </c>
      <c r="D110" s="75">
        <f>+民間設備非製造!D110</f>
        <v>149534</v>
      </c>
      <c r="E110" s="75">
        <f>+民間設備非製造!E110</f>
        <v>121964</v>
      </c>
      <c r="F110" s="75">
        <f>+民間設備非製造!F110</f>
        <v>114713</v>
      </c>
      <c r="G110" s="75">
        <f>+民間設備非製造!G110</f>
        <v>120265</v>
      </c>
      <c r="H110" s="75">
        <f>+民間設備非製造!H110</f>
        <v>148838</v>
      </c>
      <c r="I110" s="75">
        <f>+民間設備非製造!I110</f>
        <v>152683</v>
      </c>
      <c r="J110" s="75">
        <f>+民間設備非製造!J110</f>
        <v>133680</v>
      </c>
      <c r="K110" s="75">
        <f>+民間設備非製造!K110</f>
        <v>128110</v>
      </c>
      <c r="L110" s="75">
        <f>+民間設備非製造!L110</f>
        <v>132384</v>
      </c>
      <c r="M110" s="75">
        <f>+民間設備非製造!M110</f>
        <v>132344</v>
      </c>
      <c r="N110" s="75">
        <f>+民間設備非製造!N110</f>
        <v>147367</v>
      </c>
      <c r="O110" s="75">
        <f>+民間設備非製造!O110</f>
        <v>141132</v>
      </c>
      <c r="P110" s="75">
        <f>+民間設備非製造!P110</f>
        <v>157093</v>
      </c>
      <c r="Q110" s="75">
        <f>+民間設備非製造!Q110</f>
        <v>145119</v>
      </c>
      <c r="R110" s="75">
        <f>+民間設備非製造!R110</f>
        <v>181077</v>
      </c>
      <c r="S110" s="75">
        <f>+民間設備非製造!S110</f>
        <v>190937</v>
      </c>
      <c r="T110" s="75">
        <f>+民間設備非製造!T110</f>
        <v>205764</v>
      </c>
      <c r="U110" s="75">
        <f>+民間設備非製造!U110</f>
        <v>213927</v>
      </c>
      <c r="V110" s="75">
        <f>+民間設備非製造!V110</f>
        <v>213927</v>
      </c>
      <c r="W110" s="75">
        <f>+民間設備非製造!W110</f>
        <v>213927</v>
      </c>
      <c r="X110" s="75">
        <f>+民間設備非製造!X110</f>
        <v>213927</v>
      </c>
    </row>
    <row r="111" spans="1:24">
      <c r="A111" s="733">
        <v>365</v>
      </c>
      <c r="B111" s="733" t="s">
        <v>331</v>
      </c>
      <c r="C111" s="132">
        <f>+民間設備非製造!C111</f>
        <v>58187</v>
      </c>
      <c r="D111" s="132">
        <f>+民間設備非製造!D111</f>
        <v>57284</v>
      </c>
      <c r="E111" s="132">
        <f>+民間設備非製造!E111</f>
        <v>56435</v>
      </c>
      <c r="F111" s="132">
        <f>+民間設備非製造!F111</f>
        <v>56699</v>
      </c>
      <c r="G111" s="132">
        <f>+民間設備非製造!G111</f>
        <v>57722</v>
      </c>
      <c r="H111" s="132">
        <f>+民間設備非製造!H111</f>
        <v>59325</v>
      </c>
      <c r="I111" s="132">
        <f>+民間設備非製造!I111</f>
        <v>63391</v>
      </c>
      <c r="J111" s="132">
        <f>+民間設備非製造!J111</f>
        <v>60615</v>
      </c>
      <c r="K111" s="132">
        <f>+民間設備非製造!K111</f>
        <v>56297</v>
      </c>
      <c r="L111" s="132">
        <f>+民間設備非製造!L111</f>
        <v>58300</v>
      </c>
      <c r="M111" s="132">
        <f>+民間設備非製造!M111</f>
        <v>57615</v>
      </c>
      <c r="N111" s="132">
        <f>+民間設備非製造!N111</f>
        <v>56807</v>
      </c>
      <c r="O111" s="132">
        <f>+民間設備非製造!O111</f>
        <v>61009</v>
      </c>
      <c r="P111" s="132">
        <f>+民間設備非製造!P111</f>
        <v>56206</v>
      </c>
      <c r="Q111" s="132">
        <f>+民間設備非製造!Q111</f>
        <v>53089</v>
      </c>
      <c r="R111" s="132">
        <f>+民間設備非製造!R111</f>
        <v>67294</v>
      </c>
      <c r="S111" s="132">
        <f>+民間設備非製造!S111</f>
        <v>69964</v>
      </c>
      <c r="T111" s="132">
        <f>+民間設備非製造!T111</f>
        <v>72317</v>
      </c>
      <c r="U111" s="132">
        <f>+民間設備非製造!U111</f>
        <v>71924</v>
      </c>
      <c r="V111" s="132">
        <f>+民間設備非製造!V111</f>
        <v>71924</v>
      </c>
      <c r="W111" s="132">
        <f>+民間設備非製造!W111</f>
        <v>71924</v>
      </c>
      <c r="X111" s="132">
        <f>+民間設備非製造!X111</f>
        <v>71924</v>
      </c>
    </row>
    <row r="112" spans="1:24">
      <c r="A112" s="734">
        <v>5</v>
      </c>
      <c r="B112" s="734" t="s">
        <v>326</v>
      </c>
      <c r="C112" s="75">
        <f>+民間設備非製造!C112</f>
        <v>1902169</v>
      </c>
      <c r="D112" s="75">
        <f>+民間設備非製造!D112</f>
        <v>1913321</v>
      </c>
      <c r="E112" s="75">
        <f>+民間設備非製造!E112</f>
        <v>1854457</v>
      </c>
      <c r="F112" s="75">
        <f>+民間設備非製造!F112</f>
        <v>1834890</v>
      </c>
      <c r="G112" s="75">
        <f>+民間設備非製造!G112</f>
        <v>2151052</v>
      </c>
      <c r="H112" s="75">
        <f>+民間設備非製造!H112</f>
        <v>1868053</v>
      </c>
      <c r="I112" s="75">
        <f>+民間設備非製造!I112</f>
        <v>1877734</v>
      </c>
      <c r="J112" s="75">
        <f>+民間設備非製造!J112</f>
        <v>1918740</v>
      </c>
      <c r="K112" s="75">
        <f>+民間設備非製造!K112</f>
        <v>1890251</v>
      </c>
      <c r="L112" s="75">
        <f>+民間設備非製造!L112</f>
        <v>1909256</v>
      </c>
      <c r="M112" s="75">
        <f>+民間設備非製造!M112</f>
        <v>1962074</v>
      </c>
      <c r="N112" s="75">
        <f>+民間設備非製造!N112</f>
        <v>1976155</v>
      </c>
      <c r="O112" s="75">
        <f>+民間設備非製造!O112</f>
        <v>2069846</v>
      </c>
      <c r="P112" s="75">
        <f>+民間設備非製造!P112</f>
        <v>2024655</v>
      </c>
      <c r="Q112" s="75">
        <f>+民間設備非製造!Q112</f>
        <v>1973989</v>
      </c>
      <c r="R112" s="75">
        <f>+民間設備非製造!R112</f>
        <v>2220496</v>
      </c>
      <c r="S112" s="75">
        <f>+民間設備非製造!S112</f>
        <v>2348248</v>
      </c>
      <c r="T112" s="75">
        <f>+民間設備非製造!T112</f>
        <v>2446343</v>
      </c>
      <c r="U112" s="75">
        <f>+民間設備非製造!U112</f>
        <v>2470755</v>
      </c>
      <c r="V112" s="75">
        <f>+民間設備非製造!V112</f>
        <v>2470755</v>
      </c>
      <c r="W112" s="75">
        <f>+民間設備非製造!W112</f>
        <v>2470755</v>
      </c>
      <c r="X112" s="75">
        <f>+民間設備非製造!X112</f>
        <v>2470755</v>
      </c>
    </row>
    <row r="113" spans="1:24">
      <c r="A113" s="733">
        <v>201</v>
      </c>
      <c r="B113" s="733" t="s">
        <v>332</v>
      </c>
      <c r="C113" s="75">
        <f>+民間設備非製造!C113</f>
        <v>1777877</v>
      </c>
      <c r="D113" s="75">
        <f>+民間設備非製造!D113</f>
        <v>1780236</v>
      </c>
      <c r="E113" s="75">
        <f>+民間設備非製造!E113</f>
        <v>1727526</v>
      </c>
      <c r="F113" s="75">
        <f>+民間設備非製造!F113</f>
        <v>1714023</v>
      </c>
      <c r="G113" s="75">
        <f>+民間設備非製造!G113</f>
        <v>2026145</v>
      </c>
      <c r="H113" s="75">
        <f>+民間設備非製造!H113</f>
        <v>1732704</v>
      </c>
      <c r="I113" s="75">
        <f>+民間設備非製造!I113</f>
        <v>1741090</v>
      </c>
      <c r="J113" s="75">
        <f>+民間設備非製造!J113</f>
        <v>1787307</v>
      </c>
      <c r="K113" s="75">
        <f>+民間設備非製造!K113</f>
        <v>1752701</v>
      </c>
      <c r="L113" s="75">
        <f>+民間設備非製造!L113</f>
        <v>1768769</v>
      </c>
      <c r="M113" s="75">
        <f>+民間設備非製造!M113</f>
        <v>1828794</v>
      </c>
      <c r="N113" s="75">
        <f>+民間設備非製造!N113</f>
        <v>1833306</v>
      </c>
      <c r="O113" s="75">
        <f>+民間設備非製造!O113</f>
        <v>1912365</v>
      </c>
      <c r="P113" s="75">
        <f>+民間設備非製造!P113</f>
        <v>1864362</v>
      </c>
      <c r="Q113" s="75">
        <f>+民間設備非製造!Q113</f>
        <v>1831456</v>
      </c>
      <c r="R113" s="75">
        <f>+民間設備非製造!R113</f>
        <v>2039427</v>
      </c>
      <c r="S113" s="75">
        <f>+民間設備非製造!S113</f>
        <v>2157252</v>
      </c>
      <c r="T113" s="75">
        <f>+民間設備非製造!T113</f>
        <v>2250546</v>
      </c>
      <c r="U113" s="75">
        <f>+民間設備非製造!U113</f>
        <v>2272262</v>
      </c>
      <c r="V113" s="75">
        <f>+民間設備非製造!V113</f>
        <v>2272262</v>
      </c>
      <c r="W113" s="75">
        <f>+民間設備非製造!W113</f>
        <v>2272262</v>
      </c>
      <c r="X113" s="75">
        <f>+民間設備非製造!X113</f>
        <v>2272262</v>
      </c>
    </row>
    <row r="114" spans="1:24">
      <c r="A114" s="733">
        <v>442</v>
      </c>
      <c r="B114" s="733" t="s">
        <v>203</v>
      </c>
      <c r="C114" s="75">
        <f>+民間設備非製造!C114</f>
        <v>33938</v>
      </c>
      <c r="D114" s="75">
        <f>+民間設備非製造!D114</f>
        <v>34561</v>
      </c>
      <c r="E114" s="75">
        <f>+民間設備非製造!E114</f>
        <v>36143</v>
      </c>
      <c r="F114" s="75">
        <f>+民間設備非製造!F114</f>
        <v>33826</v>
      </c>
      <c r="G114" s="75">
        <f>+民間設備非製造!G114</f>
        <v>32776</v>
      </c>
      <c r="H114" s="75">
        <f>+民間設備非製造!H114</f>
        <v>35053</v>
      </c>
      <c r="I114" s="75">
        <f>+民間設備非製造!I114</f>
        <v>34926</v>
      </c>
      <c r="J114" s="75">
        <f>+民間設備非製造!J114</f>
        <v>34576</v>
      </c>
      <c r="K114" s="75">
        <f>+民間設備非製造!K114</f>
        <v>34516</v>
      </c>
      <c r="L114" s="75">
        <f>+民間設備非製造!L114</f>
        <v>35427</v>
      </c>
      <c r="M114" s="75">
        <f>+民間設備非製造!M114</f>
        <v>33342</v>
      </c>
      <c r="N114" s="75">
        <f>+民間設備非製造!N114</f>
        <v>36514</v>
      </c>
      <c r="O114" s="75">
        <f>+民間設備非製造!O114</f>
        <v>39722</v>
      </c>
      <c r="P114" s="75">
        <f>+民間設備非製造!P114</f>
        <v>38410</v>
      </c>
      <c r="Q114" s="75">
        <f>+民間設備非製造!Q114</f>
        <v>36375</v>
      </c>
      <c r="R114" s="75">
        <f>+民間設備非製造!R114</f>
        <v>45235</v>
      </c>
      <c r="S114" s="75">
        <f>+民間設備非製造!S114</f>
        <v>47116</v>
      </c>
      <c r="T114" s="75">
        <f>+民間設備非製造!T114</f>
        <v>48569</v>
      </c>
      <c r="U114" s="75">
        <f>+民間設備非製造!U114</f>
        <v>48218</v>
      </c>
      <c r="V114" s="75">
        <f>+民間設備非製造!V114</f>
        <v>48218</v>
      </c>
      <c r="W114" s="75">
        <f>+民間設備非製造!W114</f>
        <v>48218</v>
      </c>
      <c r="X114" s="75">
        <f>+民間設備非製造!X114</f>
        <v>48218</v>
      </c>
    </row>
    <row r="115" spans="1:24">
      <c r="A115" s="733">
        <v>443</v>
      </c>
      <c r="B115" s="733" t="s">
        <v>204</v>
      </c>
      <c r="C115" s="75">
        <f>+民間設備非製造!C115</f>
        <v>58002</v>
      </c>
      <c r="D115" s="75">
        <f>+民間設備非製造!D115</f>
        <v>59135</v>
      </c>
      <c r="E115" s="75">
        <f>+民間設備非製造!E115</f>
        <v>58309</v>
      </c>
      <c r="F115" s="75">
        <f>+民間設備非製造!F115</f>
        <v>52819</v>
      </c>
      <c r="G115" s="75">
        <f>+民間設備非製造!G115</f>
        <v>55818</v>
      </c>
      <c r="H115" s="75">
        <f>+民間設備非製造!H115</f>
        <v>66853</v>
      </c>
      <c r="I115" s="75">
        <f>+民間設備非製造!I115</f>
        <v>64545</v>
      </c>
      <c r="J115" s="75">
        <f>+民間設備非製造!J115</f>
        <v>64073</v>
      </c>
      <c r="K115" s="75">
        <f>+民間設備非製造!K115</f>
        <v>68484</v>
      </c>
      <c r="L115" s="75">
        <f>+民間設備非製造!L115</f>
        <v>69878</v>
      </c>
      <c r="M115" s="75">
        <f>+民間設備非製造!M115</f>
        <v>65639</v>
      </c>
      <c r="N115" s="75">
        <f>+民間設備非製造!N115</f>
        <v>67371</v>
      </c>
      <c r="O115" s="75">
        <f>+民間設備非製造!O115</f>
        <v>74530</v>
      </c>
      <c r="P115" s="75">
        <f>+民間設備非製造!P115</f>
        <v>77862</v>
      </c>
      <c r="Q115" s="75">
        <f>+民間設備非製造!Q115</f>
        <v>68182</v>
      </c>
      <c r="R115" s="75">
        <f>+民間設備非製造!R115</f>
        <v>86474</v>
      </c>
      <c r="S115" s="75">
        <f>+民間設備非製造!S115</f>
        <v>92028</v>
      </c>
      <c r="T115" s="75">
        <f>+民間設備非製造!T115</f>
        <v>96158</v>
      </c>
      <c r="U115" s="75">
        <f>+民間設備非製造!U115</f>
        <v>98775</v>
      </c>
      <c r="V115" s="75">
        <f>+民間設備非製造!V115</f>
        <v>98775</v>
      </c>
      <c r="W115" s="75">
        <f>+民間設備非製造!W115</f>
        <v>98775</v>
      </c>
      <c r="X115" s="75">
        <f>+民間設備非製造!X115</f>
        <v>98775</v>
      </c>
    </row>
    <row r="116" spans="1:24">
      <c r="A116" s="735">
        <v>446</v>
      </c>
      <c r="B116" s="735" t="s">
        <v>333</v>
      </c>
      <c r="C116" s="75">
        <f>+民間設備非製造!C116</f>
        <v>32352</v>
      </c>
      <c r="D116" s="75">
        <f>+民間設備非製造!D116</f>
        <v>39389</v>
      </c>
      <c r="E116" s="75">
        <f>+民間設備非製造!E116</f>
        <v>32479</v>
      </c>
      <c r="F116" s="75">
        <f>+民間設備非製造!F116</f>
        <v>34222</v>
      </c>
      <c r="G116" s="75">
        <f>+民間設備非製造!G116</f>
        <v>36313</v>
      </c>
      <c r="H116" s="75">
        <f>+民間設備非製造!H116</f>
        <v>33443</v>
      </c>
      <c r="I116" s="75">
        <f>+民間設備非製造!I116</f>
        <v>37173</v>
      </c>
      <c r="J116" s="75">
        <f>+民間設備非製造!J116</f>
        <v>32784</v>
      </c>
      <c r="K116" s="75">
        <f>+民間設備非製造!K116</f>
        <v>34550</v>
      </c>
      <c r="L116" s="75">
        <f>+民間設備非製造!L116</f>
        <v>35182</v>
      </c>
      <c r="M116" s="75">
        <f>+民間設備非製造!M116</f>
        <v>34299</v>
      </c>
      <c r="N116" s="75">
        <f>+民間設備非製造!N116</f>
        <v>38964</v>
      </c>
      <c r="O116" s="75">
        <f>+民間設備非製造!O116</f>
        <v>43229</v>
      </c>
      <c r="P116" s="75">
        <f>+民間設備非製造!P116</f>
        <v>44021</v>
      </c>
      <c r="Q116" s="75">
        <f>+民間設備非製造!Q116</f>
        <v>37976</v>
      </c>
      <c r="R116" s="75">
        <f>+民間設備非製造!R116</f>
        <v>49360</v>
      </c>
      <c r="S116" s="75">
        <f>+民間設備非製造!S116</f>
        <v>51852</v>
      </c>
      <c r="T116" s="75">
        <f>+民間設備非製造!T116</f>
        <v>51070</v>
      </c>
      <c r="U116" s="75">
        <f>+民間設備非製造!U116</f>
        <v>51500</v>
      </c>
      <c r="V116" s="75">
        <f>+民間設備非製造!V116</f>
        <v>51500</v>
      </c>
      <c r="W116" s="75">
        <f>+民間設備非製造!W116</f>
        <v>51500</v>
      </c>
      <c r="X116" s="75">
        <f>+民間設備非製造!X116</f>
        <v>51500</v>
      </c>
    </row>
    <row r="117" spans="1:24">
      <c r="A117" s="733">
        <v>6</v>
      </c>
      <c r="B117" s="733" t="s">
        <v>327</v>
      </c>
      <c r="C117" s="130">
        <f>+民間設備非製造!C117</f>
        <v>847145</v>
      </c>
      <c r="D117" s="130">
        <f>+民間設備非製造!D117</f>
        <v>811320</v>
      </c>
      <c r="E117" s="130">
        <f>+民間設備非製造!E117</f>
        <v>792955</v>
      </c>
      <c r="F117" s="130">
        <f>+民間設備非製造!F117</f>
        <v>786586</v>
      </c>
      <c r="G117" s="130">
        <f>+民間設備非製造!G117</f>
        <v>781391</v>
      </c>
      <c r="H117" s="130">
        <f>+民間設備非製造!H117</f>
        <v>806564</v>
      </c>
      <c r="I117" s="130">
        <f>+民間設備非製造!I117</f>
        <v>807527</v>
      </c>
      <c r="J117" s="130">
        <f>+民間設備非製造!J117</f>
        <v>790688</v>
      </c>
      <c r="K117" s="130">
        <f>+民間設備非製造!K117</f>
        <v>787710</v>
      </c>
      <c r="L117" s="130">
        <f>+民間設備非製造!L117</f>
        <v>808004</v>
      </c>
      <c r="M117" s="130">
        <f>+民間設備非製造!M117</f>
        <v>797736</v>
      </c>
      <c r="N117" s="130">
        <f>+民間設備非製造!N117</f>
        <v>765569</v>
      </c>
      <c r="O117" s="130">
        <f>+民間設備非製造!O117</f>
        <v>784561</v>
      </c>
      <c r="P117" s="130">
        <f>+民間設備非製造!P117</f>
        <v>815136</v>
      </c>
      <c r="Q117" s="130">
        <f>+民間設備非製造!Q117</f>
        <v>764024</v>
      </c>
      <c r="R117" s="130">
        <f>+民間設備非製造!R117</f>
        <v>944742</v>
      </c>
      <c r="S117" s="130">
        <f>+民間設備非製造!S117</f>
        <v>997106</v>
      </c>
      <c r="T117" s="130">
        <f>+民間設備非製造!T117</f>
        <v>1035020</v>
      </c>
      <c r="U117" s="130">
        <f>+民間設備非製造!U117</f>
        <v>1037662</v>
      </c>
      <c r="V117" s="130">
        <f>+民間設備非製造!V117</f>
        <v>1037662</v>
      </c>
      <c r="W117" s="130">
        <f>+民間設備非製造!W117</f>
        <v>1037662</v>
      </c>
      <c r="X117" s="130">
        <f>+民間設備非製造!X117</f>
        <v>1037662</v>
      </c>
    </row>
    <row r="118" spans="1:24">
      <c r="A118" s="733">
        <v>208</v>
      </c>
      <c r="B118" s="733" t="s">
        <v>206</v>
      </c>
      <c r="C118" s="75">
        <f>+民間設備非製造!C118</f>
        <v>97493</v>
      </c>
      <c r="D118" s="75">
        <f>+民間設備非製造!D118</f>
        <v>97138</v>
      </c>
      <c r="E118" s="75">
        <f>+民間設備非製造!E118</f>
        <v>91982</v>
      </c>
      <c r="F118" s="75">
        <f>+民間設備非製造!F118</f>
        <v>90564</v>
      </c>
      <c r="G118" s="75">
        <f>+民間設備非製造!G118</f>
        <v>92018</v>
      </c>
      <c r="H118" s="75">
        <f>+民間設備非製造!H118</f>
        <v>95909</v>
      </c>
      <c r="I118" s="75">
        <f>+民間設備非製造!I118</f>
        <v>96498</v>
      </c>
      <c r="J118" s="75">
        <f>+民間設備非製造!J118</f>
        <v>93555</v>
      </c>
      <c r="K118" s="75">
        <f>+民間設備非製造!K118</f>
        <v>97309</v>
      </c>
      <c r="L118" s="75">
        <f>+民間設備非製造!L118</f>
        <v>105242</v>
      </c>
      <c r="M118" s="75">
        <f>+民間設備非製造!M118</f>
        <v>99804</v>
      </c>
      <c r="N118" s="75">
        <f>+民間設備非製造!N118</f>
        <v>89344</v>
      </c>
      <c r="O118" s="75">
        <f>+民間設備非製造!O118</f>
        <v>89956</v>
      </c>
      <c r="P118" s="75">
        <f>+民間設備非製造!P118</f>
        <v>89460</v>
      </c>
      <c r="Q118" s="75">
        <f>+民間設備非製造!Q118</f>
        <v>84065</v>
      </c>
      <c r="R118" s="75">
        <f>+民間設備非製造!R118</f>
        <v>105046</v>
      </c>
      <c r="S118" s="75">
        <f>+民間設備非製造!S118</f>
        <v>110417</v>
      </c>
      <c r="T118" s="75">
        <f>+民間設備非製造!T118</f>
        <v>114583</v>
      </c>
      <c r="U118" s="75">
        <f>+民間設備非製造!U118</f>
        <v>113906</v>
      </c>
      <c r="V118" s="75">
        <f>+民間設備非製造!V118</f>
        <v>113906</v>
      </c>
      <c r="W118" s="75">
        <f>+民間設備非製造!W118</f>
        <v>113906</v>
      </c>
      <c r="X118" s="75">
        <f>+民間設備非製造!X118</f>
        <v>113906</v>
      </c>
    </row>
    <row r="119" spans="1:24">
      <c r="A119" s="733">
        <v>212</v>
      </c>
      <c r="B119" s="733" t="s">
        <v>207</v>
      </c>
      <c r="C119" s="75">
        <f>+民間設備非製造!C119</f>
        <v>161066</v>
      </c>
      <c r="D119" s="75">
        <f>+民間設備非製造!D119</f>
        <v>159364</v>
      </c>
      <c r="E119" s="75">
        <f>+民間設備非製造!E119</f>
        <v>166382</v>
      </c>
      <c r="F119" s="75">
        <f>+民間設備非製造!F119</f>
        <v>153855</v>
      </c>
      <c r="G119" s="75">
        <f>+民間設備非製造!G119</f>
        <v>161562</v>
      </c>
      <c r="H119" s="75">
        <f>+民間設備非製造!H119</f>
        <v>164969</v>
      </c>
      <c r="I119" s="75">
        <f>+民間設備非製造!I119</f>
        <v>165538</v>
      </c>
      <c r="J119" s="75">
        <f>+民間設備非製造!J119</f>
        <v>173589</v>
      </c>
      <c r="K119" s="75">
        <f>+民間設備非製造!K119</f>
        <v>176884</v>
      </c>
      <c r="L119" s="75">
        <f>+民間設備非製造!L119</f>
        <v>181424</v>
      </c>
      <c r="M119" s="75">
        <f>+民間設備非製造!M119</f>
        <v>173638</v>
      </c>
      <c r="N119" s="75">
        <f>+民間設備非製造!N119</f>
        <v>167097</v>
      </c>
      <c r="O119" s="75">
        <f>+民間設備非製造!O119</f>
        <v>162403</v>
      </c>
      <c r="P119" s="75">
        <f>+民間設備非製造!P119</f>
        <v>174857</v>
      </c>
      <c r="Q119" s="75">
        <f>+民間設備非製造!Q119</f>
        <v>158200</v>
      </c>
      <c r="R119" s="75">
        <f>+民間設備非製造!R119</f>
        <v>198729</v>
      </c>
      <c r="S119" s="75">
        <f>+民間設備非製造!S119</f>
        <v>208770</v>
      </c>
      <c r="T119" s="75">
        <f>+民間設備非製造!T119</f>
        <v>215797</v>
      </c>
      <c r="U119" s="75">
        <f>+民間設備非製造!U119</f>
        <v>218944</v>
      </c>
      <c r="V119" s="75">
        <f>+民間設備非製造!V119</f>
        <v>218944</v>
      </c>
      <c r="W119" s="75">
        <f>+民間設備非製造!W119</f>
        <v>218944</v>
      </c>
      <c r="X119" s="75">
        <f>+民間設備非製造!X119</f>
        <v>218944</v>
      </c>
    </row>
    <row r="120" spans="1:24">
      <c r="A120" s="733">
        <v>227</v>
      </c>
      <c r="B120" s="733" t="s">
        <v>219</v>
      </c>
      <c r="C120" s="75">
        <f>+民間設備非製造!C120</f>
        <v>108738</v>
      </c>
      <c r="D120" s="75">
        <f>+民間設備非製造!D120</f>
        <v>108677</v>
      </c>
      <c r="E120" s="75">
        <f>+民間設備非製造!E120</f>
        <v>105938</v>
      </c>
      <c r="F120" s="75">
        <f>+民間設備非製造!F120</f>
        <v>115736</v>
      </c>
      <c r="G120" s="75">
        <f>+民間設備非製造!G120</f>
        <v>111487</v>
      </c>
      <c r="H120" s="75">
        <f>+民間設備非製造!H120</f>
        <v>112380</v>
      </c>
      <c r="I120" s="75">
        <f>+民間設備非製造!I120</f>
        <v>110318</v>
      </c>
      <c r="J120" s="75">
        <f>+民間設備非製造!J120</f>
        <v>110202</v>
      </c>
      <c r="K120" s="75">
        <f>+民間設備非製造!K120</f>
        <v>108777</v>
      </c>
      <c r="L120" s="75">
        <f>+民間設備非製造!L120</f>
        <v>109715</v>
      </c>
      <c r="M120" s="75">
        <f>+民間設備非製造!M120</f>
        <v>105541</v>
      </c>
      <c r="N120" s="75">
        <f>+民間設備非製造!N120</f>
        <v>104562</v>
      </c>
      <c r="O120" s="75">
        <f>+民間設備非製造!O120</f>
        <v>111357</v>
      </c>
      <c r="P120" s="75">
        <f>+民間設備非製造!P120</f>
        <v>113197</v>
      </c>
      <c r="Q120" s="75">
        <f>+民間設備非製造!Q120</f>
        <v>104342</v>
      </c>
      <c r="R120" s="75">
        <f>+民間設備非製造!R120</f>
        <v>130684</v>
      </c>
      <c r="S120" s="75">
        <f>+民間設備非製造!S120</f>
        <v>137235</v>
      </c>
      <c r="T120" s="75">
        <f>+民間設備非製造!T120</f>
        <v>139772</v>
      </c>
      <c r="U120" s="75">
        <f>+民間設備非製造!U120</f>
        <v>139753</v>
      </c>
      <c r="V120" s="75">
        <f>+民間設備非製造!V120</f>
        <v>139753</v>
      </c>
      <c r="W120" s="75">
        <f>+民間設備非製造!W120</f>
        <v>139753</v>
      </c>
      <c r="X120" s="75">
        <f>+民間設備非製造!X120</f>
        <v>139753</v>
      </c>
    </row>
    <row r="121" spans="1:24">
      <c r="A121" s="733">
        <v>229</v>
      </c>
      <c r="B121" s="733" t="s">
        <v>334</v>
      </c>
      <c r="C121" s="75">
        <f>+民間設備非製造!C121</f>
        <v>235716</v>
      </c>
      <c r="D121" s="75">
        <f>+民間設備非製造!D121</f>
        <v>242664</v>
      </c>
      <c r="E121" s="75">
        <f>+民間設備非製造!E121</f>
        <v>231631</v>
      </c>
      <c r="F121" s="75">
        <f>+民間設備非製造!F121</f>
        <v>223767</v>
      </c>
      <c r="G121" s="75">
        <f>+民間設備非製造!G121</f>
        <v>220198</v>
      </c>
      <c r="H121" s="75">
        <f>+民間設備非製造!H121</f>
        <v>233112</v>
      </c>
      <c r="I121" s="75">
        <f>+民間設備非製造!I121</f>
        <v>234226</v>
      </c>
      <c r="J121" s="75">
        <f>+民間設備非製造!J121</f>
        <v>217137</v>
      </c>
      <c r="K121" s="75">
        <f>+民間設備非製造!K121</f>
        <v>216103</v>
      </c>
      <c r="L121" s="75">
        <f>+民間設備非製造!L121</f>
        <v>215222</v>
      </c>
      <c r="M121" s="75">
        <f>+民間設備非製造!M121</f>
        <v>231814</v>
      </c>
      <c r="N121" s="75">
        <f>+民間設備非製造!N121</f>
        <v>215249</v>
      </c>
      <c r="O121" s="75">
        <f>+民間設備非製造!O121</f>
        <v>227074</v>
      </c>
      <c r="P121" s="75">
        <f>+民間設備非製造!P121</f>
        <v>234173</v>
      </c>
      <c r="Q121" s="75">
        <f>+民間設備非製造!Q121</f>
        <v>223556</v>
      </c>
      <c r="R121" s="75">
        <f>+民間設備非製造!R121</f>
        <v>271400</v>
      </c>
      <c r="S121" s="75">
        <f>+民間設備非製造!S121</f>
        <v>288101</v>
      </c>
      <c r="T121" s="75">
        <f>+民間設備非製造!T121</f>
        <v>301692</v>
      </c>
      <c r="U121" s="75">
        <f>+民間設備非製造!U121</f>
        <v>301679</v>
      </c>
      <c r="V121" s="75">
        <f>+民間設備非製造!V121</f>
        <v>301679</v>
      </c>
      <c r="W121" s="75">
        <f>+民間設備非製造!W121</f>
        <v>301679</v>
      </c>
      <c r="X121" s="75">
        <f>+民間設備非製造!X121</f>
        <v>301679</v>
      </c>
    </row>
    <row r="122" spans="1:24">
      <c r="A122" s="733">
        <v>464</v>
      </c>
      <c r="B122" s="733" t="s">
        <v>208</v>
      </c>
      <c r="C122" s="75">
        <f>+民間設備非製造!C122</f>
        <v>136331</v>
      </c>
      <c r="D122" s="75">
        <f>+民間設備非製造!D122</f>
        <v>97633</v>
      </c>
      <c r="E122" s="75">
        <f>+民間設備非製造!E122</f>
        <v>93835</v>
      </c>
      <c r="F122" s="75">
        <f>+民間設備非製造!F122</f>
        <v>87822</v>
      </c>
      <c r="G122" s="75">
        <f>+民間設備非製造!G122</f>
        <v>86371</v>
      </c>
      <c r="H122" s="75">
        <f>+民間設備非製造!H122</f>
        <v>91829</v>
      </c>
      <c r="I122" s="75">
        <f>+民間設備非製造!I122</f>
        <v>93933</v>
      </c>
      <c r="J122" s="75">
        <f>+民間設備非製造!J122</f>
        <v>91076</v>
      </c>
      <c r="K122" s="75">
        <f>+民間設備非製造!K122</f>
        <v>86203</v>
      </c>
      <c r="L122" s="75">
        <f>+民間設備非製造!L122</f>
        <v>95297</v>
      </c>
      <c r="M122" s="75">
        <f>+民間設備非製造!M122</f>
        <v>90125</v>
      </c>
      <c r="N122" s="75">
        <f>+民間設備非製造!N122</f>
        <v>92097</v>
      </c>
      <c r="O122" s="75">
        <f>+民間設備非製造!O122</f>
        <v>96272</v>
      </c>
      <c r="P122" s="75">
        <f>+民間設備非製造!P122</f>
        <v>100955</v>
      </c>
      <c r="Q122" s="75">
        <f>+民間設備非製造!Q122</f>
        <v>95476</v>
      </c>
      <c r="R122" s="75">
        <f>+民間設備非製造!R122</f>
        <v>119525</v>
      </c>
      <c r="S122" s="75">
        <f>+民間設備非製造!S122</f>
        <v>127460</v>
      </c>
      <c r="T122" s="75">
        <f>+民間設備非製造!T122</f>
        <v>133033</v>
      </c>
      <c r="U122" s="75">
        <f>+民間設備非製造!U122</f>
        <v>134375</v>
      </c>
      <c r="V122" s="75">
        <f>+民間設備非製造!V122</f>
        <v>134375</v>
      </c>
      <c r="W122" s="75">
        <f>+民間設備非製造!W122</f>
        <v>134375</v>
      </c>
      <c r="X122" s="75">
        <f>+民間設備非製造!X122</f>
        <v>134375</v>
      </c>
    </row>
    <row r="123" spans="1:24">
      <c r="A123" s="733">
        <v>481</v>
      </c>
      <c r="B123" s="733" t="s">
        <v>209</v>
      </c>
      <c r="C123" s="75">
        <f>+民間設備非製造!C123</f>
        <v>48556</v>
      </c>
      <c r="D123" s="75">
        <f>+民間設備非製造!D123</f>
        <v>49025</v>
      </c>
      <c r="E123" s="75">
        <f>+民間設備非製造!E123</f>
        <v>46754</v>
      </c>
      <c r="F123" s="75">
        <f>+民間設備非製造!F123</f>
        <v>47073</v>
      </c>
      <c r="G123" s="75">
        <f>+民間設備非製造!G123</f>
        <v>45647</v>
      </c>
      <c r="H123" s="75">
        <f>+民間設備非製造!H123</f>
        <v>46179</v>
      </c>
      <c r="I123" s="75">
        <f>+民間設備非製造!I123</f>
        <v>46545</v>
      </c>
      <c r="J123" s="75">
        <f>+民間設備非製造!J123</f>
        <v>47294</v>
      </c>
      <c r="K123" s="75">
        <f>+民間設備非製造!K123</f>
        <v>45915</v>
      </c>
      <c r="L123" s="75">
        <f>+民間設備非製造!L123</f>
        <v>45756</v>
      </c>
      <c r="M123" s="75">
        <f>+民間設備非製造!M123</f>
        <v>43003</v>
      </c>
      <c r="N123" s="75">
        <f>+民間設備非製造!N123</f>
        <v>45680</v>
      </c>
      <c r="O123" s="75">
        <f>+民間設備非製造!O123</f>
        <v>44248</v>
      </c>
      <c r="P123" s="75">
        <f>+民間設備非製造!P123</f>
        <v>47267</v>
      </c>
      <c r="Q123" s="75">
        <f>+民間設備非製造!Q123</f>
        <v>45097</v>
      </c>
      <c r="R123" s="75">
        <f>+民間設備非製造!R123</f>
        <v>54626</v>
      </c>
      <c r="S123" s="75">
        <f>+民間設備非製造!S123</f>
        <v>57623</v>
      </c>
      <c r="T123" s="75">
        <f>+民間設備非製造!T123</f>
        <v>60643</v>
      </c>
      <c r="U123" s="75">
        <f>+民間設備非製造!U123</f>
        <v>60479</v>
      </c>
      <c r="V123" s="75">
        <f>+民間設備非製造!V123</f>
        <v>60479</v>
      </c>
      <c r="W123" s="75">
        <f>+民間設備非製造!W123</f>
        <v>60479</v>
      </c>
      <c r="X123" s="75">
        <f>+民間設備非製造!X123</f>
        <v>60479</v>
      </c>
    </row>
    <row r="124" spans="1:24">
      <c r="A124" s="733">
        <v>501</v>
      </c>
      <c r="B124" s="733" t="s">
        <v>335</v>
      </c>
      <c r="C124" s="132">
        <f>+民間設備非製造!C124</f>
        <v>59245</v>
      </c>
      <c r="D124" s="132">
        <f>+民間設備非製造!D124</f>
        <v>56819</v>
      </c>
      <c r="E124" s="132">
        <f>+民間設備非製造!E124</f>
        <v>56433</v>
      </c>
      <c r="F124" s="132">
        <f>+民間設備非製造!F124</f>
        <v>67769</v>
      </c>
      <c r="G124" s="132">
        <f>+民間設備非製造!G124</f>
        <v>64108</v>
      </c>
      <c r="H124" s="132">
        <f>+民間設備非製造!H124</f>
        <v>62186</v>
      </c>
      <c r="I124" s="132">
        <f>+民間設備非製造!I124</f>
        <v>60469</v>
      </c>
      <c r="J124" s="132">
        <f>+民間設備非製造!J124</f>
        <v>57835</v>
      </c>
      <c r="K124" s="132">
        <f>+民間設備非製造!K124</f>
        <v>56519</v>
      </c>
      <c r="L124" s="132">
        <f>+民間設備非製造!L124</f>
        <v>55348</v>
      </c>
      <c r="M124" s="132">
        <f>+民間設備非製造!M124</f>
        <v>53811</v>
      </c>
      <c r="N124" s="132">
        <f>+民間設備非製造!N124</f>
        <v>51540</v>
      </c>
      <c r="O124" s="132">
        <f>+民間設備非製造!O124</f>
        <v>53251</v>
      </c>
      <c r="P124" s="132">
        <f>+民間設備非製造!P124</f>
        <v>55227</v>
      </c>
      <c r="Q124" s="132">
        <f>+民間設備非製造!Q124</f>
        <v>53288</v>
      </c>
      <c r="R124" s="132">
        <f>+民間設備非製造!R124</f>
        <v>64732</v>
      </c>
      <c r="S124" s="132">
        <f>+民間設備非製造!S124</f>
        <v>67500</v>
      </c>
      <c r="T124" s="132">
        <f>+民間設備非製造!T124</f>
        <v>69500</v>
      </c>
      <c r="U124" s="132">
        <f>+民間設備非製造!U124</f>
        <v>68526</v>
      </c>
      <c r="V124" s="132">
        <f>+民間設備非製造!V124</f>
        <v>68526</v>
      </c>
      <c r="W124" s="132">
        <f>+民間設備非製造!W124</f>
        <v>68526</v>
      </c>
      <c r="X124" s="132">
        <f>+民間設備非製造!X124</f>
        <v>68526</v>
      </c>
    </row>
    <row r="125" spans="1:24">
      <c r="A125" s="734">
        <v>7</v>
      </c>
      <c r="B125" s="734" t="s">
        <v>210</v>
      </c>
      <c r="C125" s="75">
        <f>+民間設備非製造!C125</f>
        <v>592752</v>
      </c>
      <c r="D125" s="75">
        <f>+民間設備非製造!D125</f>
        <v>571036</v>
      </c>
      <c r="E125" s="75">
        <f>+民間設備非製造!E125</f>
        <v>559294</v>
      </c>
      <c r="F125" s="75">
        <f>+民間設備非製造!F125</f>
        <v>563654</v>
      </c>
      <c r="G125" s="75">
        <f>+民間設備非製造!G125</f>
        <v>541388</v>
      </c>
      <c r="H125" s="75">
        <f>+民間設備非製造!H125</f>
        <v>581802</v>
      </c>
      <c r="I125" s="75">
        <f>+民間設備非製造!I125</f>
        <v>597336</v>
      </c>
      <c r="J125" s="75">
        <f>+民間設備非製造!J125</f>
        <v>573787</v>
      </c>
      <c r="K125" s="75">
        <f>+民間設備非製造!K125</f>
        <v>571244</v>
      </c>
      <c r="L125" s="75">
        <f>+民間設備非製造!L125</f>
        <v>571984</v>
      </c>
      <c r="M125" s="75">
        <f>+民間設備非製造!M125</f>
        <v>562847</v>
      </c>
      <c r="N125" s="75">
        <f>+民間設備非製造!N125</f>
        <v>608358</v>
      </c>
      <c r="O125" s="75">
        <f>+民間設備非製造!O125</f>
        <v>549726</v>
      </c>
      <c r="P125" s="75">
        <f>+民間設備非製造!P125</f>
        <v>562164</v>
      </c>
      <c r="Q125" s="75">
        <f>+民間設備非製造!Q125</f>
        <v>550720</v>
      </c>
      <c r="R125" s="75">
        <f>+民間設備非製造!R125</f>
        <v>653410</v>
      </c>
      <c r="S125" s="75">
        <f>+民間設備非製造!S125</f>
        <v>695778</v>
      </c>
      <c r="T125" s="75">
        <f>+民間設備非製造!T125</f>
        <v>726350</v>
      </c>
      <c r="U125" s="75">
        <f>+民間設備非製造!U125</f>
        <v>721168</v>
      </c>
      <c r="V125" s="75">
        <f>+民間設備非製造!V125</f>
        <v>721168</v>
      </c>
      <c r="W125" s="75">
        <f>+民間設備非製造!W125</f>
        <v>721168</v>
      </c>
      <c r="X125" s="75">
        <f>+民間設備非製造!X125</f>
        <v>721168</v>
      </c>
    </row>
    <row r="126" spans="1:24">
      <c r="A126" s="733">
        <v>209</v>
      </c>
      <c r="B126" s="733" t="s">
        <v>336</v>
      </c>
      <c r="C126" s="75">
        <f>+民間設備非製造!C126</f>
        <v>276400</v>
      </c>
      <c r="D126" s="75">
        <f>+民間設備非製造!D126</f>
        <v>264851</v>
      </c>
      <c r="E126" s="75">
        <f>+民間設備非製造!E126</f>
        <v>262229</v>
      </c>
      <c r="F126" s="75">
        <f>+民間設備非製造!F126</f>
        <v>262513</v>
      </c>
      <c r="G126" s="75">
        <f>+民間設備非製造!G126</f>
        <v>243211</v>
      </c>
      <c r="H126" s="75">
        <f>+民間設備非製造!H126</f>
        <v>276906</v>
      </c>
      <c r="I126" s="75">
        <f>+民間設備非製造!I126</f>
        <v>292148</v>
      </c>
      <c r="J126" s="75">
        <f>+民間設備非製造!J126</f>
        <v>269504</v>
      </c>
      <c r="K126" s="75">
        <f>+民間設備非製造!K126</f>
        <v>261697</v>
      </c>
      <c r="L126" s="75">
        <f>+民間設備非製造!L126</f>
        <v>259893</v>
      </c>
      <c r="M126" s="75">
        <f>+民間設備非製造!M126</f>
        <v>264590</v>
      </c>
      <c r="N126" s="75">
        <f>+民間設備非製造!N126</f>
        <v>254214</v>
      </c>
      <c r="O126" s="75">
        <f>+民間設備非製造!O126</f>
        <v>257899</v>
      </c>
      <c r="P126" s="75">
        <f>+民間設備非製造!P126</f>
        <v>266407</v>
      </c>
      <c r="Q126" s="75">
        <f>+民間設備非製造!Q126</f>
        <v>247039</v>
      </c>
      <c r="R126" s="75">
        <f>+民間設備非製造!R126</f>
        <v>302937</v>
      </c>
      <c r="S126" s="75">
        <f>+民間設備非製造!S126</f>
        <v>321468</v>
      </c>
      <c r="T126" s="75">
        <f>+民間設備非製造!T126</f>
        <v>336444</v>
      </c>
      <c r="U126" s="75">
        <f>+民間設備非製造!U126</f>
        <v>337954</v>
      </c>
      <c r="V126" s="75">
        <f>+民間設備非製造!V126</f>
        <v>337954</v>
      </c>
      <c r="W126" s="75">
        <f>+民間設備非製造!W126</f>
        <v>337954</v>
      </c>
      <c r="X126" s="75">
        <f>+民間設備非製造!X126</f>
        <v>337954</v>
      </c>
    </row>
    <row r="127" spans="1:24">
      <c r="A127" s="733">
        <v>222</v>
      </c>
      <c r="B127" s="733" t="s">
        <v>337</v>
      </c>
      <c r="C127" s="75">
        <f>+民間設備非製造!C127</f>
        <v>86967</v>
      </c>
      <c r="D127" s="75">
        <f>+民間設備非製造!D127</f>
        <v>85166</v>
      </c>
      <c r="E127" s="75">
        <f>+民間設備非製造!E127</f>
        <v>82530</v>
      </c>
      <c r="F127" s="75">
        <f>+民間設備非製造!F127</f>
        <v>85932</v>
      </c>
      <c r="G127" s="75">
        <f>+民間設備非製造!G127</f>
        <v>83373</v>
      </c>
      <c r="H127" s="75">
        <f>+民間設備非製造!H127</f>
        <v>84993</v>
      </c>
      <c r="I127" s="75">
        <f>+民間設備非製造!I127</f>
        <v>82415</v>
      </c>
      <c r="J127" s="75">
        <f>+民間設備非製造!J127</f>
        <v>79325</v>
      </c>
      <c r="K127" s="75">
        <f>+民間設備非製造!K127</f>
        <v>85684</v>
      </c>
      <c r="L127" s="75">
        <f>+民間設備非製造!L127</f>
        <v>85095</v>
      </c>
      <c r="M127" s="75">
        <f>+民間設備非製造!M127</f>
        <v>80744</v>
      </c>
      <c r="N127" s="75">
        <f>+民間設備非製造!N127</f>
        <v>77663</v>
      </c>
      <c r="O127" s="75">
        <f>+民間設備非製造!O127</f>
        <v>80040</v>
      </c>
      <c r="P127" s="75">
        <f>+民間設備非製造!P127</f>
        <v>78005</v>
      </c>
      <c r="Q127" s="75">
        <f>+民間設備非製造!Q127</f>
        <v>81071</v>
      </c>
      <c r="R127" s="75">
        <f>+民間設備非製造!R127</f>
        <v>93979</v>
      </c>
      <c r="S127" s="75">
        <f>+民間設備非製造!S127</f>
        <v>99585</v>
      </c>
      <c r="T127" s="75">
        <f>+民間設備非製造!T127</f>
        <v>104566</v>
      </c>
      <c r="U127" s="75">
        <f>+民間設備非製造!U127</f>
        <v>102018</v>
      </c>
      <c r="V127" s="75">
        <f>+民間設備非製造!V127</f>
        <v>102018</v>
      </c>
      <c r="W127" s="75">
        <f>+民間設備非製造!W127</f>
        <v>102018</v>
      </c>
      <c r="X127" s="75">
        <f>+民間設備非製造!X127</f>
        <v>102018</v>
      </c>
    </row>
    <row r="128" spans="1:24">
      <c r="A128" s="733">
        <v>225</v>
      </c>
      <c r="B128" s="733" t="s">
        <v>222</v>
      </c>
      <c r="C128" s="75">
        <f>+民間設備非製造!C128</f>
        <v>120485</v>
      </c>
      <c r="D128" s="75">
        <f>+民間設備非製造!D128</f>
        <v>113941</v>
      </c>
      <c r="E128" s="75">
        <f>+民間設備非製造!E128</f>
        <v>110046</v>
      </c>
      <c r="F128" s="75">
        <f>+民間設備非製造!F128</f>
        <v>108420</v>
      </c>
      <c r="G128" s="75">
        <f>+民間設備非製造!G128</f>
        <v>112225</v>
      </c>
      <c r="H128" s="75">
        <f>+民間設備非製造!H128</f>
        <v>113309</v>
      </c>
      <c r="I128" s="75">
        <f>+民間設備非製造!I128</f>
        <v>113921</v>
      </c>
      <c r="J128" s="75">
        <f>+民間設備非製造!J128</f>
        <v>114171</v>
      </c>
      <c r="K128" s="75">
        <f>+民間設備非製造!K128</f>
        <v>115951</v>
      </c>
      <c r="L128" s="75">
        <f>+民間設備非製造!L128</f>
        <v>121637</v>
      </c>
      <c r="M128" s="75">
        <f>+民間設備非製造!M128</f>
        <v>115359</v>
      </c>
      <c r="N128" s="75">
        <f>+民間設備非製造!N128</f>
        <v>170449</v>
      </c>
      <c r="O128" s="75">
        <f>+民間設備非製造!O128</f>
        <v>106396</v>
      </c>
      <c r="P128" s="75">
        <f>+民間設備非製造!P128</f>
        <v>109849</v>
      </c>
      <c r="Q128" s="75">
        <f>+民間設備非製造!Q128</f>
        <v>118437</v>
      </c>
      <c r="R128" s="75">
        <f>+民間設備非製造!R128</f>
        <v>132224</v>
      </c>
      <c r="S128" s="75">
        <f>+民間設備非製造!S128</f>
        <v>142995</v>
      </c>
      <c r="T128" s="75">
        <f>+民間設備非製造!T128</f>
        <v>149728</v>
      </c>
      <c r="U128" s="75">
        <f>+民間設備非製造!U128</f>
        <v>147406</v>
      </c>
      <c r="V128" s="75">
        <f>+民間設備非製造!V128</f>
        <v>147406</v>
      </c>
      <c r="W128" s="75">
        <f>+民間設備非製造!W128</f>
        <v>147406</v>
      </c>
      <c r="X128" s="75">
        <f>+民間設備非製造!X128</f>
        <v>147406</v>
      </c>
    </row>
    <row r="129" spans="1:24">
      <c r="A129" s="733">
        <v>585</v>
      </c>
      <c r="B129" s="733" t="s">
        <v>220</v>
      </c>
      <c r="C129" s="75">
        <f>+民間設備非製造!C129</f>
        <v>58964</v>
      </c>
      <c r="D129" s="75">
        <f>+民間設備非製造!D129</f>
        <v>58292</v>
      </c>
      <c r="E129" s="75">
        <f>+民間設備非製造!E129</f>
        <v>57200</v>
      </c>
      <c r="F129" s="75">
        <f>+民間設備非製造!F129</f>
        <v>57069</v>
      </c>
      <c r="G129" s="75">
        <f>+民間設備非製造!G129</f>
        <v>55519</v>
      </c>
      <c r="H129" s="75">
        <f>+民間設備非製造!H129</f>
        <v>58067</v>
      </c>
      <c r="I129" s="75">
        <f>+民間設備非製造!I129</f>
        <v>59967</v>
      </c>
      <c r="J129" s="75">
        <f>+民間設備非製造!J129</f>
        <v>60437</v>
      </c>
      <c r="K129" s="75">
        <f>+民間設備非製造!K129</f>
        <v>60067</v>
      </c>
      <c r="L129" s="75">
        <f>+民間設備非製造!L129</f>
        <v>58028</v>
      </c>
      <c r="M129" s="75">
        <f>+民間設備非製造!M129</f>
        <v>56354</v>
      </c>
      <c r="N129" s="75">
        <f>+民間設備非製造!N129</f>
        <v>58899</v>
      </c>
      <c r="O129" s="75">
        <f>+民間設備非製造!O129</f>
        <v>59722</v>
      </c>
      <c r="P129" s="75">
        <f>+民間設備非製造!P129</f>
        <v>57879</v>
      </c>
      <c r="Q129" s="75">
        <f>+民間設備非製造!Q129</f>
        <v>56799</v>
      </c>
      <c r="R129" s="75">
        <f>+民間設備非製造!R129</f>
        <v>68081</v>
      </c>
      <c r="S129" s="75">
        <f>+民間設備非製造!S129</f>
        <v>71371</v>
      </c>
      <c r="T129" s="75">
        <f>+民間設備非製造!T129</f>
        <v>73971</v>
      </c>
      <c r="U129" s="75">
        <f>+民間設備非製造!U129</f>
        <v>73177</v>
      </c>
      <c r="V129" s="75">
        <f>+民間設備非製造!V129</f>
        <v>73177</v>
      </c>
      <c r="W129" s="75">
        <f>+民間設備非製造!W129</f>
        <v>73177</v>
      </c>
      <c r="X129" s="75">
        <f>+民間設備非製造!X129</f>
        <v>73177</v>
      </c>
    </row>
    <row r="130" spans="1:24">
      <c r="A130" s="735">
        <v>586</v>
      </c>
      <c r="B130" s="735" t="s">
        <v>338</v>
      </c>
      <c r="C130" s="75">
        <f>+民間設備非製造!C130</f>
        <v>49936</v>
      </c>
      <c r="D130" s="75">
        <f>+民間設備非製造!D130</f>
        <v>48786</v>
      </c>
      <c r="E130" s="75">
        <f>+民間設備非製造!E130</f>
        <v>47289</v>
      </c>
      <c r="F130" s="75">
        <f>+民間設備非製造!F130</f>
        <v>49720</v>
      </c>
      <c r="G130" s="75">
        <f>+民間設備非製造!G130</f>
        <v>47060</v>
      </c>
      <c r="H130" s="75">
        <f>+民間設備非製造!H130</f>
        <v>48527</v>
      </c>
      <c r="I130" s="75">
        <f>+民間設備非製造!I130</f>
        <v>48885</v>
      </c>
      <c r="J130" s="75">
        <f>+民間設備非製造!J130</f>
        <v>50350</v>
      </c>
      <c r="K130" s="75">
        <f>+民間設備非製造!K130</f>
        <v>47845</v>
      </c>
      <c r="L130" s="75">
        <f>+民間設備非製造!L130</f>
        <v>47331</v>
      </c>
      <c r="M130" s="75">
        <f>+民間設備非製造!M130</f>
        <v>45800</v>
      </c>
      <c r="N130" s="75">
        <f>+民間設備非製造!N130</f>
        <v>47133</v>
      </c>
      <c r="O130" s="75">
        <f>+民間設備非製造!O130</f>
        <v>45669</v>
      </c>
      <c r="P130" s="75">
        <f>+民間設備非製造!P130</f>
        <v>50024</v>
      </c>
      <c r="Q130" s="75">
        <f>+民間設備非製造!Q130</f>
        <v>47374</v>
      </c>
      <c r="R130" s="75">
        <f>+民間設備非製造!R130</f>
        <v>56189</v>
      </c>
      <c r="S130" s="75">
        <f>+民間設備非製造!S130</f>
        <v>60359</v>
      </c>
      <c r="T130" s="75">
        <f>+民間設備非製造!T130</f>
        <v>61641</v>
      </c>
      <c r="U130" s="75">
        <f>+民間設備非製造!U130</f>
        <v>60613</v>
      </c>
      <c r="V130" s="75">
        <f>+民間設備非製造!V130</f>
        <v>60613</v>
      </c>
      <c r="W130" s="75">
        <f>+民間設備非製造!W130</f>
        <v>60613</v>
      </c>
      <c r="X130" s="75">
        <f>+民間設備非製造!X130</f>
        <v>60613</v>
      </c>
    </row>
    <row r="131" spans="1:24">
      <c r="A131" s="733">
        <v>8</v>
      </c>
      <c r="B131" s="733" t="s">
        <v>211</v>
      </c>
      <c r="C131" s="130">
        <f>+民間設備非製造!C131</f>
        <v>342822</v>
      </c>
      <c r="D131" s="130">
        <f>+民間設備非製造!D131</f>
        <v>341760</v>
      </c>
      <c r="E131" s="130">
        <f>+民間設備非製造!E131</f>
        <v>332617</v>
      </c>
      <c r="F131" s="130">
        <f>+民間設備非製造!F131</f>
        <v>324248</v>
      </c>
      <c r="G131" s="130">
        <f>+民間設備非製造!G131</f>
        <v>322790</v>
      </c>
      <c r="H131" s="130">
        <f>+民間設備非製造!H131</f>
        <v>325529</v>
      </c>
      <c r="I131" s="130">
        <f>+民間設備非製造!I131</f>
        <v>331351</v>
      </c>
      <c r="J131" s="130">
        <f>+民間設備非製造!J131</f>
        <v>333254</v>
      </c>
      <c r="K131" s="130">
        <f>+民間設備非製造!K131</f>
        <v>373436</v>
      </c>
      <c r="L131" s="130">
        <f>+民間設備非製造!L131</f>
        <v>364210</v>
      </c>
      <c r="M131" s="130">
        <f>+民間設備非製造!M131</f>
        <v>340869</v>
      </c>
      <c r="N131" s="130">
        <f>+民間設備非製造!N131</f>
        <v>330505</v>
      </c>
      <c r="O131" s="130">
        <f>+民間設備非製造!O131</f>
        <v>354600</v>
      </c>
      <c r="P131" s="130">
        <f>+民間設備非製造!P131</f>
        <v>356678</v>
      </c>
      <c r="Q131" s="130">
        <f>+民間設備非製造!Q131</f>
        <v>322289</v>
      </c>
      <c r="R131" s="130">
        <f>+民間設備非製造!R131</f>
        <v>408860</v>
      </c>
      <c r="S131" s="130">
        <f>+民間設備非製造!S131</f>
        <v>430838</v>
      </c>
      <c r="T131" s="130">
        <f>+民間設備非製造!T131</f>
        <v>445072</v>
      </c>
      <c r="U131" s="130">
        <f>+民間設備非製造!U131</f>
        <v>452642</v>
      </c>
      <c r="V131" s="130">
        <f>+民間設備非製造!V131</f>
        <v>452642</v>
      </c>
      <c r="W131" s="130">
        <f>+民間設備非製造!W131</f>
        <v>452642</v>
      </c>
      <c r="X131" s="130">
        <f>+民間設備非製造!X131</f>
        <v>452642</v>
      </c>
    </row>
    <row r="132" spans="1:24">
      <c r="A132" s="733">
        <v>221</v>
      </c>
      <c r="B132" s="733" t="s">
        <v>1144</v>
      </c>
      <c r="C132" s="75">
        <f>+民間設備非製造!C132</f>
        <v>141263</v>
      </c>
      <c r="D132" s="75">
        <f>+民間設備非製造!D132</f>
        <v>135202</v>
      </c>
      <c r="E132" s="75">
        <f>+民間設備非製造!E132</f>
        <v>130606</v>
      </c>
      <c r="F132" s="75">
        <f>+民間設備非製造!F132</f>
        <v>130191</v>
      </c>
      <c r="G132" s="75">
        <f>+民間設備非製造!G132</f>
        <v>129969</v>
      </c>
      <c r="H132" s="75">
        <f>+民間設備非製造!H132</f>
        <v>132010</v>
      </c>
      <c r="I132" s="75">
        <f>+民間設備非製造!I132</f>
        <v>133241</v>
      </c>
      <c r="J132" s="75">
        <f>+民間設備非製造!J132</f>
        <v>134398</v>
      </c>
      <c r="K132" s="75">
        <f>+民間設備非製造!K132</f>
        <v>134020</v>
      </c>
      <c r="L132" s="75">
        <f>+民間設備非製造!L132</f>
        <v>134908</v>
      </c>
      <c r="M132" s="75">
        <f>+民間設備非製造!M132</f>
        <v>130873</v>
      </c>
      <c r="N132" s="75">
        <f>+民間設備非製造!N132</f>
        <v>131904</v>
      </c>
      <c r="O132" s="75">
        <f>+民間設備非製造!O132</f>
        <v>140457</v>
      </c>
      <c r="P132" s="75">
        <f>+民間設備非製造!P132</f>
        <v>144748</v>
      </c>
      <c r="Q132" s="75">
        <f>+民間設備非製造!Q132</f>
        <v>131507</v>
      </c>
      <c r="R132" s="75">
        <f>+民間設備非製造!R132</f>
        <v>165739</v>
      </c>
      <c r="S132" s="75">
        <f>+民間設備非製造!S132</f>
        <v>177586</v>
      </c>
      <c r="T132" s="75">
        <f>+民間設備非製造!T132</f>
        <v>182475</v>
      </c>
      <c r="U132" s="75">
        <f>+民間設備非製造!U132</f>
        <v>184361</v>
      </c>
      <c r="V132" s="75">
        <f>+民間設備非製造!V132</f>
        <v>184361</v>
      </c>
      <c r="W132" s="75">
        <f>+民間設備非製造!W132</f>
        <v>184361</v>
      </c>
      <c r="X132" s="75">
        <f>+民間設備非製造!X132</f>
        <v>184361</v>
      </c>
    </row>
    <row r="133" spans="1:24">
      <c r="A133" s="733">
        <v>223</v>
      </c>
      <c r="B133" s="733" t="s">
        <v>223</v>
      </c>
      <c r="C133" s="132">
        <f>+民間設備非製造!C133</f>
        <v>201559</v>
      </c>
      <c r="D133" s="132">
        <f>+民間設備非製造!D133</f>
        <v>206558</v>
      </c>
      <c r="E133" s="132">
        <f>+民間設備非製造!E133</f>
        <v>202011</v>
      </c>
      <c r="F133" s="132">
        <f>+民間設備非製造!F133</f>
        <v>194057</v>
      </c>
      <c r="G133" s="132">
        <f>+民間設備非製造!G133</f>
        <v>192821</v>
      </c>
      <c r="H133" s="132">
        <f>+民間設備非製造!H133</f>
        <v>193519</v>
      </c>
      <c r="I133" s="132">
        <f>+民間設備非製造!I133</f>
        <v>198110</v>
      </c>
      <c r="J133" s="132">
        <f>+民間設備非製造!J133</f>
        <v>198856</v>
      </c>
      <c r="K133" s="132">
        <f>+民間設備非製造!K133</f>
        <v>239416</v>
      </c>
      <c r="L133" s="132">
        <f>+民間設備非製造!L133</f>
        <v>229302</v>
      </c>
      <c r="M133" s="132">
        <f>+民間設備非製造!M133</f>
        <v>209996</v>
      </c>
      <c r="N133" s="132">
        <f>+民間設備非製造!N133</f>
        <v>198601</v>
      </c>
      <c r="O133" s="132">
        <f>+民間設備非製造!O133</f>
        <v>214143</v>
      </c>
      <c r="P133" s="132">
        <f>+民間設備非製造!P133</f>
        <v>211930</v>
      </c>
      <c r="Q133" s="132">
        <f>+民間設備非製造!Q133</f>
        <v>190782</v>
      </c>
      <c r="R133" s="132">
        <f>+民間設備非製造!R133</f>
        <v>243121</v>
      </c>
      <c r="S133" s="132">
        <f>+民間設備非製造!S133</f>
        <v>253252</v>
      </c>
      <c r="T133" s="132">
        <f>+民間設備非製造!T133</f>
        <v>262597</v>
      </c>
      <c r="U133" s="132">
        <f>+民間設備非製造!U133</f>
        <v>268281</v>
      </c>
      <c r="V133" s="132">
        <f>+民間設備非製造!V133</f>
        <v>268281</v>
      </c>
      <c r="W133" s="132">
        <f>+民間設備非製造!W133</f>
        <v>268281</v>
      </c>
      <c r="X133" s="132">
        <f>+民間設備非製造!X133</f>
        <v>268281</v>
      </c>
    </row>
    <row r="134" spans="1:24">
      <c r="A134" s="734">
        <v>9</v>
      </c>
      <c r="B134" s="734" t="s">
        <v>212</v>
      </c>
      <c r="C134" s="75">
        <f>+民間設備非製造!C134</f>
        <v>424382</v>
      </c>
      <c r="D134" s="75">
        <f>+民間設備非製造!D134</f>
        <v>402164</v>
      </c>
      <c r="E134" s="75">
        <f>+民間設備非製造!E134</f>
        <v>395835</v>
      </c>
      <c r="F134" s="75">
        <f>+民間設備非製造!F134</f>
        <v>415110</v>
      </c>
      <c r="G134" s="75">
        <f>+民間設備非製造!G134</f>
        <v>408837</v>
      </c>
      <c r="H134" s="75">
        <f>+民間設備非製造!H134</f>
        <v>405097</v>
      </c>
      <c r="I134" s="75">
        <f>+民間設備非製造!I134</f>
        <v>415714</v>
      </c>
      <c r="J134" s="75">
        <f>+民間設備非製造!J134</f>
        <v>420591</v>
      </c>
      <c r="K134" s="75">
        <f>+民間設備非製造!K134</f>
        <v>407846</v>
      </c>
      <c r="L134" s="75">
        <f>+民間設備非製造!L134</f>
        <v>417531</v>
      </c>
      <c r="M134" s="75">
        <f>+民間設備非製造!M134</f>
        <v>413129</v>
      </c>
      <c r="N134" s="75">
        <f>+民間設備非製造!N134</f>
        <v>408939</v>
      </c>
      <c r="O134" s="75">
        <f>+民間設備非製造!O134</f>
        <v>392300</v>
      </c>
      <c r="P134" s="75">
        <f>+民間設備非製造!P134</f>
        <v>414364</v>
      </c>
      <c r="Q134" s="75">
        <f>+民間設備非製造!Q134</f>
        <v>396218</v>
      </c>
      <c r="R134" s="75">
        <f>+民間設備非製造!R134</f>
        <v>489502</v>
      </c>
      <c r="S134" s="75">
        <f>+民間設備非製造!S134</f>
        <v>517198</v>
      </c>
      <c r="T134" s="75">
        <f>+民間設備非製造!T134</f>
        <v>559839</v>
      </c>
      <c r="U134" s="75">
        <f>+民間設備非製造!U134</f>
        <v>567041</v>
      </c>
      <c r="V134" s="75">
        <f>+民間設備非製造!V134</f>
        <v>567041</v>
      </c>
      <c r="W134" s="75">
        <f>+民間設備非製造!W134</f>
        <v>567041</v>
      </c>
      <c r="X134" s="75">
        <f>+民間設備非製造!X134</f>
        <v>567041</v>
      </c>
    </row>
    <row r="135" spans="1:24">
      <c r="A135" s="733">
        <v>205</v>
      </c>
      <c r="B135" s="733" t="s">
        <v>339</v>
      </c>
      <c r="C135" s="75">
        <f>+民間設備非製造!C135</f>
        <v>148721</v>
      </c>
      <c r="D135" s="75">
        <f>+民間設備非製造!D135</f>
        <v>137377</v>
      </c>
      <c r="E135" s="75">
        <f>+民間設備非製造!E135</f>
        <v>137986</v>
      </c>
      <c r="F135" s="75">
        <f>+民間設備非製造!F135</f>
        <v>143757</v>
      </c>
      <c r="G135" s="75">
        <f>+民間設備非製造!G135</f>
        <v>156690</v>
      </c>
      <c r="H135" s="75">
        <f>+民間設備非製造!H135</f>
        <v>137329</v>
      </c>
      <c r="I135" s="75">
        <f>+民間設備非製造!I135</f>
        <v>139882</v>
      </c>
      <c r="J135" s="75">
        <f>+民間設備非製造!J135</f>
        <v>144646</v>
      </c>
      <c r="K135" s="75">
        <f>+民間設備非製造!K135</f>
        <v>133168</v>
      </c>
      <c r="L135" s="75">
        <f>+民間設備非製造!L135</f>
        <v>138383</v>
      </c>
      <c r="M135" s="75">
        <f>+民間設備非製造!M135</f>
        <v>146609</v>
      </c>
      <c r="N135" s="75">
        <f>+民間設備非製造!N135</f>
        <v>146252</v>
      </c>
      <c r="O135" s="75">
        <f>+民間設備非製造!O135</f>
        <v>131780</v>
      </c>
      <c r="P135" s="75">
        <f>+民間設備非製造!P135</f>
        <v>140210</v>
      </c>
      <c r="Q135" s="75">
        <f>+民間設備非製造!Q135</f>
        <v>139994</v>
      </c>
      <c r="R135" s="75">
        <f>+民間設備非製造!R135</f>
        <v>166909</v>
      </c>
      <c r="S135" s="75">
        <f>+民間設備非製造!S135</f>
        <v>178796</v>
      </c>
      <c r="T135" s="75">
        <f>+民間設備非製造!T135</f>
        <v>193464</v>
      </c>
      <c r="U135" s="75">
        <f>+民間設備非製造!U135</f>
        <v>195697</v>
      </c>
      <c r="V135" s="75">
        <f>+民間設備非製造!V135</f>
        <v>195697</v>
      </c>
      <c r="W135" s="75">
        <f>+民間設備非製造!W135</f>
        <v>195697</v>
      </c>
      <c r="X135" s="75">
        <f>+民間設備非製造!X135</f>
        <v>195697</v>
      </c>
    </row>
    <row r="136" spans="1:24">
      <c r="A136" s="733">
        <v>224</v>
      </c>
      <c r="B136" s="733" t="s">
        <v>224</v>
      </c>
      <c r="C136" s="75">
        <f>+民間設備非製造!C136</f>
        <v>129303</v>
      </c>
      <c r="D136" s="75">
        <f>+民間設備非製造!D136</f>
        <v>130690</v>
      </c>
      <c r="E136" s="75">
        <f>+民間設備非製造!E136</f>
        <v>129739</v>
      </c>
      <c r="F136" s="75">
        <f>+民間設備非製造!F136</f>
        <v>129537</v>
      </c>
      <c r="G136" s="75">
        <f>+民間設備非製造!G136</f>
        <v>127480</v>
      </c>
      <c r="H136" s="75">
        <f>+民間設備非製造!H136</f>
        <v>130876</v>
      </c>
      <c r="I136" s="75">
        <f>+民間設備非製造!I136</f>
        <v>132998</v>
      </c>
      <c r="J136" s="75">
        <f>+民間設備非製造!J136</f>
        <v>132531</v>
      </c>
      <c r="K136" s="75">
        <f>+民間設備非製造!K136</f>
        <v>138560</v>
      </c>
      <c r="L136" s="75">
        <f>+民間設備非製造!L136</f>
        <v>137200</v>
      </c>
      <c r="M136" s="75">
        <f>+民間設備非製造!M136</f>
        <v>133298</v>
      </c>
      <c r="N136" s="75">
        <f>+民間設備非製造!N136</f>
        <v>130354</v>
      </c>
      <c r="O136" s="75">
        <f>+民間設備非製造!O136</f>
        <v>129566</v>
      </c>
      <c r="P136" s="75">
        <f>+民間設備非製造!P136</f>
        <v>133058</v>
      </c>
      <c r="Q136" s="75">
        <f>+民間設備非製造!Q136</f>
        <v>125197</v>
      </c>
      <c r="R136" s="75">
        <f>+民間設備非製造!R136</f>
        <v>156696</v>
      </c>
      <c r="S136" s="75">
        <f>+民間設備非製造!S136</f>
        <v>164724</v>
      </c>
      <c r="T136" s="75">
        <f>+民間設備非製造!T136</f>
        <v>178101</v>
      </c>
      <c r="U136" s="75">
        <f>+民間設備非製造!U136</f>
        <v>182854</v>
      </c>
      <c r="V136" s="75">
        <f>+民間設備非製造!V136</f>
        <v>182854</v>
      </c>
      <c r="W136" s="75">
        <f>+民間設備非製造!W136</f>
        <v>182854</v>
      </c>
      <c r="X136" s="75">
        <f>+民間設備非製造!X136</f>
        <v>182854</v>
      </c>
    </row>
    <row r="137" spans="1:24">
      <c r="A137" s="735">
        <v>226</v>
      </c>
      <c r="B137" s="735" t="s">
        <v>225</v>
      </c>
      <c r="C137" s="132">
        <f>+民間設備非製造!C137</f>
        <v>146358</v>
      </c>
      <c r="D137" s="132">
        <f>+民間設備非製造!D137</f>
        <v>134097</v>
      </c>
      <c r="E137" s="132">
        <f>+民間設備非製造!E137</f>
        <v>128110</v>
      </c>
      <c r="F137" s="132">
        <f>+民間設備非製造!F137</f>
        <v>141816</v>
      </c>
      <c r="G137" s="132">
        <f>+民間設備非製造!G137</f>
        <v>124667</v>
      </c>
      <c r="H137" s="132">
        <f>+民間設備非製造!H137</f>
        <v>136892</v>
      </c>
      <c r="I137" s="132">
        <f>+民間設備非製造!I137</f>
        <v>142834</v>
      </c>
      <c r="J137" s="132">
        <f>+民間設備非製造!J137</f>
        <v>143414</v>
      </c>
      <c r="K137" s="132">
        <f>+民間設備非製造!K137</f>
        <v>136118</v>
      </c>
      <c r="L137" s="132">
        <f>+民間設備非製造!L137</f>
        <v>141948</v>
      </c>
      <c r="M137" s="132">
        <f>+民間設備非製造!M137</f>
        <v>133222</v>
      </c>
      <c r="N137" s="132">
        <f>+民間設備非製造!N137</f>
        <v>132333</v>
      </c>
      <c r="O137" s="132">
        <f>+民間設備非製造!O137</f>
        <v>130954</v>
      </c>
      <c r="P137" s="132">
        <f>+民間設備非製造!P137</f>
        <v>141096</v>
      </c>
      <c r="Q137" s="132">
        <f>+民間設備非製造!Q137</f>
        <v>131027</v>
      </c>
      <c r="R137" s="132">
        <f>+民間設備非製造!R137</f>
        <v>165897</v>
      </c>
      <c r="S137" s="132">
        <f>+民間設備非製造!S137</f>
        <v>173678</v>
      </c>
      <c r="T137" s="132">
        <f>+民間設備非製造!T137</f>
        <v>188274</v>
      </c>
      <c r="U137" s="132">
        <f>+民間設備非製造!U137</f>
        <v>188490</v>
      </c>
      <c r="V137" s="132">
        <f>+民間設備非製造!V137</f>
        <v>188490</v>
      </c>
      <c r="W137" s="132">
        <f>+民間設備非製造!W137</f>
        <v>188490</v>
      </c>
      <c r="X137" s="132">
        <f>+民間設備非製造!X137</f>
        <v>188490</v>
      </c>
    </row>
  </sheetData>
  <phoneticPr fontId="13"/>
  <pageMargins left="0.75" right="0.75" top="1" bottom="1" header="0.51200000000000001" footer="0.51200000000000001"/>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tabColor indexed="43"/>
  </sheetPr>
  <dimension ref="A1:X67"/>
  <sheetViews>
    <sheetView workbookViewId="0">
      <pane xSplit="2" ySplit="4" topLeftCell="R55" activePane="bottomRight" state="frozen"/>
      <selection pane="topRight" activeCell="C1" sqref="C1"/>
      <selection pane="bottomLeft" activeCell="A5" sqref="A5"/>
      <selection pane="bottomRight" activeCell="V65" sqref="V65"/>
    </sheetView>
  </sheetViews>
  <sheetFormatPr defaultColWidth="8.7109375" defaultRowHeight="13"/>
  <cols>
    <col min="1" max="1" width="3.2109375" style="1200" customWidth="1"/>
    <col min="2" max="16384" width="8.7109375" style="1200"/>
  </cols>
  <sheetData>
    <row r="1" spans="1:24">
      <c r="B1" s="1201" t="s">
        <v>670</v>
      </c>
      <c r="C1" s="1202"/>
      <c r="E1" s="1202" t="s">
        <v>351</v>
      </c>
      <c r="R1" s="1203"/>
      <c r="S1" s="935"/>
      <c r="T1" s="935" t="s">
        <v>11</v>
      </c>
      <c r="U1" s="75" t="s">
        <v>948</v>
      </c>
      <c r="V1" s="75" t="s">
        <v>14</v>
      </c>
      <c r="W1" s="75" t="s">
        <v>14</v>
      </c>
      <c r="X1" s="1200" t="s">
        <v>14</v>
      </c>
    </row>
    <row r="2" spans="1:24">
      <c r="A2" s="1204"/>
      <c r="B2" s="1205" t="s">
        <v>319</v>
      </c>
      <c r="C2" s="1379">
        <v>2006</v>
      </c>
      <c r="D2" s="1379">
        <v>2007</v>
      </c>
      <c r="E2" s="1379">
        <v>2008</v>
      </c>
      <c r="F2" s="1379">
        <v>2009</v>
      </c>
      <c r="G2" s="1379">
        <v>2010</v>
      </c>
      <c r="H2" s="1379">
        <v>2011</v>
      </c>
      <c r="I2" s="1380">
        <v>2012</v>
      </c>
      <c r="J2" s="1380">
        <v>2013</v>
      </c>
      <c r="K2" s="1380">
        <v>2014</v>
      </c>
      <c r="L2" s="1380">
        <v>2015</v>
      </c>
      <c r="M2" s="1380">
        <v>2016</v>
      </c>
      <c r="N2" s="1380">
        <v>2017</v>
      </c>
      <c r="O2" s="1380">
        <v>2018</v>
      </c>
      <c r="P2" s="1380">
        <v>2019</v>
      </c>
      <c r="Q2" s="1380">
        <v>2020</v>
      </c>
      <c r="R2" s="1380">
        <v>2021</v>
      </c>
      <c r="S2" s="1380">
        <v>2022</v>
      </c>
      <c r="T2" s="1380">
        <v>2023</v>
      </c>
      <c r="U2" s="1376">
        <v>2024</v>
      </c>
      <c r="V2" s="804">
        <v>2025</v>
      </c>
      <c r="W2" s="804">
        <v>2026</v>
      </c>
      <c r="X2" s="476">
        <v>2027</v>
      </c>
    </row>
    <row r="3" spans="1:24">
      <c r="A3" s="1206"/>
      <c r="B3" s="1206"/>
      <c r="C3" s="1207" t="s">
        <v>369</v>
      </c>
      <c r="D3" s="1207" t="s">
        <v>370</v>
      </c>
      <c r="E3" s="1207" t="s">
        <v>858</v>
      </c>
      <c r="F3" s="1207" t="s">
        <v>859</v>
      </c>
      <c r="G3" s="1207" t="s">
        <v>912</v>
      </c>
      <c r="H3" s="1207" t="s">
        <v>101</v>
      </c>
      <c r="I3" s="1203" t="s">
        <v>118</v>
      </c>
      <c r="J3" s="1203" t="s">
        <v>119</v>
      </c>
      <c r="K3" s="1203" t="s">
        <v>67</v>
      </c>
      <c r="L3" s="1203" t="s">
        <v>157</v>
      </c>
      <c r="M3" s="1203" t="s">
        <v>1000</v>
      </c>
      <c r="N3" s="1203" t="s">
        <v>1036</v>
      </c>
      <c r="O3" s="1203" t="s">
        <v>1062</v>
      </c>
      <c r="P3" s="1203" t="s">
        <v>1161</v>
      </c>
      <c r="Q3" s="1203" t="s">
        <v>1129</v>
      </c>
      <c r="R3" s="1203" t="s">
        <v>1160</v>
      </c>
      <c r="S3" s="1203" t="s">
        <v>1200</v>
      </c>
      <c r="T3" s="1203" t="s">
        <v>1234</v>
      </c>
      <c r="U3" s="77" t="s">
        <v>1561</v>
      </c>
      <c r="V3" s="75" t="s">
        <v>1603</v>
      </c>
      <c r="W3" s="75" t="s">
        <v>1745</v>
      </c>
      <c r="X3" s="491" t="s">
        <v>1783</v>
      </c>
    </row>
    <row r="4" spans="1:24">
      <c r="A4" s="1206"/>
      <c r="B4" s="1206" t="s">
        <v>320</v>
      </c>
      <c r="C4" s="1208"/>
      <c r="D4" s="1208" t="s">
        <v>672</v>
      </c>
      <c r="E4" s="1208" t="s">
        <v>672</v>
      </c>
      <c r="F4" s="1208" t="s">
        <v>672</v>
      </c>
      <c r="I4" s="1209"/>
      <c r="J4" s="1209"/>
      <c r="K4" s="1209"/>
      <c r="L4" s="1209"/>
      <c r="M4" s="1209"/>
      <c r="N4" s="1209"/>
      <c r="O4" s="1209"/>
      <c r="P4" s="1209"/>
      <c r="Q4" s="1209"/>
      <c r="R4" s="1209"/>
      <c r="S4" s="1209"/>
      <c r="T4" s="1209"/>
      <c r="V4" s="75"/>
      <c r="W4" s="75"/>
      <c r="X4" s="477"/>
    </row>
    <row r="5" spans="1:24">
      <c r="A5" s="1210" t="s">
        <v>1349</v>
      </c>
      <c r="B5" s="1210"/>
      <c r="C5" s="1211">
        <f>名目県内総支出!H49</f>
        <v>816818.51852516376</v>
      </c>
      <c r="D5" s="1211">
        <f>名目県内総支出!I49</f>
        <v>689721.28567955666</v>
      </c>
      <c r="E5" s="1211">
        <f>名目県内総支出!J49</f>
        <v>676501.71112575324</v>
      </c>
      <c r="F5" s="1211">
        <f>名目県内総支出!K49</f>
        <v>774621.91339113994</v>
      </c>
      <c r="G5" s="1211">
        <f>名目県内総支出!L49</f>
        <v>801192.93264875666</v>
      </c>
      <c r="H5" s="1211">
        <f>名目県内総支出!M49</f>
        <v>642185</v>
      </c>
      <c r="I5" s="1211">
        <f>名目県内総支出!N49</f>
        <v>683320</v>
      </c>
      <c r="J5" s="1211">
        <f>名目県内総支出!O49</f>
        <v>818032</v>
      </c>
      <c r="K5" s="1211">
        <f>名目県内総支出!P49</f>
        <v>771900</v>
      </c>
      <c r="L5" s="1211">
        <f>名目県内総支出!Q49</f>
        <v>771815</v>
      </c>
      <c r="M5" s="1211">
        <f>名目県内総支出!R49</f>
        <v>776243</v>
      </c>
      <c r="N5" s="1211">
        <f>名目県内総支出!S49</f>
        <v>799770</v>
      </c>
      <c r="O5" s="1211">
        <f>名目県内総支出!T49</f>
        <v>731309</v>
      </c>
      <c r="P5" s="1211">
        <f>名目県内総支出!U49</f>
        <v>902611</v>
      </c>
      <c r="Q5" s="1211">
        <f>名目県内総支出!V49</f>
        <v>975369</v>
      </c>
      <c r="R5" s="1212">
        <f>名目県内総支出!W49</f>
        <v>992608</v>
      </c>
      <c r="S5" s="1212">
        <f>名目県内総支出!X49</f>
        <v>959307</v>
      </c>
      <c r="T5" s="1212">
        <f>名目県内総支出!Y49</f>
        <v>884533</v>
      </c>
      <c r="U5" s="1212">
        <f>名目県内総支出!Z49</f>
        <v>904932</v>
      </c>
      <c r="V5" s="1212">
        <f>名目県内総支出!AA49</f>
        <v>816574</v>
      </c>
      <c r="W5" s="1212">
        <f>名目県内総支出!AB49</f>
        <v>814797</v>
      </c>
      <c r="X5" s="1212">
        <f>名目県内総支出!AC49</f>
        <v>824700</v>
      </c>
    </row>
    <row r="6" spans="1:24">
      <c r="A6" s="1210"/>
      <c r="B6" s="1210" t="s">
        <v>322</v>
      </c>
      <c r="C6" s="1213">
        <f>SUM(C7:C16)</f>
        <v>816818.51852516376</v>
      </c>
      <c r="D6" s="1213">
        <f>SUM(D7:D16)</f>
        <v>689721.28567955666</v>
      </c>
      <c r="E6" s="1213">
        <f>SUM(E7:E16)</f>
        <v>676501.71112575324</v>
      </c>
      <c r="F6" s="1213">
        <f>SUM(F7:F16)</f>
        <v>774621.91339113994</v>
      </c>
      <c r="G6" s="1213">
        <f>SUM(G7:G16)</f>
        <v>801192.93264875666</v>
      </c>
      <c r="H6" s="1213">
        <f t="shared" ref="H6:M6" si="0">SUM(H7:H16)</f>
        <v>642185</v>
      </c>
      <c r="I6" s="1213">
        <f t="shared" si="0"/>
        <v>683320</v>
      </c>
      <c r="J6" s="1213">
        <f t="shared" si="0"/>
        <v>818032</v>
      </c>
      <c r="K6" s="1213">
        <f t="shared" si="0"/>
        <v>771900</v>
      </c>
      <c r="L6" s="1213">
        <f t="shared" si="0"/>
        <v>771815</v>
      </c>
      <c r="M6" s="1213">
        <f t="shared" si="0"/>
        <v>776243</v>
      </c>
      <c r="N6" s="1213">
        <f t="shared" ref="N6:S6" si="1">SUM(N7:N16)</f>
        <v>799770</v>
      </c>
      <c r="O6" s="1213">
        <f t="shared" si="1"/>
        <v>731309</v>
      </c>
      <c r="P6" s="1213">
        <f t="shared" si="1"/>
        <v>902611</v>
      </c>
      <c r="Q6" s="1213">
        <f t="shared" si="1"/>
        <v>975369</v>
      </c>
      <c r="R6" s="1213">
        <f t="shared" si="1"/>
        <v>992608</v>
      </c>
      <c r="S6" s="1213">
        <f t="shared" si="1"/>
        <v>959307</v>
      </c>
      <c r="T6" s="1213">
        <f t="shared" ref="T6:U6" si="2">SUM(T7:T16)</f>
        <v>884533</v>
      </c>
      <c r="U6" s="1213">
        <f t="shared" si="2"/>
        <v>904932</v>
      </c>
      <c r="V6" s="1213">
        <f t="shared" ref="V6:W6" si="3">SUM(V7:V16)</f>
        <v>816574</v>
      </c>
      <c r="W6" s="1213">
        <f t="shared" si="3"/>
        <v>814797</v>
      </c>
      <c r="X6" s="1213">
        <f t="shared" ref="X6" si="4">SUM(X7:X16)</f>
        <v>824700</v>
      </c>
    </row>
    <row r="7" spans="1:24">
      <c r="A7" s="1206">
        <v>100</v>
      </c>
      <c r="B7" s="1206" t="s">
        <v>172</v>
      </c>
      <c r="C7" s="1214">
        <f>C18</f>
        <v>255301.51852516376</v>
      </c>
      <c r="D7" s="1214">
        <f>D18</f>
        <v>231887.28567955666</v>
      </c>
      <c r="E7" s="1214">
        <f t="shared" ref="E7:G8" si="5">E18</f>
        <v>246721.71112575324</v>
      </c>
      <c r="F7" s="1214">
        <f t="shared" si="5"/>
        <v>252438.91339113994</v>
      </c>
      <c r="G7" s="1214">
        <f t="shared" si="5"/>
        <v>256173.93264875666</v>
      </c>
      <c r="H7" s="1214">
        <f t="shared" ref="H7:J8" si="6">H18</f>
        <v>201842</v>
      </c>
      <c r="I7" s="1214">
        <f t="shared" si="6"/>
        <v>173336</v>
      </c>
      <c r="J7" s="1214">
        <f t="shared" si="6"/>
        <v>251299</v>
      </c>
      <c r="K7" s="1214">
        <f t="shared" ref="K7:M8" si="7">K18</f>
        <v>230549</v>
      </c>
      <c r="L7" s="1214">
        <f t="shared" si="7"/>
        <v>214704</v>
      </c>
      <c r="M7" s="1214">
        <f t="shared" si="7"/>
        <v>224325</v>
      </c>
      <c r="N7" s="1214">
        <f t="shared" ref="N7:P8" si="8">N18</f>
        <v>260353</v>
      </c>
      <c r="O7" s="1214">
        <f t="shared" si="8"/>
        <v>237813</v>
      </c>
      <c r="P7" s="1214">
        <f t="shared" si="8"/>
        <v>322383</v>
      </c>
      <c r="Q7" s="1214">
        <f t="shared" ref="Q7:S8" si="9">Q18</f>
        <v>328677</v>
      </c>
      <c r="R7" s="1214">
        <f t="shared" si="9"/>
        <v>358738</v>
      </c>
      <c r="S7" s="1214">
        <f t="shared" si="9"/>
        <v>391419</v>
      </c>
      <c r="T7" s="1214">
        <f t="shared" ref="T7:U7" si="10">T18</f>
        <v>350318</v>
      </c>
      <c r="U7" s="1214">
        <f t="shared" si="10"/>
        <v>241435</v>
      </c>
      <c r="V7" s="1214">
        <f t="shared" ref="V7:W7" si="11">V18</f>
        <v>275598</v>
      </c>
      <c r="W7" s="1214">
        <f t="shared" si="11"/>
        <v>260758</v>
      </c>
      <c r="X7" s="1214">
        <f t="shared" ref="X7" si="12">X18</f>
        <v>250085</v>
      </c>
    </row>
    <row r="8" spans="1:24">
      <c r="A8" s="1206">
        <v>1</v>
      </c>
      <c r="B8" s="1206" t="s">
        <v>323</v>
      </c>
      <c r="C8" s="1214">
        <f>C19</f>
        <v>128734</v>
      </c>
      <c r="D8" s="1214">
        <f>D19</f>
        <v>112534</v>
      </c>
      <c r="E8" s="1214">
        <f t="shared" si="5"/>
        <v>105099</v>
      </c>
      <c r="F8" s="1214">
        <f t="shared" si="5"/>
        <v>107729</v>
      </c>
      <c r="G8" s="1214">
        <f t="shared" si="5"/>
        <v>129074</v>
      </c>
      <c r="H8" s="1214">
        <f t="shared" si="6"/>
        <v>99705</v>
      </c>
      <c r="I8" s="1214">
        <f t="shared" si="6"/>
        <v>93692</v>
      </c>
      <c r="J8" s="1214">
        <f t="shared" si="6"/>
        <v>117487</v>
      </c>
      <c r="K8" s="1214">
        <f t="shared" si="7"/>
        <v>103679</v>
      </c>
      <c r="L8" s="1214">
        <f t="shared" si="7"/>
        <v>147391</v>
      </c>
      <c r="M8" s="1214">
        <f t="shared" si="7"/>
        <v>136149</v>
      </c>
      <c r="N8" s="1214">
        <f t="shared" si="8"/>
        <v>116087</v>
      </c>
      <c r="O8" s="1214">
        <f t="shared" si="8"/>
        <v>115909</v>
      </c>
      <c r="P8" s="1214">
        <f t="shared" si="8"/>
        <v>101650</v>
      </c>
      <c r="Q8" s="1214">
        <f t="shared" si="9"/>
        <v>136856</v>
      </c>
      <c r="R8" s="1214">
        <f t="shared" si="9"/>
        <v>127036</v>
      </c>
      <c r="S8" s="1214">
        <f t="shared" si="9"/>
        <v>112923</v>
      </c>
      <c r="T8" s="1214">
        <f t="shared" ref="T8:U8" si="13">T19</f>
        <v>96450</v>
      </c>
      <c r="U8" s="1214">
        <f t="shared" si="13"/>
        <v>112754</v>
      </c>
      <c r="V8" s="1214">
        <f t="shared" ref="V8:W8" si="14">V19</f>
        <v>96982</v>
      </c>
      <c r="W8" s="1214">
        <f t="shared" si="14"/>
        <v>96983</v>
      </c>
      <c r="X8" s="1214">
        <f t="shared" ref="X8" si="15">X19</f>
        <v>99981</v>
      </c>
    </row>
    <row r="9" spans="1:24">
      <c r="A9" s="1206">
        <v>2</v>
      </c>
      <c r="B9" s="1206" t="s">
        <v>324</v>
      </c>
      <c r="C9" s="1214">
        <f>C23</f>
        <v>68661</v>
      </c>
      <c r="D9" s="1214">
        <f>D23</f>
        <v>56194</v>
      </c>
      <c r="E9" s="1214">
        <f t="shared" ref="E9:J9" si="16">E23</f>
        <v>51835</v>
      </c>
      <c r="F9" s="1214">
        <f t="shared" si="16"/>
        <v>67734</v>
      </c>
      <c r="G9" s="1214">
        <f t="shared" si="16"/>
        <v>59052</v>
      </c>
      <c r="H9" s="1214">
        <f t="shared" si="16"/>
        <v>40667</v>
      </c>
      <c r="I9" s="1214">
        <f t="shared" si="16"/>
        <v>57833</v>
      </c>
      <c r="J9" s="1214">
        <f t="shared" si="16"/>
        <v>53279</v>
      </c>
      <c r="K9" s="1214">
        <f t="shared" ref="K9:P9" si="17">K23</f>
        <v>72156</v>
      </c>
      <c r="L9" s="1214">
        <f t="shared" si="17"/>
        <v>56831</v>
      </c>
      <c r="M9" s="1214">
        <f t="shared" si="17"/>
        <v>58469</v>
      </c>
      <c r="N9" s="1214">
        <f t="shared" si="17"/>
        <v>71182</v>
      </c>
      <c r="O9" s="1214">
        <f t="shared" si="17"/>
        <v>53881</v>
      </c>
      <c r="P9" s="1214">
        <f t="shared" si="17"/>
        <v>77684</v>
      </c>
      <c r="Q9" s="1214">
        <f t="shared" ref="Q9:V9" si="18">Q23</f>
        <v>62790</v>
      </c>
      <c r="R9" s="1214">
        <f t="shared" si="18"/>
        <v>95850</v>
      </c>
      <c r="S9" s="1214">
        <f t="shared" si="18"/>
        <v>98977</v>
      </c>
      <c r="T9" s="1214">
        <f t="shared" si="18"/>
        <v>78569</v>
      </c>
      <c r="U9" s="1214">
        <f t="shared" si="18"/>
        <v>320626</v>
      </c>
      <c r="V9" s="1214">
        <f t="shared" si="18"/>
        <v>179150</v>
      </c>
      <c r="W9" s="1214">
        <f t="shared" ref="W9:X9" si="19">W23</f>
        <v>202231</v>
      </c>
      <c r="X9" s="1214">
        <f t="shared" si="19"/>
        <v>233708</v>
      </c>
    </row>
    <row r="10" spans="1:24">
      <c r="A10" s="1206">
        <v>3</v>
      </c>
      <c r="B10" s="1206" t="s">
        <v>192</v>
      </c>
      <c r="C10" s="1214">
        <f>C29</f>
        <v>83841</v>
      </c>
      <c r="D10" s="1214">
        <f>D29</f>
        <v>68224</v>
      </c>
      <c r="E10" s="1214">
        <f t="shared" ref="E10:J10" si="20">E29</f>
        <v>64169</v>
      </c>
      <c r="F10" s="1214">
        <f t="shared" si="20"/>
        <v>59026</v>
      </c>
      <c r="G10" s="1214">
        <f t="shared" si="20"/>
        <v>76420</v>
      </c>
      <c r="H10" s="1214">
        <f t="shared" si="20"/>
        <v>56971</v>
      </c>
      <c r="I10" s="1214">
        <f t="shared" si="20"/>
        <v>62792</v>
      </c>
      <c r="J10" s="1214">
        <f t="shared" si="20"/>
        <v>82953</v>
      </c>
      <c r="K10" s="1214">
        <f t="shared" ref="K10:P10" si="21">K29</f>
        <v>65013</v>
      </c>
      <c r="L10" s="1214">
        <f t="shared" si="21"/>
        <v>56697</v>
      </c>
      <c r="M10" s="1214">
        <f t="shared" si="21"/>
        <v>62967</v>
      </c>
      <c r="N10" s="1214">
        <f t="shared" si="21"/>
        <v>78032</v>
      </c>
      <c r="O10" s="1214">
        <f t="shared" si="21"/>
        <v>73102</v>
      </c>
      <c r="P10" s="1214">
        <f t="shared" si="21"/>
        <v>85494</v>
      </c>
      <c r="Q10" s="1214">
        <f t="shared" ref="Q10:V10" si="22">Q29</f>
        <v>118021</v>
      </c>
      <c r="R10" s="1214">
        <f t="shared" si="22"/>
        <v>131988</v>
      </c>
      <c r="S10" s="1214">
        <f t="shared" si="22"/>
        <v>79579</v>
      </c>
      <c r="T10" s="1214">
        <f t="shared" si="22"/>
        <v>88843</v>
      </c>
      <c r="U10" s="1214">
        <f t="shared" si="22"/>
        <v>89555</v>
      </c>
      <c r="V10" s="1214">
        <f t="shared" si="22"/>
        <v>77658</v>
      </c>
      <c r="W10" s="1214">
        <f t="shared" ref="W10:X10" si="23">W29</f>
        <v>79943</v>
      </c>
      <c r="X10" s="1214">
        <f t="shared" si="23"/>
        <v>80492</v>
      </c>
    </row>
    <row r="11" spans="1:24">
      <c r="A11" s="1206">
        <v>4</v>
      </c>
      <c r="B11" s="1206" t="s">
        <v>325</v>
      </c>
      <c r="C11" s="1214">
        <f>C35</f>
        <v>32684</v>
      </c>
      <c r="D11" s="1214">
        <f>D35</f>
        <v>27472</v>
      </c>
      <c r="E11" s="1214">
        <f>E35</f>
        <v>25766</v>
      </c>
      <c r="F11" s="1214">
        <f>F35</f>
        <v>27999</v>
      </c>
      <c r="G11" s="1214">
        <f t="shared" ref="G11:L11" si="24">G35</f>
        <v>33450</v>
      </c>
      <c r="H11" s="1214">
        <f t="shared" si="24"/>
        <v>29512</v>
      </c>
      <c r="I11" s="1214">
        <f t="shared" si="24"/>
        <v>45647</v>
      </c>
      <c r="J11" s="1214">
        <f t="shared" si="24"/>
        <v>69198</v>
      </c>
      <c r="K11" s="1214">
        <f t="shared" si="24"/>
        <v>37423</v>
      </c>
      <c r="L11" s="1214">
        <f t="shared" si="24"/>
        <v>38847</v>
      </c>
      <c r="M11" s="1214">
        <f t="shared" ref="M11:R11" si="25">M35</f>
        <v>43570</v>
      </c>
      <c r="N11" s="1214">
        <f t="shared" si="25"/>
        <v>39455</v>
      </c>
      <c r="O11" s="1214">
        <f t="shared" si="25"/>
        <v>35180</v>
      </c>
      <c r="P11" s="1214">
        <f t="shared" si="25"/>
        <v>50966</v>
      </c>
      <c r="Q11" s="1214">
        <f t="shared" si="25"/>
        <v>48909</v>
      </c>
      <c r="R11" s="1214">
        <f t="shared" si="25"/>
        <v>50706</v>
      </c>
      <c r="S11" s="1214">
        <f t="shared" ref="S11:X11" si="26">S35</f>
        <v>41851</v>
      </c>
      <c r="T11" s="1214">
        <f t="shared" si="26"/>
        <v>47190</v>
      </c>
      <c r="U11" s="1214">
        <f t="shared" si="26"/>
        <v>47873</v>
      </c>
      <c r="V11" s="1214">
        <f t="shared" si="26"/>
        <v>41287</v>
      </c>
      <c r="W11" s="1214">
        <f t="shared" si="26"/>
        <v>42598</v>
      </c>
      <c r="X11" s="1214">
        <f t="shared" si="26"/>
        <v>42920</v>
      </c>
    </row>
    <row r="12" spans="1:24">
      <c r="A12" s="1206">
        <v>5</v>
      </c>
      <c r="B12" s="1206" t="s">
        <v>326</v>
      </c>
      <c r="C12" s="1214">
        <f>C42</f>
        <v>113997</v>
      </c>
      <c r="D12" s="1214">
        <f>D42</f>
        <v>105463</v>
      </c>
      <c r="E12" s="1214">
        <f t="shared" ref="E12:J12" si="27">E42</f>
        <v>99617</v>
      </c>
      <c r="F12" s="1214">
        <f t="shared" si="27"/>
        <v>112825</v>
      </c>
      <c r="G12" s="1214">
        <f t="shared" si="27"/>
        <v>109904</v>
      </c>
      <c r="H12" s="1214">
        <f t="shared" si="27"/>
        <v>99693</v>
      </c>
      <c r="I12" s="1214">
        <f t="shared" si="27"/>
        <v>99735</v>
      </c>
      <c r="J12" s="1214">
        <f t="shared" si="27"/>
        <v>98816</v>
      </c>
      <c r="K12" s="1214">
        <f t="shared" ref="K12:P12" si="28">K42</f>
        <v>100285</v>
      </c>
      <c r="L12" s="1214">
        <f t="shared" si="28"/>
        <v>96567</v>
      </c>
      <c r="M12" s="1214">
        <f t="shared" si="28"/>
        <v>97963</v>
      </c>
      <c r="N12" s="1214">
        <f t="shared" si="28"/>
        <v>112877</v>
      </c>
      <c r="O12" s="1214">
        <f t="shared" si="28"/>
        <v>93905</v>
      </c>
      <c r="P12" s="1214">
        <f t="shared" si="28"/>
        <v>115739</v>
      </c>
      <c r="Q12" s="1214">
        <f t="shared" ref="Q12:V12" si="29">Q42</f>
        <v>145094</v>
      </c>
      <c r="R12" s="1214">
        <f t="shared" si="29"/>
        <v>99431</v>
      </c>
      <c r="S12" s="1214">
        <f t="shared" si="29"/>
        <v>89227</v>
      </c>
      <c r="T12" s="1214">
        <f t="shared" si="29"/>
        <v>96011</v>
      </c>
      <c r="U12" s="1214">
        <f t="shared" si="29"/>
        <v>25653</v>
      </c>
      <c r="V12" s="1214">
        <f t="shared" si="29"/>
        <v>54006</v>
      </c>
      <c r="W12" s="1214">
        <f t="shared" ref="W12:X12" si="30">W42</f>
        <v>48461</v>
      </c>
      <c r="X12" s="1214">
        <f t="shared" si="30"/>
        <v>40115</v>
      </c>
    </row>
    <row r="13" spans="1:24">
      <c r="A13" s="1206">
        <v>6</v>
      </c>
      <c r="B13" s="1206" t="s">
        <v>327</v>
      </c>
      <c r="C13" s="1214">
        <f>C47</f>
        <v>46399</v>
      </c>
      <c r="D13" s="1214">
        <f>D47</f>
        <v>36439</v>
      </c>
      <c r="E13" s="1214">
        <f t="shared" ref="E13:J13" si="31">E47</f>
        <v>31871</v>
      </c>
      <c r="F13" s="1214">
        <f t="shared" si="31"/>
        <v>51141</v>
      </c>
      <c r="G13" s="1214">
        <f t="shared" si="31"/>
        <v>50158</v>
      </c>
      <c r="H13" s="1214">
        <f t="shared" si="31"/>
        <v>37538</v>
      </c>
      <c r="I13" s="1214">
        <f t="shared" si="31"/>
        <v>40455</v>
      </c>
      <c r="J13" s="1214">
        <f t="shared" si="31"/>
        <v>40276</v>
      </c>
      <c r="K13" s="1214">
        <f t="shared" ref="K13:P13" si="32">K47</f>
        <v>40425</v>
      </c>
      <c r="L13" s="1214">
        <f t="shared" si="32"/>
        <v>56632</v>
      </c>
      <c r="M13" s="1214">
        <f t="shared" si="32"/>
        <v>51451</v>
      </c>
      <c r="N13" s="1214">
        <f t="shared" si="32"/>
        <v>37827</v>
      </c>
      <c r="O13" s="1214">
        <f t="shared" si="32"/>
        <v>35691</v>
      </c>
      <c r="P13" s="1214">
        <f t="shared" si="32"/>
        <v>49962</v>
      </c>
      <c r="Q13" s="1214">
        <f t="shared" ref="Q13:V13" si="33">Q47</f>
        <v>51907</v>
      </c>
      <c r="R13" s="1214">
        <f t="shared" si="33"/>
        <v>40971</v>
      </c>
      <c r="S13" s="1214">
        <f t="shared" si="33"/>
        <v>39909</v>
      </c>
      <c r="T13" s="1214">
        <f t="shared" si="33"/>
        <v>36862</v>
      </c>
      <c r="U13" s="1214">
        <f t="shared" si="33"/>
        <v>33959</v>
      </c>
      <c r="V13" s="1214">
        <f t="shared" si="33"/>
        <v>32397</v>
      </c>
      <c r="W13" s="1214">
        <f t="shared" ref="W13:X13" si="34">W47</f>
        <v>31938</v>
      </c>
      <c r="X13" s="1214">
        <f t="shared" si="34"/>
        <v>31874</v>
      </c>
    </row>
    <row r="14" spans="1:24">
      <c r="A14" s="1206">
        <v>7</v>
      </c>
      <c r="B14" s="1206" t="s">
        <v>210</v>
      </c>
      <c r="C14" s="1214">
        <f>C55</f>
        <v>36958</v>
      </c>
      <c r="D14" s="1214">
        <f>D55</f>
        <v>24596</v>
      </c>
      <c r="E14" s="1214">
        <f t="shared" ref="E14:J14" si="35">E55</f>
        <v>28191</v>
      </c>
      <c r="F14" s="1214">
        <f t="shared" si="35"/>
        <v>44463</v>
      </c>
      <c r="G14" s="1214">
        <f t="shared" si="35"/>
        <v>40602</v>
      </c>
      <c r="H14" s="1214">
        <f t="shared" si="35"/>
        <v>40045</v>
      </c>
      <c r="I14" s="1214">
        <f t="shared" si="35"/>
        <v>53946</v>
      </c>
      <c r="J14" s="1214">
        <f t="shared" si="35"/>
        <v>51012</v>
      </c>
      <c r="K14" s="1214">
        <f t="shared" ref="K14:P14" si="36">K55</f>
        <v>46997</v>
      </c>
      <c r="L14" s="1214">
        <f t="shared" si="36"/>
        <v>44224</v>
      </c>
      <c r="M14" s="1214">
        <f t="shared" si="36"/>
        <v>45741</v>
      </c>
      <c r="N14" s="1214">
        <f t="shared" si="36"/>
        <v>39822</v>
      </c>
      <c r="O14" s="1214">
        <f t="shared" si="36"/>
        <v>34916</v>
      </c>
      <c r="P14" s="1214">
        <f t="shared" si="36"/>
        <v>43342</v>
      </c>
      <c r="Q14" s="1214">
        <f t="shared" ref="Q14:V14" si="37">Q55</f>
        <v>43172</v>
      </c>
      <c r="R14" s="1214">
        <f t="shared" si="37"/>
        <v>39528</v>
      </c>
      <c r="S14" s="1214">
        <f t="shared" si="37"/>
        <v>34378</v>
      </c>
      <c r="T14" s="1214">
        <f t="shared" si="37"/>
        <v>37414</v>
      </c>
      <c r="U14" s="1214">
        <f t="shared" si="37"/>
        <v>18100</v>
      </c>
      <c r="V14" s="1214">
        <f t="shared" si="37"/>
        <v>24450</v>
      </c>
      <c r="W14" s="1214">
        <f t="shared" ref="W14:X14" si="38">W55</f>
        <v>23204</v>
      </c>
      <c r="X14" s="1214">
        <f t="shared" si="38"/>
        <v>20970</v>
      </c>
    </row>
    <row r="15" spans="1:24">
      <c r="A15" s="1206">
        <v>8</v>
      </c>
      <c r="B15" s="1206" t="s">
        <v>211</v>
      </c>
      <c r="C15" s="1214">
        <f>C61</f>
        <v>13472</v>
      </c>
      <c r="D15" s="1214">
        <f>D61</f>
        <v>10644</v>
      </c>
      <c r="E15" s="1214">
        <f t="shared" ref="E15:J15" si="39">E61</f>
        <v>10616</v>
      </c>
      <c r="F15" s="1214">
        <f t="shared" si="39"/>
        <v>21542</v>
      </c>
      <c r="G15" s="1214">
        <f t="shared" si="39"/>
        <v>17771</v>
      </c>
      <c r="H15" s="1214">
        <f t="shared" si="39"/>
        <v>11345</v>
      </c>
      <c r="I15" s="1214">
        <f t="shared" si="39"/>
        <v>15457</v>
      </c>
      <c r="J15" s="1214">
        <f t="shared" si="39"/>
        <v>17424</v>
      </c>
      <c r="K15" s="1214">
        <f t="shared" ref="K15:P15" si="40">K61</f>
        <v>38967</v>
      </c>
      <c r="L15" s="1214">
        <f t="shared" si="40"/>
        <v>21635</v>
      </c>
      <c r="M15" s="1214">
        <f t="shared" si="40"/>
        <v>22011</v>
      </c>
      <c r="N15" s="1214">
        <f t="shared" si="40"/>
        <v>16351</v>
      </c>
      <c r="O15" s="1214">
        <f t="shared" si="40"/>
        <v>30170</v>
      </c>
      <c r="P15" s="1214">
        <f t="shared" si="40"/>
        <v>25772</v>
      </c>
      <c r="Q15" s="1214">
        <f t="shared" ref="Q15:V15" si="41">Q61</f>
        <v>14986</v>
      </c>
      <c r="R15" s="1214">
        <f t="shared" si="41"/>
        <v>13081</v>
      </c>
      <c r="S15" s="1214">
        <f t="shared" si="41"/>
        <v>24770</v>
      </c>
      <c r="T15" s="1214">
        <f t="shared" si="41"/>
        <v>11924</v>
      </c>
      <c r="U15" s="1214">
        <f t="shared" si="41"/>
        <v>4970</v>
      </c>
      <c r="V15" s="1214">
        <f t="shared" si="41"/>
        <v>10561</v>
      </c>
      <c r="W15" s="1214">
        <f t="shared" ref="W15:X15" si="42">W61</f>
        <v>7936</v>
      </c>
      <c r="X15" s="1214">
        <f t="shared" si="42"/>
        <v>7352</v>
      </c>
    </row>
    <row r="16" spans="1:24">
      <c r="A16" s="1206">
        <v>9</v>
      </c>
      <c r="B16" s="1206" t="s">
        <v>212</v>
      </c>
      <c r="C16" s="1214">
        <f>C64</f>
        <v>36771</v>
      </c>
      <c r="D16" s="1214">
        <f>D64</f>
        <v>16268</v>
      </c>
      <c r="E16" s="1214">
        <f t="shared" ref="E16:J16" si="43">E64</f>
        <v>12616</v>
      </c>
      <c r="F16" s="1214">
        <f t="shared" si="43"/>
        <v>29724</v>
      </c>
      <c r="G16" s="1214">
        <f t="shared" si="43"/>
        <v>28588</v>
      </c>
      <c r="H16" s="1214">
        <f t="shared" si="43"/>
        <v>24867</v>
      </c>
      <c r="I16" s="1214">
        <f t="shared" si="43"/>
        <v>40427</v>
      </c>
      <c r="J16" s="1214">
        <f t="shared" si="43"/>
        <v>36288</v>
      </c>
      <c r="K16" s="1214">
        <f t="shared" ref="K16:P16" si="44">K64</f>
        <v>36406</v>
      </c>
      <c r="L16" s="1214">
        <f t="shared" si="44"/>
        <v>38287</v>
      </c>
      <c r="M16" s="1214">
        <f t="shared" si="44"/>
        <v>33597</v>
      </c>
      <c r="N16" s="1214">
        <f t="shared" si="44"/>
        <v>27784</v>
      </c>
      <c r="O16" s="1214">
        <f t="shared" si="44"/>
        <v>20742</v>
      </c>
      <c r="P16" s="1214">
        <f t="shared" si="44"/>
        <v>29619</v>
      </c>
      <c r="Q16" s="1215">
        <f t="shared" ref="Q16:V16" si="45">Q64</f>
        <v>24957</v>
      </c>
      <c r="R16" s="1215">
        <f t="shared" si="45"/>
        <v>35279</v>
      </c>
      <c r="S16" s="1215">
        <f t="shared" si="45"/>
        <v>46274</v>
      </c>
      <c r="T16" s="1215">
        <f t="shared" si="45"/>
        <v>40952</v>
      </c>
      <c r="U16" s="1215">
        <f t="shared" si="45"/>
        <v>10007</v>
      </c>
      <c r="V16" s="1215">
        <f t="shared" si="45"/>
        <v>24485</v>
      </c>
      <c r="W16" s="1215">
        <f t="shared" ref="W16:X16" si="46">W64</f>
        <v>20745</v>
      </c>
      <c r="X16" s="1215">
        <f t="shared" si="46"/>
        <v>17203</v>
      </c>
    </row>
    <row r="17" spans="1:24">
      <c r="A17" s="1216" t="s">
        <v>1352</v>
      </c>
      <c r="B17" s="1210"/>
      <c r="C17" s="1213">
        <f>ROUND(C$5*市町土木等歳出!S5/市町土木等歳出!S$4,0)-C18</f>
        <v>-2.5185251637594774</v>
      </c>
      <c r="D17" s="1213">
        <f>ROUND(D$5*市町土木等歳出!T5/市町土木等歳出!T$4,0)-D18</f>
        <v>-0.28567955666221678</v>
      </c>
      <c r="E17" s="1213">
        <f>ROUND(E$5*市町土木等歳出!U5/市町土木等歳出!U$4,0)-E18</f>
        <v>0.28887424676213413</v>
      </c>
      <c r="F17" s="1213">
        <f>ROUND(F$5*市町土木等歳出!V5/市町土木等歳出!V$4,0)-F18</f>
        <v>1.0866088600596413</v>
      </c>
      <c r="G17" s="1213">
        <f>ROUND(G$5*市町土木等歳出!W5/市町土木等歳出!W$4,0)-G18</f>
        <v>1.0673512433422729</v>
      </c>
      <c r="H17" s="1213">
        <f>ROUND(H$5*市町土木等歳出!X5/市町土木等歳出!X$4,0)-H18</f>
        <v>0</v>
      </c>
      <c r="I17" s="1213">
        <f>ROUND(I$5*市町土木等歳出!Y5/市町土木等歳出!Y$4,0)-I18</f>
        <v>3</v>
      </c>
      <c r="J17" s="1213">
        <f>ROUND(J$5*市町土木等歳出!Z5/市町土木等歳出!Z$4,0)-J18</f>
        <v>-2</v>
      </c>
      <c r="K17" s="1213">
        <f>ROUND(K$5*市町土木等歳出!AA5/市町土木等歳出!AA$4,0)-K18</f>
        <v>0</v>
      </c>
      <c r="L17" s="1213">
        <f>ROUND(L$5*市町土木等歳出!AB5/市町土木等歳出!AB$4,0)-L18</f>
        <v>1</v>
      </c>
      <c r="M17" s="1213">
        <f>ROUND(M$5*市町土木等歳出!AC5/市町土木等歳出!AC$4,0)-M18</f>
        <v>1</v>
      </c>
      <c r="N17" s="1213">
        <f>ROUND(N$5*市町土木等歳出!AD5/市町土木等歳出!AD$4,0)-N18</f>
        <v>2</v>
      </c>
      <c r="O17" s="1213">
        <f>ROUND(O$5*市町土木等歳出!AE5/市町土木等歳出!AE$4,0)-O18</f>
        <v>-1</v>
      </c>
      <c r="P17" s="1213">
        <f>ROUND(P$5*市町土木等歳出!AF5/市町土木等歳出!AF$4,0)-P18</f>
        <v>0</v>
      </c>
      <c r="Q17" s="1213">
        <f>ROUND(Q$5*市町土木等歳出!AG5/市町土木等歳出!AG$4,0)-Q18</f>
        <v>-1</v>
      </c>
      <c r="R17" s="1213">
        <f>ROUND(R$5*市町土木等歳出!AH5/市町土木等歳出!AH$4,0)-R18</f>
        <v>0</v>
      </c>
      <c r="S17" s="1213">
        <f>ROUND(S$5*市町土木等歳出!AI5/市町土木等歳出!AI$4,0)-S18</f>
        <v>3</v>
      </c>
      <c r="T17" s="1213">
        <f>ROUND(T$5*市町土木等歳出!AJ5/市町土木等歳出!AJ$4,0)-T18</f>
        <v>-1</v>
      </c>
      <c r="U17" s="1213">
        <f>ROUND(U$5*市町土木等歳出!AK5/市町土木等歳出!AK$4,0)-U18</f>
        <v>3</v>
      </c>
      <c r="V17" s="1213">
        <f>ROUND(V$5*市町土木等歳出!AL5/市町土木等歳出!AL$4,0)-V18</f>
        <v>0</v>
      </c>
      <c r="W17" s="1213">
        <f>ROUND(W$5*市町土木等歳出!AM5/市町土木等歳出!AM$4,0)-W18</f>
        <v>-1</v>
      </c>
      <c r="X17" s="1213">
        <f>ROUND(X$5*市町土木等歳出!AN5/市町土木等歳出!AN$4,0)-X18</f>
        <v>-2</v>
      </c>
    </row>
    <row r="18" spans="1:24">
      <c r="A18" s="1206">
        <v>100</v>
      </c>
      <c r="B18" s="1206" t="s">
        <v>172</v>
      </c>
      <c r="C18" s="1214">
        <f>C5-SUM(C8:C16)</f>
        <v>255301.51852516376</v>
      </c>
      <c r="D18" s="1214">
        <f>D5-SUM(D8:D16)</f>
        <v>231887.28567955666</v>
      </c>
      <c r="E18" s="1214">
        <f t="shared" ref="E18:K18" si="47">E5-SUM(E8:E16)</f>
        <v>246721.71112575324</v>
      </c>
      <c r="F18" s="1214">
        <f t="shared" si="47"/>
        <v>252438.91339113994</v>
      </c>
      <c r="G18" s="1214">
        <f t="shared" si="47"/>
        <v>256173.93264875666</v>
      </c>
      <c r="H18" s="1214">
        <f t="shared" si="47"/>
        <v>201842</v>
      </c>
      <c r="I18" s="1214">
        <f t="shared" si="47"/>
        <v>173336</v>
      </c>
      <c r="J18" s="1214">
        <f t="shared" si="47"/>
        <v>251299</v>
      </c>
      <c r="K18" s="1214">
        <f t="shared" si="47"/>
        <v>230549</v>
      </c>
      <c r="L18" s="1214">
        <f t="shared" ref="L18:S18" si="48">L5-SUM(L8:L16)</f>
        <v>214704</v>
      </c>
      <c r="M18" s="1214">
        <f t="shared" si="48"/>
        <v>224325</v>
      </c>
      <c r="N18" s="1214">
        <f t="shared" si="48"/>
        <v>260353</v>
      </c>
      <c r="O18" s="1214">
        <f t="shared" si="48"/>
        <v>237813</v>
      </c>
      <c r="P18" s="1214">
        <f t="shared" si="48"/>
        <v>322383</v>
      </c>
      <c r="Q18" s="1214">
        <f t="shared" si="48"/>
        <v>328677</v>
      </c>
      <c r="R18" s="1214">
        <f t="shared" si="48"/>
        <v>358738</v>
      </c>
      <c r="S18" s="1214">
        <f t="shared" si="48"/>
        <v>391419</v>
      </c>
      <c r="T18" s="1214">
        <f t="shared" ref="T18:U18" si="49">T5-SUM(T8:T16)</f>
        <v>350318</v>
      </c>
      <c r="U18" s="1214">
        <f t="shared" si="49"/>
        <v>241435</v>
      </c>
      <c r="V18" s="1214">
        <f t="shared" ref="V18:W18" si="50">V5-SUM(V8:V16)</f>
        <v>275598</v>
      </c>
      <c r="W18" s="1214">
        <f t="shared" si="50"/>
        <v>260758</v>
      </c>
      <c r="X18" s="1214">
        <f t="shared" ref="X18" si="51">X5-SUM(X8:X16)</f>
        <v>250085</v>
      </c>
    </row>
    <row r="19" spans="1:24">
      <c r="A19" s="1204">
        <v>1</v>
      </c>
      <c r="B19" s="1204" t="s">
        <v>328</v>
      </c>
      <c r="C19" s="1217">
        <f>SUM(C20:C22)</f>
        <v>128734</v>
      </c>
      <c r="D19" s="1217">
        <f>SUM(D20:D22)</f>
        <v>112534</v>
      </c>
      <c r="E19" s="1217">
        <f t="shared" ref="E19:K19" si="52">SUM(E20:E22)</f>
        <v>105099</v>
      </c>
      <c r="F19" s="1217">
        <f t="shared" si="52"/>
        <v>107729</v>
      </c>
      <c r="G19" s="1217">
        <f t="shared" si="52"/>
        <v>129074</v>
      </c>
      <c r="H19" s="1217">
        <f t="shared" si="52"/>
        <v>99705</v>
      </c>
      <c r="I19" s="1217">
        <f t="shared" si="52"/>
        <v>93692</v>
      </c>
      <c r="J19" s="1217">
        <f t="shared" si="52"/>
        <v>117487</v>
      </c>
      <c r="K19" s="1217">
        <f t="shared" si="52"/>
        <v>103679</v>
      </c>
      <c r="L19" s="1217">
        <f t="shared" ref="L19:Q19" si="53">SUM(L20:L22)</f>
        <v>147391</v>
      </c>
      <c r="M19" s="1217">
        <f t="shared" si="53"/>
        <v>136149</v>
      </c>
      <c r="N19" s="1217">
        <f t="shared" si="53"/>
        <v>116087</v>
      </c>
      <c r="O19" s="1217">
        <f t="shared" si="53"/>
        <v>115909</v>
      </c>
      <c r="P19" s="1217">
        <f t="shared" si="53"/>
        <v>101650</v>
      </c>
      <c r="Q19" s="1217">
        <f t="shared" si="53"/>
        <v>136856</v>
      </c>
      <c r="R19" s="1217">
        <f t="shared" ref="R19:W19" si="54">SUM(R20:R22)</f>
        <v>127036</v>
      </c>
      <c r="S19" s="1217">
        <f t="shared" si="54"/>
        <v>112923</v>
      </c>
      <c r="T19" s="1217">
        <f t="shared" si="54"/>
        <v>96450</v>
      </c>
      <c r="U19" s="1217">
        <f t="shared" si="54"/>
        <v>112754</v>
      </c>
      <c r="V19" s="1217">
        <f t="shared" si="54"/>
        <v>96982</v>
      </c>
      <c r="W19" s="1217">
        <f t="shared" si="54"/>
        <v>96983</v>
      </c>
      <c r="X19" s="1217">
        <f t="shared" ref="X19" si="55">SUM(X20:X22)</f>
        <v>99981</v>
      </c>
    </row>
    <row r="20" spans="1:24">
      <c r="A20" s="1206">
        <v>202</v>
      </c>
      <c r="B20" s="1206" t="s">
        <v>183</v>
      </c>
      <c r="C20" s="1214">
        <f>ROUND(C$5*市町土木等歳出!S7/市町土木等歳出!S$4,0)</f>
        <v>59338</v>
      </c>
      <c r="D20" s="1214">
        <f>ROUND(D$5*市町土木等歳出!T7/市町土木等歳出!T$4,0)</f>
        <v>51108</v>
      </c>
      <c r="E20" s="1214">
        <f>ROUND(E$5*市町土木等歳出!U7/市町土木等歳出!U$4,0)</f>
        <v>49727</v>
      </c>
      <c r="F20" s="1214">
        <f>ROUND(F$5*市町土木等歳出!V7/市町土木等歳出!V$4,0)</f>
        <v>55194</v>
      </c>
      <c r="G20" s="1214">
        <f>ROUND(G$5*市町土木等歳出!W7/市町土木等歳出!W$4,0)</f>
        <v>86120</v>
      </c>
      <c r="H20" s="1214">
        <f>ROUND(H$5*市町土木等歳出!X7/市町土木等歳出!X$4,0)</f>
        <v>37010</v>
      </c>
      <c r="I20" s="1214">
        <f>ROUND(I$5*市町土木等歳出!Y7/市町土木等歳出!Y$4,0)</f>
        <v>43522</v>
      </c>
      <c r="J20" s="1214">
        <f>ROUND(J$5*市町土木等歳出!Z7/市町土木等歳出!Z$4,0)</f>
        <v>55443</v>
      </c>
      <c r="K20" s="1214">
        <f>ROUND(K$5*市町土木等歳出!AA7/市町土木等歳出!AA$4,0)</f>
        <v>58697</v>
      </c>
      <c r="L20" s="1214">
        <f>ROUND(L$5*市町土木等歳出!AB7/市町土木等歳出!AB$4,0)</f>
        <v>67003</v>
      </c>
      <c r="M20" s="1214">
        <f>ROUND(M$5*市町土木等歳出!AC7/市町土木等歳出!AC$4,0)</f>
        <v>64190</v>
      </c>
      <c r="N20" s="1214">
        <f>ROUND(N$5*市町土木等歳出!AD7/市町土木等歳出!AD$4,0)</f>
        <v>52480</v>
      </c>
      <c r="O20" s="1214">
        <f>ROUND(O$5*市町土木等歳出!AE7/市町土木等歳出!AE$4,0)</f>
        <v>48352</v>
      </c>
      <c r="P20" s="1214">
        <f>ROUND(P$5*市町土木等歳出!AF7/市町土木等歳出!AF$4,0)</f>
        <v>40581</v>
      </c>
      <c r="Q20" s="1214">
        <f>ROUND(Q$5*市町土木等歳出!AG7/市町土木等歳出!AG$4,0)</f>
        <v>52610</v>
      </c>
      <c r="R20" s="1214">
        <f>ROUND(R$5*市町土木等歳出!AH7/市町土木等歳出!AH$4,0)</f>
        <v>51393</v>
      </c>
      <c r="S20" s="1214">
        <f>ROUND(S$5*市町土木等歳出!AI7/市町土木等歳出!AI$4,0)</f>
        <v>44283</v>
      </c>
      <c r="T20" s="1214">
        <f>ROUND(T$5*市町土木等歳出!AJ7/市町土木等歳出!AJ$4,0)</f>
        <v>39544</v>
      </c>
      <c r="U20" s="1214">
        <f>ROUND(U$5*市町土木等歳出!AK7/市町土木等歳出!AK$4,0)</f>
        <v>46473</v>
      </c>
      <c r="V20" s="1214">
        <f>ROUND(V$5*市町土木等歳出!AL7/市町土木等歳出!AL$4,0)</f>
        <v>39413</v>
      </c>
      <c r="W20" s="1214">
        <f>ROUND(W$5*市町土木等歳出!AM7/市町土木等歳出!AM$4,0)</f>
        <v>39752</v>
      </c>
      <c r="X20" s="1214">
        <f>ROUND(X$5*市町土木等歳出!AN7/市町土木等歳出!AN$4,0)</f>
        <v>40979</v>
      </c>
    </row>
    <row r="21" spans="1:24">
      <c r="A21" s="1206">
        <v>204</v>
      </c>
      <c r="B21" s="1206" t="s">
        <v>184</v>
      </c>
      <c r="C21" s="1214">
        <f>ROUND(C$5*市町土木等歳出!S8/市町土木等歳出!S$4,0)</f>
        <v>55369</v>
      </c>
      <c r="D21" s="1214">
        <f>ROUND(D$5*市町土木等歳出!T8/市町土木等歳出!T$4,0)</f>
        <v>48228</v>
      </c>
      <c r="E21" s="1214">
        <f>ROUND(E$5*市町土木等歳出!U8/市町土木等歳出!U$4,0)</f>
        <v>44355</v>
      </c>
      <c r="F21" s="1214">
        <f>ROUND(F$5*市町土木等歳出!V8/市町土木等歳出!V$4,0)</f>
        <v>34042</v>
      </c>
      <c r="G21" s="1214">
        <f>ROUND(G$5*市町土木等歳出!W8/市町土木等歳出!W$4,0)</f>
        <v>30504</v>
      </c>
      <c r="H21" s="1214">
        <f>ROUND(H$5*市町土木等歳出!X8/市町土木等歳出!X$4,0)</f>
        <v>57020</v>
      </c>
      <c r="I21" s="1214">
        <f>ROUND(I$5*市町土木等歳出!Y8/市町土木等歳出!Y$4,0)</f>
        <v>43613</v>
      </c>
      <c r="J21" s="1214">
        <f>ROUND(J$5*市町土木等歳出!Z8/市町土木等歳出!Z$4,0)</f>
        <v>36216</v>
      </c>
      <c r="K21" s="1214">
        <f>ROUND(K$5*市町土木等歳出!AA8/市町土木等歳出!AA$4,0)</f>
        <v>28358</v>
      </c>
      <c r="L21" s="1214">
        <f>ROUND(L$5*市町土木等歳出!AB8/市町土木等歳出!AB$4,0)</f>
        <v>48685</v>
      </c>
      <c r="M21" s="1214">
        <f>ROUND(M$5*市町土木等歳出!AC8/市町土木等歳出!AC$4,0)</f>
        <v>43487</v>
      </c>
      <c r="N21" s="1214">
        <f>ROUND(N$5*市町土木等歳出!AD8/市町土木等歳出!AD$4,0)</f>
        <v>38183</v>
      </c>
      <c r="O21" s="1214">
        <f>ROUND(O$5*市町土木等歳出!AE8/市町土木等歳出!AE$4,0)</f>
        <v>44822</v>
      </c>
      <c r="P21" s="1214">
        <f>ROUND(P$5*市町土木等歳出!AF8/市町土木等歳出!AF$4,0)</f>
        <v>44755</v>
      </c>
      <c r="Q21" s="1214">
        <f>ROUND(Q$5*市町土木等歳出!AG8/市町土木等歳出!AG$4,0)</f>
        <v>59028</v>
      </c>
      <c r="R21" s="1214">
        <f>ROUND(R$5*市町土木等歳出!AH8/市町土木等歳出!AH$4,0)</f>
        <v>57161</v>
      </c>
      <c r="S21" s="1214">
        <f>ROUND(S$5*市町土木等歳出!AI8/市町土木等歳出!AI$4,0)</f>
        <v>52656</v>
      </c>
      <c r="T21" s="1214">
        <f>ROUND(T$5*市町土木等歳出!AJ8/市町土木等歳出!AJ$4,0)</f>
        <v>44129</v>
      </c>
      <c r="U21" s="1214">
        <f>ROUND(U$5*市町土木等歳出!AK8/市町土木等歳出!AK$4,0)</f>
        <v>35902</v>
      </c>
      <c r="V21" s="1214">
        <f>ROUND(V$5*市町土木等歳出!AL8/市町土木等歳出!AL$4,0)</f>
        <v>37837</v>
      </c>
      <c r="W21" s="1214">
        <f>ROUND(W$5*市町土木等歳出!AM8/市町土木等歳出!AM$4,0)</f>
        <v>36027</v>
      </c>
      <c r="X21" s="1214">
        <f>ROUND(X$5*市町土木等歳出!AN8/市町土木等歳出!AN$4,0)</f>
        <v>35432</v>
      </c>
    </row>
    <row r="22" spans="1:24">
      <c r="A22" s="1218">
        <v>206</v>
      </c>
      <c r="B22" s="1218" t="s">
        <v>185</v>
      </c>
      <c r="C22" s="1215">
        <f>ROUND(C$5*市町土木等歳出!S9/市町土木等歳出!S$4,0)</f>
        <v>14027</v>
      </c>
      <c r="D22" s="1215">
        <f>ROUND(D$5*市町土木等歳出!T9/市町土木等歳出!T$4,0)</f>
        <v>13198</v>
      </c>
      <c r="E22" s="1215">
        <f>ROUND(E$5*市町土木等歳出!U9/市町土木等歳出!U$4,0)</f>
        <v>11017</v>
      </c>
      <c r="F22" s="1215">
        <f>ROUND(F$5*市町土木等歳出!V9/市町土木等歳出!V$4,0)</f>
        <v>18493</v>
      </c>
      <c r="G22" s="1215">
        <f>ROUND(G$5*市町土木等歳出!W9/市町土木等歳出!W$4,0)</f>
        <v>12450</v>
      </c>
      <c r="H22" s="1215">
        <f>ROUND(H$5*市町土木等歳出!X9/市町土木等歳出!X$4,0)</f>
        <v>5675</v>
      </c>
      <c r="I22" s="1215">
        <f>ROUND(I$5*市町土木等歳出!Y9/市町土木等歳出!Y$4,0)</f>
        <v>6557</v>
      </c>
      <c r="J22" s="1215">
        <f>ROUND(J$5*市町土木等歳出!Z9/市町土木等歳出!Z$4,0)</f>
        <v>25828</v>
      </c>
      <c r="K22" s="1215">
        <f>ROUND(K$5*市町土木等歳出!AA9/市町土木等歳出!AA$4,0)</f>
        <v>16624</v>
      </c>
      <c r="L22" s="1215">
        <f>ROUND(L$5*市町土木等歳出!AB9/市町土木等歳出!AB$4,0)</f>
        <v>31703</v>
      </c>
      <c r="M22" s="1215">
        <f>ROUND(M$5*市町土木等歳出!AC9/市町土木等歳出!AC$4,0)</f>
        <v>28472</v>
      </c>
      <c r="N22" s="1215">
        <f>ROUND(N$5*市町土木等歳出!AD9/市町土木等歳出!AD$4,0)</f>
        <v>25424</v>
      </c>
      <c r="O22" s="1215">
        <f>ROUND(O$5*市町土木等歳出!AE9/市町土木等歳出!AE$4,0)</f>
        <v>22735</v>
      </c>
      <c r="P22" s="1215">
        <f>ROUND(P$5*市町土木等歳出!AF9/市町土木等歳出!AF$4,0)</f>
        <v>16314</v>
      </c>
      <c r="Q22" s="1215">
        <f>ROUND(Q$5*市町土木等歳出!AG9/市町土木等歳出!AG$4,0)</f>
        <v>25218</v>
      </c>
      <c r="R22" s="1215">
        <f>ROUND(R$5*市町土木等歳出!AH9/市町土木等歳出!AH$4,0)</f>
        <v>18482</v>
      </c>
      <c r="S22" s="1215">
        <f>ROUND(S$5*市町土木等歳出!AI9/市町土木等歳出!AI$4,0)</f>
        <v>15984</v>
      </c>
      <c r="T22" s="1215">
        <f>ROUND(T$5*市町土木等歳出!AJ9/市町土木等歳出!AJ$4,0)</f>
        <v>12777</v>
      </c>
      <c r="U22" s="1215">
        <f>ROUND(U$5*市町土木等歳出!AK9/市町土木等歳出!AK$4,0)</f>
        <v>30379</v>
      </c>
      <c r="V22" s="1215">
        <f>ROUND(V$5*市町土木等歳出!AL9/市町土木等歳出!AL$4,0)</f>
        <v>19732</v>
      </c>
      <c r="W22" s="1215">
        <f>ROUND(W$5*市町土木等歳出!AM9/市町土木等歳出!AM$4,0)</f>
        <v>21204</v>
      </c>
      <c r="X22" s="1215">
        <f>ROUND(X$5*市町土木等歳出!AN9/市町土木等歳出!AN$4,0)</f>
        <v>23570</v>
      </c>
    </row>
    <row r="23" spans="1:24">
      <c r="A23" s="1204">
        <v>2</v>
      </c>
      <c r="B23" s="1204" t="s">
        <v>324</v>
      </c>
      <c r="C23" s="1217">
        <f>SUM(C24:C28)</f>
        <v>68661</v>
      </c>
      <c r="D23" s="1217">
        <f>SUM(D24:D28)</f>
        <v>56194</v>
      </c>
      <c r="E23" s="1217">
        <f t="shared" ref="E23:J23" si="56">SUM(E24:E28)</f>
        <v>51835</v>
      </c>
      <c r="F23" s="1217">
        <f t="shared" si="56"/>
        <v>67734</v>
      </c>
      <c r="G23" s="1217">
        <f t="shared" si="56"/>
        <v>59052</v>
      </c>
      <c r="H23" s="1217">
        <f t="shared" si="56"/>
        <v>40667</v>
      </c>
      <c r="I23" s="1217">
        <f t="shared" si="56"/>
        <v>57833</v>
      </c>
      <c r="J23" s="1217">
        <f t="shared" si="56"/>
        <v>53279</v>
      </c>
      <c r="K23" s="1217">
        <f t="shared" ref="K23:P23" si="57">SUM(K24:K28)</f>
        <v>72156</v>
      </c>
      <c r="L23" s="1217">
        <f t="shared" si="57"/>
        <v>56831</v>
      </c>
      <c r="M23" s="1217">
        <f t="shared" si="57"/>
        <v>58469</v>
      </c>
      <c r="N23" s="1217">
        <f t="shared" si="57"/>
        <v>71182</v>
      </c>
      <c r="O23" s="1217">
        <f t="shared" si="57"/>
        <v>53881</v>
      </c>
      <c r="P23" s="1217">
        <f t="shared" si="57"/>
        <v>77684</v>
      </c>
      <c r="Q23" s="1217">
        <f t="shared" ref="Q23:V23" si="58">SUM(Q24:Q28)</f>
        <v>62790</v>
      </c>
      <c r="R23" s="1217">
        <f t="shared" si="58"/>
        <v>95850</v>
      </c>
      <c r="S23" s="1217">
        <f t="shared" si="58"/>
        <v>98977</v>
      </c>
      <c r="T23" s="1217">
        <f t="shared" si="58"/>
        <v>78569</v>
      </c>
      <c r="U23" s="1217">
        <f t="shared" si="58"/>
        <v>320626</v>
      </c>
      <c r="V23" s="1217">
        <f t="shared" si="58"/>
        <v>179150</v>
      </c>
      <c r="W23" s="1217">
        <f t="shared" ref="W23:X23" si="59">SUM(W24:W28)</f>
        <v>202231</v>
      </c>
      <c r="X23" s="1217">
        <f t="shared" si="59"/>
        <v>233708</v>
      </c>
    </row>
    <row r="24" spans="1:24">
      <c r="A24" s="1206">
        <v>207</v>
      </c>
      <c r="B24" s="1206" t="s">
        <v>187</v>
      </c>
      <c r="C24" s="1214">
        <f>ROUND(C$5*市町土木等歳出!S11/市町土木等歳出!S$4,0)</f>
        <v>19759</v>
      </c>
      <c r="D24" s="1214">
        <f>ROUND(D$5*市町土木等歳出!T11/市町土木等歳出!T$4,0)</f>
        <v>17760</v>
      </c>
      <c r="E24" s="1214">
        <f>ROUND(E$5*市町土木等歳出!U11/市町土木等歳出!U$4,0)</f>
        <v>14073</v>
      </c>
      <c r="F24" s="1214">
        <f>ROUND(F$5*市町土木等歳出!V11/市町土木等歳出!V$4,0)</f>
        <v>20210</v>
      </c>
      <c r="G24" s="1214">
        <f>ROUND(G$5*市町土木等歳出!W11/市町土木等歳出!W$4,0)</f>
        <v>13652</v>
      </c>
      <c r="H24" s="1214">
        <f>ROUND(H$5*市町土木等歳出!X11/市町土木等歳出!X$4,0)</f>
        <v>12991</v>
      </c>
      <c r="I24" s="1214">
        <f>ROUND(I$5*市町土木等歳出!Y11/市町土木等歳出!Y$4,0)</f>
        <v>8954</v>
      </c>
      <c r="J24" s="1214">
        <f>ROUND(J$5*市町土木等歳出!Z11/市町土木等歳出!Z$4,0)</f>
        <v>12990</v>
      </c>
      <c r="K24" s="1214">
        <f>ROUND(K$5*市町土木等歳出!AA11/市町土木等歳出!AA$4,0)</f>
        <v>18046</v>
      </c>
      <c r="L24" s="1214">
        <f>ROUND(L$5*市町土木等歳出!AB11/市町土木等歳出!AB$4,0)</f>
        <v>12067</v>
      </c>
      <c r="M24" s="1214">
        <f>ROUND(M$5*市町土木等歳出!AC11/市町土木等歳出!AC$4,0)</f>
        <v>13216</v>
      </c>
      <c r="N24" s="1214">
        <f>ROUND(N$5*市町土木等歳出!AD11/市町土木等歳出!AD$4,0)</f>
        <v>12750</v>
      </c>
      <c r="O24" s="1214">
        <f>ROUND(O$5*市町土木等歳出!AE11/市町土木等歳出!AE$4,0)</f>
        <v>10119</v>
      </c>
      <c r="P24" s="1214">
        <f>ROUND(P$5*市町土木等歳出!AF11/市町土木等歳出!AF$4,0)</f>
        <v>22447</v>
      </c>
      <c r="Q24" s="1214">
        <f>ROUND(Q$5*市町土木等歳出!AG11/市町土木等歳出!AG$4,0)</f>
        <v>23133</v>
      </c>
      <c r="R24" s="1214">
        <f>ROUND(R$5*市町土木等歳出!AH11/市町土木等歳出!AH$4,0)</f>
        <v>39577</v>
      </c>
      <c r="S24" s="1214">
        <f>ROUND(S$5*市町土木等歳出!AI11/市町土木等歳出!AI$4,0)</f>
        <v>38784</v>
      </c>
      <c r="T24" s="1214">
        <f>ROUND(T$5*市町土木等歳出!AJ11/市町土木等歳出!AJ$4,0)</f>
        <v>21413</v>
      </c>
      <c r="U24" s="1214">
        <f>ROUND(U$5*市町土木等歳出!AK11/市町土木等歳出!AK$4,0)</f>
        <v>28418</v>
      </c>
      <c r="V24" s="1214">
        <f>ROUND(V$5*市町土木等歳出!AL11/市町土木等歳出!AL$4,0)</f>
        <v>26081</v>
      </c>
      <c r="W24" s="1214">
        <f>ROUND(W$5*市町土木等歳出!AM11/市町土木等歳出!AM$4,0)</f>
        <v>24310</v>
      </c>
      <c r="X24" s="1214">
        <f>ROUND(X$5*市町土木等歳出!AN11/市町土木等歳出!AN$4,0)</f>
        <v>25630</v>
      </c>
    </row>
    <row r="25" spans="1:24">
      <c r="A25" s="1206">
        <v>214</v>
      </c>
      <c r="B25" s="1206" t="s">
        <v>188</v>
      </c>
      <c r="C25" s="1214">
        <f>ROUND(C$5*市町土木等歳出!S12/市町土木等歳出!S$4,0)</f>
        <v>19863</v>
      </c>
      <c r="D25" s="1214">
        <f>ROUND(D$5*市町土木等歳出!T12/市町土木等歳出!T$4,0)</f>
        <v>18071</v>
      </c>
      <c r="E25" s="1214">
        <f>ROUND(E$5*市町土木等歳出!U12/市町土木等歳出!U$4,0)</f>
        <v>18385</v>
      </c>
      <c r="F25" s="1214">
        <f>ROUND(F$5*市町土木等歳出!V12/市町土木等歳出!V$4,0)</f>
        <v>19800</v>
      </c>
      <c r="G25" s="1214">
        <f>ROUND(G$5*市町土木等歳出!W12/市町土木等歳出!W$4,0)</f>
        <v>24040</v>
      </c>
      <c r="H25" s="1214">
        <f>ROUND(H$5*市町土木等歳出!X12/市町土木等歳出!X$4,0)</f>
        <v>13117</v>
      </c>
      <c r="I25" s="1214">
        <f>ROUND(I$5*市町土木等歳出!Y12/市町土木等歳出!Y$4,0)</f>
        <v>21169</v>
      </c>
      <c r="J25" s="1214">
        <f>ROUND(J$5*市町土木等歳出!Z12/市町土木等歳出!Z$4,0)</f>
        <v>14846</v>
      </c>
      <c r="K25" s="1214">
        <f>ROUND(K$5*市町土木等歳出!AA12/市町土木等歳出!AA$4,0)</f>
        <v>17138</v>
      </c>
      <c r="L25" s="1214">
        <f>ROUND(L$5*市町土木等歳出!AB12/市町土木等歳出!AB$4,0)</f>
        <v>16123</v>
      </c>
      <c r="M25" s="1214">
        <f>ROUND(M$5*市町土木等歳出!AC12/市町土木等歳出!AC$4,0)</f>
        <v>15965</v>
      </c>
      <c r="N25" s="1214">
        <f>ROUND(N$5*市町土木等歳出!AD12/市町土木等歳出!AD$4,0)</f>
        <v>19840</v>
      </c>
      <c r="O25" s="1214">
        <f>ROUND(O$5*市町土木等歳出!AE12/市町土木等歳出!AE$4,0)</f>
        <v>17978</v>
      </c>
      <c r="P25" s="1214">
        <f>ROUND(P$5*市町土木等歳出!AF12/市町土木等歳出!AF$4,0)</f>
        <v>22466</v>
      </c>
      <c r="Q25" s="1214">
        <f>ROUND(Q$5*市町土木等歳出!AG12/市町土木等歳出!AG$4,0)</f>
        <v>14064</v>
      </c>
      <c r="R25" s="1214">
        <f>ROUND(R$5*市町土木等歳出!AH12/市町土木等歳出!AH$4,0)</f>
        <v>24593</v>
      </c>
      <c r="S25" s="1214">
        <f>ROUND(S$5*市町土木等歳出!AI12/市町土木等歳出!AI$4,0)</f>
        <v>25580</v>
      </c>
      <c r="T25" s="1214">
        <f>ROUND(T$5*市町土木等歳出!AJ12/市町土木等歳出!AJ$4,0)</f>
        <v>31782</v>
      </c>
      <c r="U25" s="1214">
        <f>ROUND(U$5*市町土木等歳出!AK12/市町土木等歳出!AK$4,0)</f>
        <v>23270</v>
      </c>
      <c r="V25" s="1214">
        <f>ROUND(V$5*市町土木等歳出!AL12/市町土木等歳出!AL$4,0)</f>
        <v>23353</v>
      </c>
      <c r="W25" s="1214">
        <f>ROUND(W$5*市町土木等歳出!AM12/市町土木等歳出!AM$4,0)</f>
        <v>23693</v>
      </c>
      <c r="X25" s="1214">
        <f>ROUND(X$5*市町土木等歳出!AN12/市町土木等歳出!AN$4,0)</f>
        <v>22733</v>
      </c>
    </row>
    <row r="26" spans="1:24">
      <c r="A26" s="1206">
        <v>217</v>
      </c>
      <c r="B26" s="1206" t="s">
        <v>189</v>
      </c>
      <c r="C26" s="1214">
        <f>ROUND(C$5*市町土木等歳出!S13/市町土木等歳出!S$4,0)</f>
        <v>13348</v>
      </c>
      <c r="D26" s="1214">
        <f>ROUND(D$5*市町土木等歳出!T13/市町土木等歳出!T$4,0)</f>
        <v>12086</v>
      </c>
      <c r="E26" s="1214">
        <f>ROUND(E$5*市町土木等歳出!U13/市町土木等歳出!U$4,0)</f>
        <v>10760</v>
      </c>
      <c r="F26" s="1214">
        <f>ROUND(F$5*市町土木等歳出!V13/市町土木等歳出!V$4,0)</f>
        <v>8613</v>
      </c>
      <c r="G26" s="1214">
        <f>ROUND(G$5*市町土木等歳出!W13/市町土木等歳出!W$4,0)</f>
        <v>8532</v>
      </c>
      <c r="H26" s="1214">
        <f>ROUND(H$5*市町土木等歳出!X13/市町土木等歳出!X$4,0)</f>
        <v>7420</v>
      </c>
      <c r="I26" s="1214">
        <f>ROUND(I$5*市町土木等歳出!Y13/市町土木等歳出!Y$4,0)</f>
        <v>12800</v>
      </c>
      <c r="J26" s="1214">
        <f>ROUND(J$5*市町土木等歳出!Z13/市町土木等歳出!Z$4,0)</f>
        <v>14139</v>
      </c>
      <c r="K26" s="1214">
        <f>ROUND(K$5*市町土木等歳出!AA13/市町土木等歳出!AA$4,0)</f>
        <v>13827</v>
      </c>
      <c r="L26" s="1214">
        <f>ROUND(L$5*市町土木等歳出!AB13/市町土木等歳出!AB$4,0)</f>
        <v>15795</v>
      </c>
      <c r="M26" s="1214">
        <f>ROUND(M$5*市町土木等歳出!AC13/市町土木等歳出!AC$4,0)</f>
        <v>15218</v>
      </c>
      <c r="N26" s="1214">
        <f>ROUND(N$5*市町土木等歳出!AD13/市町土木等歳出!AD$4,0)</f>
        <v>27959</v>
      </c>
      <c r="O26" s="1214">
        <f>ROUND(O$5*市町土木等歳出!AE13/市町土木等歳出!AE$4,0)</f>
        <v>16830</v>
      </c>
      <c r="P26" s="1214">
        <f>ROUND(P$5*市町土木等歳出!AF13/市町土木等歳出!AF$4,0)</f>
        <v>17692</v>
      </c>
      <c r="Q26" s="1214">
        <f>ROUND(Q$5*市町土木等歳出!AG13/市町土木等歳出!AG$4,0)</f>
        <v>13744</v>
      </c>
      <c r="R26" s="1214">
        <f>ROUND(R$5*市町土木等歳出!AH13/市町土木等歳出!AH$4,0)</f>
        <v>17822</v>
      </c>
      <c r="S26" s="1214">
        <f>ROUND(S$5*市町土木等歳出!AI13/市町土木等歳出!AI$4,0)</f>
        <v>21490</v>
      </c>
      <c r="T26" s="1214">
        <f>ROUND(T$5*市町土木等歳出!AJ13/市町土木等歳出!AJ$4,0)</f>
        <v>11435</v>
      </c>
      <c r="U26" s="1214">
        <f>ROUND(U$5*市町土木等歳出!AK13/市町土木等歳出!AK$4,0)</f>
        <v>8475</v>
      </c>
      <c r="V26" s="1214">
        <f>ROUND(V$5*市町土木等歳出!AL13/市町土木等歳出!AL$4,0)</f>
        <v>11216</v>
      </c>
      <c r="W26" s="1214">
        <f>ROUND(W$5*市町土木等歳出!AM13/市町土木等歳出!AM$4,0)</f>
        <v>9442</v>
      </c>
      <c r="X26" s="1214">
        <f>ROUND(X$5*市町土木等歳出!AN13/市町土木等歳出!AN$4,0)</f>
        <v>9312</v>
      </c>
    </row>
    <row r="27" spans="1:24">
      <c r="A27" s="1206">
        <v>219</v>
      </c>
      <c r="B27" s="1206" t="s">
        <v>190</v>
      </c>
      <c r="C27" s="1214">
        <f>ROUND(C$5*市町土木等歳出!S14/市町土木等歳出!S$4,0)</f>
        <v>13375</v>
      </c>
      <c r="D27" s="1214">
        <f>ROUND(D$5*市町土木等歳出!T14/市町土木等歳出!T$4,0)</f>
        <v>6600</v>
      </c>
      <c r="E27" s="1214">
        <f>ROUND(E$5*市町土木等歳出!U14/市町土木等歳出!U$4,0)</f>
        <v>6760</v>
      </c>
      <c r="F27" s="1214">
        <f>ROUND(F$5*市町土木等歳出!V14/市町土木等歳出!V$4,0)</f>
        <v>17255</v>
      </c>
      <c r="G27" s="1214">
        <f>ROUND(G$5*市町土木等歳出!W14/市町土木等歳出!W$4,0)</f>
        <v>11340</v>
      </c>
      <c r="H27" s="1214">
        <f>ROUND(H$5*市町土木等歳出!X14/市町土木等歳出!X$4,0)</f>
        <v>5948</v>
      </c>
      <c r="I27" s="1214">
        <f>ROUND(I$5*市町土木等歳出!Y14/市町土木等歳出!Y$4,0)</f>
        <v>12241</v>
      </c>
      <c r="J27" s="1214">
        <f>ROUND(J$5*市町土木等歳出!Z14/市町土木等歳出!Z$4,0)</f>
        <v>9254</v>
      </c>
      <c r="K27" s="1214">
        <f>ROUND(K$5*市町土木等歳出!AA14/市町土木等歳出!AA$4,0)</f>
        <v>19164</v>
      </c>
      <c r="L27" s="1214">
        <f>ROUND(L$5*市町土木等歳出!AB14/市町土木等歳出!AB$4,0)</f>
        <v>10354</v>
      </c>
      <c r="M27" s="1214">
        <f>ROUND(M$5*市町土木等歳出!AC14/市町土木等歳出!AC$4,0)</f>
        <v>11528</v>
      </c>
      <c r="N27" s="1214">
        <f>ROUND(N$5*市町土木等歳出!AD14/市町土木等歳出!AD$4,0)</f>
        <v>8181</v>
      </c>
      <c r="O27" s="1214">
        <f>ROUND(O$5*市町土木等歳出!AE14/市町土木等歳出!AE$4,0)</f>
        <v>7374</v>
      </c>
      <c r="P27" s="1214">
        <f>ROUND(P$5*市町土木等歳出!AF14/市町土木等歳出!AF$4,0)</f>
        <v>9529</v>
      </c>
      <c r="Q27" s="1214">
        <f>ROUND(Q$5*市町土木等歳出!AG14/市町土木等歳出!AG$4,0)</f>
        <v>8063</v>
      </c>
      <c r="R27" s="1214">
        <f>ROUND(R$5*市町土木等歳出!AH14/市町土木等歳出!AH$4,0)</f>
        <v>11074</v>
      </c>
      <c r="S27" s="1214">
        <f>ROUND(S$5*市町土木等歳出!AI14/市町土木等歳出!AI$4,0)</f>
        <v>10778</v>
      </c>
      <c r="T27" s="1214">
        <f>ROUND(T$5*市町土木等歳出!AJ14/市町土木等歳出!AJ$4,0)</f>
        <v>11072</v>
      </c>
      <c r="U27" s="1214">
        <f>ROUND(U$5*市町土木等歳出!AK14/市町土木等歳出!AK$4,0)</f>
        <v>19025</v>
      </c>
      <c r="V27" s="1214">
        <f>ROUND(V$5*市町土木等歳出!AL14/市町土木等歳出!AL$4,0)</f>
        <v>13261</v>
      </c>
      <c r="W27" s="1214">
        <f>ROUND(W$5*市町土木等歳出!AM14/市町土木等歳出!AM$4,0)</f>
        <v>14243</v>
      </c>
      <c r="X27" s="1214">
        <f>ROUND(X$5*市町土木等歳出!AN14/市町土木等歳出!AN$4,0)</f>
        <v>15319</v>
      </c>
    </row>
    <row r="28" spans="1:24">
      <c r="A28" s="1218">
        <v>301</v>
      </c>
      <c r="B28" s="1218" t="s">
        <v>191</v>
      </c>
      <c r="C28" s="1215">
        <f>ROUND(C$5*市町土木等歳出!S15/市町土木等歳出!S$4,0)</f>
        <v>2316</v>
      </c>
      <c r="D28" s="1215">
        <f>ROUND(D$5*市町土木等歳出!T15/市町土木等歳出!T$4,0)</f>
        <v>1677</v>
      </c>
      <c r="E28" s="1215">
        <f>ROUND(E$5*市町土木等歳出!U15/市町土木等歳出!U$4,0)</f>
        <v>1857</v>
      </c>
      <c r="F28" s="1215">
        <f>ROUND(F$5*市町土木等歳出!V15/市町土木等歳出!V$4,0)</f>
        <v>1856</v>
      </c>
      <c r="G28" s="1215">
        <f>ROUND(G$5*市町土木等歳出!W15/市町土木等歳出!W$4,0)</f>
        <v>1488</v>
      </c>
      <c r="H28" s="1215">
        <f>ROUND(H$5*市町土木等歳出!X15/市町土木等歳出!X$4,0)</f>
        <v>1191</v>
      </c>
      <c r="I28" s="1215">
        <f>ROUND(I$5*市町土木等歳出!Y15/市町土木等歳出!Y$4,0)</f>
        <v>2669</v>
      </c>
      <c r="J28" s="1215">
        <f>ROUND(J$5*市町土木等歳出!Z15/市町土木等歳出!Z$4,0)</f>
        <v>2050</v>
      </c>
      <c r="K28" s="1215">
        <f>ROUND(K$5*市町土木等歳出!AA15/市町土木等歳出!AA$4,0)</f>
        <v>3981</v>
      </c>
      <c r="L28" s="1215">
        <f>ROUND(L$5*市町土木等歳出!AB15/市町土木等歳出!AB$4,0)</f>
        <v>2492</v>
      </c>
      <c r="M28" s="1215">
        <f>ROUND(M$5*市町土木等歳出!AC15/市町土木等歳出!AC$4,0)</f>
        <v>2542</v>
      </c>
      <c r="N28" s="1215">
        <f>ROUND(N$5*市町土木等歳出!AD15/市町土木等歳出!AD$4,0)</f>
        <v>2452</v>
      </c>
      <c r="O28" s="1215">
        <f>ROUND(O$5*市町土木等歳出!AE15/市町土木等歳出!AE$4,0)</f>
        <v>1580</v>
      </c>
      <c r="P28" s="1215">
        <f>ROUND(P$5*市町土木等歳出!AF15/市町土木等歳出!AF$4,0)</f>
        <v>5550</v>
      </c>
      <c r="Q28" s="1215">
        <f>ROUND(Q$5*市町土木等歳出!AG15/市町土木等歳出!AG$4,0)</f>
        <v>3786</v>
      </c>
      <c r="R28" s="1215">
        <f>ROUND(R$5*市町土木等歳出!AH15/市町土木等歳出!AH$4,0)</f>
        <v>2784</v>
      </c>
      <c r="S28" s="1215">
        <f>ROUND(S$5*市町土木等歳出!AI15/市町土木等歳出!AI$4,0)</f>
        <v>2345</v>
      </c>
      <c r="T28" s="1215">
        <f>ROUND(T$5*市町土木等歳出!AJ15/市町土木等歳出!AJ$4,0)</f>
        <v>2867</v>
      </c>
      <c r="U28" s="1215">
        <f>ROUND(U$5*市町土木等歳出!AK15/市町土木等歳出!AK$4,0)</f>
        <v>241438</v>
      </c>
      <c r="V28" s="1215">
        <f>ROUND(V$5*市町土木等歳出!AL15/市町土木等歳出!AL$4,0)</f>
        <v>105239</v>
      </c>
      <c r="W28" s="1215">
        <f>ROUND(W$5*市町土木等歳出!AM15/市町土木等歳出!AM$4,0)</f>
        <v>130543</v>
      </c>
      <c r="X28" s="1215">
        <f>ROUND(X$5*市町土木等歳出!AN15/市町土木等歳出!AN$4,0)</f>
        <v>160714</v>
      </c>
    </row>
    <row r="29" spans="1:24">
      <c r="A29" s="1204">
        <v>3</v>
      </c>
      <c r="B29" s="1204" t="s">
        <v>192</v>
      </c>
      <c r="C29" s="1217">
        <f>SUM(C30:C34)</f>
        <v>83841</v>
      </c>
      <c r="D29" s="1217">
        <f>SUM(D30:D34)</f>
        <v>68224</v>
      </c>
      <c r="E29" s="1217">
        <f t="shared" ref="E29:J29" si="60">SUM(E30:E34)</f>
        <v>64169</v>
      </c>
      <c r="F29" s="1217">
        <f t="shared" si="60"/>
        <v>59026</v>
      </c>
      <c r="G29" s="1217">
        <f t="shared" si="60"/>
        <v>76420</v>
      </c>
      <c r="H29" s="1217">
        <f t="shared" si="60"/>
        <v>56971</v>
      </c>
      <c r="I29" s="1217">
        <f t="shared" si="60"/>
        <v>62792</v>
      </c>
      <c r="J29" s="1217">
        <f t="shared" si="60"/>
        <v>82953</v>
      </c>
      <c r="K29" s="1217">
        <f t="shared" ref="K29:P29" si="61">SUM(K30:K34)</f>
        <v>65013</v>
      </c>
      <c r="L29" s="1217">
        <f t="shared" si="61"/>
        <v>56697</v>
      </c>
      <c r="M29" s="1217">
        <f t="shared" si="61"/>
        <v>62967</v>
      </c>
      <c r="N29" s="1217">
        <f t="shared" si="61"/>
        <v>78032</v>
      </c>
      <c r="O29" s="1217">
        <f t="shared" si="61"/>
        <v>73102</v>
      </c>
      <c r="P29" s="1217">
        <f t="shared" si="61"/>
        <v>85494</v>
      </c>
      <c r="Q29" s="1217">
        <f t="shared" ref="Q29:V29" si="62">SUM(Q30:Q34)</f>
        <v>118021</v>
      </c>
      <c r="R29" s="1217">
        <f t="shared" si="62"/>
        <v>131988</v>
      </c>
      <c r="S29" s="1217">
        <f t="shared" si="62"/>
        <v>79579</v>
      </c>
      <c r="T29" s="1217">
        <f t="shared" si="62"/>
        <v>88843</v>
      </c>
      <c r="U29" s="1217">
        <f t="shared" si="62"/>
        <v>89555</v>
      </c>
      <c r="V29" s="1217">
        <f t="shared" si="62"/>
        <v>77658</v>
      </c>
      <c r="W29" s="1217">
        <f t="shared" ref="W29:X29" si="63">SUM(W30:W34)</f>
        <v>79943</v>
      </c>
      <c r="X29" s="1217">
        <f t="shared" si="63"/>
        <v>80492</v>
      </c>
    </row>
    <row r="30" spans="1:24">
      <c r="A30" s="1206">
        <v>203</v>
      </c>
      <c r="B30" s="1206" t="s">
        <v>193</v>
      </c>
      <c r="C30" s="1214">
        <f>ROUND(C$5*市町土木等歳出!S17/市町土木等歳出!S$4,0)</f>
        <v>34645</v>
      </c>
      <c r="D30" s="1214">
        <f>ROUND(D$5*市町土木等歳出!T17/市町土木等歳出!T$4,0)</f>
        <v>27041</v>
      </c>
      <c r="E30" s="1214">
        <f>ROUND(E$5*市町土木等歳出!U17/市町土木等歳出!U$4,0)</f>
        <v>30570</v>
      </c>
      <c r="F30" s="1214">
        <f>ROUND(F$5*市町土木等歳出!V17/市町土木等歳出!V$4,0)</f>
        <v>27563</v>
      </c>
      <c r="G30" s="1214">
        <f>ROUND(G$5*市町土木等歳出!W17/市町土木等歳出!W$4,0)</f>
        <v>32090</v>
      </c>
      <c r="H30" s="1214">
        <f>ROUND(H$5*市町土木等歳出!X17/市町土木等歳出!X$4,0)</f>
        <v>26428</v>
      </c>
      <c r="I30" s="1214">
        <f>ROUND(I$5*市町土木等歳出!Y17/市町土木等歳出!Y$4,0)</f>
        <v>28040</v>
      </c>
      <c r="J30" s="1214">
        <f>ROUND(J$5*市町土木等歳出!Z17/市町土木等歳出!Z$4,0)</f>
        <v>43139</v>
      </c>
      <c r="K30" s="1214">
        <f>ROUND(K$5*市町土木等歳出!AA17/市町土木等歳出!AA$4,0)</f>
        <v>29796</v>
      </c>
      <c r="L30" s="1214">
        <f>ROUND(L$5*市町土木等歳出!AB17/市町土木等歳出!AB$4,0)</f>
        <v>29828</v>
      </c>
      <c r="M30" s="1214">
        <f>ROUND(M$5*市町土木等歳出!AC17/市町土木等歳出!AC$4,0)</f>
        <v>32336</v>
      </c>
      <c r="N30" s="1214">
        <f>ROUND(N$5*市町土木等歳出!AD17/市町土木等歳出!AD$4,0)</f>
        <v>29332</v>
      </c>
      <c r="O30" s="1214">
        <f>ROUND(O$5*市町土木等歳出!AE17/市町土木等歳出!AE$4,0)</f>
        <v>33993</v>
      </c>
      <c r="P30" s="1214">
        <f>ROUND(P$5*市町土木等歳出!AF17/市町土木等歳出!AF$4,0)</f>
        <v>22495</v>
      </c>
      <c r="Q30" s="1214">
        <f>ROUND(Q$5*市町土木等歳出!AG17/市町土木等歳出!AG$4,0)</f>
        <v>27604</v>
      </c>
      <c r="R30" s="1214">
        <f>ROUND(R$5*市町土木等歳出!AH17/市町土木等歳出!AH$4,0)</f>
        <v>26344</v>
      </c>
      <c r="S30" s="1214">
        <f>ROUND(S$5*市町土木等歳出!AI17/市町土木等歳出!AI$4,0)</f>
        <v>29655</v>
      </c>
      <c r="T30" s="1214">
        <f>ROUND(T$5*市町土木等歳出!AJ17/市町土木等歳出!AJ$4,0)</f>
        <v>32226</v>
      </c>
      <c r="U30" s="1214">
        <f>ROUND(U$5*市町土木等歳出!AK17/市町土木等歳出!AK$4,0)</f>
        <v>35121</v>
      </c>
      <c r="V30" s="1214">
        <f>ROUND(V$5*市町土木等歳出!AL17/市町土木等歳出!AL$4,0)</f>
        <v>29483</v>
      </c>
      <c r="W30" s="1214">
        <f>ROUND(W$5*市町土木等歳出!AM17/市町土木等歳出!AM$4,0)</f>
        <v>30468</v>
      </c>
      <c r="X30" s="1214">
        <f>ROUND(X$5*市町土木等歳出!AN17/市町土木等歳出!AN$4,0)</f>
        <v>31013</v>
      </c>
    </row>
    <row r="31" spans="1:24">
      <c r="A31" s="1206">
        <v>210</v>
      </c>
      <c r="B31" s="1206" t="s">
        <v>194</v>
      </c>
      <c r="C31" s="1214">
        <f>ROUND(C$5*市町土木等歳出!S18/市町土木等歳出!S$4,0)</f>
        <v>31142</v>
      </c>
      <c r="D31" s="1214">
        <f>ROUND(D$5*市町土木等歳出!T18/市町土木等歳出!T$4,0)</f>
        <v>26579</v>
      </c>
      <c r="E31" s="1214">
        <f>ROUND(E$5*市町土木等歳出!U18/市町土木等歳出!U$4,0)</f>
        <v>21315</v>
      </c>
      <c r="F31" s="1214">
        <f>ROUND(F$5*市町土木等歳出!V18/市町土木等歳出!V$4,0)</f>
        <v>22803</v>
      </c>
      <c r="G31" s="1214">
        <f>ROUND(G$5*市町土木等歳出!W18/市町土木等歳出!W$4,0)</f>
        <v>25655</v>
      </c>
      <c r="H31" s="1214">
        <f>ROUND(H$5*市町土木等歳出!X18/市町土木等歳出!X$4,0)</f>
        <v>24485</v>
      </c>
      <c r="I31" s="1214">
        <f>ROUND(I$5*市町土木等歳出!Y18/市町土木等歳出!Y$4,0)</f>
        <v>24069</v>
      </c>
      <c r="J31" s="1214">
        <f>ROUND(J$5*市町土木等歳出!Z18/市町土木等歳出!Z$4,0)</f>
        <v>22822</v>
      </c>
      <c r="K31" s="1214">
        <f>ROUND(K$5*市町土木等歳出!AA18/市町土木等歳出!AA$4,0)</f>
        <v>21924</v>
      </c>
      <c r="L31" s="1214">
        <f>ROUND(L$5*市町土木等歳出!AB18/市町土木等歳出!AB$4,0)</f>
        <v>14892</v>
      </c>
      <c r="M31" s="1214">
        <f>ROUND(M$5*市町土木等歳出!AC18/市町土木等歳出!AC$4,0)</f>
        <v>17485</v>
      </c>
      <c r="N31" s="1214">
        <f>ROUND(N$5*市町土木等歳出!AD18/市町土木等歳出!AD$4,0)</f>
        <v>26214</v>
      </c>
      <c r="O31" s="1214">
        <f>ROUND(O$5*市町土木等歳出!AE18/市町土木等歳出!AE$4,0)</f>
        <v>19425</v>
      </c>
      <c r="P31" s="1214">
        <f>ROUND(P$5*市町土木等歳出!AF18/市町土木等歳出!AF$4,0)</f>
        <v>29843</v>
      </c>
      <c r="Q31" s="1214">
        <f>ROUND(Q$5*市町土木等歳出!AG18/市町土木等歳出!AG$4,0)</f>
        <v>35655</v>
      </c>
      <c r="R31" s="1214">
        <f>ROUND(R$5*市町土木等歳出!AH18/市町土木等歳出!AH$4,0)</f>
        <v>44990</v>
      </c>
      <c r="S31" s="1214">
        <f>ROUND(S$5*市町土木等歳出!AI18/市町土木等歳出!AI$4,0)</f>
        <v>22979</v>
      </c>
      <c r="T31" s="1214">
        <f>ROUND(T$5*市町土木等歳出!AJ18/市町土木等歳出!AJ$4,0)</f>
        <v>38722</v>
      </c>
      <c r="U31" s="1214">
        <f>ROUND(U$5*市町土木等歳出!AK18/市町土木等歳出!AK$4,0)</f>
        <v>13517</v>
      </c>
      <c r="V31" s="1214">
        <f>ROUND(V$5*市町土木等歳出!AL18/市町土木等歳出!AL$4,0)</f>
        <v>20215</v>
      </c>
      <c r="W31" s="1214">
        <f>ROUND(W$5*市町土木等歳出!AM18/市町土木等歳出!AM$4,0)</f>
        <v>20333</v>
      </c>
      <c r="X31" s="1214">
        <f>ROUND(X$5*市町土木等歳出!AN18/市町土木等歳出!AN$4,0)</f>
        <v>17153</v>
      </c>
    </row>
    <row r="32" spans="1:24">
      <c r="A32" s="1206">
        <v>216</v>
      </c>
      <c r="B32" s="1206" t="s">
        <v>195</v>
      </c>
      <c r="C32" s="1214">
        <f>ROUND(C$5*市町土木等歳出!S19/市町土木等歳出!S$4,0)</f>
        <v>10105</v>
      </c>
      <c r="D32" s="1214">
        <f>ROUND(D$5*市町土木等歳出!T19/市町土木等歳出!T$4,0)</f>
        <v>10044</v>
      </c>
      <c r="E32" s="1214">
        <f>ROUND(E$5*市町土木等歳出!U19/市町土木等歳出!U$4,0)</f>
        <v>7880</v>
      </c>
      <c r="F32" s="1214">
        <f>ROUND(F$5*市町土木等歳出!V19/市町土木等歳出!V$4,0)</f>
        <v>4235</v>
      </c>
      <c r="G32" s="1214">
        <f>ROUND(G$5*市町土木等歳出!W19/市町土木等歳出!W$4,0)</f>
        <v>11593</v>
      </c>
      <c r="H32" s="1214">
        <f>ROUND(H$5*市町土木等歳出!X19/市町土木等歳出!X$4,0)</f>
        <v>2643</v>
      </c>
      <c r="I32" s="1214">
        <f>ROUND(I$5*市町土木等歳出!Y19/市町土木等歳出!Y$4,0)</f>
        <v>6342</v>
      </c>
      <c r="J32" s="1214">
        <f>ROUND(J$5*市町土木等歳出!Z19/市町土木等歳出!Z$4,0)</f>
        <v>12074</v>
      </c>
      <c r="K32" s="1214">
        <f>ROUND(K$5*市町土木等歳出!AA19/市町土木等歳出!AA$4,0)</f>
        <v>7127</v>
      </c>
      <c r="L32" s="1214">
        <f>ROUND(L$5*市町土木等歳出!AB19/市町土木等歳出!AB$4,0)</f>
        <v>6790</v>
      </c>
      <c r="M32" s="1214">
        <f>ROUND(M$5*市町土木等歳出!AC19/市町土木等歳出!AC$4,0)</f>
        <v>7802</v>
      </c>
      <c r="N32" s="1214">
        <f>ROUND(N$5*市町土木等歳出!AD19/市町土木等歳出!AD$4,0)</f>
        <v>12501</v>
      </c>
      <c r="O32" s="1214">
        <f>ROUND(O$5*市町土木等歳出!AE19/市町土木等歳出!AE$4,0)</f>
        <v>12901</v>
      </c>
      <c r="P32" s="1214">
        <f>ROUND(P$5*市町土木等歳出!AF19/市町土木等歳出!AF$4,0)</f>
        <v>24719</v>
      </c>
      <c r="Q32" s="1214">
        <f>ROUND(Q$5*市町土木等歳出!AG19/市町土木等歳出!AG$4,0)</f>
        <v>42352</v>
      </c>
      <c r="R32" s="1214">
        <f>ROUND(R$5*市町土木等歳出!AH19/市町土木等歳出!AH$4,0)</f>
        <v>45028</v>
      </c>
      <c r="S32" s="1214">
        <f>ROUND(S$5*市町土木等歳出!AI19/市町土木等歳出!AI$4,0)</f>
        <v>17009</v>
      </c>
      <c r="T32" s="1214">
        <f>ROUND(T$5*市町土木等歳出!AJ19/市町土木等歳出!AJ$4,0)</f>
        <v>11954</v>
      </c>
      <c r="U32" s="1214">
        <f>ROUND(U$5*市町土木等歳出!AK19/市町土木等歳出!AK$4,0)</f>
        <v>32161</v>
      </c>
      <c r="V32" s="1214">
        <f>ROUND(V$5*市町土木等歳出!AL19/市町土木等歳出!AL$4,0)</f>
        <v>20535</v>
      </c>
      <c r="W32" s="1214">
        <f>ROUND(W$5*市町土木等歳出!AM19/市町土木等歳出!AM$4,0)</f>
        <v>21988</v>
      </c>
      <c r="X32" s="1214">
        <f>ROUND(X$5*市町土木等歳出!AN19/市町土木等歳出!AN$4,0)</f>
        <v>24709</v>
      </c>
    </row>
    <row r="33" spans="1:24">
      <c r="A33" s="1206">
        <v>381</v>
      </c>
      <c r="B33" s="1206" t="s">
        <v>196</v>
      </c>
      <c r="C33" s="1214">
        <f>ROUND(C$5*市町土木等歳出!S20/市町土木等歳出!S$4,0)</f>
        <v>4569</v>
      </c>
      <c r="D33" s="1214">
        <f>ROUND(D$5*市町土木等歳出!T20/市町土木等歳出!T$4,0)</f>
        <v>2298</v>
      </c>
      <c r="E33" s="1214">
        <f>ROUND(E$5*市町土木等歳出!U20/市町土木等歳出!U$4,0)</f>
        <v>2024</v>
      </c>
      <c r="F33" s="1214">
        <f>ROUND(F$5*市町土木等歳出!V20/市町土木等歳出!V$4,0)</f>
        <v>2130</v>
      </c>
      <c r="G33" s="1214">
        <f>ROUND(G$5*市町土木等歳出!W20/市町土木等歳出!W$4,0)</f>
        <v>3075</v>
      </c>
      <c r="H33" s="1214">
        <f>ROUND(H$5*市町土木等歳出!X20/市町土木等歳出!X$4,0)</f>
        <v>1425</v>
      </c>
      <c r="I33" s="1214">
        <f>ROUND(I$5*市町土木等歳出!Y20/市町土木等歳出!Y$4,0)</f>
        <v>1436</v>
      </c>
      <c r="J33" s="1214">
        <f>ROUND(J$5*市町土木等歳出!Z20/市町土木等歳出!Z$4,0)</f>
        <v>2834</v>
      </c>
      <c r="K33" s="1214">
        <f>ROUND(K$5*市町土木等歳出!AA20/市町土木等歳出!AA$4,0)</f>
        <v>2089</v>
      </c>
      <c r="L33" s="1214">
        <f>ROUND(L$5*市町土木等歳出!AB20/市町土木等歳出!AB$4,0)</f>
        <v>1673</v>
      </c>
      <c r="M33" s="1214">
        <f>ROUND(M$5*市町土木等歳出!AC20/市町土木等歳出!AC$4,0)</f>
        <v>1953</v>
      </c>
      <c r="N33" s="1214">
        <f>ROUND(N$5*市町土木等歳出!AD20/市町土木等歳出!AD$4,0)</f>
        <v>4405</v>
      </c>
      <c r="O33" s="1214">
        <f>ROUND(O$5*市町土木等歳出!AE20/市町土木等歳出!AE$4,0)</f>
        <v>2095</v>
      </c>
      <c r="P33" s="1214">
        <f>ROUND(P$5*市町土木等歳出!AF20/市町土木等歳出!AF$4,0)</f>
        <v>4409</v>
      </c>
      <c r="Q33" s="1214">
        <f>ROUND(Q$5*市町土木等歳出!AG20/市町土木等歳出!AG$4,0)</f>
        <v>5119</v>
      </c>
      <c r="R33" s="1214">
        <f>ROUND(R$5*市町土木等歳出!AH20/市町土木等歳出!AH$4,0)</f>
        <v>6341</v>
      </c>
      <c r="S33" s="1214">
        <f>ROUND(S$5*市町土木等歳出!AI20/市町土木等歳出!AI$4,0)</f>
        <v>3515</v>
      </c>
      <c r="T33" s="1214">
        <f>ROUND(T$5*市町土木等歳出!AJ20/市町土木等歳出!AJ$4,0)</f>
        <v>3842</v>
      </c>
      <c r="U33" s="1214">
        <f>ROUND(U$5*市町土木等歳出!AK20/市町土木等歳出!AK$4,0)</f>
        <v>3964</v>
      </c>
      <c r="V33" s="1214">
        <f>ROUND(V$5*市町土木等歳出!AL20/市町土木等歳出!AL$4,0)</f>
        <v>3414</v>
      </c>
      <c r="W33" s="1214">
        <f>ROUND(W$5*市町土木等歳出!AM20/市町土木等歳出!AM$4,0)</f>
        <v>3511</v>
      </c>
      <c r="X33" s="1214">
        <f>ROUND(X$5*市町土木等歳出!AN20/市町土木等歳出!AN$4,0)</f>
        <v>3548</v>
      </c>
    </row>
    <row r="34" spans="1:24">
      <c r="A34" s="1218">
        <v>382</v>
      </c>
      <c r="B34" s="1218" t="s">
        <v>197</v>
      </c>
      <c r="C34" s="1215">
        <f>ROUND(C$5*市町土木等歳出!S21/市町土木等歳出!S$4,0)</f>
        <v>3380</v>
      </c>
      <c r="D34" s="1215">
        <f>ROUND(D$5*市町土木等歳出!T21/市町土木等歳出!T$4,0)</f>
        <v>2262</v>
      </c>
      <c r="E34" s="1215">
        <f>ROUND(E$5*市町土木等歳出!U21/市町土木等歳出!U$4,0)</f>
        <v>2380</v>
      </c>
      <c r="F34" s="1215">
        <f>ROUND(F$5*市町土木等歳出!V21/市町土木等歳出!V$4,0)</f>
        <v>2295</v>
      </c>
      <c r="G34" s="1215">
        <f>ROUND(G$5*市町土木等歳出!W21/市町土木等歳出!W$4,0)</f>
        <v>4007</v>
      </c>
      <c r="H34" s="1215">
        <f>ROUND(H$5*市町土木等歳出!X21/市町土木等歳出!X$4,0)</f>
        <v>1990</v>
      </c>
      <c r="I34" s="1215">
        <f>ROUND(I$5*市町土木等歳出!Y21/市町土木等歳出!Y$4,0)</f>
        <v>2905</v>
      </c>
      <c r="J34" s="1215">
        <f>ROUND(J$5*市町土木等歳出!Z21/市町土木等歳出!Z$4,0)</f>
        <v>2084</v>
      </c>
      <c r="K34" s="1215">
        <f>ROUND(K$5*市町土木等歳出!AA21/市町土木等歳出!AA$4,0)</f>
        <v>4077</v>
      </c>
      <c r="L34" s="1215">
        <f>ROUND(L$5*市町土木等歳出!AB21/市町土木等歳出!AB$4,0)</f>
        <v>3514</v>
      </c>
      <c r="M34" s="1215">
        <f>ROUND(M$5*市町土木等歳出!AC21/市町土木等歳出!AC$4,0)</f>
        <v>3391</v>
      </c>
      <c r="N34" s="1215">
        <f>ROUND(N$5*市町土木等歳出!AD21/市町土木等歳出!AD$4,0)</f>
        <v>5580</v>
      </c>
      <c r="O34" s="1215">
        <f>ROUND(O$5*市町土木等歳出!AE21/市町土木等歳出!AE$4,0)</f>
        <v>4688</v>
      </c>
      <c r="P34" s="1215">
        <f>ROUND(P$5*市町土木等歳出!AF21/市町土木等歳出!AF$4,0)</f>
        <v>4028</v>
      </c>
      <c r="Q34" s="1215">
        <f>ROUND(Q$5*市町土木等歳出!AG21/市町土木等歳出!AG$4,0)</f>
        <v>7291</v>
      </c>
      <c r="R34" s="1215">
        <f>ROUND(R$5*市町土木等歳出!AH21/市町土木等歳出!AH$4,0)</f>
        <v>9285</v>
      </c>
      <c r="S34" s="1215">
        <f>ROUND(S$5*市町土木等歳出!AI21/市町土木等歳出!AI$4,0)</f>
        <v>6421</v>
      </c>
      <c r="T34" s="1215">
        <f>ROUND(T$5*市町土木等歳出!AJ21/市町土木等歳出!AJ$4,0)</f>
        <v>2099</v>
      </c>
      <c r="U34" s="1215">
        <f>ROUND(U$5*市町土木等歳出!AK21/市町土木等歳出!AK$4,0)</f>
        <v>4792</v>
      </c>
      <c r="V34" s="1215">
        <f>ROUND(V$5*市町土木等歳出!AL21/市町土木等歳出!AL$4,0)</f>
        <v>4011</v>
      </c>
      <c r="W34" s="1215">
        <f>ROUND(W$5*市町土木等歳出!AM21/市町土木等歳出!AM$4,0)</f>
        <v>3643</v>
      </c>
      <c r="X34" s="1215">
        <f>ROUND(X$5*市町土木等歳出!AN21/市町土木等歳出!AN$4,0)</f>
        <v>4069</v>
      </c>
    </row>
    <row r="35" spans="1:24">
      <c r="A35" s="1206">
        <v>4</v>
      </c>
      <c r="B35" s="1206" t="s">
        <v>325</v>
      </c>
      <c r="C35" s="1214">
        <f>SUM(C36:C41)</f>
        <v>32684</v>
      </c>
      <c r="D35" s="1214">
        <f>SUM(D36:D41)</f>
        <v>27472</v>
      </c>
      <c r="E35" s="1214">
        <f t="shared" ref="E35:J35" si="64">SUM(E36:E41)</f>
        <v>25766</v>
      </c>
      <c r="F35" s="1214">
        <f t="shared" si="64"/>
        <v>27999</v>
      </c>
      <c r="G35" s="1214">
        <f t="shared" si="64"/>
        <v>33450</v>
      </c>
      <c r="H35" s="1214">
        <f t="shared" si="64"/>
        <v>29512</v>
      </c>
      <c r="I35" s="1214">
        <f t="shared" si="64"/>
        <v>45647</v>
      </c>
      <c r="J35" s="1214">
        <f t="shared" si="64"/>
        <v>69198</v>
      </c>
      <c r="K35" s="1214">
        <f t="shared" ref="K35:P35" si="65">SUM(K36:K41)</f>
        <v>37423</v>
      </c>
      <c r="L35" s="1214">
        <f t="shared" si="65"/>
        <v>38847</v>
      </c>
      <c r="M35" s="1214">
        <f t="shared" si="65"/>
        <v>43570</v>
      </c>
      <c r="N35" s="1214">
        <f t="shared" si="65"/>
        <v>39455</v>
      </c>
      <c r="O35" s="1214">
        <f t="shared" si="65"/>
        <v>35180</v>
      </c>
      <c r="P35" s="1214">
        <f t="shared" si="65"/>
        <v>50966</v>
      </c>
      <c r="Q35" s="1214">
        <f t="shared" ref="Q35:V35" si="66">SUM(Q36:Q41)</f>
        <v>48909</v>
      </c>
      <c r="R35" s="1214">
        <f t="shared" si="66"/>
        <v>50706</v>
      </c>
      <c r="S35" s="1214">
        <f t="shared" si="66"/>
        <v>41851</v>
      </c>
      <c r="T35" s="1214">
        <f t="shared" si="66"/>
        <v>47190</v>
      </c>
      <c r="U35" s="1214">
        <f t="shared" si="66"/>
        <v>47873</v>
      </c>
      <c r="V35" s="1214">
        <f t="shared" si="66"/>
        <v>41287</v>
      </c>
      <c r="W35" s="1214">
        <f t="shared" ref="W35:X35" si="67">SUM(W36:W41)</f>
        <v>42598</v>
      </c>
      <c r="X35" s="1214">
        <f t="shared" si="67"/>
        <v>42920</v>
      </c>
    </row>
    <row r="36" spans="1:24">
      <c r="A36" s="1206">
        <v>213</v>
      </c>
      <c r="B36" s="1206" t="s">
        <v>199</v>
      </c>
      <c r="C36" s="1214">
        <f>ROUND(C$5*市町土木等歳出!S23/市町土木等歳出!S$4,0)</f>
        <v>5553</v>
      </c>
      <c r="D36" s="1214">
        <f>ROUND(D$5*市町土木等歳出!T23/市町土木等歳出!T$4,0)</f>
        <v>4551</v>
      </c>
      <c r="E36" s="1214">
        <f>ROUND(E$5*市町土木等歳出!U23/市町土木等歳出!U$4,0)</f>
        <v>4816</v>
      </c>
      <c r="F36" s="1214">
        <f>ROUND(F$5*市町土木等歳出!V23/市町土木等歳出!V$4,0)</f>
        <v>3628</v>
      </c>
      <c r="G36" s="1214">
        <f>ROUND(G$5*市町土木等歳出!W23/市町土木等歳出!W$4,0)</f>
        <v>4766</v>
      </c>
      <c r="H36" s="1214">
        <f>ROUND(H$5*市町土木等歳出!X23/市町土木等歳出!X$4,0)</f>
        <v>3858</v>
      </c>
      <c r="I36" s="1214">
        <f>ROUND(I$5*市町土木等歳出!Y23/市町土木等歳出!Y$4,0)</f>
        <v>7406</v>
      </c>
      <c r="J36" s="1214">
        <f>ROUND(J$5*市町土木等歳出!Z23/市町土木等歳出!Z$4,0)</f>
        <v>10200</v>
      </c>
      <c r="K36" s="1214">
        <f>ROUND(K$5*市町土木等歳出!AA23/市町土木等歳出!AA$4,0)</f>
        <v>6509</v>
      </c>
      <c r="L36" s="1214">
        <f>ROUND(L$5*市町土木等歳出!AB23/市町土木等歳出!AB$4,0)</f>
        <v>4662</v>
      </c>
      <c r="M36" s="1214">
        <f>ROUND(M$5*市町土木等歳出!AC23/市町土木等歳出!AC$4,0)</f>
        <v>5937</v>
      </c>
      <c r="N36" s="1214">
        <f>ROUND(N$5*市町土木等歳出!AD23/市町土木等歳出!AD$4,0)</f>
        <v>3341</v>
      </c>
      <c r="O36" s="1214">
        <f>ROUND(O$5*市町土木等歳出!AE23/市町土木等歳出!AE$4,0)</f>
        <v>4229</v>
      </c>
      <c r="P36" s="1214">
        <f>ROUND(P$5*市町土木等歳出!AF23/市町土木等歳出!AF$4,0)</f>
        <v>7401</v>
      </c>
      <c r="Q36" s="1214">
        <f>ROUND(Q$5*市町土木等歳出!AG23/市町土木等歳出!AG$4,0)</f>
        <v>20407</v>
      </c>
      <c r="R36" s="1214">
        <f>ROUND(R$5*市町土木等歳出!AH23/市町土木等歳出!AH$4,0)</f>
        <v>4387</v>
      </c>
      <c r="S36" s="1214">
        <f>ROUND(S$5*市町土木等歳出!AI23/市町土木等歳出!AI$4,0)</f>
        <v>2904</v>
      </c>
      <c r="T36" s="1214">
        <f>ROUND(T$5*市町土木等歳出!AJ23/市町土木等歳出!AJ$4,0)</f>
        <v>2293</v>
      </c>
      <c r="U36" s="1214">
        <f>ROUND(U$5*市町土木等歳出!AK23/市町土木等歳出!AK$4,0)</f>
        <v>2360</v>
      </c>
      <c r="V36" s="1214">
        <f>ROUND(V$5*市町土木等歳出!AL23/市町土木等歳出!AL$4,0)</f>
        <v>2217</v>
      </c>
      <c r="W36" s="1214">
        <f>ROUND(W$5*市町土木等歳出!AM23/市町土木等歳出!AM$4,0)</f>
        <v>2149</v>
      </c>
      <c r="X36" s="1214">
        <f>ROUND(X$5*市町土木等歳出!AN23/市町土木等歳出!AN$4,0)</f>
        <v>2183</v>
      </c>
    </row>
    <row r="37" spans="1:24">
      <c r="A37" s="1206">
        <v>215</v>
      </c>
      <c r="B37" s="1206" t="s">
        <v>329</v>
      </c>
      <c r="C37" s="1214">
        <f>ROUND(C$5*市町土木等歳出!S24/市町土木等歳出!S$4,0)</f>
        <v>5365</v>
      </c>
      <c r="D37" s="1214">
        <f>ROUND(D$5*市町土木等歳出!T24/市町土木等歳出!T$4,0)</f>
        <v>5195</v>
      </c>
      <c r="E37" s="1214">
        <f>ROUND(E$5*市町土木等歳出!U24/市町土木等歳出!U$4,0)</f>
        <v>4918</v>
      </c>
      <c r="F37" s="1214">
        <f>ROUND(F$5*市町土木等歳出!V24/市町土木等歳出!V$4,0)</f>
        <v>9217</v>
      </c>
      <c r="G37" s="1214">
        <f>ROUND(G$5*市町土木等歳出!W24/市町土木等歳出!W$4,0)</f>
        <v>9127</v>
      </c>
      <c r="H37" s="1214">
        <f>ROUND(H$5*市町土木等歳出!X24/市町土木等歳出!X$4,0)</f>
        <v>8605</v>
      </c>
      <c r="I37" s="1214">
        <f>ROUND(I$5*市町土木等歳出!Y24/市町土木等歳出!Y$4,0)</f>
        <v>12930</v>
      </c>
      <c r="J37" s="1214">
        <f>ROUND(J$5*市町土木等歳出!Z24/市町土木等歳出!Z$4,0)</f>
        <v>17272</v>
      </c>
      <c r="K37" s="1214">
        <f>ROUND(K$5*市町土木等歳出!AA24/市町土木等歳出!AA$4,0)</f>
        <v>10669</v>
      </c>
      <c r="L37" s="1214">
        <f>ROUND(L$5*市町土木等歳出!AB24/市町土木等歳出!AB$4,0)</f>
        <v>9185</v>
      </c>
      <c r="M37" s="1214">
        <f>ROUND(M$5*市町土木等歳出!AC24/市町土木等歳出!AC$4,0)</f>
        <v>10522</v>
      </c>
      <c r="N37" s="1214">
        <f>ROUND(N$5*市町土木等歳出!AD24/市町土木等歳出!AD$4,0)</f>
        <v>11798</v>
      </c>
      <c r="O37" s="1214">
        <f>ROUND(O$5*市町土木等歳出!AE24/市町土木等歳出!AE$4,0)</f>
        <v>5913</v>
      </c>
      <c r="P37" s="1214">
        <f>ROUND(P$5*市町土木等歳出!AF24/市町土木等歳出!AF$4,0)</f>
        <v>7492</v>
      </c>
      <c r="Q37" s="1214">
        <f>ROUND(Q$5*市町土木等歳出!AG24/市町土木等歳出!AG$4,0)</f>
        <v>7137</v>
      </c>
      <c r="R37" s="1214">
        <f>ROUND(R$5*市町土木等歳出!AH24/市町土木等歳出!AH$4,0)</f>
        <v>7957</v>
      </c>
      <c r="S37" s="1214">
        <f>ROUND(S$5*市町土木等歳出!AI24/市町土木等歳出!AI$4,0)</f>
        <v>7605</v>
      </c>
      <c r="T37" s="1214">
        <f>ROUND(T$5*市町土木等歳出!AJ24/市町土木等歳出!AJ$4,0)</f>
        <v>7145</v>
      </c>
      <c r="U37" s="1214">
        <f>ROUND(U$5*市町土木等歳出!AK24/市町土木等歳出!AK$4,0)</f>
        <v>7483</v>
      </c>
      <c r="V37" s="1214">
        <f>ROUND(V$5*市町土木等歳出!AL24/市町土木等歳出!AL$4,0)</f>
        <v>6638</v>
      </c>
      <c r="W37" s="1214">
        <f>ROUND(W$5*市町土木等歳出!AM24/市町土木等歳出!AM$4,0)</f>
        <v>6665</v>
      </c>
      <c r="X37" s="1214">
        <f>ROUND(X$5*市町土木等歳出!AN24/市町土木等歳出!AN$4,0)</f>
        <v>6764</v>
      </c>
    </row>
    <row r="38" spans="1:24">
      <c r="A38" s="1206">
        <v>218</v>
      </c>
      <c r="B38" s="1206" t="s">
        <v>200</v>
      </c>
      <c r="C38" s="1214">
        <f>ROUND(C$5*市町土木等歳出!S25/市町土木等歳出!S$4,0)</f>
        <v>8269</v>
      </c>
      <c r="D38" s="1214">
        <f>ROUND(D$5*市町土木等歳出!T25/市町土木等歳出!T$4,0)</f>
        <v>5942</v>
      </c>
      <c r="E38" s="1214">
        <f>ROUND(E$5*市町土木等歳出!U25/市町土木等歳出!U$4,0)</f>
        <v>4841</v>
      </c>
      <c r="F38" s="1214">
        <f>ROUND(F$5*市町土木等歳出!V25/市町土木等歳出!V$4,0)</f>
        <v>5389</v>
      </c>
      <c r="G38" s="1214">
        <f>ROUND(G$5*市町土木等歳出!W25/市町土木等歳出!W$4,0)</f>
        <v>5778</v>
      </c>
      <c r="H38" s="1214">
        <f>ROUND(H$5*市町土木等歳出!X25/市町土木等歳出!X$4,0)</f>
        <v>7098</v>
      </c>
      <c r="I38" s="1214">
        <f>ROUND(I$5*市町土木等歳出!Y25/市町土木等歳出!Y$4,0)</f>
        <v>7316</v>
      </c>
      <c r="J38" s="1214">
        <f>ROUND(J$5*市町土木等歳出!Z25/市町土木等歳出!Z$4,0)</f>
        <v>11277</v>
      </c>
      <c r="K38" s="1214">
        <f>ROUND(K$5*市町土木等歳出!AA25/市町土木等歳出!AA$4,0)</f>
        <v>6022</v>
      </c>
      <c r="L38" s="1214">
        <f>ROUND(L$5*市町土木等歳出!AB25/市町土木等歳出!AB$4,0)</f>
        <v>5682</v>
      </c>
      <c r="M38" s="1214">
        <f>ROUND(M$5*市町土木等歳出!AC25/市町土木等歳出!AC$4,0)</f>
        <v>6713</v>
      </c>
      <c r="N38" s="1214">
        <f>ROUND(N$5*市町土木等歳出!AD25/市町土木等歳出!AD$4,0)</f>
        <v>7957</v>
      </c>
      <c r="O38" s="1214">
        <f>ROUND(O$5*市町土木等歳出!AE25/市町土木等歳出!AE$4,0)</f>
        <v>8439</v>
      </c>
      <c r="P38" s="1214">
        <f>ROUND(P$5*市町土木等歳出!AF25/市町土木等歳出!AF$4,0)</f>
        <v>20353</v>
      </c>
      <c r="Q38" s="1214">
        <f>ROUND(Q$5*市町土木等歳出!AG25/市町土木等歳出!AG$4,0)</f>
        <v>6590</v>
      </c>
      <c r="R38" s="1214">
        <f>ROUND(R$5*市町土木等歳出!AH25/市町土木等歳出!AH$4,0)</f>
        <v>10975</v>
      </c>
      <c r="S38" s="1214">
        <f>ROUND(S$5*市町土木等歳出!AI25/市町土木等歳出!AI$4,0)</f>
        <v>10273</v>
      </c>
      <c r="T38" s="1214">
        <f>ROUND(T$5*市町土木等歳出!AJ25/市町土木等歳出!AJ$4,0)</f>
        <v>6772</v>
      </c>
      <c r="U38" s="1214">
        <f>ROUND(U$5*市町土木等歳出!AK25/市町土木等歳出!AK$4,0)</f>
        <v>13542</v>
      </c>
      <c r="V38" s="1214">
        <f>ROUND(V$5*市町土木等歳出!AL25/市町土木等歳出!AL$4,0)</f>
        <v>9761</v>
      </c>
      <c r="W38" s="1214">
        <f>ROUND(W$5*市町土木等歳出!AM25/市町土木等歳出!AM$4,0)</f>
        <v>9992</v>
      </c>
      <c r="X38" s="1214">
        <f>ROUND(X$5*市町土木等歳出!AN25/市町土木等歳出!AN$4,0)</f>
        <v>10952</v>
      </c>
    </row>
    <row r="39" spans="1:24">
      <c r="A39" s="1206">
        <v>220</v>
      </c>
      <c r="B39" s="1206" t="s">
        <v>201</v>
      </c>
      <c r="C39" s="1214">
        <f>ROUND(C$5*市町土木等歳出!S26/市町土木等歳出!S$4,0)</f>
        <v>5631</v>
      </c>
      <c r="D39" s="1214">
        <f>ROUND(D$5*市町土木等歳出!T26/市町土木等歳出!T$4,0)</f>
        <v>5266</v>
      </c>
      <c r="E39" s="1214">
        <f>ROUND(E$5*市町土木等歳出!U26/市町土木等歳出!U$4,0)</f>
        <v>4993</v>
      </c>
      <c r="F39" s="1214">
        <f>ROUND(F$5*市町土木等歳出!V26/市町土木等歳出!V$4,0)</f>
        <v>2223</v>
      </c>
      <c r="G39" s="1214">
        <f>ROUND(G$5*市町土木等歳出!W26/市町土木等歳出!W$4,0)</f>
        <v>3216</v>
      </c>
      <c r="H39" s="1214">
        <f>ROUND(H$5*市町土木等歳出!X26/市町土木等歳出!X$4,0)</f>
        <v>3608</v>
      </c>
      <c r="I39" s="1214">
        <f>ROUND(I$5*市町土木等歳出!Y26/市町土木等歳出!Y$4,0)</f>
        <v>4320</v>
      </c>
      <c r="J39" s="1214">
        <f>ROUND(J$5*市町土木等歳出!Z26/市町土木等歳出!Z$4,0)</f>
        <v>14069</v>
      </c>
      <c r="K39" s="1214">
        <f>ROUND(K$5*市町土木等歳出!AA26/市町土木等歳出!AA$4,0)</f>
        <v>5706</v>
      </c>
      <c r="L39" s="1214">
        <f>ROUND(L$5*市町土木等歳出!AB26/市町土木等歳出!AB$4,0)</f>
        <v>9552</v>
      </c>
      <c r="M39" s="1214">
        <f>ROUND(M$5*市町土木等歳出!AC26/市町土木等歳出!AC$4,0)</f>
        <v>9752</v>
      </c>
      <c r="N39" s="1214">
        <f>ROUND(N$5*市町土木等歳出!AD26/市町土木等歳出!AD$4,0)</f>
        <v>5237</v>
      </c>
      <c r="O39" s="1214">
        <f>ROUND(O$5*市町土木等歳出!AE26/市町土木等歳出!AE$4,0)</f>
        <v>3111</v>
      </c>
      <c r="P39" s="1214">
        <f>ROUND(P$5*市町土木等歳出!AF26/市町土木等歳出!AF$4,0)</f>
        <v>7082</v>
      </c>
      <c r="Q39" s="1214">
        <f>ROUND(Q$5*市町土木等歳出!AG26/市町土木等歳出!AG$4,0)</f>
        <v>6301</v>
      </c>
      <c r="R39" s="1214">
        <f>ROUND(R$5*市町土木等歳出!AH26/市町土木等歳出!AH$4,0)</f>
        <v>5730</v>
      </c>
      <c r="S39" s="1214">
        <f>ROUND(S$5*市町土木等歳出!AI26/市町土木等歳出!AI$4,0)</f>
        <v>6698</v>
      </c>
      <c r="T39" s="1214">
        <f>ROUND(T$5*市町土木等歳出!AJ26/市町土木等歳出!AJ$4,0)</f>
        <v>5512</v>
      </c>
      <c r="U39" s="1214">
        <f>ROUND(U$5*市町土木等歳出!AK26/市町土木等歳出!AK$4,0)</f>
        <v>9104</v>
      </c>
      <c r="V39" s="1214">
        <f>ROUND(V$5*市町土木等歳出!AL26/市町土木等歳出!AL$4,0)</f>
        <v>6744</v>
      </c>
      <c r="W39" s="1214">
        <f>ROUND(W$5*市町土木等歳出!AM26/市町土木等歳出!AM$4,0)</f>
        <v>6987</v>
      </c>
      <c r="X39" s="1214">
        <f>ROUND(X$5*市町土木等歳出!AN26/市町土木等歳出!AN$4,0)</f>
        <v>7499</v>
      </c>
    </row>
    <row r="40" spans="1:24">
      <c r="A40" s="1206">
        <v>228</v>
      </c>
      <c r="B40" s="1206" t="s">
        <v>330</v>
      </c>
      <c r="C40" s="1214">
        <f>ROUND(C$5*市町土木等歳出!S27/市町土木等歳出!S$4,0)</f>
        <v>4626</v>
      </c>
      <c r="D40" s="1214">
        <f>ROUND(D$5*市町土木等歳出!T27/市町土木等歳出!T$4,0)</f>
        <v>4075</v>
      </c>
      <c r="E40" s="1214">
        <f>ROUND(E$5*市町土木等歳出!U27/市町土木等歳出!U$4,0)</f>
        <v>4176</v>
      </c>
      <c r="F40" s="1214">
        <f>ROUND(F$5*市町土木等歳出!V27/市町土木等歳出!V$4,0)</f>
        <v>3637</v>
      </c>
      <c r="G40" s="1214">
        <f>ROUND(G$5*市町土木等歳出!W27/市町土木等歳出!W$4,0)</f>
        <v>4775</v>
      </c>
      <c r="H40" s="1214">
        <f>ROUND(H$5*市町土木等歳出!X27/市町土木等歳出!X$4,0)</f>
        <v>3176</v>
      </c>
      <c r="I40" s="1214">
        <f>ROUND(I$5*市町土木等歳出!Y27/市町土木等歳出!Y$4,0)</f>
        <v>6243</v>
      </c>
      <c r="J40" s="1214">
        <f>ROUND(J$5*市町土木等歳出!Z27/市町土木等歳出!Z$4,0)</f>
        <v>10572</v>
      </c>
      <c r="K40" s="1214">
        <f>ROUND(K$5*市町土木等歳出!AA27/市町土木等歳出!AA$4,0)</f>
        <v>5638</v>
      </c>
      <c r="L40" s="1214">
        <f>ROUND(L$5*市町土木等歳出!AB27/市町土木等歳出!AB$4,0)</f>
        <v>5453</v>
      </c>
      <c r="M40" s="1214">
        <f>ROUND(M$5*市町土木等歳出!AC27/市町土木等歳出!AC$4,0)</f>
        <v>6353</v>
      </c>
      <c r="N40" s="1214">
        <f>ROUND(N$5*市町土木等歳出!AD27/市町土木等歳出!AD$4,0)</f>
        <v>7004</v>
      </c>
      <c r="O40" s="1214">
        <f>ROUND(O$5*市町土木等歳出!AE27/市町土木等歳出!AE$4,0)</f>
        <v>7718</v>
      </c>
      <c r="P40" s="1214">
        <f>ROUND(P$5*市町土木等歳出!AF27/市町土木等歳出!AF$4,0)</f>
        <v>6244</v>
      </c>
      <c r="Q40" s="1214">
        <f>ROUND(Q$5*市町土木等歳出!AG27/市町土木等歳出!AG$4,0)</f>
        <v>6339</v>
      </c>
      <c r="R40" s="1214">
        <f>ROUND(R$5*市町土木等歳出!AH27/市町土木等歳出!AH$4,0)</f>
        <v>19660</v>
      </c>
      <c r="S40" s="1214">
        <f>ROUND(S$5*市町土木等歳出!AI27/市町土木等歳出!AI$4,0)</f>
        <v>11521</v>
      </c>
      <c r="T40" s="1214">
        <f>ROUND(T$5*市町土木等歳出!AJ27/市町土木等歳出!AJ$4,0)</f>
        <v>20970</v>
      </c>
      <c r="U40" s="1214">
        <f>ROUND(U$5*市町土木等歳出!AK27/市町土木等歳出!AK$4,0)</f>
        <v>1272</v>
      </c>
      <c r="V40" s="1214">
        <f>ROUND(V$5*市町土木等歳出!AL27/市町土木等歳出!AL$4,0)</f>
        <v>8134</v>
      </c>
      <c r="W40" s="1214">
        <f>ROUND(W$5*市町土木等歳出!AM27/市町土木等歳出!AM$4,0)</f>
        <v>7702</v>
      </c>
      <c r="X40" s="1214">
        <f>ROUND(X$5*市町土木等歳出!AN27/市町土木等歳出!AN$4,0)</f>
        <v>5200</v>
      </c>
    </row>
    <row r="41" spans="1:24">
      <c r="A41" s="1206">
        <v>365</v>
      </c>
      <c r="B41" s="1206" t="s">
        <v>331</v>
      </c>
      <c r="C41" s="1215">
        <f>ROUND(C$5*市町土木等歳出!S28/市町土木等歳出!S$4,0)</f>
        <v>3240</v>
      </c>
      <c r="D41" s="1215">
        <f>ROUND(D$5*市町土木等歳出!T28/市町土木等歳出!T$4,0)</f>
        <v>2443</v>
      </c>
      <c r="E41" s="1215">
        <f>ROUND(E$5*市町土木等歳出!U28/市町土木等歳出!U$4,0)</f>
        <v>2022</v>
      </c>
      <c r="F41" s="1215">
        <f>ROUND(F$5*市町土木等歳出!V28/市町土木等歳出!V$4,0)</f>
        <v>3905</v>
      </c>
      <c r="G41" s="1215">
        <f>ROUND(G$5*市町土木等歳出!W28/市町土木等歳出!W$4,0)</f>
        <v>5788</v>
      </c>
      <c r="H41" s="1215">
        <f>ROUND(H$5*市町土木等歳出!X28/市町土木等歳出!X$4,0)</f>
        <v>3167</v>
      </c>
      <c r="I41" s="1215">
        <f>ROUND(I$5*市町土木等歳出!Y28/市町土木等歳出!Y$4,0)</f>
        <v>7432</v>
      </c>
      <c r="J41" s="1215">
        <f>ROUND(J$5*市町土木等歳出!Z28/市町土木等歳出!Z$4,0)</f>
        <v>5808</v>
      </c>
      <c r="K41" s="1215">
        <f>ROUND(K$5*市町土木等歳出!AA28/市町土木等歳出!AA$4,0)</f>
        <v>2879</v>
      </c>
      <c r="L41" s="1215">
        <f>ROUND(L$5*市町土木等歳出!AB28/市町土木等歳出!AB$4,0)</f>
        <v>4313</v>
      </c>
      <c r="M41" s="1215">
        <f>ROUND(M$5*市町土木等歳出!AC28/市町土木等歳出!AC$4,0)</f>
        <v>4293</v>
      </c>
      <c r="N41" s="1215">
        <f>ROUND(N$5*市町土木等歳出!AD28/市町土木等歳出!AD$4,0)</f>
        <v>4118</v>
      </c>
      <c r="O41" s="1215">
        <f>ROUND(O$5*市町土木等歳出!AE28/市町土木等歳出!AE$4,0)</f>
        <v>5770</v>
      </c>
      <c r="P41" s="1215">
        <f>ROUND(P$5*市町土木等歳出!AF28/市町土木等歳出!AF$4,0)</f>
        <v>2394</v>
      </c>
      <c r="Q41" s="1215">
        <f>ROUND(Q$5*市町土木等歳出!AG28/市町土木等歳出!AG$4,0)</f>
        <v>2135</v>
      </c>
      <c r="R41" s="1215">
        <f>ROUND(R$5*市町土木等歳出!AH28/市町土木等歳出!AH$4,0)</f>
        <v>1997</v>
      </c>
      <c r="S41" s="1215">
        <f>ROUND(S$5*市町土木等歳出!AI28/市町土木等歳出!AI$4,0)</f>
        <v>2850</v>
      </c>
      <c r="T41" s="1215">
        <f>ROUND(T$5*市町土木等歳出!AJ28/市町土木等歳出!AJ$4,0)</f>
        <v>4498</v>
      </c>
      <c r="U41" s="1215">
        <f>ROUND(U$5*市町土木等歳出!AK28/市町土木等歳出!AK$4,0)</f>
        <v>14112</v>
      </c>
      <c r="V41" s="1215">
        <f>ROUND(V$5*市町土木等歳出!AL28/市町土木等歳出!AL$4,0)</f>
        <v>7793</v>
      </c>
      <c r="W41" s="1215">
        <f>ROUND(W$5*市町土木等歳出!AM28/市町土木等歳出!AM$4,0)</f>
        <v>9103</v>
      </c>
      <c r="X41" s="1215">
        <f>ROUND(X$5*市町土木等歳出!AN28/市町土木等歳出!AN$4,0)</f>
        <v>10322</v>
      </c>
    </row>
    <row r="42" spans="1:24">
      <c r="A42" s="1204">
        <v>5</v>
      </c>
      <c r="B42" s="1204" t="s">
        <v>326</v>
      </c>
      <c r="C42" s="1217">
        <f>SUM(C43:C46)</f>
        <v>113997</v>
      </c>
      <c r="D42" s="1217">
        <f>SUM(D43:D46)</f>
        <v>105463</v>
      </c>
      <c r="E42" s="1217">
        <f t="shared" ref="E42:J42" si="68">SUM(E43:E46)</f>
        <v>99617</v>
      </c>
      <c r="F42" s="1217">
        <f t="shared" si="68"/>
        <v>112825</v>
      </c>
      <c r="G42" s="1217">
        <f t="shared" si="68"/>
        <v>109904</v>
      </c>
      <c r="H42" s="1217">
        <f t="shared" si="68"/>
        <v>99693</v>
      </c>
      <c r="I42" s="1217">
        <f t="shared" si="68"/>
        <v>99735</v>
      </c>
      <c r="J42" s="1217">
        <f t="shared" si="68"/>
        <v>98816</v>
      </c>
      <c r="K42" s="1217">
        <f t="shared" ref="K42:P42" si="69">SUM(K43:K46)</f>
        <v>100285</v>
      </c>
      <c r="L42" s="1217">
        <f t="shared" si="69"/>
        <v>96567</v>
      </c>
      <c r="M42" s="1217">
        <f t="shared" si="69"/>
        <v>97963</v>
      </c>
      <c r="N42" s="1217">
        <f t="shared" si="69"/>
        <v>112877</v>
      </c>
      <c r="O42" s="1217">
        <f t="shared" si="69"/>
        <v>93905</v>
      </c>
      <c r="P42" s="1217">
        <f t="shared" si="69"/>
        <v>115739</v>
      </c>
      <c r="Q42" s="1217">
        <f t="shared" ref="Q42:V42" si="70">SUM(Q43:Q46)</f>
        <v>145094</v>
      </c>
      <c r="R42" s="1217">
        <f t="shared" si="70"/>
        <v>99431</v>
      </c>
      <c r="S42" s="1217">
        <f t="shared" si="70"/>
        <v>89227</v>
      </c>
      <c r="T42" s="1217">
        <f t="shared" si="70"/>
        <v>96011</v>
      </c>
      <c r="U42" s="1217">
        <f t="shared" si="70"/>
        <v>25653</v>
      </c>
      <c r="V42" s="1217">
        <f t="shared" si="70"/>
        <v>54006</v>
      </c>
      <c r="W42" s="1217">
        <f t="shared" ref="W42:X42" si="71">SUM(W43:W46)</f>
        <v>48461</v>
      </c>
      <c r="X42" s="1217">
        <f t="shared" si="71"/>
        <v>40115</v>
      </c>
    </row>
    <row r="43" spans="1:24">
      <c r="A43" s="1206">
        <v>201</v>
      </c>
      <c r="B43" s="1206" t="s">
        <v>332</v>
      </c>
      <c r="C43" s="1214">
        <f>ROUND(C$5*市町土木等歳出!S30/市町土木等歳出!S$4,0)</f>
        <v>110453</v>
      </c>
      <c r="D43" s="1214">
        <f>ROUND(D$5*市町土木等歳出!T30/市町土木等歳出!T$4,0)</f>
        <v>102553</v>
      </c>
      <c r="E43" s="1214">
        <f>ROUND(E$5*市町土木等歳出!U30/市町土木等歳出!U$4,0)</f>
        <v>96507</v>
      </c>
      <c r="F43" s="1214">
        <f>ROUND(F$5*市町土木等歳出!V30/市町土木等歳出!V$4,0)</f>
        <v>106461</v>
      </c>
      <c r="G43" s="1214">
        <f>ROUND(G$5*市町土木等歳出!W30/市町土木等歳出!W$4,0)</f>
        <v>101314</v>
      </c>
      <c r="H43" s="1214">
        <f>ROUND(H$5*市町土木等歳出!X30/市町土木等歳出!X$4,0)</f>
        <v>93917</v>
      </c>
      <c r="I43" s="1214">
        <f>ROUND(I$5*市町土木等歳出!Y30/市町土木等歳出!Y$4,0)</f>
        <v>90955</v>
      </c>
      <c r="J43" s="1214">
        <f>ROUND(J$5*市町土木等歳出!Z30/市町土木等歳出!Z$4,0)</f>
        <v>93716</v>
      </c>
      <c r="K43" s="1214">
        <f>ROUND(K$5*市町土木等歳出!AA30/市町土木等歳出!AA$4,0)</f>
        <v>91653</v>
      </c>
      <c r="L43" s="1214">
        <f>ROUND(L$5*市町土木等歳出!AB30/市町土木等歳出!AB$4,0)</f>
        <v>88299</v>
      </c>
      <c r="M43" s="1214">
        <f>ROUND(M$5*市町土木等歳出!AC30/市町土木等歳出!AC$4,0)</f>
        <v>90260</v>
      </c>
      <c r="N43" s="1214">
        <f>ROUND(N$5*市町土木等歳出!AD30/市町土木等歳出!AD$4,0)</f>
        <v>99981</v>
      </c>
      <c r="O43" s="1214">
        <f>ROUND(O$5*市町土木等歳出!AE30/市町土木等歳出!AE$4,0)</f>
        <v>80051</v>
      </c>
      <c r="P43" s="1214">
        <f>ROUND(P$5*市町土木等歳出!AF30/市町土木等歳出!AF$4,0)</f>
        <v>106394</v>
      </c>
      <c r="Q43" s="1214">
        <f>ROUND(Q$5*市町土木等歳出!AG30/市町土木等歳出!AG$4,0)</f>
        <v>136933</v>
      </c>
      <c r="R43" s="1214">
        <f>ROUND(R$5*市町土木等歳出!AH30/市町土木等歳出!AH$4,0)</f>
        <v>92804</v>
      </c>
      <c r="S43" s="1214">
        <f>ROUND(S$5*市町土木等歳出!AI30/市町土木等歳出!AI$4,0)</f>
        <v>82364</v>
      </c>
      <c r="T43" s="1214">
        <f>ROUND(T$5*市町土木等歳出!AJ30/市町土木等歳出!AJ$4,0)</f>
        <v>88812</v>
      </c>
      <c r="U43" s="1214">
        <f>ROUND(U$5*市町土木等歳出!AK30/市町土木等歳出!AK$4,0)</f>
        <v>4740</v>
      </c>
      <c r="V43" s="1214">
        <f>ROUND(V$5*市町土木等歳出!AL30/市町土木等歳出!AL$4,0)</f>
        <v>41736</v>
      </c>
      <c r="W43" s="1214">
        <f>ROUND(W$5*市町土木等歳出!AM30/市町土木等歳出!AM$4,0)</f>
        <v>34628</v>
      </c>
      <c r="X43" s="1214">
        <f>ROUND(X$5*市町土木等歳出!AN30/市町土木等歳出!AN$4,0)</f>
        <v>24504</v>
      </c>
    </row>
    <row r="44" spans="1:24">
      <c r="A44" s="1206">
        <v>442</v>
      </c>
      <c r="B44" s="1206" t="s">
        <v>203</v>
      </c>
      <c r="C44" s="1214">
        <f>ROUND(C$5*市町土木等歳出!S31/市町土木等歳出!S$4,0)</f>
        <v>491</v>
      </c>
      <c r="D44" s="1214">
        <f>ROUND(D$5*市町土木等歳出!T31/市町土木等歳出!T$4,0)</f>
        <v>408</v>
      </c>
      <c r="E44" s="1214">
        <f>ROUND(E$5*市町土木等歳出!U31/市町土木等歳出!U$4,0)</f>
        <v>299</v>
      </c>
      <c r="F44" s="1214">
        <f>ROUND(F$5*市町土木等歳出!V31/市町土木等歳出!V$4,0)</f>
        <v>1087</v>
      </c>
      <c r="G44" s="1214">
        <f>ROUND(G$5*市町土木等歳出!W31/市町土木等歳出!W$4,0)</f>
        <v>909</v>
      </c>
      <c r="H44" s="1214">
        <f>ROUND(H$5*市町土木等歳出!X31/市町土木等歳出!X$4,0)</f>
        <v>875</v>
      </c>
      <c r="I44" s="1214">
        <f>ROUND(I$5*市町土木等歳出!Y31/市町土木等歳出!Y$4,0)</f>
        <v>1428</v>
      </c>
      <c r="J44" s="1214">
        <f>ROUND(J$5*市町土木等歳出!Z31/市町土木等歳出!Z$4,0)</f>
        <v>1914</v>
      </c>
      <c r="K44" s="1214">
        <f>ROUND(K$5*市町土木等歳出!AA31/市町土木等歳出!AA$4,0)</f>
        <v>821</v>
      </c>
      <c r="L44" s="1214">
        <f>ROUND(L$5*市町土木等歳出!AB31/市町土木等歳出!AB$4,0)</f>
        <v>922</v>
      </c>
      <c r="M44" s="1214">
        <f>ROUND(M$5*市町土木等歳出!AC31/市町土木等歳出!AC$4,0)</f>
        <v>1037</v>
      </c>
      <c r="N44" s="1214">
        <f>ROUND(N$5*市町土木等歳出!AD31/市町土木等歳出!AD$4,0)</f>
        <v>2661</v>
      </c>
      <c r="O44" s="1214">
        <f>ROUND(O$5*市町土木等歳出!AE31/市町土木等歳出!AE$4,0)</f>
        <v>4610</v>
      </c>
      <c r="P44" s="1214">
        <f>ROUND(P$5*市町土木等歳出!AF31/市町土木等歳出!AF$4,0)</f>
        <v>1461</v>
      </c>
      <c r="Q44" s="1214">
        <f>ROUND(Q$5*市町土木等歳出!AG31/市町土木等歳出!AG$4,0)</f>
        <v>2611</v>
      </c>
      <c r="R44" s="1214">
        <f>ROUND(R$5*市町土木等歳出!AH31/市町土木等歳出!AH$4,0)</f>
        <v>2054</v>
      </c>
      <c r="S44" s="1214">
        <f>ROUND(S$5*市町土木等歳出!AI31/市町土木等歳出!AI$4,0)</f>
        <v>1962</v>
      </c>
      <c r="T44" s="1214">
        <f>ROUND(T$5*市町土木等歳出!AJ31/市町土木等歳出!AJ$4,0)</f>
        <v>2107</v>
      </c>
      <c r="U44" s="1214">
        <f>ROUND(U$5*市町土木等歳出!AK31/市町土木等歳出!AK$4,0)</f>
        <v>5114</v>
      </c>
      <c r="V44" s="1214">
        <f>ROUND(V$5*市町土木等歳出!AL31/市町土木等歳出!AL$4,0)</f>
        <v>3147</v>
      </c>
      <c r="W44" s="1214">
        <f>ROUND(W$5*市町土木等歳出!AM31/市町土木等歳出!AM$4,0)</f>
        <v>3505</v>
      </c>
      <c r="X44" s="1214">
        <f>ROUND(X$5*市町土木等歳出!AN31/市町土木等歳出!AN$4,0)</f>
        <v>3897</v>
      </c>
    </row>
    <row r="45" spans="1:24">
      <c r="A45" s="1206">
        <v>443</v>
      </c>
      <c r="B45" s="1206" t="s">
        <v>204</v>
      </c>
      <c r="C45" s="1214">
        <f>ROUND(C$5*市町土木等歳出!S32/市町土木等歳出!S$4,0)</f>
        <v>1313</v>
      </c>
      <c r="D45" s="1214">
        <f>ROUND(D$5*市町土木等歳出!T32/市町土木等歳出!T$4,0)</f>
        <v>1111</v>
      </c>
      <c r="E45" s="1214">
        <f>ROUND(E$5*市町土木等歳出!U32/市町土木等歳出!U$4,0)</f>
        <v>1213</v>
      </c>
      <c r="F45" s="1214">
        <f>ROUND(F$5*市町土木等歳出!V32/市町土木等歳出!V$4,0)</f>
        <v>1693</v>
      </c>
      <c r="G45" s="1214">
        <f>ROUND(G$5*市町土木等歳出!W32/市町土木等歳出!W$4,0)</f>
        <v>1938</v>
      </c>
      <c r="H45" s="1214">
        <f>ROUND(H$5*市町土木等歳出!X32/市町土木等歳出!X$4,0)</f>
        <v>2928</v>
      </c>
      <c r="I45" s="1214">
        <f>ROUND(I$5*市町土木等歳出!Y32/市町土木等歳出!Y$4,0)</f>
        <v>1652</v>
      </c>
      <c r="J45" s="1214">
        <f>ROUND(J$5*市町土木等歳出!Z32/市町土木等歳出!Z$4,0)</f>
        <v>1642</v>
      </c>
      <c r="K45" s="1214">
        <f>ROUND(K$5*市町土木等歳出!AA32/市町土木等歳出!AA$4,0)</f>
        <v>4483</v>
      </c>
      <c r="L45" s="1214">
        <f>ROUND(L$5*市町土木等歳出!AB32/市町土木等歳出!AB$4,0)</f>
        <v>4322</v>
      </c>
      <c r="M45" s="1214">
        <f>ROUND(M$5*市町土木等歳出!AC32/市町土木等歳出!AC$4,0)</f>
        <v>3914</v>
      </c>
      <c r="N45" s="1214">
        <f>ROUND(N$5*市町土木等歳出!AD32/市町土木等歳出!AD$4,0)</f>
        <v>3727</v>
      </c>
      <c r="O45" s="1214">
        <f>ROUND(O$5*市町土木等歳出!AE32/市町土木等歳出!AE$4,0)</f>
        <v>4635</v>
      </c>
      <c r="P45" s="1214">
        <f>ROUND(P$5*市町土木等歳出!AF32/市町土木等歳出!AF$4,0)</f>
        <v>4494</v>
      </c>
      <c r="Q45" s="1214">
        <f>ROUND(Q$5*市町土木等歳出!AG32/市町土木等歳出!AG$4,0)</f>
        <v>2439</v>
      </c>
      <c r="R45" s="1214">
        <f>ROUND(R$5*市町土木等歳出!AH32/市町土木等歳出!AH$4,0)</f>
        <v>2388</v>
      </c>
      <c r="S45" s="1214">
        <f>ROUND(S$5*市町土木等歳出!AI32/市町土木等歳出!AI$4,0)</f>
        <v>2848</v>
      </c>
      <c r="T45" s="1214">
        <f>ROUND(T$5*市町土木等歳出!AJ32/市町土木等歳出!AJ$4,0)</f>
        <v>2817</v>
      </c>
      <c r="U45" s="1214">
        <f>ROUND(U$5*市町土木等歳出!AK32/市町土木等歳出!AK$4,0)</f>
        <v>5046</v>
      </c>
      <c r="V45" s="1214">
        <f>ROUND(V$5*市町土木等歳出!AL32/市町土木等歳出!AL$4,0)</f>
        <v>3486</v>
      </c>
      <c r="W45" s="1214">
        <f>ROUND(W$5*市町土木等歳出!AM32/市町土木等歳出!AM$4,0)</f>
        <v>3741</v>
      </c>
      <c r="X45" s="1214">
        <f>ROUND(X$5*市町土木等歳出!AN32/市町土木等歳出!AN$4,0)</f>
        <v>4043</v>
      </c>
    </row>
    <row r="46" spans="1:24">
      <c r="A46" s="1218">
        <v>446</v>
      </c>
      <c r="B46" s="1218" t="s">
        <v>333</v>
      </c>
      <c r="C46" s="1215">
        <f>ROUND(C$5*市町土木等歳出!S33/市町土木等歳出!S$4,0)</f>
        <v>1740</v>
      </c>
      <c r="D46" s="1215">
        <f>ROUND(D$5*市町土木等歳出!T33/市町土木等歳出!T$4,0)</f>
        <v>1391</v>
      </c>
      <c r="E46" s="1215">
        <f>ROUND(E$5*市町土木等歳出!U33/市町土木等歳出!U$4,0)</f>
        <v>1598</v>
      </c>
      <c r="F46" s="1215">
        <f>ROUND(F$5*市町土木等歳出!V33/市町土木等歳出!V$4,0)</f>
        <v>3584</v>
      </c>
      <c r="G46" s="1215">
        <f>ROUND(G$5*市町土木等歳出!W33/市町土木等歳出!W$4,0)</f>
        <v>5743</v>
      </c>
      <c r="H46" s="1215">
        <f>ROUND(H$5*市町土木等歳出!X33/市町土木等歳出!X$4,0)</f>
        <v>1973</v>
      </c>
      <c r="I46" s="1215">
        <f>ROUND(I$5*市町土木等歳出!Y33/市町土木等歳出!Y$4,0)</f>
        <v>5700</v>
      </c>
      <c r="J46" s="1215">
        <f>ROUND(J$5*市町土木等歳出!Z33/市町土木等歳出!Z$4,0)</f>
        <v>1544</v>
      </c>
      <c r="K46" s="1215">
        <f>ROUND(K$5*市町土木等歳出!AA33/市町土木等歳出!AA$4,0)</f>
        <v>3328</v>
      </c>
      <c r="L46" s="1215">
        <f>ROUND(L$5*市町土木等歳出!AB33/市町土木等歳出!AB$4,0)</f>
        <v>3024</v>
      </c>
      <c r="M46" s="1215">
        <f>ROUND(M$5*市町土木等歳出!AC33/市町土木等歳出!AC$4,0)</f>
        <v>2752</v>
      </c>
      <c r="N46" s="1215">
        <f>ROUND(N$5*市町土木等歳出!AD33/市町土木等歳出!AD$4,0)</f>
        <v>6508</v>
      </c>
      <c r="O46" s="1215">
        <f>ROUND(O$5*市町土木等歳出!AE33/市町土木等歳出!AE$4,0)</f>
        <v>4609</v>
      </c>
      <c r="P46" s="1215">
        <f>ROUND(P$5*市町土木等歳出!AF33/市町土木等歳出!AF$4,0)</f>
        <v>3390</v>
      </c>
      <c r="Q46" s="1215">
        <f>ROUND(Q$5*市町土木等歳出!AG33/市町土木等歳出!AG$4,0)</f>
        <v>3111</v>
      </c>
      <c r="R46" s="1215">
        <f>ROUND(R$5*市町土木等歳出!AH33/市町土木等歳出!AH$4,0)</f>
        <v>2185</v>
      </c>
      <c r="S46" s="1215">
        <f>ROUND(S$5*市町土木等歳出!AI33/市町土木等歳出!AI$4,0)</f>
        <v>2053</v>
      </c>
      <c r="T46" s="1215">
        <f>ROUND(T$5*市町土木等歳出!AJ33/市町土木等歳出!AJ$4,0)</f>
        <v>2275</v>
      </c>
      <c r="U46" s="1215">
        <f>ROUND(U$5*市町土木等歳出!AK33/市町土木等歳出!AK$4,0)</f>
        <v>10753</v>
      </c>
      <c r="V46" s="1215">
        <f>ROUND(V$5*市町土木等歳出!AL33/市町土木等歳出!AL$4,0)</f>
        <v>5637</v>
      </c>
      <c r="W46" s="1215">
        <f>ROUND(W$5*市町土木等歳出!AM33/市町土木等歳出!AM$4,0)</f>
        <v>6587</v>
      </c>
      <c r="X46" s="1215">
        <f>ROUND(X$5*市町土木等歳出!AN33/市町土木等歳出!AN$4,0)</f>
        <v>7671</v>
      </c>
    </row>
    <row r="47" spans="1:24">
      <c r="A47" s="1206">
        <v>6</v>
      </c>
      <c r="B47" s="1206" t="s">
        <v>327</v>
      </c>
      <c r="C47" s="1214">
        <f>SUM(C48:C54)</f>
        <v>46399</v>
      </c>
      <c r="D47" s="1214">
        <f>SUM(D48:D54)</f>
        <v>36439</v>
      </c>
      <c r="E47" s="1214">
        <f t="shared" ref="E47:J47" si="72">SUM(E48:E54)</f>
        <v>31871</v>
      </c>
      <c r="F47" s="1214">
        <f t="shared" si="72"/>
        <v>51141</v>
      </c>
      <c r="G47" s="1214">
        <f t="shared" si="72"/>
        <v>50158</v>
      </c>
      <c r="H47" s="1214">
        <f t="shared" si="72"/>
        <v>37538</v>
      </c>
      <c r="I47" s="1214">
        <f t="shared" si="72"/>
        <v>40455</v>
      </c>
      <c r="J47" s="1214">
        <f t="shared" si="72"/>
        <v>40276</v>
      </c>
      <c r="K47" s="1214">
        <f t="shared" ref="K47:P47" si="73">SUM(K48:K54)</f>
        <v>40425</v>
      </c>
      <c r="L47" s="1214">
        <f t="shared" si="73"/>
        <v>56632</v>
      </c>
      <c r="M47" s="1214">
        <f t="shared" si="73"/>
        <v>51451</v>
      </c>
      <c r="N47" s="1214">
        <f t="shared" si="73"/>
        <v>37827</v>
      </c>
      <c r="O47" s="1214">
        <f t="shared" si="73"/>
        <v>35691</v>
      </c>
      <c r="P47" s="1214">
        <f t="shared" si="73"/>
        <v>49962</v>
      </c>
      <c r="Q47" s="1214">
        <f t="shared" ref="Q47:V47" si="74">SUM(Q48:Q54)</f>
        <v>51907</v>
      </c>
      <c r="R47" s="1214">
        <f t="shared" si="74"/>
        <v>40971</v>
      </c>
      <c r="S47" s="1214">
        <f t="shared" si="74"/>
        <v>39909</v>
      </c>
      <c r="T47" s="1214">
        <f t="shared" si="74"/>
        <v>36862</v>
      </c>
      <c r="U47" s="1214">
        <f t="shared" si="74"/>
        <v>33959</v>
      </c>
      <c r="V47" s="1214">
        <f t="shared" si="74"/>
        <v>32397</v>
      </c>
      <c r="W47" s="1214">
        <f t="shared" ref="W47:X47" si="75">SUM(W48:W54)</f>
        <v>31938</v>
      </c>
      <c r="X47" s="1214">
        <f t="shared" si="75"/>
        <v>31874</v>
      </c>
    </row>
    <row r="48" spans="1:24">
      <c r="A48" s="1206">
        <v>208</v>
      </c>
      <c r="B48" s="1206" t="s">
        <v>206</v>
      </c>
      <c r="C48" s="1214">
        <f>ROUND(C$5*市町土木等歳出!S35/市町土木等歳出!S$4,0)</f>
        <v>8081</v>
      </c>
      <c r="D48" s="1214">
        <f>ROUND(D$5*市町土木等歳出!T35/市町土木等歳出!T$4,0)</f>
        <v>4413</v>
      </c>
      <c r="E48" s="1214">
        <f>ROUND(E$5*市町土木等歳出!U35/市町土木等歳出!U$4,0)</f>
        <v>3898</v>
      </c>
      <c r="F48" s="1214">
        <f>ROUND(F$5*市町土木等歳出!V35/市町土木等歳出!V$4,0)</f>
        <v>4084</v>
      </c>
      <c r="G48" s="1214">
        <f>ROUND(G$5*市町土木等歳出!W35/市町土木等歳出!W$4,0)</f>
        <v>2419</v>
      </c>
      <c r="H48" s="1214">
        <f>ROUND(H$5*市町土木等歳出!X35/市町土木等歳出!X$4,0)</f>
        <v>3654</v>
      </c>
      <c r="I48" s="1214">
        <f>ROUND(I$5*市町土木等歳出!Y35/市町土木等歳出!Y$4,0)</f>
        <v>4263</v>
      </c>
      <c r="J48" s="1214">
        <f>ROUND(J$5*市町土木等歳出!Z35/市町土木等歳出!Z$4,0)</f>
        <v>2761</v>
      </c>
      <c r="K48" s="1214">
        <f>ROUND(K$5*市町土木等歳出!AA35/市町土木等歳出!AA$4,0)</f>
        <v>4781</v>
      </c>
      <c r="L48" s="1214">
        <f>ROUND(L$5*市町土木等歳出!AB35/市町土木等歳出!AB$4,0)</f>
        <v>11296</v>
      </c>
      <c r="M48" s="1214">
        <f>ROUND(M$5*市町土木等歳出!AC35/市町土木等歳出!AC$4,0)</f>
        <v>8842</v>
      </c>
      <c r="N48" s="1214">
        <f>ROUND(N$5*市町土木等歳出!AD35/市町土木等歳出!AD$4,0)</f>
        <v>3708</v>
      </c>
      <c r="O48" s="1214">
        <f>ROUND(O$5*市町土木等歳出!AE35/市町土木等歳出!AE$4,0)</f>
        <v>1838</v>
      </c>
      <c r="P48" s="1214">
        <f>ROUND(P$5*市町土木等歳出!AF35/市町土木等歳出!AF$4,0)</f>
        <v>3378</v>
      </c>
      <c r="Q48" s="1214">
        <f>ROUND(Q$5*市町土木等歳出!AG35/市町土木等歳出!AG$4,0)</f>
        <v>2302</v>
      </c>
      <c r="R48" s="1214">
        <f>ROUND(R$5*市町土木等歳出!AH35/市町土木等歳出!AH$4,0)</f>
        <v>2810</v>
      </c>
      <c r="S48" s="1214">
        <f>ROUND(S$5*市町土木等歳出!AI35/市町土木等歳出!AI$4,0)</f>
        <v>3141</v>
      </c>
      <c r="T48" s="1214">
        <f>ROUND(T$5*市町土木等歳出!AJ35/市町土木等歳出!AJ$4,0)</f>
        <v>3465</v>
      </c>
      <c r="U48" s="1214">
        <f>ROUND(U$5*市町土木等歳出!AK35/市町土木等歳出!AK$4,0)</f>
        <v>3515</v>
      </c>
      <c r="V48" s="1214">
        <f>ROUND(V$5*市町土木等歳出!AL35/市町土木等歳出!AL$4,0)</f>
        <v>3047</v>
      </c>
      <c r="W48" s="1214">
        <f>ROUND(W$5*市町土木等歳出!AM35/市町土木等歳出!AM$4,0)</f>
        <v>3132</v>
      </c>
      <c r="X48" s="1214">
        <f>ROUND(X$5*市町土木等歳出!AN35/市町土木等歳出!AN$4,0)</f>
        <v>3157</v>
      </c>
    </row>
    <row r="49" spans="1:24">
      <c r="A49" s="1206">
        <v>212</v>
      </c>
      <c r="B49" s="1206" t="s">
        <v>207</v>
      </c>
      <c r="C49" s="1214">
        <f>ROUND(C$5*市町土木等歳出!S36/市町土木等歳出!S$4,0)</f>
        <v>7206</v>
      </c>
      <c r="D49" s="1214">
        <f>ROUND(D$5*市町土木等歳出!T36/市町土木等歳出!T$4,0)</f>
        <v>5955</v>
      </c>
      <c r="E49" s="1214">
        <f>ROUND(E$5*市町土木等歳出!U36/市町土木等歳出!U$4,0)</f>
        <v>5526</v>
      </c>
      <c r="F49" s="1214">
        <f>ROUND(F$5*市町土木等歳出!V36/市町土木等歳出!V$4,0)</f>
        <v>5498</v>
      </c>
      <c r="G49" s="1214">
        <f>ROUND(G$5*市町土木等歳出!W36/市町土木等歳出!W$4,0)</f>
        <v>7137</v>
      </c>
      <c r="H49" s="1214">
        <f>ROUND(H$5*市町土木等歳出!X36/市町土木等歳出!X$4,0)</f>
        <v>6479</v>
      </c>
      <c r="I49" s="1214">
        <f>ROUND(I$5*市町土木等歳出!Y36/市町土木等歳出!Y$4,0)</f>
        <v>9554</v>
      </c>
      <c r="J49" s="1214">
        <f>ROUND(J$5*市町土木等歳出!Z36/市町土木等歳出!Z$4,0)</f>
        <v>11590</v>
      </c>
      <c r="K49" s="1214">
        <f>ROUND(K$5*市町土木等歳出!AA36/市町土木等歳出!AA$4,0)</f>
        <v>11650</v>
      </c>
      <c r="L49" s="1214">
        <f>ROUND(L$5*市町土木等歳出!AB36/市町土木等歳出!AB$4,0)</f>
        <v>14858</v>
      </c>
      <c r="M49" s="1214">
        <f>ROUND(M$5*市町土木等歳出!AC36/市町土木等歳出!AC$4,0)</f>
        <v>13872</v>
      </c>
      <c r="N49" s="1214">
        <f>ROUND(N$5*市町土木等歳出!AD36/市町土木等歳出!AD$4,0)</f>
        <v>8683</v>
      </c>
      <c r="O49" s="1214">
        <f>ROUND(O$5*市町土木等歳出!AE36/市町土木等歳出!AE$4,0)</f>
        <v>7587</v>
      </c>
      <c r="P49" s="1214">
        <f>ROUND(P$5*市町土木等歳出!AF36/市町土木等歳出!AF$4,0)</f>
        <v>8013</v>
      </c>
      <c r="Q49" s="1214">
        <f>ROUND(Q$5*市町土木等歳出!AG36/市町土木等歳出!AG$4,0)</f>
        <v>5080</v>
      </c>
      <c r="R49" s="1214">
        <f>ROUND(R$5*市町土木等歳出!AH36/市町土木等歳出!AH$4,0)</f>
        <v>6266</v>
      </c>
      <c r="S49" s="1214">
        <f>ROUND(S$5*市町土木等歳出!AI36/市町土木等歳出!AI$4,0)</f>
        <v>5967</v>
      </c>
      <c r="T49" s="1214">
        <f>ROUND(T$5*市町土木等歳出!AJ36/市町土木等歳出!AJ$4,0)</f>
        <v>7570</v>
      </c>
      <c r="U49" s="1214">
        <f>ROUND(U$5*市町土木等歳出!AK36/市町土木等歳出!AK$4,0)</f>
        <v>3008</v>
      </c>
      <c r="V49" s="1214">
        <f>ROUND(V$5*市町土木等歳出!AL36/市町土木等歳出!AL$4,0)</f>
        <v>4442</v>
      </c>
      <c r="W49" s="1214">
        <f>ROUND(W$5*市町土木等歳出!AM36/市町土木等歳出!AM$4,0)</f>
        <v>4275</v>
      </c>
      <c r="X49" s="1214">
        <f>ROUND(X$5*市町土木等歳出!AN36/市町土木等歳出!AN$4,0)</f>
        <v>3724</v>
      </c>
    </row>
    <row r="50" spans="1:24">
      <c r="A50" s="1206">
        <v>227</v>
      </c>
      <c r="B50" s="1206" t="s">
        <v>219</v>
      </c>
      <c r="C50" s="1214">
        <f>ROUND(C$5*市町土木等歳出!S37/市町土木等歳出!S$4,0)</f>
        <v>5885</v>
      </c>
      <c r="D50" s="1214">
        <f>ROUND(D$5*市町土木等歳出!T37/市町土木等歳出!T$4,0)</f>
        <v>4580</v>
      </c>
      <c r="E50" s="1214">
        <f>ROUND(E$5*市町土木等歳出!U37/市町土木等歳出!U$4,0)</f>
        <v>3792</v>
      </c>
      <c r="F50" s="1214">
        <f>ROUND(F$5*市町土木等歳出!V37/市町土木等歳出!V$4,0)</f>
        <v>13680</v>
      </c>
      <c r="G50" s="1214">
        <f>ROUND(G$5*市町土木等歳出!W37/市町土木等歳出!W$4,0)</f>
        <v>13482</v>
      </c>
      <c r="H50" s="1214">
        <f>ROUND(H$5*市町土木等歳出!X37/市町土木等歳出!X$4,0)</f>
        <v>8887</v>
      </c>
      <c r="I50" s="1214">
        <f>ROUND(I$5*市町土木等歳出!Y37/市町土木等歳出!Y$4,0)</f>
        <v>6487</v>
      </c>
      <c r="J50" s="1214">
        <f>ROUND(J$5*市町土木等歳出!Z37/市町土木等歳出!Z$4,0)</f>
        <v>9573</v>
      </c>
      <c r="K50" s="1214">
        <f>ROUND(K$5*市町土木等歳出!AA37/市町土木等歳出!AA$4,0)</f>
        <v>7121</v>
      </c>
      <c r="L50" s="1214">
        <f>ROUND(L$5*市町土木等歳出!AB37/市町土木等歳出!AB$4,0)</f>
        <v>8033</v>
      </c>
      <c r="M50" s="1214">
        <f>ROUND(M$5*市町土木等歳出!AC37/市町土木等歳出!AC$4,0)</f>
        <v>8169</v>
      </c>
      <c r="N50" s="1214">
        <f>ROUND(N$5*市町土木等歳出!AD37/市町土木等歳出!AD$4,0)</f>
        <v>8510</v>
      </c>
      <c r="O50" s="1214">
        <f>ROUND(O$5*市町土木等歳出!AE37/市町土木等歳出!AE$4,0)</f>
        <v>9523</v>
      </c>
      <c r="P50" s="1214">
        <f>ROUND(P$5*市町土木等歳出!AF37/市町土木等歳出!AF$4,0)</f>
        <v>11121</v>
      </c>
      <c r="Q50" s="1214">
        <f>ROUND(Q$5*市町土木等歳出!AG37/市町土木等歳出!AG$4,0)</f>
        <v>8451</v>
      </c>
      <c r="R50" s="1214">
        <f>ROUND(R$5*市町土木等歳出!AH37/市町土木等歳出!AH$4,0)</f>
        <v>6782</v>
      </c>
      <c r="S50" s="1214">
        <f>ROUND(S$5*市町土木等歳出!AI37/市町土木等歳出!AI$4,0)</f>
        <v>7355</v>
      </c>
      <c r="T50" s="1214">
        <f>ROUND(T$5*市町土木等歳出!AJ37/市町土木等歳出!AJ$4,0)</f>
        <v>6393</v>
      </c>
      <c r="U50" s="1214">
        <f>ROUND(U$5*市町土木等歳出!AK37/市町土木等歳出!AK$4,0)</f>
        <v>4961</v>
      </c>
      <c r="V50" s="1214">
        <f>ROUND(V$5*市町土木等歳出!AL37/市町土木等歳出!AL$4,0)</f>
        <v>5316</v>
      </c>
      <c r="W50" s="1214">
        <f>ROUND(W$5*市町土木等歳出!AM37/市町土木等歳出!AM$4,0)</f>
        <v>5071</v>
      </c>
      <c r="X50" s="1214">
        <f>ROUND(X$5*市町土木等歳出!AN37/市町土木等歳出!AN$4,0)</f>
        <v>4950</v>
      </c>
    </row>
    <row r="51" spans="1:24">
      <c r="A51" s="1206">
        <v>229</v>
      </c>
      <c r="B51" s="1206" t="s">
        <v>334</v>
      </c>
      <c r="C51" s="1214">
        <f>ROUND(C$5*市町土木等歳出!S38/市町土木等歳出!S$4,0)</f>
        <v>15491</v>
      </c>
      <c r="D51" s="1214">
        <f>ROUND(D$5*市町土木等歳出!T38/市町土木等歳出!T$4,0)</f>
        <v>12404</v>
      </c>
      <c r="E51" s="1214">
        <f>ROUND(E$5*市町土木等歳出!U38/市町土木等歳出!U$4,0)</f>
        <v>11976</v>
      </c>
      <c r="F51" s="1214">
        <f>ROUND(F$5*市町土木等歳出!V38/市町土木等歳出!V$4,0)</f>
        <v>11104</v>
      </c>
      <c r="G51" s="1214">
        <f>ROUND(G$5*市町土木等歳出!W38/市町土木等歳出!W$4,0)</f>
        <v>11294</v>
      </c>
      <c r="H51" s="1214">
        <f>ROUND(H$5*市町土木等歳出!X38/市町土木等歳出!X$4,0)</f>
        <v>7605</v>
      </c>
      <c r="I51" s="1214">
        <f>ROUND(I$5*市町土木等歳出!Y38/市町土木等歳出!Y$4,0)</f>
        <v>7795</v>
      </c>
      <c r="J51" s="1214">
        <f>ROUND(J$5*市町土木等歳出!Z38/市町土木等歳出!Z$4,0)</f>
        <v>6291</v>
      </c>
      <c r="K51" s="1214">
        <f>ROUND(K$5*市町土木等歳出!AA38/市町土木等歳出!AA$4,0)</f>
        <v>7431</v>
      </c>
      <c r="L51" s="1214">
        <f>ROUND(L$5*市町土木等歳出!AB38/市町土木等歳出!AB$4,0)</f>
        <v>6726</v>
      </c>
      <c r="M51" s="1214">
        <f>ROUND(M$5*市町土木等歳出!AC38/市町土木等歳出!AC$4,0)</f>
        <v>6787</v>
      </c>
      <c r="N51" s="1214">
        <f>ROUND(N$5*市町土木等歳出!AD38/市町土木等歳出!AD$4,0)</f>
        <v>8893</v>
      </c>
      <c r="O51" s="1214">
        <f>ROUND(O$5*市町土木等歳出!AE38/市町土木等歳出!AE$4,0)</f>
        <v>8764</v>
      </c>
      <c r="P51" s="1214">
        <f>ROUND(P$5*市町土木等歳出!AF38/市町土木等歳出!AF$4,0)</f>
        <v>12114</v>
      </c>
      <c r="Q51" s="1214">
        <f>ROUND(Q$5*市町土木等歳出!AG38/市町土木等歳出!AG$4,0)</f>
        <v>19774</v>
      </c>
      <c r="R51" s="1214">
        <f>ROUND(R$5*市町土木等歳出!AH38/市町土木等歳出!AH$4,0)</f>
        <v>12106</v>
      </c>
      <c r="S51" s="1214">
        <f>ROUND(S$5*市町土木等歳出!AI38/市町土木等歳出!AI$4,0)</f>
        <v>15394</v>
      </c>
      <c r="T51" s="1214">
        <f>ROUND(T$5*市町土木等歳出!AJ38/市町土木等歳出!AJ$4,0)</f>
        <v>10830</v>
      </c>
      <c r="U51" s="1214">
        <f>ROUND(U$5*市町土木等歳出!AK38/市町土木等歳出!AK$4,0)</f>
        <v>7364</v>
      </c>
      <c r="V51" s="1214">
        <f>ROUND(V$5*市町土木等歳出!AL38/市町土木等歳出!AL$4,0)</f>
        <v>9219</v>
      </c>
      <c r="W51" s="1214">
        <f>ROUND(W$5*市町土木等歳出!AM38/市町土木等歳出!AM$4,0)</f>
        <v>8239</v>
      </c>
      <c r="X51" s="1214">
        <f>ROUND(X$5*市町土木等歳出!AN38/市町土木等歳出!AN$4,0)</f>
        <v>7950</v>
      </c>
    </row>
    <row r="52" spans="1:24">
      <c r="A52" s="1206">
        <v>464</v>
      </c>
      <c r="B52" s="1206" t="s">
        <v>208</v>
      </c>
      <c r="C52" s="1214">
        <f>ROUND(C$5*市町土木等歳出!S39/市町土木等歳出!S$4,0)</f>
        <v>3087</v>
      </c>
      <c r="D52" s="1214">
        <f>ROUND(D$5*市町土木等歳出!T39/市町土木等歳出!T$4,0)</f>
        <v>2707</v>
      </c>
      <c r="E52" s="1214">
        <f>ROUND(E$5*市町土木等歳出!U39/市町土木等歳出!U$4,0)</f>
        <v>2693</v>
      </c>
      <c r="F52" s="1214">
        <f>ROUND(F$5*市町土木等歳出!V39/市町土木等歳出!V$4,0)</f>
        <v>3333</v>
      </c>
      <c r="G52" s="1214">
        <f>ROUND(G$5*市町土木等歳出!W39/市町土木等歳出!W$4,0)</f>
        <v>1874</v>
      </c>
      <c r="H52" s="1214">
        <f>ROUND(H$5*市町土木等歳出!X39/市町土木等歳出!X$4,0)</f>
        <v>1994</v>
      </c>
      <c r="I52" s="1214">
        <f>ROUND(I$5*市町土木等歳出!Y39/市町土木等歳出!Y$4,0)</f>
        <v>3119</v>
      </c>
      <c r="J52" s="1214">
        <f>ROUND(J$5*市町土木等歳出!Z39/市町土木等歳出!Z$4,0)</f>
        <v>1490</v>
      </c>
      <c r="K52" s="1214">
        <f>ROUND(K$5*市町土木等歳出!AA39/市町土木等歳出!AA$4,0)</f>
        <v>2053</v>
      </c>
      <c r="L52" s="1214">
        <f>ROUND(L$5*市町土木等歳出!AB39/市町土木等歳出!AB$4,0)</f>
        <v>9921</v>
      </c>
      <c r="M52" s="1214">
        <f>ROUND(M$5*市町土木等歳出!AC39/市町土木等歳出!AC$4,0)</f>
        <v>7260</v>
      </c>
      <c r="N52" s="1214">
        <f>ROUND(N$5*市町土木等歳出!AD39/市町土木等歳出!AD$4,0)</f>
        <v>2180</v>
      </c>
      <c r="O52" s="1214">
        <f>ROUND(O$5*市町土木等歳出!AE39/市町土木等歳出!AE$4,0)</f>
        <v>1315</v>
      </c>
      <c r="P52" s="1214">
        <f>ROUND(P$5*市町土木等歳出!AF39/市町土木等歳出!AF$4,0)</f>
        <v>5614</v>
      </c>
      <c r="Q52" s="1214">
        <f>ROUND(Q$5*市町土木等歳出!AG39/市町土木等歳出!AG$4,0)</f>
        <v>5958</v>
      </c>
      <c r="R52" s="1214">
        <f>ROUND(R$5*市町土木等歳出!AH39/市町土木等歳出!AH$4,0)</f>
        <v>2378</v>
      </c>
      <c r="S52" s="1214">
        <f>ROUND(S$5*市町土木等歳出!AI39/市町土木等歳出!AI$4,0)</f>
        <v>2207</v>
      </c>
      <c r="T52" s="1214">
        <f>ROUND(T$5*市町土木等歳出!AJ39/市町土木等歳出!AJ$4,0)</f>
        <v>1415</v>
      </c>
      <c r="U52" s="1214">
        <f>ROUND(U$5*市町土木等歳出!AK39/市町土木等歳出!AK$4,0)</f>
        <v>4279</v>
      </c>
      <c r="V52" s="1214">
        <f>ROUND(V$5*市町土木等歳出!AL39/市町土木等歳出!AL$4,0)</f>
        <v>2678</v>
      </c>
      <c r="W52" s="1214">
        <f>ROUND(W$5*市町土木等歳出!AM39/市町土木等歳出!AM$4,0)</f>
        <v>2870</v>
      </c>
      <c r="X52" s="1214">
        <f>ROUND(X$5*市町土木等歳出!AN39/市町土木等歳出!AN$4,0)</f>
        <v>3255</v>
      </c>
    </row>
    <row r="53" spans="1:24">
      <c r="A53" s="1206">
        <v>481</v>
      </c>
      <c r="B53" s="1206" t="s">
        <v>209</v>
      </c>
      <c r="C53" s="1214">
        <f>ROUND(C$5*市町土木等歳出!S40/市町土木等歳出!S$4,0)</f>
        <v>3481</v>
      </c>
      <c r="D53" s="1214">
        <f>ROUND(D$5*市町土木等歳出!T40/市町土木等歳出!T$4,0)</f>
        <v>3749</v>
      </c>
      <c r="E53" s="1214">
        <f>ROUND(E$5*市町土木等歳出!U40/市町土木等歳出!U$4,0)</f>
        <v>1880</v>
      </c>
      <c r="F53" s="1214">
        <f>ROUND(F$5*市町土木等歳出!V40/市町土木等歳出!V$4,0)</f>
        <v>3351</v>
      </c>
      <c r="G53" s="1214">
        <f>ROUND(G$5*市町土木等歳出!W40/市町土木等歳出!W$4,0)</f>
        <v>2834</v>
      </c>
      <c r="H53" s="1214">
        <f>ROUND(H$5*市町土木等歳出!X40/市町土木等歳出!X$4,0)</f>
        <v>1802</v>
      </c>
      <c r="I53" s="1214">
        <f>ROUND(I$5*市町土木等歳出!Y40/市町土木等歳出!Y$4,0)</f>
        <v>2604</v>
      </c>
      <c r="J53" s="1214">
        <f>ROUND(J$5*市町土木等歳出!Z40/市町土木等歳出!Z$4,0)</f>
        <v>2261</v>
      </c>
      <c r="K53" s="1214">
        <f>ROUND(K$5*市町土木等歳出!AA40/市町土木等歳出!AA$4,0)</f>
        <v>1326</v>
      </c>
      <c r="L53" s="1214">
        <f>ROUND(L$5*市町土木等歳出!AB40/市町土木等歳出!AB$4,0)</f>
        <v>1328</v>
      </c>
      <c r="M53" s="1214">
        <f>ROUND(M$5*市町土木等歳出!AC40/市町土木等歳出!AC$4,0)</f>
        <v>1478</v>
      </c>
      <c r="N53" s="1214">
        <f>ROUND(N$5*市町土木等歳出!AD40/市町土木等歳出!AD$4,0)</f>
        <v>2220</v>
      </c>
      <c r="O53" s="1214">
        <f>ROUND(O$5*市町土木等歳出!AE40/市町土木等歳出!AE$4,0)</f>
        <v>1485</v>
      </c>
      <c r="P53" s="1214">
        <f>ROUND(P$5*市町土木等歳出!AF40/市町土木等歳出!AF$4,0)</f>
        <v>2894</v>
      </c>
      <c r="Q53" s="1214">
        <f>ROUND(Q$5*市町土木等歳出!AG40/市町土木等歳出!AG$4,0)</f>
        <v>3659</v>
      </c>
      <c r="R53" s="1214">
        <f>ROUND(R$5*市町土木等歳出!AH40/市町土木等歳出!AH$4,0)</f>
        <v>3505</v>
      </c>
      <c r="S53" s="1214">
        <f>ROUND(S$5*市町土木等歳出!AI40/市町土木等歳出!AI$4,0)</f>
        <v>2406</v>
      </c>
      <c r="T53" s="1214">
        <f>ROUND(T$5*市町土木等歳出!AJ40/市町土木等歳出!AJ$4,0)</f>
        <v>2147</v>
      </c>
      <c r="U53" s="1214">
        <f>ROUND(U$5*市町土木等歳出!AK40/市町土木等歳出!AK$4,0)</f>
        <v>7698</v>
      </c>
      <c r="V53" s="1214">
        <f>ROUND(V$5*市町土木等歳出!AL40/市町土木等歳出!AL$4,0)</f>
        <v>4370</v>
      </c>
      <c r="W53" s="1214">
        <f>ROUND(W$5*市町土木等歳出!AM40/市町土木等歳出!AM$4,0)</f>
        <v>4935</v>
      </c>
      <c r="X53" s="1214">
        <f>ROUND(X$5*市町土木等歳出!AN40/市町土木等歳出!AN$4,0)</f>
        <v>5655</v>
      </c>
    </row>
    <row r="54" spans="1:24">
      <c r="A54" s="1206">
        <v>501</v>
      </c>
      <c r="B54" s="1206" t="s">
        <v>335</v>
      </c>
      <c r="C54" s="1215">
        <f>ROUND(C$5*市町土木等歳出!S41/市町土木等歳出!S$4,0)</f>
        <v>3168</v>
      </c>
      <c r="D54" s="1215">
        <f>ROUND(D$5*市町土木等歳出!T41/市町土木等歳出!T$4,0)</f>
        <v>2631</v>
      </c>
      <c r="E54" s="1215">
        <f>ROUND(E$5*市町土木等歳出!U41/市町土木等歳出!U$4,0)</f>
        <v>2106</v>
      </c>
      <c r="F54" s="1215">
        <f>ROUND(F$5*市町土木等歳出!V41/市町土木等歳出!V$4,0)</f>
        <v>10091</v>
      </c>
      <c r="G54" s="1215">
        <f>ROUND(G$5*市町土木等歳出!W41/市町土木等歳出!W$4,0)</f>
        <v>11118</v>
      </c>
      <c r="H54" s="1215">
        <f>ROUND(H$5*市町土木等歳出!X41/市町土木等歳出!X$4,0)</f>
        <v>7117</v>
      </c>
      <c r="I54" s="1215">
        <f>ROUND(I$5*市町土木等歳出!Y41/市町土木等歳出!Y$4,0)</f>
        <v>6633</v>
      </c>
      <c r="J54" s="1215">
        <f>ROUND(J$5*市町土木等歳出!Z41/市町土木等歳出!Z$4,0)</f>
        <v>6310</v>
      </c>
      <c r="K54" s="1215">
        <f>ROUND(K$5*市町土木等歳出!AA41/市町土木等歳出!AA$4,0)</f>
        <v>6063</v>
      </c>
      <c r="L54" s="1215">
        <f>ROUND(L$5*市町土木等歳出!AB41/市町土木等歳出!AB$4,0)</f>
        <v>4470</v>
      </c>
      <c r="M54" s="1215">
        <f>ROUND(M$5*市町土木等歳出!AC41/市町土木等歳出!AC$4,0)</f>
        <v>5043</v>
      </c>
      <c r="N54" s="1215">
        <f>ROUND(N$5*市町土木等歳出!AD41/市町土木等歳出!AD$4,0)</f>
        <v>3633</v>
      </c>
      <c r="O54" s="1215">
        <f>ROUND(O$5*市町土木等歳出!AE41/市町土木等歳出!AE$4,0)</f>
        <v>5179</v>
      </c>
      <c r="P54" s="1215">
        <f>ROUND(P$5*市町土木等歳出!AF41/市町土木等歳出!AF$4,0)</f>
        <v>6828</v>
      </c>
      <c r="Q54" s="1215">
        <f>ROUND(Q$5*市町土木等歳出!AG41/市町土木等歳出!AG$4,0)</f>
        <v>6683</v>
      </c>
      <c r="R54" s="1215">
        <f>ROUND(R$5*市町土木等歳出!AH41/市町土木等歳出!AH$4,0)</f>
        <v>7124</v>
      </c>
      <c r="S54" s="1215">
        <f>ROUND(S$5*市町土木等歳出!AI41/市町土木等歳出!AI$4,0)</f>
        <v>3439</v>
      </c>
      <c r="T54" s="1215">
        <f>ROUND(T$5*市町土木等歳出!AJ41/市町土木等歳出!AJ$4,0)</f>
        <v>5042</v>
      </c>
      <c r="U54" s="1215">
        <f>ROUND(U$5*市町土木等歳出!AK41/市町土木等歳出!AK$4,0)</f>
        <v>3134</v>
      </c>
      <c r="V54" s="1215">
        <f>ROUND(V$5*市町土木等歳出!AL41/市町土木等歳出!AL$4,0)</f>
        <v>3325</v>
      </c>
      <c r="W54" s="1215">
        <f>ROUND(W$5*市町土木等歳出!AM41/市町土木等歳出!AM$4,0)</f>
        <v>3416</v>
      </c>
      <c r="X54" s="1215">
        <f>ROUND(X$5*市町土木等歳出!AN41/市町土木等歳出!AN$4,0)</f>
        <v>3183</v>
      </c>
    </row>
    <row r="55" spans="1:24">
      <c r="A55" s="1204">
        <v>7</v>
      </c>
      <c r="B55" s="1204" t="s">
        <v>210</v>
      </c>
      <c r="C55" s="1217">
        <f>SUM(C56:C60)</f>
        <v>36958</v>
      </c>
      <c r="D55" s="1217">
        <f>SUM(D56:D60)</f>
        <v>24596</v>
      </c>
      <c r="E55" s="1217">
        <f t="shared" ref="E55:J55" si="76">SUM(E56:E60)</f>
        <v>28191</v>
      </c>
      <c r="F55" s="1217">
        <f t="shared" si="76"/>
        <v>44463</v>
      </c>
      <c r="G55" s="1217">
        <f t="shared" si="76"/>
        <v>40602</v>
      </c>
      <c r="H55" s="1217">
        <f t="shared" si="76"/>
        <v>40045</v>
      </c>
      <c r="I55" s="1217">
        <f t="shared" si="76"/>
        <v>53946</v>
      </c>
      <c r="J55" s="1217">
        <f t="shared" si="76"/>
        <v>51012</v>
      </c>
      <c r="K55" s="1217">
        <f t="shared" ref="K55:P55" si="77">SUM(K56:K60)</f>
        <v>46997</v>
      </c>
      <c r="L55" s="1217">
        <f t="shared" si="77"/>
        <v>44224</v>
      </c>
      <c r="M55" s="1217">
        <f t="shared" si="77"/>
        <v>45741</v>
      </c>
      <c r="N55" s="1217">
        <f t="shared" si="77"/>
        <v>39822</v>
      </c>
      <c r="O55" s="1217">
        <f t="shared" si="77"/>
        <v>34916</v>
      </c>
      <c r="P55" s="1217">
        <f t="shared" si="77"/>
        <v>43342</v>
      </c>
      <c r="Q55" s="1217">
        <f t="shared" ref="Q55:V55" si="78">SUM(Q56:Q60)</f>
        <v>43172</v>
      </c>
      <c r="R55" s="1217">
        <f t="shared" si="78"/>
        <v>39528</v>
      </c>
      <c r="S55" s="1217">
        <f t="shared" si="78"/>
        <v>34378</v>
      </c>
      <c r="T55" s="1217">
        <f t="shared" si="78"/>
        <v>37414</v>
      </c>
      <c r="U55" s="1217">
        <f t="shared" si="78"/>
        <v>18100</v>
      </c>
      <c r="V55" s="1217">
        <f t="shared" si="78"/>
        <v>24450</v>
      </c>
      <c r="W55" s="1217">
        <f t="shared" ref="W55:X55" si="79">SUM(W56:W60)</f>
        <v>23204</v>
      </c>
      <c r="X55" s="1217">
        <f t="shared" si="79"/>
        <v>20970</v>
      </c>
    </row>
    <row r="56" spans="1:24">
      <c r="A56" s="1206">
        <v>209</v>
      </c>
      <c r="B56" s="1206" t="s">
        <v>336</v>
      </c>
      <c r="C56" s="1214">
        <f>ROUND(C$5*市町土木等歳出!S43/市町土木等歳出!S$4,0)</f>
        <v>19366</v>
      </c>
      <c r="D56" s="1214">
        <f>ROUND(D$5*市町土木等歳出!T43/市町土木等歳出!T$4,0)</f>
        <v>12574</v>
      </c>
      <c r="E56" s="1214">
        <f>ROUND(E$5*市町土木等歳出!U43/市町土木等歳出!U$4,0)</f>
        <v>15812</v>
      </c>
      <c r="F56" s="1214">
        <f>ROUND(F$5*市町土木等歳出!V43/市町土木等歳出!V$4,0)</f>
        <v>19141</v>
      </c>
      <c r="G56" s="1214">
        <f>ROUND(G$5*市町土木等歳出!W43/市町土木等歳出!W$4,0)</f>
        <v>17447</v>
      </c>
      <c r="H56" s="1214">
        <f>ROUND(H$5*市町土木等歳出!X43/市町土木等歳出!X$4,0)</f>
        <v>16882</v>
      </c>
      <c r="I56" s="1214">
        <f>ROUND(I$5*市町土木等歳出!Y43/市町土木等歳出!Y$4,0)</f>
        <v>29786</v>
      </c>
      <c r="J56" s="1214">
        <f>ROUND(J$5*市町土木等歳出!Z43/市町土木等歳出!Z$4,0)</f>
        <v>23876</v>
      </c>
      <c r="K56" s="1214">
        <f>ROUND(K$5*市町土木等歳出!AA43/市町土木等歳出!AA$4,0)</f>
        <v>17298</v>
      </c>
      <c r="L56" s="1214">
        <f>ROUND(L$5*市町土木等歳出!AB43/市町土木等歳出!AB$4,0)</f>
        <v>14549</v>
      </c>
      <c r="M56" s="1214">
        <f>ROUND(M$5*市町土木等歳出!AC43/市町土木等歳出!AC$4,0)</f>
        <v>16671</v>
      </c>
      <c r="N56" s="1214">
        <f>ROUND(N$5*市町土木等歳出!AD43/市町土木等歳出!AD$4,0)</f>
        <v>16330</v>
      </c>
      <c r="O56" s="1214">
        <f>ROUND(O$5*市町土木等歳出!AE43/市町土木等歳出!AE$4,0)</f>
        <v>13791</v>
      </c>
      <c r="P56" s="1214">
        <f>ROUND(P$5*市町土木等歳出!AF43/市町土木等歳出!AF$4,0)</f>
        <v>18230</v>
      </c>
      <c r="Q56" s="1214">
        <f>ROUND(Q$5*市町土木等歳出!AG43/市町土木等歳出!AG$4,0)</f>
        <v>14779</v>
      </c>
      <c r="R56" s="1214">
        <f>ROUND(R$5*市町土木等歳出!AH43/市町土木等歳出!AH$4,0)</f>
        <v>15993</v>
      </c>
      <c r="S56" s="1214">
        <f>ROUND(S$5*市町土木等歳出!AI43/市町土木等歳出!AI$4,0)</f>
        <v>15194</v>
      </c>
      <c r="T56" s="1214">
        <f>ROUND(T$5*市町土木等歳出!AJ43/市町土木等歳出!AJ$4,0)</f>
        <v>13722</v>
      </c>
      <c r="U56" s="1214">
        <f>ROUND(U$5*市町土木等歳出!AK43/市町土木等歳出!AK$4,0)</f>
        <v>6669</v>
      </c>
      <c r="V56" s="1214">
        <f>ROUND(V$5*市町土木等歳出!AL43/市町土木等歳出!AL$4,0)</f>
        <v>9563</v>
      </c>
      <c r="W56" s="1214">
        <f>ROUND(W$5*市町土木等歳出!AM43/市町土木等歳出!AM$4,0)</f>
        <v>8708</v>
      </c>
      <c r="X56" s="1214">
        <f>ROUND(X$5*市町土木等歳出!AN43/市町土木等歳出!AN$4,0)</f>
        <v>7935</v>
      </c>
    </row>
    <row r="57" spans="1:24">
      <c r="A57" s="1206">
        <v>222</v>
      </c>
      <c r="B57" s="1206" t="s">
        <v>337</v>
      </c>
      <c r="C57" s="1214">
        <f>ROUND(C$5*市町土木等歳出!S44/市町土木等歳出!S$4,0)</f>
        <v>5939</v>
      </c>
      <c r="D57" s="1214">
        <f>ROUND(D$5*市町土木等歳出!T44/市町土木等歳出!T$4,0)</f>
        <v>3108</v>
      </c>
      <c r="E57" s="1214">
        <f>ROUND(E$5*市町土木等歳出!U44/市町土木等歳出!U$4,0)</f>
        <v>3271</v>
      </c>
      <c r="F57" s="1214">
        <f>ROUND(F$5*市町土木等歳出!V44/市町土木等歳出!V$4,0)</f>
        <v>7679</v>
      </c>
      <c r="G57" s="1214">
        <f>ROUND(G$5*市町土木等歳出!W44/市町土木等歳出!W$4,0)</f>
        <v>7346</v>
      </c>
      <c r="H57" s="1214">
        <f>ROUND(H$5*市町土木等歳出!X44/市町土木等歳出!X$4,0)</f>
        <v>7053</v>
      </c>
      <c r="I57" s="1214">
        <f>ROUND(I$5*市町土木等歳出!Y44/市町土木等歳出!Y$4,0)</f>
        <v>4299</v>
      </c>
      <c r="J57" s="1214">
        <f>ROUND(J$5*市町土木等歳出!Z44/市町土木等歳出!Z$4,0)</f>
        <v>2923</v>
      </c>
      <c r="K57" s="1214">
        <f>ROUND(K$5*市町土木等歳出!AA44/市町土木等歳出!AA$4,0)</f>
        <v>6722</v>
      </c>
      <c r="L57" s="1214">
        <f>ROUND(L$5*市町土木等歳出!AB44/市町土木等歳出!AB$4,0)</f>
        <v>6275</v>
      </c>
      <c r="M57" s="1214">
        <f>ROUND(M$5*市町土木等歳出!AC44/市町土木等歳出!AC$4,0)</f>
        <v>5710</v>
      </c>
      <c r="N57" s="1214">
        <f>ROUND(N$5*市町土木等歳出!AD44/市町土木等歳出!AD$4,0)</f>
        <v>3556</v>
      </c>
      <c r="O57" s="1214">
        <f>ROUND(O$5*市町土木等歳出!AE44/市町土木等歳出!AE$4,0)</f>
        <v>5201</v>
      </c>
      <c r="P57" s="1214">
        <f>ROUND(P$5*市町土木等歳出!AF44/市町土木等歳出!AF$4,0)</f>
        <v>5802</v>
      </c>
      <c r="Q57" s="1214">
        <f>ROUND(Q$5*市町土木等歳出!AG44/市町土木等歳出!AG$4,0)</f>
        <v>9925</v>
      </c>
      <c r="R57" s="1214">
        <f>ROUND(R$5*市町土木等歳出!AH44/市町土木等歳出!AH$4,0)</f>
        <v>8585</v>
      </c>
      <c r="S57" s="1214">
        <f>ROUND(S$5*市町土木等歳出!AI44/市町土木等歳出!AI$4,0)</f>
        <v>4788</v>
      </c>
      <c r="T57" s="1214">
        <f>ROUND(T$5*市町土木等歳出!AJ44/市町土木等歳出!AJ$4,0)</f>
        <v>6343</v>
      </c>
      <c r="U57" s="1214">
        <f>ROUND(U$5*市町土木等歳出!AK44/市町土木等歳出!AK$4,0)</f>
        <v>952</v>
      </c>
      <c r="V57" s="1214">
        <f>ROUND(V$5*市町土木等歳出!AL44/市町土木等歳出!AL$4,0)</f>
        <v>2999</v>
      </c>
      <c r="W57" s="1214">
        <f>ROUND(W$5*市町土木等歳出!AM44/市町土木等歳出!AM$4,0)</f>
        <v>2726</v>
      </c>
      <c r="X57" s="1214">
        <f>ROUND(X$5*市町土木等歳出!AN44/市町土木等歳出!AN$4,0)</f>
        <v>2062</v>
      </c>
    </row>
    <row r="58" spans="1:24">
      <c r="A58" s="1206">
        <v>225</v>
      </c>
      <c r="B58" s="1206" t="s">
        <v>222</v>
      </c>
      <c r="C58" s="1214">
        <f>ROUND(C$5*市町土木等歳出!S45/市町土木等歳出!S$4,0)</f>
        <v>5573</v>
      </c>
      <c r="D58" s="1214">
        <f>ROUND(D$5*市町土木等歳出!T45/市町土木等歳出!T$4,0)</f>
        <v>4052</v>
      </c>
      <c r="E58" s="1214">
        <f>ROUND(E$5*市町土木等歳出!U45/市町土木等歳出!U$4,0)</f>
        <v>4320</v>
      </c>
      <c r="F58" s="1214">
        <f>ROUND(F$5*市町土木等歳出!V45/市町土木等歳出!V$4,0)</f>
        <v>7873</v>
      </c>
      <c r="G58" s="1214">
        <f>ROUND(G$5*市町土木等歳出!W45/市町土木等歳出!W$4,0)</f>
        <v>8159</v>
      </c>
      <c r="H58" s="1214">
        <f>ROUND(H$5*市町土木等歳出!X45/市町土木等歳出!X$4,0)</f>
        <v>8506</v>
      </c>
      <c r="I58" s="1214">
        <f>ROUND(I$5*市町土木等歳出!Y45/市町土木等歳出!Y$4,0)</f>
        <v>9394</v>
      </c>
      <c r="J58" s="1214">
        <f>ROUND(J$5*市町土木等歳出!Z45/市町土木等歳出!Z$4,0)</f>
        <v>12216</v>
      </c>
      <c r="K58" s="1214">
        <f>ROUND(K$5*市町土木等歳出!AA45/市町土木等歳出!AA$4,0)</f>
        <v>11944</v>
      </c>
      <c r="L58" s="1214">
        <f>ROUND(L$5*市町土木等歳出!AB45/市町土木等歳出!AB$4,0)</f>
        <v>16335</v>
      </c>
      <c r="M58" s="1214">
        <f>ROUND(M$5*市町土木等歳出!AC45/市町土木等歳出!AC$4,0)</f>
        <v>15023</v>
      </c>
      <c r="N58" s="1214">
        <f>ROUND(N$5*市町土木等歳出!AD45/市町土木等歳出!AD$4,0)</f>
        <v>8570</v>
      </c>
      <c r="O58" s="1214">
        <f>ROUND(O$5*市町土木等歳出!AE45/市町土木等歳出!AE$4,0)</f>
        <v>5477</v>
      </c>
      <c r="P58" s="1214">
        <f>ROUND(P$5*市町土木等歳出!AF45/市町土木等歳出!AF$4,0)</f>
        <v>6333</v>
      </c>
      <c r="Q58" s="1214">
        <f>ROUND(Q$5*市町土木等歳出!AG45/市町土木等歳出!AG$4,0)</f>
        <v>5625</v>
      </c>
      <c r="R58" s="1214">
        <f>ROUND(R$5*市町土木等歳出!AH45/市町土木等歳出!AH$4,0)</f>
        <v>5270</v>
      </c>
      <c r="S58" s="1214">
        <f>ROUND(S$5*市町土木等歳出!AI45/市町土木等歳出!AI$4,0)</f>
        <v>5402</v>
      </c>
      <c r="T58" s="1214">
        <f>ROUND(T$5*市町土木等歳出!AJ45/市町土木等歳出!AJ$4,0)</f>
        <v>5137</v>
      </c>
      <c r="U58" s="1214">
        <f>ROUND(U$5*市町土木等歳出!AK45/市町土木等歳出!AK$4,0)</f>
        <v>6375</v>
      </c>
      <c r="V58" s="1214">
        <f>ROUND(V$5*市町土木等歳出!AL45/市町土木等歳出!AL$4,0)</f>
        <v>5186</v>
      </c>
      <c r="W58" s="1214">
        <f>ROUND(W$5*市町土木等歳出!AM45/市町土木等歳出!AM$4,0)</f>
        <v>5320</v>
      </c>
      <c r="X58" s="1214">
        <f>ROUND(X$5*市町土木等歳出!AN45/市町土木等歳出!AN$4,0)</f>
        <v>5517</v>
      </c>
    </row>
    <row r="59" spans="1:24">
      <c r="A59" s="1206">
        <v>585</v>
      </c>
      <c r="B59" s="1206" t="s">
        <v>220</v>
      </c>
      <c r="C59" s="1214">
        <f>ROUND(C$5*市町土木等歳出!S46/市町土木等歳出!S$4,0)</f>
        <v>3435</v>
      </c>
      <c r="D59" s="1214">
        <f>ROUND(D$5*市町土木等歳出!T46/市町土木等歳出!T$4,0)</f>
        <v>2912</v>
      </c>
      <c r="E59" s="1214">
        <f>ROUND(E$5*市町土木等歳出!U46/市町土木等歳出!U$4,0)</f>
        <v>3140</v>
      </c>
      <c r="F59" s="1214">
        <f>ROUND(F$5*市町土木等歳出!V46/市町土木等歳出!V$4,0)</f>
        <v>4835</v>
      </c>
      <c r="G59" s="1214">
        <f>ROUND(G$5*市町土木等歳出!W46/市町土木等歳出!W$4,0)</f>
        <v>3829</v>
      </c>
      <c r="H59" s="1214">
        <f>ROUND(H$5*市町土木等歳出!X46/市町土木等歳出!X$4,0)</f>
        <v>4367</v>
      </c>
      <c r="I59" s="1214">
        <f>ROUND(I$5*市町土木等歳出!Y46/市町土木等歳出!Y$4,0)</f>
        <v>6675</v>
      </c>
      <c r="J59" s="1214">
        <f>ROUND(J$5*市町土木等歳出!Z46/市町土木等歳出!Z$4,0)</f>
        <v>6953</v>
      </c>
      <c r="K59" s="1214">
        <f>ROUND(K$5*市町土木等歳出!AA46/市町土木等歳出!AA$4,0)</f>
        <v>7407</v>
      </c>
      <c r="L59" s="1214">
        <f>ROUND(L$5*市町土木等歳出!AB46/市町土木等歳出!AB$4,0)</f>
        <v>4418</v>
      </c>
      <c r="M59" s="1214">
        <f>ROUND(M$5*市町土木等歳出!AC46/市町土木等歳出!AC$4,0)</f>
        <v>5299</v>
      </c>
      <c r="N59" s="1214">
        <f>ROUND(N$5*市町土木等歳出!AD46/市町土木等歳出!AD$4,0)</f>
        <v>7034</v>
      </c>
      <c r="O59" s="1214">
        <f>ROUND(O$5*市町土木等歳出!AE46/市町土木等歳出!AE$4,0)</f>
        <v>7110</v>
      </c>
      <c r="P59" s="1214">
        <f>ROUND(P$5*市町土木等歳出!AF46/市町土木等歳出!AF$4,0)</f>
        <v>5908</v>
      </c>
      <c r="Q59" s="1214">
        <f>ROUND(Q$5*市町土木等歳出!AG46/市町土木等歳出!AG$4,0)</f>
        <v>6420</v>
      </c>
      <c r="R59" s="1214">
        <f>ROUND(R$5*市町土木等歳出!AH46/市町土木等歳出!AH$4,0)</f>
        <v>6184</v>
      </c>
      <c r="S59" s="1214">
        <f>ROUND(S$5*市町土木等歳出!AI46/市町土木等歳出!AI$4,0)</f>
        <v>4740</v>
      </c>
      <c r="T59" s="1214">
        <f>ROUND(T$5*市町土木等歳出!AJ46/市町土木等歳出!AJ$4,0)</f>
        <v>4819</v>
      </c>
      <c r="U59" s="1214">
        <f>ROUND(U$5*市町土木等歳出!AK46/市町土木等歳出!AK$4,0)</f>
        <v>1832</v>
      </c>
      <c r="V59" s="1214">
        <f>ROUND(V$5*市町土木等歳出!AL46/市町土木等歳出!AL$4,0)</f>
        <v>3005</v>
      </c>
      <c r="W59" s="1214">
        <f>ROUND(W$5*市町土木等歳出!AM46/市町土木等歳出!AM$4,0)</f>
        <v>2743</v>
      </c>
      <c r="X59" s="1214">
        <f>ROUND(X$5*市町土木等歳出!AN46/市町土木等歳出!AN$4,0)</f>
        <v>2397</v>
      </c>
    </row>
    <row r="60" spans="1:24">
      <c r="A60" s="1218">
        <v>586</v>
      </c>
      <c r="B60" s="1218" t="s">
        <v>338</v>
      </c>
      <c r="C60" s="1215">
        <f>ROUND(C$5*市町土木等歳出!S47/市町土木等歳出!S$4,0)</f>
        <v>2645</v>
      </c>
      <c r="D60" s="1215">
        <f>ROUND(D$5*市町土木等歳出!T47/市町土木等歳出!T$4,0)</f>
        <v>1950</v>
      </c>
      <c r="E60" s="1215">
        <f>ROUND(E$5*市町土木等歳出!U47/市町土木等歳出!U$4,0)</f>
        <v>1648</v>
      </c>
      <c r="F60" s="1215">
        <f>ROUND(F$5*市町土木等歳出!V47/市町土木等歳出!V$4,0)</f>
        <v>4935</v>
      </c>
      <c r="G60" s="1215">
        <f>ROUND(G$5*市町土木等歳出!W47/市町土木等歳出!W$4,0)</f>
        <v>3821</v>
      </c>
      <c r="H60" s="1215">
        <f>ROUND(H$5*市町土木等歳出!X47/市町土木等歳出!X$4,0)</f>
        <v>3237</v>
      </c>
      <c r="I60" s="1215">
        <f>ROUND(I$5*市町土木等歳出!Y47/市町土木等歳出!Y$4,0)</f>
        <v>3792</v>
      </c>
      <c r="J60" s="1215">
        <f>ROUND(J$5*市町土木等歳出!Z47/市町土木等歳出!Z$4,0)</f>
        <v>5044</v>
      </c>
      <c r="K60" s="1215">
        <f>ROUND(K$5*市町土木等歳出!AA47/市町土木等歳出!AA$4,0)</f>
        <v>3626</v>
      </c>
      <c r="L60" s="1215">
        <f>ROUND(L$5*市町土木等歳出!AB47/市町土木等歳出!AB$4,0)</f>
        <v>2647</v>
      </c>
      <c r="M60" s="1215">
        <f>ROUND(M$5*市町土木等歳出!AC47/市町土木等歳出!AC$4,0)</f>
        <v>3038</v>
      </c>
      <c r="N60" s="1215">
        <f>ROUND(N$5*市町土木等歳出!AD47/市町土木等歳出!AD$4,0)</f>
        <v>4332</v>
      </c>
      <c r="O60" s="1215">
        <f>ROUND(O$5*市町土木等歳出!AE47/市町土木等歳出!AE$4,0)</f>
        <v>3337</v>
      </c>
      <c r="P60" s="1215">
        <f>ROUND(P$5*市町土木等歳出!AF47/市町土木等歳出!AF$4,0)</f>
        <v>7069</v>
      </c>
      <c r="Q60" s="1215">
        <f>ROUND(Q$5*市町土木等歳出!AG47/市町土木等歳出!AG$4,0)</f>
        <v>6423</v>
      </c>
      <c r="R60" s="1215">
        <f>ROUND(R$5*市町土木等歳出!AH47/市町土木等歳出!AH$4,0)</f>
        <v>3496</v>
      </c>
      <c r="S60" s="1215">
        <f>ROUND(S$5*市町土木等歳出!AI47/市町土木等歳出!AI$4,0)</f>
        <v>4254</v>
      </c>
      <c r="T60" s="1215">
        <f>ROUND(T$5*市町土木等歳出!AJ47/市町土木等歳出!AJ$4,0)</f>
        <v>7393</v>
      </c>
      <c r="U60" s="1215">
        <f>ROUND(U$5*市町土木等歳出!AK47/市町土木等歳出!AK$4,0)</f>
        <v>2272</v>
      </c>
      <c r="V60" s="1215">
        <f>ROUND(V$5*市町土木等歳出!AL47/市町土木等歳出!AL$4,0)</f>
        <v>3697</v>
      </c>
      <c r="W60" s="1215">
        <f>ROUND(W$5*市町土木等歳出!AM47/市町土木等歳出!AM$4,0)</f>
        <v>3707</v>
      </c>
      <c r="X60" s="1215">
        <f>ROUND(X$5*市町土木等歳出!AN47/市町土木等歳出!AN$4,0)</f>
        <v>3059</v>
      </c>
    </row>
    <row r="61" spans="1:24">
      <c r="A61" s="1206">
        <v>8</v>
      </c>
      <c r="B61" s="1206" t="s">
        <v>211</v>
      </c>
      <c r="C61" s="1214">
        <f>SUM(C62:C63)</f>
        <v>13472</v>
      </c>
      <c r="D61" s="1214">
        <f>SUM(D62:D63)</f>
        <v>10644</v>
      </c>
      <c r="E61" s="1214">
        <f t="shared" ref="E61:J61" si="80">SUM(E62:E63)</f>
        <v>10616</v>
      </c>
      <c r="F61" s="1214">
        <f t="shared" si="80"/>
        <v>21542</v>
      </c>
      <c r="G61" s="1214">
        <f t="shared" si="80"/>
        <v>17771</v>
      </c>
      <c r="H61" s="1214">
        <f t="shared" si="80"/>
        <v>11345</v>
      </c>
      <c r="I61" s="1214">
        <f t="shared" si="80"/>
        <v>15457</v>
      </c>
      <c r="J61" s="1214">
        <f t="shared" si="80"/>
        <v>17424</v>
      </c>
      <c r="K61" s="1214">
        <f t="shared" ref="K61:P61" si="81">SUM(K62:K63)</f>
        <v>38967</v>
      </c>
      <c r="L61" s="1214">
        <f t="shared" si="81"/>
        <v>21635</v>
      </c>
      <c r="M61" s="1214">
        <f t="shared" si="81"/>
        <v>22011</v>
      </c>
      <c r="N61" s="1214">
        <f t="shared" si="81"/>
        <v>16351</v>
      </c>
      <c r="O61" s="1214">
        <f t="shared" si="81"/>
        <v>30170</v>
      </c>
      <c r="P61" s="1214">
        <f t="shared" si="81"/>
        <v>25772</v>
      </c>
      <c r="Q61" s="1214">
        <f t="shared" ref="Q61:V61" si="82">SUM(Q62:Q63)</f>
        <v>14986</v>
      </c>
      <c r="R61" s="1214">
        <f t="shared" si="82"/>
        <v>13081</v>
      </c>
      <c r="S61" s="1214">
        <f t="shared" si="82"/>
        <v>24770</v>
      </c>
      <c r="T61" s="1214">
        <f t="shared" si="82"/>
        <v>11924</v>
      </c>
      <c r="U61" s="1214">
        <f t="shared" si="82"/>
        <v>4970</v>
      </c>
      <c r="V61" s="1214">
        <f t="shared" si="82"/>
        <v>10561</v>
      </c>
      <c r="W61" s="1214">
        <f t="shared" ref="W61:X61" si="83">SUM(W62:W63)</f>
        <v>7936</v>
      </c>
      <c r="X61" s="1214">
        <f t="shared" si="83"/>
        <v>7352</v>
      </c>
    </row>
    <row r="62" spans="1:24">
      <c r="A62" s="1206">
        <v>221</v>
      </c>
      <c r="B62" s="1206" t="s">
        <v>1148</v>
      </c>
      <c r="C62" s="1214">
        <f>ROUND(C$5*市町土木等歳出!S49/市町土木等歳出!S$4,0)</f>
        <v>5244</v>
      </c>
      <c r="D62" s="1214">
        <f>ROUND(D$5*市町土木等歳出!T49/市町土木等歳出!T$4,0)</f>
        <v>3803</v>
      </c>
      <c r="E62" s="1214">
        <f>ROUND(E$5*市町土木等歳出!U49/市町土木等歳出!U$4,0)</f>
        <v>4096</v>
      </c>
      <c r="F62" s="1214">
        <f>ROUND(F$5*市町土木等歳出!V49/市町土木等歳出!V$4,0)</f>
        <v>8359</v>
      </c>
      <c r="G62" s="1214">
        <f>ROUND(G$5*市町土木等歳出!W49/市町土木等歳出!W$4,0)</f>
        <v>6216</v>
      </c>
      <c r="H62" s="1214">
        <f>ROUND(H$5*市町土木等歳出!X49/市町土木等歳出!X$4,0)</f>
        <v>2884</v>
      </c>
      <c r="I62" s="1214">
        <f>ROUND(I$5*市町土木等歳出!Y49/市町土木等歳出!Y$4,0)</f>
        <v>3353</v>
      </c>
      <c r="J62" s="1214">
        <f>ROUND(J$5*市町土木等歳出!Z49/市町土木等歳出!Z$4,0)</f>
        <v>3454</v>
      </c>
      <c r="K62" s="1214">
        <f>ROUND(K$5*市町土木等歳出!AA49/市町土木等歳出!AA$4,0)</f>
        <v>7031</v>
      </c>
      <c r="L62" s="1214">
        <f>ROUND(L$5*市町土木等歳出!AB49/市町土木等歳出!AB$4,0)</f>
        <v>4402</v>
      </c>
      <c r="M62" s="1214">
        <f>ROUND(M$5*市町土木等歳出!AC49/市町土木等歳出!AC$4,0)</f>
        <v>4364</v>
      </c>
      <c r="N62" s="1214">
        <f>ROUND(N$5*市町土木等歳出!AD49/市町土木等歳出!AD$4,0)</f>
        <v>4458</v>
      </c>
      <c r="O62" s="1214">
        <f>ROUND(O$5*市町土木等歳出!AE49/市町土木等歳出!AE$4,0)</f>
        <v>8609</v>
      </c>
      <c r="P62" s="1214">
        <f>ROUND(P$5*市町土木等歳出!AF49/市町土木等歳出!AF$4,0)</f>
        <v>11929</v>
      </c>
      <c r="Q62" s="1214">
        <f>ROUND(Q$5*市町土木等歳出!AG49/市町土木等歳出!AG$4,0)</f>
        <v>6873</v>
      </c>
      <c r="R62" s="1214">
        <f>ROUND(R$5*市町土木等歳出!AH49/市町土木等歳出!AH$4,0)</f>
        <v>4139</v>
      </c>
      <c r="S62" s="1214">
        <f>ROUND(S$5*市町土木等歳出!AI49/市町土木等歳出!AI$4,0)</f>
        <v>4989</v>
      </c>
      <c r="T62" s="1214">
        <f>ROUND(T$5*市町土木等歳出!AJ49/市町土木等歳出!AJ$4,0)</f>
        <v>5106</v>
      </c>
      <c r="U62" s="1214">
        <f>ROUND(U$5*市町土木等歳出!AK49/市町土木等歳出!AK$4,0)</f>
        <v>2128</v>
      </c>
      <c r="V62" s="1214">
        <f>ROUND(V$5*市町土木等歳出!AL49/市町土木等歳出!AL$4,0)</f>
        <v>3256</v>
      </c>
      <c r="W62" s="1214">
        <f>ROUND(W$5*市町土木等歳出!AM49/市町土木等歳出!AM$4,0)</f>
        <v>3004</v>
      </c>
      <c r="X62" s="1214">
        <f>ROUND(X$5*市町土木等歳出!AN49/市町土木等歳出!AN$4,0)</f>
        <v>2661</v>
      </c>
    </row>
    <row r="63" spans="1:24">
      <c r="A63" s="1206">
        <v>223</v>
      </c>
      <c r="B63" s="1206" t="s">
        <v>223</v>
      </c>
      <c r="C63" s="1215">
        <f>ROUND(C$5*市町土木等歳出!S50/市町土木等歳出!S$4,0)</f>
        <v>8228</v>
      </c>
      <c r="D63" s="1215">
        <f>ROUND(D$5*市町土木等歳出!T50/市町土木等歳出!T$4,0)</f>
        <v>6841</v>
      </c>
      <c r="E63" s="1215">
        <f>ROUND(E$5*市町土木等歳出!U50/市町土木等歳出!U$4,0)</f>
        <v>6520</v>
      </c>
      <c r="F63" s="1215">
        <f>ROUND(F$5*市町土木等歳出!V50/市町土木等歳出!V$4,0)</f>
        <v>13183</v>
      </c>
      <c r="G63" s="1215">
        <f>ROUND(G$5*市町土木等歳出!W50/市町土木等歳出!W$4,0)</f>
        <v>11555</v>
      </c>
      <c r="H63" s="1215">
        <f>ROUND(H$5*市町土木等歳出!X50/市町土木等歳出!X$4,0)</f>
        <v>8461</v>
      </c>
      <c r="I63" s="1215">
        <f>ROUND(I$5*市町土木等歳出!Y50/市町土木等歳出!Y$4,0)</f>
        <v>12104</v>
      </c>
      <c r="J63" s="1215">
        <f>ROUND(J$5*市町土木等歳出!Z50/市町土木等歳出!Z$4,0)</f>
        <v>13970</v>
      </c>
      <c r="K63" s="1215">
        <f>ROUND(K$5*市町土木等歳出!AA50/市町土木等歳出!AA$4,0)</f>
        <v>31936</v>
      </c>
      <c r="L63" s="1215">
        <f>ROUND(L$5*市町土木等歳出!AB50/市町土木等歳出!AB$4,0)</f>
        <v>17233</v>
      </c>
      <c r="M63" s="1215">
        <f>ROUND(M$5*市町土木等歳出!AC50/市町土木等歳出!AC$4,0)</f>
        <v>17647</v>
      </c>
      <c r="N63" s="1215">
        <f>ROUND(N$5*市町土木等歳出!AD50/市町土木等歳出!AD$4,0)</f>
        <v>11893</v>
      </c>
      <c r="O63" s="1215">
        <f>ROUND(O$5*市町土木等歳出!AE50/市町土木等歳出!AE$4,0)</f>
        <v>21561</v>
      </c>
      <c r="P63" s="1215">
        <f>ROUND(P$5*市町土木等歳出!AF50/市町土木等歳出!AF$4,0)</f>
        <v>13843</v>
      </c>
      <c r="Q63" s="1215">
        <f>ROUND(Q$5*市町土木等歳出!AG50/市町土木等歳出!AG$4,0)</f>
        <v>8113</v>
      </c>
      <c r="R63" s="1215">
        <f>ROUND(R$5*市町土木等歳出!AH50/市町土木等歳出!AH$4,0)</f>
        <v>8942</v>
      </c>
      <c r="S63" s="1215">
        <f>ROUND(S$5*市町土木等歳出!AI50/市町土木等歳出!AI$4,0)</f>
        <v>19781</v>
      </c>
      <c r="T63" s="1215">
        <f>ROUND(T$5*市町土木等歳出!AJ50/市町土木等歳出!AJ$4,0)</f>
        <v>6818</v>
      </c>
      <c r="U63" s="1215">
        <f>ROUND(U$5*市町土木等歳出!AK50/市町土木等歳出!AK$4,0)</f>
        <v>2842</v>
      </c>
      <c r="V63" s="1215">
        <f>ROUND(V$5*市町土木等歳出!AL50/市町土木等歳出!AL$4,0)</f>
        <v>7305</v>
      </c>
      <c r="W63" s="1215">
        <f>ROUND(W$5*市町土木等歳出!AM50/市町土木等歳出!AM$4,0)</f>
        <v>4932</v>
      </c>
      <c r="X63" s="1215">
        <f>ROUND(X$5*市町土木等歳出!AN50/市町土木等歳出!AN$4,0)</f>
        <v>4691</v>
      </c>
    </row>
    <row r="64" spans="1:24">
      <c r="A64" s="1204">
        <v>9</v>
      </c>
      <c r="B64" s="1204" t="s">
        <v>212</v>
      </c>
      <c r="C64" s="1217">
        <f>SUM(C65:C67)</f>
        <v>36771</v>
      </c>
      <c r="D64" s="1217">
        <f>SUM(D65:D67)</f>
        <v>16268</v>
      </c>
      <c r="E64" s="1217">
        <f t="shared" ref="E64:J64" si="84">SUM(E65:E67)</f>
        <v>12616</v>
      </c>
      <c r="F64" s="1217">
        <f t="shared" si="84"/>
        <v>29724</v>
      </c>
      <c r="G64" s="1217">
        <f t="shared" si="84"/>
        <v>28588</v>
      </c>
      <c r="H64" s="1217">
        <f t="shared" si="84"/>
        <v>24867</v>
      </c>
      <c r="I64" s="1217">
        <f t="shared" si="84"/>
        <v>40427</v>
      </c>
      <c r="J64" s="1217">
        <f t="shared" si="84"/>
        <v>36288</v>
      </c>
      <c r="K64" s="1217">
        <f t="shared" ref="K64:P64" si="85">SUM(K65:K67)</f>
        <v>36406</v>
      </c>
      <c r="L64" s="1217">
        <f t="shared" si="85"/>
        <v>38287</v>
      </c>
      <c r="M64" s="1217">
        <f t="shared" si="85"/>
        <v>33597</v>
      </c>
      <c r="N64" s="1217">
        <f t="shared" si="85"/>
        <v>27784</v>
      </c>
      <c r="O64" s="1217">
        <f t="shared" si="85"/>
        <v>20742</v>
      </c>
      <c r="P64" s="1217">
        <f t="shared" si="85"/>
        <v>29619</v>
      </c>
      <c r="Q64" s="1217">
        <f t="shared" ref="Q64:V64" si="86">SUM(Q65:Q67)</f>
        <v>24957</v>
      </c>
      <c r="R64" s="1217">
        <f t="shared" si="86"/>
        <v>35279</v>
      </c>
      <c r="S64" s="1217">
        <f t="shared" si="86"/>
        <v>46274</v>
      </c>
      <c r="T64" s="1217">
        <f t="shared" si="86"/>
        <v>40952</v>
      </c>
      <c r="U64" s="1217">
        <f t="shared" si="86"/>
        <v>10007</v>
      </c>
      <c r="V64" s="1217">
        <f t="shared" si="86"/>
        <v>24485</v>
      </c>
      <c r="W64" s="1217">
        <f t="shared" ref="W64:X64" si="87">SUM(W65:W67)</f>
        <v>20745</v>
      </c>
      <c r="X64" s="1217">
        <f t="shared" si="87"/>
        <v>17203</v>
      </c>
    </row>
    <row r="65" spans="1:24">
      <c r="A65" s="1206">
        <v>205</v>
      </c>
      <c r="B65" s="1206" t="s">
        <v>339</v>
      </c>
      <c r="C65" s="1214">
        <f>ROUND(C$5*市町土木等歳出!S52/市町土木等歳出!S$4,0)</f>
        <v>11868</v>
      </c>
      <c r="D65" s="1214">
        <f>ROUND(D$5*市町土木等歳出!T52/市町土木等歳出!T$4,0)</f>
        <v>4351</v>
      </c>
      <c r="E65" s="1214">
        <f>ROUND(E$5*市町土木等歳出!U52/市町土木等歳出!U$4,0)</f>
        <v>3258</v>
      </c>
      <c r="F65" s="1214">
        <f>ROUND(F$5*市町土木等歳出!V52/市町土木等歳出!V$4,0)</f>
        <v>7580</v>
      </c>
      <c r="G65" s="1214">
        <f>ROUND(G$5*市町土木等歳出!W52/市町土木等歳出!W$4,0)</f>
        <v>15868</v>
      </c>
      <c r="H65" s="1214">
        <f>ROUND(H$5*市町土木等歳出!X52/市町土木等歳出!X$4,0)</f>
        <v>6952</v>
      </c>
      <c r="I65" s="1214">
        <f>ROUND(I$5*市町土木等歳出!Y52/市町土木等歳出!Y$4,0)</f>
        <v>10585</v>
      </c>
      <c r="J65" s="1214">
        <f>ROUND(J$5*市町土木等歳出!Z52/市町土木等歳出!Z$4,0)</f>
        <v>11739</v>
      </c>
      <c r="K65" s="1214">
        <f>ROUND(K$5*市町土木等歳出!AA52/市町土木等歳出!AA$4,0)</f>
        <v>8729</v>
      </c>
      <c r="L65" s="1214">
        <f>ROUND(L$5*市町土木等歳出!AB52/市町土木等歳出!AB$4,0)</f>
        <v>11878</v>
      </c>
      <c r="M65" s="1214">
        <f>ROUND(M$5*市町土木等歳出!AC52/市町土木等歳出!AC$4,0)</f>
        <v>10081</v>
      </c>
      <c r="N65" s="1214">
        <f>ROUND(N$5*市町土木等歳出!AD52/市町土木等歳出!AD$4,0)</f>
        <v>6118</v>
      </c>
      <c r="O65" s="1214">
        <f>ROUND(O$5*市町土木等歳出!AE52/市町土木等歳出!AE$4,0)</f>
        <v>6301</v>
      </c>
      <c r="P65" s="1214">
        <f>ROUND(P$5*市町土木等歳出!AF52/市町土木等歳出!AF$4,0)</f>
        <v>6640</v>
      </c>
      <c r="Q65" s="1214">
        <f>ROUND(Q$5*市町土木等歳出!AG52/市町土木等歳出!AG$4,0)</f>
        <v>7858</v>
      </c>
      <c r="R65" s="1214">
        <f>ROUND(R$5*市町土木等歳出!AH52/市町土木等歳出!AH$4,0)</f>
        <v>10541</v>
      </c>
      <c r="S65" s="1214">
        <f>ROUND(S$5*市町土木等歳出!AI52/市町土木等歳出!AI$4,0)</f>
        <v>11174</v>
      </c>
      <c r="T65" s="1214">
        <f>ROUND(T$5*市町土木等歳出!AJ52/市町土木等歳出!AJ$4,0)</f>
        <v>7090</v>
      </c>
      <c r="U65" s="1214">
        <f>ROUND(U$5*市町土木等歳出!AK52/市町土木等歳出!AK$4,0)</f>
        <v>1221</v>
      </c>
      <c r="V65" s="1214">
        <f>ROUND(V$5*市町土木等歳出!AL52/市町土木等歳出!AL$4,0)</f>
        <v>4732</v>
      </c>
      <c r="W65" s="1214">
        <f>ROUND(W$5*市町土木等歳出!AM52/市町土木等歳出!AM$4,0)</f>
        <v>3539</v>
      </c>
      <c r="X65" s="1214">
        <f>ROUND(X$5*市町土木等歳出!AN52/市町土木等歳出!AN$4,0)</f>
        <v>2914</v>
      </c>
    </row>
    <row r="66" spans="1:24">
      <c r="A66" s="1206">
        <v>224</v>
      </c>
      <c r="B66" s="1206" t="s">
        <v>224</v>
      </c>
      <c r="C66" s="1214">
        <f>ROUND(C$5*市町土木等歳出!S53/市町土木等歳出!S$4,0)</f>
        <v>4848</v>
      </c>
      <c r="D66" s="1214">
        <f>ROUND(D$5*市町土木等歳出!T53/市町土木等歳出!T$4,0)</f>
        <v>3456</v>
      </c>
      <c r="E66" s="1214">
        <f>ROUND(E$5*市町土木等歳出!U53/市町土木等歳出!U$4,0)</f>
        <v>3906</v>
      </c>
      <c r="F66" s="1214">
        <f>ROUND(F$5*市町土木等歳出!V53/市町土木等歳出!V$4,0)</f>
        <v>8623</v>
      </c>
      <c r="G66" s="1214">
        <f>ROUND(G$5*市町土木等歳出!W53/市町土木等歳出!W$4,0)</f>
        <v>6257</v>
      </c>
      <c r="H66" s="1214">
        <f>ROUND(H$5*市町土木等歳出!X53/市町土木等歳出!X$4,0)</f>
        <v>7923</v>
      </c>
      <c r="I66" s="1214">
        <f>ROUND(I$5*市町土木等歳出!Y53/市町土木等歳出!Y$4,0)</f>
        <v>12874</v>
      </c>
      <c r="J66" s="1214">
        <f>ROUND(J$5*市町土木等歳出!Z53/市町土木等歳出!Z$4,0)</f>
        <v>8719</v>
      </c>
      <c r="K66" s="1214">
        <f>ROUND(K$5*市町土木等歳出!AA53/市町土木等歳出!AA$4,0)</f>
        <v>17569</v>
      </c>
      <c r="L66" s="1214">
        <f>ROUND(L$5*市町土木等歳出!AB53/市町土木等歳出!AB$4,0)</f>
        <v>11579</v>
      </c>
      <c r="M66" s="1214">
        <f>ROUND(M$5*市町土木等歳出!AC53/市町土木等歳出!AC$4,0)</f>
        <v>11697</v>
      </c>
      <c r="N66" s="1214">
        <f>ROUND(N$5*市町土木等歳出!AD53/市町土木等歳出!AD$4,0)</f>
        <v>10738</v>
      </c>
      <c r="O66" s="1214">
        <f>ROUND(O$5*市町土木等歳出!AE53/市町土木等歳出!AE$4,0)</f>
        <v>6924</v>
      </c>
      <c r="P66" s="1214">
        <f>ROUND(P$5*市町土木等歳出!AF53/市町土木等歳出!AF$4,0)</f>
        <v>10006</v>
      </c>
      <c r="Q66" s="1214">
        <f>ROUND(Q$5*市町土木等歳出!AG53/市町土木等歳出!AG$4,0)</f>
        <v>7371</v>
      </c>
      <c r="R66" s="1214">
        <f>ROUND(R$5*市町土木等歳出!AH53/市町土木等歳出!AH$4,0)</f>
        <v>13469</v>
      </c>
      <c r="S66" s="1214">
        <f>ROUND(S$5*市町土木等歳出!AI53/市町土木等歳出!AI$4,0)</f>
        <v>20794</v>
      </c>
      <c r="T66" s="1214">
        <f>ROUND(T$5*市町土木等歳出!AJ53/市町土木等歳出!AJ$4,0)</f>
        <v>12737</v>
      </c>
      <c r="U66" s="1214">
        <f>ROUND(U$5*市町土木等歳出!AK53/市町土木等歳出!AK$4,0)</f>
        <v>4512</v>
      </c>
      <c r="V66" s="1214">
        <f>ROUND(V$5*市町土木等歳出!AL53/市町土木等歳出!AL$4,0)</f>
        <v>9661</v>
      </c>
      <c r="W66" s="1214">
        <f>ROUND(W$5*市町土木等歳出!AM53/市町土木等歳出!AM$4,0)</f>
        <v>7652</v>
      </c>
      <c r="X66" s="1214">
        <f>ROUND(X$5*市町土木等歳出!AN53/市町土木等歳出!AN$4,0)</f>
        <v>6833</v>
      </c>
    </row>
    <row r="67" spans="1:24">
      <c r="A67" s="1218">
        <v>226</v>
      </c>
      <c r="B67" s="1218" t="s">
        <v>225</v>
      </c>
      <c r="C67" s="1215">
        <f>ROUND(C$5*市町土木等歳出!S54/市町土木等歳出!S$4,0)</f>
        <v>20055</v>
      </c>
      <c r="D67" s="1215">
        <f>ROUND(D$5*市町土木等歳出!T54/市町土木等歳出!T$4,0)</f>
        <v>8461</v>
      </c>
      <c r="E67" s="1215">
        <f>ROUND(E$5*市町土木等歳出!U54/市町土木等歳出!U$4,0)</f>
        <v>5452</v>
      </c>
      <c r="F67" s="1215">
        <f>ROUND(F$5*市町土木等歳出!V54/市町土木等歳出!V$4,0)</f>
        <v>13521</v>
      </c>
      <c r="G67" s="1215">
        <f>ROUND(G$5*市町土木等歳出!W54/市町土木等歳出!W$4,0)</f>
        <v>6463</v>
      </c>
      <c r="H67" s="1215">
        <f>ROUND(H$5*市町土木等歳出!X54/市町土木等歳出!X$4,0)</f>
        <v>9992</v>
      </c>
      <c r="I67" s="1215">
        <f>ROUND(I$5*市町土木等歳出!Y54/市町土木等歳出!Y$4,0)</f>
        <v>16968</v>
      </c>
      <c r="J67" s="1215">
        <f>ROUND(J$5*市町土木等歳出!Z54/市町土木等歳出!Z$4,0)</f>
        <v>15830</v>
      </c>
      <c r="K67" s="1215">
        <f>ROUND(K$5*市町土木等歳出!AA54/市町土木等歳出!AA$4,0)</f>
        <v>10108</v>
      </c>
      <c r="L67" s="1215">
        <f>ROUND(L$5*市町土木等歳出!AB54/市町土木等歳出!AB$4,0)</f>
        <v>14830</v>
      </c>
      <c r="M67" s="1215">
        <f>ROUND(M$5*市町土木等歳出!AC54/市町土木等歳出!AC$4,0)</f>
        <v>11819</v>
      </c>
      <c r="N67" s="1215">
        <f>ROUND(N$5*市町土木等歳出!AD54/市町土木等歳出!AD$4,0)</f>
        <v>10928</v>
      </c>
      <c r="O67" s="1215">
        <f>ROUND(O$5*市町土木等歳出!AE54/市町土木等歳出!AE$4,0)</f>
        <v>7517</v>
      </c>
      <c r="P67" s="1215">
        <f>ROUND(P$5*市町土木等歳出!AF54/市町土木等歳出!AF$4,0)</f>
        <v>12973</v>
      </c>
      <c r="Q67" s="1215">
        <f>ROUND(Q$5*市町土木等歳出!AG54/市町土木等歳出!AG$4,0)</f>
        <v>9728</v>
      </c>
      <c r="R67" s="1215">
        <f>ROUND(R$5*市町土木等歳出!AH54/市町土木等歳出!AH$4,0)</f>
        <v>11269</v>
      </c>
      <c r="S67" s="1215">
        <f>ROUND(S$5*市町土木等歳出!AI54/市町土木等歳出!AI$4,0)</f>
        <v>14306</v>
      </c>
      <c r="T67" s="1215">
        <f>ROUND(T$5*市町土木等歳出!AJ54/市町土木等歳出!AJ$4,0)</f>
        <v>21125</v>
      </c>
      <c r="U67" s="1215">
        <f>ROUND(U$5*市町土木等歳出!AK54/市町土木等歳出!AK$4,0)</f>
        <v>4274</v>
      </c>
      <c r="V67" s="1215">
        <f>ROUND(V$5*市町土木等歳出!AL54/市町土木等歳出!AL$4,0)</f>
        <v>10092</v>
      </c>
      <c r="W67" s="1215">
        <f>ROUND(W$5*市町土木等歳出!AM54/市町土木等歳出!AM$4,0)</f>
        <v>9554</v>
      </c>
      <c r="X67" s="1215">
        <f>ROUND(X$5*市町土木等歳出!AN54/市町土木等歳出!AN$4,0)</f>
        <v>7456</v>
      </c>
    </row>
  </sheetData>
  <phoneticPr fontId="13"/>
  <pageMargins left="0.75" right="0.75" top="1" bottom="1" header="0.51200000000000001" footer="0.51200000000000001"/>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AN155"/>
  <sheetViews>
    <sheetView zoomScaleNormal="100" workbookViewId="0">
      <pane xSplit="2" ySplit="3" topLeftCell="AE41" activePane="bottomRight" state="frozen"/>
      <selection pane="topRight" activeCell="C1" sqref="C1"/>
      <selection pane="bottomLeft" activeCell="A4" sqref="A4"/>
      <selection pane="bottomRight" activeCell="AO48" sqref="AO48"/>
    </sheetView>
  </sheetViews>
  <sheetFormatPr defaultColWidth="8.7109375" defaultRowHeight="13"/>
  <cols>
    <col min="1" max="1" width="4.2109375" style="92" customWidth="1"/>
    <col min="2" max="2" width="9" style="92" customWidth="1"/>
    <col min="3" max="8" width="10.2109375" style="92" customWidth="1"/>
    <col min="9" max="11" width="10" style="92" customWidth="1"/>
    <col min="12" max="12" width="10" style="75" customWidth="1"/>
    <col min="13" max="13" width="9.7109375" style="75" customWidth="1"/>
    <col min="14" max="16" width="8.7109375" style="75"/>
    <col min="17" max="17" width="9" style="75" bestFit="1" customWidth="1"/>
    <col min="18" max="18" width="9.42578125" style="75" bestFit="1" customWidth="1"/>
    <col min="19" max="28" width="8.7109375" style="75"/>
    <col min="29" max="31" width="9" style="75" bestFit="1" customWidth="1"/>
    <col min="32" max="32" width="8.7109375" style="75"/>
    <col min="33" max="35" width="9" style="75" bestFit="1" customWidth="1"/>
    <col min="36" max="37" width="9" style="75" customWidth="1"/>
    <col min="38" max="16384" width="8.7109375" style="75"/>
  </cols>
  <sheetData>
    <row r="1" spans="1:40">
      <c r="A1" s="86"/>
      <c r="B1" s="65" t="s">
        <v>621</v>
      </c>
      <c r="C1" s="75"/>
      <c r="D1" s="75"/>
      <c r="E1" s="75"/>
      <c r="F1" s="75"/>
      <c r="G1" s="75"/>
      <c r="H1" s="65"/>
      <c r="I1" s="65"/>
      <c r="J1" s="65"/>
      <c r="K1" s="65"/>
      <c r="M1" s="76" t="s">
        <v>347</v>
      </c>
      <c r="N1" s="76" t="s">
        <v>347</v>
      </c>
      <c r="O1" s="76" t="s">
        <v>347</v>
      </c>
      <c r="P1" s="76" t="s">
        <v>347</v>
      </c>
      <c r="Q1" s="75" t="s">
        <v>347</v>
      </c>
      <c r="S1" s="75" t="s">
        <v>620</v>
      </c>
      <c r="W1" s="75" t="s">
        <v>347</v>
      </c>
      <c r="X1" s="75" t="s">
        <v>347</v>
      </c>
      <c r="Y1" s="75" t="s">
        <v>11</v>
      </c>
      <c r="Z1" s="75" t="s">
        <v>11</v>
      </c>
      <c r="AA1" s="75" t="s">
        <v>11</v>
      </c>
      <c r="AB1" s="75" t="s">
        <v>11</v>
      </c>
      <c r="AC1" s="75" t="s">
        <v>11</v>
      </c>
      <c r="AD1" s="75" t="s">
        <v>627</v>
      </c>
      <c r="AE1" s="75" t="s">
        <v>11</v>
      </c>
      <c r="AH1" s="628"/>
      <c r="AI1" s="935"/>
      <c r="AK1" s="75" t="s">
        <v>948</v>
      </c>
      <c r="AL1" s="75" t="s">
        <v>14</v>
      </c>
      <c r="AM1" s="75" t="s">
        <v>14</v>
      </c>
      <c r="AN1" s="1200" t="s">
        <v>14</v>
      </c>
    </row>
    <row r="2" spans="1:40">
      <c r="A2" s="127"/>
      <c r="B2" s="128"/>
      <c r="C2" s="130" t="s">
        <v>622</v>
      </c>
      <c r="D2" s="130" t="s">
        <v>623</v>
      </c>
      <c r="E2" s="130" t="s">
        <v>624</v>
      </c>
      <c r="F2" s="130" t="s">
        <v>625</v>
      </c>
      <c r="G2" s="130" t="s">
        <v>626</v>
      </c>
      <c r="H2" s="129" t="s">
        <v>610</v>
      </c>
      <c r="I2" s="129" t="s">
        <v>611</v>
      </c>
      <c r="J2" s="130" t="s">
        <v>612</v>
      </c>
      <c r="K2" s="130" t="s">
        <v>613</v>
      </c>
      <c r="L2" s="130" t="s">
        <v>614</v>
      </c>
      <c r="M2" s="130" t="s">
        <v>615</v>
      </c>
      <c r="N2" s="130" t="s">
        <v>616</v>
      </c>
      <c r="O2" s="130" t="s">
        <v>617</v>
      </c>
      <c r="P2" s="130" t="s">
        <v>618</v>
      </c>
      <c r="Q2" s="130" t="s">
        <v>619</v>
      </c>
      <c r="R2" s="130" t="s">
        <v>460</v>
      </c>
      <c r="S2" s="130" t="s">
        <v>459</v>
      </c>
      <c r="T2" s="130" t="s">
        <v>456</v>
      </c>
      <c r="U2" s="130" t="s">
        <v>750</v>
      </c>
      <c r="V2" s="130" t="s">
        <v>856</v>
      </c>
      <c r="W2" s="130" t="s">
        <v>911</v>
      </c>
      <c r="X2" s="130" t="s">
        <v>96</v>
      </c>
      <c r="Y2" s="130" t="s">
        <v>118</v>
      </c>
      <c r="Z2" s="130" t="s">
        <v>119</v>
      </c>
      <c r="AA2" s="130" t="s">
        <v>67</v>
      </c>
      <c r="AB2" s="130" t="s">
        <v>157</v>
      </c>
      <c r="AC2" s="130" t="s">
        <v>1000</v>
      </c>
      <c r="AD2" s="130" t="s">
        <v>1036</v>
      </c>
      <c r="AE2" s="130" t="s">
        <v>1062</v>
      </c>
      <c r="AF2" s="130" t="s">
        <v>1161</v>
      </c>
      <c r="AG2" s="130" t="s">
        <v>1129</v>
      </c>
      <c r="AH2" s="130" t="s">
        <v>1160</v>
      </c>
      <c r="AI2" s="130" t="s">
        <v>1200</v>
      </c>
      <c r="AJ2" s="130" t="s">
        <v>1234</v>
      </c>
      <c r="AK2" s="130" t="s">
        <v>1561</v>
      </c>
      <c r="AL2" s="130" t="s">
        <v>1603</v>
      </c>
      <c r="AM2" s="130" t="s">
        <v>1745</v>
      </c>
      <c r="AN2" s="130" t="s">
        <v>1783</v>
      </c>
    </row>
    <row r="3" spans="1:40">
      <c r="A3" s="131"/>
      <c r="B3" s="131"/>
      <c r="C3" s="131"/>
      <c r="D3" s="131"/>
      <c r="E3" s="131"/>
      <c r="F3" s="131"/>
      <c r="G3" s="131"/>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t="s">
        <v>11</v>
      </c>
      <c r="AI3" s="132"/>
      <c r="AJ3" s="132"/>
      <c r="AK3" s="132"/>
      <c r="AL3" s="132" t="s">
        <v>1729</v>
      </c>
      <c r="AM3" s="132" t="s">
        <v>1770</v>
      </c>
      <c r="AN3" s="132" t="s">
        <v>1805</v>
      </c>
    </row>
    <row r="4" spans="1:40">
      <c r="A4" s="127" t="s">
        <v>170</v>
      </c>
      <c r="B4" s="205" t="s">
        <v>166</v>
      </c>
      <c r="C4" s="207">
        <f>C5+C6+C10+C16+C22+C29+C34+C42+C48+C51</f>
        <v>554729149</v>
      </c>
      <c r="D4" s="207">
        <f>D5+D6+D10+D16+D22+D29+D34+D42+D48+D51</f>
        <v>662595881</v>
      </c>
      <c r="E4" s="207">
        <f>E5+E6+E10+E16+E22+E29+E34+E42+E48+E51</f>
        <v>698297208</v>
      </c>
      <c r="F4" s="207">
        <f>F5+F6+F10+F16+F22+F29+F34+F42+F48+F51</f>
        <v>740156651</v>
      </c>
      <c r="G4" s="207">
        <f>G5+G6+G10+G16+G22+G29+G34+G42+G48+G51</f>
        <v>655212669</v>
      </c>
      <c r="H4" s="207">
        <f t="shared" ref="H4:T4" si="0">H5+H6+H10+H16+H22+H29+H34+H42+H48+H51</f>
        <v>1255946766</v>
      </c>
      <c r="I4" s="207">
        <f>I5+I6+I10+I16+I22+I29+I34+I42+I48+I51</f>
        <v>1242286651</v>
      </c>
      <c r="J4" s="207">
        <f>J5+J6+J10+J16+J22+J29+J34+J42+J48+J51</f>
        <v>910304819</v>
      </c>
      <c r="K4" s="207">
        <f>K5+K6+K10+K16+K22+K29+K34+K42+K48+K51</f>
        <v>739325719</v>
      </c>
      <c r="L4" s="207">
        <f t="shared" si="0"/>
        <v>633589911</v>
      </c>
      <c r="M4" s="207">
        <f t="shared" si="0"/>
        <v>577210761</v>
      </c>
      <c r="N4" s="207">
        <f>N5+N6+N10+N16+N22+N29+N34+N42+N48+N51</f>
        <v>515493224</v>
      </c>
      <c r="O4" s="207">
        <f>O5+O6+O10+O16+O22+O29+O34+O42+O48+O51</f>
        <v>488382433</v>
      </c>
      <c r="P4" s="207">
        <f>P5+P6+P10+P16+P22+P29+P34+P42+P48+P51</f>
        <v>444524241</v>
      </c>
      <c r="Q4" s="207">
        <f t="shared" si="0"/>
        <v>447516779</v>
      </c>
      <c r="R4" s="207">
        <f t="shared" si="0"/>
        <v>454432753</v>
      </c>
      <c r="S4" s="207">
        <f t="shared" si="0"/>
        <v>362417366</v>
      </c>
      <c r="T4" s="207">
        <f t="shared" si="0"/>
        <v>353677814</v>
      </c>
      <c r="U4" s="207">
        <f t="shared" ref="U4:Z4" si="1">U5+U6+U10+U16+U22+U29+U34+U42+U48+U51</f>
        <v>342042965</v>
      </c>
      <c r="V4" s="207">
        <f t="shared" si="1"/>
        <v>301186778</v>
      </c>
      <c r="W4" s="207">
        <f t="shared" si="1"/>
        <v>313686483</v>
      </c>
      <c r="X4" s="207">
        <f t="shared" si="1"/>
        <v>247562077</v>
      </c>
      <c r="Y4" s="207">
        <f t="shared" si="1"/>
        <v>234184457</v>
      </c>
      <c r="Z4" s="207">
        <f t="shared" si="1"/>
        <v>320771232</v>
      </c>
      <c r="AA4" s="207">
        <f>AA5+AA6+AA10+AA16+AA22+AA29+AA34+AA42+AA48+AA51</f>
        <v>290125171</v>
      </c>
      <c r="AB4" s="206">
        <f>AB5+AB6+AB10+AB16+AB22+AB29+AB34+AB42+AB48+AB51</f>
        <v>296093559</v>
      </c>
      <c r="AC4" s="206">
        <f t="shared" ref="AC4:AI4" si="2">AC5+AC6+AC10+AC16+AC22+AC29+AC34+AC42+AC48+AC51</f>
        <v>297308403.6543023</v>
      </c>
      <c r="AD4" s="206">
        <f t="shared" si="2"/>
        <v>284509111</v>
      </c>
      <c r="AE4" s="206">
        <f t="shared" si="2"/>
        <v>279326480</v>
      </c>
      <c r="AF4" s="206">
        <f t="shared" si="2"/>
        <v>321492745</v>
      </c>
      <c r="AG4" s="206">
        <f t="shared" si="2"/>
        <v>372397788</v>
      </c>
      <c r="AH4" s="206">
        <f t="shared" si="2"/>
        <v>323310735</v>
      </c>
      <c r="AI4" s="206">
        <f t="shared" si="2"/>
        <v>286448797</v>
      </c>
      <c r="AJ4" s="206">
        <f t="shared" ref="AJ4:AK4" si="3">AJ5+AJ6+AJ10+AJ16+AJ22+AJ29+AJ34+AJ42+AJ48+AJ51</f>
        <v>278727447</v>
      </c>
      <c r="AK4" s="206">
        <f t="shared" si="3"/>
        <v>516489813</v>
      </c>
      <c r="AL4" s="206">
        <f t="shared" ref="AL4:AM4" si="4">AL5+AL6+AL10+AL16+AL22+AL29+AL34+AL42+AL48+AL51</f>
        <v>360555354</v>
      </c>
      <c r="AM4" s="206">
        <f t="shared" si="4"/>
        <v>385257538</v>
      </c>
      <c r="AN4" s="206">
        <f t="shared" ref="AN4" si="5">AN5+AN6+AN10+AN16+AN22+AN29+AN34+AN42+AN48+AN51</f>
        <v>420767566</v>
      </c>
    </row>
    <row r="5" spans="1:40">
      <c r="A5" s="88">
        <v>100</v>
      </c>
      <c r="B5" s="96" t="s">
        <v>172</v>
      </c>
      <c r="C5" s="133">
        <f>土木費等ﾃﾞｰﾀ!D4</f>
        <v>261419174</v>
      </c>
      <c r="D5" s="133">
        <f>土木費等ﾃﾞｰﾀ!G4</f>
        <v>304468637</v>
      </c>
      <c r="E5" s="133">
        <f>土木費等ﾃﾞｰﾀ!J4</f>
        <v>314334231</v>
      </c>
      <c r="F5" s="133">
        <f>土木費等ﾃﾞｰﾀ!M4</f>
        <v>349464005</v>
      </c>
      <c r="G5" s="133">
        <f>土木費等ﾃﾞｰﾀ!P4</f>
        <v>291575899</v>
      </c>
      <c r="H5" s="133">
        <f>土木費等ﾃﾞｰﾀ!S4</f>
        <v>729110269</v>
      </c>
      <c r="I5" s="133">
        <f>土木費等ﾃﾞｰﾀ!V4</f>
        <v>684917430</v>
      </c>
      <c r="J5" s="133">
        <f>土木費等ﾃﾞｰﾀ!Y4</f>
        <v>423348780</v>
      </c>
      <c r="K5" s="133">
        <f>土木費等ﾃﾞｰﾀ!AB4</f>
        <v>308745272</v>
      </c>
      <c r="L5" s="133">
        <f>土木費等ﾃﾞｰﾀ!AG4</f>
        <v>248749678</v>
      </c>
      <c r="M5" s="133">
        <f>土木費等ﾃﾞｰﾀ!AK14</f>
        <v>208501555</v>
      </c>
      <c r="N5" s="133">
        <f>土木費等ﾃﾞｰﾀ!AN14</f>
        <v>185639595</v>
      </c>
      <c r="O5" s="133">
        <f>土木費等ﾃﾞｰﾀ!AQ14</f>
        <v>174458155</v>
      </c>
      <c r="P5" s="133">
        <f>土木費等ﾃﾞｰﾀ!AT14</f>
        <v>147578949</v>
      </c>
      <c r="Q5" s="133">
        <f>土木費等ﾃﾞｰﾀ!AY14</f>
        <v>138996720</v>
      </c>
      <c r="R5" s="133">
        <f>土木費等ﾃﾞｰﾀ2!E14</f>
        <v>142966626</v>
      </c>
      <c r="S5" s="133">
        <f>土木費等ﾃﾞｰﾀ2!H14</f>
        <v>113274527</v>
      </c>
      <c r="T5" s="133">
        <f>土木費等ﾃﾞｰﾀ2!K14</f>
        <v>118907788</v>
      </c>
      <c r="U5" s="133">
        <f>土木費等ﾃﾞｰﾀ2!N14</f>
        <v>124744208</v>
      </c>
      <c r="V5" s="133">
        <f>土木費等ﾃﾞｰﾀ2!Q14</f>
        <v>98153098</v>
      </c>
      <c r="W5" s="133">
        <f>土木費等ﾃﾞｰﾀ2!T14</f>
        <v>100298539</v>
      </c>
      <c r="X5" s="133">
        <f>土木費等ﾃﾞｰﾀ2!W14</f>
        <v>77810042</v>
      </c>
      <c r="Y5" s="133">
        <f>土木費等ﾃﾞｰﾀ2!Z14</f>
        <v>59405940</v>
      </c>
      <c r="Z5" s="75">
        <f>土木費等ﾃﾞｰﾀ2!AC4</f>
        <v>98539783</v>
      </c>
      <c r="AA5" s="75">
        <f>土木費等ﾃﾞｰﾀ2!AF4</f>
        <v>86653670</v>
      </c>
      <c r="AB5" s="75">
        <f>土木費等ﾃﾞｰﾀ2!AI4</f>
        <v>82367706</v>
      </c>
      <c r="AC5" s="75">
        <f>土木費等ﾃﾞｰﾀ2!AL14</f>
        <v>85918833.017304808</v>
      </c>
      <c r="AD5" s="75">
        <f>土木費等ﾃﾞｰﾀ2!AO4</f>
        <v>92618301</v>
      </c>
      <c r="AE5" s="75">
        <f>土木費等ﾃﾞｰﾀ2!AR4</f>
        <v>90833242</v>
      </c>
      <c r="AF5" s="75">
        <f>土木費等ﾃﾞｰﾀ2!AU4</f>
        <v>114826703</v>
      </c>
      <c r="AG5" s="456">
        <f>土木費等ﾃﾞｰﾀ2!AX14</f>
        <v>125489251</v>
      </c>
      <c r="AH5" s="456">
        <f>土木費等ﾃﾞｰﾀ2!BA14</f>
        <v>116847698</v>
      </c>
      <c r="AI5" s="491">
        <f>土木費等ﾃﾞｰﾀ2!BD14</f>
        <v>116878484</v>
      </c>
      <c r="AJ5" s="491">
        <f>土木費等ﾃﾞｰﾀ2!BG14</f>
        <v>110389157</v>
      </c>
      <c r="AK5" s="456">
        <f>土木費等ﾃﾞｰﾀ2!BJ4</f>
        <v>137800480</v>
      </c>
      <c r="AL5" s="491">
        <f>ROUND(SUM(AI5:AK5)/3,0)</f>
        <v>121689374</v>
      </c>
      <c r="AM5" s="491">
        <f>ROUND(SUM(AJ5:AL5)/3,0)</f>
        <v>123293004</v>
      </c>
      <c r="AN5" s="491">
        <f>ROUND(SUM(AK5:AM5)/3,0)</f>
        <v>127594286</v>
      </c>
    </row>
    <row r="6" spans="1:40">
      <c r="A6" s="86"/>
      <c r="B6" s="97" t="s">
        <v>182</v>
      </c>
      <c r="C6" s="133">
        <f>SUM(C7:C9)</f>
        <v>94921920</v>
      </c>
      <c r="D6" s="133">
        <f>SUM(D7:D9)</f>
        <v>108824456</v>
      </c>
      <c r="E6" s="133">
        <f>SUM(E7:E9)</f>
        <v>126735586</v>
      </c>
      <c r="F6" s="133">
        <f>SUM(F7:F9)</f>
        <v>117507575</v>
      </c>
      <c r="G6" s="133">
        <f>SUM(G7:G9)</f>
        <v>104397507</v>
      </c>
      <c r="H6" s="133">
        <f t="shared" ref="H6:T6" si="6">SUM(H7:H9)</f>
        <v>207082685</v>
      </c>
      <c r="I6" s="133">
        <f>SUM(I7:I9)</f>
        <v>224249087</v>
      </c>
      <c r="J6" s="133">
        <f>SUM(J7:J9)</f>
        <v>179393407</v>
      </c>
      <c r="K6" s="133">
        <f>SUM(K7:K9)</f>
        <v>142763406</v>
      </c>
      <c r="L6" s="133">
        <f t="shared" si="6"/>
        <v>117194942</v>
      </c>
      <c r="M6" s="133">
        <f t="shared" si="6"/>
        <v>111834952</v>
      </c>
      <c r="N6" s="133">
        <f>SUM(N7:N9)</f>
        <v>87264330</v>
      </c>
      <c r="O6" s="133">
        <f>SUM(O7:O9)</f>
        <v>77266991</v>
      </c>
      <c r="P6" s="133">
        <f>SUM(P7:P9)</f>
        <v>69106452</v>
      </c>
      <c r="Q6" s="133">
        <f t="shared" si="6"/>
        <v>79742613</v>
      </c>
      <c r="R6" s="133">
        <f t="shared" si="6"/>
        <v>74208477</v>
      </c>
      <c r="S6" s="133">
        <f t="shared" si="6"/>
        <v>57118597</v>
      </c>
      <c r="T6" s="133">
        <f t="shared" si="6"/>
        <v>57705569</v>
      </c>
      <c r="U6" s="133">
        <f t="shared" ref="U6:AD6" si="7">SUM(U7:U9)</f>
        <v>53138497</v>
      </c>
      <c r="V6" s="133">
        <f t="shared" si="7"/>
        <v>41887166</v>
      </c>
      <c r="W6" s="133">
        <f t="shared" si="7"/>
        <v>50535454</v>
      </c>
      <c r="X6" s="133">
        <f t="shared" si="7"/>
        <v>38436117</v>
      </c>
      <c r="Y6" s="133">
        <f t="shared" si="7"/>
        <v>32109427</v>
      </c>
      <c r="Z6" s="198">
        <f t="shared" si="7"/>
        <v>46069481</v>
      </c>
      <c r="AA6" s="198">
        <f t="shared" si="7"/>
        <v>38968670</v>
      </c>
      <c r="AB6" s="198">
        <f t="shared" si="7"/>
        <v>56544079</v>
      </c>
      <c r="AC6" s="198">
        <f t="shared" si="7"/>
        <v>52146744.227203839</v>
      </c>
      <c r="AD6" s="198">
        <f t="shared" si="7"/>
        <v>41296403</v>
      </c>
      <c r="AE6" s="198">
        <f>SUM(AE7:AE9)</f>
        <v>44271991</v>
      </c>
      <c r="AF6" s="198">
        <f>SUM(AF7:AF9)</f>
        <v>36205800</v>
      </c>
      <c r="AG6" s="198">
        <f t="shared" ref="AG6:AI6" si="8">SUM(AG7:AG9)</f>
        <v>52251847</v>
      </c>
      <c r="AH6" s="198">
        <f t="shared" si="8"/>
        <v>41377956</v>
      </c>
      <c r="AI6" s="198">
        <f t="shared" si="8"/>
        <v>33718689</v>
      </c>
      <c r="AJ6" s="198">
        <f t="shared" ref="AJ6:AK6" si="9">SUM(AJ7:AJ9)</f>
        <v>30392582</v>
      </c>
      <c r="AK6" s="198">
        <f t="shared" si="9"/>
        <v>64354253</v>
      </c>
      <c r="AL6" s="198">
        <f t="shared" ref="AL6:AM6" si="10">SUM(AL7:AL9)</f>
        <v>42821841</v>
      </c>
      <c r="AM6" s="198">
        <f t="shared" si="10"/>
        <v>45856226</v>
      </c>
      <c r="AN6" s="198">
        <f t="shared" ref="AN6" si="11">SUM(AN7:AN9)</f>
        <v>51010773</v>
      </c>
    </row>
    <row r="7" spans="1:40">
      <c r="A7" s="89">
        <v>202</v>
      </c>
      <c r="B7" s="98" t="s">
        <v>183</v>
      </c>
      <c r="C7" s="133">
        <f>土木費等ﾃﾞｰﾀ!D6</f>
        <v>41156373</v>
      </c>
      <c r="D7" s="133">
        <f>土木費等ﾃﾞｰﾀ!G6</f>
        <v>44816677</v>
      </c>
      <c r="E7" s="133">
        <f>土木費等ﾃﾞｰﾀ!J6</f>
        <v>47951756</v>
      </c>
      <c r="F7" s="133">
        <f>土木費等ﾃﾞｰﾀ!M6</f>
        <v>53735226</v>
      </c>
      <c r="G7" s="133">
        <f>土木費等ﾃﾞｰﾀ!P6</f>
        <v>45338048</v>
      </c>
      <c r="H7" s="133">
        <f>土木費等ﾃﾞｰﾀ!S6</f>
        <v>51904997</v>
      </c>
      <c r="I7" s="133">
        <f>土木費等ﾃﾞｰﾀ!V6</f>
        <v>75462087</v>
      </c>
      <c r="J7" s="133">
        <f>土木費等ﾃﾞｰﾀ!Y6</f>
        <v>73419200</v>
      </c>
      <c r="K7" s="133">
        <f>土木費等ﾃﾞｰﾀ!AB6</f>
        <v>60604243</v>
      </c>
      <c r="L7" s="133">
        <f>土木費等ﾃﾞｰﾀ!AG6</f>
        <v>50358881</v>
      </c>
      <c r="M7" s="133">
        <f>土木費等ﾃﾞｰﾀ!AK16</f>
        <v>38288065</v>
      </c>
      <c r="N7" s="133">
        <f>土木費等ﾃﾞｰﾀ!AN16</f>
        <v>35046902</v>
      </c>
      <c r="O7" s="133">
        <f>土木費等ﾃﾞｰﾀ!AQ16</f>
        <v>33667508</v>
      </c>
      <c r="P7" s="133">
        <f>土木費等ﾃﾞｰﾀ!AT16</f>
        <v>31506127</v>
      </c>
      <c r="Q7" s="133">
        <f>土木費等ﾃﾞｰﾀ!AY16</f>
        <v>46224278</v>
      </c>
      <c r="R7" s="133">
        <f>土木費等ﾃﾞｰﾀ2!E16</f>
        <v>42587529</v>
      </c>
      <c r="S7" s="133">
        <f>土木費等ﾃﾞｰﾀ2!H16</f>
        <v>26328002</v>
      </c>
      <c r="T7" s="133">
        <f>土木費等ﾃﾞｰﾀ2!K16</f>
        <v>26207165</v>
      </c>
      <c r="U7" s="133">
        <f>土木費等ﾃﾞｰﾀ2!N16</f>
        <v>25142035</v>
      </c>
      <c r="V7" s="133">
        <f>土木費等ﾃﾞｰﾀ2!Q16</f>
        <v>21460549</v>
      </c>
      <c r="W7" s="133">
        <f>土木費等ﾃﾞｰﾀ2!T16</f>
        <v>33718038</v>
      </c>
      <c r="X7" s="133">
        <f>土木費等ﾃﾞｰﾀ2!W16</f>
        <v>14267277</v>
      </c>
      <c r="Y7" s="133">
        <f>土木費等ﾃﾞｰﾀ2!Z16</f>
        <v>14915557</v>
      </c>
      <c r="Z7" s="198">
        <f>土木費等ﾃﾞｰﾀ2!AC16</f>
        <v>21740479</v>
      </c>
      <c r="AA7" s="198">
        <f>土木費等ﾃﾞｰﾀ2!AF16</f>
        <v>22061720</v>
      </c>
      <c r="AB7" s="198">
        <f>土木費等ﾃﾞｰﾀ2!AI16</f>
        <v>25704468</v>
      </c>
      <c r="AC7" s="198">
        <f>土木費等ﾃﾞｰﾀ2!AL16</f>
        <v>24585561.978388634</v>
      </c>
      <c r="AD7" s="198">
        <f>土木費等ﾃﾞｰﾀ2!AO16</f>
        <v>18669092</v>
      </c>
      <c r="AE7" s="198">
        <f>土木費等ﾃﾞｰﾀ2!AR16</f>
        <v>18468253</v>
      </c>
      <c r="AF7" s="198">
        <f>土木費等ﾃﾞｰﾀ2!AU16</f>
        <v>14454024</v>
      </c>
      <c r="AG7" s="1070">
        <f>土木費等ﾃﾞｰﾀ2!AX16</f>
        <v>20086518</v>
      </c>
      <c r="AH7" s="456">
        <f>土木費等ﾃﾞｰﾀ2!BA16</f>
        <v>16739539</v>
      </c>
      <c r="AI7" s="1070">
        <f>土木費等ﾃﾞｰﾀ2!BD71</f>
        <v>13222795</v>
      </c>
      <c r="AJ7" s="1070">
        <f>土木費等ﾃﾞｰﾀ2!BG71</f>
        <v>12460777</v>
      </c>
      <c r="AK7" s="456">
        <f>土木費等ﾃﾞｰﾀ2!BJ6</f>
        <v>26524373</v>
      </c>
      <c r="AL7" s="491">
        <f t="shared" ref="AL7:AN7" si="12">ROUND(SUM(AI7:AK7)/3,0)</f>
        <v>17402648</v>
      </c>
      <c r="AM7" s="491">
        <f t="shared" si="12"/>
        <v>18795933</v>
      </c>
      <c r="AN7" s="491">
        <f t="shared" si="12"/>
        <v>20907651</v>
      </c>
    </row>
    <row r="8" spans="1:40">
      <c r="A8" s="89">
        <v>204</v>
      </c>
      <c r="B8" s="98" t="s">
        <v>184</v>
      </c>
      <c r="C8" s="133">
        <f>土木費等ﾃﾞｰﾀ!D7</f>
        <v>42560883</v>
      </c>
      <c r="D8" s="133">
        <f>土木費等ﾃﾞｰﾀ!G7</f>
        <v>47816169</v>
      </c>
      <c r="E8" s="133">
        <f>土木費等ﾃﾞｰﾀ!J7</f>
        <v>59768080</v>
      </c>
      <c r="F8" s="133">
        <f>土木費等ﾃﾞｰﾀ!M7</f>
        <v>47430719</v>
      </c>
      <c r="G8" s="133">
        <f>土木費等ﾃﾞｰﾀ!P7</f>
        <v>50241061</v>
      </c>
      <c r="H8" s="133">
        <f>土木費等ﾃﾞｰﾀ!S7</f>
        <v>122336849</v>
      </c>
      <c r="I8" s="133">
        <f>土木費等ﾃﾞｰﾀ!V7</f>
        <v>111059862</v>
      </c>
      <c r="J8" s="133">
        <f>土木費等ﾃﾞｰﾀ!Y7</f>
        <v>79052349</v>
      </c>
      <c r="K8" s="133">
        <f>土木費等ﾃﾞｰﾀ!AB7</f>
        <v>56974835</v>
      </c>
      <c r="L8" s="133">
        <f>土木費等ﾃﾞｰﾀ!AG7</f>
        <v>45562649</v>
      </c>
      <c r="M8" s="133">
        <f>土木費等ﾃﾞｰﾀ!AK18</f>
        <v>42475557</v>
      </c>
      <c r="N8" s="133">
        <f>土木費等ﾃﾞｰﾀ!AN18</f>
        <v>32924193</v>
      </c>
      <c r="O8" s="133">
        <f>土木費等ﾃﾞｰﾀ!AQ18</f>
        <v>31199366</v>
      </c>
      <c r="P8" s="133">
        <f>土木費等ﾃﾞｰﾀ!AT18</f>
        <v>29103387</v>
      </c>
      <c r="Q8" s="133">
        <f>土木費等ﾃﾞｰﾀ!AY18</f>
        <v>26227956</v>
      </c>
      <c r="R8" s="133">
        <f>土木費等ﾃﾞｰﾀ2!E18</f>
        <v>25843793</v>
      </c>
      <c r="S8" s="133">
        <f>土木費等ﾃﾞｰﾀ2!H18</f>
        <v>24566975</v>
      </c>
      <c r="T8" s="133">
        <f>土木費等ﾃﾞｰﾀ2!K18</f>
        <v>24730584</v>
      </c>
      <c r="U8" s="133">
        <f>土木費等ﾃﾞｰﾀ2!N18</f>
        <v>22426199</v>
      </c>
      <c r="V8" s="133">
        <f>土木費等ﾃﾞｰﾀ2!Q18</f>
        <v>13236168</v>
      </c>
      <c r="W8" s="133">
        <f>土木費等ﾃﾞｰﾀ2!T18</f>
        <v>11943133</v>
      </c>
      <c r="X8" s="133">
        <f>土木費等ﾃﾞｰﾀ2!W18</f>
        <v>21981165</v>
      </c>
      <c r="Y8" s="133">
        <f>土木費等ﾃﾞｰﾀ2!Z18</f>
        <v>14946824</v>
      </c>
      <c r="Z8" s="198">
        <f>土木費等ﾃﾞｰﾀ2!AC18</f>
        <v>14201334</v>
      </c>
      <c r="AA8" s="198">
        <f>土木費等ﾃﾞｰﾀ2!AF18</f>
        <v>10658669</v>
      </c>
      <c r="AB8" s="198">
        <f>土木費等ﾃﾞｰﾀ2!AI18</f>
        <v>18677231</v>
      </c>
      <c r="AC8" s="198">
        <f>土木費等ﾃﾞｰﾀ2!AL18</f>
        <v>16656105.53141804</v>
      </c>
      <c r="AD8" s="198">
        <f>土木費等ﾃﾞｰﾀ2!AO18</f>
        <v>13583111</v>
      </c>
      <c r="AE8" s="198">
        <f>土木費等ﾃﾞｰﾀ2!AR18</f>
        <v>17120061</v>
      </c>
      <c r="AF8" s="198">
        <f>土木費等ﾃﾞｰﾀ2!AU18</f>
        <v>15940948</v>
      </c>
      <c r="AG8" s="1070">
        <f>土木費等ﾃﾞｰﾀ2!AX18</f>
        <v>22536887</v>
      </c>
      <c r="AH8" s="456">
        <f>土木費等ﾃﾞｰﾀ2!BA18</f>
        <v>18618478</v>
      </c>
      <c r="AI8" s="1070">
        <f>土木費等ﾃﾞｰﾀ2!BD72</f>
        <v>15722985</v>
      </c>
      <c r="AJ8" s="1070">
        <f>土木費等ﾃﾞｰﾀ2!BG72</f>
        <v>13905585</v>
      </c>
      <c r="AK8" s="456">
        <f>土木費等ﾃﾞｰﾀ2!BJ7</f>
        <v>20491327</v>
      </c>
      <c r="AL8" s="491">
        <f t="shared" ref="AL8:AN8" si="13">ROUND(SUM(AI8:AK8)/3,0)</f>
        <v>16706632</v>
      </c>
      <c r="AM8" s="491">
        <f t="shared" si="13"/>
        <v>17034515</v>
      </c>
      <c r="AN8" s="491">
        <f t="shared" si="13"/>
        <v>18077491</v>
      </c>
    </row>
    <row r="9" spans="1:40">
      <c r="A9" s="89">
        <v>206</v>
      </c>
      <c r="B9" s="98" t="s">
        <v>185</v>
      </c>
      <c r="C9" s="133">
        <f>土木費等ﾃﾞｰﾀ!D8</f>
        <v>11204664</v>
      </c>
      <c r="D9" s="133">
        <f>土木費等ﾃﾞｰﾀ!G8</f>
        <v>16191610</v>
      </c>
      <c r="E9" s="133">
        <f>土木費等ﾃﾞｰﾀ!J8</f>
        <v>19015750</v>
      </c>
      <c r="F9" s="133">
        <f>土木費等ﾃﾞｰﾀ!M8</f>
        <v>16341630</v>
      </c>
      <c r="G9" s="133">
        <f>土木費等ﾃﾞｰﾀ!P8</f>
        <v>8818398</v>
      </c>
      <c r="H9" s="133">
        <f>土木費等ﾃﾞｰﾀ!S8</f>
        <v>32840839</v>
      </c>
      <c r="I9" s="133">
        <f>土木費等ﾃﾞｰﾀ!V8</f>
        <v>37727138</v>
      </c>
      <c r="J9" s="133">
        <f>土木費等ﾃﾞｰﾀ!Y8</f>
        <v>26921858</v>
      </c>
      <c r="K9" s="133">
        <f>土木費等ﾃﾞｰﾀ!AB8</f>
        <v>25184328</v>
      </c>
      <c r="L9" s="133">
        <f>土木費等ﾃﾞｰﾀ!AG8</f>
        <v>21273412</v>
      </c>
      <c r="M9" s="133">
        <f>土木費等ﾃﾞｰﾀ!AK20</f>
        <v>31071330</v>
      </c>
      <c r="N9" s="133">
        <f>土木費等ﾃﾞｰﾀ!AN20</f>
        <v>19293235</v>
      </c>
      <c r="O9" s="133">
        <f>土木費等ﾃﾞｰﾀ!AQ20</f>
        <v>12400117</v>
      </c>
      <c r="P9" s="133">
        <f>土木費等ﾃﾞｰﾀ!AT20</f>
        <v>8496938</v>
      </c>
      <c r="Q9" s="133">
        <f>土木費等ﾃﾞｰﾀ!AY20</f>
        <v>7290379</v>
      </c>
      <c r="R9" s="133">
        <f>土木費等ﾃﾞｰﾀ2!E20</f>
        <v>5777155</v>
      </c>
      <c r="S9" s="133">
        <f>土木費等ﾃﾞｰﾀ2!H20</f>
        <v>6223620</v>
      </c>
      <c r="T9" s="133">
        <f>土木費等ﾃﾞｰﾀ2!K20</f>
        <v>6767820</v>
      </c>
      <c r="U9" s="133">
        <f>土木費等ﾃﾞｰﾀ2!N20</f>
        <v>5570263</v>
      </c>
      <c r="V9" s="133">
        <f>土木費等ﾃﾞｰﾀ2!Q20</f>
        <v>7190449</v>
      </c>
      <c r="W9" s="133">
        <f>土木費等ﾃﾞｰﾀ2!T20</f>
        <v>4874283</v>
      </c>
      <c r="X9" s="133">
        <f>土木費等ﾃﾞｰﾀ2!W20</f>
        <v>2187675</v>
      </c>
      <c r="Y9" s="133">
        <f>土木費等ﾃﾞｰﾀ2!Z20</f>
        <v>2247046</v>
      </c>
      <c r="Z9" s="198">
        <f>土木費等ﾃﾞｰﾀ2!AC20</f>
        <v>10127668</v>
      </c>
      <c r="AA9" s="198">
        <f>土木費等ﾃﾞｰﾀ2!AF20</f>
        <v>6248281</v>
      </c>
      <c r="AB9" s="198">
        <f>土木費等ﾃﾞｰﾀ2!AI20</f>
        <v>12162380</v>
      </c>
      <c r="AC9" s="198">
        <f>土木費等ﾃﾞｰﾀ2!AL20</f>
        <v>10905076.717397161</v>
      </c>
      <c r="AD9" s="198">
        <f>土木費等ﾃﾞｰﾀ2!AO20</f>
        <v>9044200</v>
      </c>
      <c r="AE9" s="198">
        <f>土木費等ﾃﾞｰﾀ2!AR20</f>
        <v>8683677</v>
      </c>
      <c r="AF9" s="198">
        <f>土木費等ﾃﾞｰﾀ2!AU20</f>
        <v>5810828</v>
      </c>
      <c r="AG9" s="1070">
        <f>土木費等ﾃﾞｰﾀ2!AX20</f>
        <v>9628442</v>
      </c>
      <c r="AH9" s="456">
        <f>土木費等ﾃﾞｰﾀ2!BA20</f>
        <v>6019939</v>
      </c>
      <c r="AI9" s="1070">
        <f>土木費等ﾃﾞｰﾀ2!BD73</f>
        <v>4772909</v>
      </c>
      <c r="AJ9" s="1070">
        <f>土木費等ﾃﾞｰﾀ2!BG73</f>
        <v>4026220</v>
      </c>
      <c r="AK9" s="456">
        <f>土木費等ﾃﾞｰﾀ2!BJ8</f>
        <v>17338553</v>
      </c>
      <c r="AL9" s="491">
        <f t="shared" ref="AL9:AN9" si="14">ROUND(SUM(AI9:AK9)/3,0)</f>
        <v>8712561</v>
      </c>
      <c r="AM9" s="491">
        <f t="shared" si="14"/>
        <v>10025778</v>
      </c>
      <c r="AN9" s="491">
        <f t="shared" si="14"/>
        <v>12025631</v>
      </c>
    </row>
    <row r="10" spans="1:40">
      <c r="A10" s="86"/>
      <c r="B10" s="97" t="s">
        <v>186</v>
      </c>
      <c r="C10" s="133">
        <f>SUM(C11:C15)</f>
        <v>46656465</v>
      </c>
      <c r="D10" s="133">
        <f>SUM(D11:D15)</f>
        <v>62008864</v>
      </c>
      <c r="E10" s="133">
        <f>SUM(E11:E15)</f>
        <v>67897260</v>
      </c>
      <c r="F10" s="133">
        <f>SUM(F11:F15)</f>
        <v>75135031</v>
      </c>
      <c r="G10" s="133">
        <f>SUM(G11:G15)</f>
        <v>58314177</v>
      </c>
      <c r="H10" s="133">
        <f t="shared" ref="H10:T10" si="15">SUM(H11:H15)</f>
        <v>85454338</v>
      </c>
      <c r="I10" s="133">
        <f>SUM(I11:I15)</f>
        <v>78394104</v>
      </c>
      <c r="J10" s="133">
        <f>SUM(J11:J15)</f>
        <v>67891209</v>
      </c>
      <c r="K10" s="133">
        <f>SUM(K11:K15)</f>
        <v>68226276</v>
      </c>
      <c r="L10" s="133">
        <f t="shared" si="15"/>
        <v>53323355</v>
      </c>
      <c r="M10" s="133">
        <f t="shared" si="15"/>
        <v>48416159</v>
      </c>
      <c r="N10" s="133">
        <f>SUM(N11:N15)</f>
        <v>46588516</v>
      </c>
      <c r="O10" s="133">
        <f>SUM(O11:O15)</f>
        <v>46429524</v>
      </c>
      <c r="P10" s="133">
        <f>SUM(P11:P15)</f>
        <v>41713132</v>
      </c>
      <c r="Q10" s="133">
        <f t="shared" si="15"/>
        <v>40910608</v>
      </c>
      <c r="R10" s="133">
        <f t="shared" si="15"/>
        <v>39008985</v>
      </c>
      <c r="S10" s="133">
        <f t="shared" si="15"/>
        <v>30464474</v>
      </c>
      <c r="T10" s="133">
        <f t="shared" si="15"/>
        <v>28815493</v>
      </c>
      <c r="U10" s="133">
        <f t="shared" ref="U10:AD10" si="16">SUM(U11:U15)</f>
        <v>26207688</v>
      </c>
      <c r="V10" s="133">
        <f t="shared" si="16"/>
        <v>26336200</v>
      </c>
      <c r="W10" s="133">
        <f t="shared" si="16"/>
        <v>23120574</v>
      </c>
      <c r="X10" s="133">
        <f t="shared" si="16"/>
        <v>15676891</v>
      </c>
      <c r="Y10" s="133">
        <f t="shared" si="16"/>
        <v>19819936</v>
      </c>
      <c r="Z10" s="198">
        <f t="shared" si="16"/>
        <v>20892515</v>
      </c>
      <c r="AA10" s="198">
        <f t="shared" si="16"/>
        <v>27120411</v>
      </c>
      <c r="AB10" s="198">
        <f t="shared" si="16"/>
        <v>21801922</v>
      </c>
      <c r="AC10" s="198">
        <f t="shared" si="16"/>
        <v>22394301.352613892</v>
      </c>
      <c r="AD10" s="198">
        <f t="shared" si="16"/>
        <v>25322001</v>
      </c>
      <c r="AE10" s="198">
        <f>SUM(AE11:AE15)</f>
        <v>20580165</v>
      </c>
      <c r="AF10" s="198">
        <f>SUM(AF11:AF15)</f>
        <v>27669424</v>
      </c>
      <c r="AG10" s="198">
        <f t="shared" ref="AG10:AI10" si="17">SUM(AG11:AG15)</f>
        <v>23973273</v>
      </c>
      <c r="AH10" s="198">
        <f t="shared" si="17"/>
        <v>31219726</v>
      </c>
      <c r="AI10" s="198">
        <f t="shared" si="17"/>
        <v>29554318</v>
      </c>
      <c r="AJ10" s="198">
        <f t="shared" ref="AJ10:AK10" si="18">SUM(AJ11:AJ15)</f>
        <v>24757972</v>
      </c>
      <c r="AK10" s="198">
        <f t="shared" si="18"/>
        <v>182997458</v>
      </c>
      <c r="AL10" s="198">
        <f t="shared" ref="AL10:AM10" si="19">SUM(AL11:AL15)</f>
        <v>79103249</v>
      </c>
      <c r="AM10" s="198">
        <f t="shared" si="19"/>
        <v>95619560</v>
      </c>
      <c r="AN10" s="198">
        <f t="shared" ref="AN10" si="20">SUM(AN11:AN15)</f>
        <v>119240088</v>
      </c>
    </row>
    <row r="11" spans="1:40">
      <c r="A11" s="89">
        <v>207</v>
      </c>
      <c r="B11" s="98" t="s">
        <v>187</v>
      </c>
      <c r="C11" s="133">
        <f>土木費等ﾃﾞｰﾀ!D9</f>
        <v>11520615</v>
      </c>
      <c r="D11" s="133">
        <f>土木費等ﾃﾞｰﾀ!G9</f>
        <v>11340280</v>
      </c>
      <c r="E11" s="133">
        <f>土木費等ﾃﾞｰﾀ!J9</f>
        <v>13894891</v>
      </c>
      <c r="F11" s="133">
        <f>土木費等ﾃﾞｰﾀ!M9</f>
        <v>28787102</v>
      </c>
      <c r="G11" s="133">
        <f>土木費等ﾃﾞｰﾀ!P9</f>
        <v>14557226</v>
      </c>
      <c r="H11" s="133">
        <f>土木費等ﾃﾞｰﾀ!S9</f>
        <v>22242574</v>
      </c>
      <c r="I11" s="133">
        <f>土木費等ﾃﾞｰﾀ!V9</f>
        <v>24816558</v>
      </c>
      <c r="J11" s="133">
        <f>土木費等ﾃﾞｰﾀ!Y9</f>
        <v>20328023</v>
      </c>
      <c r="K11" s="133">
        <f>土木費等ﾃﾞｰﾀ!AB9</f>
        <v>19387763</v>
      </c>
      <c r="L11" s="133">
        <f>土木費等ﾃﾞｰﾀ!AG10</f>
        <v>16428614</v>
      </c>
      <c r="M11" s="133">
        <f>土木費等ﾃﾞｰﾀ!AK21</f>
        <v>14148521</v>
      </c>
      <c r="N11" s="133">
        <f>土木費等ﾃﾞｰﾀ!AN21</f>
        <v>12052388</v>
      </c>
      <c r="O11" s="133">
        <f>土木費等ﾃﾞｰﾀ!AQ21</f>
        <v>12003336</v>
      </c>
      <c r="P11" s="133">
        <f>土木費等ﾃﾞｰﾀ!AT21</f>
        <v>10379652</v>
      </c>
      <c r="Q11" s="133">
        <f>土木費等ﾃﾞｰﾀ!AY21</f>
        <v>10800609</v>
      </c>
      <c r="R11" s="133">
        <f>土木費等ﾃﾞｰﾀ2!E21</f>
        <v>9286076</v>
      </c>
      <c r="S11" s="133">
        <f>土木費等ﾃﾞｰﾀ2!H21</f>
        <v>8766986</v>
      </c>
      <c r="T11" s="133">
        <f>土木費等ﾃﾞｰﾀ2!K21</f>
        <v>9106918</v>
      </c>
      <c r="U11" s="133">
        <f>土木費等ﾃﾞｰﾀ2!N21</f>
        <v>7115263</v>
      </c>
      <c r="V11" s="133">
        <f>土木費等ﾃﾞｰﾀ2!Q21</f>
        <v>7857869</v>
      </c>
      <c r="W11" s="133">
        <f>土木費等ﾃﾞｰﾀ2!T21</f>
        <v>5344952</v>
      </c>
      <c r="X11" s="133">
        <f>土木費等ﾃﾞｰﾀ2!W21</f>
        <v>5007955</v>
      </c>
      <c r="Y11" s="133">
        <f>土木費等ﾃﾞｰﾀ2!Z21</f>
        <v>3068521</v>
      </c>
      <c r="Z11" s="198">
        <f>土木費等ﾃﾞｰﾀ2!AC21</f>
        <v>5093775</v>
      </c>
      <c r="AA11" s="198">
        <f>土木費等ﾃﾞｰﾀ2!AF21</f>
        <v>6782730</v>
      </c>
      <c r="AB11" s="198">
        <f>土木費等ﾃﾞｰﾀ2!AI21</f>
        <v>4629421</v>
      </c>
      <c r="AC11" s="198">
        <f>土木費等ﾃﾞｰﾀ2!AL21</f>
        <v>5061691.4737719148</v>
      </c>
      <c r="AD11" s="198">
        <f>土木費等ﾃﾞｰﾀ2!AO21</f>
        <v>4535803</v>
      </c>
      <c r="AE11" s="198">
        <f>土木費等ﾃﾞｰﾀ2!AR21</f>
        <v>3865000</v>
      </c>
      <c r="AF11" s="198">
        <f>土木費等ﾃﾞｰﾀ2!AU21</f>
        <v>7995196</v>
      </c>
      <c r="AG11" s="1070">
        <f>土木費等ﾃﾞｰﾀ2!AX21</f>
        <v>8832211</v>
      </c>
      <c r="AH11" s="456">
        <f>土木費等ﾃﾞｰﾀ2!BA21</f>
        <v>12890979</v>
      </c>
      <c r="AI11" s="1070">
        <f>土木費等ﾃﾞｰﾀ2!BD75</f>
        <v>11580847</v>
      </c>
      <c r="AJ11" s="1070">
        <f>土木費等ﾃﾞｰﾀ2!BG75</f>
        <v>6747612</v>
      </c>
      <c r="AK11" s="456">
        <f>土木費等ﾃﾞｰﾀ2!BJ10</f>
        <v>16219693</v>
      </c>
      <c r="AL11" s="491">
        <f t="shared" ref="AL11:AN11" si="21">ROUND(SUM(AI11:AK11)/3,0)</f>
        <v>11516051</v>
      </c>
      <c r="AM11" s="491">
        <f t="shared" si="21"/>
        <v>11494452</v>
      </c>
      <c r="AN11" s="491">
        <f t="shared" si="21"/>
        <v>13076732</v>
      </c>
    </row>
    <row r="12" spans="1:40">
      <c r="A12" s="89">
        <v>214</v>
      </c>
      <c r="B12" s="98" t="s">
        <v>188</v>
      </c>
      <c r="C12" s="133">
        <f>土木費等ﾃﾞｰﾀ!D10</f>
        <v>19120984</v>
      </c>
      <c r="D12" s="133">
        <f>土木費等ﾃﾞｰﾀ!G10</f>
        <v>27102404</v>
      </c>
      <c r="E12" s="133">
        <f>土木費等ﾃﾞｰﾀ!J10</f>
        <v>28046526</v>
      </c>
      <c r="F12" s="133">
        <f>土木費等ﾃﾞｰﾀ!M10</f>
        <v>20806989</v>
      </c>
      <c r="G12" s="133">
        <f>土木費等ﾃﾞｰﾀ!P10</f>
        <v>17812948</v>
      </c>
      <c r="H12" s="133">
        <f>土木費等ﾃﾞｰﾀ!S10</f>
        <v>32349925</v>
      </c>
      <c r="I12" s="133">
        <f>土木費等ﾃﾞｰﾀ!V10</f>
        <v>27740582</v>
      </c>
      <c r="J12" s="133">
        <f>土木費等ﾃﾞｰﾀ!Y10</f>
        <v>26643499</v>
      </c>
      <c r="K12" s="133">
        <f>土木費等ﾃﾞｰﾀ!AB10</f>
        <v>23634779</v>
      </c>
      <c r="L12" s="133">
        <f>土木費等ﾃﾞｰﾀ!AG11</f>
        <v>19282869</v>
      </c>
      <c r="M12" s="133">
        <f>土木費等ﾃﾞｰﾀ!AK28</f>
        <v>16397548</v>
      </c>
      <c r="N12" s="133">
        <f>土木費等ﾃﾞｰﾀ!AN28</f>
        <v>15740949</v>
      </c>
      <c r="O12" s="133">
        <f>土木費等ﾃﾞｰﾀ!AQ28</f>
        <v>16030402</v>
      </c>
      <c r="P12" s="133">
        <f>土木費等ﾃﾞｰﾀ!AT28</f>
        <v>12668318</v>
      </c>
      <c r="Q12" s="133">
        <f>土木費等ﾃﾞｰﾀ!AY28</f>
        <v>13022582</v>
      </c>
      <c r="R12" s="133">
        <f>土木費等ﾃﾞｰﾀ2!E27</f>
        <v>9361575</v>
      </c>
      <c r="S12" s="133">
        <f>土木費等ﾃﾞｰﾀ2!H27</f>
        <v>8813057</v>
      </c>
      <c r="T12" s="133">
        <f>土木費等ﾃﾞｰﾀ2!K27</f>
        <v>9266722</v>
      </c>
      <c r="U12" s="133">
        <f>土木費等ﾃﾞｰﾀ2!N27</f>
        <v>9295733</v>
      </c>
      <c r="V12" s="133">
        <f>土木費等ﾃﾞｰﾀ2!Q27</f>
        <v>7698592</v>
      </c>
      <c r="W12" s="133">
        <f>土木費等ﾃﾞｰﾀ2!T27</f>
        <v>9412376</v>
      </c>
      <c r="X12" s="133">
        <f>土木費等ﾃﾞｰﾀ2!W27</f>
        <v>5056700</v>
      </c>
      <c r="Y12" s="133">
        <f>土木費等ﾃﾞｰﾀ2!Z27</f>
        <v>7254794</v>
      </c>
      <c r="Z12" s="198">
        <f>土木費等ﾃﾞｰﾀ2!AC27</f>
        <v>5821566</v>
      </c>
      <c r="AA12" s="198">
        <f>土木費等ﾃﾞｰﾀ2!AF27</f>
        <v>6441398</v>
      </c>
      <c r="AB12" s="198">
        <f>土木費等ﾃﾞｰﾀ2!AI27</f>
        <v>6185271</v>
      </c>
      <c r="AC12" s="198">
        <f>土木費等ﾃﾞｰﾀ2!AL27</f>
        <v>6114928.6814162824</v>
      </c>
      <c r="AD12" s="198">
        <f>土木費等ﾃﾞｰﾀ2!AO27</f>
        <v>7057765</v>
      </c>
      <c r="AE12" s="198">
        <f>土木費等ﾃﾞｰﾀ2!AR27</f>
        <v>6866903</v>
      </c>
      <c r="AF12" s="198">
        <f>土木費等ﾃﾞｰﾀ2!AU27</f>
        <v>8001798</v>
      </c>
      <c r="AG12" s="1070">
        <f>土木費等ﾃﾞｰﾀ2!AX27</f>
        <v>5369586</v>
      </c>
      <c r="AH12" s="456">
        <f>土木費等ﾃﾞｰﾀ2!BA27</f>
        <v>8010301</v>
      </c>
      <c r="AI12" s="1070">
        <f>土木費等ﾃﾞｰﾀ2!BD76</f>
        <v>7638053</v>
      </c>
      <c r="AJ12" s="1070">
        <f>土木費等ﾃﾞｰﾀ2!BG76</f>
        <v>10014783</v>
      </c>
      <c r="AK12" s="456">
        <f>土木費等ﾃﾞｰﾀ2!BJ11</f>
        <v>13281475</v>
      </c>
      <c r="AL12" s="491">
        <f t="shared" ref="AL12:AN12" si="22">ROUND(SUM(AI12:AK12)/3,0)</f>
        <v>10311437</v>
      </c>
      <c r="AM12" s="491">
        <f t="shared" si="22"/>
        <v>11202565</v>
      </c>
      <c r="AN12" s="491">
        <f t="shared" si="22"/>
        <v>11598492</v>
      </c>
    </row>
    <row r="13" spans="1:40">
      <c r="A13" s="89">
        <v>217</v>
      </c>
      <c r="B13" s="98" t="s">
        <v>189</v>
      </c>
      <c r="C13" s="133">
        <f>土木費等ﾃﾞｰﾀ!D11</f>
        <v>9110433</v>
      </c>
      <c r="D13" s="133">
        <f>土木費等ﾃﾞｰﾀ!G11</f>
        <v>13813369</v>
      </c>
      <c r="E13" s="133">
        <f>土木費等ﾃﾞｰﾀ!J11</f>
        <v>18492712</v>
      </c>
      <c r="F13" s="133">
        <f>土木費等ﾃﾞｰﾀ!M11</f>
        <v>8522942</v>
      </c>
      <c r="G13" s="133">
        <f>土木費等ﾃﾞｰﾀ!P11</f>
        <v>15713371</v>
      </c>
      <c r="H13" s="133">
        <f>土木費等ﾃﾞｰﾀ!S11</f>
        <v>17763177</v>
      </c>
      <c r="I13" s="133">
        <f>土木費等ﾃﾞｰﾀ!V11</f>
        <v>12991636</v>
      </c>
      <c r="J13" s="133">
        <f>土木費等ﾃﾞｰﾀ!Y11</f>
        <v>9968371</v>
      </c>
      <c r="K13" s="133">
        <f>土木費等ﾃﾞｰﾀ!AB11</f>
        <v>14355500</v>
      </c>
      <c r="L13" s="133">
        <f>土木費等ﾃﾞｰﾀ!AG12</f>
        <v>8258548</v>
      </c>
      <c r="M13" s="133">
        <f>土木費等ﾃﾞｰﾀ!AK31</f>
        <v>7314588</v>
      </c>
      <c r="N13" s="133">
        <f>土木費等ﾃﾞｰﾀ!AN31</f>
        <v>9382669</v>
      </c>
      <c r="O13" s="133">
        <f>土木費等ﾃﾞｰﾀ!AQ31</f>
        <v>8294657</v>
      </c>
      <c r="P13" s="133">
        <f>土木費等ﾃﾞｰﾀ!AT31</f>
        <v>8762261</v>
      </c>
      <c r="Q13" s="133">
        <f>土木費等ﾃﾞｰﾀ!AY31</f>
        <v>7783383</v>
      </c>
      <c r="R13" s="133">
        <f>土木費等ﾃﾞｰﾀ2!E30</f>
        <v>12538623</v>
      </c>
      <c r="S13" s="133">
        <f>土木費等ﾃﾞｰﾀ2!H30</f>
        <v>5922417</v>
      </c>
      <c r="T13" s="133">
        <f>土木費等ﾃﾞｰﾀ2!K30</f>
        <v>6197461</v>
      </c>
      <c r="U13" s="133">
        <f>土木費等ﾃﾞｰﾀ2!N30</f>
        <v>5440313</v>
      </c>
      <c r="V13" s="133">
        <f>土木費等ﾃﾞｰﾀ2!Q30</f>
        <v>3348992</v>
      </c>
      <c r="W13" s="133">
        <f>土木費等ﾃﾞｰﾀ2!T30</f>
        <v>3340507</v>
      </c>
      <c r="X13" s="133">
        <f>土木費等ﾃﾞｰﾀ2!W30</f>
        <v>2860414</v>
      </c>
      <c r="Y13" s="133">
        <f>土木費等ﾃﾞｰﾀ2!Z30</f>
        <v>4386793</v>
      </c>
      <c r="Z13" s="198">
        <f>土木費等ﾃﾞｰﾀ2!AC30</f>
        <v>5544396</v>
      </c>
      <c r="AA13" s="198">
        <f>土木費等ﾃﾞｰﾀ2!AF30</f>
        <v>5197023</v>
      </c>
      <c r="AB13" s="198">
        <f>土木費等ﾃﾞｰﾀ2!AI30</f>
        <v>6059330</v>
      </c>
      <c r="AC13" s="198">
        <f>土木費等ﾃﾞｰﾀ2!AL30</f>
        <v>5828496.0230457634</v>
      </c>
      <c r="AD13" s="198">
        <f>土木費等ﾃﾞｰﾀ2!AO30</f>
        <v>9946116</v>
      </c>
      <c r="AE13" s="198">
        <f>土木費等ﾃﾞｰﾀ2!AR30</f>
        <v>6428372</v>
      </c>
      <c r="AF13" s="198">
        <f>土木費等ﾃﾞｰﾀ2!AU30</f>
        <v>6301694</v>
      </c>
      <c r="AG13" s="1070">
        <f>土木費等ﾃﾞｰﾀ2!AX30</f>
        <v>5247586</v>
      </c>
      <c r="AH13" s="456">
        <f>土木費等ﾃﾞｰﾀ2!BA30</f>
        <v>5804832</v>
      </c>
      <c r="AI13" s="1070">
        <f>土木費等ﾃﾞｰﾀ2!BD77</f>
        <v>6416881</v>
      </c>
      <c r="AJ13" s="1070">
        <f>土木費等ﾃﾞｰﾀ2!BG77</f>
        <v>3603338</v>
      </c>
      <c r="AK13" s="456">
        <f>土木費等ﾃﾞｰﾀ2!BJ12</f>
        <v>4837125</v>
      </c>
      <c r="AL13" s="491">
        <f t="shared" ref="AL13:AN13" si="23">ROUND(SUM(AI13:AK13)/3,0)</f>
        <v>4952448</v>
      </c>
      <c r="AM13" s="491">
        <f t="shared" si="23"/>
        <v>4464304</v>
      </c>
      <c r="AN13" s="491">
        <f t="shared" si="23"/>
        <v>4751292</v>
      </c>
    </row>
    <row r="14" spans="1:40">
      <c r="A14" s="89">
        <v>219</v>
      </c>
      <c r="B14" s="98" t="s">
        <v>190</v>
      </c>
      <c r="C14" s="133">
        <f>土木費等ﾃﾞｰﾀ!D12</f>
        <v>4645600</v>
      </c>
      <c r="D14" s="133">
        <f>土木費等ﾃﾞｰﾀ!G12</f>
        <v>8287455</v>
      </c>
      <c r="E14" s="133">
        <f>土木費等ﾃﾞｰﾀ!J12</f>
        <v>6029755</v>
      </c>
      <c r="F14" s="133">
        <f>土木費等ﾃﾞｰﾀ!M12</f>
        <v>2437384</v>
      </c>
      <c r="G14" s="133">
        <f>土木費等ﾃﾞｰﾀ!P12</f>
        <v>8101709</v>
      </c>
      <c r="H14" s="133">
        <f>土木費等ﾃﾞｰﾀ!S12</f>
        <v>8157364</v>
      </c>
      <c r="I14" s="133">
        <f>土木費等ﾃﾞｰﾀ!V12</f>
        <v>10962468</v>
      </c>
      <c r="J14" s="133">
        <f>土木費等ﾃﾞｰﾀ!Y12</f>
        <v>8657247</v>
      </c>
      <c r="K14" s="133">
        <f>土木費等ﾃﾞｰﾀ!AB12</f>
        <v>8972270</v>
      </c>
      <c r="L14" s="133">
        <f>土木費等ﾃﾞｰﾀ!AG13</f>
        <v>7759695</v>
      </c>
      <c r="M14" s="133">
        <f>土木費等ﾃﾞｰﾀ!AK33</f>
        <v>8823375</v>
      </c>
      <c r="N14" s="133">
        <f>土木費等ﾃﾞｰﾀ!AN33</f>
        <v>7740251</v>
      </c>
      <c r="O14" s="133">
        <f>土木費等ﾃﾞｰﾀ!AQ33</f>
        <v>8873464</v>
      </c>
      <c r="P14" s="133">
        <f>土木費等ﾃﾞｰﾀ!AT33</f>
        <v>8546970</v>
      </c>
      <c r="Q14" s="133">
        <f>土木費等ﾃﾞｰﾀ!AY33</f>
        <v>8274700</v>
      </c>
      <c r="R14" s="133">
        <f>土木費等ﾃﾞｰﾀ2!E32</f>
        <v>6771053</v>
      </c>
      <c r="S14" s="133">
        <f>土木費等ﾃﾞｰﾀ2!H32</f>
        <v>5934256</v>
      </c>
      <c r="T14" s="133">
        <f>土木費等ﾃﾞｰﾀ2!K32</f>
        <v>3384512</v>
      </c>
      <c r="U14" s="133">
        <f>土木費等ﾃﾞｰﾀ2!N32</f>
        <v>3417714</v>
      </c>
      <c r="V14" s="133">
        <f>土木費等ﾃﾞｰﾀ2!Q32</f>
        <v>6709085</v>
      </c>
      <c r="W14" s="133">
        <f>土木費等ﾃﾞｰﾀ2!T32</f>
        <v>4440039</v>
      </c>
      <c r="X14" s="133">
        <f>土木費等ﾃﾞｰﾀ2!W32</f>
        <v>2292855</v>
      </c>
      <c r="Y14" s="133">
        <f>土木費等ﾃﾞｰﾀ2!Z32</f>
        <v>4195062</v>
      </c>
      <c r="Z14" s="198">
        <f>土木費等ﾃﾞｰﾀ2!AC32</f>
        <v>3628922</v>
      </c>
      <c r="AA14" s="198">
        <f>土木費等ﾃﾞｰﾀ2!AF32</f>
        <v>7203134</v>
      </c>
      <c r="AB14" s="198">
        <f>土木費等ﾃﾞｰﾀ2!AI32</f>
        <v>3972023</v>
      </c>
      <c r="AC14" s="198">
        <f>土木費等ﾃﾞｰﾀ2!AL32</f>
        <v>4415396.8904249817</v>
      </c>
      <c r="AD14" s="198">
        <f>土木費等ﾃﾞｰﾀ2!AO32</f>
        <v>2910165</v>
      </c>
      <c r="AE14" s="198">
        <f>土木費等ﾃﾞｰﾀ2!AR32</f>
        <v>2816389</v>
      </c>
      <c r="AF14" s="198">
        <f>土木費等ﾃﾞｰﾀ2!AU32</f>
        <v>3393880</v>
      </c>
      <c r="AG14" s="1070">
        <f>土木費等ﾃﾞｰﾀ2!AX32</f>
        <v>3078441</v>
      </c>
      <c r="AH14" s="456">
        <f>土木費等ﾃﾞｰﾀ2!BA32</f>
        <v>3606918</v>
      </c>
      <c r="AI14" s="1070">
        <f>土木費等ﾃﾞｰﾀ2!BD78</f>
        <v>3218234</v>
      </c>
      <c r="AJ14" s="1070">
        <f>土木費等ﾃﾞｰﾀ2!BG78</f>
        <v>3488877</v>
      </c>
      <c r="AK14" s="456">
        <f>土木費等ﾃﾞｰﾀ2!BJ13</f>
        <v>10858685</v>
      </c>
      <c r="AL14" s="491">
        <f t="shared" ref="AL14:AN14" si="24">ROUND(SUM(AI14:AK14)/3,0)</f>
        <v>5855265</v>
      </c>
      <c r="AM14" s="491">
        <f t="shared" si="24"/>
        <v>6734276</v>
      </c>
      <c r="AN14" s="491">
        <f t="shared" si="24"/>
        <v>7816075</v>
      </c>
    </row>
    <row r="15" spans="1:40">
      <c r="A15" s="89">
        <v>301</v>
      </c>
      <c r="B15" s="98" t="s">
        <v>191</v>
      </c>
      <c r="C15" s="133">
        <f>土木費等ﾃﾞｰﾀ!D13</f>
        <v>2258833</v>
      </c>
      <c r="D15" s="133">
        <f>土木費等ﾃﾞｰﾀ!G13</f>
        <v>1465356</v>
      </c>
      <c r="E15" s="133">
        <f>土木費等ﾃﾞｰﾀ!J13</f>
        <v>1433376</v>
      </c>
      <c r="F15" s="133">
        <f>土木費等ﾃﾞｰﾀ!M13</f>
        <v>14580614</v>
      </c>
      <c r="G15" s="133">
        <f>土木費等ﾃﾞｰﾀ!P13</f>
        <v>2128923</v>
      </c>
      <c r="H15" s="133">
        <f>土木費等ﾃﾞｰﾀ!S13</f>
        <v>4941298</v>
      </c>
      <c r="I15" s="133">
        <f>土木費等ﾃﾞｰﾀ!V13</f>
        <v>1882860</v>
      </c>
      <c r="J15" s="133">
        <f>土木費等ﾃﾞｰﾀ!Y13</f>
        <v>2294069</v>
      </c>
      <c r="K15" s="133">
        <f>土木費等ﾃﾞｰﾀ!AB13</f>
        <v>1875964</v>
      </c>
      <c r="L15" s="133">
        <f>土木費等ﾃﾞｰﾀ!AG14</f>
        <v>1593629</v>
      </c>
      <c r="M15" s="133">
        <f>土木費等ﾃﾞｰﾀ!AK36</f>
        <v>1732127</v>
      </c>
      <c r="N15" s="133">
        <f>土木費等ﾃﾞｰﾀ!AN36</f>
        <v>1672259</v>
      </c>
      <c r="O15" s="133">
        <f>土木費等ﾃﾞｰﾀ!AQ36</f>
        <v>1227665</v>
      </c>
      <c r="P15" s="133">
        <f>土木費等ﾃﾞｰﾀ!AT36</f>
        <v>1355931</v>
      </c>
      <c r="Q15" s="133">
        <f>土木費等ﾃﾞｰﾀ!AY39</f>
        <v>1029334</v>
      </c>
      <c r="R15" s="133">
        <f>土木費等ﾃﾞｰﾀ2!E43</f>
        <v>1051658</v>
      </c>
      <c r="S15" s="133">
        <f>土木費等ﾃﾞｰﾀ2!H43</f>
        <v>1027758</v>
      </c>
      <c r="T15" s="133">
        <f>土木費等ﾃﾞｰﾀ2!K43</f>
        <v>859880</v>
      </c>
      <c r="U15" s="133">
        <f>土木費等ﾃﾞｰﾀ2!N43</f>
        <v>938665</v>
      </c>
      <c r="V15" s="133">
        <f>土木費等ﾃﾞｰﾀ2!Q43</f>
        <v>721662</v>
      </c>
      <c r="W15" s="133">
        <f>土木費等ﾃﾞｰﾀ2!T43</f>
        <v>582700</v>
      </c>
      <c r="X15" s="133">
        <f>土木費等ﾃﾞｰﾀ2!W43</f>
        <v>458967</v>
      </c>
      <c r="Y15" s="133">
        <f>土木費等ﾃﾞｰﾀ2!Z43</f>
        <v>914766</v>
      </c>
      <c r="Z15" s="198">
        <f>土木費等ﾃﾞｰﾀ2!AC43</f>
        <v>803856</v>
      </c>
      <c r="AA15" s="198">
        <f>土木費等ﾃﾞｰﾀ2!AF43</f>
        <v>1496126</v>
      </c>
      <c r="AB15" s="198">
        <f>土木費等ﾃﾞｰﾀ2!AI43</f>
        <v>955877</v>
      </c>
      <c r="AC15" s="198">
        <f>土木費等ﾃﾞｰﾀ2!AL43</f>
        <v>973788.28395495028</v>
      </c>
      <c r="AD15" s="198">
        <f>土木費等ﾃﾞｰﾀ2!AO43</f>
        <v>872152</v>
      </c>
      <c r="AE15" s="198">
        <f>土木費等ﾃﾞｰﾀ2!AR43</f>
        <v>603501</v>
      </c>
      <c r="AF15" s="198">
        <f>土木費等ﾃﾞｰﾀ2!AU43</f>
        <v>1976856</v>
      </c>
      <c r="AG15" s="1070">
        <f>土木費等ﾃﾞｰﾀ2!AX43</f>
        <v>1445449</v>
      </c>
      <c r="AH15" s="456">
        <f>土木費等ﾃﾞｰﾀ2!BA43</f>
        <v>906696</v>
      </c>
      <c r="AI15" s="1070">
        <f>土木費等ﾃﾞｰﾀ2!BD79</f>
        <v>700303</v>
      </c>
      <c r="AJ15" s="1070">
        <f>土木費等ﾃﾞｰﾀ2!BG79</f>
        <v>903362</v>
      </c>
      <c r="AK15" s="456">
        <f>土木費等ﾃﾞｰﾀ2!BJ14</f>
        <v>137800480</v>
      </c>
      <c r="AL15" s="491">
        <f t="shared" ref="AL15:AN15" si="25">ROUND(SUM(AI15:AK15)/3,0)</f>
        <v>46468048</v>
      </c>
      <c r="AM15" s="491">
        <f t="shared" si="25"/>
        <v>61723963</v>
      </c>
      <c r="AN15" s="491">
        <f t="shared" si="25"/>
        <v>81997497</v>
      </c>
    </row>
    <row r="16" spans="1:40">
      <c r="A16" s="86"/>
      <c r="B16" s="97" t="s">
        <v>192</v>
      </c>
      <c r="C16" s="133">
        <f>SUM(C17:C21)</f>
        <v>31569067</v>
      </c>
      <c r="D16" s="133">
        <f>SUM(D17:D21)</f>
        <v>41102727</v>
      </c>
      <c r="E16" s="133">
        <f>SUM(E17:E21)</f>
        <v>41198911</v>
      </c>
      <c r="F16" s="133">
        <f>SUM(F17:F21)</f>
        <v>48163434</v>
      </c>
      <c r="G16" s="133">
        <f>SUM(G17:G21)</f>
        <v>51258118</v>
      </c>
      <c r="H16" s="133">
        <f t="shared" ref="H16:T16" si="26">SUM(H17:H21)</f>
        <v>55350605</v>
      </c>
      <c r="I16" s="133">
        <f>SUM(I17:I21)</f>
        <v>66269311</v>
      </c>
      <c r="J16" s="133">
        <f>SUM(J17:J21)</f>
        <v>67218216</v>
      </c>
      <c r="K16" s="133">
        <f>SUM(K17:K21)</f>
        <v>50317072</v>
      </c>
      <c r="L16" s="133">
        <f t="shared" si="26"/>
        <v>58025101</v>
      </c>
      <c r="M16" s="133">
        <f t="shared" si="26"/>
        <v>47877345</v>
      </c>
      <c r="N16" s="133">
        <f>SUM(N17:N21)</f>
        <v>50878017</v>
      </c>
      <c r="O16" s="133">
        <f>SUM(O17:O21)</f>
        <v>43571067</v>
      </c>
      <c r="P16" s="133">
        <f>SUM(P17:P21)</f>
        <v>43381484</v>
      </c>
      <c r="Q16" s="133">
        <f t="shared" si="26"/>
        <v>39155875</v>
      </c>
      <c r="R16" s="133">
        <f t="shared" si="26"/>
        <v>38263015</v>
      </c>
      <c r="S16" s="133">
        <f t="shared" si="26"/>
        <v>37200453</v>
      </c>
      <c r="T16" s="133">
        <f t="shared" si="26"/>
        <v>34983923</v>
      </c>
      <c r="U16" s="133">
        <f t="shared" ref="U16:AD16" si="27">SUM(U17:U21)</f>
        <v>32444477</v>
      </c>
      <c r="V16" s="133">
        <f t="shared" si="27"/>
        <v>22950549</v>
      </c>
      <c r="W16" s="133">
        <f t="shared" si="27"/>
        <v>29920282</v>
      </c>
      <c r="X16" s="133">
        <f t="shared" si="27"/>
        <v>21962319</v>
      </c>
      <c r="Y16" s="133">
        <f t="shared" si="27"/>
        <v>21519604</v>
      </c>
      <c r="Z16" s="198">
        <f t="shared" si="27"/>
        <v>32528453</v>
      </c>
      <c r="AA16" s="198">
        <f t="shared" si="27"/>
        <v>24435205</v>
      </c>
      <c r="AB16" s="198">
        <f t="shared" si="27"/>
        <v>21751132</v>
      </c>
      <c r="AC16" s="198">
        <f t="shared" si="27"/>
        <v>24116892.149079978</v>
      </c>
      <c r="AD16" s="198">
        <f t="shared" si="27"/>
        <v>27758638</v>
      </c>
      <c r="AE16" s="198">
        <f>SUM(AE17:AE21)</f>
        <v>27922194</v>
      </c>
      <c r="AF16" s="198">
        <f>SUM(AF17:AF21)</f>
        <v>30451321</v>
      </c>
      <c r="AG16" s="198">
        <f t="shared" ref="AG16:AI16" si="28">SUM(AG17:AG21)</f>
        <v>45060903</v>
      </c>
      <c r="AH16" s="198">
        <f t="shared" si="28"/>
        <v>42990851</v>
      </c>
      <c r="AI16" s="198">
        <f t="shared" si="28"/>
        <v>23761864</v>
      </c>
      <c r="AJ16" s="198">
        <f t="shared" ref="AJ16:AK16" si="29">SUM(AJ17:AJ21)</f>
        <v>27995841</v>
      </c>
      <c r="AK16" s="198">
        <f t="shared" si="29"/>
        <v>51112961</v>
      </c>
      <c r="AL16" s="198">
        <f t="shared" ref="AL16:AM16" si="30">SUM(AL17:AL21)</f>
        <v>34290222</v>
      </c>
      <c r="AM16" s="198">
        <f t="shared" si="30"/>
        <v>37799674</v>
      </c>
      <c r="AN16" s="198">
        <f t="shared" ref="AN16" si="31">SUM(AN17:AN21)</f>
        <v>41067618</v>
      </c>
    </row>
    <row r="17" spans="1:40">
      <c r="A17" s="89">
        <v>203</v>
      </c>
      <c r="B17" s="98" t="s">
        <v>193</v>
      </c>
      <c r="C17" s="133">
        <f>土木費等ﾃﾞｰﾀ!D15</f>
        <v>13585489</v>
      </c>
      <c r="D17" s="133">
        <f>土木費等ﾃﾞｰﾀ!G15</f>
        <v>20000724</v>
      </c>
      <c r="E17" s="133">
        <f>土木費等ﾃﾞｰﾀ!J15</f>
        <v>20698281</v>
      </c>
      <c r="F17" s="133">
        <f>土木費等ﾃﾞｰﾀ!M15</f>
        <v>23419048</v>
      </c>
      <c r="G17" s="133">
        <f>土木費等ﾃﾞｰﾀ!P15</f>
        <v>21046769</v>
      </c>
      <c r="H17" s="133">
        <f>土木費等ﾃﾞｰﾀ!S15</f>
        <v>27316187</v>
      </c>
      <c r="I17" s="133">
        <f>土木費等ﾃﾞｰﾀ!V15</f>
        <v>36450411</v>
      </c>
      <c r="J17" s="133">
        <f>土木費等ﾃﾞｰﾀ!Y15</f>
        <v>38748124</v>
      </c>
      <c r="K17" s="133">
        <f>土木費等ﾃﾞｰﾀ!AB15</f>
        <v>22756293</v>
      </c>
      <c r="L17" s="133">
        <f>土木費等ﾃﾞｰﾀ!AG16</f>
        <v>26154560</v>
      </c>
      <c r="M17" s="133">
        <f>土木費等ﾃﾞｰﾀ!AK17</f>
        <v>22366521</v>
      </c>
      <c r="N17" s="133">
        <f>土木費等ﾃﾞｰﾀ!AN17</f>
        <v>25589578</v>
      </c>
      <c r="O17" s="133">
        <f>土木費等ﾃﾞｰﾀ!AQ17</f>
        <v>19115358</v>
      </c>
      <c r="P17" s="133">
        <f>土木費等ﾃﾞｰﾀ!AT17</f>
        <v>20114262</v>
      </c>
      <c r="Q17" s="133">
        <f>土木費等ﾃﾞｰﾀ!AY17</f>
        <v>16444913</v>
      </c>
      <c r="R17" s="133">
        <f>土木費等ﾃﾞｰﾀ2!E17</f>
        <v>16090158</v>
      </c>
      <c r="S17" s="133">
        <f>土木費等ﾃﾞｰﾀ2!H17</f>
        <v>15371957</v>
      </c>
      <c r="T17" s="133">
        <f>土木費等ﾃﾞｰﾀ2!K17</f>
        <v>13866082</v>
      </c>
      <c r="U17" s="133">
        <f>土木費等ﾃﾞｰﾀ2!N17</f>
        <v>15456596</v>
      </c>
      <c r="V17" s="133">
        <f>土木費等ﾃﾞｰﾀ2!Q17</f>
        <v>10717023</v>
      </c>
      <c r="W17" s="133">
        <f>土木費等ﾃﾞｰﾀ2!T17</f>
        <v>12564048</v>
      </c>
      <c r="X17" s="133">
        <f>土木費等ﾃﾞｰﾀ2!W17</f>
        <v>10188016</v>
      </c>
      <c r="Y17" s="133">
        <f>土木費等ﾃﾞｰﾀ2!Z17</f>
        <v>9609628</v>
      </c>
      <c r="Z17" s="198">
        <f>土木費等ﾃﾞｰﾀ2!AC17</f>
        <v>16915924</v>
      </c>
      <c r="AA17" s="198">
        <f>土木費等ﾃﾞｰﾀ2!AF17</f>
        <v>11198939</v>
      </c>
      <c r="AB17" s="198">
        <f>土木費等ﾃﾞｰﾀ2!AI17</f>
        <v>11442992</v>
      </c>
      <c r="AC17" s="198">
        <f>土木費等ﾃﾞｰﾀ2!AL17</f>
        <v>12385051.915077016</v>
      </c>
      <c r="AD17" s="198">
        <f>土木費等ﾃﾞｰﾀ2!AO17</f>
        <v>10434381</v>
      </c>
      <c r="AE17" s="198">
        <f>土木費等ﾃﾞｰﾀ2!AR17</f>
        <v>12983945</v>
      </c>
      <c r="AF17" s="198">
        <f>土木費等ﾃﾞｰﾀ2!AU17</f>
        <v>8012417</v>
      </c>
      <c r="AG17" s="1070">
        <f>土木費等ﾃﾞｰﾀ2!AX17</f>
        <v>10539323</v>
      </c>
      <c r="AH17" s="456">
        <f>土木費等ﾃﾞｰﾀ2!BA17</f>
        <v>8580768</v>
      </c>
      <c r="AI17" s="1070">
        <f>土木費等ﾃﾞｰﾀ2!BD81</f>
        <v>8854908</v>
      </c>
      <c r="AJ17" s="1070">
        <f>土木費等ﾃﾞｰﾀ2!BG81</f>
        <v>10154847</v>
      </c>
      <c r="AK17" s="456">
        <f>土木費等ﾃﾞｰﾀ2!BJ16</f>
        <v>20045076</v>
      </c>
      <c r="AL17" s="491">
        <f t="shared" ref="AL17:AN17" si="32">ROUND(SUM(AI17:AK17)/3,0)</f>
        <v>13018277</v>
      </c>
      <c r="AM17" s="491">
        <f t="shared" si="32"/>
        <v>14406067</v>
      </c>
      <c r="AN17" s="491">
        <f t="shared" si="32"/>
        <v>15823140</v>
      </c>
    </row>
    <row r="18" spans="1:40">
      <c r="A18" s="89">
        <v>210</v>
      </c>
      <c r="B18" s="98" t="s">
        <v>194</v>
      </c>
      <c r="C18" s="133">
        <f>土木費等ﾃﾞｰﾀ!D16</f>
        <v>9834759</v>
      </c>
      <c r="D18" s="133">
        <f>土木費等ﾃﾞｰﾀ!G16</f>
        <v>11725805</v>
      </c>
      <c r="E18" s="133">
        <f>土木費等ﾃﾞｰﾀ!J16</f>
        <v>11502348</v>
      </c>
      <c r="F18" s="133">
        <f>土木費等ﾃﾞｰﾀ!M16</f>
        <v>16464645</v>
      </c>
      <c r="G18" s="133">
        <f>土木費等ﾃﾞｰﾀ!P16</f>
        <v>20273539</v>
      </c>
      <c r="H18" s="133">
        <f>土木費等ﾃﾞｰﾀ!S16</f>
        <v>18527170</v>
      </c>
      <c r="I18" s="133">
        <f>土木費等ﾃﾞｰﾀ!V16</f>
        <v>19389922</v>
      </c>
      <c r="J18" s="133">
        <f>土木費等ﾃﾞｰﾀ!Y16</f>
        <v>17601009</v>
      </c>
      <c r="K18" s="133">
        <f>土木費等ﾃﾞｰﾀ!AB16</f>
        <v>15775180</v>
      </c>
      <c r="L18" s="133">
        <f>土木費等ﾃﾞｰﾀ!AG17</f>
        <v>14516702</v>
      </c>
      <c r="M18" s="133">
        <f>土木費等ﾃﾞｰﾀ!AK24</f>
        <v>11944557</v>
      </c>
      <c r="N18" s="133">
        <f>土木費等ﾃﾞｰﾀ!AN24</f>
        <v>13807882</v>
      </c>
      <c r="O18" s="133">
        <f>土木費等ﾃﾞｰﾀ!AQ24</f>
        <v>12661893</v>
      </c>
      <c r="P18" s="133">
        <f>土木費等ﾃﾞｰﾀ!AT24</f>
        <v>12506032</v>
      </c>
      <c r="Q18" s="133">
        <f>土木費等ﾃﾞｰﾀ!AY24</f>
        <v>14282211</v>
      </c>
      <c r="R18" s="133">
        <f>土木費等ﾃﾞｰﾀ2!E24</f>
        <v>14057778</v>
      </c>
      <c r="S18" s="133">
        <f>土木費等ﾃﾞｰﾀ2!H24</f>
        <v>13817683</v>
      </c>
      <c r="T18" s="133">
        <f>土木費等ﾃﾞｰﾀ2!K24</f>
        <v>13629311</v>
      </c>
      <c r="U18" s="133">
        <f>土木費等ﾃﾞｰﾀ2!N24</f>
        <v>10776966</v>
      </c>
      <c r="V18" s="133">
        <f>土木費等ﾃﾞｰﾀ2!Q24</f>
        <v>8866020</v>
      </c>
      <c r="W18" s="133">
        <f>土木費等ﾃﾞｰﾀ2!T24</f>
        <v>10044369</v>
      </c>
      <c r="X18" s="133">
        <f>土木費等ﾃﾞｰﾀ2!W24</f>
        <v>9438776</v>
      </c>
      <c r="Y18" s="133">
        <f>土木費等ﾃﾞｰﾀ2!Z24</f>
        <v>8248660</v>
      </c>
      <c r="Z18" s="198">
        <f>土木費等ﾃﾞｰﾀ2!AC24</f>
        <v>8949226</v>
      </c>
      <c r="AA18" s="198">
        <f>土木費等ﾃﾞｰﾀ2!AF24</f>
        <v>8240347</v>
      </c>
      <c r="AB18" s="198">
        <f>土木費等ﾃﾞｰﾀ2!AI24</f>
        <v>5713206</v>
      </c>
      <c r="AC18" s="198">
        <f>土木費等ﾃﾞｰﾀ2!AL24</f>
        <v>6696752.9502035398</v>
      </c>
      <c r="AD18" s="198">
        <f>土木費等ﾃﾞｰﾀ2!AO24</f>
        <v>9325256</v>
      </c>
      <c r="AE18" s="198">
        <f>土木費等ﾃﾞｰﾀ2!AR24</f>
        <v>7419440</v>
      </c>
      <c r="AF18" s="198">
        <f>土木費等ﾃﾞｰﾀ2!AU24</f>
        <v>10629517</v>
      </c>
      <c r="AG18" s="1070">
        <f>土木費等ﾃﾞｰﾀ2!AX24</f>
        <v>13613188</v>
      </c>
      <c r="AH18" s="456">
        <f>土木費等ﾃﾞｰﾀ2!BA24</f>
        <v>14653933</v>
      </c>
      <c r="AI18" s="1070">
        <f>土木費等ﾃﾞｰﾀ2!BD82</f>
        <v>6861415</v>
      </c>
      <c r="AJ18" s="1070">
        <f>土木費等ﾃﾞｰﾀ2!BG82</f>
        <v>12201929</v>
      </c>
      <c r="AK18" s="456">
        <f>土木費等ﾃﾞｰﾀ2!BJ17</f>
        <v>7714629</v>
      </c>
      <c r="AL18" s="491">
        <f t="shared" ref="AL18:AN18" si="33">ROUND(SUM(AI18:AK18)/3,0)</f>
        <v>8925991</v>
      </c>
      <c r="AM18" s="491">
        <f t="shared" si="33"/>
        <v>9614183</v>
      </c>
      <c r="AN18" s="491">
        <f t="shared" si="33"/>
        <v>8751601</v>
      </c>
    </row>
    <row r="19" spans="1:40">
      <c r="A19" s="89">
        <v>216</v>
      </c>
      <c r="B19" s="98" t="s">
        <v>195</v>
      </c>
      <c r="C19" s="133">
        <f>土木費等ﾃﾞｰﾀ!D19</f>
        <v>5064190</v>
      </c>
      <c r="D19" s="133">
        <f>土木費等ﾃﾞｰﾀ!G19</f>
        <v>5240257</v>
      </c>
      <c r="E19" s="133">
        <f>土木費等ﾃﾞｰﾀ!J19</f>
        <v>5079669</v>
      </c>
      <c r="F19" s="133">
        <f>土木費等ﾃﾞｰﾀ!M19</f>
        <v>5440014</v>
      </c>
      <c r="G19" s="133">
        <f>土木費等ﾃﾞｰﾀ!P19</f>
        <v>6689849</v>
      </c>
      <c r="H19" s="133">
        <f>土木費等ﾃﾞｰﾀ!S19</f>
        <v>6013099</v>
      </c>
      <c r="I19" s="133">
        <f>土木費等ﾃﾞｰﾀ!V19</f>
        <v>6590953</v>
      </c>
      <c r="J19" s="133">
        <f>土木費等ﾃﾞｰﾀ!Y19</f>
        <v>7027611</v>
      </c>
      <c r="K19" s="133">
        <f>土木費等ﾃﾞｰﾀ!AB19</f>
        <v>7499642</v>
      </c>
      <c r="L19" s="133">
        <f>土木費等ﾃﾞｰﾀ!AG18</f>
        <v>3909644</v>
      </c>
      <c r="M19" s="133">
        <f>土木費等ﾃﾞｰﾀ!AK30</f>
        <v>9214449</v>
      </c>
      <c r="N19" s="133">
        <f>土木費等ﾃﾞｰﾀ!AN30</f>
        <v>7675895</v>
      </c>
      <c r="O19" s="133">
        <f>土木費等ﾃﾞｰﾀ!AQ30</f>
        <v>6969356</v>
      </c>
      <c r="P19" s="133">
        <f>土木費等ﾃﾞｰﾀ!AT30</f>
        <v>6772987</v>
      </c>
      <c r="Q19" s="133">
        <f>土木費等ﾃﾞｰﾀ!AY30</f>
        <v>5207841</v>
      </c>
      <c r="R19" s="133">
        <f>土木費等ﾃﾞｰﾀ2!E29</f>
        <v>4570754</v>
      </c>
      <c r="S19" s="133">
        <f>土木費等ﾃﾞｰﾀ2!H29</f>
        <v>4483720</v>
      </c>
      <c r="T19" s="133">
        <f>土木費等ﾃﾞｰﾀ2!K29</f>
        <v>5150551</v>
      </c>
      <c r="U19" s="133">
        <f>土木費等ﾃﾞｰﾀ2!N29</f>
        <v>3984127</v>
      </c>
      <c r="V19" s="133">
        <f>土木費等ﾃﾞｰﾀ2!Q29</f>
        <v>1646775</v>
      </c>
      <c r="W19" s="133">
        <f>土木費等ﾃﾞｰﾀ2!T29</f>
        <v>4539091</v>
      </c>
      <c r="X19" s="133">
        <f>土木費等ﾃﾞｰﾀ2!W29</f>
        <v>1019036</v>
      </c>
      <c r="Y19" s="133">
        <f>土木費等ﾃﾞｰﾀ2!Z29</f>
        <v>2173651</v>
      </c>
      <c r="Z19" s="198">
        <f>土木費等ﾃﾞｰﾀ2!AC29</f>
        <v>4734604</v>
      </c>
      <c r="AA19" s="198">
        <f>土木費等ﾃﾞｰﾀ2!AF29</f>
        <v>2678649</v>
      </c>
      <c r="AB19" s="198">
        <f>土木費等ﾃﾞｰﾀ2!AI29</f>
        <v>2604792</v>
      </c>
      <c r="AC19" s="198">
        <f>土木費等ﾃﾞｰﾀ2!AL29</f>
        <v>2988259.9673986165</v>
      </c>
      <c r="AD19" s="198">
        <f>土木費等ﾃﾞｰﾀ2!AO29</f>
        <v>4446943</v>
      </c>
      <c r="AE19" s="198">
        <f>土木費等ﾃﾞｰﾀ2!AR29</f>
        <v>4927760</v>
      </c>
      <c r="AF19" s="198">
        <f>土木費等ﾃﾞｰﾀ2!AU29</f>
        <v>8804345</v>
      </c>
      <c r="AG19" s="1070">
        <f>土木費等ﾃﾞｰﾀ2!AX29</f>
        <v>16170190</v>
      </c>
      <c r="AH19" s="456">
        <f>土木費等ﾃﾞｰﾀ2!BA29</f>
        <v>14666453</v>
      </c>
      <c r="AI19" s="1070">
        <f>土木費等ﾃﾞｰﾀ2!BD83</f>
        <v>5078740</v>
      </c>
      <c r="AJ19" s="1070">
        <f>土木費等ﾃﾞｰﾀ2!BG83</f>
        <v>3766796</v>
      </c>
      <c r="AK19" s="456">
        <f>土木費等ﾃﾞｰﾀ2!BJ18</f>
        <v>18356068</v>
      </c>
      <c r="AL19" s="491">
        <f t="shared" ref="AL19:AN19" si="34">ROUND(SUM(AI19:AK19)/3,0)</f>
        <v>9067201</v>
      </c>
      <c r="AM19" s="491">
        <f t="shared" si="34"/>
        <v>10396688</v>
      </c>
      <c r="AN19" s="491">
        <f t="shared" si="34"/>
        <v>12606652</v>
      </c>
    </row>
    <row r="20" spans="1:40">
      <c r="A20" s="89">
        <v>381</v>
      </c>
      <c r="B20" s="98" t="s">
        <v>196</v>
      </c>
      <c r="C20" s="133">
        <f>土木費等ﾃﾞｰﾀ!D30</f>
        <v>1405345</v>
      </c>
      <c r="D20" s="133">
        <f>土木費等ﾃﾞｰﾀ!G30</f>
        <v>1637244</v>
      </c>
      <c r="E20" s="133">
        <f>土木費等ﾃﾞｰﾀ!J30</f>
        <v>1510277</v>
      </c>
      <c r="F20" s="133">
        <f>土木費等ﾃﾞｰﾀ!M30</f>
        <v>1189401</v>
      </c>
      <c r="G20" s="133">
        <f>土木費等ﾃﾞｰﾀ!P30</f>
        <v>1329670</v>
      </c>
      <c r="H20" s="133">
        <f>土木費等ﾃﾞｰﾀ!S30</f>
        <v>1225070</v>
      </c>
      <c r="I20" s="133">
        <f>土木費等ﾃﾞｰﾀ!V30</f>
        <v>1286814</v>
      </c>
      <c r="J20" s="133">
        <f>土木費等ﾃﾞｰﾀ!Y30</f>
        <v>1411122</v>
      </c>
      <c r="K20" s="133">
        <f>土木費等ﾃﾞｰﾀ!AB30</f>
        <v>1447715</v>
      </c>
      <c r="L20" s="133">
        <f>土木費等ﾃﾞｰﾀ!AG19</f>
        <v>5718574</v>
      </c>
      <c r="M20" s="133">
        <f>土木費等ﾃﾞｰﾀ!AK45</f>
        <v>1483729</v>
      </c>
      <c r="N20" s="133">
        <f>土木費等ﾃﾞｰﾀ!AN45</f>
        <v>1291136</v>
      </c>
      <c r="O20" s="133">
        <f>土木費等ﾃﾞｰﾀ!AQ45</f>
        <v>1296831</v>
      </c>
      <c r="P20" s="133">
        <f>土木費等ﾃﾞｰﾀ!AT45</f>
        <v>1351100</v>
      </c>
      <c r="Q20" s="133">
        <f>土木費等ﾃﾞｰﾀ!AY48</f>
        <v>1334516</v>
      </c>
      <c r="R20" s="133">
        <f>土木費等ﾃﾞｰﾀ2!E45</f>
        <v>1353912</v>
      </c>
      <c r="S20" s="133">
        <f>土木費等ﾃﾞｰﾀ2!H45</f>
        <v>2027266</v>
      </c>
      <c r="T20" s="133">
        <f>土木費等ﾃﾞｰﾀ2!K45</f>
        <v>1178142</v>
      </c>
      <c r="U20" s="133">
        <f>土木費等ﾃﾞｰﾀ2!N45</f>
        <v>1023359</v>
      </c>
      <c r="V20" s="133">
        <f>土木費等ﾃﾞｰﾀ2!Q45</f>
        <v>828371</v>
      </c>
      <c r="W20" s="133">
        <f>土木費等ﾃﾞｰﾀ2!T45</f>
        <v>1203912</v>
      </c>
      <c r="X20" s="133">
        <f>土木費等ﾃﾞｰﾀ2!W45</f>
        <v>549388</v>
      </c>
      <c r="Y20" s="133">
        <f>土木費等ﾃﾞｰﾀ2!Z45</f>
        <v>492074</v>
      </c>
      <c r="Z20" s="198">
        <f>土木費等ﾃﾞｰﾀ2!AC45</f>
        <v>1111435</v>
      </c>
      <c r="AA20" s="198">
        <f>土木費等ﾃﾞｰﾀ2!AF45</f>
        <v>785045</v>
      </c>
      <c r="AB20" s="198">
        <f>土木費等ﾃﾞｰﾀ2!AI45</f>
        <v>641998</v>
      </c>
      <c r="AC20" s="198">
        <f>土木費等ﾃﾞｰﾀ2!AL45</f>
        <v>748052.66892262804</v>
      </c>
      <c r="AD20" s="198">
        <f>土木費等ﾃﾞｰﾀ2!AO45</f>
        <v>1566987</v>
      </c>
      <c r="AE20" s="198">
        <f>土木費等ﾃﾞｰﾀ2!AR45</f>
        <v>800258</v>
      </c>
      <c r="AF20" s="198">
        <f>土木費等ﾃﾞｰﾀ2!AU45</f>
        <v>1570245</v>
      </c>
      <c r="AG20" s="1070">
        <f>土木費等ﾃﾞｰﾀ2!AX45</f>
        <v>1954596</v>
      </c>
      <c r="AH20" s="456">
        <f>土木費等ﾃﾞｰﾀ2!BA45</f>
        <v>2065543</v>
      </c>
      <c r="AI20" s="1070">
        <f>土木費等ﾃﾞｰﾀ2!BD84</f>
        <v>1049605</v>
      </c>
      <c r="AJ20" s="1070">
        <f>土木費等ﾃﾞｰﾀ2!BG84</f>
        <v>1210696</v>
      </c>
      <c r="AK20" s="456">
        <f>土木費等ﾃﾞｰﾀ2!BJ19</f>
        <v>2262315</v>
      </c>
      <c r="AL20" s="491">
        <f t="shared" ref="AL20:AN20" si="35">ROUND(SUM(AI20:AK20)/3,0)</f>
        <v>1507539</v>
      </c>
      <c r="AM20" s="491">
        <f t="shared" si="35"/>
        <v>1660183</v>
      </c>
      <c r="AN20" s="491">
        <f t="shared" si="35"/>
        <v>1810012</v>
      </c>
    </row>
    <row r="21" spans="1:40">
      <c r="A21" s="89">
        <v>382</v>
      </c>
      <c r="B21" s="98" t="s">
        <v>197</v>
      </c>
      <c r="C21" s="133">
        <f>土木費等ﾃﾞｰﾀ!D31</f>
        <v>1679284</v>
      </c>
      <c r="D21" s="133">
        <f>土木費等ﾃﾞｰﾀ!G31</f>
        <v>2498697</v>
      </c>
      <c r="E21" s="133">
        <f>土木費等ﾃﾞｰﾀ!J31</f>
        <v>2408336</v>
      </c>
      <c r="F21" s="133">
        <f>土木費等ﾃﾞｰﾀ!M31</f>
        <v>1650326</v>
      </c>
      <c r="G21" s="133">
        <f>土木費等ﾃﾞｰﾀ!P31</f>
        <v>1918291</v>
      </c>
      <c r="H21" s="133">
        <f>土木費等ﾃﾞｰﾀ!S31</f>
        <v>2269079</v>
      </c>
      <c r="I21" s="133">
        <f>土木費等ﾃﾞｰﾀ!V31</f>
        <v>2551211</v>
      </c>
      <c r="J21" s="133">
        <f>土木費等ﾃﾞｰﾀ!Y31</f>
        <v>2430350</v>
      </c>
      <c r="K21" s="133">
        <f>土木費等ﾃﾞｰﾀ!AB31</f>
        <v>2838242</v>
      </c>
      <c r="L21" s="133">
        <f>土木費等ﾃﾞｰﾀ!AG20</f>
        <v>7725621</v>
      </c>
      <c r="M21" s="133">
        <f>土木費等ﾃﾞｰﾀ!AK46</f>
        <v>2868089</v>
      </c>
      <c r="N21" s="133">
        <f>土木費等ﾃﾞｰﾀ!AN46</f>
        <v>2513526</v>
      </c>
      <c r="O21" s="133">
        <f>土木費等ﾃﾞｰﾀ!AQ46</f>
        <v>3527629</v>
      </c>
      <c r="P21" s="133">
        <f>土木費等ﾃﾞｰﾀ!AT46</f>
        <v>2637103</v>
      </c>
      <c r="Q21" s="133">
        <f>土木費等ﾃﾞｰﾀ!AY49</f>
        <v>1886394</v>
      </c>
      <c r="R21" s="133">
        <f>土木費等ﾃﾞｰﾀ2!E46</f>
        <v>2190413</v>
      </c>
      <c r="S21" s="133">
        <f>土木費等ﾃﾞｰﾀ2!H46</f>
        <v>1499827</v>
      </c>
      <c r="T21" s="133">
        <f>土木費等ﾃﾞｰﾀ2!K46</f>
        <v>1159837</v>
      </c>
      <c r="U21" s="133">
        <f>土木費等ﾃﾞｰﾀ2!N46</f>
        <v>1203429</v>
      </c>
      <c r="V21" s="133">
        <f>土木費等ﾃﾞｰﾀ2!Q46</f>
        <v>892360</v>
      </c>
      <c r="W21" s="133">
        <f>土木費等ﾃﾞｰﾀ2!T46</f>
        <v>1568862</v>
      </c>
      <c r="X21" s="133">
        <f>土木費等ﾃﾞｰﾀ2!W46</f>
        <v>767103</v>
      </c>
      <c r="Y21" s="133">
        <f>土木費等ﾃﾞｰﾀ2!Z46</f>
        <v>995591</v>
      </c>
      <c r="Z21" s="198">
        <f>土木費等ﾃﾞｰﾀ2!AC46</f>
        <v>817264</v>
      </c>
      <c r="AA21" s="198">
        <f>土木費等ﾃﾞｰﾀ2!AF46</f>
        <v>1532225</v>
      </c>
      <c r="AB21" s="198">
        <f>土木費等ﾃﾞｰﾀ2!AI46</f>
        <v>1348144</v>
      </c>
      <c r="AC21" s="198">
        <f>土木費等ﾃﾞｰﾀ2!AL46</f>
        <v>1298774.6474781763</v>
      </c>
      <c r="AD21" s="198">
        <f>土木費等ﾃﾞｰﾀ2!AO46</f>
        <v>1985071</v>
      </c>
      <c r="AE21" s="198">
        <f>土木費等ﾃﾞｰﾀ2!AR46</f>
        <v>1790791</v>
      </c>
      <c r="AF21" s="198">
        <f>土木費等ﾃﾞｰﾀ2!AU46</f>
        <v>1434797</v>
      </c>
      <c r="AG21" s="1070">
        <f>土木費等ﾃﾞｰﾀ2!AX46</f>
        <v>2783606</v>
      </c>
      <c r="AH21" s="456">
        <f>土木費等ﾃﾞｰﾀ2!BA46</f>
        <v>3024154</v>
      </c>
      <c r="AI21" s="1070">
        <f>土木費等ﾃﾞｰﾀ2!BD85</f>
        <v>1917196</v>
      </c>
      <c r="AJ21" s="1070">
        <f>土木費等ﾃﾞｰﾀ2!BG85</f>
        <v>661573</v>
      </c>
      <c r="AK21" s="456">
        <f>土木費等ﾃﾞｰﾀ2!BJ20</f>
        <v>2734873</v>
      </c>
      <c r="AL21" s="491">
        <f t="shared" ref="AL21:AN21" si="36">ROUND(SUM(AI21:AK21)/3,0)</f>
        <v>1771214</v>
      </c>
      <c r="AM21" s="491">
        <f t="shared" si="36"/>
        <v>1722553</v>
      </c>
      <c r="AN21" s="491">
        <f t="shared" si="36"/>
        <v>2076213</v>
      </c>
    </row>
    <row r="22" spans="1:40">
      <c r="A22" s="86"/>
      <c r="B22" s="99" t="s">
        <v>198</v>
      </c>
      <c r="C22" s="133">
        <f>SUM(C23:C28)</f>
        <v>15630783</v>
      </c>
      <c r="D22" s="133">
        <f>SUM(D23:D28)</f>
        <v>20761939</v>
      </c>
      <c r="E22" s="133">
        <f>SUM(E23:E28)</f>
        <v>21722422</v>
      </c>
      <c r="F22" s="133">
        <f>SUM(F23:F28)</f>
        <v>23264612</v>
      </c>
      <c r="G22" s="133">
        <f>SUM(G23:G28)</f>
        <v>24886685</v>
      </c>
      <c r="H22" s="133">
        <f t="shared" ref="H22:T22" si="37">SUM(H23:H28)</f>
        <v>27803520</v>
      </c>
      <c r="I22" s="133">
        <f>SUM(I23:I28)</f>
        <v>26912637</v>
      </c>
      <c r="J22" s="133">
        <f>SUM(J23:J28)</f>
        <v>27517290</v>
      </c>
      <c r="K22" s="133">
        <f>SUM(K23:K28)</f>
        <v>27347132</v>
      </c>
      <c r="L22" s="133">
        <f t="shared" si="37"/>
        <v>18827153</v>
      </c>
      <c r="M22" s="133">
        <f t="shared" si="37"/>
        <v>23754377</v>
      </c>
      <c r="N22" s="133">
        <f>SUM(N23:N28)</f>
        <v>19066836</v>
      </c>
      <c r="O22" s="133">
        <f>SUM(O23:O28)</f>
        <v>22057020</v>
      </c>
      <c r="P22" s="133">
        <f>SUM(P23:P28)</f>
        <v>18901483</v>
      </c>
      <c r="Q22" s="133">
        <f t="shared" si="37"/>
        <v>18865006</v>
      </c>
      <c r="R22" s="133">
        <f t="shared" si="37"/>
        <v>16814210</v>
      </c>
      <c r="S22" s="133">
        <f t="shared" si="37"/>
        <v>14501796</v>
      </c>
      <c r="T22" s="133">
        <f t="shared" si="37"/>
        <v>14087015</v>
      </c>
      <c r="U22" s="133">
        <f t="shared" ref="U22:AD22" si="38">SUM(U23:U28)</f>
        <v>13027074</v>
      </c>
      <c r="V22" s="133">
        <f t="shared" si="38"/>
        <v>10886530</v>
      </c>
      <c r="W22" s="133">
        <f t="shared" si="38"/>
        <v>13096244</v>
      </c>
      <c r="X22" s="133">
        <f t="shared" si="38"/>
        <v>11376655</v>
      </c>
      <c r="Y22" s="133">
        <f t="shared" si="38"/>
        <v>15643894</v>
      </c>
      <c r="Z22" s="198">
        <f t="shared" si="38"/>
        <v>27134304</v>
      </c>
      <c r="AA22" s="198">
        <f t="shared" si="38"/>
        <v>14065596</v>
      </c>
      <c r="AB22" s="198">
        <f t="shared" si="38"/>
        <v>14902938</v>
      </c>
      <c r="AC22" s="198">
        <f t="shared" si="38"/>
        <v>16687338.903611673</v>
      </c>
      <c r="AD22" s="198">
        <f t="shared" si="38"/>
        <v>14035901</v>
      </c>
      <c r="AE22" s="198">
        <f>SUM(AE23:AE28)</f>
        <v>13436888</v>
      </c>
      <c r="AF22" s="198">
        <f>SUM(AF23:AF28)</f>
        <v>18152683</v>
      </c>
      <c r="AG22" s="198">
        <f t="shared" ref="AG22:AI22" si="39">SUM(AG23:AG28)</f>
        <v>18673960</v>
      </c>
      <c r="AH22" s="198">
        <f t="shared" si="39"/>
        <v>16515877</v>
      </c>
      <c r="AI22" s="198">
        <f t="shared" si="39"/>
        <v>12496589</v>
      </c>
      <c r="AJ22" s="198">
        <f t="shared" ref="AJ22:AK22" si="40">SUM(AJ23:AJ28)</f>
        <v>14870026</v>
      </c>
      <c r="AK22" s="198">
        <f t="shared" si="40"/>
        <v>27323463</v>
      </c>
      <c r="AL22" s="198">
        <f t="shared" ref="AL22:AM22" si="41">SUM(AL23:AL28)</f>
        <v>18230026</v>
      </c>
      <c r="AM22" s="198">
        <f t="shared" si="41"/>
        <v>20141173</v>
      </c>
      <c r="AN22" s="198">
        <f t="shared" ref="AN22" si="42">SUM(AN23:AN28)</f>
        <v>21898221</v>
      </c>
    </row>
    <row r="23" spans="1:40">
      <c r="A23" s="92">
        <v>213</v>
      </c>
      <c r="B23" s="100" t="s">
        <v>231</v>
      </c>
      <c r="C23" s="133">
        <f>土木費等ﾃﾞｰﾀ!D17+土木費等ﾃﾞｰﾀ!D29</f>
        <v>3793619</v>
      </c>
      <c r="D23" s="133">
        <f>土木費等ﾃﾞｰﾀ!G17+土木費等ﾃﾞｰﾀ!G29</f>
        <v>5872017</v>
      </c>
      <c r="E23" s="133">
        <f>土木費等ﾃﾞｰﾀ!J17+土木費等ﾃﾞｰﾀ!J29</f>
        <v>6346767</v>
      </c>
      <c r="F23" s="133">
        <f>土木費等ﾃﾞｰﾀ!M17+土木費等ﾃﾞｰﾀ!M29</f>
        <v>4557041</v>
      </c>
      <c r="G23" s="133">
        <f>土木費等ﾃﾞｰﾀ!P17+土木費等ﾃﾞｰﾀ!P29</f>
        <v>5149395</v>
      </c>
      <c r="H23" s="133">
        <f>土木費等ﾃﾞｰﾀ!S17+土木費等ﾃﾞｰﾀ!S29</f>
        <v>6363994</v>
      </c>
      <c r="I23" s="133">
        <f>土木費等ﾃﾞｰﾀ!V17+土木費等ﾃﾞｰﾀ!V29</f>
        <v>5232974</v>
      </c>
      <c r="J23" s="133">
        <f>土木費等ﾃﾞｰﾀ!Y17+土木費等ﾃﾞｰﾀ!Y29</f>
        <v>4575275</v>
      </c>
      <c r="K23" s="133">
        <f>土木費等ﾃﾞｰﾀ!AB17+土木費等ﾃﾞｰﾀ!AB29</f>
        <v>4345607</v>
      </c>
      <c r="L23" s="133">
        <f>土木費等ﾃﾞｰﾀ!AG22+土木費等ﾃﾞｰﾀ!AG33</f>
        <v>7108736</v>
      </c>
      <c r="M23" s="133">
        <f>土木費等ﾃﾞｰﾀ!AK27+土木費等ﾃﾞｰﾀ!AK44</f>
        <v>4351851</v>
      </c>
      <c r="N23" s="133">
        <f>土木費等ﾃﾞｰﾀ!AN27+土木費等ﾃﾞｰﾀ!AN44</f>
        <v>3011776</v>
      </c>
      <c r="O23" s="133">
        <f>土木費等ﾃﾞｰﾀ!AQ27+土木費等ﾃﾞｰﾀ!AQ44</f>
        <v>3367270</v>
      </c>
      <c r="P23" s="133">
        <f>土木費等ﾃﾞｰﾀ!AT27+土木費等ﾃﾞｰﾀ!AT44</f>
        <v>3100798</v>
      </c>
      <c r="Q23" s="133">
        <f>土木費等ﾃﾞｰﾀ!AY27+土木費等ﾃﾞｰﾀ!AY47</f>
        <v>3570814</v>
      </c>
      <c r="R23" s="133">
        <f>土木費等ﾃﾞｰﾀ2!E26</f>
        <v>3278483</v>
      </c>
      <c r="S23" s="133">
        <f>土木費等ﾃﾞｰﾀ2!H26</f>
        <v>2463861</v>
      </c>
      <c r="T23" s="133">
        <f>土木費等ﾃﾞｰﾀ2!K26</f>
        <v>2333534</v>
      </c>
      <c r="U23" s="133">
        <f>土木費等ﾃﾞｰﾀ2!N26</f>
        <v>2434956</v>
      </c>
      <c r="V23" s="133">
        <f>土木費等ﾃﾞｰﾀ2!Q26</f>
        <v>1410538</v>
      </c>
      <c r="W23" s="133">
        <f>土木費等ﾃﾞｰﾀ2!T26</f>
        <v>1865825</v>
      </c>
      <c r="X23" s="133">
        <f>土木費等ﾃﾞｰﾀ2!W26</f>
        <v>1487086</v>
      </c>
      <c r="Y23" s="133">
        <f>土木費等ﾃﾞｰﾀ2!Z26</f>
        <v>2538074</v>
      </c>
      <c r="Z23" s="198">
        <f>土木費等ﾃﾞｰﾀ2!AC26</f>
        <v>3999670</v>
      </c>
      <c r="AA23" s="198">
        <f>土木費等ﾃﾞｰﾀ2!AF26</f>
        <v>2446449</v>
      </c>
      <c r="AB23" s="198">
        <f>土木費等ﾃﾞｰﾀ2!AI26</f>
        <v>1788602</v>
      </c>
      <c r="AC23" s="198">
        <f>土木費等ﾃﾞｰﾀ2!AL26</f>
        <v>2273779.5360047109</v>
      </c>
      <c r="AD23" s="198">
        <f>土木費等ﾃﾞｰﾀ2!AO26</f>
        <v>1188584</v>
      </c>
      <c r="AE23" s="198">
        <f>土木費等ﾃﾞｰﾀ2!AR26</f>
        <v>1615132</v>
      </c>
      <c r="AF23" s="198">
        <f>土木費等ﾃﾞｰﾀ2!AU26</f>
        <v>2635988</v>
      </c>
      <c r="AG23" s="1070">
        <f>土木費等ﾃﾞｰﾀ2!AX26</f>
        <v>7791565</v>
      </c>
      <c r="AH23" s="456">
        <f>土木費等ﾃﾞｰﾀ2!BA26</f>
        <v>1429041</v>
      </c>
      <c r="AI23" s="1070">
        <f>土木費等ﾃﾞｰﾀ2!BD87</f>
        <v>867147</v>
      </c>
      <c r="AJ23" s="1070">
        <f>土木費等ﾃﾞｰﾀ2!BG87</f>
        <v>722552</v>
      </c>
      <c r="AK23" s="456">
        <f>土木費等ﾃﾞｰﾀ2!BJ22</f>
        <v>1346786</v>
      </c>
      <c r="AL23" s="491">
        <f t="shared" ref="AL23:AN23" si="43">ROUND(SUM(AI23:AK23)/3,0)</f>
        <v>978828</v>
      </c>
      <c r="AM23" s="491">
        <f t="shared" si="43"/>
        <v>1016055</v>
      </c>
      <c r="AN23" s="491">
        <f t="shared" si="43"/>
        <v>1113890</v>
      </c>
    </row>
    <row r="24" spans="1:40">
      <c r="A24" s="92">
        <v>215</v>
      </c>
      <c r="B24" s="100" t="s">
        <v>232</v>
      </c>
      <c r="C24" s="133">
        <f>土木費等ﾃﾞｰﾀ!D18+土木費等ﾃﾞｰﾀ!D22</f>
        <v>3381754</v>
      </c>
      <c r="D24" s="133">
        <f>土木費等ﾃﾞｰﾀ!G18+土木費等ﾃﾞｰﾀ!G22</f>
        <v>4603198</v>
      </c>
      <c r="E24" s="133">
        <f>土木費等ﾃﾞｰﾀ!J18+土木費等ﾃﾞｰﾀ!J22</f>
        <v>4473103</v>
      </c>
      <c r="F24" s="133">
        <f>土木費等ﾃﾞｰﾀ!M18+土木費等ﾃﾞｰﾀ!M22</f>
        <v>6251560</v>
      </c>
      <c r="G24" s="133">
        <f>土木費等ﾃﾞｰﾀ!P18+土木費等ﾃﾞｰﾀ!P22</f>
        <v>6755886</v>
      </c>
      <c r="H24" s="133">
        <f>土木費等ﾃﾞｰﾀ!S18+土木費等ﾃﾞｰﾀ!S22</f>
        <v>6953160</v>
      </c>
      <c r="I24" s="133">
        <f>土木費等ﾃﾞｰﾀ!V18+土木費等ﾃﾞｰﾀ!V22</f>
        <v>6388700</v>
      </c>
      <c r="J24" s="133">
        <f>土木費等ﾃﾞｰﾀ!Y18+土木費等ﾃﾞｰﾀ!Y22</f>
        <v>7079316</v>
      </c>
      <c r="K24" s="133">
        <f>土木費等ﾃﾞｰﾀ!AB18+土木費等ﾃﾞｰﾀ!AB22</f>
        <v>7089076</v>
      </c>
      <c r="L24" s="133">
        <f>土木費等ﾃﾞｰﾀ!AG23+土木費等ﾃﾞｰﾀ!AG26</f>
        <v>4616580</v>
      </c>
      <c r="M24" s="133">
        <f>土木費等ﾃﾞｰﾀ!AK29+土木費等ﾃﾞｰﾀ!AK37</f>
        <v>7040185</v>
      </c>
      <c r="N24" s="133">
        <f>土木費等ﾃﾞｰﾀ!AN29+土木費等ﾃﾞｰﾀ!AN37</f>
        <v>4125460</v>
      </c>
      <c r="O24" s="133">
        <f>土木費等ﾃﾞｰﾀ!AQ29+土木費等ﾃﾞｰﾀ!AQ37</f>
        <v>4424702</v>
      </c>
      <c r="P24" s="133">
        <f>土木費等ﾃﾞｰﾀ!AT29+土木費等ﾃﾞｰﾀ!AT37</f>
        <v>3602637</v>
      </c>
      <c r="Q24" s="133">
        <f>土木費等ﾃﾞｰﾀ!AY29+土木費等ﾃﾞｰﾀ!AY40</f>
        <v>3187809</v>
      </c>
      <c r="R24" s="133">
        <f>土木費等ﾃﾞｰﾀ2!E28</f>
        <v>3173096</v>
      </c>
      <c r="S24" s="133">
        <f>土木費等ﾃﾞｰﾀ2!H28</f>
        <v>2380460</v>
      </c>
      <c r="T24" s="133">
        <f>土木費等ﾃﾞｰﾀ2!K28</f>
        <v>2663911</v>
      </c>
      <c r="U24" s="133">
        <f>土木費等ﾃﾞｰﾀ2!N28</f>
        <v>2486534</v>
      </c>
      <c r="V24" s="133">
        <f>土木費等ﾃﾞｰﾀ2!Q28</f>
        <v>3583823</v>
      </c>
      <c r="W24" s="133">
        <f>土木費等ﾃﾞｰﾀ2!T28</f>
        <v>3573308</v>
      </c>
      <c r="X24" s="133">
        <f>土木費等ﾃﾞｰﾀ2!W28</f>
        <v>3317187</v>
      </c>
      <c r="Y24" s="133">
        <f>土木費等ﾃﾞｰﾀ2!Z28</f>
        <v>4431312</v>
      </c>
      <c r="Z24" s="198">
        <f>土木費等ﾃﾞｰﾀ2!AC28</f>
        <v>6772667</v>
      </c>
      <c r="AA24" s="198">
        <f>土木費等ﾃﾞｰﾀ2!AF28</f>
        <v>4009969</v>
      </c>
      <c r="AB24" s="198">
        <f>土木費等ﾃﾞｰﾀ2!AI28</f>
        <v>3523602</v>
      </c>
      <c r="AC24" s="198">
        <f>土木費等ﾃﾞｰﾀ2!AL28</f>
        <v>4029924.0814811075</v>
      </c>
      <c r="AD24" s="198">
        <f>土木費等ﾃﾞｰﾀ2!AO28</f>
        <v>4197142</v>
      </c>
      <c r="AE24" s="198">
        <f>土木費等ﾃﾞｰﾀ2!AR28</f>
        <v>2258514</v>
      </c>
      <c r="AF24" s="198">
        <f>土木費等ﾃﾞｰﾀ2!AU28</f>
        <v>2668602</v>
      </c>
      <c r="AG24" s="1070">
        <f>土木費等ﾃﾞｰﾀ2!AX28</f>
        <v>2724929</v>
      </c>
      <c r="AH24" s="456">
        <f>土木費等ﾃﾞｰﾀ2!BA28</f>
        <v>2591782</v>
      </c>
      <c r="AI24" s="1070">
        <f>土木費等ﾃﾞｰﾀ2!BD88</f>
        <v>2270706</v>
      </c>
      <c r="AJ24" s="1070">
        <f>土木費等ﾃﾞｰﾀ2!BG88</f>
        <v>2251444</v>
      </c>
      <c r="AK24" s="456">
        <f>土木費等ﾃﾞｰﾀ2!BJ23</f>
        <v>4271038</v>
      </c>
      <c r="AL24" s="491">
        <f t="shared" ref="AL24:AN24" si="44">ROUND(SUM(AI24:AK24)/3,0)</f>
        <v>2931063</v>
      </c>
      <c r="AM24" s="491">
        <f t="shared" si="44"/>
        <v>3151182</v>
      </c>
      <c r="AN24" s="491">
        <f t="shared" si="44"/>
        <v>3451094</v>
      </c>
    </row>
    <row r="25" spans="1:40">
      <c r="A25" s="89">
        <v>218</v>
      </c>
      <c r="B25" s="98" t="s">
        <v>200</v>
      </c>
      <c r="C25" s="133">
        <f>土木費等ﾃﾞｰﾀ!D20</f>
        <v>3173032</v>
      </c>
      <c r="D25" s="133">
        <f>土木費等ﾃﾞｰﾀ!G20</f>
        <v>3108680</v>
      </c>
      <c r="E25" s="133">
        <f>土木費等ﾃﾞｰﾀ!J20</f>
        <v>3047806</v>
      </c>
      <c r="F25" s="133">
        <f>土木費等ﾃﾞｰﾀ!M20</f>
        <v>3836583</v>
      </c>
      <c r="G25" s="133">
        <f>土木費等ﾃﾞｰﾀ!P20</f>
        <v>3897573</v>
      </c>
      <c r="H25" s="133">
        <f>土木費等ﾃﾞｰﾀ!S20</f>
        <v>3638452</v>
      </c>
      <c r="I25" s="133">
        <f>土木費等ﾃﾞｰﾀ!V20</f>
        <v>6237908</v>
      </c>
      <c r="J25" s="133">
        <f>土木費等ﾃﾞｰﾀ!Y20</f>
        <v>6098883</v>
      </c>
      <c r="K25" s="133">
        <f>土木費等ﾃﾞｰﾀ!AB20</f>
        <v>6764189</v>
      </c>
      <c r="L25" s="133">
        <f>土木費等ﾃﾞｰﾀ!AG24</f>
        <v>695390</v>
      </c>
      <c r="M25" s="133">
        <f>土木費等ﾃﾞｰﾀ!AK32</f>
        <v>4252617</v>
      </c>
      <c r="N25" s="133">
        <f>土木費等ﾃﾞｰﾀ!AN32</f>
        <v>4168982</v>
      </c>
      <c r="O25" s="133">
        <f>土木費等ﾃﾞｰﾀ!AQ32</f>
        <v>3375323</v>
      </c>
      <c r="P25" s="133">
        <f>土木費等ﾃﾞｰﾀ!AT32</f>
        <v>4030155</v>
      </c>
      <c r="Q25" s="133">
        <f>土木費等ﾃﾞｰﾀ!AY32</f>
        <v>3236470</v>
      </c>
      <c r="R25" s="133">
        <f>土木費等ﾃﾞｰﾀ2!E31</f>
        <v>3203074</v>
      </c>
      <c r="S25" s="133">
        <f>土木費等ﾃﾞｰﾀ2!H31</f>
        <v>3668837</v>
      </c>
      <c r="T25" s="133">
        <f>土木費等ﾃﾞｰﾀ2!K31</f>
        <v>3046994</v>
      </c>
      <c r="U25" s="133">
        <f>土木費等ﾃﾞｰﾀ2!N31</f>
        <v>2447449</v>
      </c>
      <c r="V25" s="133">
        <f>土木費等ﾃﾞｰﾀ2!Q31</f>
        <v>2095479</v>
      </c>
      <c r="W25" s="133">
        <f>土木費等ﾃﾞｰﾀ2!T31</f>
        <v>2262175</v>
      </c>
      <c r="X25" s="133">
        <f>土木費等ﾃﾞｰﾀ2!W31</f>
        <v>2736174</v>
      </c>
      <c r="Y25" s="133">
        <f>土木費等ﾃﾞｰﾀ2!Z31</f>
        <v>2507162</v>
      </c>
      <c r="Z25" s="198">
        <f>土木費等ﾃﾞｰﾀ2!AC31</f>
        <v>4422126</v>
      </c>
      <c r="AA25" s="198">
        <f>土木費等ﾃﾞｰﾀ2!AF31</f>
        <v>2263467</v>
      </c>
      <c r="AB25" s="198">
        <f>土木費等ﾃﾞｰﾀ2!AI31</f>
        <v>2179702</v>
      </c>
      <c r="AC25" s="198">
        <f>土木費等ﾃﾞｰﾀ2!AL31</f>
        <v>2571033.8321060473</v>
      </c>
      <c r="AD25" s="198">
        <f>土木費等ﾃﾞｰﾀ2!AO31</f>
        <v>2830573</v>
      </c>
      <c r="AE25" s="198">
        <f>土木費等ﾃﾞｰﾀ2!AR31</f>
        <v>3223392</v>
      </c>
      <c r="AF25" s="198">
        <f>土木費等ﾃﾞｰﾀ2!AU31</f>
        <v>7249194</v>
      </c>
      <c r="AG25" s="1070">
        <f>土木費等ﾃﾞｰﾀ2!AX31</f>
        <v>2516035</v>
      </c>
      <c r="AH25" s="456">
        <f>土木費等ﾃﾞｰﾀ2!BA31</f>
        <v>3574746</v>
      </c>
      <c r="AI25" s="1070">
        <f>土木費等ﾃﾞｰﾀ2!BD89</f>
        <v>3067535</v>
      </c>
      <c r="AJ25" s="1070">
        <f>土木費等ﾃﾞｰﾀ2!BG89</f>
        <v>2133838</v>
      </c>
      <c r="AK25" s="456">
        <f>土木費等ﾃﾞｰﾀ2!BJ24</f>
        <v>7728993</v>
      </c>
      <c r="AL25" s="491">
        <f t="shared" ref="AL25:AN25" si="45">ROUND(SUM(AI25:AK25)/3,0)</f>
        <v>4310122</v>
      </c>
      <c r="AM25" s="491">
        <f t="shared" si="45"/>
        <v>4724318</v>
      </c>
      <c r="AN25" s="491">
        <f t="shared" si="45"/>
        <v>5587811</v>
      </c>
    </row>
    <row r="26" spans="1:40">
      <c r="A26" s="89">
        <v>220</v>
      </c>
      <c r="B26" s="98" t="s">
        <v>201</v>
      </c>
      <c r="C26" s="133">
        <f>土木費等ﾃﾞｰﾀ!D21</f>
        <v>2954357</v>
      </c>
      <c r="D26" s="133">
        <f>土木費等ﾃﾞｰﾀ!G21</f>
        <v>3373268</v>
      </c>
      <c r="E26" s="133">
        <f>土木費等ﾃﾞｰﾀ!J21</f>
        <v>3683055</v>
      </c>
      <c r="F26" s="133">
        <f>土木費等ﾃﾞｰﾀ!M21</f>
        <v>4399652</v>
      </c>
      <c r="G26" s="133">
        <f>土木費等ﾃﾞｰﾀ!P21</f>
        <v>3834897</v>
      </c>
      <c r="H26" s="133">
        <f>土木費等ﾃﾞｰﾀ!S21</f>
        <v>4776198</v>
      </c>
      <c r="I26" s="133">
        <f>土木費等ﾃﾞｰﾀ!V21</f>
        <v>3752829</v>
      </c>
      <c r="J26" s="133">
        <f>土木費等ﾃﾞｰﾀ!Y21</f>
        <v>3697189</v>
      </c>
      <c r="K26" s="133">
        <f>土木費等ﾃﾞｰﾀ!AB21</f>
        <v>3526197</v>
      </c>
      <c r="L26" s="133">
        <f>土木費等ﾃﾞｰﾀ!AG25</f>
        <v>1353053</v>
      </c>
      <c r="M26" s="133">
        <f>土木費等ﾃﾞｰﾀ!AK34</f>
        <v>4446003</v>
      </c>
      <c r="N26" s="133">
        <f>土木費等ﾃﾞｰﾀ!AN34</f>
        <v>3918261</v>
      </c>
      <c r="O26" s="133">
        <f>土木費等ﾃﾞｰﾀ!AQ34</f>
        <v>5871218</v>
      </c>
      <c r="P26" s="133">
        <f>土木費等ﾃﾞｰﾀ!AT34</f>
        <v>3174893</v>
      </c>
      <c r="Q26" s="133">
        <f>土木費等ﾃﾞｰﾀ!AY34</f>
        <v>2741496</v>
      </c>
      <c r="R26" s="133">
        <f>土木費等ﾃﾞｰﾀ2!E33</f>
        <v>2972707</v>
      </c>
      <c r="S26" s="133">
        <f>土木費等ﾃﾞｰﾀ2!H33</f>
        <v>2498573</v>
      </c>
      <c r="T26" s="133">
        <f>土木費等ﾃﾞｰﾀ2!K33</f>
        <v>2700132</v>
      </c>
      <c r="U26" s="133">
        <f>土木費等ﾃﾞｰﾀ2!N33</f>
        <v>2524359</v>
      </c>
      <c r="V26" s="133">
        <f>土木費等ﾃﾞｰﾀ2!Q33</f>
        <v>864200</v>
      </c>
      <c r="W26" s="133">
        <f>土木費等ﾃﾞｰﾀ2!T33</f>
        <v>1259221</v>
      </c>
      <c r="X26" s="133">
        <f>土木費等ﾃﾞｰﾀ2!W33</f>
        <v>1391074</v>
      </c>
      <c r="Y26" s="133">
        <f>土木費等ﾃﾞｰﾀ2!Z33</f>
        <v>1480385</v>
      </c>
      <c r="Z26" s="198">
        <f>土木費等ﾃﾞｰﾀ2!AC33</f>
        <v>5516814</v>
      </c>
      <c r="AA26" s="198">
        <f>土木費等ﾃﾞｰﾀ2!AF33</f>
        <v>2144759</v>
      </c>
      <c r="AB26" s="198">
        <f>土木費等ﾃﾞｰﾀ2!AI33</f>
        <v>3664616</v>
      </c>
      <c r="AC26" s="198">
        <f>土木費等ﾃﾞｰﾀ2!AL33</f>
        <v>3735013.925909047</v>
      </c>
      <c r="AD26" s="198">
        <f>土木費等ﾃﾞｰﾀ2!AO33</f>
        <v>1863053</v>
      </c>
      <c r="AE26" s="198">
        <f>土木費等ﾃﾞｰﾀ2!AR33</f>
        <v>1188178</v>
      </c>
      <c r="AF26" s="198">
        <f>土木費等ﾃﾞｰﾀ2!AU33</f>
        <v>2522360</v>
      </c>
      <c r="AG26" s="1070">
        <f>土木費等ﾃﾞｰﾀ2!AX33</f>
        <v>2405798</v>
      </c>
      <c r="AH26" s="456">
        <f>土木費等ﾃﾞｰﾀ2!BA33</f>
        <v>1866245</v>
      </c>
      <c r="AI26" s="1070">
        <f>土木費等ﾃﾞｰﾀ2!BD90</f>
        <v>1999946</v>
      </c>
      <c r="AJ26" s="1070">
        <f>土木費等ﾃﾞｰﾀ2!BG90</f>
        <v>1737001</v>
      </c>
      <c r="AK26" s="456">
        <f>土木費等ﾃﾞｰﾀ2!BJ25</f>
        <v>5196355</v>
      </c>
      <c r="AL26" s="491">
        <f t="shared" ref="AL26:AN26" si="46">ROUND(SUM(AI26:AK26)/3,0)</f>
        <v>2977767</v>
      </c>
      <c r="AM26" s="491">
        <f t="shared" si="46"/>
        <v>3303708</v>
      </c>
      <c r="AN26" s="491">
        <f t="shared" si="46"/>
        <v>3825943</v>
      </c>
    </row>
    <row r="27" spans="1:40">
      <c r="A27" s="89">
        <v>228</v>
      </c>
      <c r="B27" s="98" t="s">
        <v>239</v>
      </c>
      <c r="C27" s="133">
        <f>土木費等ﾃﾞｰﾀ!D23+土木費等ﾃﾞｰﾀ!D24+土木費等ﾃﾞｰﾀ!D25</f>
        <v>1565883</v>
      </c>
      <c r="D27" s="133">
        <f>土木費等ﾃﾞｰﾀ!G23+土木費等ﾃﾞｰﾀ!G24+土木費等ﾃﾞｰﾀ!G25</f>
        <v>2404586</v>
      </c>
      <c r="E27" s="133">
        <f>土木費等ﾃﾞｰﾀ!J23+土木費等ﾃﾞｰﾀ!J24+土木費等ﾃﾞｰﾀ!J25</f>
        <v>2802564</v>
      </c>
      <c r="F27" s="133">
        <f>土木費等ﾃﾞｰﾀ!M23+土木費等ﾃﾞｰﾀ!M24+土木費等ﾃﾞｰﾀ!M25</f>
        <v>1878934</v>
      </c>
      <c r="G27" s="133">
        <f>土木費等ﾃﾞｰﾀ!P23+土木費等ﾃﾞｰﾀ!P24+土木費等ﾃﾞｰﾀ!P25</f>
        <v>3532241</v>
      </c>
      <c r="H27" s="133">
        <f>土木費等ﾃﾞｰﾀ!S23+土木費等ﾃﾞｰﾀ!S24+土木費等ﾃﾞｰﾀ!S25</f>
        <v>3784450</v>
      </c>
      <c r="I27" s="133">
        <f>土木費等ﾃﾞｰﾀ!V23+土木費等ﾃﾞｰﾀ!V24+土木費等ﾃﾞｰﾀ!V25</f>
        <v>3074214</v>
      </c>
      <c r="J27" s="133">
        <f>土木費等ﾃﾞｰﾀ!Y23+土木費等ﾃﾞｰﾀ!Y24+土木費等ﾃﾞｰﾀ!Y25</f>
        <v>3533025</v>
      </c>
      <c r="K27" s="133">
        <f>土木費等ﾃﾞｰﾀ!AB23+土木費等ﾃﾞｰﾀ!AB24+土木費等ﾃﾞｰﾀ!AB25</f>
        <v>3591774</v>
      </c>
      <c r="L27" s="133">
        <f>土木費等ﾃﾞｰﾀ!AG27+土木費等ﾃﾞｰﾀ!AG28+土木費等ﾃﾞｰﾀ!AG29</f>
        <v>2404089</v>
      </c>
      <c r="M27" s="133">
        <f>土木費等ﾃﾞｰﾀ!AK38+土木費等ﾃﾞｰﾀ!AK39+土木費等ﾃﾞｰﾀ!AK40</f>
        <v>2435189</v>
      </c>
      <c r="N27" s="133">
        <f>土木費等ﾃﾞｰﾀ!AN38+土木費等ﾃﾞｰﾀ!AN39+土木費等ﾃﾞｰﾀ!AN40</f>
        <v>2537938</v>
      </c>
      <c r="O27" s="133">
        <f>土木費等ﾃﾞｰﾀ!AQ38+土木費等ﾃﾞｰﾀ!AQ39+土木費等ﾃﾞｰﾀ!AQ40</f>
        <v>3032345</v>
      </c>
      <c r="P27" s="133">
        <f>土木費等ﾃﾞｰﾀ!AT38+土木費等ﾃﾞｰﾀ!AT39+土木費等ﾃﾞｰﾀ!AT40</f>
        <v>2584692</v>
      </c>
      <c r="Q27" s="133">
        <f>土木費等ﾃﾞｰﾀ!AY41+土木費等ﾃﾞｰﾀ!AY42+土木費等ﾃﾞｰﾀ!AY43</f>
        <v>3474850</v>
      </c>
      <c r="R27" s="133">
        <f>土木費等ﾃﾞｰﾀ2!E41</f>
        <v>2455831</v>
      </c>
      <c r="S27" s="133">
        <f>土木費等ﾃﾞｰﾀ2!H41</f>
        <v>2052656</v>
      </c>
      <c r="T27" s="133">
        <f>土木費等ﾃﾞｰﾀ2!K41</f>
        <v>2089757</v>
      </c>
      <c r="U27" s="133">
        <f>土木費等ﾃﾞｰﾀ2!N41</f>
        <v>2111384</v>
      </c>
      <c r="V27" s="133">
        <f>土木費等ﾃﾞｰﾀ2!Q41</f>
        <v>1414308</v>
      </c>
      <c r="W27" s="133">
        <f>土木費等ﾃﾞｰﾀ2!T41</f>
        <v>1869553</v>
      </c>
      <c r="X27" s="133">
        <f>土木費等ﾃﾞｰﾀ2!W41</f>
        <v>1224227</v>
      </c>
      <c r="Y27" s="133">
        <f>土木費等ﾃﾞｰﾀ2!Z41</f>
        <v>2139739</v>
      </c>
      <c r="Z27" s="198">
        <f>土木費等ﾃﾞｰﾀ2!AC41</f>
        <v>4145564</v>
      </c>
      <c r="AA27" s="198">
        <f>土木費等ﾃﾞｰﾀ2!AF41</f>
        <v>2119013</v>
      </c>
      <c r="AB27" s="198">
        <f>土木費等ﾃﾞｰﾀ2!AI41</f>
        <v>2091933</v>
      </c>
      <c r="AC27" s="198">
        <f>土木費等ﾃﾞｰﾀ2!AL41</f>
        <v>2433160.0355497068</v>
      </c>
      <c r="AD27" s="198">
        <f>土木費等ﾃﾞｰﾀ2!AO41</f>
        <v>2491528</v>
      </c>
      <c r="AE27" s="198">
        <f>土木費等ﾃﾞｰﾀ2!AR41</f>
        <v>2947840</v>
      </c>
      <c r="AF27" s="198">
        <f>土木費等ﾃﾞｰﾀ2!AU41</f>
        <v>2223917</v>
      </c>
      <c r="AG27" s="1070">
        <f>土木費等ﾃﾞｰﾀ2!AX41</f>
        <v>2420333</v>
      </c>
      <c r="AH27" s="456">
        <f>土木費等ﾃﾞｰﾀ2!BA41</f>
        <v>6403462</v>
      </c>
      <c r="AI27" s="1070">
        <f>土木費等ﾃﾞｰﾀ2!BD91</f>
        <v>3440252</v>
      </c>
      <c r="AJ27" s="1070">
        <f>土木費等ﾃﾞｰﾀ2!BG91</f>
        <v>6607811</v>
      </c>
      <c r="AK27" s="456">
        <f>土木費等ﾃﾞｰﾀ2!BJ26</f>
        <v>726049</v>
      </c>
      <c r="AL27" s="491">
        <f t="shared" ref="AL27:AN27" si="47">ROUND(SUM(AI27:AK27)/3,0)</f>
        <v>3591371</v>
      </c>
      <c r="AM27" s="491">
        <f t="shared" si="47"/>
        <v>3641744</v>
      </c>
      <c r="AN27" s="491">
        <f t="shared" si="47"/>
        <v>2653055</v>
      </c>
    </row>
    <row r="28" spans="1:40">
      <c r="A28" s="89">
        <v>365</v>
      </c>
      <c r="B28" s="98" t="s">
        <v>233</v>
      </c>
      <c r="C28" s="133">
        <f>土木費等ﾃﾞｰﾀ!D26+土木費等ﾃﾞｰﾀ!D27+土木費等ﾃﾞｰﾀ!D28</f>
        <v>762138</v>
      </c>
      <c r="D28" s="133">
        <f>土木費等ﾃﾞｰﾀ!G26+土木費等ﾃﾞｰﾀ!G27+土木費等ﾃﾞｰﾀ!G28</f>
        <v>1400190</v>
      </c>
      <c r="E28" s="133">
        <f>土木費等ﾃﾞｰﾀ!J26+土木費等ﾃﾞｰﾀ!J27+土木費等ﾃﾞｰﾀ!J28</f>
        <v>1369127</v>
      </c>
      <c r="F28" s="133">
        <f>土木費等ﾃﾞｰﾀ!M26+土木費等ﾃﾞｰﾀ!M27+土木費等ﾃﾞｰﾀ!M28</f>
        <v>2340842</v>
      </c>
      <c r="G28" s="133">
        <f>土木費等ﾃﾞｰﾀ!P26+土木費等ﾃﾞｰﾀ!P27+土木費等ﾃﾞｰﾀ!P28</f>
        <v>1716693</v>
      </c>
      <c r="H28" s="133">
        <f>土木費等ﾃﾞｰﾀ!S26+土木費等ﾃﾞｰﾀ!S27+土木費等ﾃﾞｰﾀ!S28</f>
        <v>2287266</v>
      </c>
      <c r="I28" s="133">
        <f>土木費等ﾃﾞｰﾀ!V26+土木費等ﾃﾞｰﾀ!V27+土木費等ﾃﾞｰﾀ!V28</f>
        <v>2226012</v>
      </c>
      <c r="J28" s="133">
        <f>土木費等ﾃﾞｰﾀ!Y26+土木費等ﾃﾞｰﾀ!Y27+土木費等ﾃﾞｰﾀ!Y28</f>
        <v>2533602</v>
      </c>
      <c r="K28" s="133">
        <f>土木費等ﾃﾞｰﾀ!AB26+土木費等ﾃﾞｰﾀ!AB27+土木費等ﾃﾞｰﾀ!AB28</f>
        <v>2030289</v>
      </c>
      <c r="L28" s="133">
        <f>土木費等ﾃﾞｰﾀ!AG30+土木費等ﾃﾞｰﾀ!AG31+土木費等ﾃﾞｰﾀ!AG32</f>
        <v>2649305</v>
      </c>
      <c r="M28" s="133">
        <f>土木費等ﾃﾞｰﾀ!AK41+土木費等ﾃﾞｰﾀ!AK42+土木費等ﾃﾞｰﾀ!AK43</f>
        <v>1228532</v>
      </c>
      <c r="N28" s="133">
        <f>土木費等ﾃﾞｰﾀ!AN41+土木費等ﾃﾞｰﾀ!AN42+土木費等ﾃﾞｰﾀ!AN43</f>
        <v>1304419</v>
      </c>
      <c r="O28" s="133">
        <f>土木費等ﾃﾞｰﾀ!AQ41+土木費等ﾃﾞｰﾀ!AQ42+土木費等ﾃﾞｰﾀ!AQ43</f>
        <v>1986162</v>
      </c>
      <c r="P28" s="133">
        <f>土木費等ﾃﾞｰﾀ!AT41+土木費等ﾃﾞｰﾀ!AT42+土木費等ﾃﾞｰﾀ!AT43</f>
        <v>2408308</v>
      </c>
      <c r="Q28" s="133">
        <f>土木費等ﾃﾞｰﾀ!AY44+土木費等ﾃﾞｰﾀ!AY45+土木費等ﾃﾞｰﾀ!AY46</f>
        <v>2653567</v>
      </c>
      <c r="R28" s="133">
        <f>土木費等ﾃﾞｰﾀ2!E44</f>
        <v>1731019</v>
      </c>
      <c r="S28" s="133">
        <f>土木費等ﾃﾞｰﾀ2!H44</f>
        <v>1437409</v>
      </c>
      <c r="T28" s="133">
        <f>土木費等ﾃﾞｰﾀ2!K44</f>
        <v>1252687</v>
      </c>
      <c r="U28" s="133">
        <f>土木費等ﾃﾞｰﾀ2!N44</f>
        <v>1022392</v>
      </c>
      <c r="V28" s="133">
        <f>土木費等ﾃﾞｰﾀ2!Q44</f>
        <v>1518182</v>
      </c>
      <c r="W28" s="133">
        <f>土木費等ﾃﾞｰﾀ2!T44</f>
        <v>2266162</v>
      </c>
      <c r="X28" s="133">
        <f>土木費等ﾃﾞｰﾀ2!W44</f>
        <v>1220907</v>
      </c>
      <c r="Y28" s="133">
        <f>土木費等ﾃﾞｰﾀ2!Z44</f>
        <v>2547222</v>
      </c>
      <c r="Z28" s="198">
        <f>土木費等ﾃﾞｰﾀ2!AC44</f>
        <v>2277463</v>
      </c>
      <c r="AA28" s="198">
        <f>土木費等ﾃﾞｰﾀ2!AF44</f>
        <v>1081939</v>
      </c>
      <c r="AB28" s="198">
        <f>土木費等ﾃﾞｰﾀ2!AI44</f>
        <v>1654483</v>
      </c>
      <c r="AC28" s="198">
        <f>土木費等ﾃﾞｰﾀ2!AL44</f>
        <v>1644427.4925610519</v>
      </c>
      <c r="AD28" s="198">
        <f>土木費等ﾃﾞｰﾀ2!AO44</f>
        <v>1465021</v>
      </c>
      <c r="AE28" s="198">
        <f>土木費等ﾃﾞｰﾀ2!AR44</f>
        <v>2203832</v>
      </c>
      <c r="AF28" s="198">
        <f>土木費等ﾃﾞｰﾀ2!AU44</f>
        <v>852622</v>
      </c>
      <c r="AG28" s="1070">
        <f>土木費等ﾃﾞｰﾀ2!AX44</f>
        <v>815300</v>
      </c>
      <c r="AH28" s="456">
        <f>土木費等ﾃﾞｰﾀ2!BA44</f>
        <v>650601</v>
      </c>
      <c r="AI28" s="1070">
        <f>土木費等ﾃﾞｰﾀ2!BD92</f>
        <v>851003</v>
      </c>
      <c r="AJ28" s="1070">
        <f>土木費等ﾃﾞｰﾀ2!BG92</f>
        <v>1417380</v>
      </c>
      <c r="AK28" s="456">
        <f>土木費等ﾃﾞｰﾀ2!BJ27</f>
        <v>8054242</v>
      </c>
      <c r="AL28" s="491">
        <f t="shared" ref="AL28:AN28" si="48">ROUND(SUM(AI28:AK28)/3,0)</f>
        <v>3440875</v>
      </c>
      <c r="AM28" s="491">
        <f t="shared" si="48"/>
        <v>4304166</v>
      </c>
      <c r="AN28" s="491">
        <f t="shared" si="48"/>
        <v>5266428</v>
      </c>
    </row>
    <row r="29" spans="1:40">
      <c r="A29" s="86"/>
      <c r="B29" s="99" t="s">
        <v>202</v>
      </c>
      <c r="C29" s="133">
        <f>SUM(C30:C33)</f>
        <v>52269164</v>
      </c>
      <c r="D29" s="133">
        <f>SUM(D30:D33)</f>
        <v>61285152</v>
      </c>
      <c r="E29" s="133">
        <f>SUM(E30:E33)</f>
        <v>61930319</v>
      </c>
      <c r="F29" s="133">
        <f>SUM(F30:F33)</f>
        <v>63968654</v>
      </c>
      <c r="G29" s="133">
        <f>SUM(G30:G33)</f>
        <v>60036762</v>
      </c>
      <c r="H29" s="133">
        <f t="shared" ref="H29:T29" si="49">SUM(H30:H33)</f>
        <v>60270484</v>
      </c>
      <c r="I29" s="133">
        <f>SUM(I30:I33)</f>
        <v>66206221</v>
      </c>
      <c r="J29" s="133">
        <f>SUM(J30:J33)</f>
        <v>64922105</v>
      </c>
      <c r="K29" s="133">
        <f>SUM(K30:K33)</f>
        <v>63259143</v>
      </c>
      <c r="L29" s="133">
        <f t="shared" si="49"/>
        <v>70870281</v>
      </c>
      <c r="M29" s="133">
        <f t="shared" si="49"/>
        <v>63546498</v>
      </c>
      <c r="N29" s="133">
        <f>SUM(N30:N33)</f>
        <v>58637163</v>
      </c>
      <c r="O29" s="133">
        <f>SUM(O30:O33)</f>
        <v>59167165</v>
      </c>
      <c r="P29" s="133">
        <f>SUM(P30:P33)</f>
        <v>56132801</v>
      </c>
      <c r="Q29" s="133">
        <f t="shared" si="49"/>
        <v>55129243</v>
      </c>
      <c r="R29" s="133">
        <f t="shared" si="49"/>
        <v>54148319</v>
      </c>
      <c r="S29" s="133">
        <f t="shared" si="49"/>
        <v>50579532</v>
      </c>
      <c r="T29" s="133">
        <f t="shared" si="49"/>
        <v>54079710</v>
      </c>
      <c r="U29" s="133">
        <f t="shared" ref="U29:AD29" si="50">SUM(U30:U33)</f>
        <v>50366591</v>
      </c>
      <c r="V29" s="133">
        <f t="shared" si="50"/>
        <v>43868524</v>
      </c>
      <c r="W29" s="133">
        <f t="shared" si="50"/>
        <v>43030198</v>
      </c>
      <c r="X29" s="133">
        <f t="shared" si="50"/>
        <v>38431731</v>
      </c>
      <c r="Y29" s="133">
        <f t="shared" si="50"/>
        <v>34180699</v>
      </c>
      <c r="Z29" s="198">
        <f t="shared" si="50"/>
        <v>38748050</v>
      </c>
      <c r="AA29" s="198">
        <f t="shared" si="50"/>
        <v>37693034</v>
      </c>
      <c r="AB29" s="198">
        <f t="shared" si="50"/>
        <v>37045979</v>
      </c>
      <c r="AC29" s="198">
        <f t="shared" si="50"/>
        <v>37520909.20382645</v>
      </c>
      <c r="AD29" s="198">
        <f t="shared" si="50"/>
        <v>40154660</v>
      </c>
      <c r="AE29" s="198">
        <f>SUM(AE30:AE33)</f>
        <v>35867512</v>
      </c>
      <c r="AF29" s="198">
        <f>SUM(AF30:AF33)</f>
        <v>41223872</v>
      </c>
      <c r="AG29" s="198">
        <f t="shared" ref="AG29:AI29" si="51">SUM(AG30:AG33)</f>
        <v>55396946</v>
      </c>
      <c r="AH29" s="198">
        <f t="shared" si="51"/>
        <v>32386760</v>
      </c>
      <c r="AI29" s="198">
        <f t="shared" si="51"/>
        <v>26643039</v>
      </c>
      <c r="AJ29" s="198">
        <f t="shared" ref="AJ29:AK29" si="52">SUM(AJ30:AJ33)</f>
        <v>30254294</v>
      </c>
      <c r="AK29" s="198">
        <f t="shared" si="52"/>
        <v>14641265</v>
      </c>
      <c r="AL29" s="198">
        <f t="shared" ref="AL29:AM29" si="53">SUM(AL30:AL33)</f>
        <v>23846200</v>
      </c>
      <c r="AM29" s="198">
        <f t="shared" si="53"/>
        <v>22913919</v>
      </c>
      <c r="AN29" s="198">
        <f t="shared" ref="AN29" si="54">SUM(AN30:AN33)</f>
        <v>20467128</v>
      </c>
    </row>
    <row r="30" spans="1:40">
      <c r="A30" s="92">
        <v>201</v>
      </c>
      <c r="B30" s="100" t="s">
        <v>240</v>
      </c>
      <c r="C30" s="133">
        <f>土木費等ﾃﾞｰﾀ!D33+土木費等ﾃﾞｰﾀ!D37+土木費等ﾃﾞｰﾀ!D38+土木費等ﾃﾞｰﾀ!D42+土木費等ﾃﾞｰﾀ!D54</f>
        <v>49716027</v>
      </c>
      <c r="D30" s="133">
        <f>土木費等ﾃﾞｰﾀ!G33+土木費等ﾃﾞｰﾀ!G37+土木費等ﾃﾞｰﾀ!G38+土木費等ﾃﾞｰﾀ!G42+土木費等ﾃﾞｰﾀ!G54</f>
        <v>58465966</v>
      </c>
      <c r="E30" s="133">
        <f>土木費等ﾃﾞｰﾀ!J33+土木費等ﾃﾞｰﾀ!J37+土木費等ﾃﾞｰﾀ!J38+土木費等ﾃﾞｰﾀ!J42+土木費等ﾃﾞｰﾀ!J54</f>
        <v>59307087</v>
      </c>
      <c r="F30" s="133">
        <f>土木費等ﾃﾞｰﾀ!M33+土木費等ﾃﾞｰﾀ!M37+土木費等ﾃﾞｰﾀ!M38+土木費等ﾃﾞｰﾀ!M42+土木費等ﾃﾞｰﾀ!M54</f>
        <v>61707450</v>
      </c>
      <c r="G30" s="133">
        <f>土木費等ﾃﾞｰﾀ!P33+土木費等ﾃﾞｰﾀ!P37+土木費等ﾃﾞｰﾀ!P38+土木費等ﾃﾞｰﾀ!P42+土木費等ﾃﾞｰﾀ!P54</f>
        <v>57870315</v>
      </c>
      <c r="H30" s="133">
        <f>土木費等ﾃﾞｰﾀ!S33+土木費等ﾃﾞｰﾀ!S37+土木費等ﾃﾞｰﾀ!S38+土木費等ﾃﾞｰﾀ!S42+土木費等ﾃﾞｰﾀ!S54</f>
        <v>57572329</v>
      </c>
      <c r="I30" s="133">
        <f>土木費等ﾃﾞｰﾀ!V33+土木費等ﾃﾞｰﾀ!V37+土木費等ﾃﾞｰﾀ!V38+土木費等ﾃﾞｰﾀ!V42+土木費等ﾃﾞｰﾀ!V54</f>
        <v>63373138</v>
      </c>
      <c r="J30" s="133">
        <f>土木費等ﾃﾞｰﾀ!Y33+土木費等ﾃﾞｰﾀ!Y37+土木費等ﾃﾞｰﾀ!Y38+土木費等ﾃﾞｰﾀ!Y42+土木費等ﾃﾞｰﾀ!Y54</f>
        <v>61812596</v>
      </c>
      <c r="K30" s="133">
        <f>土木費等ﾃﾞｰﾀ!AB33+土木費等ﾃﾞｰﾀ!AB37+土木費等ﾃﾞｰﾀ!AB38+土木費等ﾃﾞｰﾀ!AB42+土木費等ﾃﾞｰﾀ!AB54</f>
        <v>59955540</v>
      </c>
      <c r="L30" s="133">
        <f>土木費等ﾃﾞｰﾀ!AG35+土木費等ﾃﾞｰﾀ!AG36+土木費等ﾃﾞｰﾀ!AG37+土木費等ﾃﾞｰﾀ!AG41+土木費等ﾃﾞｰﾀ!AG57</f>
        <v>64199699</v>
      </c>
      <c r="M30" s="133">
        <f>土木費等ﾃﾞｰﾀ!AK15+土木費等ﾃﾞｰﾀ!AK47+土木費等ﾃﾞｰﾀ!AK48+土木費等ﾃﾞｰﾀ!AK52+土木費等ﾃﾞｰﾀ!AK64</f>
        <v>60981371</v>
      </c>
      <c r="N30" s="133">
        <f>土木費等ﾃﾞｰﾀ!AN15+土木費等ﾃﾞｰﾀ!AN47+土木費等ﾃﾞｰﾀ!AN48+土木費等ﾃﾞｰﾀ!AN52+土木費等ﾃﾞｰﾀ!AN64</f>
        <v>55790077</v>
      </c>
      <c r="O30" s="133">
        <f>土木費等ﾃﾞｰﾀ!AQ15+土木費等ﾃﾞｰﾀ!AQ47+土木費等ﾃﾞｰﾀ!AQ48+土木費等ﾃﾞｰﾀ!AQ52+土木費等ﾃﾞｰﾀ!AQ64</f>
        <v>56233106</v>
      </c>
      <c r="P30" s="133">
        <f>土木費等ﾃﾞｰﾀ!AT15+土木費等ﾃﾞｰﾀ!AT47+土木費等ﾃﾞｰﾀ!AT48+土木費等ﾃﾞｰﾀ!AT52+土木費等ﾃﾞｰﾀ!AT64</f>
        <v>53815158</v>
      </c>
      <c r="Q30" s="133">
        <f>土木費等ﾃﾞｰﾀ!AY15+土木費等ﾃﾞｰﾀ!AY50+土木費等ﾃﾞｰﾀ!AY51+土木費等ﾃﾞｰﾀ!AY55+土木費等ﾃﾞｰﾀ!AY67</f>
        <v>53058998</v>
      </c>
      <c r="R30" s="133">
        <f>土木費等ﾃﾞｰﾀ2!E15</f>
        <v>52791314</v>
      </c>
      <c r="S30" s="133">
        <f>土木費等ﾃﾞｰﾀ2!H15</f>
        <v>49007132</v>
      </c>
      <c r="T30" s="133">
        <f>土木費等ﾃﾞｰﾀ2!K15</f>
        <v>52587575</v>
      </c>
      <c r="U30" s="133">
        <f>土木費等ﾃﾞｰﾀ2!N15</f>
        <v>48794253</v>
      </c>
      <c r="V30" s="133">
        <f>土木費等ﾃﾞｰﾀ2!Q15</f>
        <v>41393915</v>
      </c>
      <c r="W30" s="133">
        <f>土木費等ﾃﾞｰﾀ2!T15</f>
        <v>39666831</v>
      </c>
      <c r="X30" s="133">
        <f>土木費等ﾃﾞｰﾀ2!W15</f>
        <v>36205096</v>
      </c>
      <c r="Y30" s="133">
        <f>土木費等ﾃﾞｰﾀ2!Z15</f>
        <v>31171710</v>
      </c>
      <c r="Z30" s="198">
        <f>土木費等ﾃﾞｰﾀ2!AC15</f>
        <v>36748347</v>
      </c>
      <c r="AA30" s="198">
        <f>土木費等ﾃﾞｰﾀ2!AF15</f>
        <v>34448549</v>
      </c>
      <c r="AB30" s="198">
        <f>土木費等ﾃﾞｰﾀ2!AI15</f>
        <v>33874450</v>
      </c>
      <c r="AC30" s="198">
        <f>土木費等ﾃﾞｰﾀ2!AL15</f>
        <v>34570283.590527199</v>
      </c>
      <c r="AD30" s="198">
        <f>土木費等ﾃﾞｰﾀ2!AO15</f>
        <v>35567040</v>
      </c>
      <c r="AE30" s="198">
        <f>土木費等ﾃﾞｰﾀ2!AR15</f>
        <v>30575849</v>
      </c>
      <c r="AF30" s="198">
        <f>土木費等ﾃﾞｰﾀ2!AU15</f>
        <v>37895565</v>
      </c>
      <c r="AG30" s="1070">
        <f>土木費等ﾃﾞｰﾀ2!AX15</f>
        <v>52281194</v>
      </c>
      <c r="AH30" s="456">
        <f>土木費等ﾃﾞｰﾀ2!BA15</f>
        <v>30227944</v>
      </c>
      <c r="AI30" s="1070">
        <f>土木費等ﾃﾞｰﾀ2!BD94</f>
        <v>24593935</v>
      </c>
      <c r="AJ30" s="1070">
        <f>土木費等ﾃﾞｰﾀ2!BG94</f>
        <v>27985752</v>
      </c>
      <c r="AK30" s="456">
        <f>土木費等ﾃﾞｰﾀ2!BJ29</f>
        <v>2705143</v>
      </c>
      <c r="AL30" s="491">
        <f t="shared" ref="AL30:AN30" si="55">ROUND(SUM(AI30:AK30)/3,0)</f>
        <v>18428277</v>
      </c>
      <c r="AM30" s="491">
        <f t="shared" si="55"/>
        <v>16373057</v>
      </c>
      <c r="AN30" s="491">
        <f t="shared" si="55"/>
        <v>12502159</v>
      </c>
    </row>
    <row r="31" spans="1:40">
      <c r="A31" s="89">
        <v>442</v>
      </c>
      <c r="B31" s="98" t="s">
        <v>203</v>
      </c>
      <c r="C31" s="133">
        <f>土木費等ﾃﾞｰﾀ!D40</f>
        <v>667073</v>
      </c>
      <c r="D31" s="133">
        <f>土木費等ﾃﾞｰﾀ!G40</f>
        <v>735116</v>
      </c>
      <c r="E31" s="133">
        <f>土木費等ﾃﾞｰﾀ!J40</f>
        <v>940778</v>
      </c>
      <c r="F31" s="133">
        <f>土木費等ﾃﾞｰﾀ!M40</f>
        <v>772662</v>
      </c>
      <c r="G31" s="133">
        <f>土木費等ﾃﾞｰﾀ!P40</f>
        <v>677682</v>
      </c>
      <c r="H31" s="133">
        <f>土木費等ﾃﾞｰﾀ!S40</f>
        <v>976309</v>
      </c>
      <c r="I31" s="133">
        <f>土木費等ﾃﾞｰﾀ!V40</f>
        <v>1029339</v>
      </c>
      <c r="J31" s="133">
        <f>土木費等ﾃﾞｰﾀ!Y40</f>
        <v>687321</v>
      </c>
      <c r="K31" s="133">
        <f>土木費等ﾃﾞｰﾀ!AB40</f>
        <v>725000</v>
      </c>
      <c r="L31" s="133">
        <f>土木費等ﾃﾞｰﾀ!AG39</f>
        <v>568472</v>
      </c>
      <c r="M31" s="133">
        <f>土木費等ﾃﾞｰﾀ!AK50</f>
        <v>820221</v>
      </c>
      <c r="N31" s="133">
        <f>土木費等ﾃﾞｰﾀ!AN50</f>
        <v>560369</v>
      </c>
      <c r="O31" s="133">
        <f>土木費等ﾃﾞｰﾀ!AQ50</f>
        <v>628968</v>
      </c>
      <c r="P31" s="133">
        <f>土木費等ﾃﾞｰﾀ!AT50</f>
        <v>453530</v>
      </c>
      <c r="Q31" s="133">
        <f>土木費等ﾃﾞｰﾀ!AY53</f>
        <v>244282</v>
      </c>
      <c r="R31" s="133">
        <f>土木費等ﾃﾞｰﾀ2!E47</f>
        <v>152684</v>
      </c>
      <c r="S31" s="133">
        <f>土木費等ﾃﾞｰﾀ2!H47</f>
        <v>217813</v>
      </c>
      <c r="T31" s="133">
        <f>土木費等ﾃﾞｰﾀ2!K47</f>
        <v>209433</v>
      </c>
      <c r="U31" s="133">
        <f>土木費等ﾃﾞｰﾀ2!N47</f>
        <v>151113</v>
      </c>
      <c r="V31" s="133">
        <f>土木費等ﾃﾞｰﾀ2!Q47</f>
        <v>422638</v>
      </c>
      <c r="W31" s="133">
        <f>土木費等ﾃﾞｰﾀ2!T47</f>
        <v>355912</v>
      </c>
      <c r="X31" s="133">
        <f>土木費等ﾃﾞｰﾀ2!W47</f>
        <v>337271</v>
      </c>
      <c r="Y31" s="133">
        <f>土木費等ﾃﾞｰﾀ2!Z47</f>
        <v>489391</v>
      </c>
      <c r="Z31" s="198">
        <f>土木費等ﾃﾞｰﾀ2!AC47</f>
        <v>750413</v>
      </c>
      <c r="AA31" s="198">
        <f>土木費等ﾃﾞｰﾀ2!AF47</f>
        <v>308656</v>
      </c>
      <c r="AB31" s="198">
        <f>土木費等ﾃﾞｰﾀ2!AI47</f>
        <v>353538</v>
      </c>
      <c r="AC31" s="198">
        <f>土木費等ﾃﾞｰﾀ2!AL47</f>
        <v>397323.19294350583</v>
      </c>
      <c r="AD31" s="198">
        <f>土木費等ﾃﾞｰﾀ2!AO47</f>
        <v>946782</v>
      </c>
      <c r="AE31" s="198">
        <f>土木費等ﾃﾞｰﾀ2!AR47</f>
        <v>1760850</v>
      </c>
      <c r="AF31" s="198">
        <f>土木費等ﾃﾞｰﾀ2!AU47</f>
        <v>520209</v>
      </c>
      <c r="AG31" s="1070">
        <f>土木費等ﾃﾞｰﾀ2!AX47</f>
        <v>996716</v>
      </c>
      <c r="AH31" s="456">
        <f>土木費等ﾃﾞｰﾀ2!BA47</f>
        <v>669188</v>
      </c>
      <c r="AI31" s="1070">
        <f>土木費等ﾃﾞｰﾀ2!BD95</f>
        <v>585729</v>
      </c>
      <c r="AJ31" s="1070">
        <f>土木費等ﾃﾞｰﾀ2!BG95</f>
        <v>663945</v>
      </c>
      <c r="AK31" s="456">
        <f>土木費等ﾃﾞｰﾀ2!BJ30</f>
        <v>2918679</v>
      </c>
      <c r="AL31" s="491">
        <f t="shared" ref="AL31:AN31" si="56">ROUND(SUM(AI31:AK31)/3,0)</f>
        <v>1389451</v>
      </c>
      <c r="AM31" s="491">
        <f t="shared" si="56"/>
        <v>1657358</v>
      </c>
      <c r="AN31" s="491">
        <f t="shared" si="56"/>
        <v>1988496</v>
      </c>
    </row>
    <row r="32" spans="1:40">
      <c r="A32" s="89">
        <v>443</v>
      </c>
      <c r="B32" s="98" t="s">
        <v>204</v>
      </c>
      <c r="C32" s="133">
        <f>土木費等ﾃﾞｰﾀ!D41</f>
        <v>1098975</v>
      </c>
      <c r="D32" s="133">
        <f>土木費等ﾃﾞｰﾀ!G41</f>
        <v>1185838</v>
      </c>
      <c r="E32" s="133">
        <f>土木費等ﾃﾞｰﾀ!J41</f>
        <v>821320</v>
      </c>
      <c r="F32" s="133">
        <f>土木費等ﾃﾞｰﾀ!M41</f>
        <v>732217</v>
      </c>
      <c r="G32" s="133">
        <f>土木費等ﾃﾞｰﾀ!P41</f>
        <v>751462</v>
      </c>
      <c r="H32" s="133">
        <f>土木費等ﾃﾞｰﾀ!S41</f>
        <v>820110</v>
      </c>
      <c r="I32" s="133">
        <f>土木費等ﾃﾞｰﾀ!V41</f>
        <v>626056</v>
      </c>
      <c r="J32" s="133">
        <f>土木費等ﾃﾞｰﾀ!Y41</f>
        <v>1116918</v>
      </c>
      <c r="K32" s="133">
        <f>土木費等ﾃﾞｰﾀ!AB41</f>
        <v>918366</v>
      </c>
      <c r="L32" s="133">
        <f>土木費等ﾃﾞｰﾀ!AG40</f>
        <v>582323</v>
      </c>
      <c r="M32" s="133">
        <f>土木費等ﾃﾞｰﾀ!AK51</f>
        <v>907491</v>
      </c>
      <c r="N32" s="133">
        <f>土木費等ﾃﾞｰﾀ!AN51</f>
        <v>947037</v>
      </c>
      <c r="O32" s="133">
        <f>土木費等ﾃﾞｰﾀ!AQ51</f>
        <v>1317616</v>
      </c>
      <c r="P32" s="133">
        <f>土木費等ﾃﾞｰﾀ!AT51</f>
        <v>1044233</v>
      </c>
      <c r="Q32" s="133">
        <f>土木費等ﾃﾞｰﾀ!AY54</f>
        <v>993253</v>
      </c>
      <c r="R32" s="133">
        <f>土木費等ﾃﾞｰﾀ2!E48</f>
        <v>640532</v>
      </c>
      <c r="S32" s="133">
        <f>土木費等ﾃﾞｰﾀ2!H48</f>
        <v>582423</v>
      </c>
      <c r="T32" s="133">
        <f>土木費等ﾃﾞｰﾀ2!K48</f>
        <v>569476</v>
      </c>
      <c r="U32" s="133">
        <f>土木費等ﾃﾞｰﾀ2!N48</f>
        <v>613327</v>
      </c>
      <c r="V32" s="133">
        <f>土木費等ﾃﾞｰﾀ2!Q48</f>
        <v>658351</v>
      </c>
      <c r="W32" s="133">
        <f>土木費等ﾃﾞｰﾀ2!T48</f>
        <v>758914</v>
      </c>
      <c r="X32" s="133">
        <f>土木費等ﾃﾞｰﾀ2!W48</f>
        <v>1128782</v>
      </c>
      <c r="Y32" s="133">
        <f>土木費等ﾃﾞｰﾀ2!Z48</f>
        <v>566035</v>
      </c>
      <c r="Z32" s="198">
        <f>土木費等ﾃﾞｰﾀ2!AC48</f>
        <v>643833</v>
      </c>
      <c r="AA32" s="198">
        <f>土木費等ﾃﾞｰﾀ2!AF48</f>
        <v>1685097</v>
      </c>
      <c r="AB32" s="198">
        <f>土木費等ﾃﾞｰﾀ2!AI48</f>
        <v>1658029</v>
      </c>
      <c r="AC32" s="198">
        <f>土木費等ﾃﾞｰﾀ2!AL48</f>
        <v>1499282.990585438</v>
      </c>
      <c r="AD32" s="198">
        <f>土木費等ﾃﾞｰﾀ2!AO48</f>
        <v>1325693</v>
      </c>
      <c r="AE32" s="198">
        <f>土木費等ﾃﾞｰﾀ2!AR48</f>
        <v>1770512</v>
      </c>
      <c r="AF32" s="198">
        <f>土木費等ﾃﾞｰﾀ2!AU48</f>
        <v>1600671</v>
      </c>
      <c r="AG32" s="1070">
        <f>土木費等ﾃﾞｰﾀ2!AX48</f>
        <v>931396</v>
      </c>
      <c r="AH32" s="456">
        <f>土木費等ﾃﾞｰﾀ2!BA48</f>
        <v>777827</v>
      </c>
      <c r="AI32" s="1070">
        <f>土木費等ﾃﾞｰﾀ2!BD96</f>
        <v>850351</v>
      </c>
      <c r="AJ32" s="1070">
        <f>土木費等ﾃﾞｰﾀ2!BG96</f>
        <v>887570</v>
      </c>
      <c r="AK32" s="456">
        <f>土木費等ﾃﾞｰﾀ2!BJ31</f>
        <v>2879904</v>
      </c>
      <c r="AL32" s="491">
        <f t="shared" ref="AL32:AN32" si="57">ROUND(SUM(AI32:AK32)/3,0)</f>
        <v>1539275</v>
      </c>
      <c r="AM32" s="491">
        <f t="shared" si="57"/>
        <v>1768916</v>
      </c>
      <c r="AN32" s="491">
        <f t="shared" si="57"/>
        <v>2062698</v>
      </c>
    </row>
    <row r="33" spans="1:40">
      <c r="A33" s="89">
        <v>446</v>
      </c>
      <c r="B33" s="98" t="s">
        <v>234</v>
      </c>
      <c r="C33" s="133">
        <f>土木費等ﾃﾞｰﾀ!D39+土木費等ﾃﾞｰﾀ!D43</f>
        <v>787089</v>
      </c>
      <c r="D33" s="133">
        <f>土木費等ﾃﾞｰﾀ!G39+土木費等ﾃﾞｰﾀ!G43</f>
        <v>898232</v>
      </c>
      <c r="E33" s="133">
        <f>土木費等ﾃﾞｰﾀ!J39+土木費等ﾃﾞｰﾀ!J43</f>
        <v>861134</v>
      </c>
      <c r="F33" s="133">
        <f>土木費等ﾃﾞｰﾀ!M39+土木費等ﾃﾞｰﾀ!M43</f>
        <v>756325</v>
      </c>
      <c r="G33" s="133">
        <f>土木費等ﾃﾞｰﾀ!P39+土木費等ﾃﾞｰﾀ!P43</f>
        <v>737303</v>
      </c>
      <c r="H33" s="133">
        <f>土木費等ﾃﾞｰﾀ!S39+土木費等ﾃﾞｰﾀ!S43</f>
        <v>901736</v>
      </c>
      <c r="I33" s="133">
        <f>土木費等ﾃﾞｰﾀ!V39+土木費等ﾃﾞｰﾀ!V43</f>
        <v>1177688</v>
      </c>
      <c r="J33" s="133">
        <f>土木費等ﾃﾞｰﾀ!Y39+土木費等ﾃﾞｰﾀ!Y43</f>
        <v>1305270</v>
      </c>
      <c r="K33" s="133">
        <f>土木費等ﾃﾞｰﾀ!AB39+土木費等ﾃﾞｰﾀ!AB43</f>
        <v>1660237</v>
      </c>
      <c r="L33" s="133">
        <f>土木費等ﾃﾞｰﾀ!AG38+土木費等ﾃﾞｰﾀ!AG42</f>
        <v>5519787</v>
      </c>
      <c r="M33" s="133">
        <f>土木費等ﾃﾞｰﾀ!AK49+土木費等ﾃﾞｰﾀ!AK53</f>
        <v>837415</v>
      </c>
      <c r="N33" s="133">
        <f>土木費等ﾃﾞｰﾀ!AN49+土木費等ﾃﾞｰﾀ!AN53</f>
        <v>1339680</v>
      </c>
      <c r="O33" s="133">
        <f>土木費等ﾃﾞｰﾀ!AQ49+土木費等ﾃﾞｰﾀ!AQ53</f>
        <v>987475</v>
      </c>
      <c r="P33" s="133">
        <f>土木費等ﾃﾞｰﾀ!AT49+土木費等ﾃﾞｰﾀ!AT53</f>
        <v>819880</v>
      </c>
      <c r="Q33" s="133">
        <f>土木費等ﾃﾞｰﾀ!AY52+土木費等ﾃﾞｰﾀ!AY56</f>
        <v>832710</v>
      </c>
      <c r="R33" s="133">
        <f>土木費等ﾃﾞｰﾀ2!E49</f>
        <v>563789</v>
      </c>
      <c r="S33" s="133">
        <f>土木費等ﾃﾞｰﾀ2!H49</f>
        <v>772164</v>
      </c>
      <c r="T33" s="133">
        <f>土木費等ﾃﾞｰﾀ2!K49</f>
        <v>713226</v>
      </c>
      <c r="U33" s="133">
        <f>土木費等ﾃﾞｰﾀ2!N49</f>
        <v>807898</v>
      </c>
      <c r="V33" s="133">
        <f>土木費等ﾃﾞｰﾀ2!Q49</f>
        <v>1393620</v>
      </c>
      <c r="W33" s="133">
        <f>土木費等ﾃﾞｰﾀ2!T49</f>
        <v>2248541</v>
      </c>
      <c r="X33" s="133">
        <f>土木費等ﾃﾞｰﾀ2!W49</f>
        <v>760582</v>
      </c>
      <c r="Y33" s="133">
        <f>土木費等ﾃﾞｰﾀ2!Z49</f>
        <v>1953563</v>
      </c>
      <c r="Z33" s="198">
        <f>土木費等ﾃﾞｰﾀ2!AC49</f>
        <v>605457</v>
      </c>
      <c r="AA33" s="198">
        <f>土木費等ﾃﾞｰﾀ2!AF49</f>
        <v>1250732</v>
      </c>
      <c r="AB33" s="198">
        <f>土木費等ﾃﾞｰﾀ2!AI49</f>
        <v>1159962</v>
      </c>
      <c r="AC33" s="198">
        <f>土木費等ﾃﾞｰﾀ2!AL49</f>
        <v>1054019.4297703071</v>
      </c>
      <c r="AD33" s="198">
        <f>土木費等ﾃﾞｰﾀ2!AO49</f>
        <v>2315145</v>
      </c>
      <c r="AE33" s="198">
        <f>土木費等ﾃﾞｰﾀ2!AR49</f>
        <v>1760301</v>
      </c>
      <c r="AF33" s="198">
        <f>土木費等ﾃﾞｰﾀ2!AU49</f>
        <v>1207427</v>
      </c>
      <c r="AG33" s="1070">
        <f>土木費等ﾃﾞｰﾀ2!AX49</f>
        <v>1187640</v>
      </c>
      <c r="AH33" s="456">
        <f>土木費等ﾃﾞｰﾀ2!BA49</f>
        <v>711801</v>
      </c>
      <c r="AI33" s="1070">
        <f>土木費等ﾃﾞｰﾀ2!BD97</f>
        <v>613024</v>
      </c>
      <c r="AJ33" s="1070">
        <f>土木費等ﾃﾞｰﾀ2!BG97</f>
        <v>717027</v>
      </c>
      <c r="AK33" s="456">
        <f>土木費等ﾃﾞｰﾀ2!BJ32</f>
        <v>6137539</v>
      </c>
      <c r="AL33" s="491">
        <f t="shared" ref="AL33:AN33" si="58">ROUND(SUM(AI33:AK33)/3,0)</f>
        <v>2489197</v>
      </c>
      <c r="AM33" s="491">
        <f t="shared" si="58"/>
        <v>3114588</v>
      </c>
      <c r="AN33" s="491">
        <f t="shared" si="58"/>
        <v>3913775</v>
      </c>
    </row>
    <row r="34" spans="1:40">
      <c r="A34" s="86"/>
      <c r="B34" s="99" t="s">
        <v>205</v>
      </c>
      <c r="C34" s="133">
        <f>SUM(C35:C41)</f>
        <v>18606728</v>
      </c>
      <c r="D34" s="133">
        <f>SUM(D35:D41)</f>
        <v>20646583</v>
      </c>
      <c r="E34" s="133">
        <f>SUM(E35:E41)</f>
        <v>23652204</v>
      </c>
      <c r="F34" s="133">
        <f>SUM(F35:F41)</f>
        <v>28394901</v>
      </c>
      <c r="G34" s="133">
        <f>SUM(G35:G41)</f>
        <v>26461069</v>
      </c>
      <c r="H34" s="133">
        <f t="shared" ref="H34:T34" si="59">SUM(H35:H41)</f>
        <v>29126603</v>
      </c>
      <c r="I34" s="133">
        <f>SUM(I35:I41)</f>
        <v>29972197</v>
      </c>
      <c r="J34" s="133">
        <f>SUM(J35:J41)</f>
        <v>28625517</v>
      </c>
      <c r="K34" s="133">
        <f>SUM(K35:K41)</f>
        <v>30253972</v>
      </c>
      <c r="L34" s="133">
        <f t="shared" si="59"/>
        <v>16137035</v>
      </c>
      <c r="M34" s="133">
        <f t="shared" si="59"/>
        <v>29396595</v>
      </c>
      <c r="N34" s="133">
        <f>SUM(N35:N41)</f>
        <v>27257739</v>
      </c>
      <c r="O34" s="133">
        <f>SUM(O35:O41)</f>
        <v>25831607</v>
      </c>
      <c r="P34" s="133">
        <f>SUM(P35:P41)</f>
        <v>25394955</v>
      </c>
      <c r="Q34" s="133">
        <f t="shared" si="59"/>
        <v>25732326</v>
      </c>
      <c r="R34" s="133">
        <f t="shared" si="59"/>
        <v>24065024</v>
      </c>
      <c r="S34" s="133">
        <f t="shared" si="59"/>
        <v>20587114</v>
      </c>
      <c r="T34" s="133">
        <f t="shared" si="59"/>
        <v>18685248</v>
      </c>
      <c r="U34" s="133">
        <f t="shared" ref="U34:AD34" si="60">SUM(U35:U41)</f>
        <v>16113895</v>
      </c>
      <c r="V34" s="133">
        <f t="shared" si="60"/>
        <v>19883940</v>
      </c>
      <c r="W34" s="133">
        <f t="shared" si="60"/>
        <v>19638042</v>
      </c>
      <c r="X34" s="133">
        <f t="shared" si="60"/>
        <v>14470588</v>
      </c>
      <c r="Y34" s="133">
        <f t="shared" si="60"/>
        <v>13864473</v>
      </c>
      <c r="Z34" s="198">
        <f t="shared" si="60"/>
        <v>15793111</v>
      </c>
      <c r="AA34" s="198">
        <f t="shared" si="60"/>
        <v>15193829</v>
      </c>
      <c r="AB34" s="198">
        <f t="shared" si="60"/>
        <v>21725938</v>
      </c>
      <c r="AC34" s="198">
        <f t="shared" si="60"/>
        <v>19705908.092038821</v>
      </c>
      <c r="AD34" s="198">
        <f t="shared" si="60"/>
        <v>13456322</v>
      </c>
      <c r="AE34" s="198">
        <f>SUM(AE35:AE41)</f>
        <v>13632324</v>
      </c>
      <c r="AF34" s="198">
        <f>SUM(AF35:AF41)</f>
        <v>17795307</v>
      </c>
      <c r="AG34" s="198">
        <f t="shared" ref="AG34:AI34" si="61">SUM(AG35:AG41)</f>
        <v>19818051</v>
      </c>
      <c r="AH34" s="198">
        <f t="shared" si="61"/>
        <v>13345190</v>
      </c>
      <c r="AI34" s="198">
        <f t="shared" si="61"/>
        <v>11916587</v>
      </c>
      <c r="AJ34" s="198">
        <f t="shared" ref="AJ34:AK34" si="62">SUM(AJ35:AJ41)</f>
        <v>11615847</v>
      </c>
      <c r="AK34" s="198">
        <f t="shared" si="62"/>
        <v>19381396</v>
      </c>
      <c r="AL34" s="198">
        <f t="shared" ref="AL34:AM34" si="63">SUM(AL35:AL41)</f>
        <v>14304611</v>
      </c>
      <c r="AM34" s="198">
        <f t="shared" si="63"/>
        <v>15100618</v>
      </c>
      <c r="AN34" s="198">
        <f t="shared" ref="AN34" si="64">SUM(AN35:AN41)</f>
        <v>16262208</v>
      </c>
    </row>
    <row r="35" spans="1:40">
      <c r="A35" s="89">
        <v>208</v>
      </c>
      <c r="B35" s="98" t="s">
        <v>206</v>
      </c>
      <c r="C35" s="133">
        <f>土木費等ﾃﾞｰﾀ!D34</f>
        <v>1922709</v>
      </c>
      <c r="D35" s="133">
        <f>土木費等ﾃﾞｰﾀ!G34</f>
        <v>3764661</v>
      </c>
      <c r="E35" s="133">
        <f>土木費等ﾃﾞｰﾀ!J34</f>
        <v>5007162</v>
      </c>
      <c r="F35" s="133">
        <f>土木費等ﾃﾞｰﾀ!M34</f>
        <v>4974789</v>
      </c>
      <c r="G35" s="133">
        <f>土木費等ﾃﾞｰﾀ!P34</f>
        <v>4878951</v>
      </c>
      <c r="H35" s="133">
        <f>土木費等ﾃﾞｰﾀ!S34</f>
        <v>6807145</v>
      </c>
      <c r="I35" s="133">
        <f>土木費等ﾃﾞｰﾀ!V34</f>
        <v>5920675</v>
      </c>
      <c r="J35" s="133">
        <f>土木費等ﾃﾞｰﾀ!Y34</f>
        <v>5839454</v>
      </c>
      <c r="K35" s="133">
        <f>土木費等ﾃﾞｰﾀ!AB34</f>
        <v>5294949</v>
      </c>
      <c r="L35" s="133">
        <f>土木費等ﾃﾞｰﾀ!AG44</f>
        <v>967890</v>
      </c>
      <c r="M35" s="133">
        <f>土木費等ﾃﾞｰﾀ!AK22</f>
        <v>5096594</v>
      </c>
      <c r="N35" s="133">
        <f>土木費等ﾃﾞｰﾀ!AN22</f>
        <v>5608490</v>
      </c>
      <c r="O35" s="133">
        <f>土木費等ﾃﾞｰﾀ!AQ22</f>
        <v>5446893</v>
      </c>
      <c r="P35" s="133">
        <f>土木費等ﾃﾞｰﾀ!AT22</f>
        <v>5015688</v>
      </c>
      <c r="Q35" s="133">
        <f>土木費等ﾃﾞｰﾀ!AY22</f>
        <v>4534204</v>
      </c>
      <c r="R35" s="133">
        <f>土木費等ﾃﾞｰﾀ2!E22</f>
        <v>3828085</v>
      </c>
      <c r="S35" s="133">
        <f>土木費等ﾃﾞｰﾀ2!H22</f>
        <v>3585314</v>
      </c>
      <c r="T35" s="133">
        <f>土木費等ﾃﾞｰﾀ2!K22</f>
        <v>2262929</v>
      </c>
      <c r="U35" s="133">
        <f>土木費等ﾃﾞｰﾀ2!N22</f>
        <v>1970666</v>
      </c>
      <c r="V35" s="133">
        <f>土木費等ﾃﾞｰﾀ2!Q22</f>
        <v>1587904</v>
      </c>
      <c r="W35" s="133">
        <f>土木費等ﾃﾞｰﾀ2!T22</f>
        <v>946933</v>
      </c>
      <c r="X35" s="133">
        <f>土木費等ﾃﾞｰﾀ2!W22</f>
        <v>1408557</v>
      </c>
      <c r="Y35" s="133">
        <f>土木費等ﾃﾞｰﾀ2!Z22</f>
        <v>1460965</v>
      </c>
      <c r="Z35" s="198">
        <f>土木費等ﾃﾞｰﾀ2!AC22</f>
        <v>1082726</v>
      </c>
      <c r="AA35" s="198">
        <f>土木費等ﾃﾞｰﾀ2!AF22</f>
        <v>1796852</v>
      </c>
      <c r="AB35" s="198">
        <f>土木費等ﾃﾞｰﾀ2!AI22</f>
        <v>4333524</v>
      </c>
      <c r="AC35" s="198">
        <f>土木費等ﾃﾞｰﾀ2!AL22</f>
        <v>3386582.4106392292</v>
      </c>
      <c r="AD35" s="198">
        <f>土木費等ﾃﾞｰﾀ2!AO22</f>
        <v>1318930</v>
      </c>
      <c r="AE35" s="198">
        <f>土木費等ﾃﾞｰﾀ2!AR22</f>
        <v>702063</v>
      </c>
      <c r="AF35" s="198">
        <f>土木費等ﾃﾞｰﾀ2!AU22</f>
        <v>1203200</v>
      </c>
      <c r="AG35" s="1070">
        <f>土木費等ﾃﾞｰﾀ2!AX22</f>
        <v>879009</v>
      </c>
      <c r="AH35" s="456">
        <f>土木費等ﾃﾞｰﾀ2!BA22</f>
        <v>915241</v>
      </c>
      <c r="AI35" s="1070">
        <f>土木費等ﾃﾞｰﾀ2!BD99</f>
        <v>937827</v>
      </c>
      <c r="AJ35" s="1070">
        <f>土木費等ﾃﾞｰﾀ2!BG99</f>
        <v>1091814</v>
      </c>
      <c r="AK35" s="456">
        <f>土木費等ﾃﾞｰﾀ2!BJ34</f>
        <v>2005903</v>
      </c>
      <c r="AL35" s="491">
        <f t="shared" ref="AL35:AN35" si="65">ROUND(SUM(AI35:AK35)/3,0)</f>
        <v>1345181</v>
      </c>
      <c r="AM35" s="491">
        <f t="shared" si="65"/>
        <v>1480966</v>
      </c>
      <c r="AN35" s="491">
        <f t="shared" si="65"/>
        <v>1610683</v>
      </c>
    </row>
    <row r="36" spans="1:40">
      <c r="A36" s="89">
        <v>212</v>
      </c>
      <c r="B36" s="98" t="s">
        <v>207</v>
      </c>
      <c r="C36" s="133">
        <f>土木費等ﾃﾞｰﾀ!D36</f>
        <v>4294898</v>
      </c>
      <c r="D36" s="133">
        <f>土木費等ﾃﾞｰﾀ!G36</f>
        <v>4120897</v>
      </c>
      <c r="E36" s="133">
        <f>土木費等ﾃﾞｰﾀ!J36</f>
        <v>5468715</v>
      </c>
      <c r="F36" s="133">
        <f>土木費等ﾃﾞｰﾀ!M36</f>
        <v>7670875</v>
      </c>
      <c r="G36" s="133">
        <f>土木費等ﾃﾞｰﾀ!P36</f>
        <v>5509697</v>
      </c>
      <c r="H36" s="133">
        <f>土木費等ﾃﾞｰﾀ!S36</f>
        <v>4859992</v>
      </c>
      <c r="I36" s="133">
        <f>土木費等ﾃﾞｰﾀ!V36</f>
        <v>6556618</v>
      </c>
      <c r="J36" s="133">
        <f>土木費等ﾃﾞｰﾀ!Y36</f>
        <v>5131581</v>
      </c>
      <c r="K36" s="133">
        <f>土木費等ﾃﾞｰﾀ!AB36</f>
        <v>6768434</v>
      </c>
      <c r="L36" s="133">
        <f>土木費等ﾃﾞｰﾀ!AG46</f>
        <v>368917</v>
      </c>
      <c r="M36" s="133">
        <f>土木費等ﾃﾞｰﾀ!AK26</f>
        <v>7803488</v>
      </c>
      <c r="N36" s="133">
        <f>土木費等ﾃﾞｰﾀ!AN26</f>
        <v>5246528</v>
      </c>
      <c r="O36" s="133">
        <f>土木費等ﾃﾞｰﾀ!AQ26</f>
        <v>5510059</v>
      </c>
      <c r="P36" s="133">
        <f>土木費等ﾃﾞｰﾀ!AT26</f>
        <v>5213191</v>
      </c>
      <c r="Q36" s="133">
        <f>土木費等ﾃﾞｰﾀ!AY26</f>
        <v>5726467</v>
      </c>
      <c r="R36" s="133">
        <f>土木費等ﾃﾞｰﾀ2!E25</f>
        <v>3894376</v>
      </c>
      <c r="S36" s="133">
        <f>土木費等ﾃﾞｰﾀ2!H25</f>
        <v>3197294</v>
      </c>
      <c r="T36" s="133">
        <f>土木費等ﾃﾞｰﾀ2!K25</f>
        <v>3053579</v>
      </c>
      <c r="U36" s="133">
        <f>土木費等ﾃﾞｰﾀ2!N25</f>
        <v>2793940</v>
      </c>
      <c r="V36" s="133">
        <f>土木費等ﾃﾞｰﾀ2!Q25</f>
        <v>2137601</v>
      </c>
      <c r="W36" s="133">
        <f>土木費等ﾃﾞｰﾀ2!T25</f>
        <v>2794335</v>
      </c>
      <c r="X36" s="133">
        <f>土木費等ﾃﾞｰﾀ2!W25</f>
        <v>2497599</v>
      </c>
      <c r="Y36" s="133">
        <f>土木費等ﾃﾞｰﾀ2!Z25</f>
        <v>3274157</v>
      </c>
      <c r="Z36" s="198">
        <f>土木費等ﾃﾞｰﾀ2!AC25</f>
        <v>4544638</v>
      </c>
      <c r="AA36" s="198">
        <f>土木費等ﾃﾞｰﾀ2!AF25</f>
        <v>4378799</v>
      </c>
      <c r="AB36" s="198">
        <f>土木費等ﾃﾞｰﾀ2!AI25</f>
        <v>5700006</v>
      </c>
      <c r="AC36" s="198">
        <f>土木費等ﾃﾞｰﾀ2!AL25</f>
        <v>5312962.3942717453</v>
      </c>
      <c r="AD36" s="198">
        <f>土木費等ﾃﾞｰﾀ2!AO25</f>
        <v>3088876</v>
      </c>
      <c r="AE36" s="198">
        <f>土木費等ﾃﾞｰﾀ2!AR25</f>
        <v>2897921</v>
      </c>
      <c r="AF36" s="198">
        <f>土木費等ﾃﾞｰﾀ2!AU25</f>
        <v>2853973</v>
      </c>
      <c r="AG36" s="1070">
        <f>土木費等ﾃﾞｰﾀ2!AX25</f>
        <v>1939488</v>
      </c>
      <c r="AH36" s="456">
        <f>土木費等ﾃﾞｰﾀ2!BA25</f>
        <v>2041070</v>
      </c>
      <c r="AI36" s="1070">
        <f>土木費等ﾃﾞｰﾀ2!BD100</f>
        <v>1781677</v>
      </c>
      <c r="AJ36" s="1070">
        <f>土木費等ﾃﾞｰﾀ2!BG100</f>
        <v>2385499</v>
      </c>
      <c r="AK36" s="456">
        <f>土木費等ﾃﾞｰﾀ2!BJ35</f>
        <v>1716924</v>
      </c>
      <c r="AL36" s="491">
        <f t="shared" ref="AL36:AN36" si="66">ROUND(SUM(AI36:AK36)/3,0)</f>
        <v>1961367</v>
      </c>
      <c r="AM36" s="491">
        <f t="shared" si="66"/>
        <v>2021263</v>
      </c>
      <c r="AN36" s="491">
        <f t="shared" si="66"/>
        <v>1899851</v>
      </c>
    </row>
    <row r="37" spans="1:40">
      <c r="A37" s="89">
        <v>227</v>
      </c>
      <c r="B37" s="98" t="s">
        <v>219</v>
      </c>
      <c r="C37" s="133">
        <f>土木費等ﾃﾞｰﾀ!D53+土木費等ﾃﾞｰﾀ!D55+土木費等ﾃﾞｰﾀ!D56+土木費等ﾃﾞｰﾀ!D57</f>
        <v>2473655</v>
      </c>
      <c r="D37" s="133">
        <f>土木費等ﾃﾞｰﾀ!G53+土木費等ﾃﾞｰﾀ!G55+土木費等ﾃﾞｰﾀ!G56+土木費等ﾃﾞｰﾀ!G57</f>
        <v>2646764</v>
      </c>
      <c r="E37" s="133">
        <f>土木費等ﾃﾞｰﾀ!J53+土木費等ﾃﾞｰﾀ!J55+土木費等ﾃﾞｰﾀ!J56+土木費等ﾃﾞｰﾀ!J57</f>
        <v>2693667</v>
      </c>
      <c r="F37" s="133">
        <f>土木費等ﾃﾞｰﾀ!M53+土木費等ﾃﾞｰﾀ!M55+土木費等ﾃﾞｰﾀ!M56+土木費等ﾃﾞｰﾀ!M57</f>
        <v>2667429</v>
      </c>
      <c r="G37" s="133">
        <f>土木費等ﾃﾞｰﾀ!P53+土木費等ﾃﾞｰﾀ!P55+土木費等ﾃﾞｰﾀ!P56+土木費等ﾃﾞｰﾀ!P57</f>
        <v>2893566</v>
      </c>
      <c r="H37" s="133">
        <f>土木費等ﾃﾞｰﾀ!S53+土木費等ﾃﾞｰﾀ!S55+土木費等ﾃﾞｰﾀ!S56+土木費等ﾃﾞｰﾀ!S57</f>
        <v>3228590</v>
      </c>
      <c r="I37" s="133">
        <f>土木費等ﾃﾞｰﾀ!V53+土木費等ﾃﾞｰﾀ!V55+土木費等ﾃﾞｰﾀ!V56+土木費等ﾃﾞｰﾀ!V57</f>
        <v>3128210</v>
      </c>
      <c r="J37" s="133">
        <f>土木費等ﾃﾞｰﾀ!Y53+土木費等ﾃﾞｰﾀ!Y55+土木費等ﾃﾞｰﾀ!Y56+土木費等ﾃﾞｰﾀ!Y57</f>
        <v>2465539</v>
      </c>
      <c r="K37" s="133">
        <f>土木費等ﾃﾞｰﾀ!AB53+土木費等ﾃﾞｰﾀ!AB55+土木費等ﾃﾞｰﾀ!AB56+土木費等ﾃﾞｰﾀ!AB57</f>
        <v>4248535</v>
      </c>
      <c r="L37" s="133">
        <f>土木費等ﾃﾞｰﾀ!AG56+土木費等ﾃﾞｰﾀ!AG58+土木費等ﾃﾞｰﾀ!AG59+土木費等ﾃﾞｰﾀ!AG60</f>
        <v>3761486</v>
      </c>
      <c r="M37" s="133">
        <f>土木費等ﾃﾞｰﾀ!AK63+土木費等ﾃﾞｰﾀ!AK65+土木費等ﾃﾞｰﾀ!AK66+土木費等ﾃﾞｰﾀ!AK67</f>
        <v>3256936</v>
      </c>
      <c r="N37" s="133">
        <f>土木費等ﾃﾞｰﾀ!AN63+土木費等ﾃﾞｰﾀ!AN65+土木費等ﾃﾞｰﾀ!AN66+土木費等ﾃﾞｰﾀ!AN67</f>
        <v>3373302</v>
      </c>
      <c r="O37" s="133">
        <f>土木費等ﾃﾞｰﾀ!AQ63+土木費等ﾃﾞｰﾀ!AQ65+土木費等ﾃﾞｰﾀ!AQ66+土木費等ﾃﾞｰﾀ!AQ67</f>
        <v>2966963</v>
      </c>
      <c r="P37" s="133">
        <f>土木費等ﾃﾞｰﾀ!AT63+土木費等ﾃﾞｰﾀ!AT65+土木費等ﾃﾞｰﾀ!AT66+土木費等ﾃﾞｰﾀ!AT67</f>
        <v>3322874</v>
      </c>
      <c r="Q37" s="133">
        <f>土木費等ﾃﾞｰﾀ!AY66+土木費等ﾃﾞｰﾀ!AY68+土木費等ﾃﾞｰﾀ!AY69+土木費等ﾃﾞｰﾀ!AY70</f>
        <v>3661599</v>
      </c>
      <c r="R37" s="133">
        <f>土木費等ﾃﾞｰﾀ2!E40</f>
        <v>3140563</v>
      </c>
      <c r="S37" s="133">
        <f>土木費等ﾃﾞｰﾀ2!H40</f>
        <v>2611278</v>
      </c>
      <c r="T37" s="133">
        <f>土木費等ﾃﾞｰﾀ2!K40</f>
        <v>2348312</v>
      </c>
      <c r="U37" s="133">
        <f>土木費等ﾃﾞｰﾀ2!N40</f>
        <v>1917180</v>
      </c>
      <c r="V37" s="133">
        <f>土木費等ﾃﾞｰﾀ2!Q40</f>
        <v>5318859</v>
      </c>
      <c r="W37" s="133">
        <f>土木費等ﾃﾞｰﾀ2!T40</f>
        <v>5278668</v>
      </c>
      <c r="X37" s="133">
        <f>土木費等ﾃﾞｰﾀ2!W40</f>
        <v>3425859</v>
      </c>
      <c r="Y37" s="133">
        <f>土木費等ﾃﾞｰﾀ2!Z40</f>
        <v>2223274</v>
      </c>
      <c r="Z37" s="198">
        <f>土木費等ﾃﾞｰﾀ2!AC40</f>
        <v>3753843</v>
      </c>
      <c r="AA37" s="198">
        <f>土木費等ﾃﾞｰﾀ2!AF40</f>
        <v>2676372</v>
      </c>
      <c r="AB37" s="198">
        <f>土木費等ﾃﾞｰﾀ2!AI40</f>
        <v>3081590</v>
      </c>
      <c r="AC37" s="198">
        <f>土木費等ﾃﾞｰﾀ2!AL40</f>
        <v>3128631.914295096</v>
      </c>
      <c r="AD37" s="198">
        <f>土木費等ﾃﾞｰﾀ2!AO40</f>
        <v>3027382</v>
      </c>
      <c r="AE37" s="198">
        <f>土木費等ﾃﾞｰﾀ2!AR40</f>
        <v>3637301</v>
      </c>
      <c r="AF37" s="198">
        <f>土木費等ﾃﾞｰﾀ2!AU40</f>
        <v>3961143</v>
      </c>
      <c r="AG37" s="1070">
        <f>土木費等ﾃﾞｰﾀ2!AX40</f>
        <v>3226437</v>
      </c>
      <c r="AH37" s="456">
        <f>土木費等ﾃﾞｰﾀ2!BA40</f>
        <v>2208889</v>
      </c>
      <c r="AI37" s="1070">
        <f>土木費等ﾃﾞｰﾀ2!BD101</f>
        <v>2196121</v>
      </c>
      <c r="AJ37" s="1070">
        <f>土木費等ﾃﾞｰﾀ2!BG101</f>
        <v>2014545</v>
      </c>
      <c r="AK37" s="456">
        <f>土木費等ﾃﾞｰﾀ2!BJ36</f>
        <v>2831222</v>
      </c>
      <c r="AL37" s="491">
        <f t="shared" ref="AL37:AN37" si="67">ROUND(SUM(AI37:AK37)/3,0)</f>
        <v>2347296</v>
      </c>
      <c r="AM37" s="491">
        <f t="shared" si="67"/>
        <v>2397688</v>
      </c>
      <c r="AN37" s="491">
        <f t="shared" si="67"/>
        <v>2525402</v>
      </c>
    </row>
    <row r="38" spans="1:40">
      <c r="A38" s="89">
        <v>229</v>
      </c>
      <c r="B38" s="98" t="s">
        <v>235</v>
      </c>
      <c r="C38" s="133">
        <f>土木費等ﾃﾞｰﾀ!D35+土木費等ﾃﾞｰﾀ!D44+土木費等ﾃﾞｰﾀ!D45+土木費等ﾃﾞｰﾀ!D46</f>
        <v>5201312</v>
      </c>
      <c r="D38" s="133">
        <f>土木費等ﾃﾞｰﾀ!G35+土木費等ﾃﾞｰﾀ!G44+土木費等ﾃﾞｰﾀ!G45+土木費等ﾃﾞｰﾀ!G46</f>
        <v>5198268</v>
      </c>
      <c r="E38" s="133">
        <f>土木費等ﾃﾞｰﾀ!J35+土木費等ﾃﾞｰﾀ!J44+土木費等ﾃﾞｰﾀ!J45+土木費等ﾃﾞｰﾀ!J46</f>
        <v>5373876</v>
      </c>
      <c r="F38" s="133">
        <f>土木費等ﾃﾞｰﾀ!M35+土木費等ﾃﾞｰﾀ!M44+土木費等ﾃﾞｰﾀ!M45+土木費等ﾃﾞｰﾀ!M46</f>
        <v>7162874</v>
      </c>
      <c r="G38" s="133">
        <f>土木費等ﾃﾞｰﾀ!P35+土木費等ﾃﾞｰﾀ!P44+土木費等ﾃﾞｰﾀ!P45+土木費等ﾃﾞｰﾀ!P46</f>
        <v>7374607</v>
      </c>
      <c r="H38" s="133">
        <f>土木費等ﾃﾞｰﾀ!S35+土木費等ﾃﾞｰﾀ!S44+土木費等ﾃﾞｰﾀ!S45+土木費等ﾃﾞｰﾀ!S46</f>
        <v>8009925</v>
      </c>
      <c r="I38" s="133">
        <f>土木費等ﾃﾞｰﾀ!V35+土木費等ﾃﾞｰﾀ!V44+土木費等ﾃﾞｰﾀ!V45+土木費等ﾃﾞｰﾀ!V46</f>
        <v>7950118</v>
      </c>
      <c r="J38" s="133">
        <f>土木費等ﾃﾞｰﾀ!Y35+土木費等ﾃﾞｰﾀ!Y44+土木費等ﾃﾞｰﾀ!Y45+土木費等ﾃﾞｰﾀ!Y46</f>
        <v>8964528</v>
      </c>
      <c r="K38" s="133">
        <f>土木費等ﾃﾞｰﾀ!AB35+土木費等ﾃﾞｰﾀ!AB44+土木費等ﾃﾞｰﾀ!AB45+土木費等ﾃﾞｰﾀ!AB46</f>
        <v>7617275</v>
      </c>
      <c r="L38" s="133">
        <f>土木費等ﾃﾞｰﾀ!AG45+土木費等ﾃﾞｰﾀ!AG47+土木費等ﾃﾞｰﾀ!AG48+土木費等ﾃﾞｰﾀ!AG49</f>
        <v>3728186</v>
      </c>
      <c r="M38" s="133">
        <f>土木費等ﾃﾞｰﾀ!AK25+土木費等ﾃﾞｰﾀ!AK54+土木費等ﾃﾞｰﾀ!AK55+土木費等ﾃﾞｰﾀ!AK56</f>
        <v>7021632</v>
      </c>
      <c r="N38" s="133">
        <f>土木費等ﾃﾞｰﾀ!AN25+土木費等ﾃﾞｰﾀ!AN54+土木費等ﾃﾞｰﾀ!AN55+土木費等ﾃﾞｰﾀ!AN56</f>
        <v>6961578</v>
      </c>
      <c r="O38" s="133">
        <f>土木費等ﾃﾞｰﾀ!AQ25+土木費等ﾃﾞｰﾀ!AQ54+土木費等ﾃﾞｰﾀ!AQ55+土木費等ﾃﾞｰﾀ!AQ56</f>
        <v>7333333</v>
      </c>
      <c r="P38" s="133">
        <f>土木費等ﾃﾞｰﾀ!AT25+土木費等ﾃﾞｰﾀ!AT54+土木費等ﾃﾞｰﾀ!AT55+土木費等ﾃﾞｰﾀ!AT56</f>
        <v>6830297</v>
      </c>
      <c r="Q38" s="133">
        <f>土木費等ﾃﾞｰﾀ!AY25+土木費等ﾃﾞｰﾀ!AY57+土木費等ﾃﾞｰﾀ!AY58+土木費等ﾃﾞｰﾀ!AY59</f>
        <v>6650410</v>
      </c>
      <c r="R38" s="133">
        <f>土木費等ﾃﾞｰﾀ2!E42</f>
        <v>7029304</v>
      </c>
      <c r="S38" s="133">
        <f>土木費等ﾃﾞｰﾀ2!H42</f>
        <v>6873217</v>
      </c>
      <c r="T38" s="133">
        <f>土木費等ﾃﾞｰﾀ2!K42</f>
        <v>6360566</v>
      </c>
      <c r="U38" s="133">
        <f>土木費等ﾃﾞｰﾀ2!N42</f>
        <v>6055363</v>
      </c>
      <c r="V38" s="133">
        <f>土木費等ﾃﾞｰﾀ2!Q42</f>
        <v>4317312</v>
      </c>
      <c r="W38" s="133">
        <f>土木費等ﾃﾞｰﾀ2!T42</f>
        <v>4421849</v>
      </c>
      <c r="X38" s="133">
        <f>土木費等ﾃﾞｰﾀ2!W42</f>
        <v>2931563</v>
      </c>
      <c r="Y38" s="133">
        <f>土木費等ﾃﾞｰﾀ2!Z42</f>
        <v>2671466</v>
      </c>
      <c r="Z38" s="198">
        <f>土木費等ﾃﾞｰﾀ2!AC42</f>
        <v>2466837</v>
      </c>
      <c r="AA38" s="198">
        <f>土木費等ﾃﾞｰﾀ2!AF42</f>
        <v>2793026</v>
      </c>
      <c r="AB38" s="198">
        <f>土木費等ﾃﾞｰﾀ2!AI42</f>
        <v>2580389</v>
      </c>
      <c r="AC38" s="198">
        <f>土木費等ﾃﾞｰﾀ2!AL42</f>
        <v>2599661.0201145653</v>
      </c>
      <c r="AD38" s="198">
        <f>土木費等ﾃﾞｰﾀ2!AO42</f>
        <v>3163419</v>
      </c>
      <c r="AE38" s="198">
        <f>土木費等ﾃﾞｰﾀ2!AR42</f>
        <v>3347419</v>
      </c>
      <c r="AF38" s="198">
        <f>土木費等ﾃﾞｰﾀ2!AU42</f>
        <v>4314622</v>
      </c>
      <c r="AG38" s="1070">
        <f>土木費等ﾃﾞｰﾀ2!AX42</f>
        <v>7549785</v>
      </c>
      <c r="AH38" s="456">
        <f>土木費等ﾃﾞｰﾀ2!BA42</f>
        <v>3943097</v>
      </c>
      <c r="AI38" s="1070">
        <f>土木費等ﾃﾞｰﾀ2!BD102</f>
        <v>4596749</v>
      </c>
      <c r="AJ38" s="1070">
        <f>土木費等ﾃﾞｰﾀ2!BG102</f>
        <v>3412693</v>
      </c>
      <c r="AK38" s="456">
        <f>土木費等ﾃﾞｰﾀ2!BJ37</f>
        <v>4202843</v>
      </c>
      <c r="AL38" s="491">
        <f t="shared" ref="AL38:AN38" si="68">ROUND(SUM(AI38:AK38)/3,0)</f>
        <v>4070762</v>
      </c>
      <c r="AM38" s="491">
        <f t="shared" si="68"/>
        <v>3895433</v>
      </c>
      <c r="AN38" s="491">
        <f t="shared" si="68"/>
        <v>4056346</v>
      </c>
    </row>
    <row r="39" spans="1:40">
      <c r="A39" s="89">
        <v>464</v>
      </c>
      <c r="B39" s="98" t="s">
        <v>208</v>
      </c>
      <c r="C39" s="133">
        <f>土木費等ﾃﾞｰﾀ!D47</f>
        <v>1407404</v>
      </c>
      <c r="D39" s="133">
        <f>土木費等ﾃﾞｰﾀ!G47</f>
        <v>1478333</v>
      </c>
      <c r="E39" s="133">
        <f>土木費等ﾃﾞｰﾀ!J47</f>
        <v>1994790</v>
      </c>
      <c r="F39" s="133">
        <f>土木費等ﾃﾞｰﾀ!M47</f>
        <v>2539981</v>
      </c>
      <c r="G39" s="133">
        <f>土木費等ﾃﾞｰﾀ!P47</f>
        <v>2157524</v>
      </c>
      <c r="H39" s="133">
        <f>土木費等ﾃﾞｰﾀ!S47</f>
        <v>2426853</v>
      </c>
      <c r="I39" s="133">
        <f>土木費等ﾃﾞｰﾀ!V47</f>
        <v>2489936</v>
      </c>
      <c r="J39" s="133">
        <f>土木費等ﾃﾞｰﾀ!Y47</f>
        <v>2264841</v>
      </c>
      <c r="K39" s="133">
        <f>土木費等ﾃﾞｰﾀ!AB47</f>
        <v>2573922</v>
      </c>
      <c r="L39" s="133">
        <f>土木費等ﾃﾞｰﾀ!AG50</f>
        <v>2502295</v>
      </c>
      <c r="M39" s="133">
        <f>土木費等ﾃﾞｰﾀ!AK57</f>
        <v>2160916</v>
      </c>
      <c r="N39" s="133">
        <f>土木費等ﾃﾞｰﾀ!AN57</f>
        <v>1543344</v>
      </c>
      <c r="O39" s="133">
        <f>土木費等ﾃﾞｰﾀ!AQ57</f>
        <v>1491375</v>
      </c>
      <c r="P39" s="133">
        <f>土木費等ﾃﾞｰﾀ!AT57</f>
        <v>1346419</v>
      </c>
      <c r="Q39" s="133">
        <f>土木費等ﾃﾞｰﾀ!AY60</f>
        <v>1397055</v>
      </c>
      <c r="R39" s="133">
        <f>土木費等ﾃﾞｰﾀ2!E50</f>
        <v>1362205</v>
      </c>
      <c r="S39" s="133">
        <f>土木費等ﾃﾞｰﾀ2!H50</f>
        <v>1369698</v>
      </c>
      <c r="T39" s="133">
        <f>土木費等ﾃﾞｰﾀ2!K50</f>
        <v>1388296</v>
      </c>
      <c r="U39" s="133">
        <f>土木費等ﾃﾞｰﾀ2!N50</f>
        <v>1361492</v>
      </c>
      <c r="V39" s="133">
        <f>土木費等ﾃﾞｰﾀ2!Q50</f>
        <v>1295785</v>
      </c>
      <c r="W39" s="133">
        <f>土木費等ﾃﾞｰﾀ2!T50</f>
        <v>733785</v>
      </c>
      <c r="X39" s="133">
        <f>土木費等ﾃﾞｰﾀ2!W50</f>
        <v>768695</v>
      </c>
      <c r="Y39" s="133">
        <f>土木費等ﾃﾞｰﾀ2!Z50</f>
        <v>1068939</v>
      </c>
      <c r="Z39" s="198">
        <f>土木費等ﾃﾞｰﾀ2!AC50</f>
        <v>584204</v>
      </c>
      <c r="AA39" s="198">
        <f>土木費等ﾃﾞｰﾀ2!AF50</f>
        <v>771560</v>
      </c>
      <c r="AB39" s="198">
        <f>土木費等ﾃﾞｰﾀ2!AI50</f>
        <v>3806069</v>
      </c>
      <c r="AC39" s="198">
        <f>土木費等ﾃﾞｰﾀ2!AL50</f>
        <v>2780517.8581180675</v>
      </c>
      <c r="AD39" s="198">
        <f>土木費等ﾃﾞｰﾀ2!AO50</f>
        <v>775638</v>
      </c>
      <c r="AE39" s="198">
        <f>土木費等ﾃﾞｰﾀ2!AR50</f>
        <v>502425</v>
      </c>
      <c r="AF39" s="198">
        <f>土木費等ﾃﾞｰﾀ2!AU50</f>
        <v>1999537</v>
      </c>
      <c r="AG39" s="1070">
        <f>土木費等ﾃﾞｰﾀ2!AX50</f>
        <v>2274933</v>
      </c>
      <c r="AH39" s="456">
        <f>土木費等ﾃﾞｰﾀ2!BA50</f>
        <v>774571</v>
      </c>
      <c r="AI39" s="1070">
        <f>土木費等ﾃﾞｰﾀ2!BD103</f>
        <v>658950</v>
      </c>
      <c r="AJ39" s="1070">
        <f>土木費等ﾃﾞｰﾀ2!BG103</f>
        <v>445952</v>
      </c>
      <c r="AK39" s="456">
        <f>土木費等ﾃﾞｰﾀ2!BJ38</f>
        <v>2442282</v>
      </c>
      <c r="AL39" s="491">
        <f t="shared" ref="AL39:AN39" si="69">ROUND(SUM(AI39:AK39)/3,0)</f>
        <v>1182395</v>
      </c>
      <c r="AM39" s="491">
        <f t="shared" si="69"/>
        <v>1356876</v>
      </c>
      <c r="AN39" s="491">
        <f t="shared" si="69"/>
        <v>1660518</v>
      </c>
    </row>
    <row r="40" spans="1:40">
      <c r="A40" s="89">
        <v>481</v>
      </c>
      <c r="B40" s="98" t="s">
        <v>209</v>
      </c>
      <c r="C40" s="133">
        <f>土木費等ﾃﾞｰﾀ!D48</f>
        <v>1170062</v>
      </c>
      <c r="D40" s="133">
        <f>土木費等ﾃﾞｰﾀ!G48</f>
        <v>1295708</v>
      </c>
      <c r="E40" s="133">
        <f>土木費等ﾃﾞｰﾀ!J48</f>
        <v>1289187</v>
      </c>
      <c r="F40" s="133">
        <f>土木費等ﾃﾞｰﾀ!M48</f>
        <v>1537826</v>
      </c>
      <c r="G40" s="133">
        <f>土木費等ﾃﾞｰﾀ!P48</f>
        <v>1934486</v>
      </c>
      <c r="H40" s="133">
        <f>土木費等ﾃﾞｰﾀ!S48</f>
        <v>1684035</v>
      </c>
      <c r="I40" s="133">
        <f>土木費等ﾃﾞｰﾀ!V48</f>
        <v>1461569</v>
      </c>
      <c r="J40" s="133">
        <f>土木費等ﾃﾞｰﾀ!Y48</f>
        <v>1520682</v>
      </c>
      <c r="K40" s="133">
        <f>土木費等ﾃﾞｰﾀ!AB48</f>
        <v>1580334</v>
      </c>
      <c r="L40" s="133">
        <f>土木費等ﾃﾞｰﾀ!AG51</f>
        <v>2141425</v>
      </c>
      <c r="M40" s="133">
        <f>土木費等ﾃﾞｰﾀ!AK58</f>
        <v>2102515</v>
      </c>
      <c r="N40" s="133">
        <f>土木費等ﾃﾞｰﾀ!AN58</f>
        <v>2563332</v>
      </c>
      <c r="O40" s="133">
        <f>土木費等ﾃﾞｰﾀ!AQ58</f>
        <v>1479840</v>
      </c>
      <c r="P40" s="133">
        <f>土木費等ﾃﾞｰﾀ!AT58</f>
        <v>1564178</v>
      </c>
      <c r="Q40" s="133">
        <f>土木費等ﾃﾞｰﾀ!AY61</f>
        <v>1253055</v>
      </c>
      <c r="R40" s="133">
        <f>土木費等ﾃﾞｰﾀ2!E51</f>
        <v>2461826</v>
      </c>
      <c r="S40" s="133">
        <f>土木費等ﾃﾞｰﾀ2!H51</f>
        <v>1544636</v>
      </c>
      <c r="T40" s="133">
        <f>土木費等ﾃﾞｰﾀ2!K51</f>
        <v>1922323</v>
      </c>
      <c r="U40" s="133">
        <f>土木費等ﾃﾞｰﾀ2!N51</f>
        <v>950665</v>
      </c>
      <c r="V40" s="133">
        <f>土木費等ﾃﾞｰﾀ2!Q51</f>
        <v>1302985</v>
      </c>
      <c r="W40" s="133">
        <f>土木費等ﾃﾞｰﾀ2!T51</f>
        <v>1109585</v>
      </c>
      <c r="X40" s="133">
        <f>土木費等ﾃﾞｰﾀ2!W51</f>
        <v>694641</v>
      </c>
      <c r="Y40" s="133">
        <f>土木費等ﾃﾞｰﾀ2!Z51</f>
        <v>892474</v>
      </c>
      <c r="Z40" s="198">
        <f>土木費等ﾃﾞｰﾀ2!AC51</f>
        <v>886522</v>
      </c>
      <c r="AA40" s="198">
        <f>土木費等ﾃﾞｰﾀ2!AF51</f>
        <v>498564</v>
      </c>
      <c r="AB40" s="198">
        <f>土木費等ﾃﾞｰﾀ2!AI51</f>
        <v>509367</v>
      </c>
      <c r="AC40" s="198">
        <f>土木費等ﾃﾞｰﾀ2!AL51</f>
        <v>566100.41629816114</v>
      </c>
      <c r="AD40" s="198">
        <f>土木費等ﾃﾞｰﾀ2!AO51</f>
        <v>789733</v>
      </c>
      <c r="AE40" s="198">
        <f>土木費等ﾃﾞｰﾀ2!AR51</f>
        <v>567102</v>
      </c>
      <c r="AF40" s="198">
        <f>土木費等ﾃﾞｰﾀ2!AU51</f>
        <v>1030762</v>
      </c>
      <c r="AG40" s="1070">
        <f>土木費等ﾃﾞｰﾀ2!AX51</f>
        <v>1396953</v>
      </c>
      <c r="AH40" s="456">
        <f>土木費等ﾃﾞｰﾀ2!BA52</f>
        <v>1141786</v>
      </c>
      <c r="AI40" s="1070">
        <f>土木費等ﾃﾞｰﾀ2!BD104</f>
        <v>718404</v>
      </c>
      <c r="AJ40" s="1070">
        <f>土木費等ﾃﾞｰﾀ2!BG104</f>
        <v>676548</v>
      </c>
      <c r="AK40" s="456">
        <f>土木費等ﾃﾞｰﾀ2!BJ39</f>
        <v>4393527</v>
      </c>
      <c r="AL40" s="491">
        <f t="shared" ref="AL40:AN40" si="70">ROUND(SUM(AI40:AK40)/3,0)</f>
        <v>1929493</v>
      </c>
      <c r="AM40" s="491">
        <f t="shared" si="70"/>
        <v>2333189</v>
      </c>
      <c r="AN40" s="491">
        <f t="shared" si="70"/>
        <v>2885403</v>
      </c>
    </row>
    <row r="41" spans="1:40">
      <c r="A41" s="89">
        <v>501</v>
      </c>
      <c r="B41" s="98" t="s">
        <v>236</v>
      </c>
      <c r="C41" s="133">
        <f>土木費等ﾃﾞｰﾀ!D49+土木費等ﾃﾞｰﾀ!D50+土木費等ﾃﾞｰﾀ!D51+土木費等ﾃﾞｰﾀ!D52</f>
        <v>2136688</v>
      </c>
      <c r="D41" s="133">
        <f>土木費等ﾃﾞｰﾀ!G49+土木費等ﾃﾞｰﾀ!G50+土木費等ﾃﾞｰﾀ!G51+土木費等ﾃﾞｰﾀ!G52</f>
        <v>2141952</v>
      </c>
      <c r="E41" s="133">
        <f>土木費等ﾃﾞｰﾀ!J49+土木費等ﾃﾞｰﾀ!J50+土木費等ﾃﾞｰﾀ!J51+土木費等ﾃﾞｰﾀ!J52</f>
        <v>1824807</v>
      </c>
      <c r="F41" s="133">
        <f>土木費等ﾃﾞｰﾀ!M49+土木費等ﾃﾞｰﾀ!M50+土木費等ﾃﾞｰﾀ!M51+土木費等ﾃﾞｰﾀ!M52</f>
        <v>1841127</v>
      </c>
      <c r="G41" s="133">
        <f>土木費等ﾃﾞｰﾀ!P49+土木費等ﾃﾞｰﾀ!P50+土木費等ﾃﾞｰﾀ!P51+土木費等ﾃﾞｰﾀ!P52</f>
        <v>1712238</v>
      </c>
      <c r="H41" s="133">
        <f>土木費等ﾃﾞｰﾀ!S49+土木費等ﾃﾞｰﾀ!S50+土木費等ﾃﾞｰﾀ!S51+土木費等ﾃﾞｰﾀ!S52</f>
        <v>2110063</v>
      </c>
      <c r="I41" s="133">
        <f>土木費等ﾃﾞｰﾀ!V49+土木費等ﾃﾞｰﾀ!V50+土木費等ﾃﾞｰﾀ!V51+土木費等ﾃﾞｰﾀ!V52</f>
        <v>2465071</v>
      </c>
      <c r="J41" s="133">
        <f>土木費等ﾃﾞｰﾀ!Y49+土木費等ﾃﾞｰﾀ!Y50+土木費等ﾃﾞｰﾀ!Y51+土木費等ﾃﾞｰﾀ!Y52</f>
        <v>2438892</v>
      </c>
      <c r="K41" s="133">
        <f>土木費等ﾃﾞｰﾀ!AB49+土木費等ﾃﾞｰﾀ!AB50+土木費等ﾃﾞｰﾀ!AB51+土木費等ﾃﾞｰﾀ!AB52</f>
        <v>2170523</v>
      </c>
      <c r="L41" s="133">
        <f>土木費等ﾃﾞｰﾀ!AG52+土木費等ﾃﾞｰﾀ!AG53+土木費等ﾃﾞｰﾀ!AG54+土木費等ﾃﾞｰﾀ!AG55</f>
        <v>2666836</v>
      </c>
      <c r="M41" s="133">
        <f>土木費等ﾃﾞｰﾀ!AK59+土木費等ﾃﾞｰﾀ!AK60+土木費等ﾃﾞｰﾀ!AK61+土木費等ﾃﾞｰﾀ!AK62</f>
        <v>1954514</v>
      </c>
      <c r="N41" s="133">
        <f>土木費等ﾃﾞｰﾀ!AN59+土木費等ﾃﾞｰﾀ!AN60+土木費等ﾃﾞｰﾀ!AN61+土木費等ﾃﾞｰﾀ!AN62</f>
        <v>1961165</v>
      </c>
      <c r="O41" s="133">
        <f>土木費等ﾃﾞｰﾀ!AQ59+土木費等ﾃﾞｰﾀ!AQ60+土木費等ﾃﾞｰﾀ!AQ61+土木費等ﾃﾞｰﾀ!AQ62</f>
        <v>1603144</v>
      </c>
      <c r="P41" s="133">
        <f>土木費等ﾃﾞｰﾀ!AT59+土木費等ﾃﾞｰﾀ!AT60+土木費等ﾃﾞｰﾀ!AT61+土木費等ﾃﾞｰﾀ!AT62</f>
        <v>2102308</v>
      </c>
      <c r="Q41" s="133">
        <f>土木費等ﾃﾞｰﾀ!AY62+土木費等ﾃﾞｰﾀ!AY63+土木費等ﾃﾞｰﾀ!AY64+土木費等ﾃﾞｰﾀ!AY65</f>
        <v>2509536</v>
      </c>
      <c r="R41" s="133">
        <f>土木費等ﾃﾞｰﾀ2!E52</f>
        <v>2348665</v>
      </c>
      <c r="S41" s="133">
        <f>土木費等ﾃﾞｰﾀ2!H52</f>
        <v>1405677</v>
      </c>
      <c r="T41" s="133">
        <f>土木費等ﾃﾞｰﾀ2!K52</f>
        <v>1349243</v>
      </c>
      <c r="U41" s="133">
        <f>土木費等ﾃﾞｰﾀ2!N52</f>
        <v>1064589</v>
      </c>
      <c r="V41" s="133">
        <f>土木費等ﾃﾞｰﾀ2!Q52</f>
        <v>3923494</v>
      </c>
      <c r="W41" s="133">
        <f>土木費等ﾃﾞｰﾀ2!T52</f>
        <v>4352887</v>
      </c>
      <c r="X41" s="133">
        <f>土木費等ﾃﾞｰﾀ2!W52</f>
        <v>2743674</v>
      </c>
      <c r="Y41" s="133">
        <f>土木費等ﾃﾞｰﾀ2!Z52</f>
        <v>2273198</v>
      </c>
      <c r="Z41" s="198">
        <f>土木費等ﾃﾞｰﾀ2!AC52</f>
        <v>2474341</v>
      </c>
      <c r="AA41" s="198">
        <f>土木費等ﾃﾞｰﾀ2!AF52</f>
        <v>2278656</v>
      </c>
      <c r="AB41" s="198">
        <f>土木費等ﾃﾞｰﾀ2!AI52</f>
        <v>1714993</v>
      </c>
      <c r="AC41" s="198">
        <f>土木費等ﾃﾞｰﾀ2!AL52</f>
        <v>1931452.0783019555</v>
      </c>
      <c r="AD41" s="198">
        <f>土木費等ﾃﾞｰﾀ2!AO52</f>
        <v>1292344</v>
      </c>
      <c r="AE41" s="198">
        <f>土木費等ﾃﾞｰﾀ2!AR52</f>
        <v>1978093</v>
      </c>
      <c r="AF41" s="198">
        <f>土木費等ﾃﾞｰﾀ2!AU52</f>
        <v>2432070</v>
      </c>
      <c r="AG41" s="1070">
        <f>土木費等ﾃﾞｰﾀ2!AX52</f>
        <v>2551446</v>
      </c>
      <c r="AH41" s="456">
        <f t="shared" ref="AH41:AN41" si="71">ROUND(SUM(AE41:AG41)/3,0)</f>
        <v>2320536</v>
      </c>
      <c r="AI41" s="1070">
        <f>土木費等ﾃﾞｰﾀ2!BD105</f>
        <v>1026859</v>
      </c>
      <c r="AJ41" s="1070">
        <f>土木費等ﾃﾞｰﾀ2!BG105</f>
        <v>1588796</v>
      </c>
      <c r="AK41" s="456">
        <f>土木費等ﾃﾞｰﾀ2!BJ40</f>
        <v>1788695</v>
      </c>
      <c r="AL41" s="491">
        <f t="shared" si="71"/>
        <v>1468117</v>
      </c>
      <c r="AM41" s="491">
        <f t="shared" si="71"/>
        <v>1615203</v>
      </c>
      <c r="AN41" s="491">
        <f t="shared" si="71"/>
        <v>1624005</v>
      </c>
    </row>
    <row r="42" spans="1:40">
      <c r="A42" s="89"/>
      <c r="B42" s="101" t="s">
        <v>210</v>
      </c>
      <c r="C42" s="133">
        <f>SUM(C43:C47)</f>
        <v>15607694</v>
      </c>
      <c r="D42" s="133">
        <f>SUM(D43:D47)</f>
        <v>21138480</v>
      </c>
      <c r="E42" s="133">
        <f>SUM(E43:E47)</f>
        <v>20487709</v>
      </c>
      <c r="F42" s="133">
        <f>SUM(F43:F47)</f>
        <v>16739120</v>
      </c>
      <c r="G42" s="133">
        <f>SUM(G43:G47)</f>
        <v>18776590</v>
      </c>
      <c r="H42" s="133">
        <f t="shared" ref="H42:T42" si="72">SUM(H43:H47)</f>
        <v>20335684</v>
      </c>
      <c r="I42" s="133">
        <f>SUM(I43:I47)</f>
        <v>18136088</v>
      </c>
      <c r="J42" s="133">
        <f>SUM(J43:J47)</f>
        <v>20433690</v>
      </c>
      <c r="K42" s="133">
        <f>SUM(K43:K47)</f>
        <v>19697717</v>
      </c>
      <c r="L42" s="133">
        <f t="shared" si="72"/>
        <v>19412639</v>
      </c>
      <c r="M42" s="133">
        <f t="shared" si="72"/>
        <v>16894366</v>
      </c>
      <c r="N42" s="133">
        <f>SUM(N43:N47)</f>
        <v>16597818</v>
      </c>
      <c r="O42" s="133">
        <f>SUM(O43:O47)</f>
        <v>15624483</v>
      </c>
      <c r="P42" s="133">
        <f>SUM(P43:P47)</f>
        <v>17645048</v>
      </c>
      <c r="Q42" s="133">
        <f t="shared" si="72"/>
        <v>18640415</v>
      </c>
      <c r="R42" s="133">
        <f t="shared" si="72"/>
        <v>26759794</v>
      </c>
      <c r="S42" s="133">
        <f t="shared" si="72"/>
        <v>16398067</v>
      </c>
      <c r="T42" s="133">
        <f t="shared" si="72"/>
        <v>12612811</v>
      </c>
      <c r="U42" s="133">
        <f t="shared" ref="U42:AD42" si="73">SUM(U43:U47)</f>
        <v>14253666</v>
      </c>
      <c r="V42" s="133">
        <f t="shared" si="73"/>
        <v>17287680</v>
      </c>
      <c r="W42" s="133">
        <f t="shared" si="73"/>
        <v>15896848</v>
      </c>
      <c r="X42" s="133">
        <f t="shared" si="73"/>
        <v>15437660</v>
      </c>
      <c r="Y42" s="133">
        <f t="shared" si="73"/>
        <v>18488049</v>
      </c>
      <c r="Z42" s="198">
        <f t="shared" si="73"/>
        <v>20003390</v>
      </c>
      <c r="AA42" s="198">
        <f t="shared" si="73"/>
        <v>17664854</v>
      </c>
      <c r="AB42" s="198">
        <f t="shared" si="73"/>
        <v>16965411</v>
      </c>
      <c r="AC42" s="198">
        <f t="shared" si="73"/>
        <v>17519318.553246152</v>
      </c>
      <c r="AD42" s="198">
        <f t="shared" si="73"/>
        <v>14166342</v>
      </c>
      <c r="AE42" s="198">
        <f>SUM(AE43:AE47)</f>
        <v>13336370</v>
      </c>
      <c r="AF42" s="198">
        <f>SUM(AF43:AF47)</f>
        <v>15438137</v>
      </c>
      <c r="AG42" s="198">
        <f t="shared" ref="AG42:AI42" si="74">SUM(AG43:AG47)</f>
        <v>16483148</v>
      </c>
      <c r="AH42" s="198">
        <f t="shared" si="74"/>
        <v>12874637</v>
      </c>
      <c r="AI42" s="198">
        <f t="shared" si="74"/>
        <v>10265516</v>
      </c>
      <c r="AJ42" s="198">
        <f t="shared" ref="AJ42:AK42" si="75">SUM(AJ43:AJ47)</f>
        <v>11789571</v>
      </c>
      <c r="AK42" s="198">
        <f t="shared" si="75"/>
        <v>10330749</v>
      </c>
      <c r="AL42" s="198">
        <f t="shared" ref="AL42:AM42" si="76">SUM(AL43:AL47)</f>
        <v>10795278</v>
      </c>
      <c r="AM42" s="198">
        <f t="shared" si="76"/>
        <v>10971865</v>
      </c>
      <c r="AN42" s="198">
        <f t="shared" ref="AN42" si="77">SUM(AN43:AN47)</f>
        <v>10699296</v>
      </c>
    </row>
    <row r="43" spans="1:40">
      <c r="A43" s="89">
        <v>209</v>
      </c>
      <c r="B43" s="98" t="s">
        <v>221</v>
      </c>
      <c r="C43" s="133">
        <f>土木費等ﾃﾞｰﾀ!D59+土木費等ﾃﾞｰﾀ!D60+土木費等ﾃﾞｰﾀ!D61+土木費等ﾃﾞｰﾀ!D63+土木費等ﾃﾞｰﾀ!D64+土木費等ﾃﾞｰﾀ!D65</f>
        <v>6848401</v>
      </c>
      <c r="D43" s="133">
        <f>土木費等ﾃﾞｰﾀ!G59+土木費等ﾃﾞｰﾀ!G60+土木費等ﾃﾞｰﾀ!G61+土木費等ﾃﾞｰﾀ!G63+土木費等ﾃﾞｰﾀ!G64+土木費等ﾃﾞｰﾀ!G65</f>
        <v>8483375</v>
      </c>
      <c r="E43" s="133">
        <f>土木費等ﾃﾞｰﾀ!J59+土木費等ﾃﾞｰﾀ!J60+土木費等ﾃﾞｰﾀ!J61+土木費等ﾃﾞｰﾀ!J63+土木費等ﾃﾞｰﾀ!J64+土木費等ﾃﾞｰﾀ!J65</f>
        <v>9725923</v>
      </c>
      <c r="F43" s="133">
        <f>土木費等ﾃﾞｰﾀ!M59+土木費等ﾃﾞｰﾀ!M60+土木費等ﾃﾞｰﾀ!M61+土木費等ﾃﾞｰﾀ!M63+土木費等ﾃﾞｰﾀ!M64+土木費等ﾃﾞｰﾀ!M65</f>
        <v>7463324</v>
      </c>
      <c r="G43" s="133">
        <f>土木費等ﾃﾞｰﾀ!P59+土木費等ﾃﾞｰﾀ!P60+土木費等ﾃﾞｰﾀ!P61+土木費等ﾃﾞｰﾀ!P63+土木費等ﾃﾞｰﾀ!P64+土木費等ﾃﾞｰﾀ!P65</f>
        <v>7932446</v>
      </c>
      <c r="H43" s="133">
        <f>土木費等ﾃﾞｰﾀ!S59+土木費等ﾃﾞｰﾀ!S60+土木費等ﾃﾞｰﾀ!S61+土木費等ﾃﾞｰﾀ!S63+土木費等ﾃﾞｰﾀ!S64+土木費等ﾃﾞｰﾀ!S65</f>
        <v>9563801</v>
      </c>
      <c r="I43" s="133">
        <f>土木費等ﾃﾞｰﾀ!V59+土木費等ﾃﾞｰﾀ!V60+土木費等ﾃﾞｰﾀ!V61+土木費等ﾃﾞｰﾀ!V63+土木費等ﾃﾞｰﾀ!V64+土木費等ﾃﾞｰﾀ!V65</f>
        <v>8797315</v>
      </c>
      <c r="J43" s="133">
        <f>土木費等ﾃﾞｰﾀ!Y59+土木費等ﾃﾞｰﾀ!Y60+土木費等ﾃﾞｰﾀ!Y61+土木費等ﾃﾞｰﾀ!Y63+土木費等ﾃﾞｰﾀ!Y64+土木費等ﾃﾞｰﾀ!Y65</f>
        <v>9858201</v>
      </c>
      <c r="K43" s="133">
        <f>土木費等ﾃﾞｰﾀ!AB59+土木費等ﾃﾞｰﾀ!AB60+土木費等ﾃﾞｰﾀ!AB61+土木費等ﾃﾞｰﾀ!AB63+土木費等ﾃﾞｰﾀ!AB64+土木費等ﾃﾞｰﾀ!AB65</f>
        <v>8366184</v>
      </c>
      <c r="L43" s="133">
        <f>土木費等ﾃﾞｰﾀ!AG62+土木費等ﾃﾞｰﾀ!AG63+土木費等ﾃﾞｰﾀ!AG64+土木費等ﾃﾞｰﾀ!AG66+土木費等ﾃﾞｰﾀ!AG67+土木費等ﾃﾞｰﾀ!AG68</f>
        <v>8098291</v>
      </c>
      <c r="M43" s="133">
        <f>土木費等ﾃﾞｰﾀ!AK23+土木費等ﾃﾞｰﾀ!AK68+土木費等ﾃﾞｰﾀ!AK69+土木費等ﾃﾞｰﾀ!AK71+土木費等ﾃﾞｰﾀ!AK72+土木費等ﾃﾞｰﾀ!AK73</f>
        <v>7601627</v>
      </c>
      <c r="N43" s="133">
        <f>土木費等ﾃﾞｰﾀ!AN23+土木費等ﾃﾞｰﾀ!AN68+土木費等ﾃﾞｰﾀ!AN69+土木費等ﾃﾞｰﾀ!AN71+土木費等ﾃﾞｰﾀ!AN72+土木費等ﾃﾞｰﾀ!AN73</f>
        <v>7347770</v>
      </c>
      <c r="O43" s="133">
        <f>土木費等ﾃﾞｰﾀ!AQ23+土木費等ﾃﾞｰﾀ!AQ68+土木費等ﾃﾞｰﾀ!AQ69+土木費等ﾃﾞｰﾀ!AQ71+土木費等ﾃﾞｰﾀ!AQ72+土木費等ﾃﾞｰﾀ!AQ73</f>
        <v>7743616</v>
      </c>
      <c r="P43" s="133">
        <f>土木費等ﾃﾞｰﾀ!AT23+土木費等ﾃﾞｰﾀ!AT68+土木費等ﾃﾞｰﾀ!AT69+土木費等ﾃﾞｰﾀ!AT71+土木費等ﾃﾞｰﾀ!AT72+土木費等ﾃﾞｰﾀ!AT73</f>
        <v>8569732</v>
      </c>
      <c r="Q43" s="133">
        <f>土木費等ﾃﾞｰﾀ!AY23+土木費等ﾃﾞｰﾀ!AY71+土木費等ﾃﾞｰﾀ!AY72+土木費等ﾃﾞｰﾀ!AY74+土木費等ﾃﾞｰﾀ!AY75+土木費等ﾃﾞｰﾀ!AY76</f>
        <v>9176988</v>
      </c>
      <c r="R43" s="133">
        <f>土木費等ﾃﾞｰﾀ2!E23</f>
        <v>14418707</v>
      </c>
      <c r="S43" s="133">
        <f>土木費等ﾃﾞｰﾀ2!H23</f>
        <v>8592612</v>
      </c>
      <c r="T43" s="133">
        <f>土木費等ﾃﾞｰﾀ2!K23</f>
        <v>6447913</v>
      </c>
      <c r="U43" s="133">
        <f>土木費等ﾃﾞｰﾀ2!N23</f>
        <v>7994544</v>
      </c>
      <c r="V43" s="133">
        <f>土木費等ﾃﾞｰﾀ2!Q23</f>
        <v>7442293</v>
      </c>
      <c r="W43" s="133">
        <f>土木費等ﾃﾞｰﾀ2!T23</f>
        <v>6831021</v>
      </c>
      <c r="X43" s="133">
        <f>土木費等ﾃﾞｰﾀ2!W23</f>
        <v>6508168</v>
      </c>
      <c r="Y43" s="133">
        <f>土木費等ﾃﾞｰﾀ2!Z23</f>
        <v>10208178</v>
      </c>
      <c r="Z43" s="198">
        <f>土木費等ﾃﾞｰﾀ2!AC23</f>
        <v>9362545</v>
      </c>
      <c r="AA43" s="198">
        <f>土木費等ﾃﾞｰﾀ2!AF23</f>
        <v>6501750</v>
      </c>
      <c r="AB43" s="198">
        <f>土木費等ﾃﾞｰﾀ2!AI23</f>
        <v>5581457</v>
      </c>
      <c r="AC43" s="198">
        <f>土木費等ﾃﾞｰﾀ2!AL23</f>
        <v>6385055.5712882048</v>
      </c>
      <c r="AD43" s="198">
        <f>土木費等ﾃﾞｰﾀ2!AO23</f>
        <v>5809174</v>
      </c>
      <c r="AE43" s="198">
        <f>土木費等ﾃﾞｰﾀ2!AR23</f>
        <v>5267593</v>
      </c>
      <c r="AF43" s="198">
        <f>土木費等ﾃﾞｰﾀ2!AU23</f>
        <v>6493297</v>
      </c>
      <c r="AG43" s="1070">
        <f>土木費等ﾃﾞｰﾀ2!AX23</f>
        <v>5642730</v>
      </c>
      <c r="AH43" s="456">
        <f>土木費等ﾃﾞｰﾀ2!BA23</f>
        <v>5209150</v>
      </c>
      <c r="AI43" s="1070">
        <f>土木費等ﾃﾞｰﾀ2!BD107</f>
        <v>4536876</v>
      </c>
      <c r="AJ43" s="1070">
        <f>土木費等ﾃﾞｰﾀ2!BG107</f>
        <v>4323838</v>
      </c>
      <c r="AK43" s="456">
        <f>土木費等ﾃﾞｰﾀ2!BJ42</f>
        <v>3806343</v>
      </c>
      <c r="AL43" s="491">
        <f t="shared" ref="AL43:AN43" si="78">ROUND(SUM(AI43:AK43)/3,0)</f>
        <v>4222352</v>
      </c>
      <c r="AM43" s="491">
        <f t="shared" si="78"/>
        <v>4117511</v>
      </c>
      <c r="AN43" s="491">
        <f t="shared" si="78"/>
        <v>4048735</v>
      </c>
    </row>
    <row r="44" spans="1:40">
      <c r="A44" s="89">
        <v>222</v>
      </c>
      <c r="B44" s="98" t="s">
        <v>218</v>
      </c>
      <c r="C44" s="133">
        <f>土木費等ﾃﾞｰﾀ!D70+土木費等ﾃﾞｰﾀ!D71+土木費等ﾃﾞｰﾀ!D72+土木費等ﾃﾞｰﾀ!D73</f>
        <v>2475483</v>
      </c>
      <c r="D44" s="133">
        <f>土木費等ﾃﾞｰﾀ!G70+土木費等ﾃﾞｰﾀ!G71+土木費等ﾃﾞｰﾀ!G72+土木費等ﾃﾞｰﾀ!G73</f>
        <v>4359264</v>
      </c>
      <c r="E44" s="133">
        <f>土木費等ﾃﾞｰﾀ!J70+土木費等ﾃﾞｰﾀ!J71+土木費等ﾃﾞｰﾀ!J72+土木費等ﾃﾞｰﾀ!J73</f>
        <v>3374025</v>
      </c>
      <c r="F44" s="133">
        <f>土木費等ﾃﾞｰﾀ!M70+土木費等ﾃﾞｰﾀ!M71+土木費等ﾃﾞｰﾀ!M72+土木費等ﾃﾞｰﾀ!M73</f>
        <v>4129509</v>
      </c>
      <c r="G44" s="133">
        <f>土木費等ﾃﾞｰﾀ!P70+土木費等ﾃﾞｰﾀ!P71+土木費等ﾃﾞｰﾀ!P72+土木費等ﾃﾞｰﾀ!P73</f>
        <v>2903562</v>
      </c>
      <c r="H44" s="133">
        <f>土木費等ﾃﾞｰﾀ!S70+土木費等ﾃﾞｰﾀ!S71+土木費等ﾃﾞｰﾀ!S72+土木費等ﾃﾞｰﾀ!S73</f>
        <v>2648619</v>
      </c>
      <c r="I44" s="133">
        <f>土木費等ﾃﾞｰﾀ!V70+土木費等ﾃﾞｰﾀ!V71+土木費等ﾃﾞｰﾀ!V72+土木費等ﾃﾞｰﾀ!V73</f>
        <v>3111876</v>
      </c>
      <c r="J44" s="133">
        <f>土木費等ﾃﾞｰﾀ!Y70+土木費等ﾃﾞｰﾀ!Y71+土木費等ﾃﾞｰﾀ!Y72+土木費等ﾃﾞｰﾀ!Y73</f>
        <v>3503464</v>
      </c>
      <c r="K44" s="133">
        <f>土木費等ﾃﾞｰﾀ!AB70+土木費等ﾃﾞｰﾀ!AB71+土木費等ﾃﾞｰﾀ!AB72+土木費等ﾃﾞｰﾀ!AB73</f>
        <v>3487565</v>
      </c>
      <c r="L44" s="133">
        <f>土木費等ﾃﾞｰﾀ!AG73+土木費等ﾃﾞｰﾀ!AG74+土木費等ﾃﾞｰﾀ!AG75+土木費等ﾃﾞｰﾀ!AG76</f>
        <v>2589086</v>
      </c>
      <c r="M44" s="133">
        <f>土木費等ﾃﾞｰﾀ!AK78+土木費等ﾃﾞｰﾀ!AK79+土木費等ﾃﾞｰﾀ!AK80+土木費等ﾃﾞｰﾀ!AK81</f>
        <v>2674139</v>
      </c>
      <c r="N44" s="133">
        <f>土木費等ﾃﾞｰﾀ!AN78+土木費等ﾃﾞｰﾀ!AN79+土木費等ﾃﾞｰﾀ!AN80+土木費等ﾃﾞｰﾀ!AN81</f>
        <v>2431060</v>
      </c>
      <c r="O44" s="133">
        <f>土木費等ﾃﾞｰﾀ!AQ78+土木費等ﾃﾞｰﾀ!AQ79+土木費等ﾃﾞｰﾀ!AQ80+土木費等ﾃﾞｰﾀ!AQ81</f>
        <v>2103318</v>
      </c>
      <c r="P44" s="133">
        <f>土木費等ﾃﾞｰﾀ!AT78+土木費等ﾃﾞｰﾀ!AT79+土木費等ﾃﾞｰﾀ!AT80+土木費等ﾃﾞｰﾀ!AT81</f>
        <v>2189645</v>
      </c>
      <c r="Q44" s="133">
        <f>土木費等ﾃﾞｰﾀ!AY36</f>
        <v>2870588</v>
      </c>
      <c r="R44" s="133">
        <f>土木費等ﾃﾞｰﾀ2!E35</f>
        <v>4400576</v>
      </c>
      <c r="S44" s="133">
        <f>土木費等ﾃﾞｰﾀ2!H35</f>
        <v>2635012</v>
      </c>
      <c r="T44" s="133">
        <f>土木費等ﾃﾞｰﾀ2!K35</f>
        <v>1593891</v>
      </c>
      <c r="U44" s="133">
        <f>土木費等ﾃﾞｰﾀ2!N35</f>
        <v>1653773</v>
      </c>
      <c r="V44" s="133">
        <f>土木費等ﾃﾞｰﾀ2!Q35</f>
        <v>2985766</v>
      </c>
      <c r="W44" s="133">
        <f>土木費等ﾃﾞｰﾀ2!T35</f>
        <v>2876083</v>
      </c>
      <c r="X44" s="133">
        <f>土木費等ﾃﾞｰﾀ2!W35</f>
        <v>2718854</v>
      </c>
      <c r="Y44" s="133">
        <f>土木費等ﾃﾞｰﾀ2!Z35</f>
        <v>1473238</v>
      </c>
      <c r="Z44" s="198">
        <f>土木費等ﾃﾞｰﾀ2!AC35</f>
        <v>1146133</v>
      </c>
      <c r="AA44" s="198">
        <f>土木費等ﾃﾞｰﾀ2!AF35</f>
        <v>2526702</v>
      </c>
      <c r="AB44" s="198">
        <f>土木費等ﾃﾞｰﾀ2!AI35</f>
        <v>2407114</v>
      </c>
      <c r="AC44" s="198">
        <f>土木費等ﾃﾞｰﾀ2!AL35</f>
        <v>2187077.3842918477</v>
      </c>
      <c r="AD44" s="198">
        <f>土木費等ﾃﾞｰﾀ2!AO35</f>
        <v>1265132</v>
      </c>
      <c r="AE44" s="198">
        <f>土木費等ﾃﾞｰﾀ2!AR35</f>
        <v>1986607</v>
      </c>
      <c r="AF44" s="198">
        <f>土木費等ﾃﾞｰﾀ2!AU35</f>
        <v>2066531</v>
      </c>
      <c r="AG44" s="1070">
        <f>土木費等ﾃﾞｰﾀ2!AX35</f>
        <v>3789289</v>
      </c>
      <c r="AH44" s="456">
        <f>土木費等ﾃﾞｰﾀ2!BA35</f>
        <v>2796136</v>
      </c>
      <c r="AI44" s="1070">
        <f>土木費等ﾃﾞｰﾀ2!BD108</f>
        <v>1429836</v>
      </c>
      <c r="AJ44" s="1070">
        <f>土木費等ﾃﾞｰﾀ2!BG108</f>
        <v>1998686</v>
      </c>
      <c r="AK44" s="456">
        <f>土木費等ﾃﾞｰﾀ2!BJ43</f>
        <v>543585</v>
      </c>
      <c r="AL44" s="491">
        <f t="shared" ref="AL44:AN44" si="79">ROUND(SUM(AI44:AK44)/3,0)</f>
        <v>1324036</v>
      </c>
      <c r="AM44" s="491">
        <f t="shared" si="79"/>
        <v>1288769</v>
      </c>
      <c r="AN44" s="491">
        <f t="shared" si="79"/>
        <v>1052130</v>
      </c>
    </row>
    <row r="45" spans="1:40">
      <c r="A45" s="89">
        <v>225</v>
      </c>
      <c r="B45" s="98" t="s">
        <v>222</v>
      </c>
      <c r="C45" s="133">
        <f>土木費等ﾃﾞｰﾀ!D74+土木費等ﾃﾞｰﾀ!D75+土木費等ﾃﾞｰﾀ!D76+土木費等ﾃﾞｰﾀ!D77</f>
        <v>2484593</v>
      </c>
      <c r="D45" s="133">
        <f>土木費等ﾃﾞｰﾀ!G74+土木費等ﾃﾞｰﾀ!G75+土木費等ﾃﾞｰﾀ!G76+土木費等ﾃﾞｰﾀ!G77</f>
        <v>3198899</v>
      </c>
      <c r="E45" s="133">
        <f>土木費等ﾃﾞｰﾀ!J74+土木費等ﾃﾞｰﾀ!J75+土木費等ﾃﾞｰﾀ!J76+土木費等ﾃﾞｰﾀ!J77</f>
        <v>3054071</v>
      </c>
      <c r="F45" s="133">
        <f>土木費等ﾃﾞｰﾀ!M74+土木費等ﾃﾞｰﾀ!M75+土木費等ﾃﾞｰﾀ!M76+土木費等ﾃﾞｰﾀ!M77</f>
        <v>2035925</v>
      </c>
      <c r="G45" s="133">
        <f>土木費等ﾃﾞｰﾀ!P74+土木費等ﾃﾞｰﾀ!P75+土木費等ﾃﾞｰﾀ!P76+土木費等ﾃﾞｰﾀ!P77</f>
        <v>4693133</v>
      </c>
      <c r="H45" s="133">
        <f>土木費等ﾃﾞｰﾀ!S74+土木費等ﾃﾞｰﾀ!S75+土木費等ﾃﾞｰﾀ!S76+土木費等ﾃﾞｰﾀ!S77</f>
        <v>4827456</v>
      </c>
      <c r="I45" s="133">
        <f>土木費等ﾃﾞｰﾀ!V74+土木費等ﾃﾞｰﾀ!V75+土木費等ﾃﾞｰﾀ!V76+土木費等ﾃﾞｰﾀ!V77</f>
        <v>3405414</v>
      </c>
      <c r="J45" s="133">
        <f>土木費等ﾃﾞｰﾀ!Y74+土木費等ﾃﾞｰﾀ!Y75+土木費等ﾃﾞｰﾀ!Y76+土木費等ﾃﾞｰﾀ!Y77</f>
        <v>3880335</v>
      </c>
      <c r="K45" s="133">
        <f>土木費等ﾃﾞｰﾀ!AB74+土木費等ﾃﾞｰﾀ!AB75+土木費等ﾃﾞｰﾀ!AB76+土木費等ﾃﾞｰﾀ!AB77</f>
        <v>3749245</v>
      </c>
      <c r="L45" s="133">
        <f>土木費等ﾃﾞｰﾀ!AG77+土木費等ﾃﾞｰﾀ!AG78+土木費等ﾃﾞｰﾀ!AG79+土木費等ﾃﾞｰﾀ!AG80</f>
        <v>4420264</v>
      </c>
      <c r="M45" s="133">
        <f>土木費等ﾃﾞｰﾀ!AK82+土木費等ﾃﾞｰﾀ!AK83+土木費等ﾃﾞｰﾀ!AK84+土木費等ﾃﾞｰﾀ!AK85</f>
        <v>3423357</v>
      </c>
      <c r="N45" s="133">
        <f>土木費等ﾃﾞｰﾀ!AN82+土木費等ﾃﾞｰﾀ!AN83+土木費等ﾃﾞｰﾀ!AN84+土木費等ﾃﾞｰﾀ!AN85</f>
        <v>3796937</v>
      </c>
      <c r="O45" s="133">
        <f>土木費等ﾃﾞｰﾀ!AQ82+土木費等ﾃﾞｰﾀ!AQ83+土木費等ﾃﾞｰﾀ!AQ84+土木費等ﾃﾞｰﾀ!AQ85</f>
        <v>2706421</v>
      </c>
      <c r="P45" s="133">
        <f>土木費等ﾃﾞｰﾀ!AT82+土木費等ﾃﾞｰﾀ!AT83+土木費等ﾃﾞｰﾀ!AT84+土木費等ﾃﾞｰﾀ!AT85</f>
        <v>3360237</v>
      </c>
      <c r="Q45" s="133">
        <f>土木費等ﾃﾞｰﾀ!AY81+土木費等ﾃﾞｰﾀ!AY82+土木費等ﾃﾞｰﾀ!AY83+土木費等ﾃﾞｰﾀ!AY84</f>
        <v>2799358</v>
      </c>
      <c r="R45" s="133">
        <f>土木費等ﾃﾞｰﾀ2!E38</f>
        <v>3310414</v>
      </c>
      <c r="S45" s="133">
        <f>土木費等ﾃﾞｰﾀ2!H38</f>
        <v>2472854</v>
      </c>
      <c r="T45" s="133">
        <f>土木費等ﾃﾞｰﾀ2!K38</f>
        <v>2077815</v>
      </c>
      <c r="U45" s="133">
        <f>土木費等ﾃﾞｰﾀ2!N38</f>
        <v>2184343</v>
      </c>
      <c r="V45" s="133">
        <f>土木費等ﾃﾞｰﾀ2!Q38</f>
        <v>3061147</v>
      </c>
      <c r="W45" s="133">
        <f>土木費等ﾃﾞｰﾀ2!T38</f>
        <v>3194460</v>
      </c>
      <c r="X45" s="133">
        <f>土木費等ﾃﾞｰﾀ2!W38</f>
        <v>3279014</v>
      </c>
      <c r="Y45" s="133">
        <f>土木費等ﾃﾞｰﾀ2!Z38</f>
        <v>3219489</v>
      </c>
      <c r="Z45" s="198">
        <f>土木費等ﾃﾞｰﾀ2!AC38</f>
        <v>4790349</v>
      </c>
      <c r="AA45" s="198">
        <f>土木費等ﾃﾞｰﾀ2!AF38</f>
        <v>4489345</v>
      </c>
      <c r="AB45" s="198">
        <f>土木費等ﾃﾞｰﾀ2!AI38</f>
        <v>6266469</v>
      </c>
      <c r="AC45" s="198">
        <f>土木費等ﾃﾞｰﾀ2!AL38</f>
        <v>5753921.2193301953</v>
      </c>
      <c r="AD45" s="198">
        <f>土木費等ﾃﾞｰﾀ2!AO38</f>
        <v>3048625</v>
      </c>
      <c r="AE45" s="198">
        <f>土木費等ﾃﾞｰﾀ2!AR38</f>
        <v>2091983</v>
      </c>
      <c r="AF45" s="198">
        <f>土木費等ﾃﾞｰﾀ2!AU38</f>
        <v>2255839</v>
      </c>
      <c r="AG45" s="1070">
        <f>土木費等ﾃﾞｰﾀ2!AX38</f>
        <v>2147477</v>
      </c>
      <c r="AH45" s="456">
        <f>土木費等ﾃﾞｰﾀ2!BA38</f>
        <v>1716495</v>
      </c>
      <c r="AI45" s="1070">
        <f>土木費等ﾃﾞｰﾀ2!BD109</f>
        <v>1613053</v>
      </c>
      <c r="AJ45" s="1070">
        <f>土木費等ﾃﾞｰﾀ2!BG109</f>
        <v>1618725</v>
      </c>
      <c r="AK45" s="456">
        <f>土木費等ﾃﾞｰﾀ2!BJ44</f>
        <v>3638259</v>
      </c>
      <c r="AL45" s="491">
        <f t="shared" ref="AL45:AN45" si="80">ROUND(SUM(AI45:AK45)/3,0)</f>
        <v>2290012</v>
      </c>
      <c r="AM45" s="491">
        <f t="shared" si="80"/>
        <v>2515665</v>
      </c>
      <c r="AN45" s="491">
        <f t="shared" si="80"/>
        <v>2814645</v>
      </c>
    </row>
    <row r="46" spans="1:40">
      <c r="A46" s="89">
        <v>585</v>
      </c>
      <c r="B46" s="98" t="s">
        <v>220</v>
      </c>
      <c r="C46" s="133">
        <f>土木費等ﾃﾞｰﾀ!D62+土木費等ﾃﾞｰﾀ!D66+土木費等ﾃﾞｰﾀ!D68</f>
        <v>1964758</v>
      </c>
      <c r="D46" s="133">
        <f>土木費等ﾃﾞｰﾀ!G62+土木費等ﾃﾞｰﾀ!G66+土木費等ﾃﾞｰﾀ!G68</f>
        <v>2731925</v>
      </c>
      <c r="E46" s="133">
        <f>土木費等ﾃﾞｰﾀ!J62+土木費等ﾃﾞｰﾀ!J66+土木費等ﾃﾞｰﾀ!J68</f>
        <v>2172781</v>
      </c>
      <c r="F46" s="133">
        <f>土木費等ﾃﾞｰﾀ!M62+土木費等ﾃﾞｰﾀ!M66+土木費等ﾃﾞｰﾀ!M68</f>
        <v>1259260</v>
      </c>
      <c r="G46" s="133">
        <f>土木費等ﾃﾞｰﾀ!P62+土木費等ﾃﾞｰﾀ!P66+土木費等ﾃﾞｰﾀ!P68</f>
        <v>1823474</v>
      </c>
      <c r="H46" s="133">
        <f>土木費等ﾃﾞｰﾀ!S62+土木費等ﾃﾞｰﾀ!S66+土木費等ﾃﾞｰﾀ!S68</f>
        <v>2102145</v>
      </c>
      <c r="I46" s="133">
        <f>土木費等ﾃﾞｰﾀ!V62+土木費等ﾃﾞｰﾀ!V66+土木費等ﾃﾞｰﾀ!V68</f>
        <v>1921832</v>
      </c>
      <c r="J46" s="133">
        <f>土木費等ﾃﾞｰﾀ!Y62+土木費等ﾃﾞｰﾀ!Y66+土木費等ﾃﾞｰﾀ!Y68</f>
        <v>2205910</v>
      </c>
      <c r="K46" s="133">
        <f>土木費等ﾃﾞｰﾀ!AB62+土木費等ﾃﾞｰﾀ!AB66+土木費等ﾃﾞｰﾀ!AB68</f>
        <v>2979699</v>
      </c>
      <c r="L46" s="133">
        <f>土木費等ﾃﾞｰﾀ!AG65+土木費等ﾃﾞｰﾀ!AG69+土木費等ﾃﾞｰﾀ!AG71</f>
        <v>3025176</v>
      </c>
      <c r="M46" s="133">
        <f>土木費等ﾃﾞｰﾀ!AK70+土木費等ﾃﾞｰﾀ!AK74+土木費等ﾃﾞｰﾀ!AK76</f>
        <v>2115242</v>
      </c>
      <c r="N46" s="133">
        <f>土木費等ﾃﾞｰﾀ!AN70+土木費等ﾃﾞｰﾀ!AN74+土木費等ﾃﾞｰﾀ!AN76</f>
        <v>2009771</v>
      </c>
      <c r="O46" s="133">
        <f>土木費等ﾃﾞｰﾀ!AQ70+土木費等ﾃﾞｰﾀ!AQ74+土木費等ﾃﾞｰﾀ!AQ76</f>
        <v>2033524</v>
      </c>
      <c r="P46" s="133">
        <f>土木費等ﾃﾞｰﾀ!AT70+土木費等ﾃﾞｰﾀ!AT74+土木費等ﾃﾞｰﾀ!AT76</f>
        <v>2106008</v>
      </c>
      <c r="Q46" s="133">
        <f>土木費等ﾃﾞｰﾀ!AY73+土木費等ﾃﾞｰﾀ!AY77+土木費等ﾃﾞｰﾀ!AY79</f>
        <v>2182108</v>
      </c>
      <c r="R46" s="133">
        <f>土木費等ﾃﾞｰﾀ2!E53</f>
        <v>2570784</v>
      </c>
      <c r="S46" s="133">
        <f>土木費等ﾃﾞｰﾀ2!H53</f>
        <v>1523962</v>
      </c>
      <c r="T46" s="133">
        <f>土木費等ﾃﾞｰﾀ2!K53</f>
        <v>1493110</v>
      </c>
      <c r="U46" s="133">
        <f>土木費等ﾃﾞｰﾀ2!N53</f>
        <v>1587826</v>
      </c>
      <c r="V46" s="133">
        <f>土木費等ﾃﾞｰﾀ2!Q53</f>
        <v>1879787</v>
      </c>
      <c r="W46" s="133">
        <f>土木費等ﾃﾞｰﾀ2!T53</f>
        <v>1499291</v>
      </c>
      <c r="X46" s="133">
        <f>土木費等ﾃﾞｰﾀ2!W53</f>
        <v>1683627</v>
      </c>
      <c r="Y46" s="133">
        <f>土木費等ﾃﾞｰﾀ2!Z53</f>
        <v>2287715</v>
      </c>
      <c r="Z46" s="198">
        <f>土木費等ﾃﾞｰﾀ2!AC53</f>
        <v>2726417</v>
      </c>
      <c r="AA46" s="198">
        <f>土木費等ﾃﾞｰﾀ2!AF53</f>
        <v>2784142</v>
      </c>
      <c r="AB46" s="198">
        <f>土木費等ﾃﾞｰﾀ2!AI53</f>
        <v>1695036</v>
      </c>
      <c r="AC46" s="198">
        <f>土木費等ﾃﾞｰﾀ2!AL53</f>
        <v>2029599.1765464854</v>
      </c>
      <c r="AD46" s="198">
        <f>土木費等ﾃﾞｰﾀ2!AO53</f>
        <v>2502291</v>
      </c>
      <c r="AE46" s="198">
        <f>土木費等ﾃﾞｰﾀ2!AR53</f>
        <v>2715579</v>
      </c>
      <c r="AF46" s="198">
        <f>土木費等ﾃﾞｰﾀ2!AU53</f>
        <v>2104451</v>
      </c>
      <c r="AG46" s="1070">
        <f>土木費等ﾃﾞｰﾀ2!AX53</f>
        <v>2451303</v>
      </c>
      <c r="AH46" s="456">
        <f>土木費等ﾃﾞｰﾀ2!BA53</f>
        <v>2014229</v>
      </c>
      <c r="AI46" s="1070">
        <f>土木費等ﾃﾞｰﾀ2!BD110</f>
        <v>1415434</v>
      </c>
      <c r="AJ46" s="1070">
        <f>土木費等ﾃﾞｰﾀ2!BG110</f>
        <v>1518660</v>
      </c>
      <c r="AK46" s="456">
        <f>土木費等ﾃﾞｰﾀ2!BJ45</f>
        <v>1045872</v>
      </c>
      <c r="AL46" s="491">
        <f t="shared" ref="AL46:AN46" si="81">ROUND(SUM(AI46:AK46)/3,0)</f>
        <v>1326655</v>
      </c>
      <c r="AM46" s="491">
        <f t="shared" si="81"/>
        <v>1297062</v>
      </c>
      <c r="AN46" s="491">
        <f t="shared" si="81"/>
        <v>1223196</v>
      </c>
    </row>
    <row r="47" spans="1:40">
      <c r="A47" s="89">
        <v>586</v>
      </c>
      <c r="B47" s="98" t="s">
        <v>237</v>
      </c>
      <c r="C47" s="133">
        <f>土木費等ﾃﾞｰﾀ!D67+土木費等ﾃﾞｰﾀ!D69</f>
        <v>1834459</v>
      </c>
      <c r="D47" s="133">
        <f>土木費等ﾃﾞｰﾀ!G67+土木費等ﾃﾞｰﾀ!G69</f>
        <v>2365017</v>
      </c>
      <c r="E47" s="133">
        <f>土木費等ﾃﾞｰﾀ!J67+土木費等ﾃﾞｰﾀ!J69</f>
        <v>2160909</v>
      </c>
      <c r="F47" s="133">
        <f>土木費等ﾃﾞｰﾀ!M67+土木費等ﾃﾞｰﾀ!M69</f>
        <v>1851102</v>
      </c>
      <c r="G47" s="133">
        <f>土木費等ﾃﾞｰﾀ!P67+土木費等ﾃﾞｰﾀ!P69</f>
        <v>1423975</v>
      </c>
      <c r="H47" s="133">
        <f>土木費等ﾃﾞｰﾀ!S67+土木費等ﾃﾞｰﾀ!S69</f>
        <v>1193663</v>
      </c>
      <c r="I47" s="133">
        <f>土木費等ﾃﾞｰﾀ!V67+土木費等ﾃﾞｰﾀ!V69</f>
        <v>899651</v>
      </c>
      <c r="J47" s="133">
        <f>土木費等ﾃﾞｰﾀ!Y67+土木費等ﾃﾞｰﾀ!Y69</f>
        <v>985780</v>
      </c>
      <c r="K47" s="133">
        <f>土木費等ﾃﾞｰﾀ!AB67+土木費等ﾃﾞｰﾀ!AB69</f>
        <v>1115024</v>
      </c>
      <c r="L47" s="133">
        <f>土木費等ﾃﾞｰﾀ!AG70+土木費等ﾃﾞｰﾀ!AG72</f>
        <v>1279822</v>
      </c>
      <c r="M47" s="133">
        <f>土木費等ﾃﾞｰﾀ!AK75+土木費等ﾃﾞｰﾀ!AK77</f>
        <v>1080001</v>
      </c>
      <c r="N47" s="133">
        <f>土木費等ﾃﾞｰﾀ!AN75+土木費等ﾃﾞｰﾀ!AN77</f>
        <v>1012280</v>
      </c>
      <c r="O47" s="133">
        <f>土木費等ﾃﾞｰﾀ!AQ75+土木費等ﾃﾞｰﾀ!AQ77</f>
        <v>1037604</v>
      </c>
      <c r="P47" s="133">
        <f>土木費等ﾃﾞｰﾀ!AT75+土木費等ﾃﾞｰﾀ!AT77</f>
        <v>1419426</v>
      </c>
      <c r="Q47" s="133">
        <f>土木費等ﾃﾞｰﾀ!AY78+土木費等ﾃﾞｰﾀ!AY80</f>
        <v>1611373</v>
      </c>
      <c r="R47" s="133">
        <f>土木費等ﾃﾞｰﾀ2!E54</f>
        <v>2059313</v>
      </c>
      <c r="S47" s="133">
        <f>土木費等ﾃﾞｰﾀ2!H54</f>
        <v>1173627</v>
      </c>
      <c r="T47" s="133">
        <f>土木費等ﾃﾞｰﾀ2!K54</f>
        <v>1000082</v>
      </c>
      <c r="U47" s="133">
        <f>土木費等ﾃﾞｰﾀ2!N54</f>
        <v>833180</v>
      </c>
      <c r="V47" s="133">
        <f>土木費等ﾃﾞｰﾀ2!Q54</f>
        <v>1918687</v>
      </c>
      <c r="W47" s="133">
        <f>土木費等ﾃﾞｰﾀ2!T54</f>
        <v>1495993</v>
      </c>
      <c r="X47" s="133">
        <f>土木費等ﾃﾞｰﾀ2!W54</f>
        <v>1247997</v>
      </c>
      <c r="Y47" s="133">
        <f>土木費等ﾃﾞｰﾀ2!Z54</f>
        <v>1299429</v>
      </c>
      <c r="Z47" s="198">
        <f>土木費等ﾃﾞｰﾀ2!AC54</f>
        <v>1977946</v>
      </c>
      <c r="AA47" s="198">
        <f>土木費等ﾃﾞｰﾀ2!AF54</f>
        <v>1362915</v>
      </c>
      <c r="AB47" s="198">
        <f>土木費等ﾃﾞｰﾀ2!AI54</f>
        <v>1015335</v>
      </c>
      <c r="AC47" s="198">
        <f>土木費等ﾃﾞｰﾀ2!AL54</f>
        <v>1163665.2017894166</v>
      </c>
      <c r="AD47" s="198">
        <f>土木費等ﾃﾞｰﾀ2!AO54</f>
        <v>1541120</v>
      </c>
      <c r="AE47" s="198">
        <f>土木費等ﾃﾞｰﾀ2!AR54</f>
        <v>1274608</v>
      </c>
      <c r="AF47" s="198">
        <f>土木費等ﾃﾞｰﾀ2!AU54</f>
        <v>2518019</v>
      </c>
      <c r="AG47" s="1070">
        <f>土木費等ﾃﾞｰﾀ2!AX54</f>
        <v>2452349</v>
      </c>
      <c r="AH47" s="456">
        <f>土木費等ﾃﾞｰﾀ2!BA54</f>
        <v>1138627</v>
      </c>
      <c r="AI47" s="1070">
        <f>土木費等ﾃﾞｰﾀ2!BD111</f>
        <v>1270317</v>
      </c>
      <c r="AJ47" s="1070">
        <f>土木費等ﾃﾞｰﾀ2!BG111</f>
        <v>2329662</v>
      </c>
      <c r="AK47" s="456">
        <f>土木費等ﾃﾞｰﾀ2!BJ46</f>
        <v>1296690</v>
      </c>
      <c r="AL47" s="491">
        <f t="shared" ref="AL47:AN47" si="82">ROUND(SUM(AI47:AK47)/3,0)</f>
        <v>1632223</v>
      </c>
      <c r="AM47" s="491">
        <f t="shared" si="82"/>
        <v>1752858</v>
      </c>
      <c r="AN47" s="491">
        <f t="shared" si="82"/>
        <v>1560590</v>
      </c>
    </row>
    <row r="48" spans="1:40">
      <c r="A48" s="86"/>
      <c r="B48" s="102" t="s">
        <v>211</v>
      </c>
      <c r="C48" s="133">
        <f>SUM(C49:C50)</f>
        <v>6131252</v>
      </c>
      <c r="D48" s="133">
        <f>SUM(D49:D50)</f>
        <v>8080220</v>
      </c>
      <c r="E48" s="133">
        <f>SUM(E49:E50)</f>
        <v>6821277</v>
      </c>
      <c r="F48" s="133">
        <f>SUM(F49:F50)</f>
        <v>7610135</v>
      </c>
      <c r="G48" s="133">
        <f>SUM(G49:G50)</f>
        <v>7997776</v>
      </c>
      <c r="H48" s="133">
        <f t="shared" ref="H48:T48" si="83">SUM(H49:H50)</f>
        <v>8643632</v>
      </c>
      <c r="I48" s="133">
        <f>SUM(I49:I50)</f>
        <v>11673758</v>
      </c>
      <c r="J48" s="133">
        <f>SUM(J49:J50)</f>
        <v>9435620</v>
      </c>
      <c r="K48" s="133">
        <f>SUM(K49:K50)</f>
        <v>8872736</v>
      </c>
      <c r="L48" s="133">
        <f t="shared" si="83"/>
        <v>9984958</v>
      </c>
      <c r="M48" s="133">
        <f t="shared" si="83"/>
        <v>9236934</v>
      </c>
      <c r="N48" s="133">
        <f>SUM(N49:N50)</f>
        <v>8435658</v>
      </c>
      <c r="O48" s="133">
        <f>SUM(O49:O50)</f>
        <v>9009212</v>
      </c>
      <c r="P48" s="133">
        <f>SUM(P49:P50)</f>
        <v>8745139</v>
      </c>
      <c r="Q48" s="133">
        <f t="shared" si="83"/>
        <v>8735720</v>
      </c>
      <c r="R48" s="133">
        <f t="shared" si="83"/>
        <v>7776874</v>
      </c>
      <c r="S48" s="133">
        <f t="shared" si="83"/>
        <v>5977670</v>
      </c>
      <c r="T48" s="133">
        <f t="shared" si="83"/>
        <v>5458201</v>
      </c>
      <c r="U48" s="133">
        <f t="shared" ref="U48:AD48" si="84">SUM(U49:U50)</f>
        <v>5367751</v>
      </c>
      <c r="V48" s="133">
        <f t="shared" si="84"/>
        <v>8376115</v>
      </c>
      <c r="W48" s="133">
        <f t="shared" si="84"/>
        <v>6957793</v>
      </c>
      <c r="X48" s="133">
        <f t="shared" si="84"/>
        <v>4373644</v>
      </c>
      <c r="Y48" s="133">
        <f t="shared" si="84"/>
        <v>5297334</v>
      </c>
      <c r="Z48" s="198">
        <f t="shared" si="84"/>
        <v>6832559</v>
      </c>
      <c r="AA48" s="198">
        <f t="shared" si="84"/>
        <v>14646284</v>
      </c>
      <c r="AB48" s="198">
        <f t="shared" si="84"/>
        <v>8300087</v>
      </c>
      <c r="AC48" s="198">
        <f t="shared" si="84"/>
        <v>8430190.871778423</v>
      </c>
      <c r="AD48" s="198">
        <f t="shared" si="84"/>
        <v>5816916</v>
      </c>
      <c r="AE48" s="198">
        <f>SUM(AE49:AE50)</f>
        <v>11523584</v>
      </c>
      <c r="AF48" s="198">
        <f>SUM(AF49:AF50)</f>
        <v>9179646</v>
      </c>
      <c r="AG48" s="198">
        <f t="shared" ref="AG48:AI48" si="85">SUM(AG49:AG50)</f>
        <v>5721567</v>
      </c>
      <c r="AH48" s="198">
        <f t="shared" si="85"/>
        <v>4260984</v>
      </c>
      <c r="AI48" s="198">
        <f t="shared" si="85"/>
        <v>7396232</v>
      </c>
      <c r="AJ48" s="198">
        <f t="shared" ref="AJ48:AK48" si="86">SUM(AJ49:AJ50)</f>
        <v>3757651</v>
      </c>
      <c r="AK48" s="198">
        <f t="shared" si="86"/>
        <v>2836437</v>
      </c>
      <c r="AL48" s="198">
        <f t="shared" ref="AL48:AM48" si="87">SUM(AL49:AL50)</f>
        <v>4663440</v>
      </c>
      <c r="AM48" s="198">
        <f t="shared" si="87"/>
        <v>3752509</v>
      </c>
      <c r="AN48" s="198">
        <f t="shared" ref="AN48" si="88">SUM(AN49:AN50)</f>
        <v>3750796</v>
      </c>
    </row>
    <row r="49" spans="1:40">
      <c r="A49" s="89">
        <v>221</v>
      </c>
      <c r="B49" s="98" t="s">
        <v>1144</v>
      </c>
      <c r="C49" s="133">
        <f>土木費等ﾃﾞｰﾀ!D85+土木費等ﾃﾞｰﾀ!D86+土木費等ﾃﾞｰﾀ!D87+土木費等ﾃﾞｰﾀ!D88</f>
        <v>2292630</v>
      </c>
      <c r="D49" s="133">
        <f>土木費等ﾃﾞｰﾀ!G85+土木費等ﾃﾞｰﾀ!G86+土木費等ﾃﾞｰﾀ!G87+土木費等ﾃﾞｰﾀ!G88</f>
        <v>2588459</v>
      </c>
      <c r="E49" s="133">
        <f>土木費等ﾃﾞｰﾀ!J85+土木費等ﾃﾞｰﾀ!J86+土木費等ﾃﾞｰﾀ!J87+土木費等ﾃﾞｰﾀ!J88</f>
        <v>2769905</v>
      </c>
      <c r="F49" s="133">
        <f>土木費等ﾃﾞｰﾀ!M85+土木費等ﾃﾞｰﾀ!M86+土木費等ﾃﾞｰﾀ!M87+土木費等ﾃﾞｰﾀ!M88</f>
        <v>3371185</v>
      </c>
      <c r="G49" s="133">
        <f>土木費等ﾃﾞｰﾀ!P85+土木費等ﾃﾞｰﾀ!P86+土木費等ﾃﾞｰﾀ!P87+土木費等ﾃﾞｰﾀ!P88</f>
        <v>3083686</v>
      </c>
      <c r="H49" s="133">
        <f>土木費等ﾃﾞｰﾀ!S85+土木費等ﾃﾞｰﾀ!S86+土木費等ﾃﾞｰﾀ!S87+土木費等ﾃﾞｰﾀ!S88</f>
        <v>4249957</v>
      </c>
      <c r="I49" s="133">
        <f>土木費等ﾃﾞｰﾀ!V85+土木費等ﾃﾞｰﾀ!V86+土木費等ﾃﾞｰﾀ!V87+土木費等ﾃﾞｰﾀ!V88</f>
        <v>7749190</v>
      </c>
      <c r="J49" s="133">
        <f>土木費等ﾃﾞｰﾀ!Y85+土木費等ﾃﾞｰﾀ!Y86+土木費等ﾃﾞｰﾀ!Y87+土木費等ﾃﾞｰﾀ!Y88</f>
        <v>5512189</v>
      </c>
      <c r="K49" s="133">
        <f>土木費等ﾃﾞｰﾀ!AB85+土木費等ﾃﾞｰﾀ!AB86+土木費等ﾃﾞｰﾀ!AB87+土木費等ﾃﾞｰﾀ!AB88</f>
        <v>4348403</v>
      </c>
      <c r="L49" s="133">
        <f>土木費等ﾃﾞｰﾀ!AG82</f>
        <v>4063169</v>
      </c>
      <c r="M49" s="133">
        <f>土木費等ﾃﾞｰﾀ!AK35</f>
        <v>3903549</v>
      </c>
      <c r="N49" s="133">
        <f>土木費等ﾃﾞｰﾀ!AN35</f>
        <v>4057849</v>
      </c>
      <c r="O49" s="133">
        <f>土木費等ﾃﾞｰﾀ!AQ35</f>
        <v>4266804</v>
      </c>
      <c r="P49" s="133">
        <f>土木費等ﾃﾞｰﾀ!AT35</f>
        <v>3923295</v>
      </c>
      <c r="Q49" s="133">
        <f>土木費等ﾃﾞｰﾀ!AY35</f>
        <v>3627590</v>
      </c>
      <c r="R49" s="133">
        <f>土木費等ﾃﾞｰﾀ2!E34</f>
        <v>3519092</v>
      </c>
      <c r="S49" s="133">
        <f>土木費等ﾃﾞｰﾀ2!H34</f>
        <v>2326834</v>
      </c>
      <c r="T49" s="133">
        <f>土木費等ﾃﾞｰﾀ2!K34</f>
        <v>1950372</v>
      </c>
      <c r="U49" s="133">
        <f>土木費等ﾃﾞｰﾀ2!N34</f>
        <v>2070970</v>
      </c>
      <c r="V49" s="133">
        <f>土木費等ﾃﾞｰﾀ2!Q34</f>
        <v>3250161</v>
      </c>
      <c r="W49" s="133">
        <f>土木費等ﾃﾞｰﾀ2!T34</f>
        <v>2433640</v>
      </c>
      <c r="X49" s="133">
        <f>土木費等ﾃﾞｰﾀ2!W34</f>
        <v>1111965</v>
      </c>
      <c r="Y49" s="133">
        <f>土木費等ﾃﾞｰﾀ2!Z34</f>
        <v>1149227</v>
      </c>
      <c r="Z49" s="198">
        <f>土木費等ﾃﾞｰﾀ2!AC34</f>
        <v>1354512</v>
      </c>
      <c r="AA49" s="198">
        <f>土木費等ﾃﾞｰﾀ2!AF34</f>
        <v>2642790</v>
      </c>
      <c r="AB49" s="198">
        <f>土木費等ﾃﾞｰﾀ2!AI34</f>
        <v>1688840</v>
      </c>
      <c r="AC49" s="198">
        <f>土木費等ﾃﾞｰﾀ2!AL34</f>
        <v>1671403.1920857502</v>
      </c>
      <c r="AD49" s="198">
        <f>土木費等ﾃﾞｰﾀ2!AO34</f>
        <v>1586048</v>
      </c>
      <c r="AE49" s="198">
        <f>土木費等ﾃﾞｰﾀ2!AR34</f>
        <v>3288137</v>
      </c>
      <c r="AF49" s="198">
        <f>土木費等ﾃﾞｰﾀ2!AU34</f>
        <v>4248910</v>
      </c>
      <c r="AG49" s="1070">
        <f>土木費等ﾃﾞｰﾀ2!AX34</f>
        <v>2624179</v>
      </c>
      <c r="AH49" s="456">
        <f>土木費等ﾃﾞｰﾀ2!BA34</f>
        <v>1348271</v>
      </c>
      <c r="AI49" s="1070">
        <f>土木費等ﾃﾞｰﾀ2!BD113</f>
        <v>1489660</v>
      </c>
      <c r="AJ49" s="1070">
        <f>土木費等ﾃﾞｰﾀ2!BG113</f>
        <v>1609067</v>
      </c>
      <c r="AK49" s="456">
        <f>土木費等ﾃﾞｰﾀ2!BJ48</f>
        <v>1214618</v>
      </c>
      <c r="AL49" s="491">
        <f t="shared" ref="AL49:AN49" si="89">ROUND(SUM(AI49:AK49)/3,0)</f>
        <v>1437782</v>
      </c>
      <c r="AM49" s="491">
        <f t="shared" si="89"/>
        <v>1420489</v>
      </c>
      <c r="AN49" s="491">
        <f t="shared" si="89"/>
        <v>1357630</v>
      </c>
    </row>
    <row r="50" spans="1:40">
      <c r="A50" s="89">
        <v>223</v>
      </c>
      <c r="B50" s="98" t="s">
        <v>223</v>
      </c>
      <c r="C50" s="133">
        <f>土木費等ﾃﾞｰﾀ!D79+土木費等ﾃﾞｰﾀ!D80+土木費等ﾃﾞｰﾀ!D81+土木費等ﾃﾞｰﾀ!D82+土木費等ﾃﾞｰﾀ!D83+土木費等ﾃﾞｰﾀ!D84</f>
        <v>3838622</v>
      </c>
      <c r="D50" s="133">
        <f>土木費等ﾃﾞｰﾀ!G79+土木費等ﾃﾞｰﾀ!G80+土木費等ﾃﾞｰﾀ!G81+土木費等ﾃﾞｰﾀ!G82+土木費等ﾃﾞｰﾀ!G83+土木費等ﾃﾞｰﾀ!G84</f>
        <v>5491761</v>
      </c>
      <c r="E50" s="133">
        <f>土木費等ﾃﾞｰﾀ!J79+土木費等ﾃﾞｰﾀ!J80+土木費等ﾃﾞｰﾀ!J81+土木費等ﾃﾞｰﾀ!J82+土木費等ﾃﾞｰﾀ!J83+土木費等ﾃﾞｰﾀ!J84</f>
        <v>4051372</v>
      </c>
      <c r="F50" s="133">
        <f>土木費等ﾃﾞｰﾀ!M79+土木費等ﾃﾞｰﾀ!M80+土木費等ﾃﾞｰﾀ!M81+土木費等ﾃﾞｰﾀ!M82+土木費等ﾃﾞｰﾀ!M83+土木費等ﾃﾞｰﾀ!M84</f>
        <v>4238950</v>
      </c>
      <c r="G50" s="133">
        <f>土木費等ﾃﾞｰﾀ!P79+土木費等ﾃﾞｰﾀ!P80+土木費等ﾃﾞｰﾀ!P81+土木費等ﾃﾞｰﾀ!P82+土木費等ﾃﾞｰﾀ!P83+土木費等ﾃﾞｰﾀ!P84</f>
        <v>4914090</v>
      </c>
      <c r="H50" s="133">
        <f>土木費等ﾃﾞｰﾀ!S79+土木費等ﾃﾞｰﾀ!S80+土木費等ﾃﾞｰﾀ!S81+土木費等ﾃﾞｰﾀ!S82+土木費等ﾃﾞｰﾀ!S83+土木費等ﾃﾞｰﾀ!S84</f>
        <v>4393675</v>
      </c>
      <c r="I50" s="133">
        <f>土木費等ﾃﾞｰﾀ!V79+土木費等ﾃﾞｰﾀ!V80+土木費等ﾃﾞｰﾀ!V81+土木費等ﾃﾞｰﾀ!V82+土木費等ﾃﾞｰﾀ!V83+土木費等ﾃﾞｰﾀ!V84</f>
        <v>3924568</v>
      </c>
      <c r="J50" s="133">
        <f>土木費等ﾃﾞｰﾀ!Y79+土木費等ﾃﾞｰﾀ!Y80+土木費等ﾃﾞｰﾀ!Y81+土木費等ﾃﾞｰﾀ!Y82+土木費等ﾃﾞｰﾀ!Y83+土木費等ﾃﾞｰﾀ!Y84</f>
        <v>3923431</v>
      </c>
      <c r="K50" s="133">
        <f>土木費等ﾃﾞｰﾀ!AB79+土木費等ﾃﾞｰﾀ!AB80+土木費等ﾃﾞｰﾀ!AB81+土木費等ﾃﾞｰﾀ!AB82+土木費等ﾃﾞｰﾀ!AB83+土木費等ﾃﾞｰﾀ!AB84</f>
        <v>4524333</v>
      </c>
      <c r="L50" s="133">
        <f>土木費等ﾃﾞｰﾀ!AG83+土木費等ﾃﾞｰﾀ!AG84+土木費等ﾃﾞｰﾀ!AG85+土木費等ﾃﾞｰﾀ!AG86+土木費等ﾃﾞｰﾀ!AG87+土木費等ﾃﾞｰﾀ!AG88</f>
        <v>5921789</v>
      </c>
      <c r="M50" s="133">
        <f>土木費等ﾃﾞｰﾀ!AK86+土木費等ﾃﾞｰﾀ!AK87+土木費等ﾃﾞｰﾀ!AK88+土木費等ﾃﾞｰﾀ!AK89+土木費等ﾃﾞｰﾀ!AK90+土木費等ﾃﾞｰﾀ!AK91</f>
        <v>5333385</v>
      </c>
      <c r="N50" s="133">
        <f>土木費等ﾃﾞｰﾀ!AN86+土木費等ﾃﾞｰﾀ!AN87+土木費等ﾃﾞｰﾀ!AN88+土木費等ﾃﾞｰﾀ!AN89+土木費等ﾃﾞｰﾀ!AN90+土木費等ﾃﾞｰﾀ!AN91</f>
        <v>4377809</v>
      </c>
      <c r="O50" s="133">
        <f>土木費等ﾃﾞｰﾀ!AQ86+土木費等ﾃﾞｰﾀ!AQ87+土木費等ﾃﾞｰﾀ!AQ88+土木費等ﾃﾞｰﾀ!AQ89+土木費等ﾃﾞｰﾀ!AQ90+土木費等ﾃﾞｰﾀ!AQ91</f>
        <v>4742408</v>
      </c>
      <c r="P50" s="133">
        <f>土木費等ﾃﾞｰﾀ!AT86+土木費等ﾃﾞｰﾀ!AT87+土木費等ﾃﾞｰﾀ!AT88+土木費等ﾃﾞｰﾀ!AT89+土木費等ﾃﾞｰﾀ!AT90+土木費等ﾃﾞｰﾀ!AT91</f>
        <v>4821844</v>
      </c>
      <c r="Q50" s="133">
        <f>土木費等ﾃﾞｰﾀ!AY37</f>
        <v>5108130</v>
      </c>
      <c r="R50" s="133">
        <f>土木費等ﾃﾞｰﾀ2!E36</f>
        <v>4257782</v>
      </c>
      <c r="S50" s="133">
        <f>土木費等ﾃﾞｰﾀ2!H36</f>
        <v>3650836</v>
      </c>
      <c r="T50" s="133">
        <f>土木費等ﾃﾞｰﾀ2!K36</f>
        <v>3507829</v>
      </c>
      <c r="U50" s="133">
        <f>土木費等ﾃﾞｰﾀ2!N36</f>
        <v>3296781</v>
      </c>
      <c r="V50" s="133">
        <f>土木費等ﾃﾞｰﾀ2!Q36</f>
        <v>5125954</v>
      </c>
      <c r="W50" s="133">
        <f>土木費等ﾃﾞｰﾀ2!T36</f>
        <v>4524153</v>
      </c>
      <c r="X50" s="133">
        <f>土木費等ﾃﾞｰﾀ2!W36</f>
        <v>3261679</v>
      </c>
      <c r="Y50" s="133">
        <f>土木費等ﾃﾞｰﾀ2!Z36</f>
        <v>4148107</v>
      </c>
      <c r="Z50" s="198">
        <f>土木費等ﾃﾞｰﾀ2!AC36</f>
        <v>5478047</v>
      </c>
      <c r="AA50" s="198">
        <f>土木費等ﾃﾞｰﾀ2!AF36</f>
        <v>12003494</v>
      </c>
      <c r="AB50" s="198">
        <f>土木費等ﾃﾞｰﾀ2!AI36</f>
        <v>6611247</v>
      </c>
      <c r="AC50" s="198">
        <f>土木費等ﾃﾞｰﾀ2!AL36</f>
        <v>6758787.6796926726</v>
      </c>
      <c r="AD50" s="198">
        <f>土木費等ﾃﾞｰﾀ2!AO36</f>
        <v>4230868</v>
      </c>
      <c r="AE50" s="198">
        <f>土木費等ﾃﾞｰﾀ2!AR36</f>
        <v>8235447</v>
      </c>
      <c r="AF50" s="198">
        <f>土木費等ﾃﾞｰﾀ2!AU36</f>
        <v>4930736</v>
      </c>
      <c r="AG50" s="1070">
        <f>土木費等ﾃﾞｰﾀ2!AX36</f>
        <v>3097388</v>
      </c>
      <c r="AH50" s="456">
        <f>土木費等ﾃﾞｰﾀ2!BA36</f>
        <v>2912713</v>
      </c>
      <c r="AI50" s="1070">
        <f>土木費等ﾃﾞｰﾀ2!BD114</f>
        <v>5906572</v>
      </c>
      <c r="AJ50" s="1070">
        <f>土木費等ﾃﾞｰﾀ2!BG114</f>
        <v>2148584</v>
      </c>
      <c r="AK50" s="456">
        <f>土木費等ﾃﾞｰﾀ2!BJ49</f>
        <v>1621819</v>
      </c>
      <c r="AL50" s="491">
        <f t="shared" ref="AL50:AN50" si="90">ROUND(SUM(AI50:AK50)/3,0)</f>
        <v>3225658</v>
      </c>
      <c r="AM50" s="491">
        <f t="shared" si="90"/>
        <v>2332020</v>
      </c>
      <c r="AN50" s="491">
        <f t="shared" si="90"/>
        <v>2393166</v>
      </c>
    </row>
    <row r="51" spans="1:40">
      <c r="A51" s="86"/>
      <c r="B51" s="103" t="s">
        <v>212</v>
      </c>
      <c r="C51" s="133">
        <f>SUM(C52:C54)</f>
        <v>11916902</v>
      </c>
      <c r="D51" s="133">
        <f>SUM(D52:D54)</f>
        <v>14278823</v>
      </c>
      <c r="E51" s="133">
        <f>SUM(E52:E54)</f>
        <v>13517289</v>
      </c>
      <c r="F51" s="133">
        <f>SUM(F52:F54)</f>
        <v>9909184</v>
      </c>
      <c r="G51" s="133">
        <f>SUM(G52:G54)</f>
        <v>11508086</v>
      </c>
      <c r="H51" s="133">
        <f t="shared" ref="H51:T51" si="91">SUM(H52:H54)</f>
        <v>32768946</v>
      </c>
      <c r="I51" s="133">
        <f>SUM(I52:I54)</f>
        <v>35555818</v>
      </c>
      <c r="J51" s="133">
        <f>SUM(J52:J54)</f>
        <v>21518985</v>
      </c>
      <c r="K51" s="133">
        <f>SUM(K52:K54)</f>
        <v>19842993</v>
      </c>
      <c r="L51" s="133">
        <f t="shared" si="91"/>
        <v>21064769</v>
      </c>
      <c r="M51" s="133">
        <f t="shared" si="91"/>
        <v>17751980</v>
      </c>
      <c r="N51" s="133">
        <f>SUM(N52:N54)</f>
        <v>15127552</v>
      </c>
      <c r="O51" s="133">
        <f>SUM(O52:O54)</f>
        <v>14967209</v>
      </c>
      <c r="P51" s="133">
        <f>SUM(P52:P54)</f>
        <v>15924798</v>
      </c>
      <c r="Q51" s="133">
        <f t="shared" si="91"/>
        <v>21608253</v>
      </c>
      <c r="R51" s="133">
        <f t="shared" si="91"/>
        <v>30421429</v>
      </c>
      <c r="S51" s="133">
        <f t="shared" si="91"/>
        <v>16315136</v>
      </c>
      <c r="T51" s="133">
        <f t="shared" si="91"/>
        <v>8342056</v>
      </c>
      <c r="U51" s="133">
        <f t="shared" ref="U51:AD51" si="92">SUM(U52:U54)</f>
        <v>6379118</v>
      </c>
      <c r="V51" s="133">
        <f t="shared" si="92"/>
        <v>11556976</v>
      </c>
      <c r="W51" s="133">
        <f t="shared" si="92"/>
        <v>11192509</v>
      </c>
      <c r="X51" s="133">
        <f t="shared" si="92"/>
        <v>9586430</v>
      </c>
      <c r="Y51" s="133">
        <f t="shared" si="92"/>
        <v>13855101</v>
      </c>
      <c r="Z51" s="198">
        <f t="shared" si="92"/>
        <v>14229586</v>
      </c>
      <c r="AA51" s="198">
        <f t="shared" si="92"/>
        <v>13683618</v>
      </c>
      <c r="AB51" s="198">
        <f t="shared" si="92"/>
        <v>14688367</v>
      </c>
      <c r="AC51" s="198">
        <f t="shared" si="92"/>
        <v>12867967.28359824</v>
      </c>
      <c r="AD51" s="198">
        <f t="shared" si="92"/>
        <v>9883627</v>
      </c>
      <c r="AE51" s="198">
        <f>SUM(AE52:AE54)</f>
        <v>7922210</v>
      </c>
      <c r="AF51" s="198">
        <f>SUM(AF52:AF54)</f>
        <v>10549852</v>
      </c>
      <c r="AG51" s="198">
        <f t="shared" ref="AG51:AI51" si="93">SUM(AG52:AG54)</f>
        <v>9528842</v>
      </c>
      <c r="AH51" s="198">
        <f t="shared" si="93"/>
        <v>11491056</v>
      </c>
      <c r="AI51" s="198">
        <f t="shared" si="93"/>
        <v>13817479</v>
      </c>
      <c r="AJ51" s="198">
        <f t="shared" ref="AJ51:AK51" si="94">SUM(AJ52:AJ54)</f>
        <v>12904506</v>
      </c>
      <c r="AK51" s="198">
        <f t="shared" si="94"/>
        <v>5711351</v>
      </c>
      <c r="AL51" s="198">
        <f t="shared" ref="AL51:AM51" si="95">SUM(AL52:AL54)</f>
        <v>10811113</v>
      </c>
      <c r="AM51" s="198">
        <f t="shared" si="95"/>
        <v>9808990</v>
      </c>
      <c r="AN51" s="198">
        <f t="shared" ref="AN51" si="96">SUM(AN52:AN54)</f>
        <v>8777152</v>
      </c>
    </row>
    <row r="52" spans="1:40">
      <c r="A52" s="92">
        <v>205</v>
      </c>
      <c r="B52" s="100" t="s">
        <v>241</v>
      </c>
      <c r="C52" s="133">
        <f>土木費等ﾃﾞｰﾀ!D90+土木費等ﾃﾞｰﾀ!D95</f>
        <v>4104880</v>
      </c>
      <c r="D52" s="133">
        <f>土木費等ﾃﾞｰﾀ!G90+土木費等ﾃﾞｰﾀ!G95</f>
        <v>4510897</v>
      </c>
      <c r="E52" s="133">
        <f>土木費等ﾃﾞｰﾀ!J90+土木費等ﾃﾞｰﾀ!J95</f>
        <v>5000661</v>
      </c>
      <c r="F52" s="133">
        <f>土木費等ﾃﾞｰﾀ!M90+土木費等ﾃﾞｰﾀ!M95</f>
        <v>1903976</v>
      </c>
      <c r="G52" s="133">
        <f>土木費等ﾃﾞｰﾀ!P90+土木費等ﾃﾞｰﾀ!P95</f>
        <v>3685909</v>
      </c>
      <c r="H52" s="133">
        <f>土木費等ﾃﾞｰﾀ!S90+土木費等ﾃﾞｰﾀ!S95</f>
        <v>6354887</v>
      </c>
      <c r="I52" s="133">
        <f>土木費等ﾃﾞｰﾀ!V90+土木費等ﾃﾞｰﾀ!V95</f>
        <v>6699456</v>
      </c>
      <c r="J52" s="133">
        <f>土木費等ﾃﾞｰﾀ!Y90+土木費等ﾃﾞｰﾀ!Y95</f>
        <v>3648358</v>
      </c>
      <c r="K52" s="133">
        <f>土木費等ﾃﾞｰﾀ!AB90+土木費等ﾃﾞｰﾀ!AB95</f>
        <v>5335977</v>
      </c>
      <c r="L52" s="133">
        <f>土木費等ﾃﾞｰﾀ!AG90+土木費等ﾃﾞｰﾀ!AG95</f>
        <v>5650810</v>
      </c>
      <c r="M52" s="133">
        <f>土木費等ﾃﾞｰﾀ!AK19+土木費等ﾃﾞｰﾀ!AK96</f>
        <v>5256718</v>
      </c>
      <c r="N52" s="133">
        <f>土木費等ﾃﾞｰﾀ!AN19+土木費等ﾃﾞｰﾀ!AN96</f>
        <v>4321664</v>
      </c>
      <c r="O52" s="133">
        <f>土木費等ﾃﾞｰﾀ!AQ19+土木費等ﾃﾞｰﾀ!AQ96</f>
        <v>3667182</v>
      </c>
      <c r="P52" s="133">
        <f>土木費等ﾃﾞｰﾀ!AT19+土木費等ﾃﾞｰﾀ!AT96</f>
        <v>3674246</v>
      </c>
      <c r="Q52" s="133">
        <f>土木費等ﾃﾞｰﾀ!AY19+土木費等ﾃﾞｰﾀ!AY89</f>
        <v>5231171</v>
      </c>
      <c r="R52" s="133">
        <f>土木費等ﾃﾞｰﾀ2!E19</f>
        <v>8789401</v>
      </c>
      <c r="S52" s="133">
        <f>土木費等ﾃﾞｰﾀ2!H19</f>
        <v>5265835</v>
      </c>
      <c r="T52" s="133">
        <f>土木費等ﾃﾞｰﾀ2!K19</f>
        <v>2231244</v>
      </c>
      <c r="U52" s="133">
        <f>土木費等ﾃﾞｰﾀ2!N19</f>
        <v>1647480</v>
      </c>
      <c r="V52" s="133">
        <f>土木費等ﾃﾞｰﾀ2!Q19</f>
        <v>2947093</v>
      </c>
      <c r="W52" s="133">
        <f>土木費等ﾃﾞｰﾀ2!T19</f>
        <v>6212515</v>
      </c>
      <c r="X52" s="133">
        <f>土木費等ﾃﾞｰﾀ2!W19</f>
        <v>2679898</v>
      </c>
      <c r="Y52" s="133">
        <f>土木費等ﾃﾞｰﾀ2!Z19</f>
        <v>3627762</v>
      </c>
      <c r="Z52" s="198">
        <f>土木費等ﾃﾞｰﾀ2!AC19</f>
        <v>4603186</v>
      </c>
      <c r="AA52" s="198">
        <f>土木費等ﾃﾞｰﾀ2!AF19</f>
        <v>3280891</v>
      </c>
      <c r="AB52" s="198">
        <f>土木費等ﾃﾞｰﾀ2!AI19</f>
        <v>4556939</v>
      </c>
      <c r="AC52" s="198">
        <f>土木費等ﾃﾞｰﾀ2!AL19</f>
        <v>3861127.805546551</v>
      </c>
      <c r="AD52" s="198">
        <f>土木費等ﾃﾞｰﾀ2!AO19</f>
        <v>2176302</v>
      </c>
      <c r="AE52" s="198">
        <f>土木費等ﾃﾞｰﾀ2!AR19</f>
        <v>2406586</v>
      </c>
      <c r="AF52" s="198">
        <f>土木費等ﾃﾞｰﾀ2!AU19</f>
        <v>2365209</v>
      </c>
      <c r="AG52" s="1070">
        <f>土木費等ﾃﾞｰﾀ2!AX19</f>
        <v>3000376</v>
      </c>
      <c r="AH52" s="456">
        <f>土木費等ﾃﾞｰﾀ2!BA19</f>
        <v>3433405</v>
      </c>
      <c r="AI52" s="1070">
        <f>土木費等ﾃﾞｰﾀ2!BD116</f>
        <v>3336696</v>
      </c>
      <c r="AJ52" s="1070">
        <f>土木費等ﾃﾞｰﾀ2!BG116</f>
        <v>2234159</v>
      </c>
      <c r="AK52" s="456">
        <f>土木費等ﾃﾞｰﾀ2!BJ51</f>
        <v>697032</v>
      </c>
      <c r="AL52" s="491">
        <f t="shared" ref="AL52:AN52" si="97">ROUND(SUM(AI52:AK52)/3,0)</f>
        <v>2089296</v>
      </c>
      <c r="AM52" s="491">
        <f t="shared" si="97"/>
        <v>1673496</v>
      </c>
      <c r="AN52" s="491">
        <f t="shared" si="97"/>
        <v>1486608</v>
      </c>
    </row>
    <row r="53" spans="1:40">
      <c r="A53" s="89">
        <v>224</v>
      </c>
      <c r="B53" s="98" t="s">
        <v>224</v>
      </c>
      <c r="C53" s="133">
        <f>土木費等ﾃﾞｰﾀ!D97+土木費等ﾃﾞｰﾀ!D98+土木費等ﾃﾞｰﾀ!D99+土木費等ﾃﾞｰﾀ!D100</f>
        <v>3072700</v>
      </c>
      <c r="D53" s="133">
        <f>土木費等ﾃﾞｰﾀ!G97+土木費等ﾃﾞｰﾀ!G98+土木費等ﾃﾞｰﾀ!G99+土木費等ﾃﾞｰﾀ!G100</f>
        <v>3484837</v>
      </c>
      <c r="E53" s="133">
        <f>土木費等ﾃﾞｰﾀ!J97+土木費等ﾃﾞｰﾀ!J98+土木費等ﾃﾞｰﾀ!J99+土木費等ﾃﾞｰﾀ!J100</f>
        <v>3220624</v>
      </c>
      <c r="F53" s="133">
        <f>土木費等ﾃﾞｰﾀ!M97+土木費等ﾃﾞｰﾀ!M98+土木費等ﾃﾞｰﾀ!M99+土木費等ﾃﾞｰﾀ!M100</f>
        <v>2952037</v>
      </c>
      <c r="G53" s="133">
        <f>土木費等ﾃﾞｰﾀ!P97+土木費等ﾃﾞｰﾀ!P98+土木費等ﾃﾞｰﾀ!P99+土木費等ﾃﾞｰﾀ!P100</f>
        <v>2725916</v>
      </c>
      <c r="H53" s="133">
        <f>土木費等ﾃﾞｰﾀ!S97+土木費等ﾃﾞｰﾀ!S98+土木費等ﾃﾞｰﾀ!S99+土木費等ﾃﾞｰﾀ!S100</f>
        <v>4243716</v>
      </c>
      <c r="I53" s="133">
        <f>土木費等ﾃﾞｰﾀ!V97+土木費等ﾃﾞｰﾀ!V98+土木費等ﾃﾞｰﾀ!V99+土木費等ﾃﾞｰﾀ!V100</f>
        <v>3110816</v>
      </c>
      <c r="J53" s="133">
        <f>土木費等ﾃﾞｰﾀ!Y97+土木費等ﾃﾞｰﾀ!Y98+土木費等ﾃﾞｰﾀ!Y99+土木費等ﾃﾞｰﾀ!Y100</f>
        <v>4419042</v>
      </c>
      <c r="K53" s="133">
        <f>土木費等ﾃﾞｰﾀ!AB97+土木費等ﾃﾞｰﾀ!AB98+土木費等ﾃﾞｰﾀ!AB99+土木費等ﾃﾞｰﾀ!AB100</f>
        <v>4135936</v>
      </c>
      <c r="L53" s="133">
        <f>土木費等ﾃﾞｰﾀ!AG97+土木費等ﾃﾞｰﾀ!AG98+土木費等ﾃﾞｰﾀ!AG99+土木費等ﾃﾞｰﾀ!AG100</f>
        <v>5043367</v>
      </c>
      <c r="M53" s="133">
        <f>土木費等ﾃﾞｰﾀ!AK98+土木費等ﾃﾞｰﾀ!AK99+土木費等ﾃﾞｰﾀ!AK100+土木費等ﾃﾞｰﾀ!AK101</f>
        <v>3836528</v>
      </c>
      <c r="N53" s="133">
        <f>土木費等ﾃﾞｰﾀ!AN98+土木費等ﾃﾞｰﾀ!AN99+土木費等ﾃﾞｰﾀ!AN100+土木費等ﾃﾞｰﾀ!AN101</f>
        <v>4021560</v>
      </c>
      <c r="O53" s="133">
        <f>土木費等ﾃﾞｰﾀ!AQ98+土木費等ﾃﾞｰﾀ!AQ99+土木費等ﾃﾞｰﾀ!AQ100+土木費等ﾃﾞｰﾀ!AQ101</f>
        <v>3161154</v>
      </c>
      <c r="P53" s="133">
        <f>土木費等ﾃﾞｰﾀ!AT98+土木費等ﾃﾞｰﾀ!AT99+土木費等ﾃﾞｰﾀ!AT100+土木費等ﾃﾞｰﾀ!AT101</f>
        <v>3360260</v>
      </c>
      <c r="Q53" s="133">
        <f>土木費等ﾃﾞｰﾀ!AY38</f>
        <v>5437207</v>
      </c>
      <c r="R53" s="133">
        <f>土木費等ﾃﾞｰﾀ2!E37</f>
        <v>5099418</v>
      </c>
      <c r="S53" s="133">
        <f>土木費等ﾃﾞｰﾀ2!H37</f>
        <v>2151009</v>
      </c>
      <c r="T53" s="133">
        <f>土木費等ﾃﾞｰﾀ2!K37</f>
        <v>1772105</v>
      </c>
      <c r="U53" s="133">
        <f>土木費等ﾃﾞｰﾀ2!N37</f>
        <v>1975061</v>
      </c>
      <c r="V53" s="133">
        <f>土木費等ﾃﾞｰﾀ2!Q37</f>
        <v>3352830</v>
      </c>
      <c r="W53" s="133">
        <f>土木費等ﾃﾞｰﾀ2!T37</f>
        <v>2449672</v>
      </c>
      <c r="X53" s="133">
        <f>土木費等ﾃﾞｰﾀ2!W37</f>
        <v>3054496</v>
      </c>
      <c r="Y53" s="133">
        <f>土木費等ﾃﾞｰﾀ2!Z37</f>
        <v>4412046</v>
      </c>
      <c r="Z53" s="198">
        <f>土木費等ﾃﾞｰﾀ2!AC37</f>
        <v>3418975</v>
      </c>
      <c r="AA53" s="198">
        <f>土木費等ﾃﾞｰﾀ2!AF37</f>
        <v>6603617</v>
      </c>
      <c r="AB53" s="198">
        <f>土木費等ﾃﾞｰﾀ2!AI37</f>
        <v>4442142</v>
      </c>
      <c r="AC53" s="198">
        <f>土木費等ﾃﾞｰﾀ2!AL37</f>
        <v>4480126.2822729256</v>
      </c>
      <c r="AD53" s="198">
        <f>土木費等ﾃﾞｰﾀ2!AO37</f>
        <v>3819985</v>
      </c>
      <c r="AE53" s="198">
        <f>土木費等ﾃﾞｰﾀ2!AR37</f>
        <v>2644552</v>
      </c>
      <c r="AF53" s="198">
        <f>土木費等ﾃﾞｰﾀ2!AU37</f>
        <v>3563878</v>
      </c>
      <c r="AG53" s="1070">
        <f>土木費等ﾃﾞｰﾀ2!AX37</f>
        <v>2814194</v>
      </c>
      <c r="AH53" s="456">
        <f>土木費等ﾃﾞｰﾀ2!BA37</f>
        <v>4387097</v>
      </c>
      <c r="AI53" s="1070">
        <f>土木費等ﾃﾞｰﾀ2!BD117</f>
        <v>6209035</v>
      </c>
      <c r="AJ53" s="1070">
        <f>土木費等ﾃﾞｰﾀ2!BG117</f>
        <v>4013532</v>
      </c>
      <c r="AK53" s="456">
        <f>土木費等ﾃﾞｰﾀ2!BJ52</f>
        <v>2575117</v>
      </c>
      <c r="AL53" s="491">
        <f t="shared" ref="AL53:AN53" si="98">ROUND(SUM(AI53:AK53)/3,0)</f>
        <v>4265895</v>
      </c>
      <c r="AM53" s="491">
        <f t="shared" si="98"/>
        <v>3618181</v>
      </c>
      <c r="AN53" s="491">
        <f t="shared" si="98"/>
        <v>3486398</v>
      </c>
    </row>
    <row r="54" spans="1:40">
      <c r="A54" s="204">
        <v>226</v>
      </c>
      <c r="B54" s="202" t="s">
        <v>225</v>
      </c>
      <c r="C54" s="209">
        <f>土木費等ﾃﾞｰﾀ!D91+土木費等ﾃﾞｰﾀ!D92+土木費等ﾃﾞｰﾀ!D93+土木費等ﾃﾞｰﾀ!D94+土木費等ﾃﾞｰﾀ!D96</f>
        <v>4739322</v>
      </c>
      <c r="D54" s="209">
        <f>土木費等ﾃﾞｰﾀ!G91+土木費等ﾃﾞｰﾀ!G92+土木費等ﾃﾞｰﾀ!G93+土木費等ﾃﾞｰﾀ!G94+土木費等ﾃﾞｰﾀ!G96</f>
        <v>6283089</v>
      </c>
      <c r="E54" s="209">
        <f>土木費等ﾃﾞｰﾀ!J91+土木費等ﾃﾞｰﾀ!J92+土木費等ﾃﾞｰﾀ!J93+土木費等ﾃﾞｰﾀ!J94+土木費等ﾃﾞｰﾀ!J96</f>
        <v>5296004</v>
      </c>
      <c r="F54" s="209">
        <f>土木費等ﾃﾞｰﾀ!M91+土木費等ﾃﾞｰﾀ!M92+土木費等ﾃﾞｰﾀ!M93+土木費等ﾃﾞｰﾀ!M94+土木費等ﾃﾞｰﾀ!M96</f>
        <v>5053171</v>
      </c>
      <c r="G54" s="209">
        <f>土木費等ﾃﾞｰﾀ!P91+土木費等ﾃﾞｰﾀ!P92+土木費等ﾃﾞｰﾀ!P93+土木費等ﾃﾞｰﾀ!P94+土木費等ﾃﾞｰﾀ!P96</f>
        <v>5096261</v>
      </c>
      <c r="H54" s="209">
        <f>土木費等ﾃﾞｰﾀ!S91+土木費等ﾃﾞｰﾀ!S92+土木費等ﾃﾞｰﾀ!S93+土木費等ﾃﾞｰﾀ!S94+土木費等ﾃﾞｰﾀ!S96</f>
        <v>22170343</v>
      </c>
      <c r="I54" s="209">
        <f>土木費等ﾃﾞｰﾀ!V91+土木費等ﾃﾞｰﾀ!V92+土木費等ﾃﾞｰﾀ!V93+土木費等ﾃﾞｰﾀ!V94+土木費等ﾃﾞｰﾀ!V96</f>
        <v>25745546</v>
      </c>
      <c r="J54" s="209">
        <f>土木費等ﾃﾞｰﾀ!Y91+土木費等ﾃﾞｰﾀ!Y92+土木費等ﾃﾞｰﾀ!Y93+土木費等ﾃﾞｰﾀ!Y94+土木費等ﾃﾞｰﾀ!Y96</f>
        <v>13451585</v>
      </c>
      <c r="K54" s="209">
        <f>土木費等ﾃﾞｰﾀ!AB91+土木費等ﾃﾞｰﾀ!AB92+土木費等ﾃﾞｰﾀ!AB93+土木費等ﾃﾞｰﾀ!AB94+土木費等ﾃﾞｰﾀ!AB96</f>
        <v>10371080</v>
      </c>
      <c r="L54" s="209">
        <f>土木費等ﾃﾞｰﾀ!AG91+土木費等ﾃﾞｰﾀ!AG92+土木費等ﾃﾞｰﾀ!AG93+土木費等ﾃﾞｰﾀ!AG94+土木費等ﾃﾞｰﾀ!AG96</f>
        <v>10370592</v>
      </c>
      <c r="M54" s="209">
        <f>土木費等ﾃﾞｰﾀ!AK92+土木費等ﾃﾞｰﾀ!AK93+土木費等ﾃﾞｰﾀ!AK95+土木費等ﾃﾞｰﾀ!AK97+土木費等ﾃﾞｰﾀ!AK94</f>
        <v>8658734</v>
      </c>
      <c r="N54" s="209">
        <f>土木費等ﾃﾞｰﾀ!AN92+土木費等ﾃﾞｰﾀ!AN93+土木費等ﾃﾞｰﾀ!AN95+土木費等ﾃﾞｰﾀ!AN97+土木費等ﾃﾞｰﾀ!AN94</f>
        <v>6784328</v>
      </c>
      <c r="O54" s="209">
        <f>土木費等ﾃﾞｰﾀ!AQ92+土木費等ﾃﾞｰﾀ!AQ93+土木費等ﾃﾞｰﾀ!AQ95+土木費等ﾃﾞｰﾀ!AQ97+土木費等ﾃﾞｰﾀ!AQ94</f>
        <v>8138873</v>
      </c>
      <c r="P54" s="209">
        <f>土木費等ﾃﾞｰﾀ!AT92+土木費等ﾃﾞｰﾀ!AT93+土木費等ﾃﾞｰﾀ!AT95+土木費等ﾃﾞｰﾀ!AT97+土木費等ﾃﾞｰﾀ!AT94</f>
        <v>8890292</v>
      </c>
      <c r="Q54" s="209">
        <f>土木費等ﾃﾞｰﾀ!AY85+土木費等ﾃﾞｰﾀ!AY86+土木費等ﾃﾞｰﾀ!AY87+土木費等ﾃﾞｰﾀ!AY88+土木費等ﾃﾞｰﾀ!AY90</f>
        <v>10939875</v>
      </c>
      <c r="R54" s="209">
        <f>土木費等ﾃﾞｰﾀ2!E39</f>
        <v>16532610</v>
      </c>
      <c r="S54" s="209">
        <f>土木費等ﾃﾞｰﾀ2!H39</f>
        <v>8898292</v>
      </c>
      <c r="T54" s="209">
        <f>土木費等ﾃﾞｰﾀ2!K39</f>
        <v>4338707</v>
      </c>
      <c r="U54" s="209">
        <f>土木費等ﾃﾞｰﾀ2!N39</f>
        <v>2756577</v>
      </c>
      <c r="V54" s="209">
        <f>土木費等ﾃﾞｰﾀ2!Q39</f>
        <v>5257053</v>
      </c>
      <c r="W54" s="209">
        <f>土木費等ﾃﾞｰﾀ2!T39</f>
        <v>2530322</v>
      </c>
      <c r="X54" s="209">
        <f>土木費等ﾃﾞｰﾀ2!W39</f>
        <v>3852036</v>
      </c>
      <c r="Y54" s="209">
        <f>土木費等ﾃﾞｰﾀ2!Z39</f>
        <v>5815293</v>
      </c>
      <c r="Z54" s="208">
        <f>土木費等ﾃﾞｰﾀ2!AC39</f>
        <v>6207425</v>
      </c>
      <c r="AA54" s="208">
        <f>土木費等ﾃﾞｰﾀ2!AF39</f>
        <v>3799110</v>
      </c>
      <c r="AB54" s="208">
        <f>土木費等ﾃﾞｰﾀ2!AI39</f>
        <v>5689286</v>
      </c>
      <c r="AC54" s="208">
        <f>土木費等ﾃﾞｰﾀ2!AL39</f>
        <v>4526713.1957787639</v>
      </c>
      <c r="AD54" s="208">
        <f>土木費等ﾃﾞｰﾀ2!AO39</f>
        <v>3887340</v>
      </c>
      <c r="AE54" s="208">
        <f>土木費等ﾃﾞｰﾀ2!AR39</f>
        <v>2871072</v>
      </c>
      <c r="AF54" s="208">
        <f>土木費等ﾃﾞｰﾀ2!AU39</f>
        <v>4620765</v>
      </c>
      <c r="AG54" s="1074">
        <f>土木費等ﾃﾞｰﾀ2!AX39</f>
        <v>3714272</v>
      </c>
      <c r="AH54" s="461">
        <f>土木費等ﾃﾞｰﾀ2!BA39</f>
        <v>3670554</v>
      </c>
      <c r="AI54" s="1074">
        <f>土木費等ﾃﾞｰﾀ2!BD118</f>
        <v>4271748</v>
      </c>
      <c r="AJ54" s="1074">
        <f>土木費等ﾃﾞｰﾀ2!BG118</f>
        <v>6656815</v>
      </c>
      <c r="AK54" s="456">
        <f>土木費等ﾃﾞｰﾀ2!BJ53</f>
        <v>2439202</v>
      </c>
      <c r="AL54" s="477">
        <f t="shared" ref="AL54:AN54" si="99">ROUND(SUM(AI54:AK54)/3,0)</f>
        <v>4455922</v>
      </c>
      <c r="AM54" s="477">
        <f t="shared" si="99"/>
        <v>4517313</v>
      </c>
      <c r="AN54" s="477">
        <f t="shared" si="99"/>
        <v>3804146</v>
      </c>
    </row>
    <row r="55" spans="1:40">
      <c r="G55" s="92" t="s">
        <v>627</v>
      </c>
      <c r="L55" s="76"/>
      <c r="M55" s="76"/>
      <c r="N55" s="76"/>
      <c r="O55" s="76"/>
      <c r="P55" s="76"/>
      <c r="Q55" s="76"/>
      <c r="R55" s="76"/>
      <c r="S55" s="76"/>
      <c r="T55" s="76"/>
      <c r="U55" s="76"/>
      <c r="V55" s="76"/>
      <c r="W55" s="76"/>
      <c r="X55" s="76"/>
      <c r="Y55" s="76"/>
    </row>
    <row r="56" spans="1:40">
      <c r="L56" s="76"/>
      <c r="M56" s="76"/>
      <c r="N56" s="76"/>
      <c r="O56" s="76"/>
      <c r="P56" s="76"/>
      <c r="Q56" s="76"/>
      <c r="R56" s="76"/>
      <c r="S56" s="76"/>
      <c r="T56" s="76"/>
      <c r="U56" s="76"/>
      <c r="V56" s="76"/>
      <c r="W56" s="76"/>
      <c r="X56" s="76"/>
      <c r="Y56" s="76"/>
    </row>
    <row r="57" spans="1:40">
      <c r="L57" s="76"/>
      <c r="M57" s="76"/>
      <c r="N57" s="76"/>
      <c r="O57" s="76"/>
      <c r="P57" s="76"/>
      <c r="Q57" s="76"/>
      <c r="R57" s="76"/>
      <c r="S57" s="76"/>
      <c r="T57" s="76"/>
      <c r="U57" s="76"/>
      <c r="V57" s="76"/>
      <c r="W57" s="76"/>
      <c r="X57" s="76"/>
      <c r="Y57" s="76"/>
    </row>
    <row r="58" spans="1:40">
      <c r="L58" s="76"/>
      <c r="M58" s="76"/>
      <c r="N58" s="76"/>
      <c r="O58" s="76"/>
      <c r="P58" s="76"/>
      <c r="Q58" s="76"/>
      <c r="R58" s="76"/>
      <c r="S58" s="76"/>
      <c r="T58" s="76"/>
      <c r="U58" s="76"/>
      <c r="V58" s="76"/>
      <c r="W58" s="76"/>
      <c r="X58" s="76"/>
      <c r="Y58" s="76"/>
    </row>
    <row r="59" spans="1:40">
      <c r="L59" s="76"/>
      <c r="M59" s="76"/>
      <c r="N59" s="76"/>
      <c r="O59" s="76"/>
      <c r="P59" s="76"/>
      <c r="Q59" s="76"/>
      <c r="R59" s="76"/>
      <c r="S59" s="76"/>
      <c r="T59" s="76"/>
      <c r="U59" s="76"/>
      <c r="V59" s="76"/>
      <c r="W59" s="76"/>
      <c r="X59" s="76"/>
      <c r="Y59" s="76"/>
    </row>
    <row r="60" spans="1:40">
      <c r="L60" s="76"/>
      <c r="M60" s="76"/>
      <c r="N60" s="76"/>
      <c r="O60" s="76"/>
      <c r="P60" s="76"/>
      <c r="Q60" s="76"/>
      <c r="R60" s="76"/>
      <c r="S60" s="76"/>
      <c r="T60" s="76"/>
      <c r="U60" s="76"/>
      <c r="V60" s="76"/>
      <c r="W60" s="76"/>
      <c r="X60" s="76"/>
      <c r="Y60" s="76"/>
    </row>
    <row r="61" spans="1:40">
      <c r="L61" s="76"/>
      <c r="M61" s="76"/>
      <c r="N61" s="76"/>
      <c r="O61" s="76"/>
      <c r="P61" s="76"/>
      <c r="Q61" s="76"/>
      <c r="R61" s="76"/>
      <c r="S61" s="76"/>
      <c r="T61" s="76"/>
      <c r="U61" s="76"/>
      <c r="V61" s="76"/>
      <c r="W61" s="76"/>
      <c r="X61" s="76"/>
      <c r="Y61" s="76"/>
    </row>
    <row r="62" spans="1:40">
      <c r="L62" s="76"/>
      <c r="M62" s="76"/>
      <c r="N62" s="76"/>
      <c r="O62" s="76"/>
      <c r="P62" s="76"/>
      <c r="Q62" s="76"/>
      <c r="R62" s="76"/>
      <c r="S62" s="76"/>
      <c r="T62" s="76"/>
      <c r="U62" s="76"/>
      <c r="V62" s="76"/>
      <c r="W62" s="76"/>
      <c r="X62" s="76"/>
      <c r="Y62" s="76"/>
    </row>
    <row r="63" spans="1:40">
      <c r="L63" s="76"/>
      <c r="M63" s="76"/>
      <c r="N63" s="76"/>
      <c r="O63" s="76"/>
      <c r="P63" s="76"/>
      <c r="Q63" s="76"/>
      <c r="R63" s="76"/>
      <c r="S63" s="76"/>
      <c r="T63" s="76"/>
      <c r="U63" s="76"/>
      <c r="V63" s="76"/>
      <c r="W63" s="76"/>
      <c r="X63" s="76"/>
      <c r="Y63" s="76"/>
    </row>
    <row r="64" spans="1:40">
      <c r="L64" s="76"/>
      <c r="M64" s="76"/>
      <c r="N64" s="76"/>
      <c r="O64" s="76"/>
      <c r="P64" s="76"/>
      <c r="Q64" s="76"/>
      <c r="R64" s="76"/>
      <c r="S64" s="76"/>
      <c r="T64" s="76"/>
      <c r="U64" s="76"/>
      <c r="V64" s="76"/>
      <c r="W64" s="76"/>
      <c r="X64" s="76"/>
      <c r="Y64" s="76"/>
    </row>
    <row r="65" spans="12:25">
      <c r="L65" s="76"/>
      <c r="M65" s="76"/>
      <c r="N65" s="76"/>
      <c r="O65" s="76"/>
      <c r="P65" s="76"/>
      <c r="Q65" s="76"/>
      <c r="R65" s="76"/>
      <c r="S65" s="76"/>
      <c r="T65" s="76"/>
      <c r="U65" s="76"/>
      <c r="V65" s="76"/>
      <c r="W65" s="76"/>
      <c r="X65" s="76"/>
      <c r="Y65" s="76"/>
    </row>
    <row r="66" spans="12:25">
      <c r="L66" s="76"/>
      <c r="M66" s="76"/>
      <c r="N66" s="76"/>
      <c r="O66" s="76"/>
      <c r="P66" s="76"/>
      <c r="Q66" s="76"/>
      <c r="R66" s="76"/>
      <c r="S66" s="76"/>
      <c r="T66" s="76"/>
      <c r="U66" s="76"/>
      <c r="V66" s="76"/>
      <c r="W66" s="76"/>
      <c r="X66" s="76"/>
      <c r="Y66" s="76"/>
    </row>
    <row r="67" spans="12:25">
      <c r="L67" s="76"/>
      <c r="M67" s="76"/>
      <c r="N67" s="76"/>
      <c r="O67" s="76"/>
      <c r="P67" s="76"/>
      <c r="Q67" s="76"/>
      <c r="R67" s="76"/>
      <c r="S67" s="76"/>
      <c r="T67" s="76"/>
      <c r="U67" s="76"/>
      <c r="V67" s="76"/>
      <c r="W67" s="76"/>
      <c r="X67" s="76"/>
      <c r="Y67" s="76"/>
    </row>
    <row r="68" spans="12:25">
      <c r="L68" s="76"/>
      <c r="M68" s="76"/>
      <c r="N68" s="76"/>
      <c r="O68" s="76"/>
      <c r="P68" s="76"/>
      <c r="Q68" s="76"/>
      <c r="R68" s="76"/>
      <c r="S68" s="76"/>
      <c r="T68" s="76"/>
      <c r="U68" s="76"/>
      <c r="V68" s="76"/>
      <c r="W68" s="76"/>
      <c r="X68" s="76"/>
      <c r="Y68" s="76"/>
    </row>
    <row r="69" spans="12:25">
      <c r="L69" s="76"/>
      <c r="M69" s="76"/>
      <c r="N69" s="76"/>
      <c r="O69" s="76"/>
      <c r="P69" s="76"/>
      <c r="Q69" s="76"/>
      <c r="R69" s="76"/>
      <c r="S69" s="76"/>
      <c r="T69" s="76"/>
      <c r="U69" s="76"/>
      <c r="V69" s="76"/>
      <c r="W69" s="76"/>
      <c r="X69" s="76"/>
      <c r="Y69" s="76"/>
    </row>
    <row r="70" spans="12:25">
      <c r="L70" s="76"/>
      <c r="M70" s="76"/>
      <c r="N70" s="76"/>
      <c r="O70" s="76"/>
      <c r="P70" s="76"/>
      <c r="Q70" s="76"/>
      <c r="R70" s="76"/>
      <c r="S70" s="76"/>
      <c r="T70" s="76"/>
      <c r="U70" s="76"/>
      <c r="V70" s="76"/>
      <c r="W70" s="76"/>
      <c r="X70" s="76"/>
      <c r="Y70" s="76"/>
    </row>
    <row r="71" spans="12:25">
      <c r="L71" s="76"/>
      <c r="M71" s="76"/>
      <c r="N71" s="76"/>
      <c r="O71" s="76"/>
      <c r="P71" s="76"/>
      <c r="Q71" s="76"/>
      <c r="R71" s="76"/>
      <c r="S71" s="76"/>
      <c r="T71" s="76"/>
      <c r="U71" s="76"/>
      <c r="V71" s="76"/>
      <c r="W71" s="76"/>
      <c r="X71" s="76"/>
      <c r="Y71" s="76"/>
    </row>
    <row r="72" spans="12:25">
      <c r="L72" s="76"/>
      <c r="M72" s="76"/>
      <c r="N72" s="76"/>
      <c r="O72" s="76"/>
      <c r="P72" s="76"/>
      <c r="Q72" s="76"/>
      <c r="R72" s="76"/>
      <c r="S72" s="76"/>
      <c r="T72" s="76"/>
      <c r="U72" s="76"/>
      <c r="V72" s="76"/>
      <c r="W72" s="76"/>
      <c r="X72" s="76"/>
      <c r="Y72" s="76"/>
    </row>
    <row r="73" spans="12:25">
      <c r="L73" s="76"/>
      <c r="M73" s="76"/>
      <c r="N73" s="76"/>
      <c r="O73" s="76"/>
      <c r="P73" s="76"/>
      <c r="Q73" s="76"/>
      <c r="R73" s="76"/>
      <c r="S73" s="76"/>
      <c r="T73" s="76"/>
      <c r="U73" s="76"/>
      <c r="V73" s="76"/>
      <c r="W73" s="76"/>
      <c r="X73" s="76"/>
      <c r="Y73" s="76"/>
    </row>
    <row r="74" spans="12:25">
      <c r="L74" s="76"/>
      <c r="M74" s="76"/>
      <c r="N74" s="76"/>
      <c r="O74" s="76"/>
      <c r="P74" s="76"/>
      <c r="Q74" s="76"/>
      <c r="R74" s="76"/>
      <c r="S74" s="76"/>
      <c r="T74" s="76"/>
      <c r="U74" s="76"/>
      <c r="V74" s="76"/>
      <c r="W74" s="76"/>
      <c r="X74" s="76"/>
      <c r="Y74" s="76"/>
    </row>
    <row r="75" spans="12:25">
      <c r="L75" s="76"/>
      <c r="M75" s="76"/>
      <c r="N75" s="76"/>
      <c r="O75" s="76"/>
      <c r="P75" s="76"/>
      <c r="Q75" s="76"/>
      <c r="R75" s="76"/>
      <c r="S75" s="76"/>
      <c r="T75" s="76"/>
      <c r="U75" s="76"/>
      <c r="V75" s="76"/>
      <c r="W75" s="76"/>
      <c r="X75" s="76"/>
      <c r="Y75" s="76"/>
    </row>
    <row r="76" spans="12:25">
      <c r="L76" s="76"/>
      <c r="M76" s="76"/>
      <c r="N76" s="76"/>
      <c r="O76" s="76"/>
      <c r="P76" s="76"/>
      <c r="Q76" s="76"/>
      <c r="R76" s="76"/>
      <c r="S76" s="76"/>
      <c r="T76" s="76"/>
      <c r="U76" s="76"/>
      <c r="V76" s="76"/>
      <c r="W76" s="76"/>
      <c r="X76" s="76"/>
      <c r="Y76" s="76"/>
    </row>
    <row r="77" spans="12:25">
      <c r="L77" s="76"/>
      <c r="M77" s="76"/>
      <c r="N77" s="76"/>
      <c r="O77" s="76"/>
      <c r="P77" s="76"/>
      <c r="Q77" s="76"/>
      <c r="R77" s="76"/>
      <c r="S77" s="76"/>
      <c r="T77" s="76"/>
      <c r="U77" s="76"/>
      <c r="V77" s="76"/>
      <c r="W77" s="76"/>
      <c r="X77" s="76"/>
      <c r="Y77" s="76"/>
    </row>
    <row r="78" spans="12:25">
      <c r="L78" s="76"/>
      <c r="M78" s="76"/>
      <c r="N78" s="76"/>
      <c r="O78" s="76"/>
      <c r="P78" s="76"/>
      <c r="Q78" s="76"/>
      <c r="R78" s="76"/>
      <c r="S78" s="76"/>
      <c r="T78" s="76"/>
      <c r="U78" s="76"/>
      <c r="V78" s="76"/>
      <c r="W78" s="76"/>
      <c r="X78" s="76"/>
      <c r="Y78" s="76"/>
    </row>
    <row r="79" spans="12:25">
      <c r="L79" s="76"/>
      <c r="M79" s="76"/>
      <c r="N79" s="76"/>
      <c r="O79" s="76"/>
      <c r="P79" s="76"/>
      <c r="Q79" s="76"/>
      <c r="R79" s="76"/>
      <c r="S79" s="76"/>
      <c r="T79" s="76"/>
      <c r="U79" s="76"/>
      <c r="V79" s="76"/>
      <c r="W79" s="76"/>
      <c r="X79" s="76"/>
      <c r="Y79" s="76"/>
    </row>
    <row r="80" spans="12:25">
      <c r="L80" s="76"/>
      <c r="M80" s="76"/>
      <c r="N80" s="76"/>
      <c r="O80" s="76"/>
      <c r="P80" s="76"/>
      <c r="Q80" s="76"/>
      <c r="R80" s="76"/>
      <c r="S80" s="76"/>
      <c r="T80" s="76"/>
      <c r="U80" s="76"/>
      <c r="V80" s="76"/>
      <c r="W80" s="76"/>
      <c r="X80" s="76"/>
      <c r="Y80" s="76"/>
    </row>
    <row r="81" spans="12:25">
      <c r="L81" s="76"/>
      <c r="M81" s="76"/>
      <c r="N81" s="76"/>
      <c r="O81" s="76"/>
      <c r="P81" s="76"/>
      <c r="Q81" s="76"/>
      <c r="R81" s="76"/>
      <c r="S81" s="76"/>
      <c r="T81" s="76"/>
      <c r="U81" s="76"/>
      <c r="V81" s="76"/>
      <c r="W81" s="76"/>
      <c r="X81" s="76"/>
      <c r="Y81" s="76"/>
    </row>
    <row r="82" spans="12:25">
      <c r="L82" s="76"/>
      <c r="M82" s="76"/>
      <c r="N82" s="76"/>
      <c r="O82" s="76"/>
      <c r="P82" s="76"/>
      <c r="Q82" s="76"/>
      <c r="R82" s="76"/>
      <c r="S82" s="76"/>
      <c r="T82" s="76"/>
      <c r="U82" s="76"/>
      <c r="V82" s="76"/>
      <c r="W82" s="76"/>
      <c r="X82" s="76"/>
      <c r="Y82" s="76"/>
    </row>
    <row r="83" spans="12:25">
      <c r="L83" s="76"/>
      <c r="M83" s="76"/>
      <c r="N83" s="76"/>
      <c r="O83" s="76"/>
      <c r="P83" s="76"/>
      <c r="Q83" s="76"/>
      <c r="R83" s="76"/>
      <c r="S83" s="76"/>
      <c r="T83" s="76"/>
      <c r="U83" s="76"/>
      <c r="V83" s="76"/>
      <c r="W83" s="76"/>
      <c r="X83" s="76"/>
      <c r="Y83" s="76"/>
    </row>
    <row r="84" spans="12:25">
      <c r="L84" s="76"/>
      <c r="M84" s="76"/>
      <c r="N84" s="76"/>
      <c r="O84" s="76"/>
      <c r="P84" s="76"/>
      <c r="Q84" s="76"/>
      <c r="R84" s="76"/>
      <c r="S84" s="76"/>
      <c r="T84" s="76"/>
      <c r="U84" s="76"/>
      <c r="V84" s="76"/>
      <c r="W84" s="76"/>
      <c r="X84" s="76"/>
      <c r="Y84" s="76"/>
    </row>
    <row r="85" spans="12:25">
      <c r="L85" s="76"/>
      <c r="M85" s="76"/>
      <c r="N85" s="76"/>
      <c r="O85" s="76"/>
      <c r="P85" s="76"/>
      <c r="Q85" s="76"/>
      <c r="R85" s="76"/>
      <c r="S85" s="76"/>
      <c r="T85" s="76"/>
      <c r="U85" s="76"/>
      <c r="V85" s="76"/>
      <c r="W85" s="76"/>
      <c r="X85" s="76"/>
      <c r="Y85" s="76"/>
    </row>
    <row r="86" spans="12:25">
      <c r="L86" s="76"/>
      <c r="M86" s="76"/>
      <c r="N86" s="76"/>
      <c r="O86" s="76"/>
      <c r="P86" s="76"/>
      <c r="Q86" s="76"/>
      <c r="R86" s="76"/>
      <c r="S86" s="76"/>
      <c r="T86" s="76"/>
      <c r="U86" s="76"/>
      <c r="V86" s="76"/>
      <c r="W86" s="76"/>
      <c r="X86" s="76"/>
      <c r="Y86" s="76"/>
    </row>
    <row r="87" spans="12:25">
      <c r="L87" s="76"/>
      <c r="M87" s="76"/>
      <c r="N87" s="76"/>
      <c r="O87" s="76"/>
      <c r="P87" s="76"/>
      <c r="Q87" s="76"/>
      <c r="R87" s="76"/>
      <c r="S87" s="76"/>
      <c r="T87" s="76"/>
      <c r="U87" s="76"/>
      <c r="V87" s="76"/>
      <c r="W87" s="76"/>
      <c r="X87" s="76"/>
      <c r="Y87" s="76"/>
    </row>
    <row r="88" spans="12:25">
      <c r="L88" s="76"/>
      <c r="M88" s="76"/>
      <c r="N88" s="76"/>
      <c r="O88" s="76"/>
      <c r="P88" s="76"/>
      <c r="Q88" s="76"/>
      <c r="R88" s="76"/>
      <c r="S88" s="76"/>
      <c r="T88" s="76"/>
      <c r="U88" s="76"/>
      <c r="V88" s="76"/>
      <c r="W88" s="76"/>
      <c r="X88" s="76"/>
      <c r="Y88" s="76"/>
    </row>
    <row r="89" spans="12:25">
      <c r="L89" s="76"/>
      <c r="M89" s="76"/>
      <c r="N89" s="76"/>
      <c r="O89" s="76"/>
      <c r="P89" s="76"/>
      <c r="Q89" s="76"/>
      <c r="R89" s="76"/>
      <c r="S89" s="76"/>
      <c r="T89" s="76"/>
      <c r="U89" s="76"/>
      <c r="V89" s="76"/>
      <c r="W89" s="76"/>
      <c r="X89" s="76"/>
      <c r="Y89" s="76"/>
    </row>
    <row r="90" spans="12:25">
      <c r="L90" s="76"/>
      <c r="M90" s="76"/>
      <c r="N90" s="76"/>
      <c r="O90" s="76"/>
      <c r="P90" s="76"/>
      <c r="Q90" s="76"/>
      <c r="R90" s="76"/>
      <c r="S90" s="76"/>
      <c r="T90" s="76"/>
      <c r="U90" s="76"/>
      <c r="V90" s="76"/>
      <c r="W90" s="76"/>
      <c r="X90" s="76"/>
      <c r="Y90" s="76"/>
    </row>
    <row r="91" spans="12:25">
      <c r="L91" s="76"/>
      <c r="M91" s="76"/>
      <c r="N91" s="76"/>
      <c r="O91" s="76"/>
      <c r="P91" s="76"/>
      <c r="Q91" s="76"/>
      <c r="R91" s="76"/>
      <c r="S91" s="76"/>
      <c r="T91" s="76"/>
      <c r="U91" s="76"/>
      <c r="V91" s="76"/>
      <c r="W91" s="76"/>
      <c r="X91" s="76"/>
      <c r="Y91" s="76"/>
    </row>
    <row r="92" spans="12:25">
      <c r="L92" s="76"/>
      <c r="M92" s="76"/>
      <c r="N92" s="76"/>
      <c r="O92" s="76"/>
      <c r="P92" s="76"/>
      <c r="Q92" s="76"/>
      <c r="R92" s="76"/>
      <c r="S92" s="76"/>
      <c r="T92" s="76"/>
      <c r="U92" s="76"/>
      <c r="V92" s="76"/>
      <c r="W92" s="76"/>
      <c r="X92" s="76"/>
      <c r="Y92" s="76"/>
    </row>
    <row r="93" spans="12:25">
      <c r="L93" s="76"/>
      <c r="M93" s="76"/>
      <c r="N93" s="76"/>
      <c r="O93" s="76"/>
      <c r="P93" s="76"/>
      <c r="Q93" s="76"/>
      <c r="R93" s="76"/>
      <c r="S93" s="76"/>
      <c r="T93" s="76"/>
      <c r="U93" s="76"/>
      <c r="V93" s="76"/>
      <c r="W93" s="76"/>
      <c r="X93" s="76"/>
      <c r="Y93" s="76"/>
    </row>
    <row r="94" spans="12:25">
      <c r="L94" s="76"/>
      <c r="M94" s="76"/>
      <c r="N94" s="76"/>
      <c r="O94" s="76"/>
      <c r="P94" s="76"/>
      <c r="Q94" s="76"/>
      <c r="R94" s="76"/>
      <c r="S94" s="76"/>
      <c r="T94" s="76"/>
      <c r="U94" s="76"/>
      <c r="V94" s="76"/>
      <c r="W94" s="76"/>
      <c r="X94" s="76"/>
      <c r="Y94" s="76"/>
    </row>
    <row r="95" spans="12:25">
      <c r="L95" s="76"/>
      <c r="M95" s="76"/>
      <c r="N95" s="76"/>
      <c r="O95" s="76"/>
      <c r="P95" s="76"/>
      <c r="Q95" s="76"/>
      <c r="R95" s="76"/>
      <c r="S95" s="76"/>
      <c r="T95" s="76"/>
      <c r="U95" s="76"/>
      <c r="V95" s="76"/>
      <c r="W95" s="76"/>
      <c r="X95" s="76"/>
      <c r="Y95" s="76"/>
    </row>
    <row r="96" spans="12:25">
      <c r="L96" s="76"/>
      <c r="M96" s="76"/>
      <c r="N96" s="76"/>
      <c r="O96" s="76"/>
      <c r="P96" s="76"/>
      <c r="Q96" s="76"/>
      <c r="R96" s="76"/>
      <c r="S96" s="76"/>
      <c r="T96" s="76"/>
      <c r="U96" s="76"/>
      <c r="V96" s="76"/>
      <c r="W96" s="76"/>
      <c r="X96" s="76"/>
      <c r="Y96" s="76"/>
    </row>
    <row r="97" spans="12:25">
      <c r="L97" s="76"/>
      <c r="M97" s="76"/>
      <c r="N97" s="76"/>
      <c r="O97" s="76"/>
      <c r="P97" s="76"/>
      <c r="Q97" s="76"/>
      <c r="R97" s="76"/>
      <c r="S97" s="76"/>
      <c r="T97" s="76"/>
      <c r="U97" s="76"/>
      <c r="V97" s="76"/>
      <c r="W97" s="76"/>
      <c r="X97" s="76"/>
      <c r="Y97" s="76"/>
    </row>
    <row r="98" spans="12:25">
      <c r="L98" s="76"/>
      <c r="M98" s="76"/>
      <c r="N98" s="76"/>
      <c r="O98" s="76"/>
      <c r="P98" s="76"/>
      <c r="Q98" s="76"/>
      <c r="R98" s="76"/>
      <c r="S98" s="76"/>
      <c r="T98" s="76"/>
      <c r="U98" s="76"/>
      <c r="V98" s="76"/>
      <c r="W98" s="76"/>
      <c r="X98" s="76"/>
      <c r="Y98" s="76"/>
    </row>
    <row r="99" spans="12:25">
      <c r="L99" s="76"/>
      <c r="M99" s="76"/>
      <c r="N99" s="76"/>
      <c r="O99" s="76"/>
      <c r="P99" s="76"/>
      <c r="Q99" s="76"/>
      <c r="R99" s="76"/>
      <c r="S99" s="76"/>
      <c r="T99" s="76"/>
      <c r="U99" s="76"/>
      <c r="V99" s="76"/>
      <c r="W99" s="76"/>
      <c r="X99" s="76"/>
      <c r="Y99" s="76"/>
    </row>
    <row r="100" spans="12:25">
      <c r="L100" s="76"/>
      <c r="M100" s="76"/>
      <c r="N100" s="76"/>
      <c r="O100" s="76"/>
      <c r="P100" s="76"/>
      <c r="Q100" s="76"/>
      <c r="R100" s="76"/>
      <c r="S100" s="76"/>
      <c r="T100" s="76"/>
      <c r="U100" s="76"/>
      <c r="V100" s="76"/>
      <c r="W100" s="76"/>
      <c r="X100" s="76"/>
      <c r="Y100" s="76"/>
    </row>
    <row r="101" spans="12:25">
      <c r="L101" s="76"/>
      <c r="M101" s="76"/>
      <c r="N101" s="76"/>
      <c r="O101" s="76"/>
      <c r="P101" s="76"/>
      <c r="Q101" s="76"/>
      <c r="R101" s="76"/>
      <c r="S101" s="76"/>
      <c r="T101" s="76"/>
      <c r="U101" s="76"/>
      <c r="V101" s="76"/>
      <c r="W101" s="76"/>
      <c r="X101" s="76"/>
      <c r="Y101" s="76"/>
    </row>
    <row r="102" spans="12:25">
      <c r="L102" s="76"/>
      <c r="M102" s="76"/>
      <c r="N102" s="76"/>
      <c r="O102" s="76"/>
      <c r="P102" s="76"/>
      <c r="Q102" s="76"/>
      <c r="R102" s="76"/>
      <c r="S102" s="76"/>
      <c r="T102" s="76"/>
      <c r="U102" s="76"/>
      <c r="V102" s="76"/>
      <c r="W102" s="76"/>
      <c r="X102" s="76"/>
      <c r="Y102" s="76"/>
    </row>
    <row r="103" spans="12:25">
      <c r="L103" s="76"/>
      <c r="M103" s="76"/>
      <c r="N103" s="76"/>
      <c r="O103" s="76"/>
      <c r="P103" s="76"/>
      <c r="Q103" s="76"/>
      <c r="R103" s="76"/>
      <c r="S103" s="76"/>
      <c r="T103" s="76"/>
      <c r="U103" s="76"/>
      <c r="V103" s="76"/>
      <c r="W103" s="76"/>
      <c r="X103" s="76"/>
      <c r="Y103" s="76"/>
    </row>
    <row r="104" spans="12:25">
      <c r="L104" s="76"/>
      <c r="M104" s="76"/>
      <c r="N104" s="76"/>
      <c r="O104" s="76"/>
      <c r="P104" s="76"/>
      <c r="Q104" s="76"/>
      <c r="R104" s="76"/>
      <c r="S104" s="76"/>
      <c r="T104" s="76"/>
      <c r="U104" s="76"/>
      <c r="V104" s="76"/>
      <c r="W104" s="76"/>
      <c r="X104" s="76"/>
      <c r="Y104" s="76"/>
    </row>
    <row r="105" spans="12:25">
      <c r="L105" s="76"/>
      <c r="M105" s="76"/>
      <c r="N105" s="76"/>
      <c r="O105" s="76"/>
      <c r="P105" s="76"/>
      <c r="Q105" s="76"/>
      <c r="R105" s="76"/>
      <c r="S105" s="76"/>
      <c r="T105" s="76"/>
      <c r="U105" s="76"/>
      <c r="V105" s="76"/>
      <c r="W105" s="76"/>
      <c r="X105" s="76"/>
      <c r="Y105" s="76"/>
    </row>
    <row r="106" spans="12:25">
      <c r="L106" s="76"/>
      <c r="M106" s="76"/>
      <c r="N106" s="76"/>
      <c r="O106" s="76"/>
      <c r="P106" s="76"/>
      <c r="Q106" s="76"/>
      <c r="R106" s="76"/>
      <c r="S106" s="76"/>
      <c r="T106" s="76"/>
      <c r="U106" s="76"/>
      <c r="V106" s="76"/>
      <c r="W106" s="76"/>
      <c r="X106" s="76"/>
      <c r="Y106" s="76"/>
    </row>
    <row r="107" spans="12:25">
      <c r="L107" s="76"/>
      <c r="M107" s="76"/>
      <c r="N107" s="76"/>
      <c r="O107" s="76"/>
      <c r="P107" s="76"/>
      <c r="Q107" s="76"/>
      <c r="R107" s="76"/>
      <c r="S107" s="76"/>
      <c r="T107" s="76"/>
      <c r="U107" s="76"/>
      <c r="V107" s="76"/>
      <c r="W107" s="76"/>
      <c r="X107" s="76"/>
      <c r="Y107" s="76"/>
    </row>
    <row r="108" spans="12:25">
      <c r="L108" s="76"/>
      <c r="M108" s="76"/>
      <c r="N108" s="76"/>
      <c r="O108" s="76"/>
      <c r="P108" s="76"/>
      <c r="Q108" s="76"/>
      <c r="R108" s="76"/>
      <c r="S108" s="76"/>
      <c r="T108" s="76"/>
      <c r="U108" s="76"/>
      <c r="V108" s="76"/>
      <c r="W108" s="76"/>
      <c r="X108" s="76"/>
      <c r="Y108" s="76"/>
    </row>
    <row r="109" spans="12:25">
      <c r="L109" s="76"/>
      <c r="M109" s="76"/>
      <c r="N109" s="76"/>
      <c r="O109" s="76"/>
      <c r="P109" s="76"/>
      <c r="Q109" s="76"/>
      <c r="R109" s="76"/>
      <c r="S109" s="76"/>
      <c r="T109" s="76"/>
      <c r="U109" s="76"/>
      <c r="V109" s="76"/>
      <c r="W109" s="76"/>
      <c r="X109" s="76"/>
      <c r="Y109" s="76"/>
    </row>
    <row r="110" spans="12:25">
      <c r="L110" s="76"/>
      <c r="M110" s="76"/>
      <c r="N110" s="76"/>
      <c r="O110" s="76"/>
      <c r="P110" s="76"/>
      <c r="Q110" s="76"/>
      <c r="R110" s="76"/>
      <c r="S110" s="76"/>
      <c r="T110" s="76"/>
      <c r="U110" s="76"/>
      <c r="V110" s="76"/>
      <c r="W110" s="76"/>
      <c r="X110" s="76"/>
      <c r="Y110" s="76"/>
    </row>
    <row r="111" spans="12:25">
      <c r="L111" s="76"/>
      <c r="M111" s="76"/>
      <c r="N111" s="76"/>
      <c r="O111" s="76"/>
      <c r="P111" s="76"/>
      <c r="Q111" s="76"/>
      <c r="R111" s="76"/>
      <c r="S111" s="76"/>
      <c r="T111" s="76"/>
      <c r="U111" s="76"/>
      <c r="V111" s="76"/>
      <c r="W111" s="76"/>
      <c r="X111" s="76"/>
      <c r="Y111" s="76"/>
    </row>
    <row r="112" spans="12:25">
      <c r="L112" s="76"/>
      <c r="M112" s="76"/>
      <c r="N112" s="76"/>
      <c r="O112" s="76"/>
      <c r="P112" s="76"/>
      <c r="Q112" s="76"/>
      <c r="R112" s="76"/>
      <c r="S112" s="76"/>
      <c r="T112" s="76"/>
      <c r="U112" s="76"/>
      <c r="V112" s="76"/>
      <c r="W112" s="76"/>
      <c r="X112" s="76"/>
      <c r="Y112" s="76"/>
    </row>
    <row r="113" spans="12:25">
      <c r="L113" s="76"/>
      <c r="M113" s="76"/>
      <c r="N113" s="76"/>
      <c r="O113" s="76"/>
      <c r="P113" s="76"/>
      <c r="Q113" s="76"/>
      <c r="R113" s="76"/>
      <c r="S113" s="76"/>
      <c r="T113" s="76"/>
      <c r="U113" s="76"/>
      <c r="V113" s="76"/>
      <c r="W113" s="76"/>
      <c r="X113" s="76"/>
      <c r="Y113" s="76"/>
    </row>
    <row r="114" spans="12:25">
      <c r="L114" s="76"/>
      <c r="M114" s="76"/>
      <c r="N114" s="76"/>
      <c r="O114" s="76"/>
      <c r="P114" s="76"/>
      <c r="Q114" s="76"/>
      <c r="R114" s="76"/>
      <c r="S114" s="76"/>
      <c r="T114" s="76"/>
      <c r="U114" s="76"/>
      <c r="V114" s="76"/>
      <c r="W114" s="76"/>
      <c r="X114" s="76"/>
      <c r="Y114" s="76"/>
    </row>
    <row r="115" spans="12:25">
      <c r="L115" s="76"/>
      <c r="M115" s="76"/>
      <c r="N115" s="76"/>
      <c r="O115" s="76"/>
      <c r="P115" s="76"/>
      <c r="Q115" s="76"/>
      <c r="R115" s="76"/>
      <c r="S115" s="76"/>
      <c r="T115" s="76"/>
      <c r="U115" s="76"/>
      <c r="V115" s="76"/>
      <c r="W115" s="76"/>
      <c r="X115" s="76"/>
      <c r="Y115" s="76"/>
    </row>
    <row r="116" spans="12:25">
      <c r="L116" s="76"/>
      <c r="M116" s="76"/>
      <c r="N116" s="76"/>
      <c r="O116" s="76"/>
      <c r="P116" s="76"/>
      <c r="Q116" s="76"/>
      <c r="R116" s="76"/>
      <c r="S116" s="76"/>
      <c r="T116" s="76"/>
      <c r="U116" s="76"/>
      <c r="V116" s="76"/>
      <c r="W116" s="76"/>
      <c r="X116" s="76"/>
      <c r="Y116" s="76"/>
    </row>
    <row r="117" spans="12:25">
      <c r="L117" s="76"/>
      <c r="M117" s="76"/>
      <c r="N117" s="76"/>
      <c r="O117" s="76"/>
      <c r="P117" s="76"/>
      <c r="Q117" s="76"/>
      <c r="R117" s="76"/>
      <c r="S117" s="76"/>
      <c r="T117" s="76"/>
      <c r="U117" s="76"/>
      <c r="V117" s="76"/>
      <c r="W117" s="76"/>
      <c r="X117" s="76"/>
      <c r="Y117" s="76"/>
    </row>
    <row r="118" spans="12:25">
      <c r="L118" s="76"/>
      <c r="M118" s="76"/>
      <c r="N118" s="76"/>
      <c r="O118" s="76"/>
      <c r="P118" s="76"/>
      <c r="Q118" s="76"/>
      <c r="R118" s="76"/>
      <c r="S118" s="76"/>
      <c r="T118" s="76"/>
      <c r="U118" s="76"/>
      <c r="V118" s="76"/>
      <c r="W118" s="76"/>
      <c r="X118" s="76"/>
      <c r="Y118" s="76"/>
    </row>
    <row r="119" spans="12:25">
      <c r="L119" s="76"/>
      <c r="M119" s="76"/>
      <c r="N119" s="76"/>
      <c r="O119" s="76"/>
      <c r="P119" s="76"/>
      <c r="Q119" s="76"/>
      <c r="R119" s="76"/>
      <c r="S119" s="76"/>
      <c r="T119" s="76"/>
      <c r="U119" s="76"/>
      <c r="V119" s="76"/>
      <c r="W119" s="76"/>
      <c r="X119" s="76"/>
      <c r="Y119" s="76"/>
    </row>
    <row r="120" spans="12:25">
      <c r="L120" s="76"/>
      <c r="M120" s="76"/>
      <c r="N120" s="76"/>
      <c r="O120" s="76"/>
      <c r="P120" s="76"/>
      <c r="Q120" s="76"/>
      <c r="R120" s="76"/>
      <c r="S120" s="76"/>
      <c r="T120" s="76"/>
      <c r="U120" s="76"/>
      <c r="V120" s="76"/>
      <c r="W120" s="76"/>
      <c r="X120" s="76"/>
      <c r="Y120" s="76"/>
    </row>
    <row r="121" spans="12:25">
      <c r="L121" s="76"/>
      <c r="M121" s="76"/>
      <c r="N121" s="76"/>
      <c r="O121" s="76"/>
      <c r="P121" s="76"/>
      <c r="Q121" s="76"/>
      <c r="R121" s="76"/>
      <c r="S121" s="76"/>
      <c r="T121" s="76"/>
      <c r="U121" s="76"/>
      <c r="V121" s="76"/>
      <c r="W121" s="76"/>
      <c r="X121" s="76"/>
      <c r="Y121" s="76"/>
    </row>
    <row r="122" spans="12:25">
      <c r="L122" s="76"/>
      <c r="M122" s="76"/>
      <c r="N122" s="76"/>
      <c r="O122" s="76"/>
      <c r="P122" s="76"/>
      <c r="Q122" s="76"/>
      <c r="R122" s="76"/>
      <c r="S122" s="76"/>
      <c r="T122" s="76"/>
      <c r="U122" s="76"/>
      <c r="V122" s="76"/>
      <c r="W122" s="76"/>
      <c r="X122" s="76"/>
      <c r="Y122" s="76"/>
    </row>
    <row r="123" spans="12:25">
      <c r="L123" s="76"/>
      <c r="M123" s="76"/>
      <c r="N123" s="76"/>
      <c r="O123" s="76"/>
      <c r="P123" s="76"/>
      <c r="Q123" s="76"/>
      <c r="R123" s="76"/>
      <c r="S123" s="76"/>
      <c r="T123" s="76"/>
      <c r="U123" s="76"/>
      <c r="V123" s="76"/>
      <c r="W123" s="76"/>
      <c r="X123" s="76"/>
      <c r="Y123" s="76"/>
    </row>
    <row r="124" spans="12:25">
      <c r="L124" s="76"/>
      <c r="M124" s="76"/>
      <c r="N124" s="76"/>
      <c r="O124" s="76"/>
      <c r="P124" s="76"/>
      <c r="Q124" s="76"/>
      <c r="R124" s="76"/>
      <c r="S124" s="76"/>
      <c r="T124" s="76"/>
      <c r="U124" s="76"/>
      <c r="V124" s="76"/>
      <c r="W124" s="76"/>
      <c r="X124" s="76"/>
      <c r="Y124" s="76"/>
    </row>
    <row r="125" spans="12:25">
      <c r="L125" s="76"/>
      <c r="M125" s="76"/>
      <c r="N125" s="76"/>
      <c r="O125" s="76"/>
      <c r="P125" s="76"/>
      <c r="Q125" s="76"/>
      <c r="R125" s="76"/>
      <c r="S125" s="76"/>
      <c r="T125" s="76"/>
      <c r="U125" s="76"/>
      <c r="V125" s="76"/>
      <c r="W125" s="76"/>
      <c r="X125" s="76"/>
      <c r="Y125" s="76"/>
    </row>
    <row r="126" spans="12:25">
      <c r="L126" s="76"/>
      <c r="M126" s="76"/>
      <c r="N126" s="76"/>
      <c r="O126" s="76"/>
      <c r="P126" s="76"/>
      <c r="Q126" s="76"/>
      <c r="R126" s="76"/>
      <c r="S126" s="76"/>
      <c r="T126" s="76"/>
      <c r="U126" s="76"/>
      <c r="V126" s="76"/>
      <c r="W126" s="76"/>
      <c r="X126" s="76"/>
      <c r="Y126" s="76"/>
    </row>
    <row r="127" spans="12:25">
      <c r="L127" s="76"/>
      <c r="M127" s="76"/>
      <c r="N127" s="76"/>
      <c r="O127" s="76"/>
      <c r="P127" s="76"/>
      <c r="Q127" s="76"/>
      <c r="R127" s="76"/>
      <c r="S127" s="76"/>
      <c r="T127" s="76"/>
      <c r="U127" s="76"/>
      <c r="V127" s="76"/>
      <c r="W127" s="76"/>
      <c r="X127" s="76"/>
      <c r="Y127" s="76"/>
    </row>
    <row r="128" spans="12:25">
      <c r="L128" s="76"/>
      <c r="M128" s="76"/>
      <c r="N128" s="76"/>
      <c r="O128" s="76"/>
      <c r="P128" s="76"/>
      <c r="Q128" s="76"/>
      <c r="R128" s="76"/>
      <c r="S128" s="76"/>
      <c r="T128" s="76"/>
      <c r="U128" s="76"/>
      <c r="V128" s="76"/>
      <c r="W128" s="76"/>
      <c r="X128" s="76"/>
      <c r="Y128" s="76"/>
    </row>
    <row r="129" spans="12:25">
      <c r="L129" s="76"/>
      <c r="M129" s="76"/>
      <c r="N129" s="76"/>
      <c r="O129" s="76"/>
      <c r="P129" s="76"/>
      <c r="Q129" s="76"/>
      <c r="R129" s="76"/>
      <c r="S129" s="76"/>
      <c r="T129" s="76"/>
      <c r="U129" s="76"/>
      <c r="V129" s="76"/>
      <c r="W129" s="76"/>
      <c r="X129" s="76"/>
      <c r="Y129" s="76"/>
    </row>
    <row r="130" spans="12:25">
      <c r="L130" s="76"/>
      <c r="M130" s="76"/>
      <c r="N130" s="76"/>
      <c r="O130" s="76"/>
      <c r="P130" s="76"/>
      <c r="Q130" s="76"/>
      <c r="R130" s="76"/>
      <c r="S130" s="76"/>
      <c r="T130" s="76"/>
      <c r="U130" s="76"/>
      <c r="V130" s="76"/>
      <c r="W130" s="76"/>
      <c r="X130" s="76"/>
      <c r="Y130" s="76"/>
    </row>
    <row r="131" spans="12:25">
      <c r="L131" s="76"/>
      <c r="M131" s="76"/>
      <c r="N131" s="76"/>
      <c r="O131" s="76"/>
      <c r="P131" s="76"/>
      <c r="Q131" s="76"/>
      <c r="R131" s="76"/>
      <c r="S131" s="76"/>
      <c r="T131" s="76"/>
      <c r="U131" s="76"/>
      <c r="V131" s="76"/>
      <c r="W131" s="76"/>
      <c r="X131" s="76"/>
      <c r="Y131" s="76"/>
    </row>
    <row r="132" spans="12:25">
      <c r="L132" s="76"/>
      <c r="M132" s="76"/>
      <c r="N132" s="76"/>
      <c r="O132" s="76"/>
      <c r="P132" s="76"/>
      <c r="Q132" s="76"/>
      <c r="R132" s="76"/>
      <c r="S132" s="76"/>
      <c r="T132" s="76"/>
      <c r="U132" s="76"/>
      <c r="V132" s="76"/>
      <c r="W132" s="76"/>
      <c r="X132" s="76"/>
      <c r="Y132" s="76"/>
    </row>
    <row r="133" spans="12:25">
      <c r="L133" s="76"/>
      <c r="M133" s="76"/>
      <c r="N133" s="76"/>
      <c r="O133" s="76"/>
      <c r="P133" s="76"/>
      <c r="Q133" s="76"/>
      <c r="R133" s="76"/>
      <c r="S133" s="76"/>
      <c r="T133" s="76"/>
      <c r="U133" s="76"/>
      <c r="V133" s="76"/>
      <c r="W133" s="76"/>
      <c r="X133" s="76"/>
      <c r="Y133" s="76"/>
    </row>
    <row r="134" spans="12:25">
      <c r="L134" s="76"/>
      <c r="M134" s="76"/>
      <c r="N134" s="76"/>
      <c r="O134" s="76"/>
      <c r="P134" s="76"/>
      <c r="Q134" s="76"/>
      <c r="R134" s="76"/>
      <c r="S134" s="76"/>
      <c r="T134" s="76"/>
      <c r="U134" s="76"/>
      <c r="V134" s="76"/>
      <c r="W134" s="76"/>
      <c r="X134" s="76"/>
      <c r="Y134" s="76"/>
    </row>
    <row r="135" spans="12:25">
      <c r="L135" s="76"/>
      <c r="M135" s="76"/>
      <c r="N135" s="76"/>
      <c r="O135" s="76"/>
      <c r="P135" s="76"/>
      <c r="Q135" s="76"/>
      <c r="R135" s="76"/>
      <c r="S135" s="76"/>
      <c r="T135" s="76"/>
      <c r="U135" s="76"/>
      <c r="V135" s="76"/>
      <c r="W135" s="76"/>
      <c r="X135" s="76"/>
      <c r="Y135" s="76"/>
    </row>
    <row r="136" spans="12:25">
      <c r="L136" s="76"/>
      <c r="M136" s="76"/>
      <c r="N136" s="76"/>
      <c r="O136" s="76"/>
      <c r="P136" s="76"/>
      <c r="Q136" s="76"/>
      <c r="R136" s="76"/>
      <c r="S136" s="76"/>
      <c r="T136" s="76"/>
      <c r="U136" s="76"/>
      <c r="V136" s="76"/>
      <c r="W136" s="76"/>
      <c r="X136" s="76"/>
      <c r="Y136" s="76"/>
    </row>
    <row r="137" spans="12:25">
      <c r="L137" s="76"/>
      <c r="M137" s="76"/>
      <c r="N137" s="76"/>
      <c r="O137" s="76"/>
      <c r="P137" s="76"/>
      <c r="Q137" s="76"/>
      <c r="R137" s="76"/>
      <c r="S137" s="76"/>
      <c r="T137" s="76"/>
      <c r="U137" s="76"/>
      <c r="V137" s="76"/>
      <c r="W137" s="76"/>
      <c r="X137" s="76"/>
      <c r="Y137" s="76"/>
    </row>
    <row r="138" spans="12:25">
      <c r="L138" s="76"/>
      <c r="M138" s="76"/>
      <c r="N138" s="76"/>
      <c r="O138" s="76"/>
      <c r="P138" s="76"/>
      <c r="Q138" s="76"/>
      <c r="R138" s="76"/>
      <c r="S138" s="76"/>
      <c r="T138" s="76"/>
      <c r="U138" s="76"/>
      <c r="V138" s="76"/>
      <c r="W138" s="76"/>
      <c r="X138" s="76"/>
      <c r="Y138" s="76"/>
    </row>
    <row r="139" spans="12:25">
      <c r="L139" s="76"/>
      <c r="M139" s="76"/>
      <c r="N139" s="76"/>
      <c r="O139" s="76"/>
      <c r="P139" s="76"/>
      <c r="Q139" s="76"/>
      <c r="R139" s="76"/>
      <c r="S139" s="76"/>
      <c r="T139" s="76"/>
      <c r="U139" s="76"/>
      <c r="V139" s="76"/>
      <c r="W139" s="76"/>
      <c r="X139" s="76"/>
      <c r="Y139" s="76"/>
    </row>
    <row r="140" spans="12:25">
      <c r="L140" s="76"/>
      <c r="M140" s="76"/>
      <c r="N140" s="76"/>
      <c r="O140" s="76"/>
      <c r="P140" s="76"/>
      <c r="Q140" s="76"/>
      <c r="R140" s="76"/>
      <c r="S140" s="76"/>
      <c r="T140" s="76"/>
      <c r="U140" s="76"/>
      <c r="V140" s="76"/>
      <c r="W140" s="76"/>
      <c r="X140" s="76"/>
      <c r="Y140" s="76"/>
    </row>
    <row r="141" spans="12:25">
      <c r="L141" s="76"/>
      <c r="M141" s="76"/>
      <c r="N141" s="76"/>
      <c r="O141" s="76"/>
      <c r="P141" s="76"/>
      <c r="Q141" s="76"/>
      <c r="R141" s="76"/>
      <c r="S141" s="76"/>
      <c r="T141" s="76"/>
      <c r="U141" s="76"/>
      <c r="V141" s="76"/>
      <c r="W141" s="76"/>
      <c r="X141" s="76"/>
      <c r="Y141" s="76"/>
    </row>
    <row r="142" spans="12:25">
      <c r="L142" s="76"/>
      <c r="M142" s="76"/>
      <c r="N142" s="76"/>
      <c r="O142" s="76"/>
      <c r="P142" s="76"/>
      <c r="Q142" s="76"/>
      <c r="R142" s="76"/>
      <c r="S142" s="76"/>
      <c r="T142" s="76"/>
      <c r="U142" s="76"/>
      <c r="V142" s="76"/>
      <c r="W142" s="76"/>
      <c r="X142" s="76"/>
      <c r="Y142" s="76"/>
    </row>
    <row r="143" spans="12:25">
      <c r="L143" s="76"/>
      <c r="M143" s="76"/>
      <c r="N143" s="76"/>
      <c r="O143" s="76"/>
      <c r="P143" s="76"/>
      <c r="Q143" s="76"/>
      <c r="R143" s="76"/>
      <c r="S143" s="76"/>
      <c r="T143" s="76"/>
      <c r="U143" s="76"/>
      <c r="V143" s="76"/>
      <c r="W143" s="76"/>
      <c r="X143" s="76"/>
      <c r="Y143" s="76"/>
    </row>
    <row r="144" spans="12:25">
      <c r="L144" s="76"/>
      <c r="M144" s="76"/>
      <c r="N144" s="76"/>
      <c r="O144" s="76"/>
      <c r="P144" s="76"/>
      <c r="Q144" s="76"/>
      <c r="R144" s="76"/>
      <c r="S144" s="76"/>
      <c r="T144" s="76"/>
      <c r="U144" s="76"/>
      <c r="V144" s="76"/>
      <c r="W144" s="76"/>
      <c r="X144" s="76"/>
      <c r="Y144" s="76"/>
    </row>
    <row r="145" spans="12:25">
      <c r="L145" s="76"/>
      <c r="M145" s="76"/>
      <c r="N145" s="76"/>
      <c r="O145" s="76"/>
      <c r="P145" s="76"/>
      <c r="Q145" s="76"/>
      <c r="R145" s="76"/>
      <c r="S145" s="76"/>
      <c r="T145" s="76"/>
      <c r="U145" s="76"/>
      <c r="V145" s="76"/>
      <c r="W145" s="76"/>
      <c r="X145" s="76"/>
      <c r="Y145" s="76"/>
    </row>
    <row r="146" spans="12:25">
      <c r="L146" s="76"/>
      <c r="M146" s="76"/>
      <c r="N146" s="76"/>
      <c r="O146" s="76"/>
      <c r="P146" s="76"/>
      <c r="Q146" s="76"/>
      <c r="R146" s="76"/>
      <c r="S146" s="76"/>
      <c r="T146" s="76"/>
      <c r="U146" s="76"/>
      <c r="V146" s="76"/>
      <c r="W146" s="76"/>
      <c r="X146" s="76"/>
      <c r="Y146" s="76"/>
    </row>
    <row r="147" spans="12:25">
      <c r="L147" s="76"/>
      <c r="M147" s="76"/>
      <c r="N147" s="76"/>
      <c r="O147" s="76"/>
      <c r="P147" s="76"/>
      <c r="Q147" s="76"/>
      <c r="R147" s="76"/>
      <c r="S147" s="76"/>
      <c r="T147" s="76"/>
      <c r="U147" s="76"/>
      <c r="V147" s="76"/>
      <c r="W147" s="76"/>
      <c r="X147" s="76"/>
      <c r="Y147" s="76"/>
    </row>
    <row r="148" spans="12:25">
      <c r="L148" s="76"/>
      <c r="M148" s="76"/>
      <c r="N148" s="76"/>
      <c r="O148" s="76"/>
      <c r="P148" s="76"/>
      <c r="Q148" s="76"/>
      <c r="R148" s="76"/>
      <c r="S148" s="76"/>
      <c r="T148" s="76"/>
      <c r="U148" s="76"/>
      <c r="V148" s="76"/>
      <c r="W148" s="76"/>
      <c r="X148" s="76"/>
      <c r="Y148" s="76"/>
    </row>
    <row r="149" spans="12:25">
      <c r="L149" s="76"/>
      <c r="M149" s="76"/>
      <c r="N149" s="76"/>
      <c r="O149" s="76"/>
      <c r="P149" s="76"/>
      <c r="Q149" s="76"/>
      <c r="R149" s="76"/>
      <c r="S149" s="76"/>
      <c r="T149" s="76"/>
      <c r="U149" s="76"/>
      <c r="V149" s="76"/>
      <c r="W149" s="76"/>
      <c r="X149" s="76"/>
      <c r="Y149" s="76"/>
    </row>
    <row r="150" spans="12:25">
      <c r="L150" s="76"/>
      <c r="M150" s="76"/>
      <c r="N150" s="76"/>
      <c r="O150" s="76"/>
      <c r="P150" s="76"/>
      <c r="Q150" s="76"/>
      <c r="R150" s="76"/>
      <c r="S150" s="76"/>
      <c r="T150" s="76"/>
      <c r="U150" s="76"/>
      <c r="V150" s="76"/>
      <c r="W150" s="76"/>
      <c r="X150" s="76"/>
      <c r="Y150" s="76"/>
    </row>
    <row r="151" spans="12:25">
      <c r="L151" s="76"/>
      <c r="M151" s="76"/>
      <c r="N151" s="76"/>
      <c r="O151" s="76"/>
      <c r="P151" s="76"/>
      <c r="Q151" s="76"/>
      <c r="R151" s="76"/>
      <c r="S151" s="76"/>
      <c r="T151" s="76"/>
      <c r="U151" s="76"/>
      <c r="V151" s="76"/>
      <c r="W151" s="76"/>
      <c r="X151" s="76"/>
      <c r="Y151" s="76"/>
    </row>
    <row r="152" spans="12:25">
      <c r="L152" s="76"/>
      <c r="M152" s="76"/>
      <c r="N152" s="76"/>
      <c r="O152" s="76"/>
      <c r="P152" s="76"/>
      <c r="Q152" s="76"/>
      <c r="R152" s="76"/>
      <c r="S152" s="76"/>
      <c r="T152" s="76"/>
      <c r="U152" s="76"/>
      <c r="V152" s="76"/>
      <c r="W152" s="76"/>
      <c r="X152" s="76"/>
      <c r="Y152" s="76"/>
    </row>
    <row r="153" spans="12:25">
      <c r="L153" s="76"/>
      <c r="M153" s="76"/>
      <c r="N153" s="76"/>
      <c r="O153" s="76"/>
      <c r="P153" s="76"/>
      <c r="Q153" s="76"/>
      <c r="R153" s="76"/>
      <c r="S153" s="76"/>
      <c r="T153" s="76"/>
      <c r="U153" s="76"/>
      <c r="V153" s="76"/>
      <c r="W153" s="76"/>
      <c r="X153" s="76"/>
      <c r="Y153" s="76"/>
    </row>
    <row r="154" spans="12:25">
      <c r="L154" s="76"/>
      <c r="M154" s="76"/>
      <c r="N154" s="76"/>
      <c r="O154" s="76"/>
      <c r="P154" s="76"/>
      <c r="Q154" s="76"/>
      <c r="R154" s="76"/>
      <c r="S154" s="76"/>
      <c r="T154" s="76"/>
      <c r="U154" s="76"/>
      <c r="V154" s="76"/>
      <c r="W154" s="76"/>
      <c r="X154" s="76"/>
      <c r="Y154" s="76"/>
    </row>
    <row r="155" spans="12:25">
      <c r="L155" s="76"/>
      <c r="M155" s="76"/>
      <c r="N155" s="76"/>
      <c r="O155" s="76"/>
      <c r="P155" s="76"/>
      <c r="Q155" s="76"/>
      <c r="R155" s="76"/>
      <c r="S155" s="76"/>
      <c r="T155" s="76"/>
      <c r="U155" s="76"/>
      <c r="V155" s="76"/>
      <c r="W155" s="76"/>
      <c r="X155" s="76"/>
      <c r="Y155" s="76"/>
    </row>
  </sheetData>
  <phoneticPr fontId="13"/>
  <pageMargins left="0.75" right="0.75" top="1" bottom="1" header="0.51200000000000001" footer="0.5120000000000000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0"/>
  <dimension ref="A1:BM119"/>
  <sheetViews>
    <sheetView workbookViewId="0">
      <pane xSplit="2" ySplit="2" topLeftCell="AZ3" activePane="bottomRight" state="frozen"/>
      <selection pane="topRight" activeCell="C1" sqref="C1"/>
      <selection pane="bottomLeft" activeCell="A3" sqref="A3"/>
      <selection pane="bottomRight" activeCell="BI11" sqref="BI11"/>
    </sheetView>
  </sheetViews>
  <sheetFormatPr defaultColWidth="8.7109375" defaultRowHeight="13"/>
  <cols>
    <col min="1" max="1" width="3.0703125" style="75" customWidth="1"/>
    <col min="2" max="20" width="8.7109375" style="75"/>
    <col min="21" max="32" width="8.7109375" style="157"/>
    <col min="33" max="47" width="8.7109375" style="75"/>
    <col min="48" max="49" width="8.7109375" style="75" customWidth="1"/>
    <col min="50" max="50" width="8.7109375" style="75"/>
    <col min="51" max="52" width="8.7109375" style="75" customWidth="1"/>
    <col min="53" max="55" width="8.7109375" style="75"/>
    <col min="56" max="56" width="9" style="75" bestFit="1" customWidth="1"/>
    <col min="57" max="62" width="8.7109375" style="75"/>
    <col min="63" max="63" width="5.5703125" style="75" customWidth="1"/>
    <col min="64" max="64" width="8.7109375" style="75" customWidth="1"/>
    <col min="65" max="65" width="6.5" style="75" customWidth="1"/>
    <col min="66" max="16384" width="8.7109375" style="75"/>
  </cols>
  <sheetData>
    <row r="1" spans="1:65">
      <c r="A1" s="104"/>
      <c r="B1" s="125" t="s">
        <v>609</v>
      </c>
      <c r="C1" s="104" t="s">
        <v>584</v>
      </c>
      <c r="D1" s="104" t="s">
        <v>584</v>
      </c>
      <c r="E1" s="104"/>
      <c r="F1" s="104" t="s">
        <v>588</v>
      </c>
      <c r="G1" s="104" t="s">
        <v>588</v>
      </c>
      <c r="H1" s="104"/>
      <c r="I1" s="104" t="s">
        <v>587</v>
      </c>
      <c r="J1" s="104" t="s">
        <v>587</v>
      </c>
      <c r="K1" s="104"/>
      <c r="L1" s="104" t="s">
        <v>868</v>
      </c>
      <c r="M1" s="104" t="s">
        <v>868</v>
      </c>
      <c r="N1" s="104"/>
      <c r="O1" s="104" t="s">
        <v>907</v>
      </c>
      <c r="P1" s="104" t="s">
        <v>907</v>
      </c>
      <c r="Q1" s="104"/>
      <c r="R1" s="104" t="s">
        <v>1052</v>
      </c>
      <c r="S1" s="104" t="s">
        <v>1052</v>
      </c>
      <c r="T1" s="104"/>
      <c r="U1" s="104" t="s">
        <v>103</v>
      </c>
      <c r="V1" s="104" t="s">
        <v>103</v>
      </c>
      <c r="W1" s="104" t="s">
        <v>620</v>
      </c>
      <c r="X1" s="104" t="s">
        <v>112</v>
      </c>
      <c r="Y1" s="104" t="s">
        <v>112</v>
      </c>
      <c r="Z1" s="104" t="s">
        <v>620</v>
      </c>
      <c r="AA1" s="104" t="s">
        <v>486</v>
      </c>
      <c r="AB1" s="104" t="s">
        <v>486</v>
      </c>
      <c r="AC1" s="104" t="s">
        <v>620</v>
      </c>
      <c r="AD1" s="104" t="s">
        <v>772</v>
      </c>
      <c r="AE1" s="104" t="s">
        <v>772</v>
      </c>
      <c r="AF1" s="104" t="s">
        <v>620</v>
      </c>
      <c r="AG1" s="104" t="s">
        <v>848</v>
      </c>
      <c r="AH1" s="104"/>
      <c r="AI1" s="104" t="s">
        <v>620</v>
      </c>
      <c r="AJ1" s="104" t="s">
        <v>1028</v>
      </c>
      <c r="AK1" s="104" t="s">
        <v>620</v>
      </c>
      <c r="AL1" s="104">
        <f>SUM(AL14:AL54)</f>
        <v>297308403.65430224</v>
      </c>
      <c r="AM1" s="104" t="s">
        <v>1060</v>
      </c>
      <c r="AN1" s="104" t="s">
        <v>11</v>
      </c>
      <c r="AO1" s="104" t="s">
        <v>620</v>
      </c>
      <c r="AP1" s="104" t="s">
        <v>1088</v>
      </c>
      <c r="AQ1" s="104" t="s">
        <v>11</v>
      </c>
      <c r="AR1" s="104" t="s">
        <v>620</v>
      </c>
      <c r="AS1" s="104" t="s">
        <v>1161</v>
      </c>
      <c r="AT1" s="104" t="s">
        <v>11</v>
      </c>
      <c r="AU1" s="104" t="s">
        <v>620</v>
      </c>
      <c r="AV1" s="104" t="s">
        <v>1129</v>
      </c>
      <c r="AW1" s="104" t="s">
        <v>11</v>
      </c>
      <c r="AX1" s="104" t="s">
        <v>620</v>
      </c>
      <c r="AY1" s="104" t="s">
        <v>1532</v>
      </c>
      <c r="AZ1" s="104"/>
      <c r="BA1" s="104"/>
      <c r="BB1" s="104" t="s">
        <v>1533</v>
      </c>
      <c r="BC1" s="104"/>
      <c r="BD1" s="104"/>
      <c r="BE1" s="104" t="s">
        <v>1234</v>
      </c>
      <c r="BF1" s="104"/>
      <c r="BG1" s="104"/>
      <c r="BH1" s="104" t="s">
        <v>1561</v>
      </c>
      <c r="BI1" s="104"/>
      <c r="BJ1" s="104"/>
    </row>
    <row r="2" spans="1:65" ht="30" customHeight="1">
      <c r="A2" s="116" t="s">
        <v>585</v>
      </c>
      <c r="B2" s="116"/>
      <c r="C2" s="107" t="s">
        <v>461</v>
      </c>
      <c r="D2" s="108" t="s">
        <v>462</v>
      </c>
      <c r="E2" s="121" t="s">
        <v>591</v>
      </c>
      <c r="F2" s="116" t="s">
        <v>461</v>
      </c>
      <c r="G2" s="117" t="s">
        <v>462</v>
      </c>
      <c r="H2" s="123" t="s">
        <v>590</v>
      </c>
      <c r="I2" s="116" t="s">
        <v>461</v>
      </c>
      <c r="J2" s="117" t="s">
        <v>462</v>
      </c>
      <c r="K2" s="123" t="s">
        <v>589</v>
      </c>
      <c r="L2" s="116" t="s">
        <v>461</v>
      </c>
      <c r="M2" s="117" t="s">
        <v>462</v>
      </c>
      <c r="N2" s="123" t="s">
        <v>861</v>
      </c>
      <c r="O2" s="466" t="s">
        <v>909</v>
      </c>
      <c r="P2" s="466" t="s">
        <v>910</v>
      </c>
      <c r="Q2" s="123" t="s">
        <v>894</v>
      </c>
      <c r="R2" s="466" t="s">
        <v>909</v>
      </c>
      <c r="S2" s="466" t="s">
        <v>910</v>
      </c>
      <c r="T2" s="123" t="s">
        <v>908</v>
      </c>
      <c r="U2" s="467" t="s">
        <v>909</v>
      </c>
      <c r="V2" s="467" t="s">
        <v>910</v>
      </c>
      <c r="W2" s="123" t="s">
        <v>100</v>
      </c>
      <c r="X2" s="467" t="s">
        <v>909</v>
      </c>
      <c r="Y2" s="467" t="s">
        <v>910</v>
      </c>
      <c r="Z2" s="123" t="s">
        <v>109</v>
      </c>
      <c r="AA2" s="467" t="s">
        <v>909</v>
      </c>
      <c r="AB2" s="467" t="s">
        <v>910</v>
      </c>
      <c r="AC2" s="123" t="s">
        <v>864</v>
      </c>
      <c r="AD2" s="718" t="s">
        <v>909</v>
      </c>
      <c r="AE2" s="467" t="s">
        <v>910</v>
      </c>
      <c r="AF2" s="719" t="s">
        <v>773</v>
      </c>
      <c r="AG2" s="718" t="s">
        <v>909</v>
      </c>
      <c r="AH2" s="467" t="s">
        <v>910</v>
      </c>
      <c r="AI2" s="719" t="s">
        <v>849</v>
      </c>
      <c r="AJ2" s="718" t="s">
        <v>909</v>
      </c>
      <c r="AK2" s="467" t="s">
        <v>910</v>
      </c>
      <c r="AL2" s="719" t="s">
        <v>1029</v>
      </c>
      <c r="AM2" s="718" t="s">
        <v>909</v>
      </c>
      <c r="AN2" s="467" t="s">
        <v>910</v>
      </c>
      <c r="AO2" s="719" t="s">
        <v>1061</v>
      </c>
      <c r="AP2" s="718" t="s">
        <v>909</v>
      </c>
      <c r="AQ2" s="467" t="s">
        <v>910</v>
      </c>
      <c r="AR2" s="719" t="s">
        <v>1089</v>
      </c>
      <c r="AS2" s="718" t="s">
        <v>909</v>
      </c>
      <c r="AT2" s="467" t="s">
        <v>910</v>
      </c>
      <c r="AU2" s="719" t="s">
        <v>1167</v>
      </c>
      <c r="AV2" s="1162" t="s">
        <v>909</v>
      </c>
      <c r="AW2" s="1163" t="s">
        <v>910</v>
      </c>
      <c r="AX2" s="1164" t="s">
        <v>1136</v>
      </c>
      <c r="AY2" s="1162" t="s">
        <v>909</v>
      </c>
      <c r="AZ2" s="1163" t="s">
        <v>910</v>
      </c>
      <c r="BA2" s="1164" t="s">
        <v>1178</v>
      </c>
      <c r="BB2" s="1162" t="s">
        <v>909</v>
      </c>
      <c r="BC2" s="1163" t="s">
        <v>910</v>
      </c>
      <c r="BD2" s="1164" t="s">
        <v>1220</v>
      </c>
      <c r="BE2" s="1107" t="s">
        <v>909</v>
      </c>
      <c r="BF2" s="1108" t="s">
        <v>910</v>
      </c>
      <c r="BG2" s="1109" t="s">
        <v>1551</v>
      </c>
      <c r="BH2" s="1107" t="s">
        <v>909</v>
      </c>
      <c r="BI2" s="1108" t="s">
        <v>910</v>
      </c>
      <c r="BJ2" s="1109" t="s">
        <v>1592</v>
      </c>
      <c r="BL2" s="531" t="s">
        <v>1076</v>
      </c>
      <c r="BM2" s="532" t="s">
        <v>1073</v>
      </c>
    </row>
    <row r="3" spans="1:65">
      <c r="A3" s="215"/>
      <c r="B3" s="215" t="s">
        <v>603</v>
      </c>
      <c r="C3" s="435">
        <f>SUM(C4:C13)</f>
        <v>414387857</v>
      </c>
      <c r="D3" s="435">
        <f>SUM(D4:D13)</f>
        <v>40044896</v>
      </c>
      <c r="E3" s="186">
        <v>454432753</v>
      </c>
      <c r="F3" s="435">
        <f>SUM(F4:F13)</f>
        <v>353534694</v>
      </c>
      <c r="G3" s="435">
        <f>SUM(G4:G13)</f>
        <v>8882672</v>
      </c>
      <c r="H3" s="219">
        <v>362417366</v>
      </c>
      <c r="I3" s="435">
        <f>SUM(I4:I13)</f>
        <v>351635647</v>
      </c>
      <c r="J3" s="435">
        <f>SUM(J4:J13)</f>
        <v>2042167</v>
      </c>
      <c r="K3" s="219">
        <v>353677814</v>
      </c>
      <c r="L3" s="435">
        <f>SUM(L4:L13)</f>
        <v>341731334</v>
      </c>
      <c r="M3" s="435">
        <f>SUM(M4:M13)</f>
        <v>311631</v>
      </c>
      <c r="N3" s="122">
        <f t="shared" ref="N3:N34" si="0">L3+M3</f>
        <v>342042965</v>
      </c>
      <c r="O3" s="435">
        <f>SUM(O4:O13)</f>
        <v>297319450</v>
      </c>
      <c r="P3" s="435">
        <f>SUM(P4:P13)</f>
        <v>3867328</v>
      </c>
      <c r="Q3" s="186">
        <f>O3+P3</f>
        <v>301186778</v>
      </c>
      <c r="R3" s="435">
        <f>SUM(R4:R13)</f>
        <v>307700363</v>
      </c>
      <c r="S3" s="435">
        <f>SUM(S4:S13)</f>
        <v>5986120</v>
      </c>
      <c r="T3" s="186">
        <f>R3+S3</f>
        <v>313686483</v>
      </c>
      <c r="U3" s="435">
        <f>SUM(U4:U13)</f>
        <v>242915384</v>
      </c>
      <c r="V3" s="435">
        <f>SUM(V4:V13)</f>
        <v>4646693</v>
      </c>
      <c r="W3" s="468">
        <f>U3+V3</f>
        <v>247562077</v>
      </c>
      <c r="X3" s="435">
        <f>SUM(X4:X13)</f>
        <v>225227829</v>
      </c>
      <c r="Y3" s="435">
        <f>SUM(Y4:Y13)</f>
        <v>8956628</v>
      </c>
      <c r="Z3" s="468">
        <f>X3+Y3</f>
        <v>234184457</v>
      </c>
      <c r="AA3" s="435">
        <f>SUM(AA4:AA13)</f>
        <v>315228053</v>
      </c>
      <c r="AB3" s="435">
        <f>SUM(AB4:AB13)</f>
        <v>5543179</v>
      </c>
      <c r="AC3" s="469">
        <f>AA3+AB3</f>
        <v>320771232</v>
      </c>
      <c r="AD3" s="720">
        <f>SUM(AD4:AD13)</f>
        <v>284197566</v>
      </c>
      <c r="AE3" s="435">
        <f>SUM(AE4:AE13)</f>
        <v>5927605</v>
      </c>
      <c r="AF3" s="721">
        <f>AD3+AE3</f>
        <v>290125171</v>
      </c>
      <c r="AG3" s="720">
        <f>SUM(AG4:AG13)</f>
        <v>286532232</v>
      </c>
      <c r="AH3" s="435">
        <f>SUM(AH4:AH13)</f>
        <v>9561327</v>
      </c>
      <c r="AI3" s="721">
        <f t="shared" ref="AI3:AI14" si="1">AG3+AH3</f>
        <v>296093559</v>
      </c>
      <c r="AJ3" s="720">
        <f>SUM(AJ4:AJ13)</f>
        <v>288149832</v>
      </c>
      <c r="AK3" s="435">
        <f>SUM(AK4:AK13)</f>
        <v>4049087</v>
      </c>
      <c r="AL3" s="721">
        <f>AJ3+AK3</f>
        <v>292198919</v>
      </c>
      <c r="AM3" s="720">
        <f>SUM(AM4:AM13)</f>
        <v>282027537</v>
      </c>
      <c r="AN3" s="435">
        <f>SUM(AN4:AN13)</f>
        <v>2481574</v>
      </c>
      <c r="AO3" s="721">
        <f t="shared" ref="AO3:AO34" si="2">AM3+AN3</f>
        <v>284509111</v>
      </c>
      <c r="AP3" s="720">
        <f>SUM(AP4:AP13)</f>
        <v>268073963</v>
      </c>
      <c r="AQ3" s="435">
        <f>SUM(AQ4:AQ13)</f>
        <v>11252517</v>
      </c>
      <c r="AR3" s="721">
        <f t="shared" ref="AR3:AR54" si="3">AP3+AQ3</f>
        <v>279326480</v>
      </c>
      <c r="AS3" s="720">
        <f>SUM(AS4:AS13)</f>
        <v>307098577</v>
      </c>
      <c r="AT3" s="435">
        <f>SUM(AT4:AT13)</f>
        <v>14394168</v>
      </c>
      <c r="AU3" s="721">
        <f t="shared" ref="AU3:AU54" si="4">AS3+AT3</f>
        <v>321492745</v>
      </c>
      <c r="AV3" s="1150">
        <f>SUM(AV4:AV13)</f>
        <v>365033350</v>
      </c>
      <c r="AW3" s="1151">
        <f>SUM(AW4:AW13)</f>
        <v>7364438</v>
      </c>
      <c r="AX3" s="1152">
        <f t="shared" ref="AX3:AX54" si="5">AV3+AW3</f>
        <v>372397788</v>
      </c>
      <c r="AY3" s="1150">
        <f>SUM(AY4:AY13)</f>
        <v>318025661</v>
      </c>
      <c r="AZ3" s="1151">
        <f>SUM(AZ4:AZ13)</f>
        <v>4023830</v>
      </c>
      <c r="BA3" s="1152">
        <f t="shared" ref="BA3:BA54" si="6">AY3+AZ3</f>
        <v>322049491</v>
      </c>
      <c r="BB3" s="1150">
        <f>SUM(BB4:BB13)</f>
        <v>285559888</v>
      </c>
      <c r="BC3" s="1151">
        <f>SUM(BC4:BC13)</f>
        <v>888909</v>
      </c>
      <c r="BD3" s="1152">
        <f t="shared" ref="BD3:BD54" si="7">BB3+BC3</f>
        <v>286448797</v>
      </c>
      <c r="BE3" s="1871">
        <f>SUM(BE4:BE13)</f>
        <v>276698915</v>
      </c>
      <c r="BF3" s="1872">
        <f>SUM(BF4:BF13)</f>
        <v>2028532</v>
      </c>
      <c r="BG3" s="1881">
        <f t="shared" ref="BG3:BG54" si="8">BE3+BF3</f>
        <v>278727447</v>
      </c>
      <c r="BH3" s="1871">
        <f>SUM(BH4:BH13)</f>
        <v>325381123</v>
      </c>
      <c r="BI3" s="1872">
        <f>SUM(BI4:BI13)</f>
        <v>2768669</v>
      </c>
      <c r="BJ3" s="1881">
        <f t="shared" ref="BJ3:BJ54" si="9">BH3+BI3</f>
        <v>328149792</v>
      </c>
      <c r="BL3" s="421">
        <f>SUM(BL4:BL13)</f>
        <v>297308403.6543023</v>
      </c>
      <c r="BM3" s="528"/>
    </row>
    <row r="4" spans="1:65">
      <c r="A4" s="104">
        <v>100</v>
      </c>
      <c r="B4" s="104" t="s">
        <v>172</v>
      </c>
      <c r="C4" s="287">
        <f>C14</f>
        <v>140187363</v>
      </c>
      <c r="D4" s="287">
        <f>D14</f>
        <v>2779263</v>
      </c>
      <c r="E4" s="122">
        <v>142966626</v>
      </c>
      <c r="F4" s="287">
        <f>F14</f>
        <v>113274527</v>
      </c>
      <c r="G4" s="287">
        <f>G14</f>
        <v>0</v>
      </c>
      <c r="H4" s="124">
        <v>113274527</v>
      </c>
      <c r="I4" s="287">
        <f>I14</f>
        <v>118907788</v>
      </c>
      <c r="J4" s="287">
        <f>J14</f>
        <v>0</v>
      </c>
      <c r="K4" s="124">
        <v>118907788</v>
      </c>
      <c r="L4" s="287">
        <f>L14</f>
        <v>124744208</v>
      </c>
      <c r="M4" s="287">
        <f>M14</f>
        <v>0</v>
      </c>
      <c r="N4" s="122">
        <f t="shared" si="0"/>
        <v>124744208</v>
      </c>
      <c r="O4" s="287">
        <f>O14</f>
        <v>98153098</v>
      </c>
      <c r="P4" s="287">
        <f>P14</f>
        <v>0</v>
      </c>
      <c r="Q4" s="122">
        <f t="shared" ref="Q4:Q54" si="10">O4+P4</f>
        <v>98153098</v>
      </c>
      <c r="R4" s="287">
        <f>R14</f>
        <v>100298539</v>
      </c>
      <c r="S4" s="287">
        <f>S14</f>
        <v>0</v>
      </c>
      <c r="T4" s="122">
        <f t="shared" ref="T4:T54" si="11">R4+S4</f>
        <v>100298539</v>
      </c>
      <c r="U4" s="287">
        <f>U14</f>
        <v>77810042</v>
      </c>
      <c r="V4" s="287">
        <f>V14</f>
        <v>0</v>
      </c>
      <c r="W4" s="468">
        <f t="shared" ref="W4:W54" si="12">U4+V4</f>
        <v>77810042</v>
      </c>
      <c r="X4" s="287">
        <f>X14</f>
        <v>59405940</v>
      </c>
      <c r="Y4" s="287">
        <f>Y14</f>
        <v>0</v>
      </c>
      <c r="Z4" s="468">
        <f t="shared" ref="Z4:Z13" si="13">X4+Y4</f>
        <v>59405940</v>
      </c>
      <c r="AA4" s="287">
        <f>AA14</f>
        <v>98539783</v>
      </c>
      <c r="AB4" s="287">
        <f>AB14</f>
        <v>0</v>
      </c>
      <c r="AC4" s="469">
        <f t="shared" ref="AC4:AC13" si="14">AA4+AB4</f>
        <v>98539783</v>
      </c>
      <c r="AD4" s="722">
        <f>AD14</f>
        <v>86093204</v>
      </c>
      <c r="AE4" s="287">
        <f>AE14</f>
        <v>560466</v>
      </c>
      <c r="AF4" s="723">
        <f t="shared" ref="AF4:AF54" si="15">AD4+AE4</f>
        <v>86653670</v>
      </c>
      <c r="AG4" s="722">
        <f>AG14</f>
        <v>80717527</v>
      </c>
      <c r="AH4" s="287">
        <f>AH14</f>
        <v>1650179</v>
      </c>
      <c r="AI4" s="723">
        <f t="shared" si="1"/>
        <v>82367706</v>
      </c>
      <c r="AJ4" s="722">
        <f>AJ14</f>
        <v>91416827</v>
      </c>
      <c r="AK4" s="287">
        <f>AK14</f>
        <v>765751</v>
      </c>
      <c r="AL4" s="723">
        <f t="shared" ref="AL4:AL13" si="16">AJ4+AK4</f>
        <v>92182578</v>
      </c>
      <c r="AM4" s="722">
        <f>AM14</f>
        <v>92200466</v>
      </c>
      <c r="AN4" s="287">
        <f>AN14</f>
        <v>417835</v>
      </c>
      <c r="AO4" s="723">
        <f t="shared" si="2"/>
        <v>92618301</v>
      </c>
      <c r="AP4" s="722">
        <f>AP14</f>
        <v>87247467</v>
      </c>
      <c r="AQ4" s="287">
        <f>AQ14</f>
        <v>3585775</v>
      </c>
      <c r="AR4" s="723">
        <f t="shared" si="3"/>
        <v>90833242</v>
      </c>
      <c r="AS4" s="722">
        <f>AS14</f>
        <v>108198200</v>
      </c>
      <c r="AT4" s="287">
        <f>AT14</f>
        <v>6628503</v>
      </c>
      <c r="AU4" s="723">
        <f t="shared" si="4"/>
        <v>114826703</v>
      </c>
      <c r="AV4" s="1153">
        <f>AV14</f>
        <v>119651955</v>
      </c>
      <c r="AW4" s="1154">
        <f>AW14</f>
        <v>5837296</v>
      </c>
      <c r="AX4" s="1155">
        <f t="shared" si="5"/>
        <v>125489251</v>
      </c>
      <c r="AY4" s="1153">
        <f>AY14</f>
        <v>113971795</v>
      </c>
      <c r="AZ4" s="1154">
        <f>AZ14</f>
        <v>2875903</v>
      </c>
      <c r="BA4" s="1155">
        <f t="shared" si="6"/>
        <v>116847698</v>
      </c>
      <c r="BB4" s="1153">
        <f>BB14</f>
        <v>116839871</v>
      </c>
      <c r="BC4" s="1154">
        <f>BC14</f>
        <v>38613</v>
      </c>
      <c r="BD4" s="1155">
        <f t="shared" si="7"/>
        <v>116878484</v>
      </c>
      <c r="BE4" s="1873">
        <f>BE14</f>
        <v>110356799</v>
      </c>
      <c r="BF4" s="1874">
        <f>BF14</f>
        <v>32358</v>
      </c>
      <c r="BG4" s="1882">
        <f t="shared" si="8"/>
        <v>110389157</v>
      </c>
      <c r="BH4" s="1873">
        <f>BH14</f>
        <v>137728091</v>
      </c>
      <c r="BI4" s="1874">
        <f>BI14</f>
        <v>72389</v>
      </c>
      <c r="BJ4" s="1882">
        <f t="shared" si="9"/>
        <v>137800480</v>
      </c>
      <c r="BL4" s="286">
        <f>BL14</f>
        <v>85918833.017304808</v>
      </c>
      <c r="BM4" s="529"/>
    </row>
    <row r="5" spans="1:65">
      <c r="A5" s="104"/>
      <c r="B5" s="104" t="s">
        <v>182</v>
      </c>
      <c r="C5" s="287">
        <f>C16+C18+C20</f>
        <v>74086050</v>
      </c>
      <c r="D5" s="287">
        <f>D16+D18+D20</f>
        <v>122427</v>
      </c>
      <c r="E5" s="122">
        <v>74208477</v>
      </c>
      <c r="F5" s="287">
        <f>F16+F18+F20</f>
        <v>57118597</v>
      </c>
      <c r="G5" s="287">
        <f>G16+G18+G20</f>
        <v>0</v>
      </c>
      <c r="H5" s="124">
        <v>57118597</v>
      </c>
      <c r="I5" s="287">
        <f>I16+I18+I20</f>
        <v>57701409</v>
      </c>
      <c r="J5" s="287">
        <f>J16+J18+J20</f>
        <v>4160</v>
      </c>
      <c r="K5" s="124">
        <v>57705569</v>
      </c>
      <c r="L5" s="287">
        <f>L16+L18+L20</f>
        <v>53131253</v>
      </c>
      <c r="M5" s="287">
        <f>M16+M18+M20</f>
        <v>7244</v>
      </c>
      <c r="N5" s="122">
        <f t="shared" si="0"/>
        <v>53138497</v>
      </c>
      <c r="O5" s="287">
        <f>O16+O18+O20</f>
        <v>41855726</v>
      </c>
      <c r="P5" s="287">
        <f>P16+P18+P20</f>
        <v>31440</v>
      </c>
      <c r="Q5" s="122">
        <f t="shared" si="10"/>
        <v>41887166</v>
      </c>
      <c r="R5" s="287">
        <f>R16+R18+R20</f>
        <v>50535454</v>
      </c>
      <c r="S5" s="287">
        <f>S16+S18+S20</f>
        <v>0</v>
      </c>
      <c r="T5" s="122">
        <f t="shared" si="11"/>
        <v>50535454</v>
      </c>
      <c r="U5" s="287">
        <f>U16+U18+U20</f>
        <v>38428321</v>
      </c>
      <c r="V5" s="287">
        <f>V16+V18+V20</f>
        <v>7796</v>
      </c>
      <c r="W5" s="468">
        <f t="shared" si="12"/>
        <v>38436117</v>
      </c>
      <c r="X5" s="287">
        <f>X16+X18+X20</f>
        <v>32107395</v>
      </c>
      <c r="Y5" s="287">
        <f>Y16+Y18+Y20</f>
        <v>2032</v>
      </c>
      <c r="Z5" s="468">
        <f t="shared" si="13"/>
        <v>32109427</v>
      </c>
      <c r="AA5" s="287">
        <f>AA16+AA18+AA20</f>
        <v>46054966</v>
      </c>
      <c r="AB5" s="287">
        <f>AB16+AB18+AB20</f>
        <v>14515</v>
      </c>
      <c r="AC5" s="469">
        <f t="shared" si="14"/>
        <v>46069481</v>
      </c>
      <c r="AD5" s="722">
        <f>AD16+AD18+AD20</f>
        <v>38767279</v>
      </c>
      <c r="AE5" s="287">
        <f>AE16+AE18+AE20</f>
        <v>201391</v>
      </c>
      <c r="AF5" s="723">
        <f t="shared" si="15"/>
        <v>38968670</v>
      </c>
      <c r="AG5" s="722">
        <f>AG16+AG18+AG20</f>
        <v>56337989</v>
      </c>
      <c r="AH5" s="287">
        <f>AH16+AH18+AH20</f>
        <v>206090</v>
      </c>
      <c r="AI5" s="723">
        <f t="shared" si="1"/>
        <v>56544079</v>
      </c>
      <c r="AJ5" s="722">
        <f>AJ16+AJ18+AJ20</f>
        <v>38328599</v>
      </c>
      <c r="AK5" s="287">
        <f>AK16+AK18+AK20</f>
        <v>0</v>
      </c>
      <c r="AL5" s="723">
        <f t="shared" si="16"/>
        <v>38328599</v>
      </c>
      <c r="AM5" s="722">
        <f>AM16+AM18+AM20</f>
        <v>41272145</v>
      </c>
      <c r="AN5" s="287">
        <f>AN16+AN18+AN20</f>
        <v>24258</v>
      </c>
      <c r="AO5" s="723">
        <f t="shared" si="2"/>
        <v>41296403</v>
      </c>
      <c r="AP5" s="722">
        <f>AP16+AP18+AP20</f>
        <v>44015526</v>
      </c>
      <c r="AQ5" s="287">
        <f>AQ16+AQ18+AQ20</f>
        <v>256465</v>
      </c>
      <c r="AR5" s="723">
        <f t="shared" si="3"/>
        <v>44271991</v>
      </c>
      <c r="AS5" s="722">
        <f>AS16+AS18+AS20</f>
        <v>35973311</v>
      </c>
      <c r="AT5" s="287">
        <f>AT16+AT18+AT20</f>
        <v>232489</v>
      </c>
      <c r="AU5" s="723">
        <f t="shared" si="4"/>
        <v>36205800</v>
      </c>
      <c r="AV5" s="1153">
        <f>AV16+AV18+AV20</f>
        <v>52224019</v>
      </c>
      <c r="AW5" s="1154">
        <f>AW16+AW18+AW20</f>
        <v>27828</v>
      </c>
      <c r="AX5" s="1155">
        <f t="shared" si="5"/>
        <v>52251847</v>
      </c>
      <c r="AY5" s="1153">
        <f>AY16+AY18+AY20</f>
        <v>41359577</v>
      </c>
      <c r="AZ5" s="1154">
        <f>AZ16+AZ18+AZ20</f>
        <v>18379</v>
      </c>
      <c r="BA5" s="1155">
        <f t="shared" si="6"/>
        <v>41377956</v>
      </c>
      <c r="BB5" s="1153">
        <f>BB16+BB18+BB20</f>
        <v>33718687</v>
      </c>
      <c r="BC5" s="1154">
        <f>BC16+BC18+BC20</f>
        <v>2</v>
      </c>
      <c r="BD5" s="1155">
        <f t="shared" si="7"/>
        <v>33718689</v>
      </c>
      <c r="BE5" s="1873">
        <f>BE16+BE18+BE20</f>
        <v>30348175</v>
      </c>
      <c r="BF5" s="1874">
        <f>BF16+BF18+BF20</f>
        <v>44407</v>
      </c>
      <c r="BG5" s="1882">
        <f t="shared" si="8"/>
        <v>30392582</v>
      </c>
      <c r="BH5" s="1873">
        <f>BH16+BH18+BH20</f>
        <v>41132659</v>
      </c>
      <c r="BI5" s="1874">
        <f>BI16+BI18+BI20</f>
        <v>3358</v>
      </c>
      <c r="BJ5" s="1882">
        <f t="shared" si="9"/>
        <v>41136017</v>
      </c>
      <c r="BL5" s="286">
        <f>BL16+BL18+BL20</f>
        <v>52146744.227203839</v>
      </c>
      <c r="BM5" s="529"/>
    </row>
    <row r="6" spans="1:65">
      <c r="A6" s="104"/>
      <c r="B6" s="104" t="s">
        <v>186</v>
      </c>
      <c r="C6" s="287">
        <f>C21+C27+C30+C32+C43</f>
        <v>38356075</v>
      </c>
      <c r="D6" s="287">
        <f>D21+D27+D30+D32+D43</f>
        <v>652910</v>
      </c>
      <c r="E6" s="122">
        <v>39008985</v>
      </c>
      <c r="F6" s="287">
        <f>F21+F27+F30+F32+F43</f>
        <v>30452296</v>
      </c>
      <c r="G6" s="287">
        <f>G21+G27+G30+G32+G43</f>
        <v>12178</v>
      </c>
      <c r="H6" s="124">
        <v>30464474</v>
      </c>
      <c r="I6" s="287">
        <f>I21+I27+I30+I32+I43</f>
        <v>28810807</v>
      </c>
      <c r="J6" s="287">
        <f>J21+J27+J30+J32+J43</f>
        <v>4686</v>
      </c>
      <c r="K6" s="124">
        <v>28815493</v>
      </c>
      <c r="L6" s="287">
        <f>L21+L27+L30+L32+L43</f>
        <v>26207688</v>
      </c>
      <c r="M6" s="287">
        <f>M21+M27+M30+M32+M43</f>
        <v>0</v>
      </c>
      <c r="N6" s="122">
        <f t="shared" si="0"/>
        <v>26207688</v>
      </c>
      <c r="O6" s="287">
        <f>O21+O27+O30+O32+O43</f>
        <v>26326030</v>
      </c>
      <c r="P6" s="287">
        <f>P21+P27+P30+P32+P43</f>
        <v>10170</v>
      </c>
      <c r="Q6" s="122">
        <f t="shared" si="10"/>
        <v>26336200</v>
      </c>
      <c r="R6" s="287">
        <f>R21+R27+R30+R32+R43</f>
        <v>23100634</v>
      </c>
      <c r="S6" s="287">
        <f>S21+S27+S30+S32+S43</f>
        <v>19940</v>
      </c>
      <c r="T6" s="122">
        <f t="shared" si="11"/>
        <v>23120574</v>
      </c>
      <c r="U6" s="287">
        <f>U21+U27+U30+U32+U43</f>
        <v>15648163</v>
      </c>
      <c r="V6" s="287">
        <f>V21+V27+V30+V32+V43</f>
        <v>28728</v>
      </c>
      <c r="W6" s="468">
        <f t="shared" si="12"/>
        <v>15676891</v>
      </c>
      <c r="X6" s="287">
        <f>X21+X27+X30+X32+X43</f>
        <v>19805566</v>
      </c>
      <c r="Y6" s="287">
        <f>Y21+Y27+Y30+Y32+Y43</f>
        <v>14370</v>
      </c>
      <c r="Z6" s="468">
        <f t="shared" si="13"/>
        <v>19819936</v>
      </c>
      <c r="AA6" s="287">
        <f>AA21+AA27+AA30+AA32+AA43</f>
        <v>20654713</v>
      </c>
      <c r="AB6" s="287">
        <f>AB21+AB27+AB30+AB32+AB43</f>
        <v>237802</v>
      </c>
      <c r="AC6" s="469">
        <f t="shared" si="14"/>
        <v>20892515</v>
      </c>
      <c r="AD6" s="722">
        <f>AD21+AD27+AD30+AD32+AD43</f>
        <v>26510009</v>
      </c>
      <c r="AE6" s="287">
        <f>AE21+AE27+AE30+AE32+AE43</f>
        <v>610402</v>
      </c>
      <c r="AF6" s="723">
        <f t="shared" si="15"/>
        <v>27120411</v>
      </c>
      <c r="AG6" s="722">
        <f>AG21+AG27+AG30+AG32+AG43</f>
        <v>21266471</v>
      </c>
      <c r="AH6" s="287">
        <f>AH21+AH27+AH30+AH32+AH43</f>
        <v>535451</v>
      </c>
      <c r="AI6" s="723">
        <f t="shared" si="1"/>
        <v>21801922</v>
      </c>
      <c r="AJ6" s="722">
        <f>AJ21+AJ27+AJ30+AJ32+AJ43</f>
        <v>24834975</v>
      </c>
      <c r="AK6" s="287">
        <f>AK21+AK27+AK30+AK32+AK43</f>
        <v>61661</v>
      </c>
      <c r="AL6" s="723">
        <f t="shared" si="16"/>
        <v>24896636</v>
      </c>
      <c r="AM6" s="722">
        <f>AM21+AM27+AM30+AM32+AM43</f>
        <v>25255164</v>
      </c>
      <c r="AN6" s="287">
        <f>AN21+AN27+AN30+AN32+AN43</f>
        <v>66837</v>
      </c>
      <c r="AO6" s="723">
        <f t="shared" si="2"/>
        <v>25322001</v>
      </c>
      <c r="AP6" s="722">
        <f>AP21+AP27+AP30+AP32+AP43</f>
        <v>19907998</v>
      </c>
      <c r="AQ6" s="287">
        <f>AQ21+AQ27+AQ30+AQ32+AQ43</f>
        <v>672167</v>
      </c>
      <c r="AR6" s="723">
        <f t="shared" si="3"/>
        <v>20580165</v>
      </c>
      <c r="AS6" s="722">
        <f>AS21+AS27+AS30+AS32+AS43</f>
        <v>26671025</v>
      </c>
      <c r="AT6" s="287">
        <f>AT21+AT27+AT30+AT32+AT43</f>
        <v>998399</v>
      </c>
      <c r="AU6" s="723">
        <f>AS6+AT6</f>
        <v>27669424</v>
      </c>
      <c r="AV6" s="1153">
        <f>AV21+AV27+AV30+AV32+AV43</f>
        <v>23935889</v>
      </c>
      <c r="AW6" s="1154">
        <f>AW21+AW27+AW30+AW32+AW43</f>
        <v>37384</v>
      </c>
      <c r="AX6" s="1155">
        <f t="shared" si="5"/>
        <v>23973273</v>
      </c>
      <c r="AY6" s="1153">
        <f>AY21+AY27+AY30+AY32+AY43</f>
        <v>31199481</v>
      </c>
      <c r="AZ6" s="1154">
        <f>AZ21+AZ27+AZ30+AZ32+AZ43</f>
        <v>20245</v>
      </c>
      <c r="BA6" s="1155">
        <f t="shared" si="6"/>
        <v>31219726</v>
      </c>
      <c r="BB6" s="1153">
        <f>BB21+BB27+BB30+BB32+BB43</f>
        <v>29550937</v>
      </c>
      <c r="BC6" s="1154">
        <f>BC21+BC27+BC30+BC32+BC43</f>
        <v>3381</v>
      </c>
      <c r="BD6" s="1155">
        <f t="shared" si="7"/>
        <v>29554318</v>
      </c>
      <c r="BE6" s="1873">
        <f>BE21+BE27+BE30+BE32+BE43</f>
        <v>24755732</v>
      </c>
      <c r="BF6" s="1874">
        <f>BF21+BF27+BF30+BF32+BF43</f>
        <v>2240</v>
      </c>
      <c r="BG6" s="1882">
        <f t="shared" si="8"/>
        <v>24757972</v>
      </c>
      <c r="BH6" s="1873">
        <f>BH21+BH27+BH30+BH32+BH43</f>
        <v>26503758</v>
      </c>
      <c r="BI6" s="1874">
        <f>BI21+BI27+BI30+BI32+BI43</f>
        <v>20615</v>
      </c>
      <c r="BJ6" s="1882">
        <f t="shared" si="9"/>
        <v>26524373</v>
      </c>
      <c r="BL6" s="286">
        <f>BL21+BL27+BL30+BL32+BL43</f>
        <v>22394301.352613892</v>
      </c>
      <c r="BM6" s="529"/>
    </row>
    <row r="7" spans="1:65">
      <c r="A7" s="104"/>
      <c r="B7" s="104" t="s">
        <v>192</v>
      </c>
      <c r="C7" s="287">
        <f>C17+C24+C29+C45+C46</f>
        <v>38138069</v>
      </c>
      <c r="D7" s="287">
        <f>D17+D24+D29+D45+D46</f>
        <v>124946</v>
      </c>
      <c r="E7" s="122">
        <v>38263015</v>
      </c>
      <c r="F7" s="287">
        <f>F17+F24+F29+F45+F46</f>
        <v>37195237</v>
      </c>
      <c r="G7" s="287">
        <f>G17+G24+G29+G45+G46</f>
        <v>5216</v>
      </c>
      <c r="H7" s="124">
        <v>37200453</v>
      </c>
      <c r="I7" s="287">
        <f>I17+I24+I29+I45+I46</f>
        <v>34983923</v>
      </c>
      <c r="J7" s="287">
        <f>J17+J24+J29+J45+J46</f>
        <v>0</v>
      </c>
      <c r="K7" s="124">
        <v>34983923</v>
      </c>
      <c r="L7" s="287">
        <f>L17+L24+L29+L45+L46</f>
        <v>32444477</v>
      </c>
      <c r="M7" s="287">
        <f>M17+M24+M29+M45+M46</f>
        <v>0</v>
      </c>
      <c r="N7" s="122">
        <f t="shared" si="0"/>
        <v>32444477</v>
      </c>
      <c r="O7" s="287">
        <f>O17+O24+O29+O45+O46</f>
        <v>22947974</v>
      </c>
      <c r="P7" s="287">
        <f>P17+P24+P29+P45+P46</f>
        <v>2575</v>
      </c>
      <c r="Q7" s="122">
        <f t="shared" si="10"/>
        <v>22950549</v>
      </c>
      <c r="R7" s="287">
        <f>R17+R24+R29+R45+R46</f>
        <v>29917838</v>
      </c>
      <c r="S7" s="287">
        <f>S17+S24+S29+S45+S46</f>
        <v>2444</v>
      </c>
      <c r="T7" s="122">
        <f t="shared" si="11"/>
        <v>29920282</v>
      </c>
      <c r="U7" s="287">
        <f>U17+U24+U29+U45+U46</f>
        <v>21809989</v>
      </c>
      <c r="V7" s="287">
        <f>V17+V24+V29+V45+V46</f>
        <v>152330</v>
      </c>
      <c r="W7" s="468">
        <f t="shared" si="12"/>
        <v>21962319</v>
      </c>
      <c r="X7" s="287">
        <f>X17+X24+X29+X45+X46</f>
        <v>21346239</v>
      </c>
      <c r="Y7" s="287">
        <f>Y17+Y24+Y29+Y45+Y46</f>
        <v>173365</v>
      </c>
      <c r="Z7" s="468">
        <f t="shared" si="13"/>
        <v>21519604</v>
      </c>
      <c r="AA7" s="287">
        <f>AA17+AA24+AA29+AA45+AA46</f>
        <v>32496699</v>
      </c>
      <c r="AB7" s="287">
        <f>AB17+AB24+AB29+AB45+AB46</f>
        <v>31754</v>
      </c>
      <c r="AC7" s="469">
        <f t="shared" si="14"/>
        <v>32528453</v>
      </c>
      <c r="AD7" s="722">
        <f>AD17+AD24+AD29+AD45+AD46</f>
        <v>24433291</v>
      </c>
      <c r="AE7" s="287">
        <f>AE17+AE24+AE29+AE45+AE46</f>
        <v>1914</v>
      </c>
      <c r="AF7" s="723">
        <f t="shared" si="15"/>
        <v>24435205</v>
      </c>
      <c r="AG7" s="722">
        <f>AG17+AG24+AG29+AG45+AG46</f>
        <v>21701856</v>
      </c>
      <c r="AH7" s="287">
        <f>AH17+AH24+AH29+AH45+AH46</f>
        <v>49276</v>
      </c>
      <c r="AI7" s="723">
        <f t="shared" si="1"/>
        <v>21751132</v>
      </c>
      <c r="AJ7" s="722">
        <f>AJ17+AJ24+AJ29+AJ45+AJ46</f>
        <v>29552128</v>
      </c>
      <c r="AK7" s="287">
        <f>AK17+AK24+AK29+AK45+AK46</f>
        <v>2190</v>
      </c>
      <c r="AL7" s="723">
        <f t="shared" si="16"/>
        <v>29554318</v>
      </c>
      <c r="AM7" s="722">
        <f>AM17+AM24+AM29+AM45+AM46</f>
        <v>27748819</v>
      </c>
      <c r="AN7" s="287">
        <f>AN17+AN24+AN29+AN45+AN46</f>
        <v>9819</v>
      </c>
      <c r="AO7" s="723">
        <f t="shared" si="2"/>
        <v>27758638</v>
      </c>
      <c r="AP7" s="722">
        <f>AP17+AP24+AP29+AP45+AP46</f>
        <v>27882955</v>
      </c>
      <c r="AQ7" s="287">
        <f>AQ17+AQ24+AQ29+AQ45+AQ46</f>
        <v>39239</v>
      </c>
      <c r="AR7" s="723">
        <f t="shared" si="3"/>
        <v>27922194</v>
      </c>
      <c r="AS7" s="722">
        <f>AS17+AS24+AS29+AS45+AS46</f>
        <v>30385827</v>
      </c>
      <c r="AT7" s="287">
        <f>AT17+AT24+AT29+AT45+AT46</f>
        <v>65494</v>
      </c>
      <c r="AU7" s="723">
        <f t="shared" si="4"/>
        <v>30451321</v>
      </c>
      <c r="AV7" s="1153">
        <f>AV17+AV24+AV29+AV45+AV46</f>
        <v>45055528</v>
      </c>
      <c r="AW7" s="1154">
        <f>AW17+AW24+AW29+AW45+AW46</f>
        <v>5375</v>
      </c>
      <c r="AX7" s="1155">
        <f t="shared" si="5"/>
        <v>45060903</v>
      </c>
      <c r="AY7" s="1153">
        <f>AY17+AY24+AY29+AY45+AY46</f>
        <v>42986931</v>
      </c>
      <c r="AZ7" s="1154">
        <f>AZ17+AZ24+AZ29+AZ45+AZ46</f>
        <v>3920</v>
      </c>
      <c r="BA7" s="1155">
        <f t="shared" si="6"/>
        <v>42990851</v>
      </c>
      <c r="BB7" s="1153">
        <f>BB17+BB24+BB29+BB45+BB46</f>
        <v>23752825</v>
      </c>
      <c r="BC7" s="1154">
        <f>BC17+BC24+BC29+BC45+BC46</f>
        <v>9039</v>
      </c>
      <c r="BD7" s="1155">
        <f t="shared" si="7"/>
        <v>23761864</v>
      </c>
      <c r="BE7" s="1873">
        <f>BE17+BE24+BE29+BE45+BE46</f>
        <v>27995841</v>
      </c>
      <c r="BF7" s="1874">
        <f>BF17+BF24+BF29+BF45+BF46</f>
        <v>0</v>
      </c>
      <c r="BG7" s="1882">
        <f t="shared" si="8"/>
        <v>27995841</v>
      </c>
      <c r="BH7" s="1873">
        <f>BH17+BH24+BH29+BH45+BH46</f>
        <v>20404584</v>
      </c>
      <c r="BI7" s="1874">
        <f>BI17+BI24+BI29+BI45+BI46</f>
        <v>86743</v>
      </c>
      <c r="BJ7" s="1882">
        <f t="shared" si="9"/>
        <v>20491327</v>
      </c>
      <c r="BL7" s="286">
        <f>BL17+BL24+BL29+BL45+BL46</f>
        <v>24116892.149079978</v>
      </c>
      <c r="BM7" s="529"/>
    </row>
    <row r="8" spans="1:65">
      <c r="A8" s="104"/>
      <c r="B8" s="104" t="s">
        <v>198</v>
      </c>
      <c r="C8" s="287">
        <f>C26+C28+C31+C33+C44+C41</f>
        <v>15819668</v>
      </c>
      <c r="D8" s="287">
        <f>D26+D28+D31+D33+D44+D41</f>
        <v>994542</v>
      </c>
      <c r="E8" s="122">
        <v>16814210</v>
      </c>
      <c r="F8" s="287">
        <f>F26+F28+F31+F33+F44+F41</f>
        <v>14266574</v>
      </c>
      <c r="G8" s="287">
        <f>G26+G28+G31+G33+G44+G41</f>
        <v>235222</v>
      </c>
      <c r="H8" s="124">
        <v>14501796</v>
      </c>
      <c r="I8" s="287">
        <f>I26+I28+I31+I33+I44+I41</f>
        <v>14005284</v>
      </c>
      <c r="J8" s="287">
        <f>J26+J28+J31+J33+J44+J41</f>
        <v>81731</v>
      </c>
      <c r="K8" s="124">
        <v>14087015</v>
      </c>
      <c r="L8" s="287">
        <f>L26+L28+L31+L33+L44+L41</f>
        <v>13008418</v>
      </c>
      <c r="M8" s="287">
        <f>M26+M28+M31+M33+M44+M41</f>
        <v>18656</v>
      </c>
      <c r="N8" s="122">
        <f t="shared" si="0"/>
        <v>13027074</v>
      </c>
      <c r="O8" s="287">
        <f>O26+O28+O31+O33+O44+O41</f>
        <v>10720963</v>
      </c>
      <c r="P8" s="287">
        <f>P26+P28+P31+P33+P44+P41</f>
        <v>165567</v>
      </c>
      <c r="Q8" s="122">
        <f t="shared" si="10"/>
        <v>10886530</v>
      </c>
      <c r="R8" s="287">
        <f>R26+R28+R31+R33+R44+R41</f>
        <v>12915484</v>
      </c>
      <c r="S8" s="287">
        <f>S26+S28+S31+S33+S44+S41</f>
        <v>180760</v>
      </c>
      <c r="T8" s="122">
        <f t="shared" si="11"/>
        <v>13096244</v>
      </c>
      <c r="U8" s="287">
        <f>U26+U28+U31+U33+U44+U41</f>
        <v>10931969</v>
      </c>
      <c r="V8" s="287">
        <f>V26+V28+V31+V33+V44+V41</f>
        <v>444686</v>
      </c>
      <c r="W8" s="468">
        <f t="shared" si="12"/>
        <v>11376655</v>
      </c>
      <c r="X8" s="287">
        <f>X26+X28+X31+X33+X44+X41</f>
        <v>14775454</v>
      </c>
      <c r="Y8" s="287">
        <f>Y26+Y28+Y31+Y33+Y44+Y41</f>
        <v>868440</v>
      </c>
      <c r="Z8" s="468">
        <f t="shared" si="13"/>
        <v>15643894</v>
      </c>
      <c r="AA8" s="287">
        <f>AA26+AA28+AA31+AA33+AA44+AA41</f>
        <v>26889401</v>
      </c>
      <c r="AB8" s="287">
        <f>AB26+AB28+AB31+AB33+AB44+AB41</f>
        <v>244903</v>
      </c>
      <c r="AC8" s="469">
        <f t="shared" si="14"/>
        <v>27134304</v>
      </c>
      <c r="AD8" s="722">
        <f>AD26+AD28+AD31+AD33+AD44+AD41</f>
        <v>13747847</v>
      </c>
      <c r="AE8" s="287">
        <f>AE26+AE28+AE31+AE33+AE44+AE41</f>
        <v>317749</v>
      </c>
      <c r="AF8" s="723">
        <f t="shared" si="15"/>
        <v>14065596</v>
      </c>
      <c r="AG8" s="722">
        <f>AG26+AG28+AG31+AG33+AG44+AG41</f>
        <v>14333140</v>
      </c>
      <c r="AH8" s="287">
        <f>AH26+AH28+AH31+AH33+AH44+AH41</f>
        <v>569798</v>
      </c>
      <c r="AI8" s="723">
        <f t="shared" si="1"/>
        <v>14902938</v>
      </c>
      <c r="AJ8" s="722">
        <f>AJ26+AJ28+AJ31+AJ33+AJ44+AJ41</f>
        <v>14464390</v>
      </c>
      <c r="AK8" s="287">
        <f>AK26+AK28+AK31+AK33+AK44+AK41</f>
        <v>176633</v>
      </c>
      <c r="AL8" s="723">
        <f t="shared" si="16"/>
        <v>14641023</v>
      </c>
      <c r="AM8" s="722">
        <f>AM26+AM28+AM31+AM33+AM44+AM41</f>
        <v>13852777</v>
      </c>
      <c r="AN8" s="287">
        <f>AN26+AN28+AN31+AN33+AN44+AN41</f>
        <v>183124</v>
      </c>
      <c r="AO8" s="723">
        <f t="shared" si="2"/>
        <v>14035901</v>
      </c>
      <c r="AP8" s="722">
        <f>AP26+AP28+AP31+AP33+AP44+AP41</f>
        <v>12882636</v>
      </c>
      <c r="AQ8" s="287">
        <f>AQ26+AQ28+AQ31+AQ33+AQ44+AQ41</f>
        <v>554252</v>
      </c>
      <c r="AR8" s="723">
        <f t="shared" si="3"/>
        <v>13436888</v>
      </c>
      <c r="AS8" s="722">
        <f>AS26+AS28+AS31+AS33+AS44+AS41</f>
        <v>16992014</v>
      </c>
      <c r="AT8" s="287">
        <f>AT26+AT28+AT31+AT33+AT44+AT41</f>
        <v>1160669</v>
      </c>
      <c r="AU8" s="723">
        <f t="shared" si="4"/>
        <v>18152683</v>
      </c>
      <c r="AV8" s="1153">
        <f>AV26+AV28+AV31+AV33+AV44+AV41</f>
        <v>18559502</v>
      </c>
      <c r="AW8" s="1154">
        <f>AW26+AW28+AW31+AW33+AW44+AW41</f>
        <v>114458</v>
      </c>
      <c r="AX8" s="1155">
        <f t="shared" si="5"/>
        <v>18673960</v>
      </c>
      <c r="AY8" s="1153">
        <f>AY26+AY28+AY31+AY33+AY44+AY41</f>
        <v>16414867</v>
      </c>
      <c r="AZ8" s="1154">
        <f>AZ26+AZ28+AZ31+AZ33+AZ44+AZ41</f>
        <v>101010</v>
      </c>
      <c r="BA8" s="1155">
        <f t="shared" si="6"/>
        <v>16515877</v>
      </c>
      <c r="BB8" s="1153">
        <f>BB26+BB28+BB31+BB33+BB44+BB41</f>
        <v>12339846</v>
      </c>
      <c r="BC8" s="1154">
        <f>BC26+BC28+BC31+BC33+BC44+BC41</f>
        <v>156743</v>
      </c>
      <c r="BD8" s="1155">
        <f t="shared" si="7"/>
        <v>12496589</v>
      </c>
      <c r="BE8" s="1873">
        <f>BE26+BE28+BE31+BE33+BE44+BE41</f>
        <v>14686611</v>
      </c>
      <c r="BF8" s="1874">
        <f>BF26+BF28+BF31+BF33+BF44+BF41</f>
        <v>183415</v>
      </c>
      <c r="BG8" s="1882">
        <f t="shared" si="8"/>
        <v>14870026</v>
      </c>
      <c r="BH8" s="1873">
        <f>BH26+BH28+BH31+BH33+BH44+BH41</f>
        <v>17141524</v>
      </c>
      <c r="BI8" s="1874">
        <f>BI26+BI28+BI31+BI33+BI44+BI41</f>
        <v>197029</v>
      </c>
      <c r="BJ8" s="1882">
        <f t="shared" si="9"/>
        <v>17338553</v>
      </c>
      <c r="BL8" s="286">
        <f>BL26+BL28+BL31+BL33+BL44+BL41</f>
        <v>16687338.903611671</v>
      </c>
      <c r="BM8" s="529"/>
    </row>
    <row r="9" spans="1:65">
      <c r="A9" s="104"/>
      <c r="B9" s="104" t="s">
        <v>202</v>
      </c>
      <c r="C9" s="287">
        <f>C15+C47+C48+C49</f>
        <v>53720837</v>
      </c>
      <c r="D9" s="287">
        <f>D15+D47+D48+D49</f>
        <v>427482</v>
      </c>
      <c r="E9" s="122">
        <v>54148319</v>
      </c>
      <c r="F9" s="287">
        <f>F15+F47+F48+F49</f>
        <v>50333576</v>
      </c>
      <c r="G9" s="287">
        <f>G15+G47+G48+G49</f>
        <v>245956</v>
      </c>
      <c r="H9" s="124">
        <v>50579532</v>
      </c>
      <c r="I9" s="287">
        <f>I15+I47+I48+I49</f>
        <v>54039080</v>
      </c>
      <c r="J9" s="287">
        <f>J15+J47+J48+J49</f>
        <v>40630</v>
      </c>
      <c r="K9" s="124">
        <v>54079710</v>
      </c>
      <c r="L9" s="287">
        <f>L15+L47+L48+L49</f>
        <v>50358661</v>
      </c>
      <c r="M9" s="287">
        <f>M15+M47+M48+M49</f>
        <v>7930</v>
      </c>
      <c r="N9" s="122">
        <f t="shared" si="0"/>
        <v>50366591</v>
      </c>
      <c r="O9" s="287">
        <f>O15+O47+O48+O49</f>
        <v>43716220</v>
      </c>
      <c r="P9" s="287">
        <f>P15+P47+P48+P49</f>
        <v>152304</v>
      </c>
      <c r="Q9" s="122">
        <f t="shared" si="10"/>
        <v>43868524</v>
      </c>
      <c r="R9" s="287">
        <f>R15+R47+R48+R49</f>
        <v>42930918</v>
      </c>
      <c r="S9" s="287">
        <f>S15+S47+S48+S49</f>
        <v>99280</v>
      </c>
      <c r="T9" s="122">
        <f t="shared" si="11"/>
        <v>43030198</v>
      </c>
      <c r="U9" s="287">
        <f>U15+U47+U48+U49</f>
        <v>38076202</v>
      </c>
      <c r="V9" s="287">
        <f>V15+V47+V48+V49</f>
        <v>355529</v>
      </c>
      <c r="W9" s="468">
        <f t="shared" si="12"/>
        <v>38431731</v>
      </c>
      <c r="X9" s="287">
        <f>X15+X47+X48+X49</f>
        <v>33582873</v>
      </c>
      <c r="Y9" s="287">
        <f>Y15+Y47+Y48+Y49</f>
        <v>597826</v>
      </c>
      <c r="Z9" s="468">
        <f t="shared" si="13"/>
        <v>34180699</v>
      </c>
      <c r="AA9" s="287">
        <f>AA15+AA47+AA48+AA49</f>
        <v>38522766</v>
      </c>
      <c r="AB9" s="287">
        <f>AB15+AB47+AB48+AB49</f>
        <v>225284</v>
      </c>
      <c r="AC9" s="469">
        <f t="shared" si="14"/>
        <v>38748050</v>
      </c>
      <c r="AD9" s="722">
        <f>AD15+AD47+AD48+AD49</f>
        <v>37504354</v>
      </c>
      <c r="AE9" s="287">
        <f>AE15+AE47+AE48+AE49</f>
        <v>188680</v>
      </c>
      <c r="AF9" s="723">
        <f t="shared" si="15"/>
        <v>37693034</v>
      </c>
      <c r="AG9" s="722">
        <f>AG15+AG47+AG48+AG49</f>
        <v>36987859</v>
      </c>
      <c r="AH9" s="287">
        <f>AH15+AH47+AH48+AH49</f>
        <v>58120</v>
      </c>
      <c r="AI9" s="723">
        <f t="shared" si="1"/>
        <v>37045979</v>
      </c>
      <c r="AJ9" s="722">
        <f>AJ15+AJ47+AJ48+AJ49</f>
        <v>39239180</v>
      </c>
      <c r="AK9" s="287">
        <f>AK15+AK47+AK48+AK49</f>
        <v>33710</v>
      </c>
      <c r="AL9" s="723">
        <f t="shared" si="16"/>
        <v>39272890</v>
      </c>
      <c r="AM9" s="722">
        <f>AM15+AM47+AM48+AM49</f>
        <v>39898823</v>
      </c>
      <c r="AN9" s="287">
        <f>AN15+AN47+AN48+AN49</f>
        <v>255837</v>
      </c>
      <c r="AO9" s="723">
        <f t="shared" si="2"/>
        <v>40154660</v>
      </c>
      <c r="AP9" s="722">
        <f>AP15+AP47+AP48+AP49</f>
        <v>35333328</v>
      </c>
      <c r="AQ9" s="287">
        <f>AQ15+AQ47+AQ48+AQ49</f>
        <v>534184</v>
      </c>
      <c r="AR9" s="723">
        <f t="shared" si="3"/>
        <v>35867512</v>
      </c>
      <c r="AS9" s="722">
        <f>AS15+AS47+AS48+AS49</f>
        <v>41044894</v>
      </c>
      <c r="AT9" s="287">
        <f>AT15+AT47+AT48+AT49</f>
        <v>178978</v>
      </c>
      <c r="AU9" s="723">
        <f t="shared" si="4"/>
        <v>41223872</v>
      </c>
      <c r="AV9" s="1153">
        <f>AV15+AV47+AV48+AV49</f>
        <v>55394856</v>
      </c>
      <c r="AW9" s="1154">
        <f>AW15+AW47+AW48+AW49</f>
        <v>2090</v>
      </c>
      <c r="AX9" s="1155">
        <f t="shared" si="5"/>
        <v>55396946</v>
      </c>
      <c r="AY9" s="1153">
        <f>AY15+AY47+AY48+AY49</f>
        <v>32364581</v>
      </c>
      <c r="AZ9" s="1154">
        <f>AZ15+AZ47+AZ48+AZ49</f>
        <v>22179</v>
      </c>
      <c r="BA9" s="1155">
        <f t="shared" si="6"/>
        <v>32386760</v>
      </c>
      <c r="BB9" s="1153">
        <f>BB15+BB47+BB48+BB49</f>
        <v>26643039</v>
      </c>
      <c r="BC9" s="1154">
        <f>BC15+BC47+BC48+BC49</f>
        <v>0</v>
      </c>
      <c r="BD9" s="1155">
        <f t="shared" si="7"/>
        <v>26643039</v>
      </c>
      <c r="BE9" s="1873">
        <f>BE15+BE47+BE48+BE49</f>
        <v>30246939</v>
      </c>
      <c r="BF9" s="1874">
        <f>BF15+BF47+BF48+BF49</f>
        <v>7355</v>
      </c>
      <c r="BG9" s="1882">
        <f t="shared" si="8"/>
        <v>30254294</v>
      </c>
      <c r="BH9" s="1873">
        <f>BH15+BH47+BH48+BH49</f>
        <v>39638217</v>
      </c>
      <c r="BI9" s="1874">
        <f>BI15+BI47+BI48+BI49</f>
        <v>23847</v>
      </c>
      <c r="BJ9" s="1882">
        <f t="shared" si="9"/>
        <v>39662064</v>
      </c>
      <c r="BL9" s="286">
        <f>BL15+BL47+BL48+BL49</f>
        <v>37520909.20382645</v>
      </c>
      <c r="BM9" s="529"/>
    </row>
    <row r="10" spans="1:65">
      <c r="A10" s="104"/>
      <c r="B10" s="104" t="s">
        <v>205</v>
      </c>
      <c r="C10" s="287">
        <f>C25+C22+C42+C50+C51+C52+C40</f>
        <v>21846913</v>
      </c>
      <c r="D10" s="287">
        <f>D25+D22+D42+D50+D51+D52+D40</f>
        <v>2218111</v>
      </c>
      <c r="E10" s="122">
        <v>24065024</v>
      </c>
      <c r="F10" s="287">
        <f>F25+F22+F42+F50+F51+F52+F40</f>
        <v>19686660</v>
      </c>
      <c r="G10" s="287">
        <f>G25+G22+G42+G50+G51+G52+G40</f>
        <v>900454</v>
      </c>
      <c r="H10" s="124">
        <v>20587114</v>
      </c>
      <c r="I10" s="287">
        <f>I25+I22+I42+I50+I51+I52+I40</f>
        <v>17967427</v>
      </c>
      <c r="J10" s="287">
        <f>J25+J22+J42+J50+J51+J52+J40</f>
        <v>717821</v>
      </c>
      <c r="K10" s="124">
        <v>18685248</v>
      </c>
      <c r="L10" s="287">
        <f>L25+L22+L42+L50+L51+L52+L40</f>
        <v>16049363</v>
      </c>
      <c r="M10" s="287">
        <f>M25+M22+M42+M50+M51+M52+M40</f>
        <v>64532</v>
      </c>
      <c r="N10" s="122">
        <f t="shared" si="0"/>
        <v>16113895</v>
      </c>
      <c r="O10" s="287">
        <f>O25+O22+O42+O50+O51+O52+O40</f>
        <v>17762996</v>
      </c>
      <c r="P10" s="287">
        <f>P25+P22+P42+P50+P51+P52+P40</f>
        <v>2120944</v>
      </c>
      <c r="Q10" s="122">
        <f t="shared" si="10"/>
        <v>19883940</v>
      </c>
      <c r="R10" s="287">
        <f>R25+R22+R42+R50+R51+R52+R40</f>
        <v>15367234</v>
      </c>
      <c r="S10" s="287">
        <f>S25+S22+S42+S50+S51+S52+S40</f>
        <v>4270808</v>
      </c>
      <c r="T10" s="122">
        <f t="shared" si="11"/>
        <v>19638042</v>
      </c>
      <c r="U10" s="287">
        <f>U25+U22+U42+U50+U51+U52+U40</f>
        <v>12972060</v>
      </c>
      <c r="V10" s="287">
        <f>V25+V22+V42+V50+V51+V52+V40</f>
        <v>1498528</v>
      </c>
      <c r="W10" s="468">
        <f t="shared" si="12"/>
        <v>14470588</v>
      </c>
      <c r="X10" s="287">
        <f>X25+X22+X42+X50+X51+X52+X40</f>
        <v>13401116</v>
      </c>
      <c r="Y10" s="287">
        <f>Y25+Y22+Y42+Y50+Y51+Y52+Y40</f>
        <v>463357</v>
      </c>
      <c r="Z10" s="468">
        <f t="shared" si="13"/>
        <v>13864473</v>
      </c>
      <c r="AA10" s="287">
        <f>AA25+AA22+AA42+AA50+AA51+AA52+AA40</f>
        <v>15651150</v>
      </c>
      <c r="AB10" s="287">
        <f>AB25+AB22+AB42+AB50+AB51+AB52+AB40</f>
        <v>141961</v>
      </c>
      <c r="AC10" s="469">
        <f t="shared" si="14"/>
        <v>15793111</v>
      </c>
      <c r="AD10" s="722">
        <f>AD25+AD22+AD42+AD50+AD51+AD52+AD40</f>
        <v>15149419</v>
      </c>
      <c r="AE10" s="287">
        <f>AE25+AE22+AE42+AE50+AE51+AE52+AE40</f>
        <v>44410</v>
      </c>
      <c r="AF10" s="723">
        <f t="shared" si="15"/>
        <v>15193829</v>
      </c>
      <c r="AG10" s="722">
        <f>AG25+AG22+AG42+AG50+AG51+AG52+AG40</f>
        <v>21668734</v>
      </c>
      <c r="AH10" s="287">
        <f>AH25+AH22+AH42+AH50+AH51+AH52+AH40</f>
        <v>57204</v>
      </c>
      <c r="AI10" s="723">
        <f t="shared" si="1"/>
        <v>21725938</v>
      </c>
      <c r="AJ10" s="722">
        <f>AJ25+AJ22+AJ42+AJ50+AJ51+AJ52+AJ40</f>
        <v>15291370</v>
      </c>
      <c r="AK10" s="287">
        <f>AK25+AK22+AK42+AK50+AK51+AK52+AK40</f>
        <v>32840</v>
      </c>
      <c r="AL10" s="723">
        <f t="shared" si="16"/>
        <v>15324210</v>
      </c>
      <c r="AM10" s="722">
        <f>AM25+AM22+AM42+AM50+AM51+AM52+AM40</f>
        <v>13340803</v>
      </c>
      <c r="AN10" s="287">
        <f>AN25+AN22+AN42+AN50+AN51+AN52+AN40</f>
        <v>115519</v>
      </c>
      <c r="AO10" s="723">
        <f t="shared" si="2"/>
        <v>13456322</v>
      </c>
      <c r="AP10" s="722">
        <f>AP25+AP22+AP42+AP50+AP51+AP52+AP40</f>
        <v>12426213</v>
      </c>
      <c r="AQ10" s="287">
        <f>AQ25+AQ22+AQ42+AQ50+AQ51+AQ52+AQ40</f>
        <v>1206111</v>
      </c>
      <c r="AR10" s="723">
        <f t="shared" si="3"/>
        <v>13632324</v>
      </c>
      <c r="AS10" s="722">
        <f>AS25+AS22+AS42+AS50+AS51+AS52+AS40</f>
        <v>16544355</v>
      </c>
      <c r="AT10" s="287">
        <f>AT25+AT22+AT42+AT50+AT51+AT52+AT40</f>
        <v>1250952</v>
      </c>
      <c r="AU10" s="723">
        <f t="shared" si="4"/>
        <v>17795307</v>
      </c>
      <c r="AV10" s="1153">
        <f>AV25+AV22+AV42+AV50+AV51+AV52+AV40</f>
        <v>18833182</v>
      </c>
      <c r="AW10" s="1154">
        <f>AW25+AW22+AW42+AW50+AW51+AW52+AW40</f>
        <v>984869</v>
      </c>
      <c r="AX10" s="1155">
        <f t="shared" si="5"/>
        <v>19818051</v>
      </c>
      <c r="AY10" s="1153">
        <f>AY25+AY22+AY42+AY50+AY51+AY52+AY40</f>
        <v>11876767</v>
      </c>
      <c r="AZ10" s="1154">
        <f>AZ25+AZ22+AZ42+AZ50+AZ51+AZ52+AZ40</f>
        <v>207179</v>
      </c>
      <c r="BA10" s="1155">
        <f t="shared" si="6"/>
        <v>12083946</v>
      </c>
      <c r="BB10" s="1153">
        <f>BB25+BB22+BB42+BB50+BB51+BB52+BB40</f>
        <v>11828594</v>
      </c>
      <c r="BC10" s="1154">
        <f>BC25+BC22+BC42+BC50+BC51+BC52+BC40</f>
        <v>87993</v>
      </c>
      <c r="BD10" s="1155">
        <f t="shared" si="7"/>
        <v>11916587</v>
      </c>
      <c r="BE10" s="1873">
        <f>BE25+BE22+BE42+BE50+BE51+BE52+BE40</f>
        <v>11567747</v>
      </c>
      <c r="BF10" s="1874">
        <f>BF25+BF22+BF42+BF50+BF51+BF52+BF40</f>
        <v>48100</v>
      </c>
      <c r="BG10" s="1882">
        <f t="shared" si="8"/>
        <v>11615847</v>
      </c>
      <c r="BH10" s="1873">
        <f>BH25+BH22+BH42+BH50+BH51+BH52+BH40</f>
        <v>16042612</v>
      </c>
      <c r="BI10" s="1874">
        <f>BI25+BI22+BI42+BI50+BI51+BI52+BI40</f>
        <v>177081</v>
      </c>
      <c r="BJ10" s="1882">
        <f t="shared" si="9"/>
        <v>16219693</v>
      </c>
      <c r="BL10" s="286">
        <f>BL25+BL22+BL42+BL50+BL51+BL52+BL40</f>
        <v>19705908.092038818</v>
      </c>
      <c r="BM10" s="529"/>
    </row>
    <row r="11" spans="1:65">
      <c r="A11" s="104"/>
      <c r="B11" s="104" t="s">
        <v>463</v>
      </c>
      <c r="C11" s="287">
        <f>C23+C35+C38+C53+C54</f>
        <v>16167338</v>
      </c>
      <c r="D11" s="287">
        <f>D23+D35+D38+D53+D54</f>
        <v>10592456</v>
      </c>
      <c r="E11" s="122">
        <v>26759794</v>
      </c>
      <c r="F11" s="287">
        <f>F23+F35+F38+F53+F54</f>
        <v>15258468</v>
      </c>
      <c r="G11" s="287">
        <f>G23+G35+G38+G53+G54</f>
        <v>1139599</v>
      </c>
      <c r="H11" s="124">
        <v>16398067</v>
      </c>
      <c r="I11" s="287">
        <f>I23+I35+I38+I53+I54</f>
        <v>11795052</v>
      </c>
      <c r="J11" s="287">
        <f>J23+J35+J38+J53+J54</f>
        <v>817759</v>
      </c>
      <c r="K11" s="124">
        <v>12612811</v>
      </c>
      <c r="L11" s="287">
        <f>L23+L35+L38+L53+L54</f>
        <v>14142177</v>
      </c>
      <c r="M11" s="287">
        <f>M23+M35+M38+M53+M54</f>
        <v>111489</v>
      </c>
      <c r="N11" s="122">
        <f t="shared" si="0"/>
        <v>14253666</v>
      </c>
      <c r="O11" s="287">
        <f>O23+O35+O38+O53+O54</f>
        <v>16090659</v>
      </c>
      <c r="P11" s="287">
        <f>P23+P35+P38+P53+P54</f>
        <v>1197021</v>
      </c>
      <c r="Q11" s="122">
        <f t="shared" si="10"/>
        <v>17287680</v>
      </c>
      <c r="R11" s="287">
        <f>R23+R35+R38+R53+R54</f>
        <v>14868378</v>
      </c>
      <c r="S11" s="287">
        <f>S23+S35+S38+S53+S54</f>
        <v>1028470</v>
      </c>
      <c r="T11" s="122">
        <f t="shared" si="11"/>
        <v>15896848</v>
      </c>
      <c r="U11" s="287">
        <f>U23+U35+U38+U53+U54</f>
        <v>14661763</v>
      </c>
      <c r="V11" s="287">
        <f>V23+V35+V38+V53+V54</f>
        <v>775897</v>
      </c>
      <c r="W11" s="468">
        <f t="shared" si="12"/>
        <v>15437660</v>
      </c>
      <c r="X11" s="287">
        <f>X23+X35+X38+X53+X54</f>
        <v>17645149</v>
      </c>
      <c r="Y11" s="287">
        <f>Y23+Y35+Y38+Y53+Y54</f>
        <v>842900</v>
      </c>
      <c r="Z11" s="468">
        <f t="shared" si="13"/>
        <v>18488049</v>
      </c>
      <c r="AA11" s="287">
        <f>AA23+AA35+AA38+AA53+AA54</f>
        <v>19644438</v>
      </c>
      <c r="AB11" s="287">
        <f>AB23+AB35+AB38+AB53+AB54</f>
        <v>358952</v>
      </c>
      <c r="AC11" s="469">
        <f t="shared" si="14"/>
        <v>20003390</v>
      </c>
      <c r="AD11" s="722">
        <f>AD23+AD35+AD38+AD53+AD54</f>
        <v>17181377</v>
      </c>
      <c r="AE11" s="287">
        <f>AE23+AE35+AE38+AE53+AE54</f>
        <v>483477</v>
      </c>
      <c r="AF11" s="723">
        <f t="shared" si="15"/>
        <v>17664854</v>
      </c>
      <c r="AG11" s="722">
        <f>AG23+AG35+AG38+AG53+AG54</f>
        <v>16788748</v>
      </c>
      <c r="AH11" s="287">
        <f>AH23+AH35+AH38+AH53+AH54</f>
        <v>176663</v>
      </c>
      <c r="AI11" s="723">
        <f t="shared" si="1"/>
        <v>16965411</v>
      </c>
      <c r="AJ11" s="722">
        <f>AJ23+AJ35+AJ38+AJ53+AJ54</f>
        <v>15005679</v>
      </c>
      <c r="AK11" s="287">
        <f>AK23+AK35+AK38+AK53+AK54</f>
        <v>25706</v>
      </c>
      <c r="AL11" s="723">
        <f t="shared" si="16"/>
        <v>15031385</v>
      </c>
      <c r="AM11" s="722">
        <f>AM23+AM35+AM38+AM53+AM54</f>
        <v>13574993</v>
      </c>
      <c r="AN11" s="287">
        <f>AN23+AN35+AN38+AN53+AN54</f>
        <v>591349</v>
      </c>
      <c r="AO11" s="723">
        <f t="shared" si="2"/>
        <v>14166342</v>
      </c>
      <c r="AP11" s="722">
        <f>AP23+AP35+AP38+AP53+AP54</f>
        <v>10801439</v>
      </c>
      <c r="AQ11" s="287">
        <f>AQ23+AQ35+AQ38+AQ53+AQ54</f>
        <v>2534931</v>
      </c>
      <c r="AR11" s="723">
        <f t="shared" si="3"/>
        <v>13336370</v>
      </c>
      <c r="AS11" s="722">
        <f>AS23+AS35+AS38+AS53+AS54</f>
        <v>13672834</v>
      </c>
      <c r="AT11" s="287">
        <f>AT23+AT35+AT38+AT53+AT54</f>
        <v>1765303</v>
      </c>
      <c r="AU11" s="723">
        <f t="shared" si="4"/>
        <v>15438137</v>
      </c>
      <c r="AV11" s="1153">
        <f>AV23+AV35+AV38+AV53+AV54</f>
        <v>16425280</v>
      </c>
      <c r="AW11" s="1154">
        <f>AW23+AW35+AW38+AW53+AW54</f>
        <v>57868</v>
      </c>
      <c r="AX11" s="1155">
        <f t="shared" si="5"/>
        <v>16483148</v>
      </c>
      <c r="AY11" s="1153">
        <f>AY23+AY35+AY38+AY53+AY54</f>
        <v>12683637</v>
      </c>
      <c r="AZ11" s="1154">
        <f>AZ23+AZ35+AZ38+AZ53+AZ54</f>
        <v>191000</v>
      </c>
      <c r="BA11" s="1155">
        <f t="shared" si="6"/>
        <v>12874637</v>
      </c>
      <c r="BB11" s="1153">
        <f>BB23+BB35+BB38+BB53+BB54</f>
        <v>10018628</v>
      </c>
      <c r="BC11" s="1154">
        <f>BC23+BC35+BC38+BC53+BC54</f>
        <v>246888</v>
      </c>
      <c r="BD11" s="1155">
        <f t="shared" si="7"/>
        <v>10265516</v>
      </c>
      <c r="BE11" s="1873">
        <f>BE23+BE35+BE38+BE53+BE54</f>
        <v>10389884</v>
      </c>
      <c r="BF11" s="1874">
        <f>BF23+BF35+BF38+BF53+BF54</f>
        <v>1399687</v>
      </c>
      <c r="BG11" s="1882">
        <f t="shared" si="8"/>
        <v>11789571</v>
      </c>
      <c r="BH11" s="1873">
        <f>BH23+BH35+BH38+BH53+BH54</f>
        <v>11784715</v>
      </c>
      <c r="BI11" s="1874">
        <f>BI23+BI35+BI38+BI53+BI54</f>
        <v>1496760</v>
      </c>
      <c r="BJ11" s="1882">
        <f t="shared" si="9"/>
        <v>13281475</v>
      </c>
      <c r="BL11" s="286">
        <f>BL23+BL35+BL38+BL53+BL54</f>
        <v>17519318.553246152</v>
      </c>
      <c r="BM11" s="529"/>
    </row>
    <row r="12" spans="1:65">
      <c r="A12" s="104"/>
      <c r="B12" s="104" t="s">
        <v>464</v>
      </c>
      <c r="C12" s="287">
        <f>C34+C36</f>
        <v>6672168</v>
      </c>
      <c r="D12" s="287">
        <f>D34+D36</f>
        <v>1104706</v>
      </c>
      <c r="E12" s="122">
        <v>7776874</v>
      </c>
      <c r="F12" s="287">
        <f>F34+F36</f>
        <v>5847651</v>
      </c>
      <c r="G12" s="287">
        <f>G34+G36</f>
        <v>130019</v>
      </c>
      <c r="H12" s="124">
        <v>5977670</v>
      </c>
      <c r="I12" s="287">
        <f>I34+I36</f>
        <v>5414303</v>
      </c>
      <c r="J12" s="287">
        <f>J34+J36</f>
        <v>43898</v>
      </c>
      <c r="K12" s="124">
        <v>5458201</v>
      </c>
      <c r="L12" s="287">
        <f>L34+L36</f>
        <v>5367751</v>
      </c>
      <c r="M12" s="287">
        <f>M34+M36</f>
        <v>0</v>
      </c>
      <c r="N12" s="122">
        <f t="shared" si="0"/>
        <v>5367751</v>
      </c>
      <c r="O12" s="287">
        <f>O34+O36</f>
        <v>8215889</v>
      </c>
      <c r="P12" s="287">
        <f>P34+P36</f>
        <v>160226</v>
      </c>
      <c r="Q12" s="122">
        <f t="shared" si="10"/>
        <v>8376115</v>
      </c>
      <c r="R12" s="287">
        <f>R34+R36</f>
        <v>6868419</v>
      </c>
      <c r="S12" s="287">
        <f>S34+S36</f>
        <v>89374</v>
      </c>
      <c r="T12" s="122">
        <f t="shared" si="11"/>
        <v>6957793</v>
      </c>
      <c r="U12" s="287">
        <f>U34+U36</f>
        <v>4265914</v>
      </c>
      <c r="V12" s="287">
        <f>V34+V36</f>
        <v>107730</v>
      </c>
      <c r="W12" s="468">
        <f t="shared" si="12"/>
        <v>4373644</v>
      </c>
      <c r="X12" s="287">
        <f>X34+X36</f>
        <v>5225127</v>
      </c>
      <c r="Y12" s="287">
        <f>Y34+Y36</f>
        <v>72207</v>
      </c>
      <c r="Z12" s="468">
        <f t="shared" si="13"/>
        <v>5297334</v>
      </c>
      <c r="AA12" s="287">
        <f>AA34+AA36</f>
        <v>6643792</v>
      </c>
      <c r="AB12" s="287">
        <f>AB34+AB36</f>
        <v>188767</v>
      </c>
      <c r="AC12" s="469">
        <f t="shared" si="14"/>
        <v>6832559</v>
      </c>
      <c r="AD12" s="722">
        <f>AD34+AD36</f>
        <v>13173038</v>
      </c>
      <c r="AE12" s="287">
        <f>AE34+AE36</f>
        <v>1473246</v>
      </c>
      <c r="AF12" s="723">
        <f t="shared" si="15"/>
        <v>14646284</v>
      </c>
      <c r="AG12" s="722">
        <f>AG34+AG36</f>
        <v>5659967</v>
      </c>
      <c r="AH12" s="287">
        <f>AH34+AH36</f>
        <v>2640120</v>
      </c>
      <c r="AI12" s="723">
        <f t="shared" si="1"/>
        <v>8300087</v>
      </c>
      <c r="AJ12" s="722">
        <f>AJ34+AJ36</f>
        <v>8400933</v>
      </c>
      <c r="AK12" s="287">
        <f>AK34+AK36</f>
        <v>1071074</v>
      </c>
      <c r="AL12" s="723">
        <f t="shared" si="16"/>
        <v>9472007</v>
      </c>
      <c r="AM12" s="722">
        <f>AM34+AM36</f>
        <v>5521748</v>
      </c>
      <c r="AN12" s="287">
        <f>AN34+AN36</f>
        <v>295168</v>
      </c>
      <c r="AO12" s="723">
        <f t="shared" si="2"/>
        <v>5816916</v>
      </c>
      <c r="AP12" s="722">
        <f>AP34+AP36</f>
        <v>10691020</v>
      </c>
      <c r="AQ12" s="287">
        <f>AQ34+AQ36</f>
        <v>832564</v>
      </c>
      <c r="AR12" s="723">
        <f t="shared" si="3"/>
        <v>11523584</v>
      </c>
      <c r="AS12" s="722">
        <f>AS34+AS36</f>
        <v>8445745</v>
      </c>
      <c r="AT12" s="287">
        <f>AT34+AT36</f>
        <v>733901</v>
      </c>
      <c r="AU12" s="723">
        <f t="shared" si="4"/>
        <v>9179646</v>
      </c>
      <c r="AV12" s="1153">
        <f>AV34+AV36</f>
        <v>5605833</v>
      </c>
      <c r="AW12" s="1154">
        <f>AW34+AW36</f>
        <v>115734</v>
      </c>
      <c r="AX12" s="1155">
        <f t="shared" si="5"/>
        <v>5721567</v>
      </c>
      <c r="AY12" s="1153">
        <f>AY34+AY36</f>
        <v>4240102</v>
      </c>
      <c r="AZ12" s="1154">
        <f>AZ34+AZ36</f>
        <v>20882</v>
      </c>
      <c r="BA12" s="1155">
        <f t="shared" si="6"/>
        <v>4260984</v>
      </c>
      <c r="BB12" s="1153">
        <f>BB34+BB36</f>
        <v>7352608</v>
      </c>
      <c r="BC12" s="1154">
        <f>BC34+BC36</f>
        <v>43624</v>
      </c>
      <c r="BD12" s="1155">
        <f t="shared" si="7"/>
        <v>7396232</v>
      </c>
      <c r="BE12" s="1873">
        <f>BE34+BE36</f>
        <v>3663170</v>
      </c>
      <c r="BF12" s="1874">
        <f>BF34+BF36</f>
        <v>94481</v>
      </c>
      <c r="BG12" s="1882">
        <f t="shared" si="8"/>
        <v>3757651</v>
      </c>
      <c r="BH12" s="1873">
        <f>BH34+BH36</f>
        <v>4814594</v>
      </c>
      <c r="BI12" s="1874">
        <f>BI34+BI36</f>
        <v>22531</v>
      </c>
      <c r="BJ12" s="1882">
        <f t="shared" si="9"/>
        <v>4837125</v>
      </c>
      <c r="BL12" s="286">
        <f>BL34+BL36</f>
        <v>8430190.871778423</v>
      </c>
      <c r="BM12" s="529"/>
    </row>
    <row r="13" spans="1:65">
      <c r="A13" s="217"/>
      <c r="B13" s="217" t="s">
        <v>465</v>
      </c>
      <c r="C13" s="360">
        <f>C19+C37+C39</f>
        <v>9393376</v>
      </c>
      <c r="D13" s="360">
        <f>D19+D37+D39</f>
        <v>21028053</v>
      </c>
      <c r="E13" s="191">
        <v>30421429</v>
      </c>
      <c r="F13" s="360">
        <f>F19+F37+F39</f>
        <v>10101108</v>
      </c>
      <c r="G13" s="360">
        <f>G19+G37+G39</f>
        <v>6214028</v>
      </c>
      <c r="H13" s="220">
        <v>16315136</v>
      </c>
      <c r="I13" s="360">
        <f>I19+I37+I39</f>
        <v>8010574</v>
      </c>
      <c r="J13" s="360">
        <f>J19+J37+J39</f>
        <v>331482</v>
      </c>
      <c r="K13" s="220">
        <v>8342056</v>
      </c>
      <c r="L13" s="360">
        <f>L19+L37+L39</f>
        <v>6277338</v>
      </c>
      <c r="M13" s="360">
        <f>M19+M37+M39</f>
        <v>101780</v>
      </c>
      <c r="N13" s="191">
        <f t="shared" si="0"/>
        <v>6379118</v>
      </c>
      <c r="O13" s="360">
        <f>O19+O37+O39</f>
        <v>11529895</v>
      </c>
      <c r="P13" s="360">
        <f>P19+P37+P39</f>
        <v>27081</v>
      </c>
      <c r="Q13" s="191">
        <f t="shared" si="10"/>
        <v>11556976</v>
      </c>
      <c r="R13" s="360">
        <f>R19+R37+R39</f>
        <v>10897465</v>
      </c>
      <c r="S13" s="360">
        <f>S19+S37+S39</f>
        <v>295044</v>
      </c>
      <c r="T13" s="191">
        <f t="shared" si="11"/>
        <v>11192509</v>
      </c>
      <c r="U13" s="360">
        <f>U19+U37+U39</f>
        <v>8310961</v>
      </c>
      <c r="V13" s="360">
        <f>V19+V37+V39</f>
        <v>1275469</v>
      </c>
      <c r="W13" s="419">
        <f t="shared" si="12"/>
        <v>9586430</v>
      </c>
      <c r="X13" s="360">
        <f>X19+X37+X39</f>
        <v>7932970</v>
      </c>
      <c r="Y13" s="360">
        <f>Y19+Y37+Y39</f>
        <v>5922131</v>
      </c>
      <c r="Z13" s="419">
        <f t="shared" si="13"/>
        <v>13855101</v>
      </c>
      <c r="AA13" s="360">
        <f>AA19+AA37+AA39</f>
        <v>10130345</v>
      </c>
      <c r="AB13" s="360">
        <f>AB19+AB37+AB39</f>
        <v>4099241</v>
      </c>
      <c r="AC13" s="360">
        <f t="shared" si="14"/>
        <v>14229586</v>
      </c>
      <c r="AD13" s="724">
        <f>AD19+AD37+AD39</f>
        <v>11637748</v>
      </c>
      <c r="AE13" s="360">
        <f>AE19+AE37+AE39</f>
        <v>2045870</v>
      </c>
      <c r="AF13" s="725">
        <f t="shared" si="15"/>
        <v>13683618</v>
      </c>
      <c r="AG13" s="724">
        <f>AG19+AG37+AG39</f>
        <v>11069941</v>
      </c>
      <c r="AH13" s="360">
        <f>AH19+AH37+AH39</f>
        <v>3618426</v>
      </c>
      <c r="AI13" s="725">
        <f t="shared" si="1"/>
        <v>14688367</v>
      </c>
      <c r="AJ13" s="724">
        <f>AJ19+AJ37+AJ39</f>
        <v>11615751</v>
      </c>
      <c r="AK13" s="360">
        <f>AK19+AK37+AK39</f>
        <v>1879522</v>
      </c>
      <c r="AL13" s="725">
        <f t="shared" si="16"/>
        <v>13495273</v>
      </c>
      <c r="AM13" s="724">
        <f>AM19+AM37+AM39</f>
        <v>9361799</v>
      </c>
      <c r="AN13" s="360">
        <f>AN19+AN37+AN39</f>
        <v>521828</v>
      </c>
      <c r="AO13" s="725">
        <f t="shared" si="2"/>
        <v>9883627</v>
      </c>
      <c r="AP13" s="724">
        <f>AP19+AP37+AP39</f>
        <v>6885381</v>
      </c>
      <c r="AQ13" s="360">
        <f>AQ19+AQ37+AQ39</f>
        <v>1036829</v>
      </c>
      <c r="AR13" s="725">
        <f t="shared" si="3"/>
        <v>7922210</v>
      </c>
      <c r="AS13" s="724">
        <f>AS19+AS37+AS39</f>
        <v>9170372</v>
      </c>
      <c r="AT13" s="360">
        <f>AT19+AT37+AT39</f>
        <v>1379480</v>
      </c>
      <c r="AU13" s="725">
        <f t="shared" si="4"/>
        <v>10549852</v>
      </c>
      <c r="AV13" s="1156">
        <f>AV19+AV37+AV39</f>
        <v>9347306</v>
      </c>
      <c r="AW13" s="1157">
        <f>AW19+AW37+AW39</f>
        <v>181536</v>
      </c>
      <c r="AX13" s="1158">
        <f t="shared" si="5"/>
        <v>9528842</v>
      </c>
      <c r="AY13" s="1156">
        <f>AY19+AY37+AY39</f>
        <v>10927923</v>
      </c>
      <c r="AZ13" s="1157">
        <f>AZ19+AZ37+AZ39</f>
        <v>563133</v>
      </c>
      <c r="BA13" s="1158">
        <f t="shared" si="6"/>
        <v>11491056</v>
      </c>
      <c r="BB13" s="1153">
        <f>BB19+BB37+BB39</f>
        <v>13514853</v>
      </c>
      <c r="BC13" s="1154">
        <f>BC19+BC37+BC39</f>
        <v>302626</v>
      </c>
      <c r="BD13" s="1155">
        <f t="shared" si="7"/>
        <v>13817479</v>
      </c>
      <c r="BE13" s="1873">
        <f>BE19+BE37+BE39</f>
        <v>12688017</v>
      </c>
      <c r="BF13" s="1874">
        <f>BF19+BF37+BF39</f>
        <v>216489</v>
      </c>
      <c r="BG13" s="1883">
        <f t="shared" si="8"/>
        <v>12904506</v>
      </c>
      <c r="BH13" s="1873">
        <f>BH19+BH37+BH39</f>
        <v>10190369</v>
      </c>
      <c r="BI13" s="1874">
        <f>BI19+BI37+BI39</f>
        <v>668316</v>
      </c>
      <c r="BJ13" s="1883">
        <f t="shared" si="9"/>
        <v>10858685</v>
      </c>
      <c r="BL13" s="420">
        <f>BL19+BL37+BL39</f>
        <v>12867967.28359824</v>
      </c>
      <c r="BM13" s="530"/>
    </row>
    <row r="14" spans="1:65">
      <c r="A14" s="104">
        <v>100</v>
      </c>
      <c r="B14" s="104" t="s">
        <v>172</v>
      </c>
      <c r="C14" s="106">
        <v>140187363</v>
      </c>
      <c r="D14" s="106">
        <v>2779263</v>
      </c>
      <c r="E14" s="122">
        <v>142966626</v>
      </c>
      <c r="F14" s="106">
        <v>113274527</v>
      </c>
      <c r="G14" s="106">
        <v>0</v>
      </c>
      <c r="H14" s="124">
        <v>113274527</v>
      </c>
      <c r="I14" s="106">
        <v>118907788</v>
      </c>
      <c r="J14" s="106">
        <v>0</v>
      </c>
      <c r="K14" s="124">
        <v>118907788</v>
      </c>
      <c r="L14" s="104">
        <v>124744208</v>
      </c>
      <c r="M14" s="104">
        <v>0</v>
      </c>
      <c r="N14" s="122">
        <f t="shared" si="0"/>
        <v>124744208</v>
      </c>
      <c r="O14" s="104">
        <v>98153098</v>
      </c>
      <c r="P14" s="104">
        <v>0</v>
      </c>
      <c r="Q14" s="122">
        <f t="shared" si="10"/>
        <v>98153098</v>
      </c>
      <c r="R14" s="104">
        <v>100298539</v>
      </c>
      <c r="S14" s="104">
        <v>0</v>
      </c>
      <c r="T14" s="122">
        <f t="shared" si="11"/>
        <v>100298539</v>
      </c>
      <c r="U14" s="287">
        <v>77810042</v>
      </c>
      <c r="V14" s="287">
        <v>0</v>
      </c>
      <c r="W14" s="468">
        <f t="shared" si="12"/>
        <v>77810042</v>
      </c>
      <c r="X14" s="157">
        <v>59405940</v>
      </c>
      <c r="Y14" s="157">
        <v>0</v>
      </c>
      <c r="Z14" s="285">
        <f>X14+Y14</f>
        <v>59405940</v>
      </c>
      <c r="AA14" s="470">
        <v>98539783</v>
      </c>
      <c r="AB14" s="470">
        <v>0</v>
      </c>
      <c r="AC14" s="287">
        <f>AA14+AB14</f>
        <v>98539783</v>
      </c>
      <c r="AD14" s="726">
        <v>86093204</v>
      </c>
      <c r="AE14" s="470">
        <v>560466</v>
      </c>
      <c r="AF14" s="723">
        <f t="shared" si="15"/>
        <v>86653670</v>
      </c>
      <c r="AG14" s="726">
        <v>80717527</v>
      </c>
      <c r="AH14" s="470">
        <v>1650179</v>
      </c>
      <c r="AI14" s="723">
        <f t="shared" si="1"/>
        <v>82367706</v>
      </c>
      <c r="AJ14" s="726">
        <v>91416827</v>
      </c>
      <c r="AK14" s="470">
        <v>765751</v>
      </c>
      <c r="AL14" s="723">
        <f>BL14</f>
        <v>85918833.017304808</v>
      </c>
      <c r="AM14" s="726">
        <v>92200466</v>
      </c>
      <c r="AN14" s="470">
        <v>417835</v>
      </c>
      <c r="AO14" s="723">
        <f t="shared" si="2"/>
        <v>92618301</v>
      </c>
      <c r="AP14" s="726">
        <v>87247467</v>
      </c>
      <c r="AQ14" s="470">
        <v>3585775</v>
      </c>
      <c r="AR14" s="723">
        <f t="shared" si="3"/>
        <v>90833242</v>
      </c>
      <c r="AS14" s="726">
        <v>108198200</v>
      </c>
      <c r="AT14" s="470">
        <v>6628503</v>
      </c>
      <c r="AU14" s="723">
        <f t="shared" si="4"/>
        <v>114826703</v>
      </c>
      <c r="AV14" s="1159">
        <v>119651955</v>
      </c>
      <c r="AW14" s="1029">
        <v>5837296</v>
      </c>
      <c r="AX14" s="1155">
        <f t="shared" si="5"/>
        <v>125489251</v>
      </c>
      <c r="AY14" s="1159">
        <v>113971795</v>
      </c>
      <c r="AZ14" s="1029">
        <v>2875903</v>
      </c>
      <c r="BA14" s="1154">
        <f t="shared" si="6"/>
        <v>116847698</v>
      </c>
      <c r="BB14" s="1709">
        <f>BB60</f>
        <v>116839871</v>
      </c>
      <c r="BC14" s="1710">
        <f>BC60</f>
        <v>38613</v>
      </c>
      <c r="BD14" s="1152">
        <f t="shared" si="7"/>
        <v>116878484</v>
      </c>
      <c r="BE14" s="1875">
        <f>BE60</f>
        <v>110356799</v>
      </c>
      <c r="BF14" s="1876">
        <f>BF60</f>
        <v>32358</v>
      </c>
      <c r="BG14" s="1882">
        <f t="shared" si="8"/>
        <v>110389157</v>
      </c>
      <c r="BH14" s="1875">
        <f>BH60</f>
        <v>137728091</v>
      </c>
      <c r="BI14" s="1876">
        <f>BI60</f>
        <v>72389</v>
      </c>
      <c r="BJ14" s="1882">
        <f t="shared" si="9"/>
        <v>137800480</v>
      </c>
      <c r="BL14" s="75">
        <f t="shared" ref="BL14:BL54" si="17">(AA14+AD14+AG14)/3*0.5+SUM(AG14:AH14)*BM14*0.5</f>
        <v>85918833.017304808</v>
      </c>
      <c r="BM14" s="527">
        <v>1.0123809287741521</v>
      </c>
    </row>
    <row r="15" spans="1:65">
      <c r="A15" s="104">
        <v>201</v>
      </c>
      <c r="B15" s="104" t="s">
        <v>382</v>
      </c>
      <c r="C15" s="106">
        <v>52420181</v>
      </c>
      <c r="D15" s="106">
        <v>371133</v>
      </c>
      <c r="E15" s="122">
        <v>52791314</v>
      </c>
      <c r="F15" s="106">
        <v>48825249</v>
      </c>
      <c r="G15" s="106">
        <v>181883</v>
      </c>
      <c r="H15" s="124">
        <v>49007132</v>
      </c>
      <c r="I15" s="106">
        <v>52587020</v>
      </c>
      <c r="J15" s="106">
        <v>555</v>
      </c>
      <c r="K15" s="124">
        <v>52587575</v>
      </c>
      <c r="L15" s="104">
        <v>48794253</v>
      </c>
      <c r="M15" s="104">
        <v>0</v>
      </c>
      <c r="N15" s="122">
        <f t="shared" si="0"/>
        <v>48794253</v>
      </c>
      <c r="O15" s="104">
        <v>41385219</v>
      </c>
      <c r="P15" s="104">
        <v>8696</v>
      </c>
      <c r="Q15" s="122">
        <f t="shared" si="10"/>
        <v>41393915</v>
      </c>
      <c r="R15" s="104">
        <v>39651584</v>
      </c>
      <c r="S15" s="104">
        <v>15247</v>
      </c>
      <c r="T15" s="122">
        <f t="shared" si="11"/>
        <v>39666831</v>
      </c>
      <c r="U15" s="286">
        <v>36136008</v>
      </c>
      <c r="V15" s="287">
        <v>69088</v>
      </c>
      <c r="W15" s="468">
        <f t="shared" si="12"/>
        <v>36205096</v>
      </c>
      <c r="X15" s="157">
        <v>31018823</v>
      </c>
      <c r="Y15" s="157">
        <v>152887</v>
      </c>
      <c r="Z15" s="285">
        <f t="shared" ref="Z15:Z54" si="18">X15+Y15</f>
        <v>31171710</v>
      </c>
      <c r="AA15" s="470">
        <v>36670279</v>
      </c>
      <c r="AB15" s="470">
        <v>78068</v>
      </c>
      <c r="AC15" s="287">
        <f t="shared" ref="AC15:AC54" si="19">AA15+AB15</f>
        <v>36748347</v>
      </c>
      <c r="AD15" s="726">
        <v>34399156</v>
      </c>
      <c r="AE15" s="470">
        <v>49393</v>
      </c>
      <c r="AF15" s="723">
        <f t="shared" si="15"/>
        <v>34448549</v>
      </c>
      <c r="AG15" s="726">
        <v>33839637</v>
      </c>
      <c r="AH15" s="470">
        <v>34813</v>
      </c>
      <c r="AI15" s="723">
        <f t="shared" ref="AI15:AI54" si="20">AG15+AH15</f>
        <v>33874450</v>
      </c>
      <c r="AJ15" s="726">
        <v>35544005</v>
      </c>
      <c r="AK15" s="470">
        <v>33710</v>
      </c>
      <c r="AL15" s="723">
        <f t="shared" ref="AL15:AL54" si="21">BL15</f>
        <v>34570283.590527199</v>
      </c>
      <c r="AM15" s="726">
        <v>35562489</v>
      </c>
      <c r="AN15" s="470">
        <v>4551</v>
      </c>
      <c r="AO15" s="723">
        <f t="shared" si="2"/>
        <v>35567040</v>
      </c>
      <c r="AP15" s="726">
        <v>30563057</v>
      </c>
      <c r="AQ15" s="470">
        <v>12792</v>
      </c>
      <c r="AR15" s="723">
        <f t="shared" si="3"/>
        <v>30575849</v>
      </c>
      <c r="AS15" s="726">
        <v>37825923</v>
      </c>
      <c r="AT15" s="470">
        <v>69642</v>
      </c>
      <c r="AU15" s="723">
        <f t="shared" si="4"/>
        <v>37895565</v>
      </c>
      <c r="AV15" s="1159">
        <v>52279104</v>
      </c>
      <c r="AW15" s="1029">
        <v>2090</v>
      </c>
      <c r="AX15" s="1155">
        <f t="shared" si="5"/>
        <v>52281194</v>
      </c>
      <c r="AY15" s="1159">
        <v>30227944</v>
      </c>
      <c r="AZ15" s="1029">
        <v>0</v>
      </c>
      <c r="BA15" s="1154">
        <f t="shared" si="6"/>
        <v>30227944</v>
      </c>
      <c r="BB15" s="1159">
        <f>BB94</f>
        <v>24593935</v>
      </c>
      <c r="BC15" s="1029">
        <f>BC94</f>
        <v>0</v>
      </c>
      <c r="BD15" s="1155">
        <f t="shared" si="7"/>
        <v>24593935</v>
      </c>
      <c r="BE15" s="1877">
        <f>BE94</f>
        <v>27985752</v>
      </c>
      <c r="BF15" s="1878">
        <f>BF94</f>
        <v>0</v>
      </c>
      <c r="BG15" s="1882">
        <f t="shared" si="8"/>
        <v>27985752</v>
      </c>
      <c r="BH15" s="1877">
        <f>BH94</f>
        <v>35668681</v>
      </c>
      <c r="BI15" s="1878">
        <f>BI94</f>
        <v>21410</v>
      </c>
      <c r="BJ15" s="1882">
        <f t="shared" si="9"/>
        <v>35690091</v>
      </c>
      <c r="BL15" s="75">
        <f t="shared" si="17"/>
        <v>34570283.590527199</v>
      </c>
      <c r="BM15" s="527">
        <v>1.0087507402891482</v>
      </c>
    </row>
    <row r="16" spans="1:65">
      <c r="A16" s="104">
        <v>202</v>
      </c>
      <c r="B16" s="104" t="s">
        <v>183</v>
      </c>
      <c r="C16" s="106">
        <v>42587529</v>
      </c>
      <c r="D16" s="106">
        <v>0</v>
      </c>
      <c r="E16" s="122">
        <v>42587529</v>
      </c>
      <c r="F16" s="106">
        <v>26328002</v>
      </c>
      <c r="G16" s="106">
        <v>0</v>
      </c>
      <c r="H16" s="124">
        <v>26328002</v>
      </c>
      <c r="I16" s="106">
        <v>26207165</v>
      </c>
      <c r="J16" s="106">
        <v>0</v>
      </c>
      <c r="K16" s="124">
        <v>26207165</v>
      </c>
      <c r="L16" s="104">
        <v>25142035</v>
      </c>
      <c r="M16" s="104">
        <v>0</v>
      </c>
      <c r="N16" s="122">
        <f t="shared" si="0"/>
        <v>25142035</v>
      </c>
      <c r="O16" s="104">
        <v>21453191</v>
      </c>
      <c r="P16" s="104">
        <v>7358</v>
      </c>
      <c r="Q16" s="122">
        <f t="shared" si="10"/>
        <v>21460549</v>
      </c>
      <c r="R16" s="104">
        <v>33718038</v>
      </c>
      <c r="S16" s="104">
        <v>0</v>
      </c>
      <c r="T16" s="122">
        <f t="shared" si="11"/>
        <v>33718038</v>
      </c>
      <c r="U16" s="287">
        <v>14267277</v>
      </c>
      <c r="V16" s="287">
        <v>0</v>
      </c>
      <c r="W16" s="468">
        <f t="shared" si="12"/>
        <v>14267277</v>
      </c>
      <c r="X16" s="157">
        <v>14915557</v>
      </c>
      <c r="Y16" s="157">
        <v>0</v>
      </c>
      <c r="Z16" s="285">
        <f t="shared" si="18"/>
        <v>14915557</v>
      </c>
      <c r="AA16" s="470">
        <v>21740479</v>
      </c>
      <c r="AB16" s="470">
        <v>0</v>
      </c>
      <c r="AC16" s="287">
        <f t="shared" si="19"/>
        <v>21740479</v>
      </c>
      <c r="AD16" s="726">
        <v>22018839</v>
      </c>
      <c r="AE16" s="470">
        <v>42881</v>
      </c>
      <c r="AF16" s="723">
        <f t="shared" si="15"/>
        <v>22061720</v>
      </c>
      <c r="AG16" s="726">
        <v>25691465</v>
      </c>
      <c r="AH16" s="470">
        <v>13003</v>
      </c>
      <c r="AI16" s="723">
        <f t="shared" si="20"/>
        <v>25704468</v>
      </c>
      <c r="AJ16" s="726">
        <v>22048844</v>
      </c>
      <c r="AK16" s="470">
        <v>0</v>
      </c>
      <c r="AL16" s="723">
        <f t="shared" si="21"/>
        <v>24585561.978388634</v>
      </c>
      <c r="AM16" s="726">
        <v>18668382</v>
      </c>
      <c r="AN16" s="470">
        <v>710</v>
      </c>
      <c r="AO16" s="723">
        <f t="shared" si="2"/>
        <v>18669092</v>
      </c>
      <c r="AP16" s="726">
        <v>18230385</v>
      </c>
      <c r="AQ16" s="470">
        <v>237868</v>
      </c>
      <c r="AR16" s="723">
        <f t="shared" si="3"/>
        <v>18468253</v>
      </c>
      <c r="AS16" s="726">
        <v>14238794</v>
      </c>
      <c r="AT16" s="470">
        <v>215230</v>
      </c>
      <c r="AU16" s="723">
        <f t="shared" si="4"/>
        <v>14454024</v>
      </c>
      <c r="AV16" s="1159">
        <v>20079335</v>
      </c>
      <c r="AW16" s="1029">
        <v>7183</v>
      </c>
      <c r="AX16" s="1155">
        <f t="shared" si="5"/>
        <v>20086518</v>
      </c>
      <c r="AY16" s="1159">
        <v>16739385</v>
      </c>
      <c r="AZ16" s="1029">
        <v>154</v>
      </c>
      <c r="BA16" s="1154">
        <f t="shared" si="6"/>
        <v>16739539</v>
      </c>
      <c r="BB16" s="1159">
        <f>BB71</f>
        <v>13222793</v>
      </c>
      <c r="BC16" s="1029">
        <f>BC71</f>
        <v>2</v>
      </c>
      <c r="BD16" s="1155">
        <f t="shared" si="7"/>
        <v>13222795</v>
      </c>
      <c r="BE16" s="1877">
        <f>BE71</f>
        <v>12460776</v>
      </c>
      <c r="BF16" s="1878">
        <f>BF71</f>
        <v>1</v>
      </c>
      <c r="BG16" s="1882">
        <f t="shared" si="8"/>
        <v>12460777</v>
      </c>
      <c r="BH16" s="1877">
        <f>BH71</f>
        <v>20045076</v>
      </c>
      <c r="BI16" s="1878">
        <f>BI71</f>
        <v>0</v>
      </c>
      <c r="BJ16" s="1882">
        <f t="shared" si="9"/>
        <v>20045076</v>
      </c>
      <c r="BL16" s="75">
        <f t="shared" si="17"/>
        <v>24585561.978388634</v>
      </c>
      <c r="BM16" s="527">
        <v>1.0123089478754148</v>
      </c>
    </row>
    <row r="17" spans="1:65">
      <c r="A17" s="104">
        <v>203</v>
      </c>
      <c r="B17" s="104" t="s">
        <v>193</v>
      </c>
      <c r="C17" s="106">
        <v>16011033</v>
      </c>
      <c r="D17" s="106">
        <v>79125</v>
      </c>
      <c r="E17" s="122">
        <v>16090158</v>
      </c>
      <c r="F17" s="106">
        <v>15371957</v>
      </c>
      <c r="G17" s="106">
        <v>0</v>
      </c>
      <c r="H17" s="124">
        <v>15371957</v>
      </c>
      <c r="I17" s="106">
        <v>13866082</v>
      </c>
      <c r="J17" s="106">
        <v>0</v>
      </c>
      <c r="K17" s="124">
        <v>13866082</v>
      </c>
      <c r="L17" s="104">
        <v>15456596</v>
      </c>
      <c r="M17" s="104">
        <v>0</v>
      </c>
      <c r="N17" s="122">
        <f t="shared" si="0"/>
        <v>15456596</v>
      </c>
      <c r="O17" s="104">
        <v>10714448</v>
      </c>
      <c r="P17" s="104">
        <v>2575</v>
      </c>
      <c r="Q17" s="122">
        <f t="shared" si="10"/>
        <v>10717023</v>
      </c>
      <c r="R17" s="104">
        <v>12563103</v>
      </c>
      <c r="S17" s="104">
        <v>945</v>
      </c>
      <c r="T17" s="122">
        <f t="shared" si="11"/>
        <v>12564048</v>
      </c>
      <c r="U17" s="287">
        <v>10188016</v>
      </c>
      <c r="V17" s="287">
        <v>0</v>
      </c>
      <c r="W17" s="468">
        <f t="shared" si="12"/>
        <v>10188016</v>
      </c>
      <c r="X17" s="470">
        <v>9575634</v>
      </c>
      <c r="Y17" s="157">
        <v>33994</v>
      </c>
      <c r="Z17" s="285">
        <f t="shared" si="18"/>
        <v>9609628</v>
      </c>
      <c r="AA17" s="470">
        <v>16915924</v>
      </c>
      <c r="AB17" s="470">
        <v>0</v>
      </c>
      <c r="AC17" s="287">
        <f t="shared" si="19"/>
        <v>16915924</v>
      </c>
      <c r="AD17" s="726">
        <v>11198939</v>
      </c>
      <c r="AE17" s="470">
        <v>0</v>
      </c>
      <c r="AF17" s="723">
        <f t="shared" si="15"/>
        <v>11198939</v>
      </c>
      <c r="AG17" s="726">
        <v>11437127</v>
      </c>
      <c r="AH17" s="470">
        <v>5865</v>
      </c>
      <c r="AI17" s="723">
        <f t="shared" si="20"/>
        <v>11442992</v>
      </c>
      <c r="AJ17" s="726">
        <v>17056104</v>
      </c>
      <c r="AK17" s="470">
        <v>0</v>
      </c>
      <c r="AL17" s="723">
        <f t="shared" si="21"/>
        <v>12385051.915077016</v>
      </c>
      <c r="AM17" s="726">
        <v>10434381</v>
      </c>
      <c r="AN17" s="470">
        <v>0</v>
      </c>
      <c r="AO17" s="723">
        <f t="shared" si="2"/>
        <v>10434381</v>
      </c>
      <c r="AP17" s="726">
        <v>12970690</v>
      </c>
      <c r="AQ17" s="470">
        <v>13255</v>
      </c>
      <c r="AR17" s="723">
        <f t="shared" si="3"/>
        <v>12983945</v>
      </c>
      <c r="AS17" s="726">
        <v>7948659</v>
      </c>
      <c r="AT17" s="470">
        <v>63758</v>
      </c>
      <c r="AU17" s="723">
        <f t="shared" si="4"/>
        <v>8012417</v>
      </c>
      <c r="AV17" s="1159">
        <v>10538033</v>
      </c>
      <c r="AW17" s="1029">
        <v>1290</v>
      </c>
      <c r="AX17" s="1155">
        <f t="shared" si="5"/>
        <v>10539323</v>
      </c>
      <c r="AY17" s="1159">
        <v>8580768</v>
      </c>
      <c r="AZ17" s="1029">
        <v>0</v>
      </c>
      <c r="BA17" s="1154">
        <f t="shared" si="6"/>
        <v>8580768</v>
      </c>
      <c r="BB17" s="1159">
        <f>BB81</f>
        <v>8854908</v>
      </c>
      <c r="BC17" s="1029">
        <f>BC81</f>
        <v>0</v>
      </c>
      <c r="BD17" s="1155">
        <f t="shared" si="7"/>
        <v>8854908</v>
      </c>
      <c r="BE17" s="1877">
        <f>BE81</f>
        <v>10154847</v>
      </c>
      <c r="BF17" s="1878">
        <f>BF81</f>
        <v>0</v>
      </c>
      <c r="BG17" s="1882">
        <f t="shared" si="8"/>
        <v>10154847</v>
      </c>
      <c r="BH17" s="1877">
        <f>BH81</f>
        <v>7714629</v>
      </c>
      <c r="BI17" s="1878">
        <f>BI81</f>
        <v>0</v>
      </c>
      <c r="BJ17" s="1882">
        <f t="shared" si="9"/>
        <v>7714629</v>
      </c>
      <c r="BL17" s="75">
        <f t="shared" si="17"/>
        <v>12385051.915077016</v>
      </c>
      <c r="BM17" s="527">
        <v>1.0125067957302922</v>
      </c>
    </row>
    <row r="18" spans="1:65">
      <c r="A18" s="104">
        <v>204</v>
      </c>
      <c r="B18" s="104" t="s">
        <v>184</v>
      </c>
      <c r="C18" s="106">
        <v>25721366</v>
      </c>
      <c r="D18" s="106">
        <v>122427</v>
      </c>
      <c r="E18" s="122">
        <v>25843793</v>
      </c>
      <c r="F18" s="106">
        <v>24566975</v>
      </c>
      <c r="G18" s="106">
        <v>0</v>
      </c>
      <c r="H18" s="124">
        <v>24566975</v>
      </c>
      <c r="I18" s="106">
        <v>24730584</v>
      </c>
      <c r="J18" s="106">
        <v>0</v>
      </c>
      <c r="K18" s="124">
        <v>24730584</v>
      </c>
      <c r="L18" s="104">
        <v>22426199</v>
      </c>
      <c r="M18" s="104">
        <v>0</v>
      </c>
      <c r="N18" s="122">
        <f t="shared" si="0"/>
        <v>22426199</v>
      </c>
      <c r="O18" s="104">
        <v>13231915</v>
      </c>
      <c r="P18" s="104">
        <v>4253</v>
      </c>
      <c r="Q18" s="122">
        <f t="shared" si="10"/>
        <v>13236168</v>
      </c>
      <c r="R18" s="104">
        <v>11943133</v>
      </c>
      <c r="S18" s="104">
        <v>0</v>
      </c>
      <c r="T18" s="122">
        <f t="shared" si="11"/>
        <v>11943133</v>
      </c>
      <c r="U18" s="287">
        <v>21973369</v>
      </c>
      <c r="V18" s="287">
        <v>7796</v>
      </c>
      <c r="W18" s="468">
        <f t="shared" si="12"/>
        <v>21981165</v>
      </c>
      <c r="X18" s="157">
        <v>14946824</v>
      </c>
      <c r="Y18" s="157">
        <v>0</v>
      </c>
      <c r="Z18" s="285">
        <f t="shared" si="18"/>
        <v>14946824</v>
      </c>
      <c r="AA18" s="470">
        <v>14199045</v>
      </c>
      <c r="AB18" s="470">
        <v>2289</v>
      </c>
      <c r="AC18" s="287">
        <f t="shared" si="19"/>
        <v>14201334</v>
      </c>
      <c r="AD18" s="726">
        <v>10500485</v>
      </c>
      <c r="AE18" s="470">
        <v>158184</v>
      </c>
      <c r="AF18" s="723">
        <f t="shared" si="15"/>
        <v>10658669</v>
      </c>
      <c r="AG18" s="726">
        <v>18515719</v>
      </c>
      <c r="AH18" s="470">
        <v>161512</v>
      </c>
      <c r="AI18" s="723">
        <f t="shared" si="20"/>
        <v>18677231</v>
      </c>
      <c r="AJ18" s="726">
        <v>11407050</v>
      </c>
      <c r="AK18" s="470">
        <v>0</v>
      </c>
      <c r="AL18" s="723">
        <f t="shared" si="21"/>
        <v>16656105.53141804</v>
      </c>
      <c r="AM18" s="726">
        <v>13582423</v>
      </c>
      <c r="AN18" s="470">
        <v>688</v>
      </c>
      <c r="AO18" s="723">
        <f t="shared" si="2"/>
        <v>13583111</v>
      </c>
      <c r="AP18" s="726">
        <v>17114963</v>
      </c>
      <c r="AQ18" s="470">
        <v>5098</v>
      </c>
      <c r="AR18" s="723">
        <f t="shared" si="3"/>
        <v>17120061</v>
      </c>
      <c r="AS18" s="726">
        <v>15926822</v>
      </c>
      <c r="AT18" s="470">
        <v>14126</v>
      </c>
      <c r="AU18" s="723">
        <f t="shared" si="4"/>
        <v>15940948</v>
      </c>
      <c r="AV18" s="1159">
        <v>22522356</v>
      </c>
      <c r="AW18" s="1029">
        <v>14531</v>
      </c>
      <c r="AX18" s="1155">
        <f t="shared" si="5"/>
        <v>22536887</v>
      </c>
      <c r="AY18" s="1159">
        <v>18600253</v>
      </c>
      <c r="AZ18" s="1029">
        <v>18225</v>
      </c>
      <c r="BA18" s="1154">
        <f t="shared" si="6"/>
        <v>18618478</v>
      </c>
      <c r="BB18" s="1159">
        <f>BB72</f>
        <v>15722985</v>
      </c>
      <c r="BC18" s="1029">
        <f>BC72</f>
        <v>0</v>
      </c>
      <c r="BD18" s="1155">
        <f t="shared" si="7"/>
        <v>15722985</v>
      </c>
      <c r="BE18" s="1877">
        <f>BE72</f>
        <v>13905585</v>
      </c>
      <c r="BF18" s="1878">
        <f>BF72</f>
        <v>0</v>
      </c>
      <c r="BG18" s="1882">
        <f t="shared" si="8"/>
        <v>13905585</v>
      </c>
      <c r="BH18" s="1877">
        <f>BH72</f>
        <v>18354819</v>
      </c>
      <c r="BI18" s="1878">
        <f>BI72</f>
        <v>1249</v>
      </c>
      <c r="BJ18" s="1882">
        <f t="shared" si="9"/>
        <v>18356068</v>
      </c>
      <c r="BL18" s="75">
        <f t="shared" si="17"/>
        <v>16656105.53141804</v>
      </c>
      <c r="BM18" s="527">
        <v>1.0123089478754148</v>
      </c>
    </row>
    <row r="19" spans="1:65">
      <c r="A19" s="104">
        <v>205</v>
      </c>
      <c r="B19" s="104" t="s">
        <v>339</v>
      </c>
      <c r="C19" s="106">
        <v>2658604</v>
      </c>
      <c r="D19" s="106">
        <v>6130797</v>
      </c>
      <c r="E19" s="122">
        <v>8789401</v>
      </c>
      <c r="F19" s="106">
        <v>2697762</v>
      </c>
      <c r="G19" s="106">
        <v>2568073</v>
      </c>
      <c r="H19" s="124">
        <v>5265835</v>
      </c>
      <c r="I19" s="106">
        <v>2093827</v>
      </c>
      <c r="J19" s="106">
        <v>137417</v>
      </c>
      <c r="K19" s="124">
        <v>2231244</v>
      </c>
      <c r="L19" s="104">
        <v>1637761</v>
      </c>
      <c r="M19" s="104">
        <v>9719</v>
      </c>
      <c r="N19" s="122">
        <f t="shared" si="0"/>
        <v>1647480</v>
      </c>
      <c r="O19" s="104">
        <v>2923058</v>
      </c>
      <c r="P19" s="104">
        <v>24035</v>
      </c>
      <c r="Q19" s="122">
        <f t="shared" si="10"/>
        <v>2947093</v>
      </c>
      <c r="R19" s="104">
        <v>6152447</v>
      </c>
      <c r="S19" s="104">
        <v>60068</v>
      </c>
      <c r="T19" s="122">
        <f t="shared" si="11"/>
        <v>6212515</v>
      </c>
      <c r="U19" s="286">
        <v>2334080</v>
      </c>
      <c r="V19" s="287">
        <v>345818</v>
      </c>
      <c r="W19" s="468">
        <f t="shared" si="12"/>
        <v>2679898</v>
      </c>
      <c r="X19" s="157">
        <v>1957376</v>
      </c>
      <c r="Y19" s="157">
        <v>1670386</v>
      </c>
      <c r="Z19" s="285">
        <f t="shared" si="18"/>
        <v>3627762</v>
      </c>
      <c r="AA19" s="470">
        <v>3693718</v>
      </c>
      <c r="AB19" s="470">
        <v>909468</v>
      </c>
      <c r="AC19" s="287">
        <f t="shared" si="19"/>
        <v>4603186</v>
      </c>
      <c r="AD19" s="726">
        <v>2694101</v>
      </c>
      <c r="AE19" s="470">
        <v>586790</v>
      </c>
      <c r="AF19" s="723">
        <f t="shared" si="15"/>
        <v>3280891</v>
      </c>
      <c r="AG19" s="726">
        <v>3013610</v>
      </c>
      <c r="AH19" s="470">
        <v>1543329</v>
      </c>
      <c r="AI19" s="723">
        <f t="shared" si="20"/>
        <v>4556939</v>
      </c>
      <c r="AJ19" s="726">
        <v>5034665</v>
      </c>
      <c r="AK19" s="470">
        <v>463294</v>
      </c>
      <c r="AL19" s="723">
        <f t="shared" si="21"/>
        <v>3861127.805546551</v>
      </c>
      <c r="AM19" s="726">
        <v>2061790</v>
      </c>
      <c r="AN19" s="470">
        <v>114512</v>
      </c>
      <c r="AO19" s="723">
        <f t="shared" si="2"/>
        <v>2176302</v>
      </c>
      <c r="AP19" s="726">
        <v>2071804</v>
      </c>
      <c r="AQ19" s="470">
        <v>334782</v>
      </c>
      <c r="AR19" s="723">
        <f t="shared" si="3"/>
        <v>2406586</v>
      </c>
      <c r="AS19" s="726">
        <v>2033890</v>
      </c>
      <c r="AT19" s="470">
        <v>331319</v>
      </c>
      <c r="AU19" s="723">
        <f t="shared" si="4"/>
        <v>2365209</v>
      </c>
      <c r="AV19" s="1159">
        <v>2936204</v>
      </c>
      <c r="AW19" s="1029">
        <v>64172</v>
      </c>
      <c r="AX19" s="1155">
        <f t="shared" si="5"/>
        <v>3000376</v>
      </c>
      <c r="AY19" s="1159">
        <v>3208085</v>
      </c>
      <c r="AZ19" s="1029">
        <v>225320</v>
      </c>
      <c r="BA19" s="1154">
        <f t="shared" si="6"/>
        <v>3433405</v>
      </c>
      <c r="BB19" s="1159">
        <f>BB116</f>
        <v>3208475</v>
      </c>
      <c r="BC19" s="1029">
        <f>BC116</f>
        <v>128221</v>
      </c>
      <c r="BD19" s="1155">
        <f t="shared" ref="BD19:BD35" si="22">BB19+BC19</f>
        <v>3336696</v>
      </c>
      <c r="BE19" s="1877">
        <f>BE116</f>
        <v>2154077</v>
      </c>
      <c r="BF19" s="1878">
        <f>BF116</f>
        <v>80082</v>
      </c>
      <c r="BG19" s="1882">
        <f t="shared" si="8"/>
        <v>2234159</v>
      </c>
      <c r="BH19" s="1877">
        <f>BH116</f>
        <v>2170201</v>
      </c>
      <c r="BI19" s="1878">
        <f>BI116</f>
        <v>92114</v>
      </c>
      <c r="BJ19" s="1882">
        <f t="shared" si="9"/>
        <v>2262315</v>
      </c>
      <c r="BL19" s="75">
        <f t="shared" si="17"/>
        <v>3861127.805546551</v>
      </c>
      <c r="BM19" s="527">
        <v>1.0069140588510042</v>
      </c>
    </row>
    <row r="20" spans="1:65">
      <c r="A20" s="104">
        <v>206</v>
      </c>
      <c r="B20" s="104" t="s">
        <v>185</v>
      </c>
      <c r="C20" s="106">
        <v>5777155</v>
      </c>
      <c r="D20" s="106">
        <v>0</v>
      </c>
      <c r="E20" s="122">
        <v>5777155</v>
      </c>
      <c r="F20" s="106">
        <v>6223620</v>
      </c>
      <c r="G20" s="106">
        <v>0</v>
      </c>
      <c r="H20" s="124">
        <v>6223620</v>
      </c>
      <c r="I20" s="106">
        <v>6763660</v>
      </c>
      <c r="J20" s="106">
        <v>4160</v>
      </c>
      <c r="K20" s="124">
        <v>6767820</v>
      </c>
      <c r="L20" s="104">
        <v>5563019</v>
      </c>
      <c r="M20" s="104">
        <v>7244</v>
      </c>
      <c r="N20" s="122">
        <f t="shared" si="0"/>
        <v>5570263</v>
      </c>
      <c r="O20" s="104">
        <v>7170620</v>
      </c>
      <c r="P20" s="104">
        <v>19829</v>
      </c>
      <c r="Q20" s="122">
        <f t="shared" si="10"/>
        <v>7190449</v>
      </c>
      <c r="R20" s="104">
        <v>4874283</v>
      </c>
      <c r="S20" s="104">
        <v>0</v>
      </c>
      <c r="T20" s="122">
        <f t="shared" si="11"/>
        <v>4874283</v>
      </c>
      <c r="U20" s="287">
        <v>2187675</v>
      </c>
      <c r="V20" s="287">
        <v>0</v>
      </c>
      <c r="W20" s="468">
        <f t="shared" si="12"/>
        <v>2187675</v>
      </c>
      <c r="X20" s="157">
        <v>2245014</v>
      </c>
      <c r="Y20" s="157">
        <v>2032</v>
      </c>
      <c r="Z20" s="285">
        <f t="shared" si="18"/>
        <v>2247046</v>
      </c>
      <c r="AA20" s="470">
        <v>10115442</v>
      </c>
      <c r="AB20" s="470">
        <v>12226</v>
      </c>
      <c r="AC20" s="287">
        <f t="shared" si="19"/>
        <v>10127668</v>
      </c>
      <c r="AD20" s="726">
        <v>6247955</v>
      </c>
      <c r="AE20" s="470">
        <v>326</v>
      </c>
      <c r="AF20" s="723">
        <f t="shared" si="15"/>
        <v>6248281</v>
      </c>
      <c r="AG20" s="726">
        <v>12130805</v>
      </c>
      <c r="AH20" s="470">
        <v>31575</v>
      </c>
      <c r="AI20" s="723">
        <f t="shared" si="20"/>
        <v>12162380</v>
      </c>
      <c r="AJ20" s="726">
        <v>4872705</v>
      </c>
      <c r="AK20" s="470">
        <v>0</v>
      </c>
      <c r="AL20" s="723">
        <f t="shared" si="21"/>
        <v>10905076.717397161</v>
      </c>
      <c r="AM20" s="726">
        <v>9021340</v>
      </c>
      <c r="AN20" s="470">
        <v>22860</v>
      </c>
      <c r="AO20" s="723">
        <f t="shared" si="2"/>
        <v>9044200</v>
      </c>
      <c r="AP20" s="726">
        <v>8670178</v>
      </c>
      <c r="AQ20" s="470">
        <v>13499</v>
      </c>
      <c r="AR20" s="723">
        <f t="shared" si="3"/>
        <v>8683677</v>
      </c>
      <c r="AS20" s="726">
        <v>5807695</v>
      </c>
      <c r="AT20" s="470">
        <v>3133</v>
      </c>
      <c r="AU20" s="723">
        <f t="shared" si="4"/>
        <v>5810828</v>
      </c>
      <c r="AV20" s="1159">
        <v>9622328</v>
      </c>
      <c r="AW20" s="1029">
        <v>6114</v>
      </c>
      <c r="AX20" s="1155">
        <f t="shared" si="5"/>
        <v>9628442</v>
      </c>
      <c r="AY20" s="1159">
        <v>6019939</v>
      </c>
      <c r="AZ20" s="1029">
        <v>0</v>
      </c>
      <c r="BA20" s="1154">
        <f t="shared" si="6"/>
        <v>6019939</v>
      </c>
      <c r="BB20" s="1159">
        <f>BB73</f>
        <v>4772909</v>
      </c>
      <c r="BC20" s="1029">
        <f>BC73</f>
        <v>0</v>
      </c>
      <c r="BD20" s="1155">
        <f t="shared" si="22"/>
        <v>4772909</v>
      </c>
      <c r="BE20" s="1877">
        <f>BE73</f>
        <v>3981814</v>
      </c>
      <c r="BF20" s="1878">
        <f>BF73</f>
        <v>44406</v>
      </c>
      <c r="BG20" s="1882">
        <f t="shared" si="8"/>
        <v>4026220</v>
      </c>
      <c r="BH20" s="1877">
        <f>BH73</f>
        <v>2732764</v>
      </c>
      <c r="BI20" s="1878">
        <f>BI73</f>
        <v>2109</v>
      </c>
      <c r="BJ20" s="1882">
        <f t="shared" si="9"/>
        <v>2734873</v>
      </c>
      <c r="BL20" s="75">
        <f t="shared" si="17"/>
        <v>10905076.717397161</v>
      </c>
      <c r="BM20" s="527">
        <v>1.0123089478754148</v>
      </c>
    </row>
    <row r="21" spans="1:65">
      <c r="A21" s="104">
        <v>207</v>
      </c>
      <c r="B21" s="104" t="s">
        <v>187</v>
      </c>
      <c r="C21" s="106">
        <v>9242191</v>
      </c>
      <c r="D21" s="106">
        <v>43885</v>
      </c>
      <c r="E21" s="122">
        <v>9286076</v>
      </c>
      <c r="F21" s="106">
        <v>8766986</v>
      </c>
      <c r="G21" s="106">
        <v>0</v>
      </c>
      <c r="H21" s="124">
        <v>8766986</v>
      </c>
      <c r="I21" s="106">
        <v>9106918</v>
      </c>
      <c r="J21" s="106">
        <v>0</v>
      </c>
      <c r="K21" s="124">
        <v>9106918</v>
      </c>
      <c r="L21" s="104">
        <v>7115263</v>
      </c>
      <c r="M21" s="104">
        <v>0</v>
      </c>
      <c r="N21" s="122">
        <f t="shared" si="0"/>
        <v>7115263</v>
      </c>
      <c r="O21" s="104">
        <v>7857869</v>
      </c>
      <c r="P21" s="104">
        <v>0</v>
      </c>
      <c r="Q21" s="122">
        <f t="shared" si="10"/>
        <v>7857869</v>
      </c>
      <c r="R21" s="104">
        <v>5344952</v>
      </c>
      <c r="S21" s="104">
        <v>0</v>
      </c>
      <c r="T21" s="122">
        <f t="shared" si="11"/>
        <v>5344952</v>
      </c>
      <c r="U21" s="287">
        <v>5005960</v>
      </c>
      <c r="V21" s="287">
        <v>1995</v>
      </c>
      <c r="W21" s="468">
        <f t="shared" si="12"/>
        <v>5007955</v>
      </c>
      <c r="X21" s="157">
        <v>3067072</v>
      </c>
      <c r="Y21" s="157">
        <v>1449</v>
      </c>
      <c r="Z21" s="285">
        <f t="shared" si="18"/>
        <v>3068521</v>
      </c>
      <c r="AA21" s="470">
        <v>5088614</v>
      </c>
      <c r="AB21" s="470">
        <v>5161</v>
      </c>
      <c r="AC21" s="287">
        <f t="shared" si="19"/>
        <v>5093775</v>
      </c>
      <c r="AD21" s="726">
        <v>6651555</v>
      </c>
      <c r="AE21" s="470">
        <v>131175</v>
      </c>
      <c r="AF21" s="723">
        <f t="shared" si="15"/>
        <v>6782730</v>
      </c>
      <c r="AG21" s="726">
        <v>4629421</v>
      </c>
      <c r="AH21" s="470">
        <v>0</v>
      </c>
      <c r="AI21" s="723">
        <f t="shared" si="20"/>
        <v>4629421</v>
      </c>
      <c r="AJ21" s="726">
        <v>7162750</v>
      </c>
      <c r="AK21" s="470">
        <v>0</v>
      </c>
      <c r="AL21" s="723">
        <f t="shared" si="21"/>
        <v>5061691.4737719148</v>
      </c>
      <c r="AM21" s="726">
        <v>4533185</v>
      </c>
      <c r="AN21" s="470">
        <v>2618</v>
      </c>
      <c r="AO21" s="723">
        <f t="shared" si="2"/>
        <v>4535803</v>
      </c>
      <c r="AP21" s="726">
        <v>3699504</v>
      </c>
      <c r="AQ21" s="470">
        <v>165496</v>
      </c>
      <c r="AR21" s="723">
        <f t="shared" si="3"/>
        <v>3865000</v>
      </c>
      <c r="AS21" s="726">
        <v>7952223</v>
      </c>
      <c r="AT21" s="470">
        <v>42973</v>
      </c>
      <c r="AU21" s="723">
        <f t="shared" si="4"/>
        <v>7995196</v>
      </c>
      <c r="AV21" s="1159">
        <v>8832211</v>
      </c>
      <c r="AW21" s="1029">
        <v>0</v>
      </c>
      <c r="AX21" s="1155">
        <f t="shared" si="5"/>
        <v>8832211</v>
      </c>
      <c r="AY21" s="1159">
        <v>12890979</v>
      </c>
      <c r="AZ21" s="1029">
        <v>0</v>
      </c>
      <c r="BA21" s="1154">
        <f t="shared" si="6"/>
        <v>12890979</v>
      </c>
      <c r="BB21" s="1159">
        <f>BB75</f>
        <v>11580847</v>
      </c>
      <c r="BC21" s="1029">
        <f>BC75</f>
        <v>0</v>
      </c>
      <c r="BD21" s="1155">
        <f t="shared" si="22"/>
        <v>11580847</v>
      </c>
      <c r="BE21" s="1877">
        <f>BE75</f>
        <v>6747612</v>
      </c>
      <c r="BF21" s="1878">
        <f>BF75</f>
        <v>0</v>
      </c>
      <c r="BG21" s="1882">
        <f t="shared" si="8"/>
        <v>6747612</v>
      </c>
      <c r="BH21" s="1877">
        <f>BH75</f>
        <v>8870328</v>
      </c>
      <c r="BI21" s="1878">
        <f>BI75</f>
        <v>0</v>
      </c>
      <c r="BJ21" s="1882">
        <f t="shared" si="9"/>
        <v>8870328</v>
      </c>
      <c r="BL21" s="75">
        <f t="shared" si="17"/>
        <v>5061691.4737719148</v>
      </c>
      <c r="BM21" s="527">
        <v>1.0080856650418766</v>
      </c>
    </row>
    <row r="22" spans="1:65">
      <c r="A22" s="104">
        <v>208</v>
      </c>
      <c r="B22" s="104" t="s">
        <v>206</v>
      </c>
      <c r="C22" s="106">
        <v>3749405</v>
      </c>
      <c r="D22" s="106">
        <v>78680</v>
      </c>
      <c r="E22" s="122">
        <v>3828085</v>
      </c>
      <c r="F22" s="106">
        <v>3569160</v>
      </c>
      <c r="G22" s="106">
        <v>16154</v>
      </c>
      <c r="H22" s="124">
        <v>3585314</v>
      </c>
      <c r="I22" s="106">
        <v>2262656</v>
      </c>
      <c r="J22" s="106">
        <v>273</v>
      </c>
      <c r="K22" s="124">
        <v>2262929</v>
      </c>
      <c r="L22" s="104">
        <v>1970666</v>
      </c>
      <c r="M22" s="104">
        <v>0</v>
      </c>
      <c r="N22" s="122">
        <f t="shared" si="0"/>
        <v>1970666</v>
      </c>
      <c r="O22" s="104">
        <v>1587904</v>
      </c>
      <c r="P22" s="104">
        <v>0</v>
      </c>
      <c r="Q22" s="122">
        <f t="shared" si="10"/>
        <v>1587904</v>
      </c>
      <c r="R22" s="104">
        <v>946933</v>
      </c>
      <c r="S22" s="104">
        <v>0</v>
      </c>
      <c r="T22" s="122">
        <f t="shared" si="11"/>
        <v>946933</v>
      </c>
      <c r="U22" s="287">
        <v>1408557</v>
      </c>
      <c r="V22" s="287">
        <v>0</v>
      </c>
      <c r="W22" s="468">
        <f t="shared" si="12"/>
        <v>1408557</v>
      </c>
      <c r="X22" s="157">
        <v>1385442</v>
      </c>
      <c r="Y22" s="157">
        <v>75523</v>
      </c>
      <c r="Z22" s="285">
        <f t="shared" si="18"/>
        <v>1460965</v>
      </c>
      <c r="AA22" s="470">
        <v>1082726</v>
      </c>
      <c r="AB22" s="470">
        <v>0</v>
      </c>
      <c r="AC22" s="287">
        <f t="shared" si="19"/>
        <v>1082726</v>
      </c>
      <c r="AD22" s="726">
        <v>1796852</v>
      </c>
      <c r="AE22" s="470">
        <v>0</v>
      </c>
      <c r="AF22" s="723">
        <f t="shared" si="15"/>
        <v>1796852</v>
      </c>
      <c r="AG22" s="726">
        <v>4321994</v>
      </c>
      <c r="AH22" s="470">
        <v>11530</v>
      </c>
      <c r="AI22" s="723">
        <f t="shared" si="20"/>
        <v>4333524</v>
      </c>
      <c r="AJ22" s="726">
        <v>1261840</v>
      </c>
      <c r="AK22" s="470">
        <v>0</v>
      </c>
      <c r="AL22" s="723">
        <f t="shared" si="21"/>
        <v>3386582.4106392292</v>
      </c>
      <c r="AM22" s="726">
        <v>1282024</v>
      </c>
      <c r="AN22" s="470">
        <v>36906</v>
      </c>
      <c r="AO22" s="723">
        <f t="shared" si="2"/>
        <v>1318930</v>
      </c>
      <c r="AP22" s="726">
        <v>681275</v>
      </c>
      <c r="AQ22" s="470">
        <v>20788</v>
      </c>
      <c r="AR22" s="723">
        <f t="shared" si="3"/>
        <v>702063</v>
      </c>
      <c r="AS22" s="726">
        <v>1203200</v>
      </c>
      <c r="AT22" s="470">
        <v>0</v>
      </c>
      <c r="AU22" s="723">
        <f t="shared" si="4"/>
        <v>1203200</v>
      </c>
      <c r="AV22" s="1159">
        <v>879009</v>
      </c>
      <c r="AW22" s="1029">
        <v>0</v>
      </c>
      <c r="AX22" s="1155">
        <f t="shared" si="5"/>
        <v>879009</v>
      </c>
      <c r="AY22" s="1159">
        <v>915241</v>
      </c>
      <c r="AZ22" s="1029">
        <v>0</v>
      </c>
      <c r="BA22" s="1154">
        <f t="shared" si="6"/>
        <v>915241</v>
      </c>
      <c r="BB22" s="1159">
        <f>BB99</f>
        <v>937827</v>
      </c>
      <c r="BC22" s="1029">
        <f>BC99</f>
        <v>0</v>
      </c>
      <c r="BD22" s="1155">
        <f t="shared" si="22"/>
        <v>937827</v>
      </c>
      <c r="BE22" s="1877">
        <f>BE99</f>
        <v>1091814</v>
      </c>
      <c r="BF22" s="1878">
        <f>BF99</f>
        <v>0</v>
      </c>
      <c r="BG22" s="1882">
        <f t="shared" si="8"/>
        <v>1091814</v>
      </c>
      <c r="BH22" s="1877">
        <f>BH99</f>
        <v>1338695</v>
      </c>
      <c r="BI22" s="1878">
        <f>BI99</f>
        <v>8091</v>
      </c>
      <c r="BJ22" s="1882">
        <f t="shared" si="9"/>
        <v>1346786</v>
      </c>
      <c r="BL22" s="75">
        <f t="shared" si="17"/>
        <v>3386582.4106392292</v>
      </c>
      <c r="BM22" s="527">
        <v>1.0090265615878575</v>
      </c>
    </row>
    <row r="23" spans="1:65">
      <c r="A23" s="104">
        <v>209</v>
      </c>
      <c r="B23" s="104" t="s">
        <v>336</v>
      </c>
      <c r="C23" s="106">
        <v>8322273</v>
      </c>
      <c r="D23" s="106">
        <v>6096434</v>
      </c>
      <c r="E23" s="122">
        <v>14418707</v>
      </c>
      <c r="F23" s="106">
        <v>8177977</v>
      </c>
      <c r="G23" s="106">
        <v>414635</v>
      </c>
      <c r="H23" s="124">
        <v>8592612</v>
      </c>
      <c r="I23" s="106">
        <v>6352379</v>
      </c>
      <c r="J23" s="106">
        <v>95534</v>
      </c>
      <c r="K23" s="124">
        <v>6447913</v>
      </c>
      <c r="L23" s="104">
        <v>7989158</v>
      </c>
      <c r="M23" s="104">
        <v>5386</v>
      </c>
      <c r="N23" s="122">
        <f t="shared" si="0"/>
        <v>7994544</v>
      </c>
      <c r="O23" s="104">
        <v>7249407</v>
      </c>
      <c r="P23" s="104">
        <v>192886</v>
      </c>
      <c r="Q23" s="122">
        <f t="shared" si="10"/>
        <v>7442293</v>
      </c>
      <c r="R23" s="104">
        <v>6783676</v>
      </c>
      <c r="S23" s="104">
        <v>47345</v>
      </c>
      <c r="T23" s="122">
        <f t="shared" si="11"/>
        <v>6831021</v>
      </c>
      <c r="U23" s="287">
        <v>6476794</v>
      </c>
      <c r="V23" s="287">
        <v>31374</v>
      </c>
      <c r="W23" s="468">
        <f t="shared" si="12"/>
        <v>6508168</v>
      </c>
      <c r="X23" s="157">
        <v>10178456</v>
      </c>
      <c r="Y23" s="157">
        <v>29722</v>
      </c>
      <c r="Z23" s="285">
        <f t="shared" si="18"/>
        <v>10208178</v>
      </c>
      <c r="AA23" s="470">
        <v>9341071</v>
      </c>
      <c r="AB23" s="470">
        <v>21474</v>
      </c>
      <c r="AC23" s="287">
        <f t="shared" si="19"/>
        <v>9362545</v>
      </c>
      <c r="AD23" s="726">
        <v>6444308</v>
      </c>
      <c r="AE23" s="470">
        <v>57442</v>
      </c>
      <c r="AF23" s="723">
        <f t="shared" si="15"/>
        <v>6501750</v>
      </c>
      <c r="AG23" s="726">
        <v>5571165</v>
      </c>
      <c r="AH23" s="470">
        <v>10292</v>
      </c>
      <c r="AI23" s="723">
        <f t="shared" si="20"/>
        <v>5581457</v>
      </c>
      <c r="AJ23" s="726">
        <v>5630673</v>
      </c>
      <c r="AK23" s="470">
        <v>275</v>
      </c>
      <c r="AL23" s="723">
        <f t="shared" si="21"/>
        <v>6385055.5712882048</v>
      </c>
      <c r="AM23" s="726">
        <v>5667969</v>
      </c>
      <c r="AN23" s="470">
        <v>141205</v>
      </c>
      <c r="AO23" s="723">
        <f t="shared" si="2"/>
        <v>5809174</v>
      </c>
      <c r="AP23" s="726">
        <v>4569022</v>
      </c>
      <c r="AQ23" s="470">
        <v>698571</v>
      </c>
      <c r="AR23" s="723">
        <f t="shared" si="3"/>
        <v>5267593</v>
      </c>
      <c r="AS23" s="726">
        <v>5883948</v>
      </c>
      <c r="AT23" s="470">
        <v>609349</v>
      </c>
      <c r="AU23" s="723">
        <f t="shared" si="4"/>
        <v>6493297</v>
      </c>
      <c r="AV23" s="1159">
        <v>5621754</v>
      </c>
      <c r="AW23" s="1029">
        <v>20976</v>
      </c>
      <c r="AX23" s="1155">
        <f t="shared" si="5"/>
        <v>5642730</v>
      </c>
      <c r="AY23" s="1159">
        <v>5203172</v>
      </c>
      <c r="AZ23" s="1029">
        <v>5978</v>
      </c>
      <c r="BA23" s="1154">
        <f t="shared" si="6"/>
        <v>5209150</v>
      </c>
      <c r="BB23" s="1159">
        <f>BB107</f>
        <v>4532388</v>
      </c>
      <c r="BC23" s="1029">
        <f>BC107</f>
        <v>4488</v>
      </c>
      <c r="BD23" s="1155">
        <f t="shared" si="22"/>
        <v>4536876</v>
      </c>
      <c r="BE23" s="1877">
        <f>BE107</f>
        <v>4222557</v>
      </c>
      <c r="BF23" s="1878">
        <f>BF107</f>
        <v>101281</v>
      </c>
      <c r="BG23" s="1882">
        <f t="shared" si="8"/>
        <v>4323838</v>
      </c>
      <c r="BH23" s="1877">
        <f>BH107</f>
        <v>4136388</v>
      </c>
      <c r="BI23" s="1878">
        <f>BI107</f>
        <v>134650</v>
      </c>
      <c r="BJ23" s="1882">
        <f t="shared" si="9"/>
        <v>4271038</v>
      </c>
      <c r="BL23" s="75">
        <f t="shared" si="17"/>
        <v>6385055.5712882048</v>
      </c>
      <c r="BM23" s="527">
        <v>1.0125067957302922</v>
      </c>
    </row>
    <row r="24" spans="1:65">
      <c r="A24" s="104">
        <v>210</v>
      </c>
      <c r="B24" s="104" t="s">
        <v>194</v>
      </c>
      <c r="C24" s="106">
        <v>14014141</v>
      </c>
      <c r="D24" s="106">
        <v>43637</v>
      </c>
      <c r="E24" s="122">
        <v>14057778</v>
      </c>
      <c r="F24" s="106">
        <v>13814443</v>
      </c>
      <c r="G24" s="106">
        <v>3240</v>
      </c>
      <c r="H24" s="124">
        <v>13817683</v>
      </c>
      <c r="I24" s="106">
        <v>13629311</v>
      </c>
      <c r="J24" s="106">
        <v>0</v>
      </c>
      <c r="K24" s="124">
        <v>13629311</v>
      </c>
      <c r="L24" s="104">
        <v>10776966</v>
      </c>
      <c r="M24" s="104">
        <v>0</v>
      </c>
      <c r="N24" s="122">
        <f t="shared" si="0"/>
        <v>10776966</v>
      </c>
      <c r="O24" s="104">
        <v>8866020</v>
      </c>
      <c r="P24" s="104">
        <v>0</v>
      </c>
      <c r="Q24" s="122">
        <f t="shared" si="10"/>
        <v>8866020</v>
      </c>
      <c r="R24" s="104">
        <v>10042870</v>
      </c>
      <c r="S24" s="104">
        <v>1499</v>
      </c>
      <c r="T24" s="122">
        <f t="shared" si="11"/>
        <v>10044369</v>
      </c>
      <c r="U24" s="287">
        <v>9304844</v>
      </c>
      <c r="V24" s="287">
        <v>133932</v>
      </c>
      <c r="W24" s="468">
        <f t="shared" si="12"/>
        <v>9438776</v>
      </c>
      <c r="X24" s="157">
        <v>8134420</v>
      </c>
      <c r="Y24" s="157">
        <v>114240</v>
      </c>
      <c r="Z24" s="285">
        <f t="shared" si="18"/>
        <v>8248660</v>
      </c>
      <c r="AA24" s="470">
        <v>8917605</v>
      </c>
      <c r="AB24" s="470">
        <v>31621</v>
      </c>
      <c r="AC24" s="287">
        <f t="shared" si="19"/>
        <v>8949226</v>
      </c>
      <c r="AD24" s="726">
        <v>8238544</v>
      </c>
      <c r="AE24" s="470">
        <v>1803</v>
      </c>
      <c r="AF24" s="723">
        <f t="shared" si="15"/>
        <v>8240347</v>
      </c>
      <c r="AG24" s="726">
        <v>5670389</v>
      </c>
      <c r="AH24" s="470">
        <v>42817</v>
      </c>
      <c r="AI24" s="723">
        <f t="shared" si="20"/>
        <v>5713206</v>
      </c>
      <c r="AJ24" s="726">
        <v>7411343</v>
      </c>
      <c r="AK24" s="470">
        <v>2190</v>
      </c>
      <c r="AL24" s="723">
        <f t="shared" si="21"/>
        <v>6696752.9502035398</v>
      </c>
      <c r="AM24" s="726">
        <v>9315437</v>
      </c>
      <c r="AN24" s="470">
        <v>9819</v>
      </c>
      <c r="AO24" s="723">
        <f t="shared" si="2"/>
        <v>9325256</v>
      </c>
      <c r="AP24" s="726">
        <v>7402104</v>
      </c>
      <c r="AQ24" s="470">
        <v>17336</v>
      </c>
      <c r="AR24" s="723">
        <f t="shared" si="3"/>
        <v>7419440</v>
      </c>
      <c r="AS24" s="726">
        <v>10629517</v>
      </c>
      <c r="AT24" s="470">
        <v>0</v>
      </c>
      <c r="AU24" s="723">
        <f t="shared" si="4"/>
        <v>10629517</v>
      </c>
      <c r="AV24" s="1159">
        <v>13609850</v>
      </c>
      <c r="AW24" s="1029">
        <v>3338</v>
      </c>
      <c r="AX24" s="1155">
        <f t="shared" si="5"/>
        <v>13613188</v>
      </c>
      <c r="AY24" s="1159">
        <v>14650013</v>
      </c>
      <c r="AZ24" s="1029">
        <v>3920</v>
      </c>
      <c r="BA24" s="1154">
        <f t="shared" si="6"/>
        <v>14653933</v>
      </c>
      <c r="BB24" s="1159">
        <f>BB82</f>
        <v>6852376</v>
      </c>
      <c r="BC24" s="1029">
        <f>BC82</f>
        <v>9039</v>
      </c>
      <c r="BD24" s="1155">
        <f t="shared" si="22"/>
        <v>6861415</v>
      </c>
      <c r="BE24" s="1877">
        <f>BE82</f>
        <v>12201929</v>
      </c>
      <c r="BF24" s="1878">
        <f>BF82</f>
        <v>0</v>
      </c>
      <c r="BG24" s="1882">
        <f t="shared" si="8"/>
        <v>12201929</v>
      </c>
      <c r="BH24" s="1877">
        <f>BH82</f>
        <v>7642250</v>
      </c>
      <c r="BI24" s="1878">
        <f>BI82</f>
        <v>86743</v>
      </c>
      <c r="BJ24" s="1882">
        <f t="shared" si="9"/>
        <v>7728993</v>
      </c>
      <c r="BL24" s="75">
        <f t="shared" si="17"/>
        <v>6696752.9502035398</v>
      </c>
      <c r="BM24" s="527">
        <v>1.0125067957302922</v>
      </c>
    </row>
    <row r="25" spans="1:65">
      <c r="A25" s="104">
        <v>212</v>
      </c>
      <c r="B25" s="104" t="s">
        <v>207</v>
      </c>
      <c r="C25" s="106">
        <v>3694539</v>
      </c>
      <c r="D25" s="106">
        <v>199837</v>
      </c>
      <c r="E25" s="122">
        <v>3894376</v>
      </c>
      <c r="F25" s="106">
        <v>3197294</v>
      </c>
      <c r="G25" s="106">
        <v>0</v>
      </c>
      <c r="H25" s="124">
        <v>3197294</v>
      </c>
      <c r="I25" s="106">
        <v>3053579</v>
      </c>
      <c r="J25" s="106">
        <v>0</v>
      </c>
      <c r="K25" s="124">
        <v>3053579</v>
      </c>
      <c r="L25" s="104">
        <v>2793940</v>
      </c>
      <c r="M25" s="104">
        <v>0</v>
      </c>
      <c r="N25" s="122">
        <f t="shared" si="0"/>
        <v>2793940</v>
      </c>
      <c r="O25" s="104">
        <v>2119342</v>
      </c>
      <c r="P25" s="104">
        <v>18259</v>
      </c>
      <c r="Q25" s="122">
        <f t="shared" si="10"/>
        <v>2137601</v>
      </c>
      <c r="R25" s="104">
        <v>2794335</v>
      </c>
      <c r="S25" s="104">
        <v>0</v>
      </c>
      <c r="T25" s="122">
        <f t="shared" si="11"/>
        <v>2794335</v>
      </c>
      <c r="U25" s="287">
        <v>2497599</v>
      </c>
      <c r="V25" s="287">
        <v>0</v>
      </c>
      <c r="W25" s="468">
        <f t="shared" si="12"/>
        <v>2497599</v>
      </c>
      <c r="X25" s="157">
        <v>3274157</v>
      </c>
      <c r="Y25" s="157">
        <v>0</v>
      </c>
      <c r="Z25" s="285">
        <f t="shared" si="18"/>
        <v>3274157</v>
      </c>
      <c r="AA25" s="470">
        <v>4544638</v>
      </c>
      <c r="AB25" s="470">
        <v>0</v>
      </c>
      <c r="AC25" s="287">
        <f t="shared" si="19"/>
        <v>4544638</v>
      </c>
      <c r="AD25" s="726">
        <v>4378799</v>
      </c>
      <c r="AE25" s="470">
        <v>0</v>
      </c>
      <c r="AF25" s="723">
        <f t="shared" si="15"/>
        <v>4378799</v>
      </c>
      <c r="AG25" s="726">
        <v>5699965</v>
      </c>
      <c r="AH25" s="470">
        <v>41</v>
      </c>
      <c r="AI25" s="723">
        <f t="shared" si="20"/>
        <v>5700006</v>
      </c>
      <c r="AJ25" s="726">
        <v>3421283</v>
      </c>
      <c r="AK25" s="470">
        <v>11205</v>
      </c>
      <c r="AL25" s="723">
        <f t="shared" si="21"/>
        <v>5312962.3942717453</v>
      </c>
      <c r="AM25" s="726">
        <v>3088876</v>
      </c>
      <c r="AN25" s="470">
        <v>0</v>
      </c>
      <c r="AO25" s="723">
        <f t="shared" si="2"/>
        <v>3088876</v>
      </c>
      <c r="AP25" s="726">
        <v>2897921</v>
      </c>
      <c r="AQ25" s="470">
        <v>0</v>
      </c>
      <c r="AR25" s="723">
        <f t="shared" si="3"/>
        <v>2897921</v>
      </c>
      <c r="AS25" s="726">
        <v>2853973</v>
      </c>
      <c r="AT25" s="470">
        <v>0</v>
      </c>
      <c r="AU25" s="723">
        <f t="shared" si="4"/>
        <v>2853973</v>
      </c>
      <c r="AV25" s="1159">
        <v>1939488</v>
      </c>
      <c r="AW25" s="1029">
        <v>0</v>
      </c>
      <c r="AX25" s="1155">
        <f t="shared" si="5"/>
        <v>1939488</v>
      </c>
      <c r="AY25" s="1159">
        <v>2041070</v>
      </c>
      <c r="AZ25" s="1029">
        <v>0</v>
      </c>
      <c r="BA25" s="1154">
        <f t="shared" si="6"/>
        <v>2041070</v>
      </c>
      <c r="BB25" s="1159">
        <f>BB100</f>
        <v>1781677</v>
      </c>
      <c r="BC25" s="1029">
        <f>BC100</f>
        <v>0</v>
      </c>
      <c r="BD25" s="1155">
        <f t="shared" si="22"/>
        <v>1781677</v>
      </c>
      <c r="BE25" s="1877">
        <f>BE100</f>
        <v>2374257</v>
      </c>
      <c r="BF25" s="1878">
        <f>BF100</f>
        <v>11242</v>
      </c>
      <c r="BG25" s="1882">
        <f t="shared" si="8"/>
        <v>2385499</v>
      </c>
      <c r="BH25" s="1877">
        <f>BH100</f>
        <v>5196355</v>
      </c>
      <c r="BI25" s="1878">
        <f>BI100</f>
        <v>0</v>
      </c>
      <c r="BJ25" s="1882">
        <f t="shared" si="9"/>
        <v>5196355</v>
      </c>
      <c r="BL25" s="75">
        <f t="shared" si="17"/>
        <v>5312962.3942717453</v>
      </c>
      <c r="BM25" s="527">
        <v>1.0090265615878575</v>
      </c>
    </row>
    <row r="26" spans="1:65">
      <c r="A26" s="104">
        <v>213</v>
      </c>
      <c r="B26" s="104" t="s">
        <v>199</v>
      </c>
      <c r="C26" s="106">
        <v>3256053</v>
      </c>
      <c r="D26" s="106">
        <v>22430</v>
      </c>
      <c r="E26" s="122">
        <v>3278483</v>
      </c>
      <c r="F26" s="106">
        <v>2455758</v>
      </c>
      <c r="G26" s="106">
        <v>8103</v>
      </c>
      <c r="H26" s="124">
        <v>2463861</v>
      </c>
      <c r="I26" s="106">
        <v>2331211</v>
      </c>
      <c r="J26" s="106">
        <v>2323</v>
      </c>
      <c r="K26" s="124">
        <v>2333534</v>
      </c>
      <c r="L26" s="104">
        <v>2434956</v>
      </c>
      <c r="M26" s="104">
        <v>0</v>
      </c>
      <c r="N26" s="122">
        <f t="shared" si="0"/>
        <v>2434956</v>
      </c>
      <c r="O26" s="104">
        <v>1408759</v>
      </c>
      <c r="P26" s="104">
        <v>1779</v>
      </c>
      <c r="Q26" s="122">
        <f t="shared" si="10"/>
        <v>1410538</v>
      </c>
      <c r="R26" s="104">
        <v>1838350</v>
      </c>
      <c r="S26" s="104">
        <v>27475</v>
      </c>
      <c r="T26" s="122">
        <f t="shared" si="11"/>
        <v>1865825</v>
      </c>
      <c r="U26" s="287">
        <v>1433794</v>
      </c>
      <c r="V26" s="287">
        <v>53292</v>
      </c>
      <c r="W26" s="468">
        <f t="shared" si="12"/>
        <v>1487086</v>
      </c>
      <c r="X26" s="157">
        <v>2528347</v>
      </c>
      <c r="Y26" s="157">
        <v>9727</v>
      </c>
      <c r="Z26" s="285">
        <f t="shared" si="18"/>
        <v>2538074</v>
      </c>
      <c r="AA26" s="470">
        <v>3997949</v>
      </c>
      <c r="AB26" s="470">
        <v>1721</v>
      </c>
      <c r="AC26" s="287">
        <f t="shared" si="19"/>
        <v>3999670</v>
      </c>
      <c r="AD26" s="726">
        <v>2438661</v>
      </c>
      <c r="AE26" s="470">
        <v>7788</v>
      </c>
      <c r="AF26" s="723">
        <f t="shared" si="15"/>
        <v>2446449</v>
      </c>
      <c r="AG26" s="726">
        <v>1786874</v>
      </c>
      <c r="AH26" s="470">
        <v>1728</v>
      </c>
      <c r="AI26" s="723">
        <f t="shared" si="20"/>
        <v>1788602</v>
      </c>
      <c r="AJ26" s="726">
        <v>2099381</v>
      </c>
      <c r="AK26" s="470">
        <v>0</v>
      </c>
      <c r="AL26" s="723">
        <f t="shared" si="21"/>
        <v>2273779.5360047109</v>
      </c>
      <c r="AM26" s="726">
        <v>1188584</v>
      </c>
      <c r="AN26" s="470">
        <v>0</v>
      </c>
      <c r="AO26" s="723">
        <f t="shared" si="2"/>
        <v>1188584</v>
      </c>
      <c r="AP26" s="726">
        <v>1524881</v>
      </c>
      <c r="AQ26" s="470">
        <v>90251</v>
      </c>
      <c r="AR26" s="723">
        <f t="shared" si="3"/>
        <v>1615132</v>
      </c>
      <c r="AS26" s="726">
        <v>2594484</v>
      </c>
      <c r="AT26" s="470">
        <v>41504</v>
      </c>
      <c r="AU26" s="723">
        <f t="shared" si="4"/>
        <v>2635988</v>
      </c>
      <c r="AV26" s="1159">
        <v>7772198</v>
      </c>
      <c r="AW26" s="1029">
        <v>19367</v>
      </c>
      <c r="AX26" s="1155">
        <f t="shared" si="5"/>
        <v>7791565</v>
      </c>
      <c r="AY26" s="1159">
        <v>1429041</v>
      </c>
      <c r="AZ26" s="1029">
        <v>0</v>
      </c>
      <c r="BA26" s="1154">
        <f t="shared" si="6"/>
        <v>1429041</v>
      </c>
      <c r="BB26" s="1159">
        <f>BB87</f>
        <v>867147</v>
      </c>
      <c r="BC26" s="1029">
        <f>BC87</f>
        <v>0</v>
      </c>
      <c r="BD26" s="1155">
        <f t="shared" si="22"/>
        <v>867147</v>
      </c>
      <c r="BE26" s="1877">
        <f>BE87</f>
        <v>722552</v>
      </c>
      <c r="BF26" s="1878">
        <f>BF87</f>
        <v>0</v>
      </c>
      <c r="BG26" s="1882">
        <f t="shared" si="8"/>
        <v>722552</v>
      </c>
      <c r="BH26" s="1877">
        <f>BH87</f>
        <v>719989</v>
      </c>
      <c r="BI26" s="1878">
        <f>BI87</f>
        <v>6060</v>
      </c>
      <c r="BJ26" s="1882">
        <f t="shared" si="9"/>
        <v>726049</v>
      </c>
      <c r="BL26" s="75">
        <f t="shared" si="17"/>
        <v>2273779.5360047109</v>
      </c>
      <c r="BM26" s="527">
        <v>1.0099495240842227</v>
      </c>
    </row>
    <row r="27" spans="1:65">
      <c r="A27" s="104">
        <v>214</v>
      </c>
      <c r="B27" s="104" t="s">
        <v>188</v>
      </c>
      <c r="C27" s="106">
        <v>9172128</v>
      </c>
      <c r="D27" s="106">
        <v>189447</v>
      </c>
      <c r="E27" s="122">
        <v>9361575</v>
      </c>
      <c r="F27" s="106">
        <v>8811587</v>
      </c>
      <c r="G27" s="106">
        <v>1470</v>
      </c>
      <c r="H27" s="124">
        <v>8813057</v>
      </c>
      <c r="I27" s="106">
        <v>9266270</v>
      </c>
      <c r="J27" s="106">
        <v>452</v>
      </c>
      <c r="K27" s="124">
        <v>9266722</v>
      </c>
      <c r="L27" s="104">
        <v>9295733</v>
      </c>
      <c r="M27" s="104">
        <v>0</v>
      </c>
      <c r="N27" s="122">
        <f t="shared" si="0"/>
        <v>9295733</v>
      </c>
      <c r="O27" s="104">
        <v>7698592</v>
      </c>
      <c r="P27" s="104">
        <v>0</v>
      </c>
      <c r="Q27" s="122">
        <f t="shared" si="10"/>
        <v>7698592</v>
      </c>
      <c r="R27" s="104">
        <v>9412376</v>
      </c>
      <c r="S27" s="104">
        <v>0</v>
      </c>
      <c r="T27" s="122">
        <f t="shared" si="11"/>
        <v>9412376</v>
      </c>
      <c r="U27" s="287">
        <v>5056700</v>
      </c>
      <c r="V27" s="287">
        <v>0</v>
      </c>
      <c r="W27" s="468">
        <f t="shared" si="12"/>
        <v>5056700</v>
      </c>
      <c r="X27" s="157">
        <v>7254794</v>
      </c>
      <c r="Y27" s="157">
        <v>0</v>
      </c>
      <c r="Z27" s="285">
        <f t="shared" si="18"/>
        <v>7254794</v>
      </c>
      <c r="AA27" s="470">
        <v>5653656</v>
      </c>
      <c r="AB27" s="470">
        <v>167910</v>
      </c>
      <c r="AC27" s="287">
        <f t="shared" si="19"/>
        <v>5821566</v>
      </c>
      <c r="AD27" s="726">
        <v>6277025</v>
      </c>
      <c r="AE27" s="470">
        <v>164373</v>
      </c>
      <c r="AF27" s="723">
        <f t="shared" si="15"/>
        <v>6441398</v>
      </c>
      <c r="AG27" s="726">
        <v>6053042</v>
      </c>
      <c r="AH27" s="470">
        <v>132229</v>
      </c>
      <c r="AI27" s="723">
        <f t="shared" si="20"/>
        <v>6185271</v>
      </c>
      <c r="AJ27" s="726">
        <v>5805574</v>
      </c>
      <c r="AK27" s="470">
        <v>18880</v>
      </c>
      <c r="AL27" s="723">
        <f t="shared" si="21"/>
        <v>6114928.6814162824</v>
      </c>
      <c r="AM27" s="726">
        <v>7056626</v>
      </c>
      <c r="AN27" s="470">
        <v>1139</v>
      </c>
      <c r="AO27" s="723">
        <f t="shared" si="2"/>
        <v>7057765</v>
      </c>
      <c r="AP27" s="726">
        <v>6822679</v>
      </c>
      <c r="AQ27" s="470">
        <v>44224</v>
      </c>
      <c r="AR27" s="723">
        <f t="shared" si="3"/>
        <v>6866903</v>
      </c>
      <c r="AS27" s="726">
        <v>7919215</v>
      </c>
      <c r="AT27" s="470">
        <v>82583</v>
      </c>
      <c r="AU27" s="723">
        <f t="shared" si="4"/>
        <v>8001798</v>
      </c>
      <c r="AV27" s="1159">
        <v>5369586</v>
      </c>
      <c r="AW27" s="1029">
        <v>0</v>
      </c>
      <c r="AX27" s="1155">
        <f t="shared" si="5"/>
        <v>5369586</v>
      </c>
      <c r="AY27" s="1159">
        <v>8010301</v>
      </c>
      <c r="AZ27" s="1029">
        <v>0</v>
      </c>
      <c r="BA27" s="1154">
        <f t="shared" si="6"/>
        <v>8010301</v>
      </c>
      <c r="BB27" s="1159">
        <f>BB76</f>
        <v>7638053</v>
      </c>
      <c r="BC27" s="1029">
        <f>BC76</f>
        <v>0</v>
      </c>
      <c r="BD27" s="1155">
        <f t="shared" si="22"/>
        <v>7638053</v>
      </c>
      <c r="BE27" s="1877">
        <f>BE76</f>
        <v>10014783</v>
      </c>
      <c r="BF27" s="1878">
        <f>BF76</f>
        <v>0</v>
      </c>
      <c r="BG27" s="1882">
        <f t="shared" si="8"/>
        <v>10014783</v>
      </c>
      <c r="BH27" s="1877">
        <f>BH76</f>
        <v>8051742</v>
      </c>
      <c r="BI27" s="1878">
        <f>BI76</f>
        <v>2500</v>
      </c>
      <c r="BJ27" s="1882">
        <f t="shared" si="9"/>
        <v>8054242</v>
      </c>
      <c r="BL27" s="75">
        <f t="shared" si="17"/>
        <v>6114928.6814162824</v>
      </c>
      <c r="BM27" s="527">
        <v>1.0080856650418766</v>
      </c>
    </row>
    <row r="28" spans="1:65">
      <c r="A28" s="104">
        <v>215</v>
      </c>
      <c r="B28" s="104" t="s">
        <v>329</v>
      </c>
      <c r="C28" s="106">
        <v>2578717</v>
      </c>
      <c r="D28" s="106">
        <v>594379</v>
      </c>
      <c r="E28" s="122">
        <v>3173096</v>
      </c>
      <c r="F28" s="106">
        <v>2322092</v>
      </c>
      <c r="G28" s="106">
        <v>58368</v>
      </c>
      <c r="H28" s="124">
        <v>2380460</v>
      </c>
      <c r="I28" s="106">
        <v>2651029</v>
      </c>
      <c r="J28" s="106">
        <v>12882</v>
      </c>
      <c r="K28" s="124">
        <v>2663911</v>
      </c>
      <c r="L28" s="104">
        <v>2479355</v>
      </c>
      <c r="M28" s="104">
        <v>7179</v>
      </c>
      <c r="N28" s="122">
        <f t="shared" si="0"/>
        <v>2486534</v>
      </c>
      <c r="O28" s="104">
        <v>3503706</v>
      </c>
      <c r="P28" s="104">
        <v>80117</v>
      </c>
      <c r="Q28" s="122">
        <f t="shared" si="10"/>
        <v>3583823</v>
      </c>
      <c r="R28" s="104">
        <v>3532835</v>
      </c>
      <c r="S28" s="104">
        <v>40473</v>
      </c>
      <c r="T28" s="122">
        <f t="shared" si="11"/>
        <v>3573308</v>
      </c>
      <c r="U28" s="287">
        <v>3230007</v>
      </c>
      <c r="V28" s="287">
        <v>87180</v>
      </c>
      <c r="W28" s="468">
        <f t="shared" si="12"/>
        <v>3317187</v>
      </c>
      <c r="X28" s="157">
        <v>4262375</v>
      </c>
      <c r="Y28" s="157">
        <v>168937</v>
      </c>
      <c r="Z28" s="285">
        <f t="shared" si="18"/>
        <v>4431312</v>
      </c>
      <c r="AA28" s="470">
        <v>6672627</v>
      </c>
      <c r="AB28" s="470">
        <v>100040</v>
      </c>
      <c r="AC28" s="287">
        <f t="shared" si="19"/>
        <v>6772667</v>
      </c>
      <c r="AD28" s="726">
        <v>3796316</v>
      </c>
      <c r="AE28" s="470">
        <v>213653</v>
      </c>
      <c r="AF28" s="723">
        <f t="shared" si="15"/>
        <v>4009969</v>
      </c>
      <c r="AG28" s="726">
        <v>3034621</v>
      </c>
      <c r="AH28" s="470">
        <v>488981</v>
      </c>
      <c r="AI28" s="723">
        <f t="shared" si="20"/>
        <v>3523602</v>
      </c>
      <c r="AJ28" s="726">
        <v>3228896</v>
      </c>
      <c r="AK28" s="470">
        <v>138654</v>
      </c>
      <c r="AL28" s="723">
        <f t="shared" si="21"/>
        <v>4029924.0814811075</v>
      </c>
      <c r="AM28" s="726">
        <v>4121303</v>
      </c>
      <c r="AN28" s="470">
        <v>75839</v>
      </c>
      <c r="AO28" s="723">
        <f t="shared" si="2"/>
        <v>4197142</v>
      </c>
      <c r="AP28" s="726">
        <v>1938069</v>
      </c>
      <c r="AQ28" s="470">
        <v>320445</v>
      </c>
      <c r="AR28" s="723">
        <f t="shared" si="3"/>
        <v>2258514</v>
      </c>
      <c r="AS28" s="726">
        <v>1749965</v>
      </c>
      <c r="AT28" s="470">
        <v>918637</v>
      </c>
      <c r="AU28" s="723">
        <f t="shared" si="4"/>
        <v>2668602</v>
      </c>
      <c r="AV28" s="1159">
        <v>2640161</v>
      </c>
      <c r="AW28" s="1029">
        <v>84768</v>
      </c>
      <c r="AX28" s="1155">
        <f t="shared" si="5"/>
        <v>2724929</v>
      </c>
      <c r="AY28" s="1159">
        <v>2527819</v>
      </c>
      <c r="AZ28" s="1029">
        <v>63963</v>
      </c>
      <c r="BA28" s="1154">
        <f t="shared" si="6"/>
        <v>2591782</v>
      </c>
      <c r="BB28" s="1159">
        <f>BB88</f>
        <v>2133736</v>
      </c>
      <c r="BC28" s="1029">
        <f>BC88</f>
        <v>136970</v>
      </c>
      <c r="BD28" s="1155">
        <f t="shared" si="22"/>
        <v>2270706</v>
      </c>
      <c r="BE28" s="1877">
        <f>BE88</f>
        <v>2129708</v>
      </c>
      <c r="BF28" s="1878">
        <f>BF88</f>
        <v>121736</v>
      </c>
      <c r="BG28" s="1882">
        <f t="shared" si="8"/>
        <v>2251444</v>
      </c>
      <c r="BH28" s="1877">
        <f>BH88</f>
        <v>2935967</v>
      </c>
      <c r="BI28" s="1878">
        <f>BI88</f>
        <v>142905</v>
      </c>
      <c r="BJ28" s="1882">
        <f t="shared" si="9"/>
        <v>3078872</v>
      </c>
      <c r="BL28" s="75">
        <f t="shared" si="17"/>
        <v>4029924.0814811075</v>
      </c>
      <c r="BM28" s="527">
        <v>1.0099495240842227</v>
      </c>
    </row>
    <row r="29" spans="1:65">
      <c r="A29" s="104">
        <v>216</v>
      </c>
      <c r="B29" s="104" t="s">
        <v>195</v>
      </c>
      <c r="C29" s="106">
        <v>4570754</v>
      </c>
      <c r="D29" s="106">
        <v>0</v>
      </c>
      <c r="E29" s="122">
        <v>4570754</v>
      </c>
      <c r="F29" s="106">
        <v>4481744</v>
      </c>
      <c r="G29" s="106">
        <v>1976</v>
      </c>
      <c r="H29" s="124">
        <v>4483720</v>
      </c>
      <c r="I29" s="106">
        <v>5150551</v>
      </c>
      <c r="J29" s="106">
        <v>0</v>
      </c>
      <c r="K29" s="124">
        <v>5150551</v>
      </c>
      <c r="L29" s="104">
        <v>3984127</v>
      </c>
      <c r="M29" s="104">
        <v>0</v>
      </c>
      <c r="N29" s="122">
        <f t="shared" si="0"/>
        <v>3984127</v>
      </c>
      <c r="O29" s="104">
        <v>1646775</v>
      </c>
      <c r="P29" s="104">
        <v>0</v>
      </c>
      <c r="Q29" s="122">
        <f t="shared" si="10"/>
        <v>1646775</v>
      </c>
      <c r="R29" s="104">
        <v>4539091</v>
      </c>
      <c r="S29" s="104">
        <v>0</v>
      </c>
      <c r="T29" s="122">
        <f t="shared" si="11"/>
        <v>4539091</v>
      </c>
      <c r="U29" s="287">
        <v>1000638</v>
      </c>
      <c r="V29" s="287">
        <v>18398</v>
      </c>
      <c r="W29" s="468">
        <f t="shared" si="12"/>
        <v>1019036</v>
      </c>
      <c r="X29" s="157">
        <v>2155518</v>
      </c>
      <c r="Y29" s="157">
        <v>18133</v>
      </c>
      <c r="Z29" s="285">
        <f t="shared" si="18"/>
        <v>2173651</v>
      </c>
      <c r="AA29" s="470">
        <v>4734604</v>
      </c>
      <c r="AB29" s="470">
        <v>0</v>
      </c>
      <c r="AC29" s="287">
        <f t="shared" si="19"/>
        <v>4734604</v>
      </c>
      <c r="AD29" s="726">
        <v>2678649</v>
      </c>
      <c r="AE29" s="470">
        <v>0</v>
      </c>
      <c r="AF29" s="723">
        <f t="shared" si="15"/>
        <v>2678649</v>
      </c>
      <c r="AG29" s="726">
        <v>2604198</v>
      </c>
      <c r="AH29" s="470">
        <v>594</v>
      </c>
      <c r="AI29" s="723">
        <f t="shared" si="20"/>
        <v>2604792</v>
      </c>
      <c r="AJ29" s="726">
        <v>2158766</v>
      </c>
      <c r="AK29" s="470">
        <v>0</v>
      </c>
      <c r="AL29" s="723">
        <f t="shared" si="21"/>
        <v>2988259.9673986165</v>
      </c>
      <c r="AM29" s="726">
        <v>4446943</v>
      </c>
      <c r="AN29" s="470">
        <v>0</v>
      </c>
      <c r="AO29" s="723">
        <f t="shared" si="2"/>
        <v>4446943</v>
      </c>
      <c r="AP29" s="726">
        <v>4927760</v>
      </c>
      <c r="AQ29" s="470">
        <v>0</v>
      </c>
      <c r="AR29" s="723">
        <f t="shared" si="3"/>
        <v>4927760</v>
      </c>
      <c r="AS29" s="726">
        <v>8802609</v>
      </c>
      <c r="AT29" s="470">
        <v>1736</v>
      </c>
      <c r="AU29" s="723">
        <f t="shared" si="4"/>
        <v>8804345</v>
      </c>
      <c r="AV29" s="1159">
        <v>16169443</v>
      </c>
      <c r="AW29" s="1029">
        <v>747</v>
      </c>
      <c r="AX29" s="1155">
        <f t="shared" si="5"/>
        <v>16170190</v>
      </c>
      <c r="AY29" s="1159">
        <v>14666453</v>
      </c>
      <c r="AZ29" s="1029">
        <v>0</v>
      </c>
      <c r="BA29" s="1154">
        <f t="shared" si="6"/>
        <v>14666453</v>
      </c>
      <c r="BB29" s="1159">
        <f>BB83</f>
        <v>5078740</v>
      </c>
      <c r="BC29" s="1029">
        <f>BC83</f>
        <v>0</v>
      </c>
      <c r="BD29" s="1155">
        <f t="shared" si="22"/>
        <v>5078740</v>
      </c>
      <c r="BE29" s="1877">
        <f>BE83</f>
        <v>3766796</v>
      </c>
      <c r="BF29" s="1878">
        <f>BF83</f>
        <v>0</v>
      </c>
      <c r="BG29" s="1882">
        <f t="shared" si="8"/>
        <v>3766796</v>
      </c>
      <c r="BH29" s="1877">
        <f>BH83</f>
        <v>2705143</v>
      </c>
      <c r="BI29" s="1878">
        <f>BI83</f>
        <v>0</v>
      </c>
      <c r="BJ29" s="1882">
        <f t="shared" si="9"/>
        <v>2705143</v>
      </c>
      <c r="BL29" s="75">
        <f t="shared" si="17"/>
        <v>2988259.9673986165</v>
      </c>
      <c r="BM29" s="527">
        <v>1.0125067957302922</v>
      </c>
    </row>
    <row r="30" spans="1:65">
      <c r="A30" s="104">
        <v>217</v>
      </c>
      <c r="B30" s="104" t="s">
        <v>189</v>
      </c>
      <c r="C30" s="106">
        <v>12504944</v>
      </c>
      <c r="D30" s="106">
        <v>33679</v>
      </c>
      <c r="E30" s="122">
        <v>12538623</v>
      </c>
      <c r="F30" s="106">
        <v>5922417</v>
      </c>
      <c r="G30" s="106">
        <v>0</v>
      </c>
      <c r="H30" s="124">
        <v>5922417</v>
      </c>
      <c r="I30" s="106">
        <v>6193227</v>
      </c>
      <c r="J30" s="106">
        <v>4234</v>
      </c>
      <c r="K30" s="124">
        <v>6197461</v>
      </c>
      <c r="L30" s="104">
        <v>5440313</v>
      </c>
      <c r="M30" s="104">
        <v>0</v>
      </c>
      <c r="N30" s="122">
        <f t="shared" si="0"/>
        <v>5440313</v>
      </c>
      <c r="O30" s="104">
        <v>3348992</v>
      </c>
      <c r="P30" s="104">
        <v>0</v>
      </c>
      <c r="Q30" s="122">
        <f t="shared" si="10"/>
        <v>3348992</v>
      </c>
      <c r="R30" s="104">
        <v>3330785</v>
      </c>
      <c r="S30" s="104">
        <v>9722</v>
      </c>
      <c r="T30" s="122">
        <f t="shared" si="11"/>
        <v>3340507</v>
      </c>
      <c r="U30" s="287">
        <v>2856620</v>
      </c>
      <c r="V30" s="287">
        <v>3794</v>
      </c>
      <c r="W30" s="468">
        <f t="shared" si="12"/>
        <v>2860414</v>
      </c>
      <c r="X30" s="157">
        <v>4378961</v>
      </c>
      <c r="Y30" s="157">
        <v>7832</v>
      </c>
      <c r="Z30" s="285">
        <f t="shared" si="18"/>
        <v>4386793</v>
      </c>
      <c r="AA30" s="470">
        <v>5519934</v>
      </c>
      <c r="AB30" s="470">
        <v>24462</v>
      </c>
      <c r="AC30" s="287">
        <f t="shared" si="19"/>
        <v>5544396</v>
      </c>
      <c r="AD30" s="726">
        <v>5094730</v>
      </c>
      <c r="AE30" s="470">
        <v>102293</v>
      </c>
      <c r="AF30" s="723">
        <f t="shared" si="15"/>
        <v>5197023</v>
      </c>
      <c r="AG30" s="726">
        <v>6031341</v>
      </c>
      <c r="AH30" s="470">
        <v>27989</v>
      </c>
      <c r="AI30" s="723">
        <f t="shared" si="20"/>
        <v>6059330</v>
      </c>
      <c r="AJ30" s="726">
        <v>5697407</v>
      </c>
      <c r="AK30" s="470">
        <v>20388</v>
      </c>
      <c r="AL30" s="723">
        <f t="shared" si="21"/>
        <v>5828496.0230457634</v>
      </c>
      <c r="AM30" s="726">
        <v>9946116</v>
      </c>
      <c r="AN30" s="470">
        <v>0</v>
      </c>
      <c r="AO30" s="723">
        <f t="shared" si="2"/>
        <v>9946116</v>
      </c>
      <c r="AP30" s="726">
        <v>6330841</v>
      </c>
      <c r="AQ30" s="470">
        <v>97531</v>
      </c>
      <c r="AR30" s="723">
        <f t="shared" si="3"/>
        <v>6428372</v>
      </c>
      <c r="AS30" s="726">
        <v>6185538</v>
      </c>
      <c r="AT30" s="470">
        <v>116156</v>
      </c>
      <c r="AU30" s="723">
        <f t="shared" si="4"/>
        <v>6301694</v>
      </c>
      <c r="AV30" s="1159">
        <v>5227766</v>
      </c>
      <c r="AW30" s="1029">
        <v>19820</v>
      </c>
      <c r="AX30" s="1155">
        <f t="shared" si="5"/>
        <v>5247586</v>
      </c>
      <c r="AY30" s="1159">
        <v>5797230</v>
      </c>
      <c r="AZ30" s="1029">
        <v>7602</v>
      </c>
      <c r="BA30" s="1154">
        <f t="shared" si="6"/>
        <v>5804832</v>
      </c>
      <c r="BB30" s="1159">
        <f>BB77</f>
        <v>6413500</v>
      </c>
      <c r="BC30" s="1029">
        <f>BC77</f>
        <v>3381</v>
      </c>
      <c r="BD30" s="1155">
        <f t="shared" si="22"/>
        <v>6416881</v>
      </c>
      <c r="BE30" s="1877">
        <f>BE77</f>
        <v>3603338</v>
      </c>
      <c r="BF30" s="1878">
        <f>BF77</f>
        <v>0</v>
      </c>
      <c r="BG30" s="1882">
        <f t="shared" si="8"/>
        <v>3603338</v>
      </c>
      <c r="BH30" s="1877">
        <f>BH77</f>
        <v>2918679</v>
      </c>
      <c r="BI30" s="1878">
        <f>BI77</f>
        <v>0</v>
      </c>
      <c r="BJ30" s="1882">
        <f t="shared" si="9"/>
        <v>2918679</v>
      </c>
      <c r="BL30" s="75">
        <f t="shared" si="17"/>
        <v>5828496.0230457634</v>
      </c>
      <c r="BM30" s="527">
        <v>1.0080856650418766</v>
      </c>
    </row>
    <row r="31" spans="1:65">
      <c r="A31" s="104">
        <v>218</v>
      </c>
      <c r="B31" s="104" t="s">
        <v>200</v>
      </c>
      <c r="C31" s="106">
        <v>3203074</v>
      </c>
      <c r="D31" s="106">
        <v>0</v>
      </c>
      <c r="E31" s="122">
        <v>3203074</v>
      </c>
      <c r="F31" s="106">
        <v>3661382</v>
      </c>
      <c r="G31" s="106">
        <v>7455</v>
      </c>
      <c r="H31" s="124">
        <v>3668837</v>
      </c>
      <c r="I31" s="106">
        <v>3046994</v>
      </c>
      <c r="J31" s="106">
        <v>0</v>
      </c>
      <c r="K31" s="124">
        <v>3046994</v>
      </c>
      <c r="L31" s="104">
        <v>2447449</v>
      </c>
      <c r="M31" s="104">
        <v>0</v>
      </c>
      <c r="N31" s="122">
        <f t="shared" si="0"/>
        <v>2447449</v>
      </c>
      <c r="O31" s="104">
        <v>2095479</v>
      </c>
      <c r="P31" s="104">
        <v>0</v>
      </c>
      <c r="Q31" s="122">
        <f t="shared" si="10"/>
        <v>2095479</v>
      </c>
      <c r="R31" s="104">
        <v>2262175</v>
      </c>
      <c r="S31" s="104">
        <v>0</v>
      </c>
      <c r="T31" s="122">
        <f t="shared" si="11"/>
        <v>2262175</v>
      </c>
      <c r="U31" s="287">
        <v>2732944</v>
      </c>
      <c r="V31" s="287">
        <v>3230</v>
      </c>
      <c r="W31" s="468">
        <f t="shared" si="12"/>
        <v>2736174</v>
      </c>
      <c r="X31" s="157">
        <v>2458243</v>
      </c>
      <c r="Y31" s="157">
        <v>48919</v>
      </c>
      <c r="Z31" s="285">
        <f t="shared" si="18"/>
        <v>2507162</v>
      </c>
      <c r="AA31" s="470">
        <v>4416382</v>
      </c>
      <c r="AB31" s="470">
        <v>5744</v>
      </c>
      <c r="AC31" s="287">
        <f t="shared" si="19"/>
        <v>4422126</v>
      </c>
      <c r="AD31" s="726">
        <v>2249187</v>
      </c>
      <c r="AE31" s="470">
        <v>14280</v>
      </c>
      <c r="AF31" s="723">
        <f t="shared" si="15"/>
        <v>2263467</v>
      </c>
      <c r="AG31" s="726">
        <v>2156467</v>
      </c>
      <c r="AH31" s="470">
        <v>23235</v>
      </c>
      <c r="AI31" s="723">
        <f t="shared" si="20"/>
        <v>2179702</v>
      </c>
      <c r="AJ31" s="726">
        <v>2254050</v>
      </c>
      <c r="AK31" s="470">
        <v>9991</v>
      </c>
      <c r="AL31" s="723">
        <f t="shared" si="21"/>
        <v>2571033.8321060473</v>
      </c>
      <c r="AM31" s="726">
        <v>2828405</v>
      </c>
      <c r="AN31" s="470">
        <v>2168</v>
      </c>
      <c r="AO31" s="723">
        <f t="shared" si="2"/>
        <v>2830573</v>
      </c>
      <c r="AP31" s="726">
        <v>3217721</v>
      </c>
      <c r="AQ31" s="470">
        <v>5671</v>
      </c>
      <c r="AR31" s="723">
        <f t="shared" si="3"/>
        <v>3223392</v>
      </c>
      <c r="AS31" s="726">
        <v>7232036</v>
      </c>
      <c r="AT31" s="470">
        <v>17158</v>
      </c>
      <c r="AU31" s="723">
        <f t="shared" si="4"/>
        <v>7249194</v>
      </c>
      <c r="AV31" s="1159">
        <v>2506052</v>
      </c>
      <c r="AW31" s="1029">
        <v>9983</v>
      </c>
      <c r="AX31" s="1155">
        <f t="shared" si="5"/>
        <v>2516035</v>
      </c>
      <c r="AY31" s="1159">
        <v>3569006</v>
      </c>
      <c r="AZ31" s="1029">
        <v>5740</v>
      </c>
      <c r="BA31" s="1154">
        <f t="shared" si="6"/>
        <v>3574746</v>
      </c>
      <c r="BB31" s="1159">
        <f>BB89</f>
        <v>3067535</v>
      </c>
      <c r="BC31" s="1029">
        <f>BC89</f>
        <v>0</v>
      </c>
      <c r="BD31" s="1155">
        <f t="shared" si="22"/>
        <v>3067535</v>
      </c>
      <c r="BE31" s="1877">
        <f>BE89</f>
        <v>2133838</v>
      </c>
      <c r="BF31" s="1878">
        <f>BF89</f>
        <v>0</v>
      </c>
      <c r="BG31" s="1882">
        <f t="shared" si="8"/>
        <v>2133838</v>
      </c>
      <c r="BH31" s="1877">
        <f>BH89</f>
        <v>2869499</v>
      </c>
      <c r="BI31" s="1878">
        <f>BI89</f>
        <v>10405</v>
      </c>
      <c r="BJ31" s="1882">
        <f t="shared" si="9"/>
        <v>2879904</v>
      </c>
      <c r="BL31" s="75">
        <f t="shared" si="17"/>
        <v>2571033.8321060473</v>
      </c>
      <c r="BM31" s="527">
        <v>1.0099495240842227</v>
      </c>
    </row>
    <row r="32" spans="1:65">
      <c r="A32" s="104">
        <v>219</v>
      </c>
      <c r="B32" s="104" t="s">
        <v>190</v>
      </c>
      <c r="C32" s="106">
        <v>6543128</v>
      </c>
      <c r="D32" s="106">
        <v>227925</v>
      </c>
      <c r="E32" s="122">
        <v>6771053</v>
      </c>
      <c r="F32" s="106">
        <v>5924567</v>
      </c>
      <c r="G32" s="106">
        <v>9689</v>
      </c>
      <c r="H32" s="124">
        <v>5934256</v>
      </c>
      <c r="I32" s="106">
        <v>3384512</v>
      </c>
      <c r="J32" s="106">
        <v>0</v>
      </c>
      <c r="K32" s="124">
        <v>3384512</v>
      </c>
      <c r="L32" s="104">
        <v>3417714</v>
      </c>
      <c r="M32" s="104">
        <v>0</v>
      </c>
      <c r="N32" s="122">
        <f t="shared" si="0"/>
        <v>3417714</v>
      </c>
      <c r="O32" s="104">
        <v>6703398</v>
      </c>
      <c r="P32" s="104">
        <v>5687</v>
      </c>
      <c r="Q32" s="122">
        <f t="shared" si="10"/>
        <v>6709085</v>
      </c>
      <c r="R32" s="104">
        <v>4429821</v>
      </c>
      <c r="S32" s="104">
        <v>10218</v>
      </c>
      <c r="T32" s="122">
        <f t="shared" si="11"/>
        <v>4440039</v>
      </c>
      <c r="U32" s="286">
        <v>2283240</v>
      </c>
      <c r="V32" s="287">
        <v>9615</v>
      </c>
      <c r="W32" s="468">
        <f t="shared" si="12"/>
        <v>2292855</v>
      </c>
      <c r="X32" s="157">
        <v>4191624</v>
      </c>
      <c r="Y32" s="157">
        <v>3438</v>
      </c>
      <c r="Z32" s="285">
        <f t="shared" si="18"/>
        <v>4195062</v>
      </c>
      <c r="AA32" s="470">
        <v>3613551</v>
      </c>
      <c r="AB32" s="470">
        <v>15371</v>
      </c>
      <c r="AC32" s="287">
        <f t="shared" si="19"/>
        <v>3628922</v>
      </c>
      <c r="AD32" s="726">
        <v>7117728</v>
      </c>
      <c r="AE32" s="470">
        <v>85406</v>
      </c>
      <c r="AF32" s="723">
        <f t="shared" si="15"/>
        <v>7203134</v>
      </c>
      <c r="AG32" s="726">
        <v>3748684</v>
      </c>
      <c r="AH32" s="470">
        <v>223339</v>
      </c>
      <c r="AI32" s="723">
        <f t="shared" si="20"/>
        <v>3972023</v>
      </c>
      <c r="AJ32" s="726">
        <v>5028859</v>
      </c>
      <c r="AK32" s="470">
        <v>22393</v>
      </c>
      <c r="AL32" s="723">
        <f t="shared" si="21"/>
        <v>4415396.8904249817</v>
      </c>
      <c r="AM32" s="726">
        <v>2860934</v>
      </c>
      <c r="AN32" s="470">
        <v>49231</v>
      </c>
      <c r="AO32" s="723">
        <f t="shared" si="2"/>
        <v>2910165</v>
      </c>
      <c r="AP32" s="726">
        <v>2655503</v>
      </c>
      <c r="AQ32" s="470">
        <v>160886</v>
      </c>
      <c r="AR32" s="723">
        <f t="shared" si="3"/>
        <v>2816389</v>
      </c>
      <c r="AS32" s="726">
        <v>3130400</v>
      </c>
      <c r="AT32" s="470">
        <v>263480</v>
      </c>
      <c r="AU32" s="723">
        <f t="shared" si="4"/>
        <v>3393880</v>
      </c>
      <c r="AV32" s="1159">
        <v>3076412</v>
      </c>
      <c r="AW32" s="1029">
        <v>2029</v>
      </c>
      <c r="AX32" s="1155">
        <f t="shared" si="5"/>
        <v>3078441</v>
      </c>
      <c r="AY32" s="1159">
        <v>3601850</v>
      </c>
      <c r="AZ32" s="1029">
        <v>5068</v>
      </c>
      <c r="BA32" s="1154">
        <f t="shared" si="6"/>
        <v>3606918</v>
      </c>
      <c r="BB32" s="1159">
        <f>BB78</f>
        <v>3218234</v>
      </c>
      <c r="BC32" s="1029">
        <f>BC78</f>
        <v>0</v>
      </c>
      <c r="BD32" s="1155">
        <f t="shared" si="22"/>
        <v>3218234</v>
      </c>
      <c r="BE32" s="1877">
        <f>BE78</f>
        <v>3488877</v>
      </c>
      <c r="BF32" s="1878">
        <f>BF78</f>
        <v>0</v>
      </c>
      <c r="BG32" s="1882">
        <f t="shared" si="8"/>
        <v>3488877</v>
      </c>
      <c r="BH32" s="1877">
        <f>BH78</f>
        <v>6126802</v>
      </c>
      <c r="BI32" s="1878">
        <f>BI78</f>
        <v>10737</v>
      </c>
      <c r="BJ32" s="1882">
        <f t="shared" si="9"/>
        <v>6137539</v>
      </c>
      <c r="BL32" s="75">
        <f t="shared" si="17"/>
        <v>4415396.8904249817</v>
      </c>
      <c r="BM32" s="527">
        <v>1.0080856650418766</v>
      </c>
    </row>
    <row r="33" spans="1:65">
      <c r="A33" s="104">
        <v>220</v>
      </c>
      <c r="B33" s="104" t="s">
        <v>201</v>
      </c>
      <c r="C33" s="106">
        <v>2939688</v>
      </c>
      <c r="D33" s="106">
        <v>33019</v>
      </c>
      <c r="E33" s="122">
        <v>2972707</v>
      </c>
      <c r="F33" s="106">
        <v>2498573</v>
      </c>
      <c r="G33" s="106">
        <v>0</v>
      </c>
      <c r="H33" s="124">
        <v>2498573</v>
      </c>
      <c r="I33" s="106">
        <v>2698942</v>
      </c>
      <c r="J33" s="106">
        <v>1190</v>
      </c>
      <c r="K33" s="124">
        <v>2700132</v>
      </c>
      <c r="L33" s="104">
        <v>2524359</v>
      </c>
      <c r="M33" s="104">
        <v>0</v>
      </c>
      <c r="N33" s="122">
        <f t="shared" si="0"/>
        <v>2524359</v>
      </c>
      <c r="O33" s="104">
        <v>855975</v>
      </c>
      <c r="P33" s="104">
        <v>8225</v>
      </c>
      <c r="Q33" s="122">
        <f t="shared" si="10"/>
        <v>864200</v>
      </c>
      <c r="R33" s="104">
        <v>1251777</v>
      </c>
      <c r="S33" s="104">
        <v>7444</v>
      </c>
      <c r="T33" s="122">
        <f t="shared" si="11"/>
        <v>1259221</v>
      </c>
      <c r="U33" s="287">
        <v>1291734</v>
      </c>
      <c r="V33" s="287">
        <v>99340</v>
      </c>
      <c r="W33" s="468">
        <f t="shared" si="12"/>
        <v>1391074</v>
      </c>
      <c r="X33" s="157">
        <v>1293229</v>
      </c>
      <c r="Y33" s="157">
        <v>187156</v>
      </c>
      <c r="Z33" s="285">
        <f t="shared" si="18"/>
        <v>1480385</v>
      </c>
      <c r="AA33" s="470">
        <v>5509185</v>
      </c>
      <c r="AB33" s="470">
        <v>7629</v>
      </c>
      <c r="AC33" s="287">
        <f t="shared" si="19"/>
        <v>5516814</v>
      </c>
      <c r="AD33" s="726">
        <v>2140086</v>
      </c>
      <c r="AE33" s="470">
        <v>4673</v>
      </c>
      <c r="AF33" s="723">
        <f t="shared" si="15"/>
        <v>2144759</v>
      </c>
      <c r="AG33" s="726">
        <v>3657581</v>
      </c>
      <c r="AH33" s="470">
        <v>7035</v>
      </c>
      <c r="AI33" s="723">
        <f t="shared" si="20"/>
        <v>3664616</v>
      </c>
      <c r="AJ33" s="726">
        <v>2399105</v>
      </c>
      <c r="AK33" s="470">
        <v>2179</v>
      </c>
      <c r="AL33" s="723">
        <f t="shared" si="21"/>
        <v>3735013.925909047</v>
      </c>
      <c r="AM33" s="726">
        <v>1855388</v>
      </c>
      <c r="AN33" s="470">
        <v>7665</v>
      </c>
      <c r="AO33" s="723">
        <f t="shared" si="2"/>
        <v>1863053</v>
      </c>
      <c r="AP33" s="726">
        <v>1179148</v>
      </c>
      <c r="AQ33" s="470">
        <v>9030</v>
      </c>
      <c r="AR33" s="723">
        <f t="shared" si="3"/>
        <v>1188178</v>
      </c>
      <c r="AS33" s="726">
        <v>2513420</v>
      </c>
      <c r="AT33" s="470">
        <v>8940</v>
      </c>
      <c r="AU33" s="723">
        <f t="shared" si="4"/>
        <v>2522360</v>
      </c>
      <c r="AV33" s="1159">
        <v>2405458</v>
      </c>
      <c r="AW33" s="1029">
        <v>340</v>
      </c>
      <c r="AX33" s="1155">
        <f t="shared" si="5"/>
        <v>2405798</v>
      </c>
      <c r="AY33" s="1159">
        <v>1863236</v>
      </c>
      <c r="AZ33" s="1029">
        <v>3009</v>
      </c>
      <c r="BA33" s="1154">
        <f t="shared" si="6"/>
        <v>1866245</v>
      </c>
      <c r="BB33" s="1159">
        <f>BB90</f>
        <v>1998767</v>
      </c>
      <c r="BC33" s="1029">
        <f>BC90</f>
        <v>1179</v>
      </c>
      <c r="BD33" s="1155">
        <f t="shared" si="22"/>
        <v>1999946</v>
      </c>
      <c r="BE33" s="1877">
        <f>BE90</f>
        <v>1735994</v>
      </c>
      <c r="BF33" s="1878">
        <f>BF90</f>
        <v>1007</v>
      </c>
      <c r="BG33" s="1882">
        <f t="shared" si="8"/>
        <v>1737001</v>
      </c>
      <c r="BH33" s="1877">
        <f>BH90</f>
        <v>1701156</v>
      </c>
      <c r="BI33" s="1878">
        <f>BI90</f>
        <v>716</v>
      </c>
      <c r="BJ33" s="1882">
        <f t="shared" si="9"/>
        <v>1701872</v>
      </c>
      <c r="BL33" s="75">
        <f t="shared" si="17"/>
        <v>3735013.925909047</v>
      </c>
      <c r="BM33" s="527">
        <v>1.0099495240842227</v>
      </c>
    </row>
    <row r="34" spans="1:65">
      <c r="A34" s="104">
        <v>221</v>
      </c>
      <c r="B34" s="104" t="s">
        <v>1144</v>
      </c>
      <c r="C34" s="106">
        <v>3059940</v>
      </c>
      <c r="D34" s="106">
        <v>459152</v>
      </c>
      <c r="E34" s="122">
        <v>3519092</v>
      </c>
      <c r="F34" s="106">
        <v>2290616</v>
      </c>
      <c r="G34" s="106">
        <v>36218</v>
      </c>
      <c r="H34" s="124">
        <v>2326834</v>
      </c>
      <c r="I34" s="106">
        <v>1943482</v>
      </c>
      <c r="J34" s="106">
        <v>6890</v>
      </c>
      <c r="K34" s="124">
        <v>1950372</v>
      </c>
      <c r="L34" s="104">
        <v>2070970</v>
      </c>
      <c r="M34" s="104">
        <v>0</v>
      </c>
      <c r="N34" s="122">
        <f t="shared" si="0"/>
        <v>2070970</v>
      </c>
      <c r="O34" s="104">
        <v>3248106</v>
      </c>
      <c r="P34" s="104">
        <v>2055</v>
      </c>
      <c r="Q34" s="122">
        <f t="shared" si="10"/>
        <v>3250161</v>
      </c>
      <c r="R34" s="104">
        <v>2400809</v>
      </c>
      <c r="S34" s="104">
        <v>32831</v>
      </c>
      <c r="T34" s="122">
        <f t="shared" si="11"/>
        <v>2433640</v>
      </c>
      <c r="U34" s="286">
        <v>1072655</v>
      </c>
      <c r="V34" s="287">
        <v>39310</v>
      </c>
      <c r="W34" s="468">
        <f t="shared" si="12"/>
        <v>1111965</v>
      </c>
      <c r="X34" s="157">
        <v>1149227</v>
      </c>
      <c r="Y34" s="157">
        <v>0</v>
      </c>
      <c r="Z34" s="285">
        <f t="shared" si="18"/>
        <v>1149227</v>
      </c>
      <c r="AA34" s="470">
        <v>1261929</v>
      </c>
      <c r="AB34" s="470">
        <v>92583</v>
      </c>
      <c r="AC34" s="287">
        <f t="shared" si="19"/>
        <v>1354512</v>
      </c>
      <c r="AD34" s="726">
        <v>2246625</v>
      </c>
      <c r="AE34" s="470">
        <v>396165</v>
      </c>
      <c r="AF34" s="723">
        <f t="shared" si="15"/>
        <v>2642790</v>
      </c>
      <c r="AG34" s="726">
        <v>1411819</v>
      </c>
      <c r="AH34" s="470">
        <v>277021</v>
      </c>
      <c r="AI34" s="723">
        <f t="shared" si="20"/>
        <v>1688840</v>
      </c>
      <c r="AJ34" s="726">
        <v>2115422</v>
      </c>
      <c r="AK34" s="470">
        <v>24178</v>
      </c>
      <c r="AL34" s="723">
        <f t="shared" si="21"/>
        <v>1671403.1920857502</v>
      </c>
      <c r="AM34" s="726">
        <v>1398070</v>
      </c>
      <c r="AN34" s="470">
        <v>187978</v>
      </c>
      <c r="AO34" s="723">
        <f t="shared" si="2"/>
        <v>1586048</v>
      </c>
      <c r="AP34" s="726">
        <v>2996183</v>
      </c>
      <c r="AQ34" s="470">
        <v>291954</v>
      </c>
      <c r="AR34" s="723">
        <f t="shared" si="3"/>
        <v>3288137</v>
      </c>
      <c r="AS34" s="726">
        <v>4073514</v>
      </c>
      <c r="AT34" s="470">
        <v>175396</v>
      </c>
      <c r="AU34" s="723">
        <f t="shared" si="4"/>
        <v>4248910</v>
      </c>
      <c r="AV34" s="1159">
        <v>2613209</v>
      </c>
      <c r="AW34" s="1029">
        <v>10970</v>
      </c>
      <c r="AX34" s="1155">
        <f t="shared" si="5"/>
        <v>2624179</v>
      </c>
      <c r="AY34" s="1159">
        <v>1328227</v>
      </c>
      <c r="AZ34" s="1029">
        <v>20044</v>
      </c>
      <c r="BA34" s="1154">
        <f t="shared" si="6"/>
        <v>1348271</v>
      </c>
      <c r="BB34" s="1159">
        <f>BB113</f>
        <v>1469715</v>
      </c>
      <c r="BC34" s="1029">
        <f>BC113</f>
        <v>19945</v>
      </c>
      <c r="BD34" s="1155">
        <f t="shared" si="22"/>
        <v>1489660</v>
      </c>
      <c r="BE34" s="1877">
        <f>BE113</f>
        <v>1579108</v>
      </c>
      <c r="BF34" s="1878">
        <f>BF113</f>
        <v>29959</v>
      </c>
      <c r="BG34" s="1882">
        <f t="shared" si="8"/>
        <v>1609067</v>
      </c>
      <c r="BH34" s="1877">
        <f>BH113</f>
        <v>1988490</v>
      </c>
      <c r="BI34" s="1878">
        <f>BI113</f>
        <v>17413</v>
      </c>
      <c r="BJ34" s="1882">
        <f t="shared" si="9"/>
        <v>2005903</v>
      </c>
      <c r="BL34" s="75">
        <f t="shared" si="17"/>
        <v>1671403.1920857502</v>
      </c>
      <c r="BM34" s="527">
        <v>1.0081961884122634</v>
      </c>
    </row>
    <row r="35" spans="1:65">
      <c r="A35" s="104">
        <v>222</v>
      </c>
      <c r="B35" s="104" t="s">
        <v>572</v>
      </c>
      <c r="C35" s="106">
        <v>2648233</v>
      </c>
      <c r="D35" s="106">
        <v>1752343</v>
      </c>
      <c r="E35" s="122">
        <v>4400576</v>
      </c>
      <c r="F35" s="106">
        <v>2471898</v>
      </c>
      <c r="G35" s="106">
        <v>163114</v>
      </c>
      <c r="H35" s="124">
        <v>2635012</v>
      </c>
      <c r="I35" s="106">
        <v>1450350</v>
      </c>
      <c r="J35" s="106">
        <v>143541</v>
      </c>
      <c r="K35" s="124">
        <v>1593891</v>
      </c>
      <c r="L35" s="104">
        <v>1637191</v>
      </c>
      <c r="M35" s="104">
        <v>16582</v>
      </c>
      <c r="N35" s="122">
        <f t="shared" ref="N35:N54" si="23">L35+M35</f>
        <v>1653773</v>
      </c>
      <c r="O35" s="104">
        <v>2827624</v>
      </c>
      <c r="P35" s="104">
        <v>158142</v>
      </c>
      <c r="Q35" s="122">
        <f t="shared" si="10"/>
        <v>2985766</v>
      </c>
      <c r="R35" s="104">
        <v>2576676</v>
      </c>
      <c r="S35" s="104">
        <v>299407</v>
      </c>
      <c r="T35" s="122">
        <f t="shared" si="11"/>
        <v>2876083</v>
      </c>
      <c r="U35" s="287">
        <v>2561644</v>
      </c>
      <c r="V35" s="287">
        <v>157210</v>
      </c>
      <c r="W35" s="468">
        <f t="shared" si="12"/>
        <v>2718854</v>
      </c>
      <c r="X35" s="157">
        <v>1134549</v>
      </c>
      <c r="Y35" s="157">
        <v>338689</v>
      </c>
      <c r="Z35" s="285">
        <f t="shared" si="18"/>
        <v>1473238</v>
      </c>
      <c r="AA35" s="470">
        <v>1058910</v>
      </c>
      <c r="AB35" s="470">
        <v>87223</v>
      </c>
      <c r="AC35" s="287">
        <f t="shared" si="19"/>
        <v>1146133</v>
      </c>
      <c r="AD35" s="726">
        <v>2463282</v>
      </c>
      <c r="AE35" s="470">
        <v>63420</v>
      </c>
      <c r="AF35" s="723">
        <f t="shared" si="15"/>
        <v>2526702</v>
      </c>
      <c r="AG35" s="726">
        <v>2295261</v>
      </c>
      <c r="AH35" s="470">
        <v>111853</v>
      </c>
      <c r="AI35" s="723">
        <f t="shared" si="20"/>
        <v>2407114</v>
      </c>
      <c r="AJ35" s="726">
        <v>1132091</v>
      </c>
      <c r="AK35" s="470">
        <v>15599</v>
      </c>
      <c r="AL35" s="723">
        <f t="shared" si="21"/>
        <v>2187077.3842918477</v>
      </c>
      <c r="AM35" s="726">
        <v>1132138</v>
      </c>
      <c r="AN35" s="470">
        <v>132994</v>
      </c>
      <c r="AO35" s="723">
        <f t="shared" ref="AO35:AO54" si="24">AM35+AN35</f>
        <v>1265132</v>
      </c>
      <c r="AP35" s="726">
        <v>1466586</v>
      </c>
      <c r="AQ35" s="470">
        <v>520021</v>
      </c>
      <c r="AR35" s="723">
        <f t="shared" si="3"/>
        <v>1986607</v>
      </c>
      <c r="AS35" s="726">
        <v>1615218</v>
      </c>
      <c r="AT35" s="470">
        <v>451313</v>
      </c>
      <c r="AU35" s="723">
        <f t="shared" si="4"/>
        <v>2066531</v>
      </c>
      <c r="AV35" s="1159">
        <v>3778184</v>
      </c>
      <c r="AW35" s="1029">
        <v>11105</v>
      </c>
      <c r="AX35" s="1155">
        <f t="shared" si="5"/>
        <v>3789289</v>
      </c>
      <c r="AY35" s="1159">
        <v>2736495</v>
      </c>
      <c r="AZ35" s="1029">
        <v>59641</v>
      </c>
      <c r="BA35" s="1154">
        <f t="shared" si="6"/>
        <v>2796136</v>
      </c>
      <c r="BB35" s="1159">
        <f>BB108</f>
        <v>1370698</v>
      </c>
      <c r="BC35" s="1029">
        <f>BC108</f>
        <v>59138</v>
      </c>
      <c r="BD35" s="1155">
        <f t="shared" si="22"/>
        <v>1429836</v>
      </c>
      <c r="BE35" s="1877">
        <f>BE108</f>
        <v>1726209</v>
      </c>
      <c r="BF35" s="1878">
        <f>BF108</f>
        <v>272477</v>
      </c>
      <c r="BG35" s="1882">
        <f t="shared" si="8"/>
        <v>1998686</v>
      </c>
      <c r="BH35" s="1877">
        <f>BH108</f>
        <v>1426619</v>
      </c>
      <c r="BI35" s="1878">
        <f>BI108</f>
        <v>290305</v>
      </c>
      <c r="BJ35" s="1882">
        <f t="shared" si="9"/>
        <v>1716924</v>
      </c>
      <c r="BL35" s="75">
        <f t="shared" si="17"/>
        <v>2187077.3842918477</v>
      </c>
      <c r="BM35" s="527">
        <v>1.0115863929102218</v>
      </c>
    </row>
    <row r="36" spans="1:65">
      <c r="A36" s="104">
        <v>223</v>
      </c>
      <c r="B36" s="104" t="s">
        <v>573</v>
      </c>
      <c r="C36" s="106">
        <v>3612228</v>
      </c>
      <c r="D36" s="106">
        <v>645554</v>
      </c>
      <c r="E36" s="122">
        <v>4257782</v>
      </c>
      <c r="F36" s="106">
        <v>3557035</v>
      </c>
      <c r="G36" s="106">
        <v>93801</v>
      </c>
      <c r="H36" s="124">
        <v>3650836</v>
      </c>
      <c r="I36" s="106">
        <v>3470821</v>
      </c>
      <c r="J36" s="106">
        <v>37008</v>
      </c>
      <c r="K36" s="124">
        <v>3507829</v>
      </c>
      <c r="L36" s="104">
        <v>3296781</v>
      </c>
      <c r="M36" s="104">
        <v>0</v>
      </c>
      <c r="N36" s="122">
        <f t="shared" si="23"/>
        <v>3296781</v>
      </c>
      <c r="O36" s="104">
        <v>4967783</v>
      </c>
      <c r="P36" s="104">
        <v>158171</v>
      </c>
      <c r="Q36" s="122">
        <f t="shared" si="10"/>
        <v>5125954</v>
      </c>
      <c r="R36" s="104">
        <v>4467610</v>
      </c>
      <c r="S36" s="104">
        <v>56543</v>
      </c>
      <c r="T36" s="122">
        <f t="shared" si="11"/>
        <v>4524153</v>
      </c>
      <c r="U36" s="287">
        <v>3193259</v>
      </c>
      <c r="V36" s="287">
        <v>68420</v>
      </c>
      <c r="W36" s="468">
        <f t="shared" si="12"/>
        <v>3261679</v>
      </c>
      <c r="X36" s="157">
        <v>4075900</v>
      </c>
      <c r="Y36" s="157">
        <v>72207</v>
      </c>
      <c r="Z36" s="285">
        <f t="shared" si="18"/>
        <v>4148107</v>
      </c>
      <c r="AA36" s="470">
        <v>5381863</v>
      </c>
      <c r="AB36" s="470">
        <v>96184</v>
      </c>
      <c r="AC36" s="287">
        <f t="shared" si="19"/>
        <v>5478047</v>
      </c>
      <c r="AD36" s="726">
        <v>10926413</v>
      </c>
      <c r="AE36" s="470">
        <v>1077081</v>
      </c>
      <c r="AF36" s="723">
        <f t="shared" si="15"/>
        <v>12003494</v>
      </c>
      <c r="AG36" s="726">
        <v>4248148</v>
      </c>
      <c r="AH36" s="470">
        <v>2363099</v>
      </c>
      <c r="AI36" s="723">
        <f t="shared" si="20"/>
        <v>6611247</v>
      </c>
      <c r="AJ36" s="726">
        <v>6285511</v>
      </c>
      <c r="AK36" s="470">
        <v>1046896</v>
      </c>
      <c r="AL36" s="723">
        <f t="shared" si="21"/>
        <v>6758787.6796926726</v>
      </c>
      <c r="AM36" s="726">
        <v>4123678</v>
      </c>
      <c r="AN36" s="470">
        <v>107190</v>
      </c>
      <c r="AO36" s="723">
        <f t="shared" si="24"/>
        <v>4230868</v>
      </c>
      <c r="AP36" s="726">
        <v>7694837</v>
      </c>
      <c r="AQ36" s="470">
        <v>540610</v>
      </c>
      <c r="AR36" s="723">
        <f t="shared" si="3"/>
        <v>8235447</v>
      </c>
      <c r="AS36" s="726">
        <v>4372231</v>
      </c>
      <c r="AT36" s="470">
        <v>558505</v>
      </c>
      <c r="AU36" s="723">
        <f t="shared" si="4"/>
        <v>4930736</v>
      </c>
      <c r="AV36" s="1159">
        <v>2992624</v>
      </c>
      <c r="AW36" s="1029">
        <v>104764</v>
      </c>
      <c r="AX36" s="1155">
        <f t="shared" si="5"/>
        <v>3097388</v>
      </c>
      <c r="AY36" s="1159">
        <v>2911875</v>
      </c>
      <c r="AZ36" s="1029">
        <v>838</v>
      </c>
      <c r="BA36" s="1154">
        <f t="shared" si="6"/>
        <v>2912713</v>
      </c>
      <c r="BB36" s="1159">
        <f>BB114</f>
        <v>5882893</v>
      </c>
      <c r="BC36" s="1029">
        <f>BC114</f>
        <v>23679</v>
      </c>
      <c r="BD36" s="1155">
        <f t="shared" si="7"/>
        <v>5906572</v>
      </c>
      <c r="BE36" s="1877">
        <f>BE114</f>
        <v>2084062</v>
      </c>
      <c r="BF36" s="1878">
        <f>BF114</f>
        <v>64522</v>
      </c>
      <c r="BG36" s="1882">
        <f t="shared" si="8"/>
        <v>2148584</v>
      </c>
      <c r="BH36" s="1877">
        <f>BH114</f>
        <v>2826104</v>
      </c>
      <c r="BI36" s="1878">
        <f>BI114</f>
        <v>5118</v>
      </c>
      <c r="BJ36" s="1882">
        <f t="shared" si="9"/>
        <v>2831222</v>
      </c>
      <c r="BL36" s="75">
        <f t="shared" si="17"/>
        <v>6758787.6796926726</v>
      </c>
      <c r="BM36" s="527">
        <v>1.0081961884122634</v>
      </c>
    </row>
    <row r="37" spans="1:65">
      <c r="A37" s="104">
        <v>224</v>
      </c>
      <c r="B37" s="104" t="s">
        <v>574</v>
      </c>
      <c r="C37" s="106">
        <v>2597218</v>
      </c>
      <c r="D37" s="106">
        <v>2502200</v>
      </c>
      <c r="E37" s="122">
        <v>5099418</v>
      </c>
      <c r="F37" s="106">
        <v>2002698</v>
      </c>
      <c r="G37" s="106">
        <v>148311</v>
      </c>
      <c r="H37" s="124">
        <v>2151009</v>
      </c>
      <c r="I37" s="106">
        <v>1739910</v>
      </c>
      <c r="J37" s="106">
        <v>32195</v>
      </c>
      <c r="K37" s="124">
        <v>1772105</v>
      </c>
      <c r="L37" s="104">
        <v>1975061</v>
      </c>
      <c r="M37" s="104">
        <v>0</v>
      </c>
      <c r="N37" s="122">
        <f t="shared" si="23"/>
        <v>1975061</v>
      </c>
      <c r="O37" s="104">
        <v>3351569</v>
      </c>
      <c r="P37" s="104">
        <v>1261</v>
      </c>
      <c r="Q37" s="122">
        <f t="shared" si="10"/>
        <v>3352830</v>
      </c>
      <c r="R37" s="104">
        <v>2390303</v>
      </c>
      <c r="S37" s="104">
        <v>59369</v>
      </c>
      <c r="T37" s="122">
        <f t="shared" si="11"/>
        <v>2449672</v>
      </c>
      <c r="U37" s="287">
        <v>2861597</v>
      </c>
      <c r="V37" s="287">
        <v>192899</v>
      </c>
      <c r="W37" s="468">
        <f t="shared" si="12"/>
        <v>3054496</v>
      </c>
      <c r="X37" s="157">
        <v>3673107</v>
      </c>
      <c r="Y37" s="157">
        <v>738939</v>
      </c>
      <c r="Z37" s="285">
        <f t="shared" si="18"/>
        <v>4412046</v>
      </c>
      <c r="AA37" s="470">
        <v>3242799</v>
      </c>
      <c r="AB37" s="470">
        <v>176176</v>
      </c>
      <c r="AC37" s="287">
        <f t="shared" si="19"/>
        <v>3418975</v>
      </c>
      <c r="AD37" s="726">
        <v>6282453</v>
      </c>
      <c r="AE37" s="470">
        <v>321164</v>
      </c>
      <c r="AF37" s="723">
        <f t="shared" si="15"/>
        <v>6603617</v>
      </c>
      <c r="AG37" s="726">
        <v>3936940</v>
      </c>
      <c r="AH37" s="470">
        <v>505202</v>
      </c>
      <c r="AI37" s="723">
        <f t="shared" si="20"/>
        <v>4442142</v>
      </c>
      <c r="AJ37" s="726">
        <v>3834712</v>
      </c>
      <c r="AK37" s="470">
        <v>163835</v>
      </c>
      <c r="AL37" s="723">
        <f t="shared" si="21"/>
        <v>4480126.2822729256</v>
      </c>
      <c r="AM37" s="726">
        <v>3630019</v>
      </c>
      <c r="AN37" s="470">
        <v>189966</v>
      </c>
      <c r="AO37" s="723">
        <f t="shared" si="24"/>
        <v>3819985</v>
      </c>
      <c r="AP37" s="726">
        <v>2510244</v>
      </c>
      <c r="AQ37" s="470">
        <v>134308</v>
      </c>
      <c r="AR37" s="723">
        <f t="shared" si="3"/>
        <v>2644552</v>
      </c>
      <c r="AS37" s="726">
        <v>3474999</v>
      </c>
      <c r="AT37" s="470">
        <v>88879</v>
      </c>
      <c r="AU37" s="723">
        <f t="shared" si="4"/>
        <v>3563878</v>
      </c>
      <c r="AV37" s="1159">
        <v>2766090</v>
      </c>
      <c r="AW37" s="1029">
        <v>48104</v>
      </c>
      <c r="AX37" s="1155">
        <f t="shared" si="5"/>
        <v>2814194</v>
      </c>
      <c r="AY37" s="1159">
        <v>4290584</v>
      </c>
      <c r="AZ37" s="1029">
        <v>96513</v>
      </c>
      <c r="BA37" s="1154">
        <f t="shared" si="6"/>
        <v>4387097</v>
      </c>
      <c r="BB37" s="1159">
        <f>BB117</f>
        <v>6156283</v>
      </c>
      <c r="BC37" s="1029">
        <f>BC117</f>
        <v>52752</v>
      </c>
      <c r="BD37" s="1155">
        <f t="shared" si="7"/>
        <v>6209035</v>
      </c>
      <c r="BE37" s="1877">
        <f>BE117</f>
        <v>3977848</v>
      </c>
      <c r="BF37" s="1878">
        <f>BF117</f>
        <v>35684</v>
      </c>
      <c r="BG37" s="1882">
        <f t="shared" si="8"/>
        <v>4013532</v>
      </c>
      <c r="BH37" s="1877">
        <f>BH117</f>
        <v>4076893</v>
      </c>
      <c r="BI37" s="1878">
        <f>BI117</f>
        <v>125950</v>
      </c>
      <c r="BJ37" s="1882">
        <f t="shared" si="9"/>
        <v>4202843</v>
      </c>
      <c r="BL37" s="75">
        <f t="shared" si="17"/>
        <v>4480126.2822729256</v>
      </c>
      <c r="BM37" s="527">
        <v>1.0069140588510042</v>
      </c>
    </row>
    <row r="38" spans="1:65">
      <c r="A38" s="104">
        <v>225</v>
      </c>
      <c r="B38" s="104" t="s">
        <v>575</v>
      </c>
      <c r="C38" s="106">
        <v>2207285</v>
      </c>
      <c r="D38" s="106">
        <v>1103129</v>
      </c>
      <c r="E38" s="122">
        <v>3310414</v>
      </c>
      <c r="F38" s="106">
        <v>2255578</v>
      </c>
      <c r="G38" s="106">
        <v>217276</v>
      </c>
      <c r="H38" s="124">
        <v>2472854</v>
      </c>
      <c r="I38" s="106">
        <v>1950077</v>
      </c>
      <c r="J38" s="106">
        <v>127738</v>
      </c>
      <c r="K38" s="124">
        <v>2077815</v>
      </c>
      <c r="L38" s="104">
        <v>2164099</v>
      </c>
      <c r="M38" s="104">
        <v>20244</v>
      </c>
      <c r="N38" s="122">
        <f t="shared" si="23"/>
        <v>2184343</v>
      </c>
      <c r="O38" s="104">
        <v>2377102</v>
      </c>
      <c r="P38" s="104">
        <v>684045</v>
      </c>
      <c r="Q38" s="122">
        <f t="shared" si="10"/>
        <v>3061147</v>
      </c>
      <c r="R38" s="104">
        <v>2627407</v>
      </c>
      <c r="S38" s="104">
        <v>567053</v>
      </c>
      <c r="T38" s="122">
        <f t="shared" si="11"/>
        <v>3194460</v>
      </c>
      <c r="U38" s="287">
        <v>2947879</v>
      </c>
      <c r="V38" s="287">
        <v>331135</v>
      </c>
      <c r="W38" s="468">
        <f t="shared" si="12"/>
        <v>3279014</v>
      </c>
      <c r="X38" s="157">
        <v>3184376</v>
      </c>
      <c r="Y38" s="157">
        <v>35113</v>
      </c>
      <c r="Z38" s="285">
        <f t="shared" si="18"/>
        <v>3219489</v>
      </c>
      <c r="AA38" s="470">
        <v>4767910</v>
      </c>
      <c r="AB38" s="470">
        <v>22439</v>
      </c>
      <c r="AC38" s="287">
        <f t="shared" si="19"/>
        <v>4790349</v>
      </c>
      <c r="AD38" s="726">
        <v>4473040</v>
      </c>
      <c r="AE38" s="470">
        <v>16305</v>
      </c>
      <c r="AF38" s="723">
        <f t="shared" si="15"/>
        <v>4489345</v>
      </c>
      <c r="AG38" s="726">
        <v>6265353</v>
      </c>
      <c r="AH38" s="470">
        <v>1116</v>
      </c>
      <c r="AI38" s="723">
        <f t="shared" si="20"/>
        <v>6266469</v>
      </c>
      <c r="AJ38" s="726">
        <v>5114293</v>
      </c>
      <c r="AK38" s="470">
        <v>8900</v>
      </c>
      <c r="AL38" s="723">
        <f t="shared" si="21"/>
        <v>5753921.2193301953</v>
      </c>
      <c r="AM38" s="726">
        <v>2979313</v>
      </c>
      <c r="AN38" s="470">
        <v>69312</v>
      </c>
      <c r="AO38" s="723">
        <f t="shared" si="24"/>
        <v>3048625</v>
      </c>
      <c r="AP38" s="726">
        <v>1637316</v>
      </c>
      <c r="AQ38" s="470">
        <v>454667</v>
      </c>
      <c r="AR38" s="723">
        <f t="shared" si="3"/>
        <v>2091983</v>
      </c>
      <c r="AS38" s="726">
        <v>1864241</v>
      </c>
      <c r="AT38" s="470">
        <v>391598</v>
      </c>
      <c r="AU38" s="723">
        <f t="shared" si="4"/>
        <v>2255839</v>
      </c>
      <c r="AV38" s="1159">
        <v>2147477</v>
      </c>
      <c r="AW38" s="1029">
        <v>0</v>
      </c>
      <c r="AX38" s="1155">
        <f t="shared" si="5"/>
        <v>2147477</v>
      </c>
      <c r="AY38" s="1159">
        <v>1695191</v>
      </c>
      <c r="AZ38" s="1029">
        <v>21304</v>
      </c>
      <c r="BA38" s="1154">
        <f t="shared" si="6"/>
        <v>1716495</v>
      </c>
      <c r="BB38" s="1159">
        <f>BB109</f>
        <v>1598768</v>
      </c>
      <c r="BC38" s="1029">
        <f>BC109</f>
        <v>14285</v>
      </c>
      <c r="BD38" s="1155">
        <f t="shared" si="7"/>
        <v>1613053</v>
      </c>
      <c r="BE38" s="1877">
        <f>BE109</f>
        <v>1579275</v>
      </c>
      <c r="BF38" s="1878">
        <f>BF109</f>
        <v>39450</v>
      </c>
      <c r="BG38" s="1882">
        <f t="shared" si="8"/>
        <v>1618725</v>
      </c>
      <c r="BH38" s="1877">
        <f>BH109</f>
        <v>2433836</v>
      </c>
      <c r="BI38" s="1878">
        <f>BI109</f>
        <v>8446</v>
      </c>
      <c r="BJ38" s="1882">
        <f t="shared" si="9"/>
        <v>2442282</v>
      </c>
      <c r="BL38" s="75">
        <f t="shared" si="17"/>
        <v>5753921.2193301953</v>
      </c>
      <c r="BM38" s="527">
        <v>1.0115863929102218</v>
      </c>
    </row>
    <row r="39" spans="1:65">
      <c r="A39" s="104">
        <v>226</v>
      </c>
      <c r="B39" s="104" t="s">
        <v>576</v>
      </c>
      <c r="C39" s="106">
        <v>4137554</v>
      </c>
      <c r="D39" s="106">
        <v>12395056</v>
      </c>
      <c r="E39" s="122">
        <v>16532610</v>
      </c>
      <c r="F39" s="106">
        <v>5400648</v>
      </c>
      <c r="G39" s="106">
        <v>3497644</v>
      </c>
      <c r="H39" s="124">
        <v>8898292</v>
      </c>
      <c r="I39" s="106">
        <v>4176837</v>
      </c>
      <c r="J39" s="106">
        <v>161870</v>
      </c>
      <c r="K39" s="124">
        <v>4338707</v>
      </c>
      <c r="L39" s="104">
        <v>2664516</v>
      </c>
      <c r="M39" s="104">
        <v>92061</v>
      </c>
      <c r="N39" s="122">
        <f t="shared" si="23"/>
        <v>2756577</v>
      </c>
      <c r="O39" s="104">
        <v>5255268</v>
      </c>
      <c r="P39" s="104">
        <v>1785</v>
      </c>
      <c r="Q39" s="122">
        <f t="shared" si="10"/>
        <v>5257053</v>
      </c>
      <c r="R39" s="104">
        <v>2354715</v>
      </c>
      <c r="S39" s="104">
        <v>175607</v>
      </c>
      <c r="T39" s="122">
        <f t="shared" si="11"/>
        <v>2530322</v>
      </c>
      <c r="U39" s="287">
        <v>3115284</v>
      </c>
      <c r="V39" s="287">
        <v>736752</v>
      </c>
      <c r="W39" s="468">
        <f t="shared" si="12"/>
        <v>3852036</v>
      </c>
      <c r="X39" s="157">
        <v>2302487</v>
      </c>
      <c r="Y39" s="157">
        <v>3512806</v>
      </c>
      <c r="Z39" s="285">
        <f t="shared" si="18"/>
        <v>5815293</v>
      </c>
      <c r="AA39" s="470">
        <v>3193828</v>
      </c>
      <c r="AB39" s="470">
        <v>3013597</v>
      </c>
      <c r="AC39" s="287">
        <f t="shared" si="19"/>
        <v>6207425</v>
      </c>
      <c r="AD39" s="726">
        <v>2661194</v>
      </c>
      <c r="AE39" s="470">
        <v>1137916</v>
      </c>
      <c r="AF39" s="723">
        <f t="shared" si="15"/>
        <v>3799110</v>
      </c>
      <c r="AG39" s="726">
        <v>4119391</v>
      </c>
      <c r="AH39" s="470">
        <v>1569895</v>
      </c>
      <c r="AI39" s="723">
        <f t="shared" si="20"/>
        <v>5689286</v>
      </c>
      <c r="AJ39" s="726">
        <v>2746374</v>
      </c>
      <c r="AK39" s="470">
        <v>1252393</v>
      </c>
      <c r="AL39" s="723">
        <f t="shared" si="21"/>
        <v>4526713.1957787639</v>
      </c>
      <c r="AM39" s="726">
        <v>3669990</v>
      </c>
      <c r="AN39" s="470">
        <v>217350</v>
      </c>
      <c r="AO39" s="723">
        <f t="shared" si="24"/>
        <v>3887340</v>
      </c>
      <c r="AP39" s="726">
        <v>2303333</v>
      </c>
      <c r="AQ39" s="470">
        <v>567739</v>
      </c>
      <c r="AR39" s="723">
        <f t="shared" si="3"/>
        <v>2871072</v>
      </c>
      <c r="AS39" s="726">
        <v>3661483</v>
      </c>
      <c r="AT39" s="470">
        <v>959282</v>
      </c>
      <c r="AU39" s="723">
        <f t="shared" si="4"/>
        <v>4620765</v>
      </c>
      <c r="AV39" s="1159">
        <v>3645012</v>
      </c>
      <c r="AW39" s="1029">
        <v>69260</v>
      </c>
      <c r="AX39" s="1155">
        <f t="shared" si="5"/>
        <v>3714272</v>
      </c>
      <c r="AY39" s="1159">
        <v>3429254</v>
      </c>
      <c r="AZ39" s="1029">
        <v>241300</v>
      </c>
      <c r="BA39" s="1154">
        <f t="shared" si="6"/>
        <v>3670554</v>
      </c>
      <c r="BB39" s="1159">
        <f>BB118</f>
        <v>4150095</v>
      </c>
      <c r="BC39" s="1029">
        <f>BC118</f>
        <v>121653</v>
      </c>
      <c r="BD39" s="1155">
        <f t="shared" si="7"/>
        <v>4271748</v>
      </c>
      <c r="BE39" s="1877">
        <f>BE118</f>
        <v>6556092</v>
      </c>
      <c r="BF39" s="1878">
        <f>BF118</f>
        <v>100723</v>
      </c>
      <c r="BG39" s="1882">
        <f t="shared" si="8"/>
        <v>6656815</v>
      </c>
      <c r="BH39" s="1877">
        <f>BH118</f>
        <v>3943275</v>
      </c>
      <c r="BI39" s="1878">
        <f>BI118</f>
        <v>450252</v>
      </c>
      <c r="BJ39" s="1882">
        <f t="shared" si="9"/>
        <v>4393527</v>
      </c>
      <c r="BL39" s="75">
        <f t="shared" si="17"/>
        <v>4526713.1957787639</v>
      </c>
      <c r="BM39" s="527">
        <v>1.0069140588510042</v>
      </c>
    </row>
    <row r="40" spans="1:65">
      <c r="A40" s="104">
        <v>227</v>
      </c>
      <c r="B40" s="104" t="s">
        <v>577</v>
      </c>
      <c r="C40" s="106">
        <v>2522688</v>
      </c>
      <c r="D40" s="106">
        <v>617875</v>
      </c>
      <c r="E40" s="122">
        <v>3140563</v>
      </c>
      <c r="F40" s="106">
        <v>2085194</v>
      </c>
      <c r="G40" s="106">
        <v>526084</v>
      </c>
      <c r="H40" s="124">
        <v>2611278</v>
      </c>
      <c r="I40" s="106">
        <v>2036602</v>
      </c>
      <c r="J40" s="106">
        <v>311710</v>
      </c>
      <c r="K40" s="124">
        <v>2348312</v>
      </c>
      <c r="L40" s="104">
        <v>1872826</v>
      </c>
      <c r="M40" s="104">
        <v>44354</v>
      </c>
      <c r="N40" s="122">
        <f t="shared" si="23"/>
        <v>1917180</v>
      </c>
      <c r="O40" s="104">
        <v>4727599</v>
      </c>
      <c r="P40" s="104">
        <v>591260</v>
      </c>
      <c r="Q40" s="122">
        <f t="shared" si="10"/>
        <v>5318859</v>
      </c>
      <c r="R40" s="104">
        <v>3870439</v>
      </c>
      <c r="S40" s="104">
        <v>1408229</v>
      </c>
      <c r="T40" s="122">
        <f t="shared" si="11"/>
        <v>5278668</v>
      </c>
      <c r="U40" s="287">
        <v>2983037</v>
      </c>
      <c r="V40" s="287">
        <v>442822</v>
      </c>
      <c r="W40" s="468">
        <f t="shared" si="12"/>
        <v>3425859</v>
      </c>
      <c r="X40" s="157">
        <v>2010122</v>
      </c>
      <c r="Y40" s="157">
        <v>213152</v>
      </c>
      <c r="Z40" s="285">
        <f t="shared" si="18"/>
        <v>2223274</v>
      </c>
      <c r="AA40" s="470">
        <v>3711735</v>
      </c>
      <c r="AB40" s="470">
        <v>42108</v>
      </c>
      <c r="AC40" s="287">
        <f t="shared" si="19"/>
        <v>3753843</v>
      </c>
      <c r="AD40" s="726">
        <v>2661962</v>
      </c>
      <c r="AE40" s="470">
        <v>14410</v>
      </c>
      <c r="AF40" s="723">
        <f t="shared" si="15"/>
        <v>2676372</v>
      </c>
      <c r="AG40" s="726">
        <v>3069876</v>
      </c>
      <c r="AH40" s="470">
        <v>11714</v>
      </c>
      <c r="AI40" s="723">
        <f t="shared" si="20"/>
        <v>3081590</v>
      </c>
      <c r="AJ40" s="726">
        <v>2469075</v>
      </c>
      <c r="AK40" s="470">
        <v>0</v>
      </c>
      <c r="AL40" s="723">
        <f t="shared" si="21"/>
        <v>3128631.914295096</v>
      </c>
      <c r="AM40" s="726">
        <v>3015899</v>
      </c>
      <c r="AN40" s="470">
        <v>11483</v>
      </c>
      <c r="AO40" s="723">
        <f t="shared" si="24"/>
        <v>3027382</v>
      </c>
      <c r="AP40" s="726">
        <v>2882340</v>
      </c>
      <c r="AQ40" s="470">
        <v>754961</v>
      </c>
      <c r="AR40" s="723">
        <f t="shared" si="3"/>
        <v>3637301</v>
      </c>
      <c r="AS40" s="726">
        <v>2806752</v>
      </c>
      <c r="AT40" s="470">
        <v>1154391</v>
      </c>
      <c r="AU40" s="723">
        <f t="shared" si="4"/>
        <v>3961143</v>
      </c>
      <c r="AV40" s="1159">
        <v>2249181</v>
      </c>
      <c r="AW40" s="1029">
        <v>977256</v>
      </c>
      <c r="AX40" s="1155">
        <f t="shared" si="5"/>
        <v>3226437</v>
      </c>
      <c r="AY40" s="1159">
        <v>2013655</v>
      </c>
      <c r="AZ40" s="1029">
        <v>195234</v>
      </c>
      <c r="BA40" s="1154">
        <f t="shared" si="6"/>
        <v>2208889</v>
      </c>
      <c r="BB40" s="1159">
        <f>BB101</f>
        <v>2109120</v>
      </c>
      <c r="BC40" s="1029">
        <f>BC101</f>
        <v>87001</v>
      </c>
      <c r="BD40" s="1155">
        <f t="shared" si="7"/>
        <v>2196121</v>
      </c>
      <c r="BE40" s="1877">
        <f>BE101</f>
        <v>1977687</v>
      </c>
      <c r="BF40" s="1878">
        <f>BF101</f>
        <v>36858</v>
      </c>
      <c r="BG40" s="1882">
        <f t="shared" si="8"/>
        <v>2014545</v>
      </c>
      <c r="BH40" s="1877">
        <f>BH101</f>
        <v>1686194</v>
      </c>
      <c r="BI40" s="1878">
        <f>BI101</f>
        <v>102501</v>
      </c>
      <c r="BJ40" s="1882">
        <f t="shared" si="9"/>
        <v>1788695</v>
      </c>
      <c r="BL40" s="75">
        <f t="shared" si="17"/>
        <v>3128631.914295096</v>
      </c>
      <c r="BM40" s="527">
        <v>1.0090265615878575</v>
      </c>
    </row>
    <row r="41" spans="1:65">
      <c r="A41" s="104">
        <v>228</v>
      </c>
      <c r="B41" s="104" t="s">
        <v>578</v>
      </c>
      <c r="C41" s="106">
        <v>2415619</v>
      </c>
      <c r="D41" s="106">
        <v>40212</v>
      </c>
      <c r="E41" s="122">
        <v>2455831</v>
      </c>
      <c r="F41" s="106">
        <v>2037700</v>
      </c>
      <c r="G41" s="106">
        <v>14956</v>
      </c>
      <c r="H41" s="124">
        <v>2052656</v>
      </c>
      <c r="I41" s="106">
        <v>2089757</v>
      </c>
      <c r="J41" s="106">
        <v>0</v>
      </c>
      <c r="K41" s="124">
        <v>2089757</v>
      </c>
      <c r="L41" s="104">
        <v>2111384</v>
      </c>
      <c r="M41" s="104">
        <v>0</v>
      </c>
      <c r="N41" s="122">
        <f t="shared" si="23"/>
        <v>2111384</v>
      </c>
      <c r="O41" s="104">
        <v>1414308</v>
      </c>
      <c r="P41" s="104">
        <v>0</v>
      </c>
      <c r="Q41" s="122">
        <f t="shared" si="10"/>
        <v>1414308</v>
      </c>
      <c r="R41" s="104">
        <v>1863811</v>
      </c>
      <c r="S41" s="104">
        <v>5742</v>
      </c>
      <c r="T41" s="122">
        <f t="shared" si="11"/>
        <v>1869553</v>
      </c>
      <c r="U41" s="287">
        <v>1174055</v>
      </c>
      <c r="V41" s="287">
        <v>50172</v>
      </c>
      <c r="W41" s="468">
        <f t="shared" si="12"/>
        <v>1224227</v>
      </c>
      <c r="X41" s="157">
        <v>2106060</v>
      </c>
      <c r="Y41" s="157">
        <v>33679</v>
      </c>
      <c r="Z41" s="285">
        <f t="shared" si="18"/>
        <v>2139739</v>
      </c>
      <c r="AA41" s="470">
        <v>4107204</v>
      </c>
      <c r="AB41" s="470">
        <v>38360</v>
      </c>
      <c r="AC41" s="287">
        <f t="shared" si="19"/>
        <v>4145564</v>
      </c>
      <c r="AD41" s="726">
        <v>2087927</v>
      </c>
      <c r="AE41" s="470">
        <v>31086</v>
      </c>
      <c r="AF41" s="723">
        <f t="shared" si="15"/>
        <v>2119013</v>
      </c>
      <c r="AG41" s="726">
        <v>2065589</v>
      </c>
      <c r="AH41" s="470">
        <v>26344</v>
      </c>
      <c r="AI41" s="723">
        <f t="shared" si="20"/>
        <v>2091933</v>
      </c>
      <c r="AJ41" s="726">
        <v>3211727</v>
      </c>
      <c r="AK41" s="470">
        <v>25605</v>
      </c>
      <c r="AL41" s="723">
        <f t="shared" si="21"/>
        <v>2433160.0355497068</v>
      </c>
      <c r="AM41" s="726">
        <v>2451861</v>
      </c>
      <c r="AN41" s="470">
        <v>39667</v>
      </c>
      <c r="AO41" s="723">
        <f t="shared" si="24"/>
        <v>2491528</v>
      </c>
      <c r="AP41" s="726">
        <v>2908339</v>
      </c>
      <c r="AQ41" s="470">
        <v>39501</v>
      </c>
      <c r="AR41" s="723">
        <f t="shared" si="3"/>
        <v>2947840</v>
      </c>
      <c r="AS41" s="726">
        <v>2081093</v>
      </c>
      <c r="AT41" s="470">
        <v>142824</v>
      </c>
      <c r="AU41" s="723">
        <f t="shared" si="4"/>
        <v>2223917</v>
      </c>
      <c r="AV41" s="1159">
        <v>2420333</v>
      </c>
      <c r="AW41" s="1029">
        <v>0</v>
      </c>
      <c r="AX41" s="1155">
        <f t="shared" si="5"/>
        <v>2420333</v>
      </c>
      <c r="AY41" s="1159">
        <v>6378366</v>
      </c>
      <c r="AZ41" s="1029">
        <v>25096</v>
      </c>
      <c r="BA41" s="1154">
        <f t="shared" si="6"/>
        <v>6403462</v>
      </c>
      <c r="BB41" s="1159">
        <f>BB91</f>
        <v>3421658</v>
      </c>
      <c r="BC41" s="1029">
        <f>BC91</f>
        <v>18594</v>
      </c>
      <c r="BD41" s="1155">
        <f t="shared" si="7"/>
        <v>3440252</v>
      </c>
      <c r="BE41" s="1877">
        <f>BE91</f>
        <v>6549819</v>
      </c>
      <c r="BF41" s="1878">
        <f>BF91</f>
        <v>57992</v>
      </c>
      <c r="BG41" s="1882">
        <f t="shared" si="8"/>
        <v>6607811</v>
      </c>
      <c r="BH41" s="1877">
        <f>BH91</f>
        <v>5281592</v>
      </c>
      <c r="BI41" s="1878">
        <f>BI91</f>
        <v>32005</v>
      </c>
      <c r="BJ41" s="1882">
        <f t="shared" si="9"/>
        <v>5313597</v>
      </c>
      <c r="BL41" s="75">
        <f t="shared" si="17"/>
        <v>2433160.0355497068</v>
      </c>
      <c r="BM41" s="527">
        <v>1.0099495240842227</v>
      </c>
    </row>
    <row r="42" spans="1:65">
      <c r="A42" s="104">
        <v>229</v>
      </c>
      <c r="B42" s="104" t="s">
        <v>579</v>
      </c>
      <c r="C42" s="106">
        <v>6624607</v>
      </c>
      <c r="D42" s="106">
        <v>404697</v>
      </c>
      <c r="E42" s="122">
        <v>7029304</v>
      </c>
      <c r="F42" s="106">
        <v>6829796</v>
      </c>
      <c r="G42" s="106">
        <v>43421</v>
      </c>
      <c r="H42" s="124">
        <v>6873217</v>
      </c>
      <c r="I42" s="106">
        <v>6336961</v>
      </c>
      <c r="J42" s="106">
        <v>23605</v>
      </c>
      <c r="K42" s="124">
        <v>6360566</v>
      </c>
      <c r="L42" s="104">
        <v>6055363</v>
      </c>
      <c r="M42" s="104">
        <v>0</v>
      </c>
      <c r="N42" s="122">
        <f t="shared" si="23"/>
        <v>6055363</v>
      </c>
      <c r="O42" s="104">
        <v>4266853</v>
      </c>
      <c r="P42" s="104">
        <v>50459</v>
      </c>
      <c r="Q42" s="122">
        <f t="shared" si="10"/>
        <v>4317312</v>
      </c>
      <c r="R42" s="104">
        <v>4373096</v>
      </c>
      <c r="S42" s="104">
        <v>48753</v>
      </c>
      <c r="T42" s="122">
        <f t="shared" si="11"/>
        <v>4421849</v>
      </c>
      <c r="U42" s="287">
        <v>2833023</v>
      </c>
      <c r="V42" s="287">
        <v>98540</v>
      </c>
      <c r="W42" s="468">
        <f t="shared" si="12"/>
        <v>2931563</v>
      </c>
      <c r="X42" s="157">
        <v>2630545</v>
      </c>
      <c r="Y42" s="157">
        <v>40921</v>
      </c>
      <c r="Z42" s="285">
        <f t="shared" si="18"/>
        <v>2671466</v>
      </c>
      <c r="AA42" s="470">
        <v>2431677</v>
      </c>
      <c r="AB42" s="470">
        <v>35160</v>
      </c>
      <c r="AC42" s="287">
        <f t="shared" si="19"/>
        <v>2466837</v>
      </c>
      <c r="AD42" s="726">
        <v>2786455</v>
      </c>
      <c r="AE42" s="470">
        <v>6571</v>
      </c>
      <c r="AF42" s="723">
        <f t="shared" si="15"/>
        <v>2793026</v>
      </c>
      <c r="AG42" s="726">
        <v>2568791</v>
      </c>
      <c r="AH42" s="470">
        <v>11598</v>
      </c>
      <c r="AI42" s="723">
        <f t="shared" si="20"/>
        <v>2580389</v>
      </c>
      <c r="AJ42" s="726">
        <v>4822434</v>
      </c>
      <c r="AK42" s="470">
        <v>0</v>
      </c>
      <c r="AL42" s="723">
        <f t="shared" si="21"/>
        <v>2599661.0201145653</v>
      </c>
      <c r="AM42" s="726">
        <v>3163340</v>
      </c>
      <c r="AN42" s="470">
        <v>79</v>
      </c>
      <c r="AO42" s="723">
        <f t="shared" si="24"/>
        <v>3163419</v>
      </c>
      <c r="AP42" s="726">
        <v>3298043</v>
      </c>
      <c r="AQ42" s="470">
        <v>49376</v>
      </c>
      <c r="AR42" s="723">
        <f t="shared" si="3"/>
        <v>3347419</v>
      </c>
      <c r="AS42" s="726">
        <v>4263922</v>
      </c>
      <c r="AT42" s="470">
        <v>50700</v>
      </c>
      <c r="AU42" s="723">
        <f t="shared" si="4"/>
        <v>4314622</v>
      </c>
      <c r="AV42" s="1159">
        <v>7542172</v>
      </c>
      <c r="AW42" s="1029">
        <v>7613</v>
      </c>
      <c r="AX42" s="1155">
        <f t="shared" si="5"/>
        <v>7549785</v>
      </c>
      <c r="AY42" s="1159">
        <v>3943097</v>
      </c>
      <c r="AZ42" s="1029">
        <v>0</v>
      </c>
      <c r="BA42" s="1154">
        <f t="shared" si="6"/>
        <v>3943097</v>
      </c>
      <c r="BB42" s="1159">
        <f>BB102</f>
        <v>4596749</v>
      </c>
      <c r="BC42" s="1029">
        <f>BC102</f>
        <v>0</v>
      </c>
      <c r="BD42" s="1155">
        <f t="shared" si="7"/>
        <v>4596749</v>
      </c>
      <c r="BE42" s="1877">
        <f>BE102</f>
        <v>3412693</v>
      </c>
      <c r="BF42" s="1878">
        <f>BF102</f>
        <v>0</v>
      </c>
      <c r="BG42" s="1882">
        <f t="shared" si="8"/>
        <v>3412693</v>
      </c>
      <c r="BH42" s="1877">
        <f>BH102</f>
        <v>3776314</v>
      </c>
      <c r="BI42" s="1878">
        <f>BI102</f>
        <v>30029</v>
      </c>
      <c r="BJ42" s="1882">
        <f t="shared" si="9"/>
        <v>3806343</v>
      </c>
      <c r="BL42" s="75">
        <f t="shared" si="17"/>
        <v>2599661.0201145653</v>
      </c>
      <c r="BM42" s="527">
        <v>1.0090265615878575</v>
      </c>
    </row>
    <row r="43" spans="1:65">
      <c r="A43" s="104">
        <v>301</v>
      </c>
      <c r="B43" s="104" t="s">
        <v>191</v>
      </c>
      <c r="C43" s="106">
        <v>893684</v>
      </c>
      <c r="D43" s="106">
        <v>157974</v>
      </c>
      <c r="E43" s="122">
        <v>1051658</v>
      </c>
      <c r="F43" s="106">
        <v>1026739</v>
      </c>
      <c r="G43" s="106">
        <v>1019</v>
      </c>
      <c r="H43" s="124">
        <v>1027758</v>
      </c>
      <c r="I43" s="106">
        <v>859880</v>
      </c>
      <c r="J43" s="106">
        <v>0</v>
      </c>
      <c r="K43" s="124">
        <v>859880</v>
      </c>
      <c r="L43" s="104">
        <v>938665</v>
      </c>
      <c r="M43" s="104">
        <v>0</v>
      </c>
      <c r="N43" s="122">
        <f t="shared" si="23"/>
        <v>938665</v>
      </c>
      <c r="O43" s="104">
        <v>717179</v>
      </c>
      <c r="P43" s="104">
        <v>4483</v>
      </c>
      <c r="Q43" s="122">
        <f t="shared" si="10"/>
        <v>721662</v>
      </c>
      <c r="R43" s="104">
        <v>582700</v>
      </c>
      <c r="S43" s="104">
        <v>0</v>
      </c>
      <c r="T43" s="122">
        <f t="shared" si="11"/>
        <v>582700</v>
      </c>
      <c r="U43" s="287">
        <v>445643</v>
      </c>
      <c r="V43" s="287">
        <v>13324</v>
      </c>
      <c r="W43" s="468">
        <f t="shared" si="12"/>
        <v>458967</v>
      </c>
      <c r="X43" s="157">
        <v>913115</v>
      </c>
      <c r="Y43" s="157">
        <v>1651</v>
      </c>
      <c r="Z43" s="285">
        <f t="shared" si="18"/>
        <v>914766</v>
      </c>
      <c r="AA43" s="470">
        <v>778958</v>
      </c>
      <c r="AB43" s="470">
        <v>24898</v>
      </c>
      <c r="AC43" s="287">
        <f t="shared" si="19"/>
        <v>803856</v>
      </c>
      <c r="AD43" s="726">
        <v>1368971</v>
      </c>
      <c r="AE43" s="470">
        <v>127155</v>
      </c>
      <c r="AF43" s="723">
        <f t="shared" si="15"/>
        <v>1496126</v>
      </c>
      <c r="AG43" s="726">
        <v>803983</v>
      </c>
      <c r="AH43" s="470">
        <v>151894</v>
      </c>
      <c r="AI43" s="723">
        <f t="shared" si="20"/>
        <v>955877</v>
      </c>
      <c r="AJ43" s="726">
        <v>1140385</v>
      </c>
      <c r="AK43" s="470">
        <v>0</v>
      </c>
      <c r="AL43" s="723">
        <f t="shared" si="21"/>
        <v>973788.28395495028</v>
      </c>
      <c r="AM43" s="726">
        <v>858303</v>
      </c>
      <c r="AN43" s="470">
        <v>13849</v>
      </c>
      <c r="AO43" s="723">
        <f t="shared" si="24"/>
        <v>872152</v>
      </c>
      <c r="AP43" s="726">
        <v>399471</v>
      </c>
      <c r="AQ43" s="470">
        <v>204030</v>
      </c>
      <c r="AR43" s="723">
        <f t="shared" si="3"/>
        <v>603501</v>
      </c>
      <c r="AS43" s="726">
        <v>1483649</v>
      </c>
      <c r="AT43" s="470">
        <v>493207</v>
      </c>
      <c r="AU43" s="723">
        <f t="shared" si="4"/>
        <v>1976856</v>
      </c>
      <c r="AV43" s="1159">
        <v>1429914</v>
      </c>
      <c r="AW43" s="1029">
        <v>15535</v>
      </c>
      <c r="AX43" s="1155">
        <f t="shared" si="5"/>
        <v>1445449</v>
      </c>
      <c r="AY43" s="1159">
        <v>899121</v>
      </c>
      <c r="AZ43" s="1029">
        <v>7575</v>
      </c>
      <c r="BA43" s="1154">
        <f t="shared" si="6"/>
        <v>906696</v>
      </c>
      <c r="BB43" s="1159">
        <f>BB79</f>
        <v>700303</v>
      </c>
      <c r="BC43" s="1029">
        <f>BC79</f>
        <v>0</v>
      </c>
      <c r="BD43" s="1155">
        <f t="shared" si="7"/>
        <v>700303</v>
      </c>
      <c r="BE43" s="1877">
        <f>BE79</f>
        <v>901122</v>
      </c>
      <c r="BF43" s="1878">
        <f>BF79</f>
        <v>2240</v>
      </c>
      <c r="BG43" s="1882">
        <f t="shared" si="8"/>
        <v>903362</v>
      </c>
      <c r="BH43" s="1877">
        <f>BH79</f>
        <v>536207</v>
      </c>
      <c r="BI43" s="1878">
        <f>BI79</f>
        <v>7378</v>
      </c>
      <c r="BJ43" s="1882">
        <f t="shared" si="9"/>
        <v>543585</v>
      </c>
      <c r="BL43" s="75">
        <f t="shared" si="17"/>
        <v>973788.28395495028</v>
      </c>
      <c r="BM43" s="527">
        <v>1.0080856650418766</v>
      </c>
    </row>
    <row r="44" spans="1:65">
      <c r="A44" s="104">
        <v>365</v>
      </c>
      <c r="B44" s="104" t="s">
        <v>580</v>
      </c>
      <c r="C44" s="106">
        <v>1426517</v>
      </c>
      <c r="D44" s="106">
        <v>304502</v>
      </c>
      <c r="E44" s="122">
        <v>1731019</v>
      </c>
      <c r="F44" s="106">
        <v>1291069</v>
      </c>
      <c r="G44" s="106">
        <v>146340</v>
      </c>
      <c r="H44" s="124">
        <v>1437409</v>
      </c>
      <c r="I44" s="106">
        <v>1187351</v>
      </c>
      <c r="J44" s="106">
        <v>65336</v>
      </c>
      <c r="K44" s="124">
        <v>1252687</v>
      </c>
      <c r="L44" s="104">
        <v>1010915</v>
      </c>
      <c r="M44" s="104">
        <v>11477</v>
      </c>
      <c r="N44" s="122">
        <f t="shared" si="23"/>
        <v>1022392</v>
      </c>
      <c r="O44" s="104">
        <v>1442736</v>
      </c>
      <c r="P44" s="104">
        <v>75446</v>
      </c>
      <c r="Q44" s="122">
        <f t="shared" si="10"/>
        <v>1518182</v>
      </c>
      <c r="R44" s="104">
        <v>2166536</v>
      </c>
      <c r="S44" s="104">
        <v>99626</v>
      </c>
      <c r="T44" s="122">
        <f t="shared" si="11"/>
        <v>2266162</v>
      </c>
      <c r="U44" s="287">
        <v>1069435</v>
      </c>
      <c r="V44" s="287">
        <v>151472</v>
      </c>
      <c r="W44" s="468">
        <f t="shared" si="12"/>
        <v>1220907</v>
      </c>
      <c r="X44" s="157">
        <v>2127200</v>
      </c>
      <c r="Y44" s="157">
        <v>420022</v>
      </c>
      <c r="Z44" s="285">
        <f t="shared" si="18"/>
        <v>2547222</v>
      </c>
      <c r="AA44" s="470">
        <v>2186054</v>
      </c>
      <c r="AB44" s="470">
        <v>91409</v>
      </c>
      <c r="AC44" s="287">
        <f t="shared" si="19"/>
        <v>2277463</v>
      </c>
      <c r="AD44" s="726">
        <v>1035670</v>
      </c>
      <c r="AE44" s="470">
        <v>46269</v>
      </c>
      <c r="AF44" s="723">
        <f t="shared" si="15"/>
        <v>1081939</v>
      </c>
      <c r="AG44" s="726">
        <v>1632008</v>
      </c>
      <c r="AH44" s="470">
        <v>22475</v>
      </c>
      <c r="AI44" s="723">
        <f t="shared" si="20"/>
        <v>1654483</v>
      </c>
      <c r="AJ44" s="726">
        <v>1271231</v>
      </c>
      <c r="AK44" s="470">
        <v>204</v>
      </c>
      <c r="AL44" s="723">
        <f t="shared" si="21"/>
        <v>1644427.4925610519</v>
      </c>
      <c r="AM44" s="726">
        <v>1407236</v>
      </c>
      <c r="AN44" s="470">
        <v>57785</v>
      </c>
      <c r="AO44" s="723">
        <f t="shared" si="24"/>
        <v>1465021</v>
      </c>
      <c r="AP44" s="726">
        <v>2114478</v>
      </c>
      <c r="AQ44" s="470">
        <v>89354</v>
      </c>
      <c r="AR44" s="723">
        <f t="shared" si="3"/>
        <v>2203832</v>
      </c>
      <c r="AS44" s="726">
        <v>821016</v>
      </c>
      <c r="AT44" s="470">
        <v>31606</v>
      </c>
      <c r="AU44" s="723">
        <f t="shared" si="4"/>
        <v>852622</v>
      </c>
      <c r="AV44" s="1159">
        <v>815300</v>
      </c>
      <c r="AW44" s="1029">
        <v>0</v>
      </c>
      <c r="AX44" s="1155">
        <f t="shared" si="5"/>
        <v>815300</v>
      </c>
      <c r="AY44" s="1159">
        <v>647399</v>
      </c>
      <c r="AZ44" s="1029">
        <v>3202</v>
      </c>
      <c r="BA44" s="1154">
        <f t="shared" si="6"/>
        <v>650601</v>
      </c>
      <c r="BB44" s="1159">
        <f>BB92</f>
        <v>851003</v>
      </c>
      <c r="BC44" s="1029">
        <f>BC92</f>
        <v>0</v>
      </c>
      <c r="BD44" s="1155">
        <f t="shared" si="7"/>
        <v>851003</v>
      </c>
      <c r="BE44" s="1877">
        <f>BE92</f>
        <v>1414700</v>
      </c>
      <c r="BF44" s="1878">
        <f>BF92</f>
        <v>2680</v>
      </c>
      <c r="BG44" s="1882">
        <f t="shared" si="8"/>
        <v>1417380</v>
      </c>
      <c r="BH44" s="1877">
        <f>BH92</f>
        <v>3633321</v>
      </c>
      <c r="BI44" s="1878">
        <f>BI92</f>
        <v>4938</v>
      </c>
      <c r="BJ44" s="1882">
        <f t="shared" si="9"/>
        <v>3638259</v>
      </c>
      <c r="BL44" s="75">
        <f t="shared" si="17"/>
        <v>1644427.4925610519</v>
      </c>
      <c r="BM44" s="527">
        <v>1.0099495240842227</v>
      </c>
    </row>
    <row r="45" spans="1:65">
      <c r="A45" s="104">
        <v>381</v>
      </c>
      <c r="B45" s="104" t="s">
        <v>196</v>
      </c>
      <c r="C45" s="106">
        <v>1351728</v>
      </c>
      <c r="D45" s="106">
        <v>2184</v>
      </c>
      <c r="E45" s="122">
        <v>1353912</v>
      </c>
      <c r="F45" s="106">
        <v>2027266</v>
      </c>
      <c r="G45" s="106">
        <v>0</v>
      </c>
      <c r="H45" s="124">
        <v>2027266</v>
      </c>
      <c r="I45" s="106">
        <v>1178142</v>
      </c>
      <c r="J45" s="106">
        <v>0</v>
      </c>
      <c r="K45" s="124">
        <v>1178142</v>
      </c>
      <c r="L45" s="104">
        <v>1023359</v>
      </c>
      <c r="M45" s="104">
        <v>0</v>
      </c>
      <c r="N45" s="122">
        <f t="shared" si="23"/>
        <v>1023359</v>
      </c>
      <c r="O45" s="104">
        <v>828371</v>
      </c>
      <c r="P45" s="104">
        <v>0</v>
      </c>
      <c r="Q45" s="122">
        <f t="shared" si="10"/>
        <v>828371</v>
      </c>
      <c r="R45" s="104">
        <v>1203912</v>
      </c>
      <c r="S45" s="104">
        <v>0</v>
      </c>
      <c r="T45" s="122">
        <f t="shared" si="11"/>
        <v>1203912</v>
      </c>
      <c r="U45" s="287">
        <v>549388</v>
      </c>
      <c r="V45" s="287">
        <v>0</v>
      </c>
      <c r="W45" s="468">
        <f t="shared" si="12"/>
        <v>549388</v>
      </c>
      <c r="X45" s="157">
        <v>485076</v>
      </c>
      <c r="Y45" s="157">
        <v>6998</v>
      </c>
      <c r="Z45" s="285">
        <f t="shared" si="18"/>
        <v>492074</v>
      </c>
      <c r="AA45" s="470">
        <v>1111302</v>
      </c>
      <c r="AB45" s="470">
        <v>133</v>
      </c>
      <c r="AC45" s="287">
        <f t="shared" si="19"/>
        <v>1111435</v>
      </c>
      <c r="AD45" s="726">
        <v>784934</v>
      </c>
      <c r="AE45" s="470">
        <v>111</v>
      </c>
      <c r="AF45" s="723">
        <f t="shared" si="15"/>
        <v>785045</v>
      </c>
      <c r="AG45" s="726">
        <v>641998</v>
      </c>
      <c r="AH45" s="470">
        <v>0</v>
      </c>
      <c r="AI45" s="723">
        <f t="shared" si="20"/>
        <v>641998</v>
      </c>
      <c r="AJ45" s="726">
        <v>1407579</v>
      </c>
      <c r="AK45" s="470">
        <v>0</v>
      </c>
      <c r="AL45" s="723">
        <f t="shared" si="21"/>
        <v>748052.66892262804</v>
      </c>
      <c r="AM45" s="726">
        <v>1566987</v>
      </c>
      <c r="AN45" s="470">
        <v>0</v>
      </c>
      <c r="AO45" s="723">
        <f t="shared" si="24"/>
        <v>1566987</v>
      </c>
      <c r="AP45" s="726">
        <v>791610</v>
      </c>
      <c r="AQ45" s="470">
        <v>8648</v>
      </c>
      <c r="AR45" s="723">
        <f t="shared" si="3"/>
        <v>800258</v>
      </c>
      <c r="AS45" s="726">
        <v>1570245</v>
      </c>
      <c r="AT45" s="470">
        <v>0</v>
      </c>
      <c r="AU45" s="723">
        <f t="shared" si="4"/>
        <v>1570245</v>
      </c>
      <c r="AV45" s="1159">
        <v>1954596</v>
      </c>
      <c r="AW45" s="1029">
        <v>0</v>
      </c>
      <c r="AX45" s="1155">
        <f t="shared" si="5"/>
        <v>1954596</v>
      </c>
      <c r="AY45" s="1159">
        <v>2065543</v>
      </c>
      <c r="AZ45" s="1029">
        <v>0</v>
      </c>
      <c r="BA45" s="1154">
        <f t="shared" si="6"/>
        <v>2065543</v>
      </c>
      <c r="BB45" s="1159">
        <f>BB84</f>
        <v>1049605</v>
      </c>
      <c r="BC45" s="1029">
        <f>BC84</f>
        <v>0</v>
      </c>
      <c r="BD45" s="1155">
        <f t="shared" si="7"/>
        <v>1049605</v>
      </c>
      <c r="BE45" s="1877">
        <f>BE84</f>
        <v>1210696</v>
      </c>
      <c r="BF45" s="1878">
        <f>BF84</f>
        <v>0</v>
      </c>
      <c r="BG45" s="1882">
        <f t="shared" si="8"/>
        <v>1210696</v>
      </c>
      <c r="BH45" s="1877">
        <f>BH84</f>
        <v>1045872</v>
      </c>
      <c r="BI45" s="1878">
        <f>BI84</f>
        <v>0</v>
      </c>
      <c r="BJ45" s="1882">
        <f t="shared" si="9"/>
        <v>1045872</v>
      </c>
      <c r="BL45" s="75">
        <f t="shared" si="17"/>
        <v>748052.66892262804</v>
      </c>
      <c r="BM45" s="527">
        <v>1.0125067957302922</v>
      </c>
    </row>
    <row r="46" spans="1:65">
      <c r="A46" s="104">
        <v>382</v>
      </c>
      <c r="B46" s="104" t="s">
        <v>197</v>
      </c>
      <c r="C46" s="106">
        <v>2190413</v>
      </c>
      <c r="D46" s="106">
        <v>0</v>
      </c>
      <c r="E46" s="122">
        <v>2190413</v>
      </c>
      <c r="F46" s="106">
        <v>1499827</v>
      </c>
      <c r="G46" s="106">
        <v>0</v>
      </c>
      <c r="H46" s="124">
        <v>1499827</v>
      </c>
      <c r="I46" s="106">
        <v>1159837</v>
      </c>
      <c r="J46" s="106">
        <v>0</v>
      </c>
      <c r="K46" s="124">
        <v>1159837</v>
      </c>
      <c r="L46" s="104">
        <v>1203429</v>
      </c>
      <c r="M46" s="104">
        <v>0</v>
      </c>
      <c r="N46" s="122">
        <f t="shared" si="23"/>
        <v>1203429</v>
      </c>
      <c r="O46" s="104">
        <v>892360</v>
      </c>
      <c r="P46" s="104">
        <v>0</v>
      </c>
      <c r="Q46" s="122">
        <f t="shared" si="10"/>
        <v>892360</v>
      </c>
      <c r="R46" s="104">
        <v>1568862</v>
      </c>
      <c r="S46" s="104">
        <v>0</v>
      </c>
      <c r="T46" s="122">
        <f t="shared" si="11"/>
        <v>1568862</v>
      </c>
      <c r="U46" s="287">
        <v>767103</v>
      </c>
      <c r="V46" s="287">
        <v>0</v>
      </c>
      <c r="W46" s="468">
        <f t="shared" si="12"/>
        <v>767103</v>
      </c>
      <c r="X46" s="157">
        <v>995591</v>
      </c>
      <c r="Y46" s="157">
        <v>0</v>
      </c>
      <c r="Z46" s="285">
        <f t="shared" si="18"/>
        <v>995591</v>
      </c>
      <c r="AA46" s="470">
        <v>817264</v>
      </c>
      <c r="AB46" s="470">
        <v>0</v>
      </c>
      <c r="AC46" s="287">
        <f t="shared" si="19"/>
        <v>817264</v>
      </c>
      <c r="AD46" s="726">
        <v>1532225</v>
      </c>
      <c r="AE46" s="470">
        <v>0</v>
      </c>
      <c r="AF46" s="723">
        <f t="shared" si="15"/>
        <v>1532225</v>
      </c>
      <c r="AG46" s="726">
        <v>1348144</v>
      </c>
      <c r="AH46" s="470">
        <v>0</v>
      </c>
      <c r="AI46" s="723">
        <f t="shared" si="20"/>
        <v>1348144</v>
      </c>
      <c r="AJ46" s="726">
        <v>1518336</v>
      </c>
      <c r="AK46" s="470">
        <v>0</v>
      </c>
      <c r="AL46" s="723">
        <f t="shared" si="21"/>
        <v>1298774.6474781763</v>
      </c>
      <c r="AM46" s="726">
        <v>1985071</v>
      </c>
      <c r="AN46" s="470">
        <v>0</v>
      </c>
      <c r="AO46" s="723">
        <f t="shared" si="24"/>
        <v>1985071</v>
      </c>
      <c r="AP46" s="726">
        <v>1790791</v>
      </c>
      <c r="AQ46" s="470">
        <v>0</v>
      </c>
      <c r="AR46" s="723">
        <f t="shared" si="3"/>
        <v>1790791</v>
      </c>
      <c r="AS46" s="726">
        <v>1434797</v>
      </c>
      <c r="AT46" s="470">
        <v>0</v>
      </c>
      <c r="AU46" s="723">
        <f t="shared" si="4"/>
        <v>1434797</v>
      </c>
      <c r="AV46" s="1159">
        <v>2783606</v>
      </c>
      <c r="AW46" s="1029">
        <v>0</v>
      </c>
      <c r="AX46" s="1155">
        <f t="shared" si="5"/>
        <v>2783606</v>
      </c>
      <c r="AY46" s="1159">
        <v>3024154</v>
      </c>
      <c r="AZ46" s="1029">
        <v>0</v>
      </c>
      <c r="BA46" s="1154">
        <f t="shared" si="6"/>
        <v>3024154</v>
      </c>
      <c r="BB46" s="1159">
        <f t="shared" ref="BB46:BC46" si="25">BB85</f>
        <v>1917196</v>
      </c>
      <c r="BC46" s="1029">
        <f t="shared" si="25"/>
        <v>0</v>
      </c>
      <c r="BD46" s="1155">
        <f t="shared" si="7"/>
        <v>1917196</v>
      </c>
      <c r="BE46" s="1877">
        <f t="shared" ref="BE46:BF46" si="26">BE85</f>
        <v>661573</v>
      </c>
      <c r="BF46" s="1878">
        <f t="shared" si="26"/>
        <v>0</v>
      </c>
      <c r="BG46" s="1882">
        <f t="shared" si="8"/>
        <v>661573</v>
      </c>
      <c r="BH46" s="1877">
        <f t="shared" ref="BH46:BI46" si="27">BH85</f>
        <v>1296690</v>
      </c>
      <c r="BI46" s="1878">
        <f t="shared" si="27"/>
        <v>0</v>
      </c>
      <c r="BJ46" s="1882">
        <f t="shared" si="9"/>
        <v>1296690</v>
      </c>
      <c r="BL46" s="75">
        <f t="shared" si="17"/>
        <v>1298774.6474781763</v>
      </c>
      <c r="BM46" s="527">
        <v>1.0125067957302922</v>
      </c>
    </row>
    <row r="47" spans="1:65">
      <c r="A47" s="104">
        <v>442</v>
      </c>
      <c r="B47" s="104" t="s">
        <v>203</v>
      </c>
      <c r="C47" s="106">
        <v>134478</v>
      </c>
      <c r="D47" s="106">
        <v>18206</v>
      </c>
      <c r="E47" s="122">
        <v>152684</v>
      </c>
      <c r="F47" s="106">
        <v>193214</v>
      </c>
      <c r="G47" s="106">
        <v>24599</v>
      </c>
      <c r="H47" s="124">
        <v>217813</v>
      </c>
      <c r="I47" s="106">
        <v>178915</v>
      </c>
      <c r="J47" s="106">
        <v>30518</v>
      </c>
      <c r="K47" s="124">
        <v>209433</v>
      </c>
      <c r="L47" s="104">
        <v>146906</v>
      </c>
      <c r="M47" s="104">
        <v>4207</v>
      </c>
      <c r="N47" s="122">
        <f t="shared" si="23"/>
        <v>151113</v>
      </c>
      <c r="O47" s="104">
        <v>421153</v>
      </c>
      <c r="P47" s="104">
        <v>1485</v>
      </c>
      <c r="Q47" s="122">
        <f t="shared" si="10"/>
        <v>422638</v>
      </c>
      <c r="R47" s="104">
        <v>291011</v>
      </c>
      <c r="S47" s="104">
        <v>64901</v>
      </c>
      <c r="T47" s="122">
        <f t="shared" si="11"/>
        <v>355912</v>
      </c>
      <c r="U47" s="287">
        <v>204231</v>
      </c>
      <c r="V47" s="287">
        <v>133040</v>
      </c>
      <c r="W47" s="468">
        <f t="shared" si="12"/>
        <v>337271</v>
      </c>
      <c r="X47" s="157">
        <v>213519</v>
      </c>
      <c r="Y47" s="157">
        <v>275872</v>
      </c>
      <c r="Z47" s="285">
        <f t="shared" si="18"/>
        <v>489391</v>
      </c>
      <c r="AA47" s="470">
        <v>670268</v>
      </c>
      <c r="AB47" s="470">
        <v>80145</v>
      </c>
      <c r="AC47" s="287">
        <f t="shared" si="19"/>
        <v>750413</v>
      </c>
      <c r="AD47" s="726">
        <v>301656</v>
      </c>
      <c r="AE47" s="470">
        <v>7000</v>
      </c>
      <c r="AF47" s="723">
        <f t="shared" si="15"/>
        <v>308656</v>
      </c>
      <c r="AG47" s="726">
        <v>342120</v>
      </c>
      <c r="AH47" s="470">
        <v>11418</v>
      </c>
      <c r="AI47" s="723">
        <f t="shared" si="20"/>
        <v>353538</v>
      </c>
      <c r="AJ47" s="726">
        <v>643885</v>
      </c>
      <c r="AK47" s="470">
        <v>0</v>
      </c>
      <c r="AL47" s="723">
        <f t="shared" si="21"/>
        <v>397323.19294350583</v>
      </c>
      <c r="AM47" s="726">
        <v>715477</v>
      </c>
      <c r="AN47" s="470">
        <v>231305</v>
      </c>
      <c r="AO47" s="723">
        <f t="shared" si="24"/>
        <v>946782</v>
      </c>
      <c r="AP47" s="726">
        <v>1420054</v>
      </c>
      <c r="AQ47" s="470">
        <v>340796</v>
      </c>
      <c r="AR47" s="723">
        <f t="shared" si="3"/>
        <v>1760850</v>
      </c>
      <c r="AS47" s="726">
        <v>520209</v>
      </c>
      <c r="AT47" s="470">
        <v>0</v>
      </c>
      <c r="AU47" s="723">
        <f t="shared" si="4"/>
        <v>520209</v>
      </c>
      <c r="AV47" s="1159">
        <v>996716</v>
      </c>
      <c r="AW47" s="1029">
        <v>0</v>
      </c>
      <c r="AX47" s="1155">
        <f t="shared" si="5"/>
        <v>996716</v>
      </c>
      <c r="AY47" s="1159">
        <v>650197</v>
      </c>
      <c r="AZ47" s="1029">
        <v>18991</v>
      </c>
      <c r="BA47" s="1154">
        <f t="shared" si="6"/>
        <v>669188</v>
      </c>
      <c r="BB47" s="1159">
        <f>BB95</f>
        <v>585729</v>
      </c>
      <c r="BC47" s="1029">
        <f>BC95</f>
        <v>0</v>
      </c>
      <c r="BD47" s="1155">
        <f t="shared" si="7"/>
        <v>585729</v>
      </c>
      <c r="BE47" s="1877">
        <f>BE95</f>
        <v>656590</v>
      </c>
      <c r="BF47" s="1878">
        <f>BF95</f>
        <v>7355</v>
      </c>
      <c r="BG47" s="1882">
        <f t="shared" si="8"/>
        <v>663945</v>
      </c>
      <c r="BH47" s="1877">
        <f>BH95</f>
        <v>1133099</v>
      </c>
      <c r="BI47" s="1878">
        <f>BI95</f>
        <v>2437</v>
      </c>
      <c r="BJ47" s="1882">
        <f t="shared" si="9"/>
        <v>1135536</v>
      </c>
      <c r="BL47" s="75">
        <f t="shared" si="17"/>
        <v>397323.19294350583</v>
      </c>
      <c r="BM47" s="527">
        <v>1.0087507402891482</v>
      </c>
    </row>
    <row r="48" spans="1:65">
      <c r="A48" s="104">
        <v>443</v>
      </c>
      <c r="B48" s="104" t="s">
        <v>204</v>
      </c>
      <c r="C48" s="106">
        <v>632009</v>
      </c>
      <c r="D48" s="106">
        <v>8523</v>
      </c>
      <c r="E48" s="122">
        <v>640532</v>
      </c>
      <c r="F48" s="106">
        <v>573614</v>
      </c>
      <c r="G48" s="106">
        <v>8809</v>
      </c>
      <c r="H48" s="124">
        <v>582423</v>
      </c>
      <c r="I48" s="106">
        <v>564328</v>
      </c>
      <c r="J48" s="106">
        <v>5148</v>
      </c>
      <c r="K48" s="124">
        <v>569476</v>
      </c>
      <c r="L48" s="104">
        <v>609604</v>
      </c>
      <c r="M48" s="104">
        <v>3723</v>
      </c>
      <c r="N48" s="122">
        <f t="shared" si="23"/>
        <v>613327</v>
      </c>
      <c r="O48" s="104">
        <v>651853</v>
      </c>
      <c r="P48" s="104">
        <v>6498</v>
      </c>
      <c r="Q48" s="122">
        <f t="shared" si="10"/>
        <v>658351</v>
      </c>
      <c r="R48" s="104">
        <v>750093</v>
      </c>
      <c r="S48" s="104">
        <v>8821</v>
      </c>
      <c r="T48" s="122">
        <f t="shared" si="11"/>
        <v>758914</v>
      </c>
      <c r="U48" s="287">
        <v>1085523</v>
      </c>
      <c r="V48" s="287">
        <v>43259</v>
      </c>
      <c r="W48" s="468">
        <f t="shared" si="12"/>
        <v>1128782</v>
      </c>
      <c r="X48" s="157">
        <v>495089</v>
      </c>
      <c r="Y48" s="157">
        <v>70946</v>
      </c>
      <c r="Z48" s="285">
        <f t="shared" si="18"/>
        <v>566035</v>
      </c>
      <c r="AA48" s="470">
        <v>639807</v>
      </c>
      <c r="AB48" s="470">
        <v>4026</v>
      </c>
      <c r="AC48" s="287">
        <f t="shared" si="19"/>
        <v>643833</v>
      </c>
      <c r="AD48" s="726">
        <v>1683266</v>
      </c>
      <c r="AE48" s="470">
        <v>1831</v>
      </c>
      <c r="AF48" s="723">
        <f t="shared" si="15"/>
        <v>1685097</v>
      </c>
      <c r="AG48" s="726">
        <v>1655011</v>
      </c>
      <c r="AH48" s="470">
        <v>3018</v>
      </c>
      <c r="AI48" s="723">
        <f t="shared" si="20"/>
        <v>1658029</v>
      </c>
      <c r="AJ48" s="726">
        <v>1733226</v>
      </c>
      <c r="AK48" s="470">
        <v>0</v>
      </c>
      <c r="AL48" s="723">
        <f t="shared" si="21"/>
        <v>1499282.990585438</v>
      </c>
      <c r="AM48" s="726">
        <v>1316409</v>
      </c>
      <c r="AN48" s="470">
        <v>9284</v>
      </c>
      <c r="AO48" s="723">
        <f t="shared" si="24"/>
        <v>1325693</v>
      </c>
      <c r="AP48" s="726">
        <v>1728780</v>
      </c>
      <c r="AQ48" s="470">
        <v>41732</v>
      </c>
      <c r="AR48" s="723">
        <f t="shared" si="3"/>
        <v>1770512</v>
      </c>
      <c r="AS48" s="726">
        <v>1543855</v>
      </c>
      <c r="AT48" s="470">
        <v>56816</v>
      </c>
      <c r="AU48" s="723">
        <f t="shared" si="4"/>
        <v>1600671</v>
      </c>
      <c r="AV48" s="1159">
        <v>931396</v>
      </c>
      <c r="AW48" s="1029">
        <v>0</v>
      </c>
      <c r="AX48" s="1155">
        <f t="shared" si="5"/>
        <v>931396</v>
      </c>
      <c r="AY48" s="1159">
        <v>774639</v>
      </c>
      <c r="AZ48" s="1029">
        <v>3188</v>
      </c>
      <c r="BA48" s="1154">
        <f t="shared" si="6"/>
        <v>777827</v>
      </c>
      <c r="BB48" s="1159">
        <f t="shared" ref="BB48:BC49" si="28">BB96</f>
        <v>850351</v>
      </c>
      <c r="BC48" s="1029">
        <f t="shared" si="28"/>
        <v>0</v>
      </c>
      <c r="BD48" s="1155">
        <f t="shared" si="7"/>
        <v>850351</v>
      </c>
      <c r="BE48" s="1877">
        <f t="shared" ref="BE48:BF48" si="29">BE96</f>
        <v>887570</v>
      </c>
      <c r="BF48" s="1878">
        <f t="shared" si="29"/>
        <v>0</v>
      </c>
      <c r="BG48" s="1882">
        <f t="shared" si="8"/>
        <v>887570</v>
      </c>
      <c r="BH48" s="1877">
        <f t="shared" ref="BH48:BI48" si="30">BH96</f>
        <v>1214618</v>
      </c>
      <c r="BI48" s="1878">
        <f t="shared" si="30"/>
        <v>0</v>
      </c>
      <c r="BJ48" s="1882">
        <f t="shared" si="9"/>
        <v>1214618</v>
      </c>
      <c r="BL48" s="75">
        <f t="shared" si="17"/>
        <v>1499282.990585438</v>
      </c>
      <c r="BM48" s="527">
        <v>1.0087507402891482</v>
      </c>
    </row>
    <row r="49" spans="1:65">
      <c r="A49" s="104">
        <v>446</v>
      </c>
      <c r="B49" s="104" t="s">
        <v>581</v>
      </c>
      <c r="C49" s="106">
        <v>534169</v>
      </c>
      <c r="D49" s="106">
        <v>29620</v>
      </c>
      <c r="E49" s="122">
        <v>563789</v>
      </c>
      <c r="F49" s="106">
        <v>741499</v>
      </c>
      <c r="G49" s="106">
        <v>30665</v>
      </c>
      <c r="H49" s="124">
        <v>772164</v>
      </c>
      <c r="I49" s="106">
        <v>708817</v>
      </c>
      <c r="J49" s="106">
        <v>4409</v>
      </c>
      <c r="K49" s="124">
        <v>713226</v>
      </c>
      <c r="L49" s="104">
        <v>807898</v>
      </c>
      <c r="M49" s="104">
        <v>0</v>
      </c>
      <c r="N49" s="122">
        <f t="shared" si="23"/>
        <v>807898</v>
      </c>
      <c r="O49" s="104">
        <v>1257995</v>
      </c>
      <c r="P49" s="104">
        <v>135625</v>
      </c>
      <c r="Q49" s="122">
        <f t="shared" si="10"/>
        <v>1393620</v>
      </c>
      <c r="R49" s="104">
        <v>2238230</v>
      </c>
      <c r="S49" s="104">
        <v>10311</v>
      </c>
      <c r="T49" s="122">
        <f t="shared" si="11"/>
        <v>2248541</v>
      </c>
      <c r="U49" s="287">
        <v>650440</v>
      </c>
      <c r="V49" s="287">
        <v>110142</v>
      </c>
      <c r="W49" s="468">
        <f t="shared" si="12"/>
        <v>760582</v>
      </c>
      <c r="X49" s="157">
        <v>1855442</v>
      </c>
      <c r="Y49" s="157">
        <v>98121</v>
      </c>
      <c r="Z49" s="285">
        <f t="shared" si="18"/>
        <v>1953563</v>
      </c>
      <c r="AA49" s="470">
        <v>542412</v>
      </c>
      <c r="AB49" s="470">
        <v>63045</v>
      </c>
      <c r="AC49" s="287">
        <f t="shared" si="19"/>
        <v>605457</v>
      </c>
      <c r="AD49" s="726">
        <v>1120276</v>
      </c>
      <c r="AE49" s="470">
        <v>130456</v>
      </c>
      <c r="AF49" s="723">
        <f t="shared" si="15"/>
        <v>1250732</v>
      </c>
      <c r="AG49" s="726">
        <v>1151091</v>
      </c>
      <c r="AH49" s="470">
        <v>8871</v>
      </c>
      <c r="AI49" s="723">
        <f t="shared" si="20"/>
        <v>1159962</v>
      </c>
      <c r="AJ49" s="726">
        <v>1318064</v>
      </c>
      <c r="AK49" s="470">
        <v>0</v>
      </c>
      <c r="AL49" s="723">
        <f t="shared" si="21"/>
        <v>1054019.4297703071</v>
      </c>
      <c r="AM49" s="726">
        <v>2304448</v>
      </c>
      <c r="AN49" s="470">
        <v>10697</v>
      </c>
      <c r="AO49" s="723">
        <f t="shared" si="24"/>
        <v>2315145</v>
      </c>
      <c r="AP49" s="726">
        <v>1621437</v>
      </c>
      <c r="AQ49" s="470">
        <v>138864</v>
      </c>
      <c r="AR49" s="723">
        <f t="shared" si="3"/>
        <v>1760301</v>
      </c>
      <c r="AS49" s="726">
        <v>1154907</v>
      </c>
      <c r="AT49" s="470">
        <v>52520</v>
      </c>
      <c r="AU49" s="723">
        <f t="shared" si="4"/>
        <v>1207427</v>
      </c>
      <c r="AV49" s="1159">
        <v>1187640</v>
      </c>
      <c r="AW49" s="1029">
        <v>0</v>
      </c>
      <c r="AX49" s="1155">
        <f t="shared" si="5"/>
        <v>1187640</v>
      </c>
      <c r="AY49" s="1159">
        <v>711801</v>
      </c>
      <c r="AZ49" s="1029">
        <v>0</v>
      </c>
      <c r="BA49" s="1154">
        <f t="shared" si="6"/>
        <v>711801</v>
      </c>
      <c r="BB49" s="1159">
        <f t="shared" si="28"/>
        <v>613024</v>
      </c>
      <c r="BC49" s="1029">
        <f t="shared" si="28"/>
        <v>0</v>
      </c>
      <c r="BD49" s="1155">
        <f t="shared" si="7"/>
        <v>613024</v>
      </c>
      <c r="BE49" s="1877">
        <f t="shared" ref="BE49:BF49" si="31">BE97</f>
        <v>717027</v>
      </c>
      <c r="BF49" s="1878">
        <f t="shared" si="31"/>
        <v>0</v>
      </c>
      <c r="BG49" s="1882">
        <f t="shared" si="8"/>
        <v>717027</v>
      </c>
      <c r="BH49" s="1877">
        <f t="shared" ref="BH49:BI49" si="32">BH97</f>
        <v>1621819</v>
      </c>
      <c r="BI49" s="1878">
        <f t="shared" si="32"/>
        <v>0</v>
      </c>
      <c r="BJ49" s="1882">
        <f t="shared" si="9"/>
        <v>1621819</v>
      </c>
      <c r="BL49" s="75">
        <f t="shared" si="17"/>
        <v>1054019.4297703071</v>
      </c>
      <c r="BM49" s="527">
        <v>1.0087507402891482</v>
      </c>
    </row>
    <row r="50" spans="1:65">
      <c r="A50" s="104">
        <v>464</v>
      </c>
      <c r="B50" s="104" t="s">
        <v>208</v>
      </c>
      <c r="C50" s="106">
        <v>1362205</v>
      </c>
      <c r="D50" s="106">
        <v>0</v>
      </c>
      <c r="E50" s="122">
        <v>1362205</v>
      </c>
      <c r="F50" s="106">
        <v>1369698</v>
      </c>
      <c r="G50" s="106">
        <v>0</v>
      </c>
      <c r="H50" s="124">
        <v>1369698</v>
      </c>
      <c r="I50" s="106">
        <v>1388296</v>
      </c>
      <c r="J50" s="106">
        <v>0</v>
      </c>
      <c r="K50" s="124">
        <v>1388296</v>
      </c>
      <c r="L50" s="104">
        <v>1361492</v>
      </c>
      <c r="M50" s="104">
        <v>0</v>
      </c>
      <c r="N50" s="122">
        <f t="shared" si="23"/>
        <v>1361492</v>
      </c>
      <c r="O50" s="104">
        <v>1292056</v>
      </c>
      <c r="P50" s="104">
        <v>3729</v>
      </c>
      <c r="Q50" s="122">
        <f t="shared" si="10"/>
        <v>1295785</v>
      </c>
      <c r="R50" s="104">
        <v>729364</v>
      </c>
      <c r="S50" s="104">
        <v>4421</v>
      </c>
      <c r="T50" s="122">
        <f t="shared" si="11"/>
        <v>733785</v>
      </c>
      <c r="U50" s="287">
        <v>766272</v>
      </c>
      <c r="V50" s="287">
        <v>2423</v>
      </c>
      <c r="W50" s="468">
        <f t="shared" si="12"/>
        <v>768695</v>
      </c>
      <c r="X50" s="157">
        <v>1067178</v>
      </c>
      <c r="Y50" s="157">
        <v>1761</v>
      </c>
      <c r="Z50" s="285">
        <f t="shared" si="18"/>
        <v>1068939</v>
      </c>
      <c r="AA50" s="470">
        <v>584204</v>
      </c>
      <c r="AB50" s="470">
        <v>0</v>
      </c>
      <c r="AC50" s="287">
        <f t="shared" si="19"/>
        <v>584204</v>
      </c>
      <c r="AD50" s="726">
        <v>771560</v>
      </c>
      <c r="AE50" s="470">
        <v>0</v>
      </c>
      <c r="AF50" s="723">
        <f t="shared" si="15"/>
        <v>771560</v>
      </c>
      <c r="AG50" s="726">
        <v>3806069</v>
      </c>
      <c r="AH50" s="470">
        <v>0</v>
      </c>
      <c r="AI50" s="723">
        <f t="shared" si="20"/>
        <v>3806069</v>
      </c>
      <c r="AJ50" s="726">
        <v>1182916</v>
      </c>
      <c r="AK50" s="470">
        <v>0</v>
      </c>
      <c r="AL50" s="723">
        <f t="shared" si="21"/>
        <v>2780517.8581180675</v>
      </c>
      <c r="AM50" s="726">
        <v>773832</v>
      </c>
      <c r="AN50" s="470">
        <v>1806</v>
      </c>
      <c r="AO50" s="723">
        <f t="shared" si="24"/>
        <v>775638</v>
      </c>
      <c r="AP50" s="726">
        <v>502425</v>
      </c>
      <c r="AQ50" s="470">
        <v>0</v>
      </c>
      <c r="AR50" s="723">
        <f t="shared" si="3"/>
        <v>502425</v>
      </c>
      <c r="AS50" s="726">
        <v>1999537</v>
      </c>
      <c r="AT50" s="470">
        <v>0</v>
      </c>
      <c r="AU50" s="723">
        <f t="shared" si="4"/>
        <v>1999537</v>
      </c>
      <c r="AV50" s="1159">
        <v>2274933</v>
      </c>
      <c r="AW50" s="1029">
        <v>0</v>
      </c>
      <c r="AX50" s="1155">
        <f t="shared" si="5"/>
        <v>2274933</v>
      </c>
      <c r="AY50" s="1159">
        <v>774571</v>
      </c>
      <c r="AZ50" s="1029">
        <v>0</v>
      </c>
      <c r="BA50" s="1154">
        <f t="shared" si="6"/>
        <v>774571</v>
      </c>
      <c r="BB50" s="1159">
        <f>BB103</f>
        <v>658950</v>
      </c>
      <c r="BC50" s="1029">
        <f>BC103</f>
        <v>0</v>
      </c>
      <c r="BD50" s="1155">
        <f t="shared" si="7"/>
        <v>658950</v>
      </c>
      <c r="BE50" s="1877">
        <f>BE103</f>
        <v>445952</v>
      </c>
      <c r="BF50" s="1878">
        <f>BF103</f>
        <v>0</v>
      </c>
      <c r="BG50" s="1882">
        <f t="shared" si="8"/>
        <v>445952</v>
      </c>
      <c r="BH50" s="1877">
        <f>BH103</f>
        <v>792139</v>
      </c>
      <c r="BI50" s="1878">
        <f>BI103</f>
        <v>17226</v>
      </c>
      <c r="BJ50" s="1882">
        <f t="shared" si="9"/>
        <v>809365</v>
      </c>
      <c r="BL50" s="75">
        <f t="shared" si="17"/>
        <v>2780517.8581180675</v>
      </c>
      <c r="BM50" s="527">
        <v>1.0090265615878575</v>
      </c>
    </row>
    <row r="51" spans="1:65">
      <c r="A51" s="104">
        <v>481</v>
      </c>
      <c r="B51" s="104" t="s">
        <v>209</v>
      </c>
      <c r="C51" s="106">
        <v>2304659</v>
      </c>
      <c r="D51" s="106">
        <v>157167</v>
      </c>
      <c r="E51" s="122">
        <v>2461826</v>
      </c>
      <c r="F51" s="106">
        <v>1523465</v>
      </c>
      <c r="G51" s="106">
        <v>21171</v>
      </c>
      <c r="H51" s="124">
        <v>1544636</v>
      </c>
      <c r="I51" s="106">
        <v>1912147</v>
      </c>
      <c r="J51" s="106">
        <v>10176</v>
      </c>
      <c r="K51" s="124">
        <v>1922323</v>
      </c>
      <c r="L51" s="104">
        <v>950665</v>
      </c>
      <c r="M51" s="104">
        <v>0</v>
      </c>
      <c r="N51" s="122">
        <f t="shared" si="23"/>
        <v>950665</v>
      </c>
      <c r="O51" s="104">
        <v>1246600</v>
      </c>
      <c r="P51" s="104">
        <v>56385</v>
      </c>
      <c r="Q51" s="122">
        <f t="shared" si="10"/>
        <v>1302985</v>
      </c>
      <c r="R51" s="104">
        <v>1057955</v>
      </c>
      <c r="S51" s="104">
        <v>51630</v>
      </c>
      <c r="T51" s="122">
        <f t="shared" si="11"/>
        <v>1109585</v>
      </c>
      <c r="U51" s="287">
        <v>687563</v>
      </c>
      <c r="V51" s="287">
        <v>7078</v>
      </c>
      <c r="W51" s="468">
        <f t="shared" si="12"/>
        <v>694641</v>
      </c>
      <c r="X51" s="157">
        <v>875621</v>
      </c>
      <c r="Y51" s="157">
        <v>16853</v>
      </c>
      <c r="Z51" s="285">
        <f t="shared" si="18"/>
        <v>892474</v>
      </c>
      <c r="AA51" s="470">
        <v>862889</v>
      </c>
      <c r="AB51" s="470">
        <v>23633</v>
      </c>
      <c r="AC51" s="287">
        <f t="shared" si="19"/>
        <v>886522</v>
      </c>
      <c r="AD51" s="726">
        <v>490560</v>
      </c>
      <c r="AE51" s="470">
        <v>8004</v>
      </c>
      <c r="AF51" s="723">
        <f t="shared" si="15"/>
        <v>498564</v>
      </c>
      <c r="AG51" s="726">
        <v>501259</v>
      </c>
      <c r="AH51" s="470">
        <v>8108</v>
      </c>
      <c r="AI51" s="723">
        <f t="shared" si="20"/>
        <v>509367</v>
      </c>
      <c r="AJ51" s="726">
        <v>435866</v>
      </c>
      <c r="AK51" s="470">
        <v>21635</v>
      </c>
      <c r="AL51" s="723">
        <f t="shared" si="21"/>
        <v>566100.41629816114</v>
      </c>
      <c r="AM51" s="726">
        <v>761042</v>
      </c>
      <c r="AN51" s="470">
        <v>28691</v>
      </c>
      <c r="AO51" s="723">
        <f t="shared" si="24"/>
        <v>789733</v>
      </c>
      <c r="AP51" s="726">
        <v>543585</v>
      </c>
      <c r="AQ51" s="470">
        <v>23517</v>
      </c>
      <c r="AR51" s="723">
        <f t="shared" si="3"/>
        <v>567102</v>
      </c>
      <c r="AS51" s="726">
        <v>1030762</v>
      </c>
      <c r="AT51" s="470">
        <v>0</v>
      </c>
      <c r="AU51" s="723">
        <f t="shared" si="4"/>
        <v>1030762</v>
      </c>
      <c r="AV51" s="1159">
        <v>1396953</v>
      </c>
      <c r="AW51" s="1029">
        <v>0</v>
      </c>
      <c r="AX51" s="1155">
        <f t="shared" si="5"/>
        <v>1396953</v>
      </c>
      <c r="AY51" s="1159">
        <v>1059292</v>
      </c>
      <c r="AZ51" s="1029">
        <v>0</v>
      </c>
      <c r="BA51" s="1154">
        <f t="shared" si="6"/>
        <v>1059292</v>
      </c>
      <c r="BB51" s="1159">
        <f t="shared" ref="BB51:BC52" si="33">BB104</f>
        <v>718404</v>
      </c>
      <c r="BC51" s="1029">
        <f t="shared" si="33"/>
        <v>0</v>
      </c>
      <c r="BD51" s="1155">
        <f t="shared" si="7"/>
        <v>718404</v>
      </c>
      <c r="BE51" s="1877">
        <f t="shared" ref="BE51:BF51" si="34">BE104</f>
        <v>676548</v>
      </c>
      <c r="BF51" s="1878">
        <f t="shared" si="34"/>
        <v>0</v>
      </c>
      <c r="BG51" s="1882">
        <f t="shared" si="8"/>
        <v>676548</v>
      </c>
      <c r="BH51" s="1877">
        <f t="shared" ref="BH51:BI51" si="35">BH104</f>
        <v>697032</v>
      </c>
      <c r="BI51" s="1878">
        <f t="shared" si="35"/>
        <v>0</v>
      </c>
      <c r="BJ51" s="1882">
        <f t="shared" si="9"/>
        <v>697032</v>
      </c>
      <c r="BL51" s="75">
        <f t="shared" si="17"/>
        <v>566100.41629816114</v>
      </c>
      <c r="BM51" s="527">
        <v>1.0090265615878575</v>
      </c>
    </row>
    <row r="52" spans="1:65">
      <c r="A52" s="104">
        <v>501</v>
      </c>
      <c r="B52" s="104" t="s">
        <v>335</v>
      </c>
      <c r="C52" s="106">
        <v>1588810</v>
      </c>
      <c r="D52" s="106">
        <v>759855</v>
      </c>
      <c r="E52" s="122">
        <v>2348665</v>
      </c>
      <c r="F52" s="106">
        <v>1112053</v>
      </c>
      <c r="G52" s="106">
        <v>293624</v>
      </c>
      <c r="H52" s="124">
        <v>1405677</v>
      </c>
      <c r="I52" s="106">
        <v>977186</v>
      </c>
      <c r="J52" s="106">
        <v>372057</v>
      </c>
      <c r="K52" s="124">
        <v>1349243</v>
      </c>
      <c r="L52" s="104">
        <v>1044411</v>
      </c>
      <c r="M52" s="104">
        <v>20178</v>
      </c>
      <c r="N52" s="122">
        <f t="shared" si="23"/>
        <v>1064589</v>
      </c>
      <c r="O52" s="104">
        <v>2522642</v>
      </c>
      <c r="P52" s="104">
        <v>1400852</v>
      </c>
      <c r="Q52" s="122">
        <f t="shared" si="10"/>
        <v>3923494</v>
      </c>
      <c r="R52" s="104">
        <v>1595112</v>
      </c>
      <c r="S52" s="104">
        <v>2757775</v>
      </c>
      <c r="T52" s="122">
        <f t="shared" si="11"/>
        <v>4352887</v>
      </c>
      <c r="U52" s="287">
        <v>1796009</v>
      </c>
      <c r="V52" s="287">
        <v>947665</v>
      </c>
      <c r="W52" s="468">
        <f t="shared" si="12"/>
        <v>2743674</v>
      </c>
      <c r="X52" s="157">
        <v>2158051</v>
      </c>
      <c r="Y52" s="157">
        <v>115147</v>
      </c>
      <c r="Z52" s="285">
        <f t="shared" si="18"/>
        <v>2273198</v>
      </c>
      <c r="AA52" s="470">
        <v>2433281</v>
      </c>
      <c r="AB52" s="470">
        <v>41060</v>
      </c>
      <c r="AC52" s="287">
        <f t="shared" si="19"/>
        <v>2474341</v>
      </c>
      <c r="AD52" s="726">
        <v>2263231</v>
      </c>
      <c r="AE52" s="470">
        <v>15425</v>
      </c>
      <c r="AF52" s="723">
        <f t="shared" si="15"/>
        <v>2278656</v>
      </c>
      <c r="AG52" s="726">
        <v>1700780</v>
      </c>
      <c r="AH52" s="470">
        <v>14213</v>
      </c>
      <c r="AI52" s="723">
        <f t="shared" si="20"/>
        <v>1714993</v>
      </c>
      <c r="AJ52" s="726">
        <v>1697956</v>
      </c>
      <c r="AK52" s="470">
        <v>0</v>
      </c>
      <c r="AL52" s="723">
        <f t="shared" si="21"/>
        <v>1931452.0783019555</v>
      </c>
      <c r="AM52" s="726">
        <v>1255790</v>
      </c>
      <c r="AN52" s="470">
        <v>36554</v>
      </c>
      <c r="AO52" s="723">
        <f t="shared" si="24"/>
        <v>1292344</v>
      </c>
      <c r="AP52" s="726">
        <v>1620624</v>
      </c>
      <c r="AQ52" s="470">
        <v>357469</v>
      </c>
      <c r="AR52" s="723">
        <f t="shared" si="3"/>
        <v>1978093</v>
      </c>
      <c r="AS52" s="726">
        <v>2386209</v>
      </c>
      <c r="AT52" s="470">
        <v>45861</v>
      </c>
      <c r="AU52" s="723">
        <f t="shared" si="4"/>
        <v>2432070</v>
      </c>
      <c r="AV52" s="1159">
        <v>2551446</v>
      </c>
      <c r="AW52" s="1029">
        <v>0</v>
      </c>
      <c r="AX52" s="1155">
        <f t="shared" si="5"/>
        <v>2551446</v>
      </c>
      <c r="AY52" s="1159">
        <v>1129841</v>
      </c>
      <c r="AZ52" s="1029">
        <v>11945</v>
      </c>
      <c r="BA52" s="1154">
        <f t="shared" si="6"/>
        <v>1141786</v>
      </c>
      <c r="BB52" s="1159">
        <f t="shared" si="33"/>
        <v>1025867</v>
      </c>
      <c r="BC52" s="1029">
        <f t="shared" si="33"/>
        <v>992</v>
      </c>
      <c r="BD52" s="1155">
        <f t="shared" si="7"/>
        <v>1026859</v>
      </c>
      <c r="BE52" s="1877">
        <f t="shared" ref="BE52:BF52" si="36">BE105</f>
        <v>1588796</v>
      </c>
      <c r="BF52" s="1878">
        <f t="shared" si="36"/>
        <v>0</v>
      </c>
      <c r="BG52" s="1882">
        <f t="shared" si="8"/>
        <v>1588796</v>
      </c>
      <c r="BH52" s="1877">
        <f t="shared" ref="BH52:BI52" si="37">BH105</f>
        <v>2555883</v>
      </c>
      <c r="BI52" s="1878">
        <f t="shared" si="37"/>
        <v>19234</v>
      </c>
      <c r="BJ52" s="1882">
        <f t="shared" si="9"/>
        <v>2575117</v>
      </c>
      <c r="BL52" s="75">
        <f t="shared" si="17"/>
        <v>1931452.0783019555</v>
      </c>
      <c r="BM52" s="527">
        <v>1.0090265615878575</v>
      </c>
    </row>
    <row r="53" spans="1:65">
      <c r="A53" s="104">
        <v>585</v>
      </c>
      <c r="B53" s="104" t="s">
        <v>582</v>
      </c>
      <c r="C53" s="106">
        <v>1713670</v>
      </c>
      <c r="D53" s="106">
        <v>857114</v>
      </c>
      <c r="E53" s="122">
        <v>2570784</v>
      </c>
      <c r="F53" s="106">
        <v>1430426</v>
      </c>
      <c r="G53" s="106">
        <v>93536</v>
      </c>
      <c r="H53" s="124">
        <v>1523962</v>
      </c>
      <c r="I53" s="106">
        <v>1204503</v>
      </c>
      <c r="J53" s="106">
        <v>288607</v>
      </c>
      <c r="K53" s="124">
        <v>1493110</v>
      </c>
      <c r="L53" s="104">
        <v>1542671</v>
      </c>
      <c r="M53" s="104">
        <v>45155</v>
      </c>
      <c r="N53" s="122">
        <f t="shared" si="23"/>
        <v>1587826</v>
      </c>
      <c r="O53" s="104">
        <v>1738271</v>
      </c>
      <c r="P53" s="104">
        <v>141516</v>
      </c>
      <c r="Q53" s="122">
        <f t="shared" si="10"/>
        <v>1879787</v>
      </c>
      <c r="R53" s="104">
        <v>1402358</v>
      </c>
      <c r="S53" s="104">
        <v>96933</v>
      </c>
      <c r="T53" s="122">
        <f t="shared" si="11"/>
        <v>1499291</v>
      </c>
      <c r="U53" s="286">
        <v>1534460</v>
      </c>
      <c r="V53" s="286">
        <v>149167</v>
      </c>
      <c r="W53" s="468">
        <f t="shared" si="12"/>
        <v>1683627</v>
      </c>
      <c r="X53" s="157">
        <v>2079879</v>
      </c>
      <c r="Y53" s="157">
        <v>207836</v>
      </c>
      <c r="Z53" s="285">
        <f t="shared" si="18"/>
        <v>2287715</v>
      </c>
      <c r="AA53" s="470">
        <v>2633796</v>
      </c>
      <c r="AB53" s="470">
        <v>92621</v>
      </c>
      <c r="AC53" s="287">
        <f t="shared" si="19"/>
        <v>2726417</v>
      </c>
      <c r="AD53" s="726">
        <v>2713694</v>
      </c>
      <c r="AE53" s="470">
        <v>70448</v>
      </c>
      <c r="AF53" s="723">
        <f t="shared" si="15"/>
        <v>2784142</v>
      </c>
      <c r="AG53" s="726">
        <v>1686079</v>
      </c>
      <c r="AH53" s="470">
        <v>8957</v>
      </c>
      <c r="AI53" s="723">
        <f t="shared" si="20"/>
        <v>1695036</v>
      </c>
      <c r="AJ53" s="726">
        <v>2187763</v>
      </c>
      <c r="AK53" s="470">
        <v>0</v>
      </c>
      <c r="AL53" s="723">
        <f t="shared" si="21"/>
        <v>2029599.1765464854</v>
      </c>
      <c r="AM53" s="726">
        <v>2327669</v>
      </c>
      <c r="AN53" s="470">
        <v>174622</v>
      </c>
      <c r="AO53" s="723">
        <f t="shared" si="24"/>
        <v>2502291</v>
      </c>
      <c r="AP53" s="726">
        <v>2160702</v>
      </c>
      <c r="AQ53" s="470">
        <v>554877</v>
      </c>
      <c r="AR53" s="723">
        <f t="shared" si="3"/>
        <v>2715579</v>
      </c>
      <c r="AS53" s="726">
        <v>1898778</v>
      </c>
      <c r="AT53" s="470">
        <v>205673</v>
      </c>
      <c r="AU53" s="723">
        <f t="shared" si="4"/>
        <v>2104451</v>
      </c>
      <c r="AV53" s="1159">
        <v>2442426</v>
      </c>
      <c r="AW53" s="1029">
        <v>8877</v>
      </c>
      <c r="AX53" s="1155">
        <f t="shared" si="5"/>
        <v>2451303</v>
      </c>
      <c r="AY53" s="1159">
        <v>1937894</v>
      </c>
      <c r="AZ53" s="1029">
        <v>76335</v>
      </c>
      <c r="BA53" s="1154">
        <f t="shared" si="6"/>
        <v>2014229</v>
      </c>
      <c r="BB53" s="1159">
        <f>BB110</f>
        <v>1313979</v>
      </c>
      <c r="BC53" s="1029">
        <f>BC110</f>
        <v>101455</v>
      </c>
      <c r="BD53" s="1155">
        <f t="shared" si="7"/>
        <v>1415434</v>
      </c>
      <c r="BE53" s="1877">
        <f>BE110</f>
        <v>1189872</v>
      </c>
      <c r="BF53" s="1878">
        <f>BF110</f>
        <v>328788</v>
      </c>
      <c r="BG53" s="1882">
        <f t="shared" si="8"/>
        <v>1518660</v>
      </c>
      <c r="BH53" s="1877">
        <f>BH110</f>
        <v>1860651</v>
      </c>
      <c r="BI53" s="1878">
        <f>BI110</f>
        <v>578551</v>
      </c>
      <c r="BJ53" s="1882">
        <f t="shared" si="9"/>
        <v>2439202</v>
      </c>
      <c r="BL53" s="75">
        <f t="shared" si="17"/>
        <v>2029599.1765464854</v>
      </c>
      <c r="BM53" s="529">
        <v>1.0115863929102218</v>
      </c>
    </row>
    <row r="54" spans="1:65">
      <c r="A54" s="217">
        <v>586</v>
      </c>
      <c r="B54" s="217" t="s">
        <v>583</v>
      </c>
      <c r="C54" s="218">
        <v>1275877</v>
      </c>
      <c r="D54" s="218">
        <v>783436</v>
      </c>
      <c r="E54" s="191">
        <v>2059313</v>
      </c>
      <c r="F54" s="218">
        <v>922589</v>
      </c>
      <c r="G54" s="218">
        <v>251038</v>
      </c>
      <c r="H54" s="220">
        <v>1173627</v>
      </c>
      <c r="I54" s="218">
        <v>837743</v>
      </c>
      <c r="J54" s="218">
        <v>162339</v>
      </c>
      <c r="K54" s="220">
        <v>1000082</v>
      </c>
      <c r="L54" s="217">
        <v>809058</v>
      </c>
      <c r="M54" s="217">
        <v>24122</v>
      </c>
      <c r="N54" s="191">
        <f t="shared" si="23"/>
        <v>833180</v>
      </c>
      <c r="O54" s="217">
        <v>1898255</v>
      </c>
      <c r="P54" s="217">
        <v>20432</v>
      </c>
      <c r="Q54" s="191">
        <f t="shared" si="10"/>
        <v>1918687</v>
      </c>
      <c r="R54" s="217">
        <v>1478261</v>
      </c>
      <c r="S54" s="217">
        <v>17732</v>
      </c>
      <c r="T54" s="191">
        <f t="shared" si="11"/>
        <v>1495993</v>
      </c>
      <c r="U54" s="360">
        <v>1140986</v>
      </c>
      <c r="V54" s="360">
        <v>107011</v>
      </c>
      <c r="W54" s="419">
        <f t="shared" si="12"/>
        <v>1247997</v>
      </c>
      <c r="X54" s="471">
        <v>1067889</v>
      </c>
      <c r="Y54" s="471">
        <v>231540</v>
      </c>
      <c r="Z54" s="419">
        <f t="shared" si="18"/>
        <v>1299429</v>
      </c>
      <c r="AA54" s="472">
        <v>1842751</v>
      </c>
      <c r="AB54" s="472">
        <v>135195</v>
      </c>
      <c r="AC54" s="360">
        <f t="shared" si="19"/>
        <v>1977946</v>
      </c>
      <c r="AD54" s="727">
        <v>1087053</v>
      </c>
      <c r="AE54" s="472">
        <v>275862</v>
      </c>
      <c r="AF54" s="725">
        <f t="shared" si="15"/>
        <v>1362915</v>
      </c>
      <c r="AG54" s="727">
        <v>970890</v>
      </c>
      <c r="AH54" s="472">
        <v>44445</v>
      </c>
      <c r="AI54" s="725">
        <f t="shared" si="20"/>
        <v>1015335</v>
      </c>
      <c r="AJ54" s="727">
        <v>940859</v>
      </c>
      <c r="AK54" s="472">
        <v>932</v>
      </c>
      <c r="AL54" s="725">
        <f t="shared" si="21"/>
        <v>1163665.2017894166</v>
      </c>
      <c r="AM54" s="727">
        <v>1467904</v>
      </c>
      <c r="AN54" s="472">
        <v>73216</v>
      </c>
      <c r="AO54" s="725">
        <f t="shared" si="24"/>
        <v>1541120</v>
      </c>
      <c r="AP54" s="727">
        <v>967813</v>
      </c>
      <c r="AQ54" s="472">
        <v>306795</v>
      </c>
      <c r="AR54" s="725">
        <f t="shared" si="3"/>
        <v>1274608</v>
      </c>
      <c r="AS54" s="727">
        <v>2410649</v>
      </c>
      <c r="AT54" s="472">
        <v>107370</v>
      </c>
      <c r="AU54" s="725">
        <f t="shared" si="4"/>
        <v>2518019</v>
      </c>
      <c r="AV54" s="1160">
        <v>2435439</v>
      </c>
      <c r="AW54" s="1161">
        <v>16910</v>
      </c>
      <c r="AX54" s="1158">
        <f t="shared" si="5"/>
        <v>2452349</v>
      </c>
      <c r="AY54" s="1160">
        <v>1110885</v>
      </c>
      <c r="AZ54" s="1161">
        <v>27742</v>
      </c>
      <c r="BA54" s="1157">
        <f t="shared" si="6"/>
        <v>1138627</v>
      </c>
      <c r="BB54" s="1160">
        <f>BB111</f>
        <v>1202795</v>
      </c>
      <c r="BC54" s="1161">
        <f>BC111</f>
        <v>67522</v>
      </c>
      <c r="BD54" s="1158">
        <f t="shared" si="7"/>
        <v>1270317</v>
      </c>
      <c r="BE54" s="1879">
        <f>BE111</f>
        <v>1671971</v>
      </c>
      <c r="BF54" s="1880">
        <f>BF111</f>
        <v>657691</v>
      </c>
      <c r="BG54" s="1883">
        <f t="shared" si="8"/>
        <v>2329662</v>
      </c>
      <c r="BH54" s="1879">
        <f>BH111</f>
        <v>1927221</v>
      </c>
      <c r="BI54" s="1880">
        <f>BI111</f>
        <v>484808</v>
      </c>
      <c r="BJ54" s="1883">
        <f t="shared" si="9"/>
        <v>2412029</v>
      </c>
      <c r="BL54" s="132">
        <f t="shared" si="17"/>
        <v>1163665.2017894166</v>
      </c>
      <c r="BM54" s="530">
        <v>1.0115863929102218</v>
      </c>
    </row>
    <row r="55" spans="1:65">
      <c r="A55" s="104"/>
      <c r="B55" s="104"/>
      <c r="C55" s="106"/>
      <c r="D55" s="106"/>
      <c r="E55" s="104"/>
      <c r="F55" s="106"/>
      <c r="G55" s="106"/>
      <c r="H55" s="106"/>
      <c r="I55" s="106"/>
      <c r="J55" s="106"/>
      <c r="K55" s="106"/>
      <c r="L55" s="104"/>
      <c r="M55" s="104"/>
      <c r="N55" s="104"/>
      <c r="O55" s="104"/>
      <c r="P55" s="104"/>
      <c r="Q55" s="104"/>
      <c r="R55" s="104"/>
      <c r="S55" s="104"/>
      <c r="T55" s="104"/>
      <c r="U55" s="104">
        <f>SUM(U14:U54)</f>
        <v>242915384</v>
      </c>
      <c r="V55" s="104">
        <f>SUM(V14:V54)</f>
        <v>4646693</v>
      </c>
      <c r="X55" s="104">
        <f>SUM(X14:X54)</f>
        <v>225227829</v>
      </c>
      <c r="Y55" s="104">
        <f>SUM(Y14:Y54)</f>
        <v>8956628</v>
      </c>
      <c r="AE55" s="157" t="s">
        <v>678</v>
      </c>
      <c r="BB55" s="157">
        <v>323</v>
      </c>
      <c r="BC55" s="157">
        <v>324</v>
      </c>
      <c r="BE55" s="157">
        <v>323</v>
      </c>
      <c r="BF55" s="157">
        <v>324</v>
      </c>
      <c r="BH55" s="157">
        <v>323</v>
      </c>
      <c r="BI55" s="157">
        <v>324</v>
      </c>
    </row>
    <row r="56" spans="1:65">
      <c r="A56" s="104" t="s">
        <v>586</v>
      </c>
      <c r="B56" s="104"/>
      <c r="C56" s="104"/>
      <c r="D56" s="104"/>
      <c r="E56" s="104"/>
      <c r="F56" s="104"/>
      <c r="G56" s="104"/>
      <c r="H56" s="104"/>
      <c r="I56" s="104"/>
      <c r="J56" s="104"/>
      <c r="K56" s="104"/>
      <c r="L56" s="104"/>
      <c r="M56" s="104"/>
      <c r="N56" s="104"/>
      <c r="O56" s="104"/>
      <c r="P56" s="104"/>
      <c r="Q56" s="104"/>
      <c r="R56" s="104"/>
      <c r="S56" s="104"/>
      <c r="T56" s="104"/>
      <c r="U56" s="104" t="s">
        <v>347</v>
      </c>
      <c r="V56" s="104" t="s">
        <v>347</v>
      </c>
      <c r="AZ56" s="2326" t="s">
        <v>167</v>
      </c>
      <c r="BA56" s="2327"/>
      <c r="BB56" s="1704" t="s">
        <v>1711</v>
      </c>
      <c r="BC56" s="1704" t="s">
        <v>1712</v>
      </c>
      <c r="BE56" s="1704" t="s">
        <v>1711</v>
      </c>
      <c r="BF56" s="1704" t="s">
        <v>1712</v>
      </c>
      <c r="BH56" s="1704" t="s">
        <v>1711</v>
      </c>
      <c r="BI56" s="1704" t="s">
        <v>1712</v>
      </c>
    </row>
    <row r="57" spans="1:65">
      <c r="AZ57" s="2326" t="s">
        <v>168</v>
      </c>
      <c r="BA57" s="2327"/>
      <c r="BB57" s="157" t="s">
        <v>1713</v>
      </c>
      <c r="BC57" s="157" t="s">
        <v>1713</v>
      </c>
      <c r="BE57" s="157" t="s">
        <v>1768</v>
      </c>
      <c r="BF57" s="157" t="s">
        <v>1768</v>
      </c>
      <c r="BH57" s="157" t="s">
        <v>1881</v>
      </c>
      <c r="BI57" s="157" t="s">
        <v>1881</v>
      </c>
    </row>
    <row r="58" spans="1:65">
      <c r="AZ58" s="2328" t="s">
        <v>169</v>
      </c>
      <c r="BA58" s="2329"/>
      <c r="BB58" s="1704" t="s">
        <v>640</v>
      </c>
      <c r="BC58" s="1704" t="s">
        <v>640</v>
      </c>
      <c r="BE58" s="1704" t="s">
        <v>640</v>
      </c>
      <c r="BF58" s="1704" t="s">
        <v>640</v>
      </c>
      <c r="BH58" s="1704" t="s">
        <v>640</v>
      </c>
      <c r="BI58" s="1704" t="s">
        <v>640</v>
      </c>
    </row>
    <row r="59" spans="1:65">
      <c r="AZ59" s="1701" t="s">
        <v>170</v>
      </c>
      <c r="BA59" s="1702" t="s">
        <v>166</v>
      </c>
      <c r="BB59" s="1219">
        <v>285559888</v>
      </c>
      <c r="BC59" s="1219">
        <v>888909</v>
      </c>
      <c r="BD59" s="76">
        <f>BB59+BC59</f>
        <v>286448797</v>
      </c>
      <c r="BE59" s="1219">
        <v>276698915</v>
      </c>
      <c r="BF59" s="1219">
        <v>2028532</v>
      </c>
      <c r="BG59" s="76">
        <f>BE59+BF59</f>
        <v>278727447</v>
      </c>
      <c r="BH59" s="1219">
        <v>325381123</v>
      </c>
      <c r="BI59" s="1219">
        <v>2768669</v>
      </c>
      <c r="BJ59" s="76">
        <f>BH59+BI59</f>
        <v>328149792</v>
      </c>
    </row>
    <row r="60" spans="1:65">
      <c r="AZ60" s="150">
        <v>100</v>
      </c>
      <c r="BA60" s="167" t="s">
        <v>172</v>
      </c>
      <c r="BB60" s="1219">
        <v>116839871</v>
      </c>
      <c r="BC60" s="1219">
        <v>38613</v>
      </c>
      <c r="BD60" s="76">
        <f t="shared" ref="BD60:BD118" si="38">BB60+BC60</f>
        <v>116878484</v>
      </c>
      <c r="BE60" s="1219">
        <v>110356799</v>
      </c>
      <c r="BF60" s="1219">
        <v>32358</v>
      </c>
      <c r="BG60" s="76">
        <f t="shared" ref="BG60" si="39">BE60+BF60</f>
        <v>110389157</v>
      </c>
      <c r="BH60" s="1219">
        <v>137728091</v>
      </c>
      <c r="BI60" s="1219">
        <v>72389</v>
      </c>
      <c r="BJ60" s="76">
        <f t="shared" ref="BJ60" si="40">BH60+BI60</f>
        <v>137800480</v>
      </c>
    </row>
    <row r="61" spans="1:65">
      <c r="AZ61" s="1706">
        <v>101</v>
      </c>
      <c r="BA61" s="1707" t="s">
        <v>173</v>
      </c>
      <c r="BB61" s="1705" t="s">
        <v>1714</v>
      </c>
      <c r="BC61" s="1705" t="s">
        <v>1714</v>
      </c>
      <c r="BD61" s="76"/>
      <c r="BE61" s="1705" t="s">
        <v>1714</v>
      </c>
      <c r="BF61" s="1705" t="s">
        <v>1714</v>
      </c>
      <c r="BG61" s="76"/>
      <c r="BH61" s="1705" t="s">
        <v>1714</v>
      </c>
      <c r="BI61" s="1705" t="s">
        <v>1714</v>
      </c>
      <c r="BJ61" s="76"/>
    </row>
    <row r="62" spans="1:65">
      <c r="AZ62" s="1706">
        <v>102</v>
      </c>
      <c r="BA62" s="1707" t="s">
        <v>174</v>
      </c>
      <c r="BB62" s="1705" t="s">
        <v>1714</v>
      </c>
      <c r="BC62" s="1705" t="s">
        <v>1714</v>
      </c>
      <c r="BD62" s="76"/>
      <c r="BE62" s="1705" t="s">
        <v>1714</v>
      </c>
      <c r="BF62" s="1705" t="s">
        <v>1714</v>
      </c>
      <c r="BG62" s="76"/>
      <c r="BH62" s="1705" t="s">
        <v>1714</v>
      </c>
      <c r="BI62" s="1705" t="s">
        <v>1714</v>
      </c>
      <c r="BJ62" s="76"/>
    </row>
    <row r="63" spans="1:65">
      <c r="AZ63" s="1708">
        <v>110</v>
      </c>
      <c r="BA63" s="1707" t="s">
        <v>175</v>
      </c>
      <c r="BB63" s="1705" t="s">
        <v>1714</v>
      </c>
      <c r="BC63" s="1705" t="s">
        <v>1714</v>
      </c>
      <c r="BD63" s="76"/>
      <c r="BE63" s="1705" t="s">
        <v>1714</v>
      </c>
      <c r="BF63" s="1705" t="s">
        <v>1714</v>
      </c>
      <c r="BG63" s="76"/>
      <c r="BH63" s="1705" t="s">
        <v>1714</v>
      </c>
      <c r="BI63" s="1705" t="s">
        <v>1714</v>
      </c>
      <c r="BJ63" s="76"/>
    </row>
    <row r="64" spans="1:65">
      <c r="AZ64" s="1708">
        <v>105</v>
      </c>
      <c r="BA64" s="1707" t="s">
        <v>176</v>
      </c>
      <c r="BB64" s="1705" t="s">
        <v>1714</v>
      </c>
      <c r="BC64" s="1705" t="s">
        <v>1714</v>
      </c>
      <c r="BD64" s="76"/>
      <c r="BE64" s="1705" t="s">
        <v>1714</v>
      </c>
      <c r="BF64" s="1705" t="s">
        <v>1714</v>
      </c>
      <c r="BG64" s="76"/>
      <c r="BH64" s="1705" t="s">
        <v>1714</v>
      </c>
      <c r="BI64" s="1705" t="s">
        <v>1714</v>
      </c>
      <c r="BJ64" s="76"/>
    </row>
    <row r="65" spans="52:62">
      <c r="AZ65" s="1708">
        <v>109</v>
      </c>
      <c r="BA65" s="1707" t="s">
        <v>177</v>
      </c>
      <c r="BB65" s="1705" t="s">
        <v>1714</v>
      </c>
      <c r="BC65" s="1705" t="s">
        <v>1714</v>
      </c>
      <c r="BD65" s="76"/>
      <c r="BE65" s="1705" t="s">
        <v>1714</v>
      </c>
      <c r="BF65" s="1705" t="s">
        <v>1714</v>
      </c>
      <c r="BG65" s="76"/>
      <c r="BH65" s="1705" t="s">
        <v>1714</v>
      </c>
      <c r="BI65" s="1705" t="s">
        <v>1714</v>
      </c>
      <c r="BJ65" s="76"/>
    </row>
    <row r="66" spans="52:62">
      <c r="AZ66" s="1708">
        <v>106</v>
      </c>
      <c r="BA66" s="1707" t="s">
        <v>178</v>
      </c>
      <c r="BB66" s="1705" t="s">
        <v>1714</v>
      </c>
      <c r="BC66" s="1705" t="s">
        <v>1714</v>
      </c>
      <c r="BD66" s="76"/>
      <c r="BE66" s="1705" t="s">
        <v>1714</v>
      </c>
      <c r="BF66" s="1705" t="s">
        <v>1714</v>
      </c>
      <c r="BG66" s="76"/>
      <c r="BH66" s="1705" t="s">
        <v>1714</v>
      </c>
      <c r="BI66" s="1705" t="s">
        <v>1714</v>
      </c>
      <c r="BJ66" s="76"/>
    </row>
    <row r="67" spans="52:62">
      <c r="AZ67" s="1708">
        <v>107</v>
      </c>
      <c r="BA67" s="1707" t="s">
        <v>179</v>
      </c>
      <c r="BB67" s="1705" t="s">
        <v>1714</v>
      </c>
      <c r="BC67" s="1705" t="s">
        <v>1714</v>
      </c>
      <c r="BD67" s="76"/>
      <c r="BE67" s="1705" t="s">
        <v>1714</v>
      </c>
      <c r="BF67" s="1705" t="s">
        <v>1714</v>
      </c>
      <c r="BG67" s="76"/>
      <c r="BH67" s="1705" t="s">
        <v>1714</v>
      </c>
      <c r="BI67" s="1705" t="s">
        <v>1714</v>
      </c>
      <c r="BJ67" s="76"/>
    </row>
    <row r="68" spans="52:62">
      <c r="AZ68" s="1708">
        <v>108</v>
      </c>
      <c r="BA68" s="1707" t="s">
        <v>180</v>
      </c>
      <c r="BB68" s="1705" t="s">
        <v>1714</v>
      </c>
      <c r="BC68" s="1705" t="s">
        <v>1714</v>
      </c>
      <c r="BD68" s="76"/>
      <c r="BE68" s="1705" t="s">
        <v>1714</v>
      </c>
      <c r="BF68" s="1705" t="s">
        <v>1714</v>
      </c>
      <c r="BG68" s="76"/>
      <c r="BH68" s="1705" t="s">
        <v>1714</v>
      </c>
      <c r="BI68" s="1705" t="s">
        <v>1714</v>
      </c>
      <c r="BJ68" s="76"/>
    </row>
    <row r="69" spans="52:62">
      <c r="AZ69" s="1708">
        <v>111</v>
      </c>
      <c r="BA69" s="1707" t="s">
        <v>181</v>
      </c>
      <c r="BB69" s="1705" t="s">
        <v>1714</v>
      </c>
      <c r="BC69" s="1705" t="s">
        <v>1714</v>
      </c>
      <c r="BD69" s="76"/>
      <c r="BE69" s="1705" t="s">
        <v>1714</v>
      </c>
      <c r="BF69" s="1705" t="s">
        <v>1714</v>
      </c>
      <c r="BG69" s="76"/>
      <c r="BH69" s="1705" t="s">
        <v>1714</v>
      </c>
      <c r="BI69" s="1705" t="s">
        <v>1714</v>
      </c>
      <c r="BJ69" s="76"/>
    </row>
    <row r="70" spans="52:62">
      <c r="AZ70" s="135"/>
      <c r="BA70" s="165" t="s">
        <v>182</v>
      </c>
      <c r="BB70" s="1219">
        <v>33718687</v>
      </c>
      <c r="BC70" s="1219">
        <v>2</v>
      </c>
      <c r="BD70" s="76">
        <f t="shared" si="38"/>
        <v>33718689</v>
      </c>
      <c r="BE70" s="1219">
        <v>30348175</v>
      </c>
      <c r="BF70" s="1219">
        <v>44407</v>
      </c>
      <c r="BG70" s="76">
        <f t="shared" ref="BG70:BG118" si="41">BE70+BF70</f>
        <v>30392582</v>
      </c>
      <c r="BH70" s="1219">
        <v>41132659</v>
      </c>
      <c r="BI70" s="1219">
        <v>3358</v>
      </c>
      <c r="BJ70" s="76">
        <f t="shared" ref="BJ70:BJ118" si="42">BH70+BI70</f>
        <v>41136017</v>
      </c>
    </row>
    <row r="71" spans="52:62">
      <c r="AZ71" s="156">
        <v>202</v>
      </c>
      <c r="BA71" s="168" t="s">
        <v>183</v>
      </c>
      <c r="BB71" s="1219">
        <v>13222793</v>
      </c>
      <c r="BC71" s="1219">
        <v>2</v>
      </c>
      <c r="BD71" s="76">
        <f t="shared" si="38"/>
        <v>13222795</v>
      </c>
      <c r="BE71" s="1219">
        <v>12460776</v>
      </c>
      <c r="BF71" s="1219">
        <v>1</v>
      </c>
      <c r="BG71" s="76">
        <f t="shared" si="41"/>
        <v>12460777</v>
      </c>
      <c r="BH71" s="1219">
        <v>20045076</v>
      </c>
      <c r="BI71" s="1219">
        <v>0</v>
      </c>
      <c r="BJ71" s="76">
        <f t="shared" si="42"/>
        <v>20045076</v>
      </c>
    </row>
    <row r="72" spans="52:62">
      <c r="AZ72" s="156">
        <v>204</v>
      </c>
      <c r="BA72" s="168" t="s">
        <v>184</v>
      </c>
      <c r="BB72" s="1219">
        <v>15722985</v>
      </c>
      <c r="BC72" s="1219">
        <v>0</v>
      </c>
      <c r="BD72" s="76">
        <f t="shared" si="38"/>
        <v>15722985</v>
      </c>
      <c r="BE72" s="1219">
        <v>13905585</v>
      </c>
      <c r="BF72" s="1219">
        <v>0</v>
      </c>
      <c r="BG72" s="76">
        <f t="shared" si="41"/>
        <v>13905585</v>
      </c>
      <c r="BH72" s="1219">
        <v>18354819</v>
      </c>
      <c r="BI72" s="1219">
        <v>1249</v>
      </c>
      <c r="BJ72" s="76">
        <f t="shared" si="42"/>
        <v>18356068</v>
      </c>
    </row>
    <row r="73" spans="52:62">
      <c r="AZ73" s="156">
        <v>206</v>
      </c>
      <c r="BA73" s="168" t="s">
        <v>185</v>
      </c>
      <c r="BB73" s="1219">
        <v>4772909</v>
      </c>
      <c r="BC73" s="1219">
        <v>0</v>
      </c>
      <c r="BD73" s="76">
        <f t="shared" si="38"/>
        <v>4772909</v>
      </c>
      <c r="BE73" s="1219">
        <v>3981814</v>
      </c>
      <c r="BF73" s="1219">
        <v>44406</v>
      </c>
      <c r="BG73" s="76">
        <f t="shared" si="41"/>
        <v>4026220</v>
      </c>
      <c r="BH73" s="1219">
        <v>2732764</v>
      </c>
      <c r="BI73" s="1219">
        <v>2109</v>
      </c>
      <c r="BJ73" s="76">
        <f t="shared" si="42"/>
        <v>2734873</v>
      </c>
    </row>
    <row r="74" spans="52:62">
      <c r="AZ74" s="135"/>
      <c r="BA74" s="165" t="s">
        <v>186</v>
      </c>
      <c r="BB74" s="1219">
        <v>29550937</v>
      </c>
      <c r="BC74" s="1219">
        <v>3381</v>
      </c>
      <c r="BD74" s="76">
        <f t="shared" si="38"/>
        <v>29554318</v>
      </c>
      <c r="BE74" s="1219">
        <v>24755732</v>
      </c>
      <c r="BF74" s="1219">
        <v>2240</v>
      </c>
      <c r="BG74" s="76">
        <f t="shared" si="41"/>
        <v>24757972</v>
      </c>
      <c r="BH74" s="1219">
        <v>26503758</v>
      </c>
      <c r="BI74" s="1219">
        <v>20615</v>
      </c>
      <c r="BJ74" s="76">
        <f t="shared" si="42"/>
        <v>26524373</v>
      </c>
    </row>
    <row r="75" spans="52:62">
      <c r="AZ75" s="156">
        <v>207</v>
      </c>
      <c r="BA75" s="168" t="s">
        <v>187</v>
      </c>
      <c r="BB75" s="1219">
        <v>11580847</v>
      </c>
      <c r="BC75" s="1219">
        <v>0</v>
      </c>
      <c r="BD75" s="76">
        <f t="shared" si="38"/>
        <v>11580847</v>
      </c>
      <c r="BE75" s="1219">
        <v>6747612</v>
      </c>
      <c r="BF75" s="1219">
        <v>0</v>
      </c>
      <c r="BG75" s="76">
        <f t="shared" si="41"/>
        <v>6747612</v>
      </c>
      <c r="BH75" s="1219">
        <v>8870328</v>
      </c>
      <c r="BI75" s="1219">
        <v>0</v>
      </c>
      <c r="BJ75" s="76">
        <f t="shared" si="42"/>
        <v>8870328</v>
      </c>
    </row>
    <row r="76" spans="52:62">
      <c r="AZ76" s="156">
        <v>214</v>
      </c>
      <c r="BA76" s="168" t="s">
        <v>188</v>
      </c>
      <c r="BB76" s="1219">
        <v>7638053</v>
      </c>
      <c r="BC76" s="1219">
        <v>0</v>
      </c>
      <c r="BD76" s="76">
        <f t="shared" si="38"/>
        <v>7638053</v>
      </c>
      <c r="BE76" s="1219">
        <v>10014783</v>
      </c>
      <c r="BF76" s="1219">
        <v>0</v>
      </c>
      <c r="BG76" s="76">
        <f t="shared" si="41"/>
        <v>10014783</v>
      </c>
      <c r="BH76" s="1219">
        <v>8051742</v>
      </c>
      <c r="BI76" s="1219">
        <v>2500</v>
      </c>
      <c r="BJ76" s="76">
        <f t="shared" si="42"/>
        <v>8054242</v>
      </c>
    </row>
    <row r="77" spans="52:62">
      <c r="AZ77" s="156">
        <v>217</v>
      </c>
      <c r="BA77" s="168" t="s">
        <v>189</v>
      </c>
      <c r="BB77" s="1219">
        <v>6413500</v>
      </c>
      <c r="BC77" s="1219">
        <v>3381</v>
      </c>
      <c r="BD77" s="76">
        <f t="shared" si="38"/>
        <v>6416881</v>
      </c>
      <c r="BE77" s="1219">
        <v>3603338</v>
      </c>
      <c r="BF77" s="1219">
        <v>0</v>
      </c>
      <c r="BG77" s="76">
        <f t="shared" si="41"/>
        <v>3603338</v>
      </c>
      <c r="BH77" s="1219">
        <v>2918679</v>
      </c>
      <c r="BI77" s="1219">
        <v>0</v>
      </c>
      <c r="BJ77" s="76">
        <f t="shared" si="42"/>
        <v>2918679</v>
      </c>
    </row>
    <row r="78" spans="52:62">
      <c r="AZ78" s="156">
        <v>219</v>
      </c>
      <c r="BA78" s="168" t="s">
        <v>190</v>
      </c>
      <c r="BB78" s="1219">
        <v>3218234</v>
      </c>
      <c r="BC78" s="1219">
        <v>0</v>
      </c>
      <c r="BD78" s="76">
        <f t="shared" si="38"/>
        <v>3218234</v>
      </c>
      <c r="BE78" s="1219">
        <v>3488877</v>
      </c>
      <c r="BF78" s="1219">
        <v>0</v>
      </c>
      <c r="BG78" s="76">
        <f t="shared" si="41"/>
        <v>3488877</v>
      </c>
      <c r="BH78" s="1219">
        <v>6126802</v>
      </c>
      <c r="BI78" s="1219">
        <v>10737</v>
      </c>
      <c r="BJ78" s="76">
        <f t="shared" si="42"/>
        <v>6137539</v>
      </c>
    </row>
    <row r="79" spans="52:62">
      <c r="AZ79" s="156">
        <v>301</v>
      </c>
      <c r="BA79" s="168" t="s">
        <v>191</v>
      </c>
      <c r="BB79" s="1219">
        <v>700303</v>
      </c>
      <c r="BC79" s="1219">
        <v>0</v>
      </c>
      <c r="BD79" s="76">
        <f t="shared" si="38"/>
        <v>700303</v>
      </c>
      <c r="BE79" s="1219">
        <v>901122</v>
      </c>
      <c r="BF79" s="1219">
        <v>2240</v>
      </c>
      <c r="BG79" s="76">
        <f t="shared" si="41"/>
        <v>903362</v>
      </c>
      <c r="BH79" s="1219">
        <v>536207</v>
      </c>
      <c r="BI79" s="1219">
        <v>7378</v>
      </c>
      <c r="BJ79" s="76">
        <f t="shared" si="42"/>
        <v>543585</v>
      </c>
    </row>
    <row r="80" spans="52:62">
      <c r="AZ80" s="135"/>
      <c r="BA80" s="165" t="s">
        <v>192</v>
      </c>
      <c r="BB80" s="1219">
        <v>23752825</v>
      </c>
      <c r="BC80" s="1219">
        <v>9039</v>
      </c>
      <c r="BD80" s="76">
        <f t="shared" si="38"/>
        <v>23761864</v>
      </c>
      <c r="BE80" s="1219">
        <v>27995841</v>
      </c>
      <c r="BF80" s="1219">
        <v>0</v>
      </c>
      <c r="BG80" s="76">
        <f t="shared" si="41"/>
        <v>27995841</v>
      </c>
      <c r="BH80" s="1219">
        <v>20404584</v>
      </c>
      <c r="BI80" s="1219">
        <v>86743</v>
      </c>
      <c r="BJ80" s="76">
        <f t="shared" si="42"/>
        <v>20491327</v>
      </c>
    </row>
    <row r="81" spans="52:62">
      <c r="AZ81" s="156">
        <v>203</v>
      </c>
      <c r="BA81" s="168" t="s">
        <v>193</v>
      </c>
      <c r="BB81" s="1219">
        <v>8854908</v>
      </c>
      <c r="BC81" s="1219">
        <v>0</v>
      </c>
      <c r="BD81" s="76">
        <f t="shared" si="38"/>
        <v>8854908</v>
      </c>
      <c r="BE81" s="1219">
        <v>10154847</v>
      </c>
      <c r="BF81" s="1219">
        <v>0</v>
      </c>
      <c r="BG81" s="76">
        <f t="shared" si="41"/>
        <v>10154847</v>
      </c>
      <c r="BH81" s="1219">
        <v>7714629</v>
      </c>
      <c r="BI81" s="1219">
        <v>0</v>
      </c>
      <c r="BJ81" s="76">
        <f t="shared" si="42"/>
        <v>7714629</v>
      </c>
    </row>
    <row r="82" spans="52:62">
      <c r="AZ82" s="156">
        <v>210</v>
      </c>
      <c r="BA82" s="168" t="s">
        <v>194</v>
      </c>
      <c r="BB82" s="1219">
        <v>6852376</v>
      </c>
      <c r="BC82" s="1219">
        <v>9039</v>
      </c>
      <c r="BD82" s="76">
        <f t="shared" si="38"/>
        <v>6861415</v>
      </c>
      <c r="BE82" s="1219">
        <v>12201929</v>
      </c>
      <c r="BF82" s="1219">
        <v>0</v>
      </c>
      <c r="BG82" s="76">
        <f t="shared" si="41"/>
        <v>12201929</v>
      </c>
      <c r="BH82" s="1219">
        <v>7642250</v>
      </c>
      <c r="BI82" s="1219">
        <v>86743</v>
      </c>
      <c r="BJ82" s="76">
        <f t="shared" si="42"/>
        <v>7728993</v>
      </c>
    </row>
    <row r="83" spans="52:62">
      <c r="AZ83" s="156">
        <v>216</v>
      </c>
      <c r="BA83" s="168" t="s">
        <v>195</v>
      </c>
      <c r="BB83" s="1219">
        <v>5078740</v>
      </c>
      <c r="BC83" s="1219">
        <v>0</v>
      </c>
      <c r="BD83" s="76">
        <f t="shared" si="38"/>
        <v>5078740</v>
      </c>
      <c r="BE83" s="1219">
        <v>3766796</v>
      </c>
      <c r="BF83" s="1219">
        <v>0</v>
      </c>
      <c r="BG83" s="76">
        <f t="shared" si="41"/>
        <v>3766796</v>
      </c>
      <c r="BH83" s="1219">
        <v>2705143</v>
      </c>
      <c r="BI83" s="1219">
        <v>0</v>
      </c>
      <c r="BJ83" s="76">
        <f t="shared" si="42"/>
        <v>2705143</v>
      </c>
    </row>
    <row r="84" spans="52:62">
      <c r="AZ84" s="156">
        <v>381</v>
      </c>
      <c r="BA84" s="168" t="s">
        <v>196</v>
      </c>
      <c r="BB84" s="1219">
        <v>1049605</v>
      </c>
      <c r="BC84" s="1219">
        <v>0</v>
      </c>
      <c r="BD84" s="76">
        <f t="shared" si="38"/>
        <v>1049605</v>
      </c>
      <c r="BE84" s="1219">
        <v>1210696</v>
      </c>
      <c r="BF84" s="1219">
        <v>0</v>
      </c>
      <c r="BG84" s="76">
        <f t="shared" si="41"/>
        <v>1210696</v>
      </c>
      <c r="BH84" s="1219">
        <v>1045872</v>
      </c>
      <c r="BI84" s="1219">
        <v>0</v>
      </c>
      <c r="BJ84" s="76">
        <f t="shared" si="42"/>
        <v>1045872</v>
      </c>
    </row>
    <row r="85" spans="52:62">
      <c r="AZ85" s="156">
        <v>382</v>
      </c>
      <c r="BA85" s="168" t="s">
        <v>197</v>
      </c>
      <c r="BB85" s="1219">
        <v>1917196</v>
      </c>
      <c r="BC85" s="1219">
        <v>0</v>
      </c>
      <c r="BD85" s="76">
        <f t="shared" si="38"/>
        <v>1917196</v>
      </c>
      <c r="BE85" s="1219">
        <v>661573</v>
      </c>
      <c r="BF85" s="1219">
        <v>0</v>
      </c>
      <c r="BG85" s="76">
        <f t="shared" si="41"/>
        <v>661573</v>
      </c>
      <c r="BH85" s="1219">
        <v>1296690</v>
      </c>
      <c r="BI85" s="1219">
        <v>0</v>
      </c>
      <c r="BJ85" s="76">
        <f t="shared" si="42"/>
        <v>1296690</v>
      </c>
    </row>
    <row r="86" spans="52:62">
      <c r="AZ86" s="135"/>
      <c r="BA86" s="169" t="s">
        <v>198</v>
      </c>
      <c r="BB86" s="1219">
        <v>12339846</v>
      </c>
      <c r="BC86" s="1219">
        <v>156743</v>
      </c>
      <c r="BD86" s="76">
        <f t="shared" si="38"/>
        <v>12496589</v>
      </c>
      <c r="BE86" s="1219">
        <v>14686611</v>
      </c>
      <c r="BF86" s="1219">
        <v>183415</v>
      </c>
      <c r="BG86" s="76">
        <f t="shared" si="41"/>
        <v>14870026</v>
      </c>
      <c r="BH86" s="1219">
        <v>17141524</v>
      </c>
      <c r="BI86" s="1219">
        <v>197029</v>
      </c>
      <c r="BJ86" s="76">
        <f t="shared" si="42"/>
        <v>17338553</v>
      </c>
    </row>
    <row r="87" spans="52:62">
      <c r="AZ87" s="157">
        <v>213</v>
      </c>
      <c r="BA87" s="157" t="s">
        <v>660</v>
      </c>
      <c r="BB87" s="1219">
        <v>867147</v>
      </c>
      <c r="BC87" s="1219">
        <v>0</v>
      </c>
      <c r="BD87" s="76">
        <f t="shared" si="38"/>
        <v>867147</v>
      </c>
      <c r="BE87" s="1219">
        <v>722552</v>
      </c>
      <c r="BF87" s="1219">
        <v>0</v>
      </c>
      <c r="BG87" s="76">
        <f t="shared" si="41"/>
        <v>722552</v>
      </c>
      <c r="BH87" s="1219">
        <v>719989</v>
      </c>
      <c r="BI87" s="1219">
        <v>6060</v>
      </c>
      <c r="BJ87" s="76">
        <f t="shared" si="42"/>
        <v>726049</v>
      </c>
    </row>
    <row r="88" spans="52:62">
      <c r="AZ88" s="156">
        <v>215</v>
      </c>
      <c r="BA88" s="168" t="s">
        <v>661</v>
      </c>
      <c r="BB88" s="1219">
        <v>2133736</v>
      </c>
      <c r="BC88" s="1219">
        <v>136970</v>
      </c>
      <c r="BD88" s="76">
        <f t="shared" si="38"/>
        <v>2270706</v>
      </c>
      <c r="BE88" s="1219">
        <v>2129708</v>
      </c>
      <c r="BF88" s="1219">
        <v>121736</v>
      </c>
      <c r="BG88" s="76">
        <f t="shared" si="41"/>
        <v>2251444</v>
      </c>
      <c r="BH88" s="1219">
        <v>2935967</v>
      </c>
      <c r="BI88" s="1219">
        <v>142905</v>
      </c>
      <c r="BJ88" s="76">
        <f t="shared" si="42"/>
        <v>3078872</v>
      </c>
    </row>
    <row r="89" spans="52:62">
      <c r="AZ89" s="156">
        <v>218</v>
      </c>
      <c r="BA89" s="168" t="s">
        <v>200</v>
      </c>
      <c r="BB89" s="1219">
        <v>3067535</v>
      </c>
      <c r="BC89" s="1219">
        <v>0</v>
      </c>
      <c r="BD89" s="76">
        <f t="shared" si="38"/>
        <v>3067535</v>
      </c>
      <c r="BE89" s="1219">
        <v>2133838</v>
      </c>
      <c r="BF89" s="1219">
        <v>0</v>
      </c>
      <c r="BG89" s="76">
        <f t="shared" si="41"/>
        <v>2133838</v>
      </c>
      <c r="BH89" s="1219">
        <v>2869499</v>
      </c>
      <c r="BI89" s="1219">
        <v>10405</v>
      </c>
      <c r="BJ89" s="76">
        <f t="shared" si="42"/>
        <v>2879904</v>
      </c>
    </row>
    <row r="90" spans="52:62">
      <c r="AZ90" s="156">
        <v>220</v>
      </c>
      <c r="BA90" s="168" t="s">
        <v>201</v>
      </c>
      <c r="BB90" s="1219">
        <v>1998767</v>
      </c>
      <c r="BC90" s="1219">
        <v>1179</v>
      </c>
      <c r="BD90" s="76">
        <f t="shared" si="38"/>
        <v>1999946</v>
      </c>
      <c r="BE90" s="1219">
        <v>1735994</v>
      </c>
      <c r="BF90" s="1219">
        <v>1007</v>
      </c>
      <c r="BG90" s="76">
        <f t="shared" si="41"/>
        <v>1737001</v>
      </c>
      <c r="BH90" s="1219">
        <v>1701156</v>
      </c>
      <c r="BI90" s="1219">
        <v>716</v>
      </c>
      <c r="BJ90" s="76">
        <f t="shared" si="42"/>
        <v>1701872</v>
      </c>
    </row>
    <row r="91" spans="52:62">
      <c r="AZ91" s="156">
        <v>228</v>
      </c>
      <c r="BA91" s="168" t="s">
        <v>238</v>
      </c>
      <c r="BB91" s="1219">
        <v>3421658</v>
      </c>
      <c r="BC91" s="1219">
        <v>18594</v>
      </c>
      <c r="BD91" s="76">
        <f t="shared" si="38"/>
        <v>3440252</v>
      </c>
      <c r="BE91" s="1219">
        <v>6549819</v>
      </c>
      <c r="BF91" s="1219">
        <v>57992</v>
      </c>
      <c r="BG91" s="76">
        <f t="shared" si="41"/>
        <v>6607811</v>
      </c>
      <c r="BH91" s="1219">
        <v>5281592</v>
      </c>
      <c r="BI91" s="1219">
        <v>32005</v>
      </c>
      <c r="BJ91" s="76">
        <f t="shared" si="42"/>
        <v>5313597</v>
      </c>
    </row>
    <row r="92" spans="52:62">
      <c r="AZ92" s="156">
        <v>365</v>
      </c>
      <c r="BA92" s="168" t="s">
        <v>226</v>
      </c>
      <c r="BB92" s="1219">
        <v>851003</v>
      </c>
      <c r="BC92" s="1219">
        <v>0</v>
      </c>
      <c r="BD92" s="76">
        <f t="shared" si="38"/>
        <v>851003</v>
      </c>
      <c r="BE92" s="1219">
        <v>1414700</v>
      </c>
      <c r="BF92" s="1219">
        <v>2680</v>
      </c>
      <c r="BG92" s="76">
        <f t="shared" si="41"/>
        <v>1417380</v>
      </c>
      <c r="BH92" s="1219">
        <v>3633321</v>
      </c>
      <c r="BI92" s="1219">
        <v>4938</v>
      </c>
      <c r="BJ92" s="76">
        <f t="shared" si="42"/>
        <v>3638259</v>
      </c>
    </row>
    <row r="93" spans="52:62">
      <c r="AZ93" s="135"/>
      <c r="BA93" s="169" t="s">
        <v>202</v>
      </c>
      <c r="BB93" s="1219">
        <v>26643039</v>
      </c>
      <c r="BC93" s="1219">
        <v>0</v>
      </c>
      <c r="BD93" s="76">
        <f t="shared" si="38"/>
        <v>26643039</v>
      </c>
      <c r="BE93" s="1219">
        <v>30246939</v>
      </c>
      <c r="BF93" s="1219">
        <v>7355</v>
      </c>
      <c r="BG93" s="76">
        <f t="shared" si="41"/>
        <v>30254294</v>
      </c>
      <c r="BH93" s="1219">
        <v>39638217</v>
      </c>
      <c r="BI93" s="1219">
        <v>23847</v>
      </c>
      <c r="BJ93" s="76">
        <f t="shared" si="42"/>
        <v>39662064</v>
      </c>
    </row>
    <row r="94" spans="52:62">
      <c r="AZ94" s="157">
        <v>201</v>
      </c>
      <c r="BA94" s="157" t="s">
        <v>656</v>
      </c>
      <c r="BB94" s="1219">
        <v>24593935</v>
      </c>
      <c r="BC94" s="1219">
        <v>0</v>
      </c>
      <c r="BD94" s="76">
        <f t="shared" si="38"/>
        <v>24593935</v>
      </c>
      <c r="BE94" s="1219">
        <v>27985752</v>
      </c>
      <c r="BF94" s="1219">
        <v>0</v>
      </c>
      <c r="BG94" s="76">
        <f t="shared" si="41"/>
        <v>27985752</v>
      </c>
      <c r="BH94" s="1219">
        <v>35668681</v>
      </c>
      <c r="BI94" s="1219">
        <v>21410</v>
      </c>
      <c r="BJ94" s="76">
        <f t="shared" si="42"/>
        <v>35690091</v>
      </c>
    </row>
    <row r="95" spans="52:62">
      <c r="AZ95" s="156">
        <v>442</v>
      </c>
      <c r="BA95" s="168" t="s">
        <v>203</v>
      </c>
      <c r="BB95" s="1219">
        <v>585729</v>
      </c>
      <c r="BC95" s="1219">
        <v>0</v>
      </c>
      <c r="BD95" s="76">
        <f t="shared" si="38"/>
        <v>585729</v>
      </c>
      <c r="BE95" s="1219">
        <v>656590</v>
      </c>
      <c r="BF95" s="1219">
        <v>7355</v>
      </c>
      <c r="BG95" s="76">
        <f t="shared" si="41"/>
        <v>663945</v>
      </c>
      <c r="BH95" s="1219">
        <v>1133099</v>
      </c>
      <c r="BI95" s="1219">
        <v>2437</v>
      </c>
      <c r="BJ95" s="76">
        <f t="shared" si="42"/>
        <v>1135536</v>
      </c>
    </row>
    <row r="96" spans="52:62">
      <c r="AZ96" s="156">
        <v>443</v>
      </c>
      <c r="BA96" s="168" t="s">
        <v>204</v>
      </c>
      <c r="BB96" s="1219">
        <v>850351</v>
      </c>
      <c r="BC96" s="1219">
        <v>0</v>
      </c>
      <c r="BD96" s="76">
        <f t="shared" si="38"/>
        <v>850351</v>
      </c>
      <c r="BE96" s="1219">
        <v>887570</v>
      </c>
      <c r="BF96" s="1219">
        <v>0</v>
      </c>
      <c r="BG96" s="76">
        <f t="shared" si="41"/>
        <v>887570</v>
      </c>
      <c r="BH96" s="1219">
        <v>1214618</v>
      </c>
      <c r="BI96" s="1219">
        <v>0</v>
      </c>
      <c r="BJ96" s="76">
        <f t="shared" si="42"/>
        <v>1214618</v>
      </c>
    </row>
    <row r="97" spans="52:62">
      <c r="AZ97" s="156">
        <v>446</v>
      </c>
      <c r="BA97" s="168" t="s">
        <v>227</v>
      </c>
      <c r="BB97" s="1219">
        <v>613024</v>
      </c>
      <c r="BC97" s="1219">
        <v>0</v>
      </c>
      <c r="BD97" s="76">
        <f t="shared" si="38"/>
        <v>613024</v>
      </c>
      <c r="BE97" s="1219">
        <v>717027</v>
      </c>
      <c r="BF97" s="1219">
        <v>0</v>
      </c>
      <c r="BG97" s="76">
        <f t="shared" si="41"/>
        <v>717027</v>
      </c>
      <c r="BH97" s="1219">
        <v>1621819</v>
      </c>
      <c r="BI97" s="1219">
        <v>0</v>
      </c>
      <c r="BJ97" s="76">
        <f t="shared" si="42"/>
        <v>1621819</v>
      </c>
    </row>
    <row r="98" spans="52:62">
      <c r="AZ98" s="135"/>
      <c r="BA98" s="169" t="s">
        <v>205</v>
      </c>
      <c r="BB98" s="1219">
        <v>11828594</v>
      </c>
      <c r="BC98" s="1219">
        <v>87993</v>
      </c>
      <c r="BD98" s="76">
        <f t="shared" si="38"/>
        <v>11916587</v>
      </c>
      <c r="BE98" s="1219">
        <v>11567747</v>
      </c>
      <c r="BF98" s="1219">
        <v>48100</v>
      </c>
      <c r="BG98" s="76">
        <f t="shared" si="41"/>
        <v>11615847</v>
      </c>
      <c r="BH98" s="1219">
        <v>16042612</v>
      </c>
      <c r="BI98" s="1219">
        <v>177081</v>
      </c>
      <c r="BJ98" s="76">
        <f t="shared" si="42"/>
        <v>16219693</v>
      </c>
    </row>
    <row r="99" spans="52:62">
      <c r="AZ99" s="156">
        <v>208</v>
      </c>
      <c r="BA99" s="168" t="s">
        <v>206</v>
      </c>
      <c r="BB99" s="1219">
        <v>937827</v>
      </c>
      <c r="BC99" s="1219">
        <v>0</v>
      </c>
      <c r="BD99" s="76">
        <f t="shared" si="38"/>
        <v>937827</v>
      </c>
      <c r="BE99" s="1219">
        <v>1091814</v>
      </c>
      <c r="BF99" s="1219">
        <v>0</v>
      </c>
      <c r="BG99" s="76">
        <f t="shared" si="41"/>
        <v>1091814</v>
      </c>
      <c r="BH99" s="1219">
        <v>1338695</v>
      </c>
      <c r="BI99" s="1219">
        <v>8091</v>
      </c>
      <c r="BJ99" s="76">
        <f t="shared" si="42"/>
        <v>1346786</v>
      </c>
    </row>
    <row r="100" spans="52:62">
      <c r="AZ100" s="156">
        <v>212</v>
      </c>
      <c r="BA100" s="168" t="s">
        <v>207</v>
      </c>
      <c r="BB100" s="1219">
        <v>1781677</v>
      </c>
      <c r="BC100" s="1219">
        <v>0</v>
      </c>
      <c r="BD100" s="76">
        <f t="shared" si="38"/>
        <v>1781677</v>
      </c>
      <c r="BE100" s="1219">
        <v>2374257</v>
      </c>
      <c r="BF100" s="1219">
        <v>11242</v>
      </c>
      <c r="BG100" s="76">
        <f t="shared" si="41"/>
        <v>2385499</v>
      </c>
      <c r="BH100" s="1219">
        <v>5196355</v>
      </c>
      <c r="BI100" s="1219">
        <v>0</v>
      </c>
      <c r="BJ100" s="76">
        <f t="shared" si="42"/>
        <v>5196355</v>
      </c>
    </row>
    <row r="101" spans="52:62">
      <c r="AZ101" s="156">
        <v>227</v>
      </c>
      <c r="BA101" s="168" t="s">
        <v>641</v>
      </c>
      <c r="BB101" s="1219">
        <v>2109120</v>
      </c>
      <c r="BC101" s="1219">
        <v>87001</v>
      </c>
      <c r="BD101" s="76">
        <f t="shared" si="38"/>
        <v>2196121</v>
      </c>
      <c r="BE101" s="1219">
        <v>1977687</v>
      </c>
      <c r="BF101" s="1219">
        <v>36858</v>
      </c>
      <c r="BG101" s="76">
        <f t="shared" si="41"/>
        <v>2014545</v>
      </c>
      <c r="BH101" s="1219">
        <v>1686194</v>
      </c>
      <c r="BI101" s="1219">
        <v>102501</v>
      </c>
      <c r="BJ101" s="76">
        <f t="shared" si="42"/>
        <v>1788695</v>
      </c>
    </row>
    <row r="102" spans="52:62">
      <c r="AZ102" s="156">
        <v>229</v>
      </c>
      <c r="BA102" s="168" t="s">
        <v>228</v>
      </c>
      <c r="BB102" s="1219">
        <v>4596749</v>
      </c>
      <c r="BC102" s="1219">
        <v>0</v>
      </c>
      <c r="BD102" s="76">
        <f t="shared" si="38"/>
        <v>4596749</v>
      </c>
      <c r="BE102" s="1219">
        <v>3412693</v>
      </c>
      <c r="BF102" s="1219">
        <v>0</v>
      </c>
      <c r="BG102" s="76">
        <f t="shared" si="41"/>
        <v>3412693</v>
      </c>
      <c r="BH102" s="1219">
        <v>3776314</v>
      </c>
      <c r="BI102" s="1219">
        <v>30029</v>
      </c>
      <c r="BJ102" s="76">
        <f t="shared" si="42"/>
        <v>3806343</v>
      </c>
    </row>
    <row r="103" spans="52:62">
      <c r="AZ103" s="156">
        <v>464</v>
      </c>
      <c r="BA103" s="168" t="s">
        <v>208</v>
      </c>
      <c r="BB103" s="1219">
        <v>658950</v>
      </c>
      <c r="BC103" s="1219">
        <v>0</v>
      </c>
      <c r="BD103" s="76">
        <f t="shared" si="38"/>
        <v>658950</v>
      </c>
      <c r="BE103" s="1219">
        <v>445952</v>
      </c>
      <c r="BF103" s="1219">
        <v>0</v>
      </c>
      <c r="BG103" s="76">
        <f t="shared" si="41"/>
        <v>445952</v>
      </c>
      <c r="BH103" s="1219">
        <v>792139</v>
      </c>
      <c r="BI103" s="1219">
        <v>17226</v>
      </c>
      <c r="BJ103" s="76">
        <f t="shared" si="42"/>
        <v>809365</v>
      </c>
    </row>
    <row r="104" spans="52:62">
      <c r="AZ104" s="156">
        <v>481</v>
      </c>
      <c r="BA104" s="168" t="s">
        <v>209</v>
      </c>
      <c r="BB104" s="1219">
        <v>718404</v>
      </c>
      <c r="BC104" s="1219">
        <v>0</v>
      </c>
      <c r="BD104" s="76">
        <f t="shared" si="38"/>
        <v>718404</v>
      </c>
      <c r="BE104" s="1219">
        <v>676548</v>
      </c>
      <c r="BF104" s="1219">
        <v>0</v>
      </c>
      <c r="BG104" s="76">
        <f t="shared" si="41"/>
        <v>676548</v>
      </c>
      <c r="BH104" s="1219">
        <v>697032</v>
      </c>
      <c r="BI104" s="1219">
        <v>0</v>
      </c>
      <c r="BJ104" s="76">
        <f t="shared" si="42"/>
        <v>697032</v>
      </c>
    </row>
    <row r="105" spans="52:62">
      <c r="AZ105" s="156">
        <v>501</v>
      </c>
      <c r="BA105" s="168" t="s">
        <v>657</v>
      </c>
      <c r="BB105" s="1219">
        <v>1025867</v>
      </c>
      <c r="BC105" s="1219">
        <v>992</v>
      </c>
      <c r="BD105" s="76">
        <f t="shared" si="38"/>
        <v>1026859</v>
      </c>
      <c r="BE105" s="1219">
        <v>1588796</v>
      </c>
      <c r="BF105" s="1219">
        <v>0</v>
      </c>
      <c r="BG105" s="76">
        <f t="shared" si="41"/>
        <v>1588796</v>
      </c>
      <c r="BH105" s="1219">
        <v>2555883</v>
      </c>
      <c r="BI105" s="1219">
        <v>19234</v>
      </c>
      <c r="BJ105" s="76">
        <f t="shared" si="42"/>
        <v>2575117</v>
      </c>
    </row>
    <row r="106" spans="52:62">
      <c r="AZ106" s="135"/>
      <c r="BA106" s="170" t="s">
        <v>210</v>
      </c>
      <c r="BB106" s="1219">
        <v>10018628</v>
      </c>
      <c r="BC106" s="1219">
        <v>246888</v>
      </c>
      <c r="BD106" s="76">
        <f t="shared" si="38"/>
        <v>10265516</v>
      </c>
      <c r="BE106" s="1219">
        <v>10389884</v>
      </c>
      <c r="BF106" s="1219">
        <v>1399687</v>
      </c>
      <c r="BG106" s="76">
        <f t="shared" si="41"/>
        <v>11789571</v>
      </c>
      <c r="BH106" s="1219">
        <v>11784715</v>
      </c>
      <c r="BI106" s="1219">
        <v>1496760</v>
      </c>
      <c r="BJ106" s="76">
        <f t="shared" si="42"/>
        <v>13281475</v>
      </c>
    </row>
    <row r="107" spans="52:62">
      <c r="AZ107" s="156">
        <v>209</v>
      </c>
      <c r="BA107" s="171" t="s">
        <v>242</v>
      </c>
      <c r="BB107" s="1219">
        <v>4532388</v>
      </c>
      <c r="BC107" s="1219">
        <v>4488</v>
      </c>
      <c r="BD107" s="76">
        <f t="shared" si="38"/>
        <v>4536876</v>
      </c>
      <c r="BE107" s="1219">
        <v>4222557</v>
      </c>
      <c r="BF107" s="1219">
        <v>101281</v>
      </c>
      <c r="BG107" s="76">
        <f t="shared" si="41"/>
        <v>4323838</v>
      </c>
      <c r="BH107" s="1219">
        <v>4136388</v>
      </c>
      <c r="BI107" s="1219">
        <v>134650</v>
      </c>
      <c r="BJ107" s="76">
        <f t="shared" si="42"/>
        <v>4271038</v>
      </c>
    </row>
    <row r="108" spans="52:62">
      <c r="AZ108" s="156">
        <v>222</v>
      </c>
      <c r="BA108" s="168" t="s">
        <v>218</v>
      </c>
      <c r="BB108" s="1219">
        <v>1370698</v>
      </c>
      <c r="BC108" s="1219">
        <v>59138</v>
      </c>
      <c r="BD108" s="76">
        <f t="shared" si="38"/>
        <v>1429836</v>
      </c>
      <c r="BE108" s="1219">
        <v>1726209</v>
      </c>
      <c r="BF108" s="1219">
        <v>272477</v>
      </c>
      <c r="BG108" s="76">
        <f t="shared" si="41"/>
        <v>1998686</v>
      </c>
      <c r="BH108" s="1219">
        <v>1426619</v>
      </c>
      <c r="BI108" s="1219">
        <v>290305</v>
      </c>
      <c r="BJ108" s="76">
        <f t="shared" si="42"/>
        <v>1716924</v>
      </c>
    </row>
    <row r="109" spans="52:62">
      <c r="AZ109" s="156">
        <v>225</v>
      </c>
      <c r="BA109" s="168" t="s">
        <v>642</v>
      </c>
      <c r="BB109" s="1219">
        <v>1598768</v>
      </c>
      <c r="BC109" s="1219">
        <v>14285</v>
      </c>
      <c r="BD109" s="76">
        <f t="shared" si="38"/>
        <v>1613053</v>
      </c>
      <c r="BE109" s="1219">
        <v>1579275</v>
      </c>
      <c r="BF109" s="1219">
        <v>39450</v>
      </c>
      <c r="BG109" s="76">
        <f t="shared" si="41"/>
        <v>1618725</v>
      </c>
      <c r="BH109" s="1219">
        <v>2433836</v>
      </c>
      <c r="BI109" s="1219">
        <v>8446</v>
      </c>
      <c r="BJ109" s="76">
        <f t="shared" si="42"/>
        <v>2442282</v>
      </c>
    </row>
    <row r="110" spans="52:62">
      <c r="AZ110" s="156">
        <v>585</v>
      </c>
      <c r="BA110" s="168" t="s">
        <v>643</v>
      </c>
      <c r="BB110" s="1219">
        <v>1313979</v>
      </c>
      <c r="BC110" s="1219">
        <v>101455</v>
      </c>
      <c r="BD110" s="76">
        <f t="shared" si="38"/>
        <v>1415434</v>
      </c>
      <c r="BE110" s="1219">
        <v>1189872</v>
      </c>
      <c r="BF110" s="1219">
        <v>328788</v>
      </c>
      <c r="BG110" s="76">
        <f t="shared" si="41"/>
        <v>1518660</v>
      </c>
      <c r="BH110" s="1219">
        <v>1860651</v>
      </c>
      <c r="BI110" s="1219">
        <v>578551</v>
      </c>
      <c r="BJ110" s="76">
        <f t="shared" si="42"/>
        <v>2439202</v>
      </c>
    </row>
    <row r="111" spans="52:62">
      <c r="AZ111" s="156">
        <v>586</v>
      </c>
      <c r="BA111" s="168" t="s">
        <v>243</v>
      </c>
      <c r="BB111" s="1219">
        <v>1202795</v>
      </c>
      <c r="BC111" s="1219">
        <v>67522</v>
      </c>
      <c r="BD111" s="76">
        <f t="shared" si="38"/>
        <v>1270317</v>
      </c>
      <c r="BE111" s="1219">
        <v>1671971</v>
      </c>
      <c r="BF111" s="1219">
        <v>657691</v>
      </c>
      <c r="BG111" s="76">
        <f t="shared" si="41"/>
        <v>2329662</v>
      </c>
      <c r="BH111" s="1219">
        <v>1927221</v>
      </c>
      <c r="BI111" s="1219">
        <v>484808</v>
      </c>
      <c r="BJ111" s="76">
        <f t="shared" si="42"/>
        <v>2412029</v>
      </c>
    </row>
    <row r="112" spans="52:62">
      <c r="AZ112" s="135"/>
      <c r="BA112" s="135" t="s">
        <v>211</v>
      </c>
      <c r="BB112" s="1219">
        <v>7352608</v>
      </c>
      <c r="BC112" s="1219">
        <v>43624</v>
      </c>
      <c r="BD112" s="76">
        <f t="shared" si="38"/>
        <v>7396232</v>
      </c>
      <c r="BE112" s="1219">
        <v>3663170</v>
      </c>
      <c r="BF112" s="1219">
        <v>94481</v>
      </c>
      <c r="BG112" s="76">
        <f t="shared" si="41"/>
        <v>3757651</v>
      </c>
      <c r="BH112" s="1219">
        <v>4814594</v>
      </c>
      <c r="BI112" s="1219">
        <v>22531</v>
      </c>
      <c r="BJ112" s="76">
        <f t="shared" si="42"/>
        <v>4837125</v>
      </c>
    </row>
    <row r="113" spans="52:62">
      <c r="AZ113" s="156">
        <v>221</v>
      </c>
      <c r="BA113" s="168" t="s">
        <v>1710</v>
      </c>
      <c r="BB113" s="1219">
        <v>1469715</v>
      </c>
      <c r="BC113" s="1219">
        <v>19945</v>
      </c>
      <c r="BD113" s="76">
        <f t="shared" si="38"/>
        <v>1489660</v>
      </c>
      <c r="BE113" s="1219">
        <v>1579108</v>
      </c>
      <c r="BF113" s="1219">
        <v>29959</v>
      </c>
      <c r="BG113" s="76">
        <f t="shared" si="41"/>
        <v>1609067</v>
      </c>
      <c r="BH113" s="1219">
        <v>1988490</v>
      </c>
      <c r="BI113" s="1219">
        <v>17413</v>
      </c>
      <c r="BJ113" s="76">
        <f t="shared" si="42"/>
        <v>2005903</v>
      </c>
    </row>
    <row r="114" spans="52:62">
      <c r="AZ114" s="156">
        <v>223</v>
      </c>
      <c r="BA114" s="168" t="s">
        <v>223</v>
      </c>
      <c r="BB114" s="1219">
        <v>5882893</v>
      </c>
      <c r="BC114" s="1219">
        <v>23679</v>
      </c>
      <c r="BD114" s="76">
        <f t="shared" si="38"/>
        <v>5906572</v>
      </c>
      <c r="BE114" s="1219">
        <v>2084062</v>
      </c>
      <c r="BF114" s="1219">
        <v>64522</v>
      </c>
      <c r="BG114" s="76">
        <f t="shared" si="41"/>
        <v>2148584</v>
      </c>
      <c r="BH114" s="1219">
        <v>2826104</v>
      </c>
      <c r="BI114" s="1219">
        <v>5118</v>
      </c>
      <c r="BJ114" s="76">
        <f t="shared" si="42"/>
        <v>2831222</v>
      </c>
    </row>
    <row r="115" spans="52:62">
      <c r="AZ115" s="135"/>
      <c r="BA115" s="172" t="s">
        <v>212</v>
      </c>
      <c r="BB115" s="1219">
        <v>13514853</v>
      </c>
      <c r="BC115" s="1219">
        <v>302626</v>
      </c>
      <c r="BD115" s="76">
        <f t="shared" si="38"/>
        <v>13817479</v>
      </c>
      <c r="BE115" s="1219">
        <v>12688017</v>
      </c>
      <c r="BF115" s="1219">
        <v>216489</v>
      </c>
      <c r="BG115" s="76">
        <f t="shared" si="41"/>
        <v>12904506</v>
      </c>
      <c r="BH115" s="1219">
        <v>10190369</v>
      </c>
      <c r="BI115" s="1219">
        <v>668316</v>
      </c>
      <c r="BJ115" s="76">
        <f t="shared" si="42"/>
        <v>10858685</v>
      </c>
    </row>
    <row r="116" spans="52:62">
      <c r="AZ116" s="157">
        <v>205</v>
      </c>
      <c r="BA116" s="157" t="s">
        <v>658</v>
      </c>
      <c r="BB116" s="1219">
        <v>3208475</v>
      </c>
      <c r="BC116" s="1219">
        <v>128221</v>
      </c>
      <c r="BD116" s="76">
        <f t="shared" si="38"/>
        <v>3336696</v>
      </c>
      <c r="BE116" s="1219">
        <v>2154077</v>
      </c>
      <c r="BF116" s="1219">
        <v>80082</v>
      </c>
      <c r="BG116" s="76">
        <f t="shared" si="41"/>
        <v>2234159</v>
      </c>
      <c r="BH116" s="1219">
        <v>2170201</v>
      </c>
      <c r="BI116" s="1219">
        <v>92114</v>
      </c>
      <c r="BJ116" s="76">
        <f t="shared" si="42"/>
        <v>2262315</v>
      </c>
    </row>
    <row r="117" spans="52:62">
      <c r="AZ117" s="156">
        <v>224</v>
      </c>
      <c r="BA117" s="168" t="s">
        <v>224</v>
      </c>
      <c r="BB117" s="1219">
        <v>6156283</v>
      </c>
      <c r="BC117" s="1219">
        <v>52752</v>
      </c>
      <c r="BD117" s="76">
        <f t="shared" si="38"/>
        <v>6209035</v>
      </c>
      <c r="BE117" s="1219">
        <v>3977848</v>
      </c>
      <c r="BF117" s="1219">
        <v>35684</v>
      </c>
      <c r="BG117" s="76">
        <f t="shared" si="41"/>
        <v>4013532</v>
      </c>
      <c r="BH117" s="1219">
        <v>4076893</v>
      </c>
      <c r="BI117" s="1219">
        <v>125950</v>
      </c>
      <c r="BJ117" s="76">
        <f t="shared" si="42"/>
        <v>4202843</v>
      </c>
    </row>
    <row r="118" spans="52:62">
      <c r="AZ118" s="415">
        <v>226</v>
      </c>
      <c r="BA118" s="416" t="s">
        <v>225</v>
      </c>
      <c r="BB118" s="1703">
        <v>4150095</v>
      </c>
      <c r="BC118" s="1703">
        <v>121653</v>
      </c>
      <c r="BD118" s="76">
        <f t="shared" si="38"/>
        <v>4271748</v>
      </c>
      <c r="BE118" s="1703">
        <v>6556092</v>
      </c>
      <c r="BF118" s="1703">
        <v>100723</v>
      </c>
      <c r="BG118" s="76">
        <f t="shared" si="41"/>
        <v>6656815</v>
      </c>
      <c r="BH118" s="1703">
        <v>3943275</v>
      </c>
      <c r="BI118" s="1703">
        <v>450252</v>
      </c>
      <c r="BJ118" s="76">
        <f t="shared" si="42"/>
        <v>4393527</v>
      </c>
    </row>
    <row r="119" spans="52:62">
      <c r="AZ119" s="14"/>
      <c r="BA119" s="14" t="s">
        <v>171</v>
      </c>
      <c r="BB119" s="1700" t="s">
        <v>1715</v>
      </c>
      <c r="BE119" s="1700" t="s">
        <v>1715</v>
      </c>
      <c r="BH119" s="1700" t="s">
        <v>1715</v>
      </c>
    </row>
  </sheetData>
  <mergeCells count="3">
    <mergeCell ref="AZ56:BA56"/>
    <mergeCell ref="AZ57:BA57"/>
    <mergeCell ref="AZ58:BA58"/>
  </mergeCells>
  <phoneticPr fontId="13"/>
  <pageMargins left="0.75" right="0.75" top="1" bottom="1" header="0.51200000000000001" footer="0.51200000000000001"/>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9"/>
  <dimension ref="A1:AY259"/>
  <sheetViews>
    <sheetView workbookViewId="0">
      <pane xSplit="1" ySplit="2" topLeftCell="AT3" activePane="bottomRight" state="frozen"/>
      <selection pane="topRight" activeCell="B1" sqref="B1"/>
      <selection pane="bottomLeft" activeCell="A3" sqref="A3"/>
      <selection pane="bottomRight" activeCell="BC13" sqref="BC13"/>
    </sheetView>
  </sheetViews>
  <sheetFormatPr defaultColWidth="8.7109375" defaultRowHeight="16.5"/>
  <cols>
    <col min="1" max="18" width="9" style="115" customWidth="1"/>
    <col min="19" max="19" width="9.42578125" style="104" customWidth="1"/>
    <col min="20" max="28" width="9" style="104" customWidth="1"/>
    <col min="29" max="29" width="3.2109375" customWidth="1"/>
    <col min="30" max="46" width="9" style="104" customWidth="1"/>
    <col min="47" max="47" width="4.0703125" style="104" customWidth="1"/>
    <col min="48" max="51" width="9" style="104" customWidth="1"/>
    <col min="52" max="52" width="3" style="104" customWidth="1"/>
    <col min="53" max="53" width="8" style="104" customWidth="1"/>
    <col min="54" max="62" width="9" style="104" customWidth="1"/>
    <col min="63" max="16384" width="8.7109375" style="104"/>
  </cols>
  <sheetData>
    <row r="1" spans="1:51">
      <c r="A1" s="126" t="s">
        <v>609</v>
      </c>
      <c r="B1" s="115" t="s">
        <v>628</v>
      </c>
      <c r="C1" s="115" t="s">
        <v>628</v>
      </c>
      <c r="D1" s="104"/>
      <c r="E1" s="115" t="s">
        <v>630</v>
      </c>
      <c r="F1" s="115" t="s">
        <v>630</v>
      </c>
      <c r="G1" s="104"/>
      <c r="H1" s="115" t="s">
        <v>632</v>
      </c>
      <c r="I1" s="115" t="s">
        <v>632</v>
      </c>
      <c r="J1" s="104"/>
      <c r="K1" s="115" t="s">
        <v>634</v>
      </c>
      <c r="L1" s="115" t="s">
        <v>634</v>
      </c>
      <c r="M1" s="104"/>
      <c r="N1" s="115" t="s">
        <v>636</v>
      </c>
      <c r="O1" s="115" t="s">
        <v>636</v>
      </c>
      <c r="P1" s="104"/>
      <c r="Q1" s="115" t="s">
        <v>571</v>
      </c>
      <c r="R1" s="115" t="s">
        <v>571</v>
      </c>
      <c r="T1" s="114" t="s">
        <v>570</v>
      </c>
      <c r="U1" s="114" t="s">
        <v>570</v>
      </c>
      <c r="W1" s="114" t="s">
        <v>607</v>
      </c>
      <c r="X1" s="114" t="s">
        <v>607</v>
      </c>
      <c r="Z1" s="113" t="s">
        <v>567</v>
      </c>
      <c r="AA1" s="113" t="s">
        <v>567</v>
      </c>
      <c r="AD1" s="112"/>
      <c r="AE1" s="112" t="s">
        <v>568</v>
      </c>
      <c r="AF1" s="112" t="s">
        <v>568</v>
      </c>
      <c r="AH1" s="125" t="s">
        <v>609</v>
      </c>
      <c r="AI1" s="104" t="s">
        <v>569</v>
      </c>
      <c r="AJ1" s="104" t="s">
        <v>569</v>
      </c>
      <c r="AL1" s="104" t="s">
        <v>563</v>
      </c>
      <c r="AM1" s="104" t="s">
        <v>563</v>
      </c>
      <c r="AO1" s="104" t="s">
        <v>562</v>
      </c>
      <c r="AP1" s="104" t="s">
        <v>562</v>
      </c>
      <c r="AR1" s="104" t="s">
        <v>561</v>
      </c>
      <c r="AS1" s="104" t="s">
        <v>561</v>
      </c>
      <c r="AW1" s="104" t="s">
        <v>545</v>
      </c>
      <c r="AX1" s="104" t="s">
        <v>545</v>
      </c>
      <c r="AY1" s="104" t="s">
        <v>620</v>
      </c>
    </row>
    <row r="2" spans="1:51">
      <c r="A2" s="109" t="s">
        <v>605</v>
      </c>
      <c r="B2" s="110" t="s">
        <v>461</v>
      </c>
      <c r="C2" s="111" t="s">
        <v>462</v>
      </c>
      <c r="D2" s="121" t="s">
        <v>629</v>
      </c>
      <c r="E2" s="110" t="s">
        <v>461</v>
      </c>
      <c r="F2" s="111" t="s">
        <v>462</v>
      </c>
      <c r="G2" s="121" t="s">
        <v>631</v>
      </c>
      <c r="H2" s="110" t="s">
        <v>461</v>
      </c>
      <c r="I2" s="111" t="s">
        <v>462</v>
      </c>
      <c r="J2" s="121" t="s">
        <v>633</v>
      </c>
      <c r="K2" s="110" t="s">
        <v>461</v>
      </c>
      <c r="L2" s="111" t="s">
        <v>462</v>
      </c>
      <c r="M2" s="121" t="s">
        <v>635</v>
      </c>
      <c r="N2" s="110" t="s">
        <v>461</v>
      </c>
      <c r="O2" s="111" t="s">
        <v>462</v>
      </c>
      <c r="P2" s="121" t="s">
        <v>637</v>
      </c>
      <c r="Q2" s="110" t="s">
        <v>461</v>
      </c>
      <c r="R2" s="111" t="s">
        <v>462</v>
      </c>
      <c r="S2" s="121" t="s">
        <v>602</v>
      </c>
      <c r="T2" s="110" t="s">
        <v>461</v>
      </c>
      <c r="U2" s="111" t="s">
        <v>462</v>
      </c>
      <c r="V2" s="121" t="s">
        <v>601</v>
      </c>
      <c r="W2" s="110" t="s">
        <v>461</v>
      </c>
      <c r="X2" s="111" t="s">
        <v>462</v>
      </c>
      <c r="Y2" s="121" t="s">
        <v>608</v>
      </c>
      <c r="Z2" s="110" t="s">
        <v>461</v>
      </c>
      <c r="AA2" s="111" t="s">
        <v>462</v>
      </c>
      <c r="AB2" s="121" t="s">
        <v>600</v>
      </c>
      <c r="AD2" s="109" t="s">
        <v>605</v>
      </c>
      <c r="AE2" s="110" t="s">
        <v>461</v>
      </c>
      <c r="AF2" s="111" t="s">
        <v>462</v>
      </c>
      <c r="AG2" s="121" t="s">
        <v>599</v>
      </c>
      <c r="AH2" s="109" t="s">
        <v>605</v>
      </c>
      <c r="AI2" s="110" t="s">
        <v>461</v>
      </c>
      <c r="AJ2" s="111" t="s">
        <v>462</v>
      </c>
      <c r="AK2" s="121" t="s">
        <v>598</v>
      </c>
      <c r="AL2" s="110" t="s">
        <v>461</v>
      </c>
      <c r="AM2" s="111" t="s">
        <v>462</v>
      </c>
      <c r="AN2" s="121" t="s">
        <v>595</v>
      </c>
      <c r="AO2" s="110" t="s">
        <v>461</v>
      </c>
      <c r="AP2" s="111" t="s">
        <v>462</v>
      </c>
      <c r="AQ2" s="121" t="s">
        <v>594</v>
      </c>
      <c r="AR2" s="110" t="s">
        <v>461</v>
      </c>
      <c r="AS2" s="111" t="s">
        <v>462</v>
      </c>
      <c r="AT2" s="121" t="s">
        <v>593</v>
      </c>
      <c r="AU2" s="105"/>
      <c r="AV2" s="109" t="s">
        <v>605</v>
      </c>
      <c r="AW2" s="110" t="s">
        <v>461</v>
      </c>
      <c r="AX2" s="111" t="s">
        <v>462</v>
      </c>
      <c r="AY2" s="121" t="s">
        <v>592</v>
      </c>
    </row>
    <row r="3" spans="1:51">
      <c r="A3" s="119" t="s">
        <v>603</v>
      </c>
      <c r="B3" s="115">
        <f t="shared" ref="B3:N3" si="0">B4+B5+B14+B32+B58+B78+B89</f>
        <v>543441368</v>
      </c>
      <c r="C3" s="115">
        <f t="shared" si="0"/>
        <v>11287781</v>
      </c>
      <c r="D3" s="134">
        <f>B3+C3</f>
        <v>554729149</v>
      </c>
      <c r="E3" s="115">
        <f t="shared" si="0"/>
        <v>649863676</v>
      </c>
      <c r="F3" s="115">
        <f t="shared" si="0"/>
        <v>12732205</v>
      </c>
      <c r="G3" s="134">
        <f>E3+F3</f>
        <v>662595881</v>
      </c>
      <c r="H3" s="115">
        <f t="shared" si="0"/>
        <v>694037321</v>
      </c>
      <c r="I3" s="115">
        <f t="shared" si="0"/>
        <v>4259887</v>
      </c>
      <c r="J3" s="134">
        <f>H3+I3</f>
        <v>698297208</v>
      </c>
      <c r="K3" s="115">
        <f t="shared" si="0"/>
        <v>736397051</v>
      </c>
      <c r="L3" s="115">
        <f t="shared" si="0"/>
        <v>3759600</v>
      </c>
      <c r="M3" s="134">
        <f>K3+L3</f>
        <v>740156651</v>
      </c>
      <c r="N3" s="115">
        <f t="shared" si="0"/>
        <v>635712949</v>
      </c>
      <c r="O3" s="115">
        <f>O4+O5+O14+O32+O58+O78+O89</f>
        <v>19499720</v>
      </c>
      <c r="P3" s="134">
        <f>N3+O3</f>
        <v>655212669</v>
      </c>
      <c r="Q3" s="115">
        <v>936898033</v>
      </c>
      <c r="R3" s="115">
        <v>319048733</v>
      </c>
      <c r="S3" s="122">
        <v>1255946766</v>
      </c>
      <c r="T3" s="114">
        <v>979391244</v>
      </c>
      <c r="U3" s="114">
        <v>262895407</v>
      </c>
      <c r="V3" s="122">
        <v>1242286651</v>
      </c>
      <c r="W3" s="114">
        <v>864587397</v>
      </c>
      <c r="X3" s="114">
        <v>45717422</v>
      </c>
      <c r="Y3" s="122">
        <v>910304819</v>
      </c>
      <c r="Z3" s="113">
        <v>731723127</v>
      </c>
      <c r="AA3" s="113">
        <v>7602592</v>
      </c>
      <c r="AB3" s="122">
        <v>739325719</v>
      </c>
      <c r="AD3" s="118" t="s">
        <v>603</v>
      </c>
      <c r="AE3" s="112">
        <v>621980119</v>
      </c>
      <c r="AF3" s="112">
        <v>11609792</v>
      </c>
      <c r="AG3" s="122">
        <v>633589911</v>
      </c>
      <c r="AH3" s="215" t="s">
        <v>604</v>
      </c>
      <c r="AI3" s="215">
        <v>571875643</v>
      </c>
      <c r="AJ3" s="215">
        <v>5335118</v>
      </c>
      <c r="AK3" s="186">
        <v>577210761</v>
      </c>
      <c r="AL3" s="216">
        <v>514661460</v>
      </c>
      <c r="AM3" s="216">
        <v>831764</v>
      </c>
      <c r="AN3" s="186">
        <v>515493224</v>
      </c>
      <c r="AO3" s="216">
        <v>488060914</v>
      </c>
      <c r="AP3" s="216">
        <v>321519</v>
      </c>
      <c r="AQ3" s="186">
        <v>488382433</v>
      </c>
      <c r="AR3" s="216">
        <v>441852903</v>
      </c>
      <c r="AS3" s="216">
        <v>2671338</v>
      </c>
      <c r="AT3" s="186">
        <v>444524241</v>
      </c>
      <c r="AV3" s="104" t="s">
        <v>604</v>
      </c>
      <c r="AW3" s="106">
        <v>429595871</v>
      </c>
      <c r="AX3" s="106">
        <v>17920908</v>
      </c>
      <c r="AY3" s="122">
        <v>447516779</v>
      </c>
    </row>
    <row r="4" spans="1:51">
      <c r="A4" s="115" t="s">
        <v>172</v>
      </c>
      <c r="B4" s="115">
        <v>261338546</v>
      </c>
      <c r="C4" s="115">
        <v>80628</v>
      </c>
      <c r="D4" s="134">
        <f t="shared" ref="D4:D67" si="1">B4+C4</f>
        <v>261419174</v>
      </c>
      <c r="E4" s="115">
        <v>304227308</v>
      </c>
      <c r="F4" s="115">
        <v>241329</v>
      </c>
      <c r="G4" s="134">
        <f t="shared" ref="G4:G67" si="2">E4+F4</f>
        <v>304468637</v>
      </c>
      <c r="H4" s="115">
        <v>314122198</v>
      </c>
      <c r="I4" s="115">
        <v>212033</v>
      </c>
      <c r="J4" s="134">
        <f t="shared" ref="J4:J67" si="3">H4+I4</f>
        <v>314334231</v>
      </c>
      <c r="K4" s="115">
        <v>349128057</v>
      </c>
      <c r="L4" s="115">
        <v>335948</v>
      </c>
      <c r="M4" s="134">
        <f t="shared" ref="M4:M67" si="4">K4+L4</f>
        <v>349464005</v>
      </c>
      <c r="N4" s="115">
        <v>283501245</v>
      </c>
      <c r="O4" s="115">
        <v>8074654</v>
      </c>
      <c r="P4" s="134">
        <f t="shared" ref="P4:P67" si="5">N4+O4</f>
        <v>291575899</v>
      </c>
      <c r="Q4" s="115">
        <v>484474785</v>
      </c>
      <c r="R4" s="115">
        <v>244635484</v>
      </c>
      <c r="S4" s="122">
        <v>729110269</v>
      </c>
      <c r="T4" s="114">
        <v>475404102</v>
      </c>
      <c r="U4" s="114">
        <v>209513328</v>
      </c>
      <c r="V4" s="122">
        <v>684917430</v>
      </c>
      <c r="W4" s="114">
        <v>402419974</v>
      </c>
      <c r="X4" s="114">
        <v>20928806</v>
      </c>
      <c r="Y4" s="122">
        <v>423348780</v>
      </c>
      <c r="Z4" s="113">
        <v>307538227</v>
      </c>
      <c r="AA4" s="113">
        <v>1207045</v>
      </c>
      <c r="AB4" s="122">
        <v>308745272</v>
      </c>
      <c r="AD4" s="112" t="s">
        <v>564</v>
      </c>
      <c r="AE4" s="112">
        <v>247072237</v>
      </c>
      <c r="AF4" s="112">
        <v>1677441</v>
      </c>
      <c r="AG4" s="122">
        <v>248749678</v>
      </c>
      <c r="AH4" s="104" t="s">
        <v>564</v>
      </c>
      <c r="AI4" s="104">
        <v>208457410</v>
      </c>
      <c r="AJ4" s="104">
        <v>44145</v>
      </c>
      <c r="AK4" s="122">
        <v>208501555</v>
      </c>
      <c r="AL4" s="106">
        <v>185639595</v>
      </c>
      <c r="AM4" s="106">
        <v>0</v>
      </c>
      <c r="AN4" s="122">
        <v>185639595</v>
      </c>
      <c r="AO4" s="106">
        <v>174458155</v>
      </c>
      <c r="AP4" s="106">
        <v>0</v>
      </c>
      <c r="AQ4" s="122">
        <v>174458155</v>
      </c>
      <c r="AR4" s="106">
        <v>147578949</v>
      </c>
      <c r="AS4" s="106">
        <v>0</v>
      </c>
      <c r="AT4" s="122">
        <v>147578949</v>
      </c>
      <c r="AU4" s="104">
        <v>100</v>
      </c>
      <c r="AV4" s="104" t="s">
        <v>606</v>
      </c>
      <c r="AW4" s="106">
        <v>137115453</v>
      </c>
      <c r="AX4" s="106">
        <v>1881267</v>
      </c>
      <c r="AY4" s="122">
        <v>138996720</v>
      </c>
    </row>
    <row r="5" spans="1:51">
      <c r="A5" s="115" t="s">
        <v>373</v>
      </c>
      <c r="B5" s="115">
        <f t="shared" ref="B5:N5" si="6">SUM(B6:B13)</f>
        <v>141285343</v>
      </c>
      <c r="C5" s="115">
        <f t="shared" si="6"/>
        <v>293042</v>
      </c>
      <c r="D5" s="134">
        <f t="shared" si="1"/>
        <v>141578385</v>
      </c>
      <c r="E5" s="115">
        <f t="shared" si="6"/>
        <v>170817781</v>
      </c>
      <c r="F5" s="115">
        <f t="shared" si="6"/>
        <v>15539</v>
      </c>
      <c r="G5" s="134">
        <f t="shared" si="2"/>
        <v>170833320</v>
      </c>
      <c r="H5" s="115">
        <f t="shared" si="6"/>
        <v>194607540</v>
      </c>
      <c r="I5" s="115">
        <f t="shared" si="6"/>
        <v>25306</v>
      </c>
      <c r="J5" s="134">
        <f t="shared" si="3"/>
        <v>194632846</v>
      </c>
      <c r="K5" s="115">
        <f t="shared" si="6"/>
        <v>192375984</v>
      </c>
      <c r="L5" s="115">
        <f t="shared" si="6"/>
        <v>266622</v>
      </c>
      <c r="M5" s="134">
        <f t="shared" si="4"/>
        <v>192642606</v>
      </c>
      <c r="N5" s="115">
        <f t="shared" si="6"/>
        <v>155388250</v>
      </c>
      <c r="O5" s="115">
        <f>SUM(O6:O13)</f>
        <v>7323434</v>
      </c>
      <c r="P5" s="134">
        <f t="shared" si="5"/>
        <v>162711684</v>
      </c>
      <c r="Q5" s="115">
        <v>243734619</v>
      </c>
      <c r="R5" s="115">
        <v>48802404</v>
      </c>
      <c r="S5" s="122">
        <v>292537023</v>
      </c>
      <c r="T5" s="114">
        <v>260709423</v>
      </c>
      <c r="U5" s="114">
        <v>41933768</v>
      </c>
      <c r="V5" s="122">
        <v>302643191</v>
      </c>
      <c r="W5" s="114">
        <v>228996787</v>
      </c>
      <c r="X5" s="114">
        <v>18287829</v>
      </c>
      <c r="Y5" s="122">
        <v>247284616</v>
      </c>
      <c r="Z5" s="113">
        <v>210495372</v>
      </c>
      <c r="AA5" s="113">
        <v>494310</v>
      </c>
      <c r="AB5" s="122">
        <v>210989682</v>
      </c>
      <c r="AD5" s="112" t="s">
        <v>182</v>
      </c>
      <c r="AE5" s="112">
        <v>117150874</v>
      </c>
      <c r="AF5" s="112">
        <v>44068</v>
      </c>
      <c r="AG5" s="122">
        <v>117194942</v>
      </c>
      <c r="AH5" s="104" t="s">
        <v>182</v>
      </c>
      <c r="AI5" s="104">
        <v>111814823</v>
      </c>
      <c r="AJ5" s="104">
        <v>20129</v>
      </c>
      <c r="AK5" s="122">
        <v>111834952</v>
      </c>
      <c r="AL5" s="106">
        <v>87248314</v>
      </c>
      <c r="AM5" s="106">
        <v>16016</v>
      </c>
      <c r="AN5" s="122">
        <v>87264330</v>
      </c>
      <c r="AO5" s="106">
        <v>77251686</v>
      </c>
      <c r="AP5" s="106">
        <v>15305</v>
      </c>
      <c r="AQ5" s="122">
        <v>77266991</v>
      </c>
      <c r="AR5" s="106">
        <v>69091555</v>
      </c>
      <c r="AS5" s="106">
        <v>14897</v>
      </c>
      <c r="AT5" s="122">
        <v>69106452</v>
      </c>
      <c r="AV5" s="104" t="s">
        <v>182</v>
      </c>
      <c r="AW5" s="106">
        <v>79437882</v>
      </c>
      <c r="AX5" s="106">
        <v>304731</v>
      </c>
      <c r="AY5" s="122">
        <v>79742613</v>
      </c>
    </row>
    <row r="6" spans="1:51">
      <c r="A6" s="115" t="s">
        <v>183</v>
      </c>
      <c r="B6" s="115">
        <v>41156373</v>
      </c>
      <c r="C6" s="115">
        <v>0</v>
      </c>
      <c r="D6" s="134">
        <f t="shared" si="1"/>
        <v>41156373</v>
      </c>
      <c r="E6" s="115">
        <v>44816677</v>
      </c>
      <c r="F6" s="115">
        <v>0</v>
      </c>
      <c r="G6" s="134">
        <f t="shared" si="2"/>
        <v>44816677</v>
      </c>
      <c r="H6" s="115">
        <v>47951756</v>
      </c>
      <c r="I6" s="115">
        <v>0</v>
      </c>
      <c r="J6" s="134">
        <f t="shared" si="3"/>
        <v>47951756</v>
      </c>
      <c r="K6" s="115">
        <v>53735226</v>
      </c>
      <c r="L6" s="115">
        <v>0</v>
      </c>
      <c r="M6" s="134">
        <f t="shared" si="4"/>
        <v>53735226</v>
      </c>
      <c r="N6" s="115">
        <v>44738457</v>
      </c>
      <c r="O6" s="115">
        <v>599591</v>
      </c>
      <c r="P6" s="134">
        <f t="shared" si="5"/>
        <v>45338048</v>
      </c>
      <c r="Q6" s="115">
        <v>45482220</v>
      </c>
      <c r="R6" s="115">
        <v>6422777</v>
      </c>
      <c r="S6" s="122">
        <v>51904997</v>
      </c>
      <c r="T6" s="114">
        <v>66352586</v>
      </c>
      <c r="U6" s="114">
        <v>9109501</v>
      </c>
      <c r="V6" s="122">
        <v>75462087</v>
      </c>
      <c r="W6" s="114">
        <v>67392379</v>
      </c>
      <c r="X6" s="114">
        <v>6026821</v>
      </c>
      <c r="Y6" s="122">
        <v>73419200</v>
      </c>
      <c r="Z6" s="113">
        <v>60602879</v>
      </c>
      <c r="AA6" s="113">
        <v>1364</v>
      </c>
      <c r="AB6" s="122">
        <v>60604243</v>
      </c>
      <c r="AD6" s="112" t="s">
        <v>467</v>
      </c>
      <c r="AE6" s="112">
        <v>50358881</v>
      </c>
      <c r="AF6" s="112">
        <v>0</v>
      </c>
      <c r="AG6" s="122">
        <v>50358881</v>
      </c>
      <c r="AH6" s="104" t="s">
        <v>186</v>
      </c>
      <c r="AI6" s="104">
        <v>48245635</v>
      </c>
      <c r="AJ6" s="104">
        <v>170524</v>
      </c>
      <c r="AK6" s="122">
        <v>48416159</v>
      </c>
      <c r="AL6" s="106">
        <v>46578160</v>
      </c>
      <c r="AM6" s="106">
        <v>10356</v>
      </c>
      <c r="AN6" s="122">
        <v>46588516</v>
      </c>
      <c r="AO6" s="106">
        <v>46429524</v>
      </c>
      <c r="AP6" s="106">
        <v>0</v>
      </c>
      <c r="AQ6" s="122">
        <v>46429524</v>
      </c>
      <c r="AR6" s="106">
        <v>41645697</v>
      </c>
      <c r="AS6" s="106">
        <v>67435</v>
      </c>
      <c r="AT6" s="122">
        <v>41713132</v>
      </c>
      <c r="AV6" s="104" t="s">
        <v>186</v>
      </c>
      <c r="AW6" s="106">
        <v>40582840</v>
      </c>
      <c r="AX6" s="106">
        <v>327768</v>
      </c>
      <c r="AY6" s="122">
        <v>40910608</v>
      </c>
    </row>
    <row r="7" spans="1:51">
      <c r="A7" s="115" t="s">
        <v>184</v>
      </c>
      <c r="B7" s="115">
        <v>42545199</v>
      </c>
      <c r="C7" s="115">
        <v>15684</v>
      </c>
      <c r="D7" s="134">
        <f t="shared" si="1"/>
        <v>42560883</v>
      </c>
      <c r="E7" s="115">
        <v>47816169</v>
      </c>
      <c r="F7" s="115">
        <v>0</v>
      </c>
      <c r="G7" s="134">
        <f t="shared" si="2"/>
        <v>47816169</v>
      </c>
      <c r="H7" s="115">
        <v>59768080</v>
      </c>
      <c r="I7" s="115">
        <v>0</v>
      </c>
      <c r="J7" s="134">
        <f t="shared" si="3"/>
        <v>59768080</v>
      </c>
      <c r="K7" s="115">
        <v>47409944</v>
      </c>
      <c r="L7" s="115">
        <v>20775</v>
      </c>
      <c r="M7" s="134">
        <f t="shared" si="4"/>
        <v>47430719</v>
      </c>
      <c r="N7" s="115">
        <v>46723943</v>
      </c>
      <c r="O7" s="115">
        <v>3517118</v>
      </c>
      <c r="P7" s="134">
        <f t="shared" si="5"/>
        <v>50241061</v>
      </c>
      <c r="Q7" s="115">
        <v>95382961</v>
      </c>
      <c r="R7" s="115">
        <v>26953888</v>
      </c>
      <c r="S7" s="122">
        <v>122336849</v>
      </c>
      <c r="T7" s="114">
        <v>92790565</v>
      </c>
      <c r="U7" s="114">
        <v>18269297</v>
      </c>
      <c r="V7" s="122">
        <v>111059862</v>
      </c>
      <c r="W7" s="114">
        <v>70178499</v>
      </c>
      <c r="X7" s="114">
        <v>8873850</v>
      </c>
      <c r="Y7" s="122">
        <v>79052349</v>
      </c>
      <c r="Z7" s="113">
        <v>56921807</v>
      </c>
      <c r="AA7" s="113">
        <v>53028</v>
      </c>
      <c r="AB7" s="122">
        <v>56974835</v>
      </c>
      <c r="AD7" s="112" t="s">
        <v>469</v>
      </c>
      <c r="AE7" s="112">
        <v>45518581</v>
      </c>
      <c r="AF7" s="112">
        <v>44068</v>
      </c>
      <c r="AG7" s="122">
        <v>45562649</v>
      </c>
      <c r="AH7" s="104" t="s">
        <v>192</v>
      </c>
      <c r="AI7" s="104">
        <v>47877345</v>
      </c>
      <c r="AJ7" s="104">
        <v>0</v>
      </c>
      <c r="AK7" s="122">
        <v>47877345</v>
      </c>
      <c r="AL7" s="106">
        <v>50878017</v>
      </c>
      <c r="AM7" s="106">
        <v>0</v>
      </c>
      <c r="AN7" s="122">
        <v>50878017</v>
      </c>
      <c r="AO7" s="106">
        <v>43571067</v>
      </c>
      <c r="AP7" s="106">
        <v>0</v>
      </c>
      <c r="AQ7" s="122">
        <v>43571067</v>
      </c>
      <c r="AR7" s="106">
        <v>43376920</v>
      </c>
      <c r="AS7" s="106">
        <v>4564</v>
      </c>
      <c r="AT7" s="122">
        <v>43381484</v>
      </c>
      <c r="AV7" s="104" t="s">
        <v>192</v>
      </c>
      <c r="AW7" s="106">
        <v>38906117</v>
      </c>
      <c r="AX7" s="106">
        <v>249758</v>
      </c>
      <c r="AY7" s="122">
        <v>39155875</v>
      </c>
    </row>
    <row r="8" spans="1:51">
      <c r="A8" s="115" t="s">
        <v>185</v>
      </c>
      <c r="B8" s="115">
        <v>11057092</v>
      </c>
      <c r="C8" s="115">
        <v>147572</v>
      </c>
      <c r="D8" s="134">
        <f t="shared" si="1"/>
        <v>11204664</v>
      </c>
      <c r="E8" s="115">
        <v>16191516</v>
      </c>
      <c r="F8" s="115">
        <v>94</v>
      </c>
      <c r="G8" s="134">
        <f t="shared" si="2"/>
        <v>16191610</v>
      </c>
      <c r="H8" s="115">
        <v>19015750</v>
      </c>
      <c r="I8" s="115">
        <v>0</v>
      </c>
      <c r="J8" s="134">
        <f t="shared" si="3"/>
        <v>19015750</v>
      </c>
      <c r="K8" s="115">
        <v>16341630</v>
      </c>
      <c r="L8" s="115">
        <v>0</v>
      </c>
      <c r="M8" s="134">
        <f t="shared" si="4"/>
        <v>16341630</v>
      </c>
      <c r="N8" s="115">
        <v>7811507</v>
      </c>
      <c r="O8" s="115">
        <v>1006891</v>
      </c>
      <c r="P8" s="134">
        <f t="shared" si="5"/>
        <v>8818398</v>
      </c>
      <c r="Q8" s="115">
        <v>26613105</v>
      </c>
      <c r="R8" s="115">
        <v>6227734</v>
      </c>
      <c r="S8" s="122">
        <v>32840839</v>
      </c>
      <c r="T8" s="114">
        <v>28503836</v>
      </c>
      <c r="U8" s="114">
        <v>9223302</v>
      </c>
      <c r="V8" s="122">
        <v>37727138</v>
      </c>
      <c r="W8" s="114">
        <v>24049416</v>
      </c>
      <c r="X8" s="114">
        <v>2872442</v>
      </c>
      <c r="Y8" s="122">
        <v>26921858</v>
      </c>
      <c r="Z8" s="113">
        <v>25051617</v>
      </c>
      <c r="AA8" s="113">
        <v>132711</v>
      </c>
      <c r="AB8" s="122">
        <v>25184328</v>
      </c>
      <c r="AD8" s="112" t="s">
        <v>471</v>
      </c>
      <c r="AE8" s="112">
        <v>21273412</v>
      </c>
      <c r="AF8" s="112">
        <v>0</v>
      </c>
      <c r="AG8" s="122">
        <v>21273412</v>
      </c>
      <c r="AH8" s="104" t="s">
        <v>198</v>
      </c>
      <c r="AI8" s="104">
        <v>23536745</v>
      </c>
      <c r="AJ8" s="104">
        <v>217632</v>
      </c>
      <c r="AK8" s="122">
        <v>23754377</v>
      </c>
      <c r="AL8" s="106">
        <v>18962089</v>
      </c>
      <c r="AM8" s="106">
        <v>104747</v>
      </c>
      <c r="AN8" s="122">
        <v>19066836</v>
      </c>
      <c r="AO8" s="106">
        <v>22054419</v>
      </c>
      <c r="AP8" s="106">
        <v>2601</v>
      </c>
      <c r="AQ8" s="122">
        <v>22057020</v>
      </c>
      <c r="AR8" s="106">
        <v>18830441</v>
      </c>
      <c r="AS8" s="106">
        <v>71042</v>
      </c>
      <c r="AT8" s="122">
        <v>18901483</v>
      </c>
      <c r="AV8" s="104" t="s">
        <v>198</v>
      </c>
      <c r="AW8" s="106">
        <v>17811649</v>
      </c>
      <c r="AX8" s="106">
        <v>1053357</v>
      </c>
      <c r="AY8" s="122">
        <v>18865006</v>
      </c>
    </row>
    <row r="9" spans="1:51">
      <c r="A9" s="115" t="s">
        <v>187</v>
      </c>
      <c r="B9" s="115">
        <v>11494556</v>
      </c>
      <c r="C9" s="115">
        <v>26059</v>
      </c>
      <c r="D9" s="134">
        <f t="shared" si="1"/>
        <v>11520615</v>
      </c>
      <c r="E9" s="115">
        <v>11340280</v>
      </c>
      <c r="F9" s="115">
        <v>0</v>
      </c>
      <c r="G9" s="134">
        <f t="shared" si="2"/>
        <v>11340280</v>
      </c>
      <c r="H9" s="115">
        <v>13894891</v>
      </c>
      <c r="I9" s="115">
        <v>0</v>
      </c>
      <c r="J9" s="134">
        <f t="shared" si="3"/>
        <v>13894891</v>
      </c>
      <c r="K9" s="115">
        <v>28784321</v>
      </c>
      <c r="L9" s="115">
        <v>2781</v>
      </c>
      <c r="M9" s="134">
        <f t="shared" si="4"/>
        <v>28787102</v>
      </c>
      <c r="N9" s="115">
        <v>13743489</v>
      </c>
      <c r="O9" s="115">
        <v>813737</v>
      </c>
      <c r="P9" s="134">
        <f t="shared" si="5"/>
        <v>14557226</v>
      </c>
      <c r="Q9" s="115">
        <v>18803124</v>
      </c>
      <c r="R9" s="115">
        <v>3439450</v>
      </c>
      <c r="S9" s="122">
        <v>22242574</v>
      </c>
      <c r="T9" s="114">
        <v>23664536</v>
      </c>
      <c r="U9" s="114">
        <v>1152022</v>
      </c>
      <c r="V9" s="122">
        <v>24816558</v>
      </c>
      <c r="W9" s="114">
        <v>20284285</v>
      </c>
      <c r="X9" s="114">
        <v>43738</v>
      </c>
      <c r="Y9" s="122">
        <v>20328023</v>
      </c>
      <c r="Z9" s="113">
        <v>19387763</v>
      </c>
      <c r="AA9" s="113">
        <v>0</v>
      </c>
      <c r="AB9" s="122">
        <v>19387763</v>
      </c>
      <c r="AD9" s="112" t="s">
        <v>186</v>
      </c>
      <c r="AE9" s="112">
        <v>52855533</v>
      </c>
      <c r="AF9" s="112">
        <v>467822</v>
      </c>
      <c r="AG9" s="122">
        <v>53323355</v>
      </c>
      <c r="AH9" s="104" t="s">
        <v>202</v>
      </c>
      <c r="AI9" s="104">
        <v>63300458</v>
      </c>
      <c r="AJ9" s="104">
        <v>7675</v>
      </c>
      <c r="AK9" s="122">
        <v>63308133</v>
      </c>
      <c r="AL9" s="106">
        <v>58489921</v>
      </c>
      <c r="AM9" s="106">
        <v>0</v>
      </c>
      <c r="AN9" s="122">
        <v>58489921</v>
      </c>
      <c r="AO9" s="106">
        <v>58823064</v>
      </c>
      <c r="AP9" s="106">
        <v>1601</v>
      </c>
      <c r="AQ9" s="122">
        <v>58824665</v>
      </c>
      <c r="AR9" s="106">
        <v>55595479</v>
      </c>
      <c r="AS9" s="106">
        <v>0</v>
      </c>
      <c r="AT9" s="122">
        <v>55595479</v>
      </c>
      <c r="AV9" s="104" t="s">
        <v>202</v>
      </c>
      <c r="AW9" s="106">
        <v>54019633</v>
      </c>
      <c r="AX9" s="106">
        <v>589352</v>
      </c>
      <c r="AY9" s="122">
        <v>54608985</v>
      </c>
    </row>
    <row r="10" spans="1:51">
      <c r="A10" s="115" t="s">
        <v>188</v>
      </c>
      <c r="B10" s="115">
        <v>19099809</v>
      </c>
      <c r="C10" s="115">
        <v>21175</v>
      </c>
      <c r="D10" s="134">
        <f t="shared" si="1"/>
        <v>19120984</v>
      </c>
      <c r="E10" s="115">
        <v>27102404</v>
      </c>
      <c r="F10" s="115">
        <v>0</v>
      </c>
      <c r="G10" s="134">
        <f t="shared" si="2"/>
        <v>27102404</v>
      </c>
      <c r="H10" s="115">
        <v>28046526</v>
      </c>
      <c r="I10" s="115">
        <v>0</v>
      </c>
      <c r="J10" s="134">
        <f t="shared" si="3"/>
        <v>28046526</v>
      </c>
      <c r="K10" s="115">
        <v>20804187</v>
      </c>
      <c r="L10" s="115">
        <v>2802</v>
      </c>
      <c r="M10" s="134">
        <f t="shared" si="4"/>
        <v>20806989</v>
      </c>
      <c r="N10" s="115">
        <v>16739318</v>
      </c>
      <c r="O10" s="115">
        <v>1073630</v>
      </c>
      <c r="P10" s="134">
        <f t="shared" si="5"/>
        <v>17812948</v>
      </c>
      <c r="Q10" s="115">
        <v>27907214</v>
      </c>
      <c r="R10" s="115">
        <v>4442711</v>
      </c>
      <c r="S10" s="122">
        <v>32349925</v>
      </c>
      <c r="T10" s="114">
        <v>23792528</v>
      </c>
      <c r="U10" s="114">
        <v>3948054</v>
      </c>
      <c r="V10" s="122">
        <v>27740582</v>
      </c>
      <c r="W10" s="114">
        <v>26624486</v>
      </c>
      <c r="X10" s="114">
        <v>19013</v>
      </c>
      <c r="Y10" s="122">
        <v>26643499</v>
      </c>
      <c r="Z10" s="113">
        <v>23634779</v>
      </c>
      <c r="AA10" s="113">
        <v>0</v>
      </c>
      <c r="AB10" s="122">
        <v>23634779</v>
      </c>
      <c r="AD10" s="112" t="s">
        <v>472</v>
      </c>
      <c r="AE10" s="112">
        <v>16401878</v>
      </c>
      <c r="AF10" s="112">
        <v>26736</v>
      </c>
      <c r="AG10" s="122">
        <v>16428614</v>
      </c>
      <c r="AH10" s="104" t="s">
        <v>205</v>
      </c>
      <c r="AI10" s="104">
        <v>29369094</v>
      </c>
      <c r="AJ10" s="104">
        <v>265866</v>
      </c>
      <c r="AK10" s="122">
        <v>29634960</v>
      </c>
      <c r="AL10" s="106">
        <v>27388442</v>
      </c>
      <c r="AM10" s="106">
        <v>16539</v>
      </c>
      <c r="AN10" s="122">
        <v>27404981</v>
      </c>
      <c r="AO10" s="106">
        <v>26165708</v>
      </c>
      <c r="AP10" s="106">
        <v>8399</v>
      </c>
      <c r="AQ10" s="122">
        <v>26174107</v>
      </c>
      <c r="AR10" s="106">
        <v>25862339</v>
      </c>
      <c r="AS10" s="106">
        <v>69938</v>
      </c>
      <c r="AT10" s="122">
        <v>25932277</v>
      </c>
      <c r="AV10" s="104" t="s">
        <v>205</v>
      </c>
      <c r="AW10" s="106">
        <v>24495068</v>
      </c>
      <c r="AX10" s="106">
        <v>1757516</v>
      </c>
      <c r="AY10" s="122">
        <v>26252584</v>
      </c>
    </row>
    <row r="11" spans="1:51">
      <c r="A11" s="115" t="s">
        <v>189</v>
      </c>
      <c r="B11" s="115">
        <v>9109628</v>
      </c>
      <c r="C11" s="115">
        <v>805</v>
      </c>
      <c r="D11" s="134">
        <f t="shared" si="1"/>
        <v>9110433</v>
      </c>
      <c r="E11" s="115">
        <v>13810547</v>
      </c>
      <c r="F11" s="115">
        <v>2822</v>
      </c>
      <c r="G11" s="134">
        <f t="shared" si="2"/>
        <v>13813369</v>
      </c>
      <c r="H11" s="115">
        <v>18492712</v>
      </c>
      <c r="I11" s="115">
        <v>0</v>
      </c>
      <c r="J11" s="134">
        <f t="shared" si="3"/>
        <v>18492712</v>
      </c>
      <c r="K11" s="115">
        <v>8508556</v>
      </c>
      <c r="L11" s="115">
        <v>14386</v>
      </c>
      <c r="M11" s="134">
        <f t="shared" si="4"/>
        <v>8522942</v>
      </c>
      <c r="N11" s="115">
        <v>15465866</v>
      </c>
      <c r="O11" s="115">
        <v>247505</v>
      </c>
      <c r="P11" s="134">
        <f t="shared" si="5"/>
        <v>15713371</v>
      </c>
      <c r="Q11" s="115">
        <v>16752952</v>
      </c>
      <c r="R11" s="115">
        <v>1010225</v>
      </c>
      <c r="S11" s="122">
        <v>17763177</v>
      </c>
      <c r="T11" s="114">
        <v>12965742</v>
      </c>
      <c r="U11" s="114">
        <v>25894</v>
      </c>
      <c r="V11" s="122">
        <v>12991636</v>
      </c>
      <c r="W11" s="114">
        <v>9958088</v>
      </c>
      <c r="X11" s="114">
        <v>10283</v>
      </c>
      <c r="Y11" s="122">
        <v>9968371</v>
      </c>
      <c r="Z11" s="113">
        <v>14297549</v>
      </c>
      <c r="AA11" s="113">
        <v>57951</v>
      </c>
      <c r="AB11" s="122">
        <v>14355500</v>
      </c>
      <c r="AD11" s="112" t="s">
        <v>479</v>
      </c>
      <c r="AE11" s="112">
        <v>19190276</v>
      </c>
      <c r="AF11" s="112">
        <v>92593</v>
      </c>
      <c r="AG11" s="122">
        <v>19282869</v>
      </c>
      <c r="AH11" s="104" t="s">
        <v>463</v>
      </c>
      <c r="AI11" s="104">
        <v>16654539</v>
      </c>
      <c r="AJ11" s="104">
        <v>239827</v>
      </c>
      <c r="AK11" s="122">
        <v>16894366</v>
      </c>
      <c r="AL11" s="106">
        <v>16422210</v>
      </c>
      <c r="AM11" s="106">
        <v>175608</v>
      </c>
      <c r="AN11" s="122">
        <v>16597818</v>
      </c>
      <c r="AO11" s="106">
        <v>15615107</v>
      </c>
      <c r="AP11" s="106">
        <v>9376</v>
      </c>
      <c r="AQ11" s="122">
        <v>15624483</v>
      </c>
      <c r="AR11" s="106">
        <v>17543726</v>
      </c>
      <c r="AS11" s="106">
        <v>101322</v>
      </c>
      <c r="AT11" s="122">
        <v>17645048</v>
      </c>
      <c r="AV11" s="104" t="s">
        <v>463</v>
      </c>
      <c r="AW11" s="106">
        <v>15500476</v>
      </c>
      <c r="AX11" s="106">
        <v>3139939</v>
      </c>
      <c r="AY11" s="122">
        <v>18640415</v>
      </c>
    </row>
    <row r="12" spans="1:51">
      <c r="A12" s="115" t="s">
        <v>190</v>
      </c>
      <c r="B12" s="115">
        <v>4568479</v>
      </c>
      <c r="C12" s="115">
        <v>77121</v>
      </c>
      <c r="D12" s="134">
        <f t="shared" si="1"/>
        <v>4645600</v>
      </c>
      <c r="E12" s="115">
        <v>8274832</v>
      </c>
      <c r="F12" s="115">
        <v>12623</v>
      </c>
      <c r="G12" s="134">
        <f t="shared" si="2"/>
        <v>8287455</v>
      </c>
      <c r="H12" s="115">
        <v>6004449</v>
      </c>
      <c r="I12" s="115">
        <v>25306</v>
      </c>
      <c r="J12" s="134">
        <f t="shared" si="3"/>
        <v>6029755</v>
      </c>
      <c r="K12" s="115">
        <v>2251421</v>
      </c>
      <c r="L12" s="115">
        <v>185963</v>
      </c>
      <c r="M12" s="134">
        <f t="shared" si="4"/>
        <v>2437384</v>
      </c>
      <c r="N12" s="115">
        <v>8054464</v>
      </c>
      <c r="O12" s="115">
        <v>47245</v>
      </c>
      <c r="P12" s="134">
        <f t="shared" si="5"/>
        <v>8101709</v>
      </c>
      <c r="Q12" s="115">
        <v>7987770</v>
      </c>
      <c r="R12" s="115">
        <v>169594</v>
      </c>
      <c r="S12" s="122">
        <v>8157364</v>
      </c>
      <c r="T12" s="114">
        <v>10778726</v>
      </c>
      <c r="U12" s="114">
        <v>183742</v>
      </c>
      <c r="V12" s="122">
        <v>10962468</v>
      </c>
      <c r="W12" s="114">
        <v>8306689</v>
      </c>
      <c r="X12" s="114">
        <v>350558</v>
      </c>
      <c r="Y12" s="122">
        <v>8657247</v>
      </c>
      <c r="Z12" s="113">
        <v>8786130</v>
      </c>
      <c r="AA12" s="113">
        <v>186140</v>
      </c>
      <c r="AB12" s="122">
        <v>8972270</v>
      </c>
      <c r="AD12" s="112" t="s">
        <v>482</v>
      </c>
      <c r="AE12" s="112">
        <v>8150763</v>
      </c>
      <c r="AF12" s="112">
        <v>107785</v>
      </c>
      <c r="AG12" s="122">
        <v>8258548</v>
      </c>
      <c r="AH12" s="104" t="s">
        <v>464</v>
      </c>
      <c r="AI12" s="104">
        <v>8817819</v>
      </c>
      <c r="AJ12" s="104">
        <v>419115</v>
      </c>
      <c r="AK12" s="122">
        <v>9236934</v>
      </c>
      <c r="AL12" s="106">
        <v>8401058</v>
      </c>
      <c r="AM12" s="106">
        <v>34600</v>
      </c>
      <c r="AN12" s="122">
        <v>8435658</v>
      </c>
      <c r="AO12" s="106">
        <v>8997784</v>
      </c>
      <c r="AP12" s="106">
        <v>11428</v>
      </c>
      <c r="AQ12" s="122">
        <v>9009212</v>
      </c>
      <c r="AR12" s="106">
        <v>8738526</v>
      </c>
      <c r="AS12" s="106">
        <v>6613</v>
      </c>
      <c r="AT12" s="122">
        <v>8745139</v>
      </c>
      <c r="AV12" s="104" t="s">
        <v>464</v>
      </c>
      <c r="AW12" s="106">
        <v>8222099</v>
      </c>
      <c r="AX12" s="106">
        <v>513621</v>
      </c>
      <c r="AY12" s="122">
        <v>8735720</v>
      </c>
    </row>
    <row r="13" spans="1:51">
      <c r="A13" s="115" t="s">
        <v>191</v>
      </c>
      <c r="B13" s="115">
        <v>2254207</v>
      </c>
      <c r="C13" s="115">
        <v>4626</v>
      </c>
      <c r="D13" s="134">
        <f t="shared" si="1"/>
        <v>2258833</v>
      </c>
      <c r="E13" s="115">
        <v>1465356</v>
      </c>
      <c r="F13" s="115">
        <v>0</v>
      </c>
      <c r="G13" s="134">
        <f t="shared" si="2"/>
        <v>1465356</v>
      </c>
      <c r="H13" s="115">
        <v>1433376</v>
      </c>
      <c r="I13" s="115">
        <v>0</v>
      </c>
      <c r="J13" s="134">
        <f t="shared" si="3"/>
        <v>1433376</v>
      </c>
      <c r="K13" s="115">
        <f>192375984-SUM(K6:K12)</f>
        <v>14540699</v>
      </c>
      <c r="L13" s="115">
        <v>39915</v>
      </c>
      <c r="M13" s="134">
        <f t="shared" si="4"/>
        <v>14580614</v>
      </c>
      <c r="N13" s="115">
        <v>2111206</v>
      </c>
      <c r="O13" s="115">
        <v>17717</v>
      </c>
      <c r="P13" s="134">
        <f t="shared" si="5"/>
        <v>2128923</v>
      </c>
      <c r="Q13" s="115">
        <v>4805273</v>
      </c>
      <c r="R13" s="115">
        <v>136025</v>
      </c>
      <c r="S13" s="122">
        <v>4941298</v>
      </c>
      <c r="T13" s="114">
        <v>1860904</v>
      </c>
      <c r="U13" s="114">
        <v>21956</v>
      </c>
      <c r="V13" s="122">
        <v>1882860</v>
      </c>
      <c r="W13" s="114">
        <v>2202945</v>
      </c>
      <c r="X13" s="114">
        <v>91124</v>
      </c>
      <c r="Y13" s="122">
        <v>2294069</v>
      </c>
      <c r="Z13" s="113">
        <v>1812848</v>
      </c>
      <c r="AA13" s="113">
        <v>63116</v>
      </c>
      <c r="AB13" s="122">
        <v>1875964</v>
      </c>
      <c r="AD13" s="112" t="s">
        <v>484</v>
      </c>
      <c r="AE13" s="112">
        <v>7551813</v>
      </c>
      <c r="AF13" s="112">
        <v>207882</v>
      </c>
      <c r="AG13" s="122">
        <v>7759695</v>
      </c>
      <c r="AH13" s="104" t="s">
        <v>465</v>
      </c>
      <c r="AI13" s="104">
        <v>13801775</v>
      </c>
      <c r="AJ13" s="104">
        <v>3950205</v>
      </c>
      <c r="AK13" s="122">
        <v>17751980</v>
      </c>
      <c r="AL13" s="106">
        <v>14653654</v>
      </c>
      <c r="AM13" s="106">
        <v>473898</v>
      </c>
      <c r="AN13" s="122">
        <v>15127552</v>
      </c>
      <c r="AO13" s="106">
        <v>14694400</v>
      </c>
      <c r="AP13" s="106">
        <v>272809</v>
      </c>
      <c r="AQ13" s="122">
        <v>14967209</v>
      </c>
      <c r="AR13" s="106">
        <v>13589271</v>
      </c>
      <c r="AS13" s="106">
        <v>2335527</v>
      </c>
      <c r="AT13" s="122">
        <v>15924798</v>
      </c>
      <c r="AV13" s="104" t="s">
        <v>465</v>
      </c>
      <c r="AW13" s="106">
        <v>13504654</v>
      </c>
      <c r="AX13" s="106">
        <v>8103599</v>
      </c>
      <c r="AY13" s="122">
        <v>21608253</v>
      </c>
    </row>
    <row r="14" spans="1:51">
      <c r="A14" s="115" t="s">
        <v>192</v>
      </c>
      <c r="B14" s="115">
        <f t="shared" ref="B14:N14" si="7">SUM(B15:B31)</f>
        <v>46405341</v>
      </c>
      <c r="C14" s="115">
        <f t="shared" si="7"/>
        <v>794509</v>
      </c>
      <c r="D14" s="134">
        <f t="shared" si="1"/>
        <v>47199850</v>
      </c>
      <c r="E14" s="115">
        <f t="shared" si="7"/>
        <v>61355993</v>
      </c>
      <c r="F14" s="115">
        <f t="shared" si="7"/>
        <v>508673</v>
      </c>
      <c r="G14" s="134">
        <f t="shared" si="2"/>
        <v>61864666</v>
      </c>
      <c r="H14" s="115">
        <f t="shared" si="7"/>
        <v>62843300</v>
      </c>
      <c r="I14" s="115">
        <f t="shared" si="7"/>
        <v>78033</v>
      </c>
      <c r="J14" s="134">
        <f t="shared" si="3"/>
        <v>62921333</v>
      </c>
      <c r="K14" s="115">
        <f t="shared" si="7"/>
        <v>70731320</v>
      </c>
      <c r="L14" s="115">
        <f t="shared" si="7"/>
        <v>696726</v>
      </c>
      <c r="M14" s="134">
        <f t="shared" si="4"/>
        <v>71428046</v>
      </c>
      <c r="N14" s="115">
        <f t="shared" si="7"/>
        <v>74542975</v>
      </c>
      <c r="O14" s="115">
        <f>SUM(O15:O31)</f>
        <v>1601828</v>
      </c>
      <c r="P14" s="134">
        <f t="shared" si="5"/>
        <v>76144803</v>
      </c>
      <c r="Q14" s="115">
        <v>73917886</v>
      </c>
      <c r="R14" s="115">
        <v>9236239</v>
      </c>
      <c r="S14" s="122">
        <v>83154125</v>
      </c>
      <c r="T14" s="114">
        <v>90129392</v>
      </c>
      <c r="U14" s="114">
        <v>3052556</v>
      </c>
      <c r="V14" s="122">
        <v>93181948</v>
      </c>
      <c r="W14" s="114">
        <v>91751941</v>
      </c>
      <c r="X14" s="114">
        <v>2983565</v>
      </c>
      <c r="Y14" s="122">
        <v>94735506</v>
      </c>
      <c r="Z14" s="113">
        <v>77241432</v>
      </c>
      <c r="AA14" s="113">
        <v>422772</v>
      </c>
      <c r="AB14" s="122">
        <v>77664204</v>
      </c>
      <c r="AD14" s="112" t="s">
        <v>492</v>
      </c>
      <c r="AE14" s="112">
        <v>1560803</v>
      </c>
      <c r="AF14" s="112">
        <v>32826</v>
      </c>
      <c r="AG14" s="122">
        <v>1593629</v>
      </c>
      <c r="AH14" s="104" t="s">
        <v>564</v>
      </c>
      <c r="AI14" s="104">
        <v>208457410</v>
      </c>
      <c r="AJ14" s="104">
        <v>44145</v>
      </c>
      <c r="AK14" s="122">
        <v>208501555</v>
      </c>
      <c r="AL14" s="106">
        <v>185639595</v>
      </c>
      <c r="AM14" s="106">
        <v>0</v>
      </c>
      <c r="AN14" s="122">
        <v>185639595</v>
      </c>
      <c r="AO14" s="106">
        <v>174458155</v>
      </c>
      <c r="AP14" s="106">
        <v>0</v>
      </c>
      <c r="AQ14" s="122">
        <v>174458155</v>
      </c>
      <c r="AR14" s="106">
        <v>147578949</v>
      </c>
      <c r="AS14" s="106">
        <v>0</v>
      </c>
      <c r="AT14" s="122">
        <v>147578949</v>
      </c>
      <c r="AU14" s="104">
        <v>100</v>
      </c>
      <c r="AV14" s="104" t="s">
        <v>606</v>
      </c>
      <c r="AW14" s="106">
        <v>137115453</v>
      </c>
      <c r="AX14" s="106">
        <v>1881267</v>
      </c>
      <c r="AY14" s="122">
        <v>138996720</v>
      </c>
    </row>
    <row r="15" spans="1:51">
      <c r="A15" s="115" t="s">
        <v>193</v>
      </c>
      <c r="B15" s="115">
        <v>13582085</v>
      </c>
      <c r="C15" s="115">
        <v>3404</v>
      </c>
      <c r="D15" s="134">
        <f t="shared" si="1"/>
        <v>13585489</v>
      </c>
      <c r="E15" s="115">
        <v>20000724</v>
      </c>
      <c r="F15" s="115">
        <v>0</v>
      </c>
      <c r="G15" s="134">
        <f t="shared" si="2"/>
        <v>20000724</v>
      </c>
      <c r="H15" s="115">
        <v>20698281</v>
      </c>
      <c r="I15" s="115">
        <v>0</v>
      </c>
      <c r="J15" s="134">
        <f t="shared" si="3"/>
        <v>20698281</v>
      </c>
      <c r="K15" s="115">
        <v>23416308</v>
      </c>
      <c r="L15" s="115">
        <v>2740</v>
      </c>
      <c r="M15" s="134">
        <f t="shared" si="4"/>
        <v>23419048</v>
      </c>
      <c r="N15" s="115">
        <v>20118695</v>
      </c>
      <c r="O15" s="115">
        <v>928074</v>
      </c>
      <c r="P15" s="134">
        <f t="shared" si="5"/>
        <v>21046769</v>
      </c>
      <c r="Q15" s="115">
        <v>21604092</v>
      </c>
      <c r="R15" s="115">
        <v>5712095</v>
      </c>
      <c r="S15" s="122">
        <v>27316187</v>
      </c>
      <c r="T15" s="114">
        <v>33781564</v>
      </c>
      <c r="U15" s="114">
        <v>2668847</v>
      </c>
      <c r="V15" s="122">
        <v>36450411</v>
      </c>
      <c r="W15" s="114">
        <v>36339866</v>
      </c>
      <c r="X15" s="114">
        <v>2408258</v>
      </c>
      <c r="Y15" s="122">
        <v>38748124</v>
      </c>
      <c r="Z15" s="113">
        <v>22688266</v>
      </c>
      <c r="AA15" s="113">
        <v>68027</v>
      </c>
      <c r="AB15" s="122">
        <v>22756293</v>
      </c>
      <c r="AD15" s="112" t="s">
        <v>192</v>
      </c>
      <c r="AE15" s="112">
        <v>57906510</v>
      </c>
      <c r="AF15" s="112">
        <v>118591</v>
      </c>
      <c r="AG15" s="122">
        <v>58025101</v>
      </c>
      <c r="AH15" s="104" t="s">
        <v>466</v>
      </c>
      <c r="AI15" s="104">
        <v>58804478</v>
      </c>
      <c r="AJ15" s="104">
        <v>0</v>
      </c>
      <c r="AK15" s="122">
        <v>58804478</v>
      </c>
      <c r="AL15" s="106">
        <v>53256850</v>
      </c>
      <c r="AM15" s="106">
        <v>0</v>
      </c>
      <c r="AN15" s="122">
        <v>53256850</v>
      </c>
      <c r="AO15" s="106">
        <v>54132438</v>
      </c>
      <c r="AP15" s="106">
        <v>0</v>
      </c>
      <c r="AQ15" s="122">
        <v>54132438</v>
      </c>
      <c r="AR15" s="106">
        <v>51497119</v>
      </c>
      <c r="AS15" s="106">
        <v>0</v>
      </c>
      <c r="AT15" s="122">
        <v>51497119</v>
      </c>
      <c r="AU15" s="104">
        <v>201</v>
      </c>
      <c r="AV15" s="104" t="s">
        <v>466</v>
      </c>
      <c r="AW15" s="106">
        <v>49941528</v>
      </c>
      <c r="AX15" s="106">
        <v>117988</v>
      </c>
      <c r="AY15" s="122">
        <v>50059516</v>
      </c>
    </row>
    <row r="16" spans="1:51">
      <c r="A16" s="115" t="s">
        <v>194</v>
      </c>
      <c r="B16" s="115">
        <v>9733641</v>
      </c>
      <c r="C16" s="115">
        <v>101118</v>
      </c>
      <c r="D16" s="134">
        <f t="shared" si="1"/>
        <v>9834759</v>
      </c>
      <c r="E16" s="115">
        <v>11721364</v>
      </c>
      <c r="F16" s="115">
        <v>4441</v>
      </c>
      <c r="G16" s="134">
        <f t="shared" si="2"/>
        <v>11725805</v>
      </c>
      <c r="H16" s="115">
        <v>11502348</v>
      </c>
      <c r="I16" s="115">
        <v>0</v>
      </c>
      <c r="J16" s="134">
        <f t="shared" si="3"/>
        <v>11502348</v>
      </c>
      <c r="K16" s="115">
        <v>16464645</v>
      </c>
      <c r="L16" s="115">
        <v>0</v>
      </c>
      <c r="M16" s="134">
        <f t="shared" si="4"/>
        <v>16464645</v>
      </c>
      <c r="N16" s="115">
        <v>20160740</v>
      </c>
      <c r="O16" s="115">
        <v>112799</v>
      </c>
      <c r="P16" s="134">
        <f t="shared" si="5"/>
        <v>20273539</v>
      </c>
      <c r="Q16" s="115">
        <v>18232183</v>
      </c>
      <c r="R16" s="115">
        <v>294987</v>
      </c>
      <c r="S16" s="122">
        <v>18527170</v>
      </c>
      <c r="T16" s="114">
        <v>19389922</v>
      </c>
      <c r="U16" s="114">
        <v>0</v>
      </c>
      <c r="V16" s="122">
        <v>19389922</v>
      </c>
      <c r="W16" s="114">
        <v>17601009</v>
      </c>
      <c r="X16" s="114">
        <v>0</v>
      </c>
      <c r="Y16" s="122">
        <v>17601009</v>
      </c>
      <c r="Z16" s="113">
        <v>15746721</v>
      </c>
      <c r="AA16" s="113">
        <v>28459</v>
      </c>
      <c r="AB16" s="122">
        <v>15775180</v>
      </c>
      <c r="AD16" s="112" t="s">
        <v>468</v>
      </c>
      <c r="AE16" s="112">
        <v>26147957</v>
      </c>
      <c r="AF16" s="112">
        <v>6603</v>
      </c>
      <c r="AG16" s="122">
        <v>26154560</v>
      </c>
      <c r="AH16" s="104" t="s">
        <v>467</v>
      </c>
      <c r="AI16" s="104">
        <v>38288065</v>
      </c>
      <c r="AJ16" s="104">
        <v>0</v>
      </c>
      <c r="AK16" s="122">
        <v>38288065</v>
      </c>
      <c r="AL16" s="106">
        <v>35046902</v>
      </c>
      <c r="AM16" s="106">
        <v>0</v>
      </c>
      <c r="AN16" s="122">
        <v>35046902</v>
      </c>
      <c r="AO16" s="106">
        <v>33667508</v>
      </c>
      <c r="AP16" s="106">
        <v>0</v>
      </c>
      <c r="AQ16" s="122">
        <v>33667508</v>
      </c>
      <c r="AR16" s="106">
        <v>31506127</v>
      </c>
      <c r="AS16" s="106">
        <v>0</v>
      </c>
      <c r="AT16" s="122">
        <v>31506127</v>
      </c>
      <c r="AU16" s="104">
        <v>202</v>
      </c>
      <c r="AV16" s="104" t="s">
        <v>467</v>
      </c>
      <c r="AW16" s="106">
        <v>46172060</v>
      </c>
      <c r="AX16" s="106">
        <v>52218</v>
      </c>
      <c r="AY16" s="122">
        <v>46224278</v>
      </c>
    </row>
    <row r="17" spans="1:51">
      <c r="A17" s="115" t="s">
        <v>199</v>
      </c>
      <c r="B17" s="115">
        <v>3478331</v>
      </c>
      <c r="C17" s="115">
        <v>17381</v>
      </c>
      <c r="D17" s="134">
        <f t="shared" si="1"/>
        <v>3495712</v>
      </c>
      <c r="E17" s="115">
        <v>5411640</v>
      </c>
      <c r="F17" s="115">
        <v>22676</v>
      </c>
      <c r="G17" s="134">
        <f t="shared" si="2"/>
        <v>5434316</v>
      </c>
      <c r="H17" s="115">
        <v>5732608</v>
      </c>
      <c r="I17" s="115">
        <v>1506</v>
      </c>
      <c r="J17" s="134">
        <f t="shared" si="3"/>
        <v>5734114</v>
      </c>
      <c r="K17" s="115">
        <v>4514777</v>
      </c>
      <c r="L17" s="115">
        <v>1007</v>
      </c>
      <c r="M17" s="134">
        <f t="shared" si="4"/>
        <v>4515784</v>
      </c>
      <c r="N17" s="115">
        <v>4753858</v>
      </c>
      <c r="O17" s="115">
        <v>3208</v>
      </c>
      <c r="P17" s="134">
        <f t="shared" si="5"/>
        <v>4757066</v>
      </c>
      <c r="Q17" s="115">
        <v>5558555</v>
      </c>
      <c r="R17" s="115">
        <v>147398</v>
      </c>
      <c r="S17" s="122">
        <v>5705953</v>
      </c>
      <c r="T17" s="114">
        <v>4546355</v>
      </c>
      <c r="U17" s="114">
        <v>29387</v>
      </c>
      <c r="V17" s="122">
        <v>4575742</v>
      </c>
      <c r="W17" s="114">
        <v>3994970</v>
      </c>
      <c r="X17" s="114">
        <v>60757</v>
      </c>
      <c r="Y17" s="122">
        <v>4055727</v>
      </c>
      <c r="Z17" s="113">
        <v>3829767</v>
      </c>
      <c r="AA17" s="113">
        <v>4892</v>
      </c>
      <c r="AB17" s="122">
        <v>3834659</v>
      </c>
      <c r="AD17" s="112" t="s">
        <v>475</v>
      </c>
      <c r="AE17" s="112">
        <v>14502914</v>
      </c>
      <c r="AF17" s="112">
        <v>13788</v>
      </c>
      <c r="AG17" s="122">
        <v>14516702</v>
      </c>
      <c r="AH17" s="104" t="s">
        <v>468</v>
      </c>
      <c r="AI17" s="104">
        <v>22366521</v>
      </c>
      <c r="AJ17" s="104">
        <v>0</v>
      </c>
      <c r="AK17" s="122">
        <v>22366521</v>
      </c>
      <c r="AL17" s="106">
        <v>25589578</v>
      </c>
      <c r="AM17" s="106">
        <v>0</v>
      </c>
      <c r="AN17" s="122">
        <v>25589578</v>
      </c>
      <c r="AO17" s="106">
        <v>19115358</v>
      </c>
      <c r="AP17" s="106">
        <v>0</v>
      </c>
      <c r="AQ17" s="122">
        <v>19115358</v>
      </c>
      <c r="AR17" s="106">
        <v>20109698</v>
      </c>
      <c r="AS17" s="106">
        <v>4564</v>
      </c>
      <c r="AT17" s="122">
        <v>20114262</v>
      </c>
      <c r="AU17" s="104">
        <v>203</v>
      </c>
      <c r="AV17" s="104" t="s">
        <v>468</v>
      </c>
      <c r="AW17" s="106">
        <v>16274031</v>
      </c>
      <c r="AX17" s="106">
        <v>170882</v>
      </c>
      <c r="AY17" s="122">
        <v>16444913</v>
      </c>
    </row>
    <row r="18" spans="1:51">
      <c r="A18" s="115" t="s">
        <v>329</v>
      </c>
      <c r="B18" s="115">
        <v>2612461</v>
      </c>
      <c r="C18" s="115">
        <v>58751</v>
      </c>
      <c r="D18" s="134">
        <f t="shared" si="1"/>
        <v>2671212</v>
      </c>
      <c r="E18" s="115">
        <v>3674585</v>
      </c>
      <c r="F18" s="115">
        <v>86709</v>
      </c>
      <c r="G18" s="134">
        <f t="shared" si="2"/>
        <v>3761294</v>
      </c>
      <c r="H18" s="115">
        <v>3728581</v>
      </c>
      <c r="I18" s="115">
        <v>16765</v>
      </c>
      <c r="J18" s="134">
        <f t="shared" si="3"/>
        <v>3745346</v>
      </c>
      <c r="K18" s="115">
        <v>5471451</v>
      </c>
      <c r="L18" s="115">
        <v>36175</v>
      </c>
      <c r="M18" s="134">
        <f t="shared" si="4"/>
        <v>5507626</v>
      </c>
      <c r="N18" s="115">
        <v>5918178</v>
      </c>
      <c r="O18" s="115">
        <v>138536</v>
      </c>
      <c r="P18" s="134">
        <f t="shared" si="5"/>
        <v>6056714</v>
      </c>
      <c r="Q18" s="115">
        <v>5192002</v>
      </c>
      <c r="R18" s="115">
        <v>1124797</v>
      </c>
      <c r="S18" s="122">
        <v>6316799</v>
      </c>
      <c r="T18" s="114">
        <v>5788206</v>
      </c>
      <c r="U18" s="114">
        <v>0</v>
      </c>
      <c r="V18" s="122">
        <v>5788206</v>
      </c>
      <c r="W18" s="114">
        <v>6133828</v>
      </c>
      <c r="X18" s="114">
        <v>96648</v>
      </c>
      <c r="Y18" s="122">
        <v>6230476</v>
      </c>
      <c r="Z18" s="113">
        <v>6442364</v>
      </c>
      <c r="AA18" s="113">
        <v>80906</v>
      </c>
      <c r="AB18" s="122">
        <v>6523270</v>
      </c>
      <c r="AD18" s="112" t="s">
        <v>481</v>
      </c>
      <c r="AE18" s="112">
        <v>3901437</v>
      </c>
      <c r="AF18" s="112">
        <v>8207</v>
      </c>
      <c r="AG18" s="122">
        <v>3909644</v>
      </c>
      <c r="AH18" s="104" t="s">
        <v>469</v>
      </c>
      <c r="AI18" s="104">
        <v>42459441</v>
      </c>
      <c r="AJ18" s="104">
        <v>16116</v>
      </c>
      <c r="AK18" s="122">
        <v>42475557</v>
      </c>
      <c r="AL18" s="106">
        <v>32908489</v>
      </c>
      <c r="AM18" s="106">
        <v>15704</v>
      </c>
      <c r="AN18" s="122">
        <v>32924193</v>
      </c>
      <c r="AO18" s="106">
        <v>31184061</v>
      </c>
      <c r="AP18" s="106">
        <v>15305</v>
      </c>
      <c r="AQ18" s="122">
        <v>31199366</v>
      </c>
      <c r="AR18" s="106">
        <v>29088490</v>
      </c>
      <c r="AS18" s="106">
        <v>14897</v>
      </c>
      <c r="AT18" s="122">
        <v>29103387</v>
      </c>
      <c r="AU18" s="104">
        <v>204</v>
      </c>
      <c r="AV18" s="104" t="s">
        <v>469</v>
      </c>
      <c r="AW18" s="106">
        <v>25998172</v>
      </c>
      <c r="AX18" s="106">
        <v>229784</v>
      </c>
      <c r="AY18" s="122">
        <v>26227956</v>
      </c>
    </row>
    <row r="19" spans="1:51">
      <c r="A19" s="115" t="s">
        <v>195</v>
      </c>
      <c r="B19" s="115">
        <v>5031061</v>
      </c>
      <c r="C19" s="115">
        <v>33129</v>
      </c>
      <c r="D19" s="134">
        <f t="shared" si="1"/>
        <v>5064190</v>
      </c>
      <c r="E19" s="115">
        <v>5230641</v>
      </c>
      <c r="F19" s="115">
        <v>9616</v>
      </c>
      <c r="G19" s="134">
        <f t="shared" si="2"/>
        <v>5240257</v>
      </c>
      <c r="H19" s="115">
        <v>5079669</v>
      </c>
      <c r="I19" s="115">
        <v>0</v>
      </c>
      <c r="J19" s="134">
        <f t="shared" si="3"/>
        <v>5079669</v>
      </c>
      <c r="K19" s="115">
        <v>5436846</v>
      </c>
      <c r="L19" s="115">
        <v>3168</v>
      </c>
      <c r="M19" s="134">
        <f t="shared" si="4"/>
        <v>5440014</v>
      </c>
      <c r="N19" s="115">
        <v>6688855</v>
      </c>
      <c r="O19" s="115">
        <v>994</v>
      </c>
      <c r="P19" s="134">
        <f t="shared" si="5"/>
        <v>6689849</v>
      </c>
      <c r="Q19" s="115">
        <v>5857292</v>
      </c>
      <c r="R19" s="115">
        <v>155807</v>
      </c>
      <c r="S19" s="122">
        <v>6013099</v>
      </c>
      <c r="T19" s="114">
        <v>6590953</v>
      </c>
      <c r="U19" s="114">
        <v>0</v>
      </c>
      <c r="V19" s="122">
        <v>6590953</v>
      </c>
      <c r="W19" s="114">
        <v>7011441</v>
      </c>
      <c r="X19" s="114">
        <v>16170</v>
      </c>
      <c r="Y19" s="122">
        <v>7027611</v>
      </c>
      <c r="Z19" s="113">
        <v>7499642</v>
      </c>
      <c r="AA19" s="113">
        <v>0</v>
      </c>
      <c r="AB19" s="122">
        <v>7499642</v>
      </c>
      <c r="AD19" s="112" t="s">
        <v>501</v>
      </c>
      <c r="AE19" s="112">
        <v>5628581</v>
      </c>
      <c r="AF19" s="112">
        <v>89993</v>
      </c>
      <c r="AG19" s="122">
        <v>5718574</v>
      </c>
      <c r="AH19" s="104" t="s">
        <v>470</v>
      </c>
      <c r="AI19" s="104">
        <v>2673784</v>
      </c>
      <c r="AJ19" s="104">
        <v>414861</v>
      </c>
      <c r="AK19" s="122">
        <v>3088645</v>
      </c>
      <c r="AL19" s="106">
        <v>2471420</v>
      </c>
      <c r="AM19" s="106">
        <v>39556</v>
      </c>
      <c r="AN19" s="122">
        <v>2510976</v>
      </c>
      <c r="AO19" s="106">
        <v>2477888</v>
      </c>
      <c r="AP19" s="106">
        <v>0</v>
      </c>
      <c r="AQ19" s="122">
        <v>2477888</v>
      </c>
      <c r="AR19" s="106">
        <v>2063439</v>
      </c>
      <c r="AS19" s="106">
        <v>181725</v>
      </c>
      <c r="AT19" s="122">
        <v>2245164</v>
      </c>
      <c r="AU19" s="104">
        <v>205</v>
      </c>
      <c r="AV19" s="104" t="s">
        <v>470</v>
      </c>
      <c r="AW19" s="106">
        <v>1719509</v>
      </c>
      <c r="AX19" s="106">
        <v>1363468</v>
      </c>
      <c r="AY19" s="122">
        <v>3082977</v>
      </c>
    </row>
    <row r="20" spans="1:51">
      <c r="A20" s="115" t="s">
        <v>200</v>
      </c>
      <c r="B20" s="115">
        <v>3144743</v>
      </c>
      <c r="C20" s="115">
        <v>28289</v>
      </c>
      <c r="D20" s="134">
        <f t="shared" si="1"/>
        <v>3173032</v>
      </c>
      <c r="E20" s="115">
        <v>3075576</v>
      </c>
      <c r="F20" s="115">
        <v>33104</v>
      </c>
      <c r="G20" s="134">
        <f t="shared" si="2"/>
        <v>3108680</v>
      </c>
      <c r="H20" s="115">
        <v>3047806</v>
      </c>
      <c r="I20" s="115">
        <v>0</v>
      </c>
      <c r="J20" s="134">
        <f t="shared" si="3"/>
        <v>3047806</v>
      </c>
      <c r="K20" s="115">
        <v>3808081</v>
      </c>
      <c r="L20" s="115">
        <v>28502</v>
      </c>
      <c r="M20" s="134">
        <f t="shared" si="4"/>
        <v>3836583</v>
      </c>
      <c r="N20" s="115">
        <v>3861300</v>
      </c>
      <c r="O20" s="115">
        <v>36273</v>
      </c>
      <c r="P20" s="134">
        <f t="shared" si="5"/>
        <v>3897573</v>
      </c>
      <c r="Q20" s="115">
        <v>2948284</v>
      </c>
      <c r="R20" s="115">
        <v>690168</v>
      </c>
      <c r="S20" s="122">
        <v>3638452</v>
      </c>
      <c r="T20" s="114">
        <v>6128889</v>
      </c>
      <c r="U20" s="114">
        <v>109019</v>
      </c>
      <c r="V20" s="122">
        <v>6237908</v>
      </c>
      <c r="W20" s="114">
        <v>6094127</v>
      </c>
      <c r="X20" s="114">
        <v>4756</v>
      </c>
      <c r="Y20" s="122">
        <v>6098883</v>
      </c>
      <c r="Z20" s="113">
        <v>6764189</v>
      </c>
      <c r="AA20" s="113">
        <v>0</v>
      </c>
      <c r="AB20" s="122">
        <v>6764189</v>
      </c>
      <c r="AD20" s="112" t="s">
        <v>502</v>
      </c>
      <c r="AE20" s="112">
        <v>7725621</v>
      </c>
      <c r="AF20" s="112">
        <v>0</v>
      </c>
      <c r="AG20" s="122">
        <v>7725621</v>
      </c>
      <c r="AH20" s="104" t="s">
        <v>471</v>
      </c>
      <c r="AI20" s="104">
        <v>31067317</v>
      </c>
      <c r="AJ20" s="104">
        <v>4013</v>
      </c>
      <c r="AK20" s="122">
        <v>31071330</v>
      </c>
      <c r="AL20" s="106">
        <v>19292923</v>
      </c>
      <c r="AM20" s="106">
        <v>312</v>
      </c>
      <c r="AN20" s="122">
        <v>19293235</v>
      </c>
      <c r="AO20" s="106">
        <v>12400117</v>
      </c>
      <c r="AP20" s="106">
        <v>0</v>
      </c>
      <c r="AQ20" s="122">
        <v>12400117</v>
      </c>
      <c r="AR20" s="106">
        <v>8496938</v>
      </c>
      <c r="AS20" s="106">
        <v>0</v>
      </c>
      <c r="AT20" s="122">
        <v>8496938</v>
      </c>
      <c r="AU20" s="104">
        <v>206</v>
      </c>
      <c r="AV20" s="104" t="s">
        <v>471</v>
      </c>
      <c r="AW20" s="106">
        <v>7267650</v>
      </c>
      <c r="AX20" s="106">
        <v>22729</v>
      </c>
      <c r="AY20" s="122">
        <v>7290379</v>
      </c>
    </row>
    <row r="21" spans="1:51">
      <c r="A21" s="115" t="s">
        <v>201</v>
      </c>
      <c r="B21" s="115">
        <v>2866650</v>
      </c>
      <c r="C21" s="115">
        <v>87707</v>
      </c>
      <c r="D21" s="134">
        <f t="shared" si="1"/>
        <v>2954357</v>
      </c>
      <c r="E21" s="115">
        <v>3309265</v>
      </c>
      <c r="F21" s="115">
        <v>64003</v>
      </c>
      <c r="G21" s="134">
        <f t="shared" si="2"/>
        <v>3373268</v>
      </c>
      <c r="H21" s="115">
        <v>3683055</v>
      </c>
      <c r="I21" s="115">
        <v>0</v>
      </c>
      <c r="J21" s="134">
        <f t="shared" si="3"/>
        <v>3683055</v>
      </c>
      <c r="K21" s="115">
        <v>4347631</v>
      </c>
      <c r="L21" s="115">
        <v>52021</v>
      </c>
      <c r="M21" s="134">
        <f t="shared" si="4"/>
        <v>4399652</v>
      </c>
      <c r="N21" s="115">
        <v>3771246</v>
      </c>
      <c r="O21" s="115">
        <v>63651</v>
      </c>
      <c r="P21" s="134">
        <f t="shared" si="5"/>
        <v>3834897</v>
      </c>
      <c r="Q21" s="115">
        <v>4374766</v>
      </c>
      <c r="R21" s="115">
        <v>401432</v>
      </c>
      <c r="S21" s="122">
        <v>4776198</v>
      </c>
      <c r="T21" s="114">
        <v>3667192</v>
      </c>
      <c r="U21" s="114">
        <v>85637</v>
      </c>
      <c r="V21" s="122">
        <v>3752829</v>
      </c>
      <c r="W21" s="114">
        <v>3612385</v>
      </c>
      <c r="X21" s="114">
        <v>84804</v>
      </c>
      <c r="Y21" s="122">
        <v>3697189</v>
      </c>
      <c r="Z21" s="113">
        <v>3489462</v>
      </c>
      <c r="AA21" s="113">
        <v>36735</v>
      </c>
      <c r="AB21" s="122">
        <v>3526197</v>
      </c>
      <c r="AD21" s="112" t="s">
        <v>198</v>
      </c>
      <c r="AE21" s="112">
        <v>18432206</v>
      </c>
      <c r="AF21" s="112">
        <v>394947</v>
      </c>
      <c r="AG21" s="122">
        <v>18827153</v>
      </c>
      <c r="AH21" s="104" t="s">
        <v>472</v>
      </c>
      <c r="AI21" s="104">
        <v>14148521</v>
      </c>
      <c r="AJ21" s="104">
        <v>0</v>
      </c>
      <c r="AK21" s="122">
        <v>14148521</v>
      </c>
      <c r="AL21" s="106">
        <v>12052388</v>
      </c>
      <c r="AM21" s="106">
        <v>0</v>
      </c>
      <c r="AN21" s="122">
        <v>12052388</v>
      </c>
      <c r="AO21" s="106">
        <v>12003336</v>
      </c>
      <c r="AP21" s="106">
        <v>0</v>
      </c>
      <c r="AQ21" s="122">
        <v>12003336</v>
      </c>
      <c r="AR21" s="106">
        <v>10379652</v>
      </c>
      <c r="AS21" s="106">
        <v>0</v>
      </c>
      <c r="AT21" s="122">
        <v>10379652</v>
      </c>
      <c r="AU21" s="104">
        <v>207</v>
      </c>
      <c r="AV21" s="104" t="s">
        <v>472</v>
      </c>
      <c r="AW21" s="106">
        <v>10794901</v>
      </c>
      <c r="AX21" s="106">
        <v>5708</v>
      </c>
      <c r="AY21" s="122">
        <v>10800609</v>
      </c>
    </row>
    <row r="22" spans="1:51">
      <c r="A22" s="115" t="s">
        <v>374</v>
      </c>
      <c r="B22" s="115">
        <v>361101</v>
      </c>
      <c r="C22" s="115">
        <v>349441</v>
      </c>
      <c r="D22" s="134">
        <f t="shared" si="1"/>
        <v>710542</v>
      </c>
      <c r="E22" s="115">
        <v>672895</v>
      </c>
      <c r="F22" s="115">
        <v>169009</v>
      </c>
      <c r="G22" s="134">
        <f t="shared" si="2"/>
        <v>841904</v>
      </c>
      <c r="H22" s="115">
        <v>692530</v>
      </c>
      <c r="I22" s="115">
        <v>35227</v>
      </c>
      <c r="J22" s="134">
        <f t="shared" si="3"/>
        <v>727757</v>
      </c>
      <c r="K22" s="115">
        <v>615322</v>
      </c>
      <c r="L22" s="115">
        <v>128612</v>
      </c>
      <c r="M22" s="134">
        <f t="shared" si="4"/>
        <v>743934</v>
      </c>
      <c r="N22" s="115">
        <v>403067</v>
      </c>
      <c r="O22" s="115">
        <v>296105</v>
      </c>
      <c r="P22" s="134">
        <f t="shared" si="5"/>
        <v>699172</v>
      </c>
      <c r="Q22" s="115">
        <v>403235</v>
      </c>
      <c r="R22" s="115">
        <v>233126</v>
      </c>
      <c r="S22" s="122">
        <v>636361</v>
      </c>
      <c r="T22" s="114">
        <v>600494</v>
      </c>
      <c r="U22" s="114">
        <v>0</v>
      </c>
      <c r="V22" s="122">
        <v>600494</v>
      </c>
      <c r="W22" s="114">
        <v>694922</v>
      </c>
      <c r="X22" s="114">
        <v>153918</v>
      </c>
      <c r="Y22" s="122">
        <v>848840</v>
      </c>
      <c r="Z22" s="113">
        <v>440390</v>
      </c>
      <c r="AA22" s="113">
        <v>125416</v>
      </c>
      <c r="AB22" s="122">
        <v>565806</v>
      </c>
      <c r="AD22" s="112" t="s">
        <v>478</v>
      </c>
      <c r="AE22" s="112">
        <v>4849882</v>
      </c>
      <c r="AF22" s="112">
        <v>16069</v>
      </c>
      <c r="AG22" s="122">
        <v>4865951</v>
      </c>
      <c r="AH22" s="104" t="s">
        <v>473</v>
      </c>
      <c r="AI22" s="104">
        <v>5096594</v>
      </c>
      <c r="AJ22" s="104">
        <v>0</v>
      </c>
      <c r="AK22" s="122">
        <v>5096594</v>
      </c>
      <c r="AL22" s="106">
        <v>5608490</v>
      </c>
      <c r="AM22" s="106">
        <v>0</v>
      </c>
      <c r="AN22" s="122">
        <v>5608490</v>
      </c>
      <c r="AO22" s="106">
        <v>5446893</v>
      </c>
      <c r="AP22" s="106">
        <v>0</v>
      </c>
      <c r="AQ22" s="122">
        <v>5446893</v>
      </c>
      <c r="AR22" s="106">
        <v>5015688</v>
      </c>
      <c r="AS22" s="106">
        <v>0</v>
      </c>
      <c r="AT22" s="122">
        <v>5015688</v>
      </c>
      <c r="AU22" s="104">
        <v>208</v>
      </c>
      <c r="AV22" s="104" t="s">
        <v>473</v>
      </c>
      <c r="AW22" s="106">
        <v>4372424</v>
      </c>
      <c r="AX22" s="106">
        <v>161780</v>
      </c>
      <c r="AY22" s="122">
        <v>4534204</v>
      </c>
    </row>
    <row r="23" spans="1:51">
      <c r="A23" s="115" t="s">
        <v>375</v>
      </c>
      <c r="B23" s="115">
        <v>818736</v>
      </c>
      <c r="C23" s="115">
        <v>7501</v>
      </c>
      <c r="D23" s="134">
        <f t="shared" si="1"/>
        <v>826237</v>
      </c>
      <c r="E23" s="115">
        <v>1201865</v>
      </c>
      <c r="F23" s="115">
        <v>2454</v>
      </c>
      <c r="G23" s="134">
        <f t="shared" si="2"/>
        <v>1204319</v>
      </c>
      <c r="H23" s="115">
        <v>1355098</v>
      </c>
      <c r="I23" s="115">
        <v>4490</v>
      </c>
      <c r="J23" s="134">
        <f t="shared" si="3"/>
        <v>1359588</v>
      </c>
      <c r="K23" s="115">
        <v>214834</v>
      </c>
      <c r="L23" s="115">
        <v>73980</v>
      </c>
      <c r="M23" s="134">
        <f t="shared" si="4"/>
        <v>288814</v>
      </c>
      <c r="N23" s="115">
        <v>1371328</v>
      </c>
      <c r="O23" s="115">
        <v>4388</v>
      </c>
      <c r="P23" s="134">
        <f t="shared" si="5"/>
        <v>1375716</v>
      </c>
      <c r="Q23" s="115">
        <v>1945541</v>
      </c>
      <c r="R23" s="115">
        <v>133727</v>
      </c>
      <c r="S23" s="122">
        <v>2079268</v>
      </c>
      <c r="T23" s="114">
        <v>1140431</v>
      </c>
      <c r="U23" s="114">
        <v>118385</v>
      </c>
      <c r="V23" s="122">
        <v>1258816</v>
      </c>
      <c r="W23" s="114">
        <v>1604253</v>
      </c>
      <c r="X23" s="114">
        <v>9698</v>
      </c>
      <c r="Y23" s="122">
        <v>1613951</v>
      </c>
      <c r="Z23" s="113">
        <v>1444724</v>
      </c>
      <c r="AA23" s="113">
        <v>1535</v>
      </c>
      <c r="AB23" s="122">
        <v>1446259</v>
      </c>
      <c r="AD23" s="112" t="s">
        <v>480</v>
      </c>
      <c r="AE23" s="112">
        <v>3545643</v>
      </c>
      <c r="AF23" s="112">
        <v>52032</v>
      </c>
      <c r="AG23" s="122">
        <v>3597675</v>
      </c>
      <c r="AH23" s="104" t="s">
        <v>474</v>
      </c>
      <c r="AI23" s="104">
        <v>3205869</v>
      </c>
      <c r="AJ23" s="104">
        <v>12720</v>
      </c>
      <c r="AK23" s="122">
        <v>3218589</v>
      </c>
      <c r="AL23" s="106">
        <v>3611782</v>
      </c>
      <c r="AM23" s="106">
        <v>838</v>
      </c>
      <c r="AN23" s="122">
        <v>3612620</v>
      </c>
      <c r="AO23" s="106">
        <v>4173472</v>
      </c>
      <c r="AP23" s="106">
        <v>1535</v>
      </c>
      <c r="AQ23" s="122">
        <v>4175007</v>
      </c>
      <c r="AR23" s="106">
        <v>4373682</v>
      </c>
      <c r="AS23" s="106">
        <v>0</v>
      </c>
      <c r="AT23" s="122">
        <v>4373682</v>
      </c>
      <c r="AU23" s="104">
        <v>209</v>
      </c>
      <c r="AV23" s="104" t="s">
        <v>474</v>
      </c>
      <c r="AW23" s="106">
        <v>2723251</v>
      </c>
      <c r="AX23" s="106">
        <v>512542</v>
      </c>
      <c r="AY23" s="122">
        <v>3235793</v>
      </c>
    </row>
    <row r="24" spans="1:51">
      <c r="A24" s="115" t="s">
        <v>376</v>
      </c>
      <c r="B24" s="115">
        <v>490213</v>
      </c>
      <c r="C24" s="115">
        <v>4897</v>
      </c>
      <c r="D24" s="134">
        <f t="shared" si="1"/>
        <v>495110</v>
      </c>
      <c r="E24" s="115">
        <v>708461</v>
      </c>
      <c r="F24" s="115">
        <v>42891</v>
      </c>
      <c r="G24" s="134">
        <f t="shared" si="2"/>
        <v>751352</v>
      </c>
      <c r="H24" s="115">
        <v>681066</v>
      </c>
      <c r="I24" s="115">
        <v>1749</v>
      </c>
      <c r="J24" s="134">
        <f t="shared" si="3"/>
        <v>682815</v>
      </c>
      <c r="K24" s="115">
        <v>559678</v>
      </c>
      <c r="L24" s="115">
        <v>7538</v>
      </c>
      <c r="M24" s="134">
        <f t="shared" si="4"/>
        <v>567216</v>
      </c>
      <c r="N24" s="115">
        <v>1394939</v>
      </c>
      <c r="O24" s="115">
        <v>0</v>
      </c>
      <c r="P24" s="134">
        <f t="shared" si="5"/>
        <v>1394939</v>
      </c>
      <c r="Q24" s="115">
        <v>957736</v>
      </c>
      <c r="R24" s="115">
        <v>0</v>
      </c>
      <c r="S24" s="122">
        <v>957736</v>
      </c>
      <c r="T24" s="114">
        <v>867149</v>
      </c>
      <c r="U24" s="114">
        <v>8783</v>
      </c>
      <c r="V24" s="122">
        <v>875932</v>
      </c>
      <c r="W24" s="114">
        <v>816649</v>
      </c>
      <c r="X24" s="114">
        <v>0</v>
      </c>
      <c r="Y24" s="122">
        <v>816649</v>
      </c>
      <c r="Z24" s="113">
        <v>1165383</v>
      </c>
      <c r="AA24" s="113">
        <v>0</v>
      </c>
      <c r="AB24" s="122">
        <v>1165383</v>
      </c>
      <c r="AD24" s="112" t="s">
        <v>483</v>
      </c>
      <c r="AE24" s="112">
        <v>474505</v>
      </c>
      <c r="AF24" s="112">
        <v>220885</v>
      </c>
      <c r="AG24" s="122">
        <v>695390</v>
      </c>
      <c r="AH24" s="104" t="s">
        <v>475</v>
      </c>
      <c r="AI24" s="104">
        <v>11944557</v>
      </c>
      <c r="AJ24" s="104">
        <v>0</v>
      </c>
      <c r="AK24" s="122">
        <v>11944557</v>
      </c>
      <c r="AL24" s="106">
        <v>13807882</v>
      </c>
      <c r="AM24" s="106">
        <v>0</v>
      </c>
      <c r="AN24" s="122">
        <v>13807882</v>
      </c>
      <c r="AO24" s="106">
        <v>12661893</v>
      </c>
      <c r="AP24" s="106">
        <v>0</v>
      </c>
      <c r="AQ24" s="122">
        <v>12661893</v>
      </c>
      <c r="AR24" s="106">
        <v>12506032</v>
      </c>
      <c r="AS24" s="106">
        <v>0</v>
      </c>
      <c r="AT24" s="122">
        <v>12506032</v>
      </c>
      <c r="AU24" s="104">
        <v>210</v>
      </c>
      <c r="AV24" s="104" t="s">
        <v>475</v>
      </c>
      <c r="AW24" s="106">
        <v>14227738</v>
      </c>
      <c r="AX24" s="106">
        <v>54473</v>
      </c>
      <c r="AY24" s="122">
        <v>14282211</v>
      </c>
    </row>
    <row r="25" spans="1:51">
      <c r="A25" s="115" t="s">
        <v>377</v>
      </c>
      <c r="B25" s="115">
        <v>227070</v>
      </c>
      <c r="C25" s="115">
        <v>17466</v>
      </c>
      <c r="D25" s="134">
        <f t="shared" si="1"/>
        <v>244536</v>
      </c>
      <c r="E25" s="115">
        <v>427212</v>
      </c>
      <c r="F25" s="115">
        <v>21703</v>
      </c>
      <c r="G25" s="134">
        <f t="shared" si="2"/>
        <v>448915</v>
      </c>
      <c r="H25" s="115">
        <v>760161</v>
      </c>
      <c r="I25" s="115">
        <v>0</v>
      </c>
      <c r="J25" s="134">
        <f t="shared" si="3"/>
        <v>760161</v>
      </c>
      <c r="K25" s="115">
        <v>979141</v>
      </c>
      <c r="L25" s="115">
        <v>43763</v>
      </c>
      <c r="M25" s="134">
        <f t="shared" si="4"/>
        <v>1022904</v>
      </c>
      <c r="N25" s="115">
        <v>761086</v>
      </c>
      <c r="O25" s="115">
        <v>500</v>
      </c>
      <c r="P25" s="134">
        <f t="shared" si="5"/>
        <v>761586</v>
      </c>
      <c r="Q25" s="115">
        <v>690240</v>
      </c>
      <c r="R25" s="115">
        <v>57206</v>
      </c>
      <c r="S25" s="122">
        <v>747446</v>
      </c>
      <c r="T25" s="114">
        <v>916646</v>
      </c>
      <c r="U25" s="114">
        <v>22820</v>
      </c>
      <c r="V25" s="122">
        <v>939466</v>
      </c>
      <c r="W25" s="114">
        <v>1064659</v>
      </c>
      <c r="X25" s="114">
        <v>37766</v>
      </c>
      <c r="Y25" s="122">
        <v>1102425</v>
      </c>
      <c r="Z25" s="113">
        <v>965399</v>
      </c>
      <c r="AA25" s="113">
        <v>14733</v>
      </c>
      <c r="AB25" s="122">
        <v>980132</v>
      </c>
      <c r="AD25" s="112" t="s">
        <v>485</v>
      </c>
      <c r="AE25" s="112">
        <v>1342504</v>
      </c>
      <c r="AF25" s="112">
        <v>10549</v>
      </c>
      <c r="AG25" s="122">
        <v>1353053</v>
      </c>
      <c r="AH25" s="104" t="s">
        <v>476</v>
      </c>
      <c r="AI25" s="104">
        <v>3977781</v>
      </c>
      <c r="AJ25" s="104">
        <v>0</v>
      </c>
      <c r="AK25" s="122">
        <v>3977781</v>
      </c>
      <c r="AL25" s="106">
        <v>3976478</v>
      </c>
      <c r="AM25" s="106">
        <v>0</v>
      </c>
      <c r="AN25" s="122">
        <v>3976478</v>
      </c>
      <c r="AO25" s="106">
        <v>4037935</v>
      </c>
      <c r="AP25" s="106">
        <v>0</v>
      </c>
      <c r="AQ25" s="122">
        <v>4037935</v>
      </c>
      <c r="AR25" s="106">
        <v>3812159</v>
      </c>
      <c r="AS25" s="106">
        <v>0</v>
      </c>
      <c r="AT25" s="122">
        <v>3812159</v>
      </c>
      <c r="AU25" s="104">
        <v>211</v>
      </c>
      <c r="AV25" s="104" t="s">
        <v>476</v>
      </c>
      <c r="AW25" s="106">
        <v>3904150</v>
      </c>
      <c r="AX25" s="106">
        <v>144318</v>
      </c>
      <c r="AY25" s="122">
        <v>4048468</v>
      </c>
    </row>
    <row r="26" spans="1:51">
      <c r="A26" s="115" t="s">
        <v>378</v>
      </c>
      <c r="B26" s="115">
        <v>344784</v>
      </c>
      <c r="C26" s="115">
        <v>37756</v>
      </c>
      <c r="D26" s="134">
        <f t="shared" si="1"/>
        <v>382540</v>
      </c>
      <c r="E26" s="115">
        <v>680267</v>
      </c>
      <c r="F26" s="115">
        <v>2350</v>
      </c>
      <c r="G26" s="134">
        <f t="shared" si="2"/>
        <v>682617</v>
      </c>
      <c r="H26" s="115">
        <v>769624</v>
      </c>
      <c r="I26" s="115">
        <v>5533</v>
      </c>
      <c r="J26" s="134">
        <f t="shared" si="3"/>
        <v>775157</v>
      </c>
      <c r="K26" s="115">
        <v>904974</v>
      </c>
      <c r="L26" s="115">
        <v>0</v>
      </c>
      <c r="M26" s="134">
        <f t="shared" si="4"/>
        <v>904974</v>
      </c>
      <c r="N26" s="115">
        <v>739226</v>
      </c>
      <c r="O26" s="115">
        <v>0</v>
      </c>
      <c r="P26" s="134">
        <f t="shared" si="5"/>
        <v>739226</v>
      </c>
      <c r="Q26" s="115">
        <v>1034142</v>
      </c>
      <c r="R26" s="115">
        <v>37203</v>
      </c>
      <c r="S26" s="122">
        <v>1071345</v>
      </c>
      <c r="T26" s="114">
        <v>959105</v>
      </c>
      <c r="U26" s="114">
        <v>3334</v>
      </c>
      <c r="V26" s="122">
        <v>962439</v>
      </c>
      <c r="W26" s="114">
        <v>1041919</v>
      </c>
      <c r="X26" s="114">
        <v>0</v>
      </c>
      <c r="Y26" s="122">
        <v>1041919</v>
      </c>
      <c r="Z26" s="113">
        <v>1055748</v>
      </c>
      <c r="AA26" s="113">
        <v>0</v>
      </c>
      <c r="AB26" s="122">
        <v>1055748</v>
      </c>
      <c r="AD26" s="112" t="s">
        <v>493</v>
      </c>
      <c r="AE26" s="112">
        <v>1018905</v>
      </c>
      <c r="AF26" s="112">
        <v>0</v>
      </c>
      <c r="AG26" s="122">
        <v>1018905</v>
      </c>
      <c r="AH26" s="104" t="s">
        <v>477</v>
      </c>
      <c r="AI26" s="104">
        <v>7803488</v>
      </c>
      <c r="AJ26" s="104">
        <v>0</v>
      </c>
      <c r="AK26" s="122">
        <v>7803488</v>
      </c>
      <c r="AL26" s="106">
        <v>5246528</v>
      </c>
      <c r="AM26" s="106">
        <v>0</v>
      </c>
      <c r="AN26" s="122">
        <v>5246528</v>
      </c>
      <c r="AO26" s="106">
        <v>5510059</v>
      </c>
      <c r="AP26" s="106">
        <v>0</v>
      </c>
      <c r="AQ26" s="122">
        <v>5510059</v>
      </c>
      <c r="AR26" s="106">
        <v>5213191</v>
      </c>
      <c r="AS26" s="106">
        <v>0</v>
      </c>
      <c r="AT26" s="122">
        <v>5213191</v>
      </c>
      <c r="AU26" s="104">
        <v>212</v>
      </c>
      <c r="AV26" s="104" t="s">
        <v>477</v>
      </c>
      <c r="AW26" s="106">
        <v>5517135</v>
      </c>
      <c r="AX26" s="106">
        <v>209332</v>
      </c>
      <c r="AY26" s="122">
        <v>5726467</v>
      </c>
    </row>
    <row r="27" spans="1:51">
      <c r="A27" s="115" t="s">
        <v>379</v>
      </c>
      <c r="B27" s="115">
        <v>210814</v>
      </c>
      <c r="C27" s="115">
        <v>5388</v>
      </c>
      <c r="D27" s="134">
        <f t="shared" si="1"/>
        <v>216202</v>
      </c>
      <c r="E27" s="115">
        <v>454499</v>
      </c>
      <c r="F27" s="115">
        <v>14314</v>
      </c>
      <c r="G27" s="134">
        <f t="shared" si="2"/>
        <v>468813</v>
      </c>
      <c r="H27" s="115">
        <v>316701</v>
      </c>
      <c r="I27" s="115">
        <v>394</v>
      </c>
      <c r="J27" s="134">
        <f t="shared" si="3"/>
        <v>317095</v>
      </c>
      <c r="K27" s="115">
        <v>543414</v>
      </c>
      <c r="L27" s="115">
        <v>9084</v>
      </c>
      <c r="M27" s="134">
        <f t="shared" si="4"/>
        <v>552498</v>
      </c>
      <c r="N27" s="115">
        <v>392779</v>
      </c>
      <c r="O27" s="115">
        <v>2048</v>
      </c>
      <c r="P27" s="134">
        <f t="shared" si="5"/>
        <v>394827</v>
      </c>
      <c r="Q27" s="115">
        <v>833784</v>
      </c>
      <c r="R27" s="115">
        <v>1945</v>
      </c>
      <c r="S27" s="122">
        <v>835729</v>
      </c>
      <c r="T27" s="114">
        <v>953270</v>
      </c>
      <c r="U27" s="114">
        <v>0</v>
      </c>
      <c r="V27" s="122">
        <v>953270</v>
      </c>
      <c r="W27" s="114">
        <v>526255</v>
      </c>
      <c r="X27" s="114">
        <v>35689</v>
      </c>
      <c r="Y27" s="122">
        <v>561944</v>
      </c>
      <c r="Z27" s="113">
        <v>395299</v>
      </c>
      <c r="AA27" s="113">
        <v>51687</v>
      </c>
      <c r="AB27" s="122">
        <v>446986</v>
      </c>
      <c r="AD27" s="112" t="s">
        <v>494</v>
      </c>
      <c r="AE27" s="112">
        <v>505348</v>
      </c>
      <c r="AF27" s="112">
        <v>20643</v>
      </c>
      <c r="AG27" s="122">
        <v>525991</v>
      </c>
      <c r="AH27" s="104" t="s">
        <v>478</v>
      </c>
      <c r="AI27" s="104">
        <v>3947566</v>
      </c>
      <c r="AJ27" s="104">
        <v>6098</v>
      </c>
      <c r="AK27" s="122">
        <v>3953664</v>
      </c>
      <c r="AL27" s="106">
        <v>2378694</v>
      </c>
      <c r="AM27" s="106">
        <v>31499</v>
      </c>
      <c r="AN27" s="122">
        <v>2410193</v>
      </c>
      <c r="AO27" s="106">
        <v>2348514</v>
      </c>
      <c r="AP27" s="106">
        <v>0</v>
      </c>
      <c r="AQ27" s="122">
        <v>2348514</v>
      </c>
      <c r="AR27" s="106">
        <v>2563356</v>
      </c>
      <c r="AS27" s="106">
        <v>0</v>
      </c>
      <c r="AT27" s="122">
        <v>2563356</v>
      </c>
      <c r="AU27" s="104">
        <v>213</v>
      </c>
      <c r="AV27" s="104" t="s">
        <v>478</v>
      </c>
      <c r="AW27" s="106">
        <v>2940119</v>
      </c>
      <c r="AX27" s="106">
        <v>55590</v>
      </c>
      <c r="AY27" s="122">
        <v>2995709</v>
      </c>
    </row>
    <row r="28" spans="1:51">
      <c r="A28" s="115" t="s">
        <v>380</v>
      </c>
      <c r="B28" s="115">
        <v>145094</v>
      </c>
      <c r="C28" s="115">
        <v>18302</v>
      </c>
      <c r="D28" s="134">
        <f t="shared" si="1"/>
        <v>163396</v>
      </c>
      <c r="E28" s="115">
        <v>219851</v>
      </c>
      <c r="F28" s="115">
        <v>28909</v>
      </c>
      <c r="G28" s="134">
        <f t="shared" si="2"/>
        <v>248760</v>
      </c>
      <c r="H28" s="115">
        <v>264585</v>
      </c>
      <c r="I28" s="115">
        <v>12290</v>
      </c>
      <c r="J28" s="134">
        <f t="shared" si="3"/>
        <v>276875</v>
      </c>
      <c r="K28" s="115">
        <v>573752</v>
      </c>
      <c r="L28" s="115">
        <v>309618</v>
      </c>
      <c r="M28" s="134">
        <f t="shared" si="4"/>
        <v>883370</v>
      </c>
      <c r="N28" s="115">
        <v>582042</v>
      </c>
      <c r="O28" s="115">
        <v>598</v>
      </c>
      <c r="P28" s="134">
        <f t="shared" si="5"/>
        <v>582640</v>
      </c>
      <c r="Q28" s="115">
        <v>380192</v>
      </c>
      <c r="R28" s="115">
        <v>0</v>
      </c>
      <c r="S28" s="122">
        <v>380192</v>
      </c>
      <c r="T28" s="114">
        <v>310303</v>
      </c>
      <c r="U28" s="114">
        <v>0</v>
      </c>
      <c r="V28" s="122">
        <v>310303</v>
      </c>
      <c r="W28" s="114">
        <v>927854</v>
      </c>
      <c r="X28" s="114">
        <v>1885</v>
      </c>
      <c r="Y28" s="122">
        <v>929739</v>
      </c>
      <c r="Z28" s="113">
        <v>521231</v>
      </c>
      <c r="AA28" s="113">
        <v>6324</v>
      </c>
      <c r="AB28" s="122">
        <v>527555</v>
      </c>
      <c r="AD28" s="112" t="s">
        <v>495</v>
      </c>
      <c r="AE28" s="112">
        <v>910550</v>
      </c>
      <c r="AF28" s="112">
        <v>13126</v>
      </c>
      <c r="AG28" s="122">
        <v>923676</v>
      </c>
      <c r="AH28" s="104" t="s">
        <v>479</v>
      </c>
      <c r="AI28" s="104">
        <v>16397548</v>
      </c>
      <c r="AJ28" s="104">
        <v>0</v>
      </c>
      <c r="AK28" s="122">
        <v>16397548</v>
      </c>
      <c r="AL28" s="106">
        <v>15740949</v>
      </c>
      <c r="AM28" s="106">
        <v>0</v>
      </c>
      <c r="AN28" s="122">
        <v>15740949</v>
      </c>
      <c r="AO28" s="106">
        <v>16030402</v>
      </c>
      <c r="AP28" s="106">
        <v>0</v>
      </c>
      <c r="AQ28" s="122">
        <v>16030402</v>
      </c>
      <c r="AR28" s="106">
        <v>12668318</v>
      </c>
      <c r="AS28" s="106">
        <v>0</v>
      </c>
      <c r="AT28" s="122">
        <v>12668318</v>
      </c>
      <c r="AU28" s="104">
        <v>214</v>
      </c>
      <c r="AV28" s="104" t="s">
        <v>479</v>
      </c>
      <c r="AW28" s="106">
        <v>12933254</v>
      </c>
      <c r="AX28" s="106">
        <v>89328</v>
      </c>
      <c r="AY28" s="122">
        <v>13022582</v>
      </c>
    </row>
    <row r="29" spans="1:51">
      <c r="A29" s="115" t="s">
        <v>381</v>
      </c>
      <c r="B29" s="115">
        <v>282735</v>
      </c>
      <c r="C29" s="115">
        <v>15172</v>
      </c>
      <c r="D29" s="134">
        <f t="shared" si="1"/>
        <v>297907</v>
      </c>
      <c r="E29" s="115">
        <v>431207</v>
      </c>
      <c r="F29" s="115">
        <v>6494</v>
      </c>
      <c r="G29" s="134">
        <f t="shared" si="2"/>
        <v>437701</v>
      </c>
      <c r="H29" s="115">
        <v>612574</v>
      </c>
      <c r="I29" s="115">
        <v>79</v>
      </c>
      <c r="J29" s="134">
        <f t="shared" si="3"/>
        <v>612653</v>
      </c>
      <c r="K29" s="115">
        <v>40739</v>
      </c>
      <c r="L29" s="115">
        <v>518</v>
      </c>
      <c r="M29" s="134">
        <f t="shared" si="4"/>
        <v>41257</v>
      </c>
      <c r="N29" s="115">
        <v>387561</v>
      </c>
      <c r="O29" s="115">
        <v>4768</v>
      </c>
      <c r="P29" s="134">
        <f t="shared" si="5"/>
        <v>392329</v>
      </c>
      <c r="Q29" s="115">
        <v>627900</v>
      </c>
      <c r="R29" s="115">
        <v>30141</v>
      </c>
      <c r="S29" s="122">
        <v>658041</v>
      </c>
      <c r="T29" s="114">
        <v>650888</v>
      </c>
      <c r="U29" s="114">
        <v>6344</v>
      </c>
      <c r="V29" s="122">
        <v>657232</v>
      </c>
      <c r="W29" s="114">
        <v>452128</v>
      </c>
      <c r="X29" s="114">
        <v>67420</v>
      </c>
      <c r="Y29" s="122">
        <v>519548</v>
      </c>
      <c r="Z29" s="113">
        <v>510948</v>
      </c>
      <c r="AA29" s="113">
        <v>0</v>
      </c>
      <c r="AB29" s="122">
        <v>510948</v>
      </c>
      <c r="AD29" s="112" t="s">
        <v>496</v>
      </c>
      <c r="AE29" s="112">
        <v>913029</v>
      </c>
      <c r="AF29" s="112">
        <v>41393</v>
      </c>
      <c r="AG29" s="122">
        <v>954422</v>
      </c>
      <c r="AH29" s="104" t="s">
        <v>480</v>
      </c>
      <c r="AI29" s="104">
        <v>6491332</v>
      </c>
      <c r="AJ29" s="104">
        <v>2082</v>
      </c>
      <c r="AK29" s="122">
        <v>6493414</v>
      </c>
      <c r="AL29" s="106">
        <v>3684881</v>
      </c>
      <c r="AM29" s="106">
        <v>4999</v>
      </c>
      <c r="AN29" s="122">
        <v>3689880</v>
      </c>
      <c r="AO29" s="106">
        <v>3735769</v>
      </c>
      <c r="AP29" s="106">
        <v>0</v>
      </c>
      <c r="AQ29" s="122">
        <v>3735769</v>
      </c>
      <c r="AR29" s="106">
        <v>2897138</v>
      </c>
      <c r="AS29" s="106">
        <v>18643</v>
      </c>
      <c r="AT29" s="122">
        <v>2915781</v>
      </c>
      <c r="AU29" s="104">
        <v>215</v>
      </c>
      <c r="AV29" s="104" t="s">
        <v>480</v>
      </c>
      <c r="AW29" s="106">
        <v>1948722</v>
      </c>
      <c r="AX29" s="106">
        <v>229644</v>
      </c>
      <c r="AY29" s="122">
        <v>2178366</v>
      </c>
    </row>
    <row r="30" spans="1:51">
      <c r="A30" s="115" t="s">
        <v>196</v>
      </c>
      <c r="B30" s="115">
        <v>1396538</v>
      </c>
      <c r="C30" s="115">
        <v>8807</v>
      </c>
      <c r="D30" s="134">
        <f t="shared" si="1"/>
        <v>1405345</v>
      </c>
      <c r="E30" s="115">
        <v>1637244</v>
      </c>
      <c r="F30" s="115">
        <v>0</v>
      </c>
      <c r="G30" s="134">
        <f t="shared" si="2"/>
        <v>1637244</v>
      </c>
      <c r="H30" s="115">
        <v>1510277</v>
      </c>
      <c r="I30" s="115">
        <v>0</v>
      </c>
      <c r="J30" s="134">
        <f t="shared" si="3"/>
        <v>1510277</v>
      </c>
      <c r="K30" s="115">
        <v>1189401</v>
      </c>
      <c r="L30" s="115">
        <v>0</v>
      </c>
      <c r="M30" s="134">
        <f t="shared" si="4"/>
        <v>1189401</v>
      </c>
      <c r="N30" s="115">
        <v>1319784</v>
      </c>
      <c r="O30" s="115">
        <v>9886</v>
      </c>
      <c r="P30" s="134">
        <f t="shared" si="5"/>
        <v>1329670</v>
      </c>
      <c r="Q30" s="115">
        <v>1069664</v>
      </c>
      <c r="R30" s="115">
        <v>155406</v>
      </c>
      <c r="S30" s="122">
        <v>1225070</v>
      </c>
      <c r="T30" s="114">
        <v>1286814</v>
      </c>
      <c r="U30" s="114">
        <v>0</v>
      </c>
      <c r="V30" s="122">
        <v>1286814</v>
      </c>
      <c r="W30" s="114">
        <v>1405326</v>
      </c>
      <c r="X30" s="114">
        <v>5796</v>
      </c>
      <c r="Y30" s="122">
        <v>1411122</v>
      </c>
      <c r="Z30" s="113">
        <v>1443657</v>
      </c>
      <c r="AA30" s="113">
        <v>4058</v>
      </c>
      <c r="AB30" s="122">
        <v>1447715</v>
      </c>
      <c r="AD30" s="112" t="s">
        <v>497</v>
      </c>
      <c r="AE30" s="112">
        <v>281110</v>
      </c>
      <c r="AF30" s="112">
        <v>10365</v>
      </c>
      <c r="AG30" s="122">
        <v>291475</v>
      </c>
      <c r="AH30" s="104" t="s">
        <v>481</v>
      </c>
      <c r="AI30" s="104">
        <v>9214449</v>
      </c>
      <c r="AJ30" s="104">
        <v>0</v>
      </c>
      <c r="AK30" s="122">
        <v>9214449</v>
      </c>
      <c r="AL30" s="106">
        <v>7675895</v>
      </c>
      <c r="AM30" s="106">
        <v>0</v>
      </c>
      <c r="AN30" s="122">
        <v>7675895</v>
      </c>
      <c r="AO30" s="106">
        <v>6969356</v>
      </c>
      <c r="AP30" s="106">
        <v>0</v>
      </c>
      <c r="AQ30" s="122">
        <v>6969356</v>
      </c>
      <c r="AR30" s="106">
        <v>6772987</v>
      </c>
      <c r="AS30" s="106">
        <v>0</v>
      </c>
      <c r="AT30" s="122">
        <v>6772987</v>
      </c>
      <c r="AU30" s="104">
        <v>216</v>
      </c>
      <c r="AV30" s="104" t="s">
        <v>481</v>
      </c>
      <c r="AW30" s="106">
        <v>5194631</v>
      </c>
      <c r="AX30" s="106">
        <v>13210</v>
      </c>
      <c r="AY30" s="122">
        <v>5207841</v>
      </c>
    </row>
    <row r="31" spans="1:51">
      <c r="A31" s="115" t="s">
        <v>197</v>
      </c>
      <c r="B31" s="115">
        <v>1679284</v>
      </c>
      <c r="C31" s="115">
        <v>0</v>
      </c>
      <c r="D31" s="134">
        <f t="shared" si="1"/>
        <v>1679284</v>
      </c>
      <c r="E31" s="115">
        <v>2498697</v>
      </c>
      <c r="F31" s="115">
        <v>0</v>
      </c>
      <c r="G31" s="134">
        <f t="shared" si="2"/>
        <v>2498697</v>
      </c>
      <c r="H31" s="115">
        <v>2408336</v>
      </c>
      <c r="I31" s="115">
        <v>0</v>
      </c>
      <c r="J31" s="134">
        <f t="shared" si="3"/>
        <v>2408336</v>
      </c>
      <c r="K31" s="115">
        <v>1650326</v>
      </c>
      <c r="L31" s="115">
        <v>0</v>
      </c>
      <c r="M31" s="134">
        <f t="shared" si="4"/>
        <v>1650326</v>
      </c>
      <c r="N31" s="115">
        <v>1918291</v>
      </c>
      <c r="O31" s="115">
        <v>0</v>
      </c>
      <c r="P31" s="134">
        <f t="shared" si="5"/>
        <v>1918291</v>
      </c>
      <c r="Q31" s="115">
        <v>2208278</v>
      </c>
      <c r="R31" s="115">
        <v>60801</v>
      </c>
      <c r="S31" s="122">
        <v>2269079</v>
      </c>
      <c r="T31" s="114">
        <v>2551211</v>
      </c>
      <c r="U31" s="114">
        <v>0</v>
      </c>
      <c r="V31" s="122">
        <v>2551211</v>
      </c>
      <c r="W31" s="114">
        <v>2430350</v>
      </c>
      <c r="X31" s="114">
        <v>0</v>
      </c>
      <c r="Y31" s="122">
        <v>2430350</v>
      </c>
      <c r="Z31" s="113">
        <v>2838242</v>
      </c>
      <c r="AA31" s="113">
        <v>0</v>
      </c>
      <c r="AB31" s="122">
        <v>2838242</v>
      </c>
      <c r="AD31" s="112" t="s">
        <v>498</v>
      </c>
      <c r="AE31" s="112">
        <v>472780</v>
      </c>
      <c r="AF31" s="112">
        <v>9885</v>
      </c>
      <c r="AG31" s="122">
        <v>482665</v>
      </c>
      <c r="AH31" s="104" t="s">
        <v>482</v>
      </c>
      <c r="AI31" s="104">
        <v>7274466</v>
      </c>
      <c r="AJ31" s="104">
        <v>40122</v>
      </c>
      <c r="AK31" s="122">
        <v>7314588</v>
      </c>
      <c r="AL31" s="106">
        <v>9382669</v>
      </c>
      <c r="AM31" s="106">
        <v>0</v>
      </c>
      <c r="AN31" s="122">
        <v>9382669</v>
      </c>
      <c r="AO31" s="106">
        <v>8294657</v>
      </c>
      <c r="AP31" s="106">
        <v>0</v>
      </c>
      <c r="AQ31" s="122">
        <v>8294657</v>
      </c>
      <c r="AR31" s="106">
        <v>8760283</v>
      </c>
      <c r="AS31" s="106">
        <v>1978</v>
      </c>
      <c r="AT31" s="122">
        <v>8762261</v>
      </c>
      <c r="AU31" s="104">
        <v>217</v>
      </c>
      <c r="AV31" s="104" t="s">
        <v>482</v>
      </c>
      <c r="AW31" s="106">
        <v>7742374</v>
      </c>
      <c r="AX31" s="106">
        <v>41009</v>
      </c>
      <c r="AY31" s="122">
        <v>7783383</v>
      </c>
    </row>
    <row r="32" spans="1:51">
      <c r="A32" s="115" t="s">
        <v>205</v>
      </c>
      <c r="B32" s="115">
        <f t="shared" ref="B32:N32" si="8">SUM(B33:B57)</f>
        <v>68067638</v>
      </c>
      <c r="C32" s="115">
        <f t="shared" si="8"/>
        <v>2808254</v>
      </c>
      <c r="D32" s="134">
        <f t="shared" si="1"/>
        <v>70875892</v>
      </c>
      <c r="E32" s="115">
        <f t="shared" si="8"/>
        <v>79883662</v>
      </c>
      <c r="F32" s="115">
        <f t="shared" si="8"/>
        <v>2048073</v>
      </c>
      <c r="G32" s="134">
        <f t="shared" si="2"/>
        <v>81931735</v>
      </c>
      <c r="H32" s="115">
        <f t="shared" si="8"/>
        <v>84936229</v>
      </c>
      <c r="I32" s="115">
        <f t="shared" si="8"/>
        <v>646294</v>
      </c>
      <c r="J32" s="134">
        <f t="shared" si="3"/>
        <v>85582523</v>
      </c>
      <c r="K32" s="115">
        <f t="shared" si="8"/>
        <v>91687283</v>
      </c>
      <c r="L32" s="115">
        <f t="shared" si="8"/>
        <v>676272</v>
      </c>
      <c r="M32" s="134">
        <f t="shared" si="4"/>
        <v>92363555</v>
      </c>
      <c r="N32" s="115">
        <f t="shared" si="8"/>
        <v>86240385</v>
      </c>
      <c r="O32" s="115">
        <f>SUM(O33:O57)</f>
        <v>257446</v>
      </c>
      <c r="P32" s="134">
        <f t="shared" si="5"/>
        <v>86497831</v>
      </c>
      <c r="Q32" s="115">
        <v>89026562</v>
      </c>
      <c r="R32" s="115">
        <v>370525</v>
      </c>
      <c r="S32" s="122">
        <v>89397087</v>
      </c>
      <c r="T32" s="114">
        <v>96124879</v>
      </c>
      <c r="U32" s="114">
        <v>53539</v>
      </c>
      <c r="V32" s="122">
        <v>96178418</v>
      </c>
      <c r="W32" s="114">
        <v>92746516</v>
      </c>
      <c r="X32" s="114">
        <v>801106</v>
      </c>
      <c r="Y32" s="122">
        <v>93547622</v>
      </c>
      <c r="Z32" s="113">
        <v>92531121</v>
      </c>
      <c r="AA32" s="113">
        <v>981994</v>
      </c>
      <c r="AB32" s="122">
        <v>93513115</v>
      </c>
      <c r="AD32" s="112" t="s">
        <v>499</v>
      </c>
      <c r="AE32" s="112">
        <v>1875165</v>
      </c>
      <c r="AF32" s="112">
        <v>0</v>
      </c>
      <c r="AG32" s="122">
        <v>1875165</v>
      </c>
      <c r="AH32" s="104" t="s">
        <v>483</v>
      </c>
      <c r="AI32" s="104">
        <v>4251617</v>
      </c>
      <c r="AJ32" s="104">
        <v>1000</v>
      </c>
      <c r="AK32" s="122">
        <v>4252617</v>
      </c>
      <c r="AL32" s="106">
        <v>4168982</v>
      </c>
      <c r="AM32" s="106">
        <v>0</v>
      </c>
      <c r="AN32" s="122">
        <v>4168982</v>
      </c>
      <c r="AO32" s="106">
        <v>3375323</v>
      </c>
      <c r="AP32" s="106">
        <v>0</v>
      </c>
      <c r="AQ32" s="122">
        <v>3375323</v>
      </c>
      <c r="AR32" s="106">
        <v>4027972</v>
      </c>
      <c r="AS32" s="106">
        <v>2183</v>
      </c>
      <c r="AT32" s="122">
        <v>4030155</v>
      </c>
      <c r="AU32" s="104">
        <v>218</v>
      </c>
      <c r="AV32" s="104" t="s">
        <v>483</v>
      </c>
      <c r="AW32" s="106">
        <v>3126316</v>
      </c>
      <c r="AX32" s="106">
        <v>110154</v>
      </c>
      <c r="AY32" s="122">
        <v>3236470</v>
      </c>
    </row>
    <row r="33" spans="1:51">
      <c r="A33" s="115" t="s">
        <v>382</v>
      </c>
      <c r="B33" s="115">
        <v>47159093</v>
      </c>
      <c r="C33" s="115">
        <v>584955</v>
      </c>
      <c r="D33" s="134">
        <f t="shared" si="1"/>
        <v>47744048</v>
      </c>
      <c r="E33" s="115">
        <v>55594383</v>
      </c>
      <c r="F33" s="115">
        <v>362064</v>
      </c>
      <c r="G33" s="134">
        <f t="shared" si="2"/>
        <v>55956447</v>
      </c>
      <c r="H33" s="115">
        <v>56667114</v>
      </c>
      <c r="I33" s="115">
        <v>153339</v>
      </c>
      <c r="J33" s="134">
        <f t="shared" si="3"/>
        <v>56820453</v>
      </c>
      <c r="K33" s="115">
        <v>59362432</v>
      </c>
      <c r="L33" s="115">
        <v>11628</v>
      </c>
      <c r="M33" s="134">
        <f t="shared" si="4"/>
        <v>59374060</v>
      </c>
      <c r="N33" s="115">
        <v>55796696</v>
      </c>
      <c r="O33" s="115">
        <v>0</v>
      </c>
      <c r="P33" s="134">
        <f t="shared" si="5"/>
        <v>55796696</v>
      </c>
      <c r="Q33" s="115">
        <v>55453224</v>
      </c>
      <c r="R33" s="115">
        <v>12804</v>
      </c>
      <c r="S33" s="122">
        <v>55466028</v>
      </c>
      <c r="T33" s="114">
        <v>60493051</v>
      </c>
      <c r="U33" s="114">
        <v>12840</v>
      </c>
      <c r="V33" s="122">
        <v>60505891</v>
      </c>
      <c r="W33" s="114">
        <v>58914051</v>
      </c>
      <c r="X33" s="114">
        <v>217918</v>
      </c>
      <c r="Y33" s="122">
        <v>59131969</v>
      </c>
      <c r="Z33" s="113">
        <v>57372278</v>
      </c>
      <c r="AA33" s="113">
        <v>49783</v>
      </c>
      <c r="AB33" s="122">
        <v>57422061</v>
      </c>
      <c r="AD33" s="112" t="s">
        <v>500</v>
      </c>
      <c r="AE33" s="112">
        <v>2242785</v>
      </c>
      <c r="AF33" s="112">
        <v>0</v>
      </c>
      <c r="AG33" s="122">
        <v>2242785</v>
      </c>
      <c r="AH33" s="104" t="s">
        <v>484</v>
      </c>
      <c r="AI33" s="104">
        <v>8692973</v>
      </c>
      <c r="AJ33" s="104">
        <v>130402</v>
      </c>
      <c r="AK33" s="122">
        <v>8823375</v>
      </c>
      <c r="AL33" s="106">
        <v>7729895</v>
      </c>
      <c r="AM33" s="106">
        <v>10356</v>
      </c>
      <c r="AN33" s="122">
        <v>7740251</v>
      </c>
      <c r="AO33" s="106">
        <v>8873464</v>
      </c>
      <c r="AP33" s="106">
        <v>0</v>
      </c>
      <c r="AQ33" s="122">
        <v>8873464</v>
      </c>
      <c r="AR33" s="106">
        <v>8484108</v>
      </c>
      <c r="AS33" s="106">
        <v>62862</v>
      </c>
      <c r="AT33" s="122">
        <v>8546970</v>
      </c>
      <c r="AU33" s="104">
        <v>219</v>
      </c>
      <c r="AV33" s="104" t="s">
        <v>484</v>
      </c>
      <c r="AW33" s="106">
        <v>8110868</v>
      </c>
      <c r="AX33" s="106">
        <v>163832</v>
      </c>
      <c r="AY33" s="122">
        <v>8274700</v>
      </c>
    </row>
    <row r="34" spans="1:51">
      <c r="A34" s="115" t="s">
        <v>206</v>
      </c>
      <c r="B34" s="115">
        <v>1918116</v>
      </c>
      <c r="C34" s="115">
        <v>4593</v>
      </c>
      <c r="D34" s="134">
        <f t="shared" si="1"/>
        <v>1922709</v>
      </c>
      <c r="E34" s="115">
        <v>3764661</v>
      </c>
      <c r="F34" s="115">
        <v>0</v>
      </c>
      <c r="G34" s="134">
        <f t="shared" si="2"/>
        <v>3764661</v>
      </c>
      <c r="H34" s="115">
        <v>4995350</v>
      </c>
      <c r="I34" s="115">
        <v>11812</v>
      </c>
      <c r="J34" s="134">
        <f t="shared" si="3"/>
        <v>5007162</v>
      </c>
      <c r="K34" s="115">
        <v>4974789</v>
      </c>
      <c r="L34" s="115">
        <v>0</v>
      </c>
      <c r="M34" s="134">
        <f t="shared" si="4"/>
        <v>4974789</v>
      </c>
      <c r="N34" s="115">
        <v>4878951</v>
      </c>
      <c r="O34" s="115">
        <v>0</v>
      </c>
      <c r="P34" s="134">
        <f t="shared" si="5"/>
        <v>4878951</v>
      </c>
      <c r="Q34" s="115">
        <v>6807145</v>
      </c>
      <c r="R34" s="115">
        <v>0</v>
      </c>
      <c r="S34" s="122">
        <v>6807145</v>
      </c>
      <c r="T34" s="114">
        <v>5920675</v>
      </c>
      <c r="U34" s="114">
        <v>0</v>
      </c>
      <c r="V34" s="122">
        <v>5920675</v>
      </c>
      <c r="W34" s="114">
        <v>5839454</v>
      </c>
      <c r="X34" s="114">
        <v>0</v>
      </c>
      <c r="Y34" s="122">
        <v>5839454</v>
      </c>
      <c r="Z34" s="113">
        <v>5294949</v>
      </c>
      <c r="AA34" s="113">
        <v>0</v>
      </c>
      <c r="AB34" s="122">
        <v>5294949</v>
      </c>
      <c r="AD34" s="112" t="s">
        <v>202</v>
      </c>
      <c r="AE34" s="112">
        <v>70204797</v>
      </c>
      <c r="AF34" s="112">
        <v>73159</v>
      </c>
      <c r="AG34" s="122">
        <v>70277956</v>
      </c>
      <c r="AH34" s="104" t="s">
        <v>485</v>
      </c>
      <c r="AI34" s="104">
        <v>4429804</v>
      </c>
      <c r="AJ34" s="104">
        <v>16199</v>
      </c>
      <c r="AK34" s="122">
        <v>4446003</v>
      </c>
      <c r="AL34" s="106">
        <v>3915678</v>
      </c>
      <c r="AM34" s="106">
        <v>2583</v>
      </c>
      <c r="AN34" s="122">
        <v>3918261</v>
      </c>
      <c r="AO34" s="106">
        <v>5871218</v>
      </c>
      <c r="AP34" s="106">
        <v>0</v>
      </c>
      <c r="AQ34" s="122">
        <v>5871218</v>
      </c>
      <c r="AR34" s="106">
        <v>3166605</v>
      </c>
      <c r="AS34" s="106">
        <v>8288</v>
      </c>
      <c r="AT34" s="122">
        <v>3174893</v>
      </c>
      <c r="AU34" s="104">
        <v>220</v>
      </c>
      <c r="AV34" s="104" t="s">
        <v>485</v>
      </c>
      <c r="AW34" s="106">
        <v>2697278</v>
      </c>
      <c r="AX34" s="106">
        <v>44218</v>
      </c>
      <c r="AY34" s="122">
        <v>2741496</v>
      </c>
    </row>
    <row r="35" spans="1:51">
      <c r="A35" s="115" t="s">
        <v>383</v>
      </c>
      <c r="B35" s="115">
        <v>3385674</v>
      </c>
      <c r="C35" s="115">
        <v>100609</v>
      </c>
      <c r="D35" s="134">
        <f t="shared" si="1"/>
        <v>3486283</v>
      </c>
      <c r="E35" s="115">
        <v>3308857</v>
      </c>
      <c r="F35" s="115">
        <v>37529</v>
      </c>
      <c r="G35" s="134">
        <f t="shared" si="2"/>
        <v>3346386</v>
      </c>
      <c r="H35" s="115">
        <v>3046506</v>
      </c>
      <c r="I35" s="115">
        <v>10286</v>
      </c>
      <c r="J35" s="134">
        <f t="shared" si="3"/>
        <v>3056792</v>
      </c>
      <c r="K35" s="115">
        <v>4782075</v>
      </c>
      <c r="L35" s="115">
        <v>0</v>
      </c>
      <c r="M35" s="134">
        <f t="shared" si="4"/>
        <v>4782075</v>
      </c>
      <c r="N35" s="115">
        <v>4890081</v>
      </c>
      <c r="O35" s="115">
        <v>0</v>
      </c>
      <c r="P35" s="134">
        <f t="shared" si="5"/>
        <v>4890081</v>
      </c>
      <c r="Q35" s="115">
        <v>5361831</v>
      </c>
      <c r="R35" s="115">
        <v>0</v>
      </c>
      <c r="S35" s="122">
        <v>5361831</v>
      </c>
      <c r="T35" s="114">
        <v>4652606</v>
      </c>
      <c r="U35" s="114">
        <v>0</v>
      </c>
      <c r="V35" s="122">
        <v>4652606</v>
      </c>
      <c r="W35" s="114">
        <v>5262068</v>
      </c>
      <c r="X35" s="114">
        <v>2181</v>
      </c>
      <c r="Y35" s="122">
        <v>5264249</v>
      </c>
      <c r="Z35" s="113">
        <v>4412919</v>
      </c>
      <c r="AA35" s="113">
        <v>34310</v>
      </c>
      <c r="AB35" s="122">
        <v>4447229</v>
      </c>
      <c r="AD35" s="112" t="s">
        <v>466</v>
      </c>
      <c r="AE35" s="112">
        <v>54315240</v>
      </c>
      <c r="AF35" s="112">
        <v>7571</v>
      </c>
      <c r="AG35" s="122">
        <v>54322811</v>
      </c>
      <c r="AH35" s="104" t="s">
        <v>1147</v>
      </c>
      <c r="AI35" s="104">
        <v>3765378</v>
      </c>
      <c r="AJ35" s="104">
        <v>138171</v>
      </c>
      <c r="AK35" s="122">
        <v>3903549</v>
      </c>
      <c r="AL35" s="106">
        <v>4032960</v>
      </c>
      <c r="AM35" s="106">
        <v>24889</v>
      </c>
      <c r="AN35" s="122">
        <v>4057849</v>
      </c>
      <c r="AO35" s="106">
        <v>4255376</v>
      </c>
      <c r="AP35" s="106">
        <v>11428</v>
      </c>
      <c r="AQ35" s="122">
        <v>4266804</v>
      </c>
      <c r="AR35" s="106">
        <v>3916682</v>
      </c>
      <c r="AS35" s="106">
        <v>6613</v>
      </c>
      <c r="AT35" s="122">
        <v>3923295</v>
      </c>
      <c r="AU35" s="104">
        <v>221</v>
      </c>
      <c r="AV35" s="104" t="s">
        <v>1147</v>
      </c>
      <c r="AW35" s="106">
        <v>3492027</v>
      </c>
      <c r="AX35" s="106">
        <v>135563</v>
      </c>
      <c r="AY35" s="122">
        <v>3627590</v>
      </c>
    </row>
    <row r="36" spans="1:51">
      <c r="A36" s="115" t="s">
        <v>207</v>
      </c>
      <c r="B36" s="115">
        <v>4227014</v>
      </c>
      <c r="C36" s="115">
        <v>67884</v>
      </c>
      <c r="D36" s="134">
        <f t="shared" si="1"/>
        <v>4294898</v>
      </c>
      <c r="E36" s="115">
        <v>4120897</v>
      </c>
      <c r="F36" s="115">
        <v>0</v>
      </c>
      <c r="G36" s="134">
        <f t="shared" si="2"/>
        <v>4120897</v>
      </c>
      <c r="H36" s="115">
        <v>5453742</v>
      </c>
      <c r="I36" s="115">
        <v>14973</v>
      </c>
      <c r="J36" s="134">
        <f t="shared" si="3"/>
        <v>5468715</v>
      </c>
      <c r="K36" s="115">
        <v>7661655</v>
      </c>
      <c r="L36" s="115">
        <v>9220</v>
      </c>
      <c r="M36" s="134">
        <f t="shared" si="4"/>
        <v>7670875</v>
      </c>
      <c r="N36" s="115">
        <v>5509697</v>
      </c>
      <c r="O36" s="115">
        <v>0</v>
      </c>
      <c r="P36" s="134">
        <f t="shared" si="5"/>
        <v>5509697</v>
      </c>
      <c r="Q36" s="115">
        <v>4770798</v>
      </c>
      <c r="R36" s="115">
        <v>89194</v>
      </c>
      <c r="S36" s="122">
        <v>4859992</v>
      </c>
      <c r="T36" s="114">
        <v>6556618</v>
      </c>
      <c r="U36" s="114">
        <v>0</v>
      </c>
      <c r="V36" s="122">
        <v>6556618</v>
      </c>
      <c r="W36" s="114">
        <v>5095021</v>
      </c>
      <c r="X36" s="114">
        <v>36560</v>
      </c>
      <c r="Y36" s="122">
        <v>5131581</v>
      </c>
      <c r="Z36" s="113">
        <v>6752830</v>
      </c>
      <c r="AA36" s="113">
        <v>15604</v>
      </c>
      <c r="AB36" s="122">
        <v>6768434</v>
      </c>
      <c r="AD36" s="112" t="s">
        <v>503</v>
      </c>
      <c r="AE36" s="112">
        <v>4454807</v>
      </c>
      <c r="AF36" s="112">
        <v>760</v>
      </c>
      <c r="AG36" s="122">
        <v>4455567</v>
      </c>
      <c r="AH36" s="104" t="s">
        <v>492</v>
      </c>
      <c r="AI36" s="104">
        <v>1732127</v>
      </c>
      <c r="AJ36" s="104">
        <v>0</v>
      </c>
      <c r="AK36" s="122">
        <v>1732127</v>
      </c>
      <c r="AL36" s="106">
        <v>1672259</v>
      </c>
      <c r="AM36" s="106">
        <v>0</v>
      </c>
      <c r="AN36" s="122">
        <v>1672259</v>
      </c>
      <c r="AO36" s="106">
        <v>1227665</v>
      </c>
      <c r="AP36" s="106">
        <v>0</v>
      </c>
      <c r="AQ36" s="122">
        <v>1227665</v>
      </c>
      <c r="AR36" s="106">
        <v>1353336</v>
      </c>
      <c r="AS36" s="106">
        <v>2595</v>
      </c>
      <c r="AT36" s="122">
        <v>1355931</v>
      </c>
      <c r="AU36" s="104">
        <v>222</v>
      </c>
      <c r="AV36" s="104" t="s">
        <v>489</v>
      </c>
      <c r="AW36" s="106">
        <v>1915649</v>
      </c>
      <c r="AX36" s="106">
        <v>954939</v>
      </c>
      <c r="AY36" s="122">
        <v>2870588</v>
      </c>
    </row>
    <row r="37" spans="1:51">
      <c r="A37" s="115" t="s">
        <v>384</v>
      </c>
      <c r="B37" s="115">
        <v>410506</v>
      </c>
      <c r="C37" s="115">
        <v>8638</v>
      </c>
      <c r="D37" s="134">
        <f t="shared" si="1"/>
        <v>419144</v>
      </c>
      <c r="E37" s="115">
        <v>514751</v>
      </c>
      <c r="F37" s="115">
        <v>0</v>
      </c>
      <c r="G37" s="134">
        <f t="shared" si="2"/>
        <v>514751</v>
      </c>
      <c r="H37" s="115">
        <v>559421</v>
      </c>
      <c r="I37" s="115">
        <v>0</v>
      </c>
      <c r="J37" s="134">
        <f t="shared" si="3"/>
        <v>559421</v>
      </c>
      <c r="K37" s="115">
        <v>443447</v>
      </c>
      <c r="L37" s="115">
        <v>0</v>
      </c>
      <c r="M37" s="134">
        <f t="shared" si="4"/>
        <v>443447</v>
      </c>
      <c r="N37" s="115">
        <v>502440</v>
      </c>
      <c r="O37" s="115">
        <v>0</v>
      </c>
      <c r="P37" s="134">
        <f t="shared" si="5"/>
        <v>502440</v>
      </c>
      <c r="Q37" s="115">
        <v>570581</v>
      </c>
      <c r="R37" s="115">
        <v>0</v>
      </c>
      <c r="S37" s="122">
        <v>570581</v>
      </c>
      <c r="T37" s="114">
        <v>923162</v>
      </c>
      <c r="U37" s="114">
        <v>0</v>
      </c>
      <c r="V37" s="122">
        <v>923162</v>
      </c>
      <c r="W37" s="114">
        <v>433800</v>
      </c>
      <c r="X37" s="114">
        <v>3600</v>
      </c>
      <c r="Y37" s="122">
        <v>437400</v>
      </c>
      <c r="Z37" s="113">
        <v>546843</v>
      </c>
      <c r="AA37" s="113">
        <v>0</v>
      </c>
      <c r="AB37" s="122">
        <v>546843</v>
      </c>
      <c r="AD37" s="112" t="s">
        <v>504</v>
      </c>
      <c r="AE37" s="112">
        <v>4306623</v>
      </c>
      <c r="AF37" s="112">
        <v>0</v>
      </c>
      <c r="AG37" s="122">
        <v>4306623</v>
      </c>
      <c r="AH37" s="104" t="s">
        <v>493</v>
      </c>
      <c r="AI37" s="104">
        <v>402653</v>
      </c>
      <c r="AJ37" s="104">
        <v>144118</v>
      </c>
      <c r="AK37" s="122">
        <v>546771</v>
      </c>
      <c r="AL37" s="106">
        <v>389703</v>
      </c>
      <c r="AM37" s="106">
        <v>45877</v>
      </c>
      <c r="AN37" s="122">
        <v>435580</v>
      </c>
      <c r="AO37" s="106">
        <v>688933</v>
      </c>
      <c r="AP37" s="106">
        <v>0</v>
      </c>
      <c r="AQ37" s="122">
        <v>688933</v>
      </c>
      <c r="AR37" s="106">
        <v>657060</v>
      </c>
      <c r="AS37" s="106">
        <v>29796</v>
      </c>
      <c r="AT37" s="122">
        <v>686856</v>
      </c>
      <c r="AU37" s="104">
        <v>223</v>
      </c>
      <c r="AV37" s="104" t="s">
        <v>490</v>
      </c>
      <c r="AW37" s="106">
        <v>4730072</v>
      </c>
      <c r="AX37" s="106">
        <v>378058</v>
      </c>
      <c r="AY37" s="122">
        <v>5108130</v>
      </c>
    </row>
    <row r="38" spans="1:51">
      <c r="A38" s="115" t="s">
        <v>385</v>
      </c>
      <c r="B38" s="115">
        <v>550022</v>
      </c>
      <c r="C38" s="115">
        <v>140103</v>
      </c>
      <c r="D38" s="134">
        <f t="shared" si="1"/>
        <v>690125</v>
      </c>
      <c r="E38" s="115">
        <v>594082</v>
      </c>
      <c r="F38" s="115">
        <v>276404</v>
      </c>
      <c r="G38" s="134">
        <f t="shared" si="2"/>
        <v>870486</v>
      </c>
      <c r="H38" s="115">
        <v>638727</v>
      </c>
      <c r="I38" s="115">
        <v>76116</v>
      </c>
      <c r="J38" s="134">
        <f t="shared" si="3"/>
        <v>714843</v>
      </c>
      <c r="K38" s="115">
        <v>479682</v>
      </c>
      <c r="L38" s="115">
        <v>20884</v>
      </c>
      <c r="M38" s="134">
        <f t="shared" si="4"/>
        <v>500566</v>
      </c>
      <c r="N38" s="115">
        <v>467202</v>
      </c>
      <c r="O38" s="115">
        <v>0</v>
      </c>
      <c r="P38" s="134">
        <f t="shared" si="5"/>
        <v>467202</v>
      </c>
      <c r="Q38" s="115">
        <v>475346</v>
      </c>
      <c r="R38" s="115">
        <v>0</v>
      </c>
      <c r="S38" s="122">
        <v>475346</v>
      </c>
      <c r="T38" s="114">
        <v>697443</v>
      </c>
      <c r="U38" s="114">
        <v>0</v>
      </c>
      <c r="V38" s="122">
        <v>697443</v>
      </c>
      <c r="W38" s="114">
        <v>678470</v>
      </c>
      <c r="X38" s="114">
        <v>51995</v>
      </c>
      <c r="Y38" s="122">
        <v>730465</v>
      </c>
      <c r="Z38" s="113">
        <v>530401</v>
      </c>
      <c r="AA38" s="113">
        <v>19825</v>
      </c>
      <c r="AB38" s="122">
        <v>550226</v>
      </c>
      <c r="AD38" s="112" t="s">
        <v>505</v>
      </c>
      <c r="AE38" s="112">
        <v>4734183</v>
      </c>
      <c r="AF38" s="112">
        <v>477</v>
      </c>
      <c r="AG38" s="122">
        <v>4734660</v>
      </c>
      <c r="AH38" s="104" t="s">
        <v>494</v>
      </c>
      <c r="AI38" s="104">
        <v>987540</v>
      </c>
      <c r="AJ38" s="104">
        <v>0</v>
      </c>
      <c r="AK38" s="122">
        <v>987540</v>
      </c>
      <c r="AL38" s="106">
        <v>977802</v>
      </c>
      <c r="AM38" s="106">
        <v>0</v>
      </c>
      <c r="AN38" s="122">
        <v>977802</v>
      </c>
      <c r="AO38" s="106">
        <v>1140581</v>
      </c>
      <c r="AP38" s="106">
        <v>0</v>
      </c>
      <c r="AQ38" s="122">
        <v>1140581</v>
      </c>
      <c r="AR38" s="106">
        <v>829182</v>
      </c>
      <c r="AS38" s="106">
        <v>0</v>
      </c>
      <c r="AT38" s="122">
        <v>829182</v>
      </c>
      <c r="AU38" s="104">
        <v>224</v>
      </c>
      <c r="AV38" s="104" t="s">
        <v>491</v>
      </c>
      <c r="AW38" s="106">
        <v>4530878</v>
      </c>
      <c r="AX38" s="106">
        <v>906329</v>
      </c>
      <c r="AY38" s="122">
        <v>5437207</v>
      </c>
    </row>
    <row r="39" spans="1:51">
      <c r="A39" s="115" t="s">
        <v>386</v>
      </c>
      <c r="B39" s="115">
        <v>226802</v>
      </c>
      <c r="C39" s="115">
        <v>191158</v>
      </c>
      <c r="D39" s="134">
        <f t="shared" si="1"/>
        <v>417960</v>
      </c>
      <c r="E39" s="115">
        <v>312455</v>
      </c>
      <c r="F39" s="115">
        <v>56825</v>
      </c>
      <c r="G39" s="134">
        <f t="shared" si="2"/>
        <v>369280</v>
      </c>
      <c r="H39" s="115">
        <v>376804</v>
      </c>
      <c r="I39" s="115">
        <v>2192</v>
      </c>
      <c r="J39" s="134">
        <f t="shared" si="3"/>
        <v>378996</v>
      </c>
      <c r="K39" s="115">
        <v>341904</v>
      </c>
      <c r="L39" s="115">
        <v>1498</v>
      </c>
      <c r="M39" s="134">
        <f t="shared" si="4"/>
        <v>343402</v>
      </c>
      <c r="N39" s="115">
        <v>513669</v>
      </c>
      <c r="O39" s="115">
        <v>0</v>
      </c>
      <c r="P39" s="134">
        <f t="shared" si="5"/>
        <v>513669</v>
      </c>
      <c r="Q39" s="115">
        <v>541148</v>
      </c>
      <c r="R39" s="115">
        <v>0</v>
      </c>
      <c r="S39" s="122">
        <v>541148</v>
      </c>
      <c r="T39" s="114">
        <v>771246</v>
      </c>
      <c r="U39" s="114">
        <v>0</v>
      </c>
      <c r="V39" s="122">
        <v>771246</v>
      </c>
      <c r="W39" s="114">
        <v>770490</v>
      </c>
      <c r="X39" s="114">
        <v>60118</v>
      </c>
      <c r="Y39" s="122">
        <v>830608</v>
      </c>
      <c r="Z39" s="113">
        <v>810282</v>
      </c>
      <c r="AA39" s="113">
        <v>83506</v>
      </c>
      <c r="AB39" s="122">
        <v>893788</v>
      </c>
      <c r="AD39" s="112" t="s">
        <v>506</v>
      </c>
      <c r="AE39" s="112">
        <v>568472</v>
      </c>
      <c r="AF39" s="112">
        <v>0</v>
      </c>
      <c r="AG39" s="122">
        <v>568472</v>
      </c>
      <c r="AH39" s="104" t="s">
        <v>495</v>
      </c>
      <c r="AI39" s="104">
        <v>939376</v>
      </c>
      <c r="AJ39" s="104">
        <v>899</v>
      </c>
      <c r="AK39" s="122">
        <v>940275</v>
      </c>
      <c r="AL39" s="106">
        <v>1102084</v>
      </c>
      <c r="AM39" s="106">
        <v>0</v>
      </c>
      <c r="AN39" s="122">
        <v>1102084</v>
      </c>
      <c r="AO39" s="106">
        <v>1524236</v>
      </c>
      <c r="AP39" s="106">
        <v>0</v>
      </c>
      <c r="AQ39" s="122">
        <v>1524236</v>
      </c>
      <c r="AR39" s="106">
        <v>1411350</v>
      </c>
      <c r="AS39" s="106">
        <v>0</v>
      </c>
      <c r="AT39" s="122">
        <v>1411350</v>
      </c>
      <c r="AU39" s="104">
        <v>301</v>
      </c>
      <c r="AV39" s="104" t="s">
        <v>492</v>
      </c>
      <c r="AW39" s="106">
        <v>1001443</v>
      </c>
      <c r="AX39" s="106">
        <v>27891</v>
      </c>
      <c r="AY39" s="122">
        <v>1029334</v>
      </c>
    </row>
    <row r="40" spans="1:51">
      <c r="A40" s="115" t="s">
        <v>203</v>
      </c>
      <c r="B40" s="115">
        <v>513755</v>
      </c>
      <c r="C40" s="115">
        <v>153318</v>
      </c>
      <c r="D40" s="134">
        <f t="shared" si="1"/>
        <v>667073</v>
      </c>
      <c r="E40" s="115">
        <v>630810</v>
      </c>
      <c r="F40" s="115">
        <v>104306</v>
      </c>
      <c r="G40" s="134">
        <f t="shared" si="2"/>
        <v>735116</v>
      </c>
      <c r="H40" s="115">
        <v>932984</v>
      </c>
      <c r="I40" s="115">
        <v>7794</v>
      </c>
      <c r="J40" s="134">
        <f t="shared" si="3"/>
        <v>940778</v>
      </c>
      <c r="K40" s="115">
        <v>769737</v>
      </c>
      <c r="L40" s="115">
        <v>2925</v>
      </c>
      <c r="M40" s="134">
        <f t="shared" si="4"/>
        <v>772662</v>
      </c>
      <c r="N40" s="115">
        <v>677682</v>
      </c>
      <c r="O40" s="115">
        <v>0</v>
      </c>
      <c r="P40" s="134">
        <f t="shared" si="5"/>
        <v>677682</v>
      </c>
      <c r="Q40" s="115">
        <v>969805</v>
      </c>
      <c r="R40" s="115">
        <v>6504</v>
      </c>
      <c r="S40" s="122">
        <v>976309</v>
      </c>
      <c r="T40" s="114">
        <v>1029339</v>
      </c>
      <c r="U40" s="114">
        <v>0</v>
      </c>
      <c r="V40" s="122">
        <v>1029339</v>
      </c>
      <c r="W40" s="114">
        <v>592206</v>
      </c>
      <c r="X40" s="114">
        <v>95115</v>
      </c>
      <c r="Y40" s="122">
        <v>687321</v>
      </c>
      <c r="Z40" s="113">
        <v>657465</v>
      </c>
      <c r="AA40" s="113">
        <v>67535</v>
      </c>
      <c r="AB40" s="122">
        <v>725000</v>
      </c>
      <c r="AD40" s="112" t="s">
        <v>507</v>
      </c>
      <c r="AE40" s="112">
        <v>567704</v>
      </c>
      <c r="AF40" s="112">
        <v>14619</v>
      </c>
      <c r="AG40" s="122">
        <v>582323</v>
      </c>
      <c r="AH40" s="104" t="s">
        <v>496</v>
      </c>
      <c r="AI40" s="104">
        <v>494597</v>
      </c>
      <c r="AJ40" s="104">
        <v>12777</v>
      </c>
      <c r="AK40" s="122">
        <v>507374</v>
      </c>
      <c r="AL40" s="106">
        <v>454104</v>
      </c>
      <c r="AM40" s="106">
        <v>3948</v>
      </c>
      <c r="AN40" s="122">
        <v>458052</v>
      </c>
      <c r="AO40" s="106">
        <v>367528</v>
      </c>
      <c r="AP40" s="106">
        <v>0</v>
      </c>
      <c r="AQ40" s="122">
        <v>367528</v>
      </c>
      <c r="AR40" s="106">
        <v>341077</v>
      </c>
      <c r="AS40" s="106">
        <v>3083</v>
      </c>
      <c r="AT40" s="122">
        <v>344160</v>
      </c>
      <c r="AU40" s="104">
        <v>321</v>
      </c>
      <c r="AV40" s="104" t="s">
        <v>493</v>
      </c>
      <c r="AW40" s="106">
        <v>836199</v>
      </c>
      <c r="AX40" s="106">
        <v>173244</v>
      </c>
      <c r="AY40" s="122">
        <v>1009443</v>
      </c>
    </row>
    <row r="41" spans="1:51">
      <c r="A41" s="115" t="s">
        <v>204</v>
      </c>
      <c r="B41" s="115">
        <v>971450</v>
      </c>
      <c r="C41" s="115">
        <v>127525</v>
      </c>
      <c r="D41" s="134">
        <f t="shared" si="1"/>
        <v>1098975</v>
      </c>
      <c r="E41" s="115">
        <v>1073643</v>
      </c>
      <c r="F41" s="115">
        <v>112195</v>
      </c>
      <c r="G41" s="134">
        <f t="shared" si="2"/>
        <v>1185838</v>
      </c>
      <c r="H41" s="115">
        <v>817736</v>
      </c>
      <c r="I41" s="115">
        <v>3584</v>
      </c>
      <c r="J41" s="134">
        <f t="shared" si="3"/>
        <v>821320</v>
      </c>
      <c r="K41" s="115">
        <v>726451</v>
      </c>
      <c r="L41" s="115">
        <v>5766</v>
      </c>
      <c r="M41" s="134">
        <f t="shared" si="4"/>
        <v>732217</v>
      </c>
      <c r="N41" s="115">
        <v>751462</v>
      </c>
      <c r="O41" s="115">
        <v>0</v>
      </c>
      <c r="P41" s="134">
        <f t="shared" si="5"/>
        <v>751462</v>
      </c>
      <c r="Q41" s="115">
        <v>761341</v>
      </c>
      <c r="R41" s="115">
        <v>58769</v>
      </c>
      <c r="S41" s="122">
        <v>820110</v>
      </c>
      <c r="T41" s="114">
        <v>624903</v>
      </c>
      <c r="U41" s="114">
        <v>1153</v>
      </c>
      <c r="V41" s="122">
        <v>626056</v>
      </c>
      <c r="W41" s="114">
        <v>1082717</v>
      </c>
      <c r="X41" s="114">
        <v>34201</v>
      </c>
      <c r="Y41" s="122">
        <v>1116918</v>
      </c>
      <c r="Z41" s="113">
        <v>882834</v>
      </c>
      <c r="AA41" s="113">
        <v>35532</v>
      </c>
      <c r="AB41" s="122">
        <v>918366</v>
      </c>
      <c r="AD41" s="112" t="s">
        <v>508</v>
      </c>
      <c r="AE41" s="112">
        <v>508318</v>
      </c>
      <c r="AF41" s="112">
        <v>14055</v>
      </c>
      <c r="AG41" s="122">
        <v>522373</v>
      </c>
      <c r="AH41" s="104" t="s">
        <v>497</v>
      </c>
      <c r="AI41" s="104">
        <v>653920</v>
      </c>
      <c r="AJ41" s="104">
        <v>34459</v>
      </c>
      <c r="AK41" s="122">
        <v>688379</v>
      </c>
      <c r="AL41" s="106">
        <v>573278</v>
      </c>
      <c r="AM41" s="106">
        <v>7889</v>
      </c>
      <c r="AN41" s="122">
        <v>581167</v>
      </c>
      <c r="AO41" s="106">
        <v>1296614</v>
      </c>
      <c r="AP41" s="106">
        <v>0</v>
      </c>
      <c r="AQ41" s="122">
        <v>1296614</v>
      </c>
      <c r="AR41" s="106">
        <v>791554</v>
      </c>
      <c r="AS41" s="106">
        <v>2961</v>
      </c>
      <c r="AT41" s="122">
        <v>794515</v>
      </c>
      <c r="AU41" s="104">
        <v>341</v>
      </c>
      <c r="AV41" s="104" t="s">
        <v>494</v>
      </c>
      <c r="AW41" s="106">
        <v>878903</v>
      </c>
      <c r="AX41" s="106">
        <v>39999</v>
      </c>
      <c r="AY41" s="122">
        <v>918902</v>
      </c>
    </row>
    <row r="42" spans="1:51">
      <c r="A42" s="115" t="s">
        <v>387</v>
      </c>
      <c r="B42" s="115">
        <v>449131</v>
      </c>
      <c r="C42" s="115">
        <v>75861</v>
      </c>
      <c r="D42" s="134">
        <f t="shared" si="1"/>
        <v>524992</v>
      </c>
      <c r="E42" s="115">
        <v>734585</v>
      </c>
      <c r="F42" s="115">
        <v>43261</v>
      </c>
      <c r="G42" s="134">
        <f t="shared" si="2"/>
        <v>777846</v>
      </c>
      <c r="H42" s="115">
        <v>920634</v>
      </c>
      <c r="I42" s="115">
        <v>0</v>
      </c>
      <c r="J42" s="134">
        <f t="shared" si="3"/>
        <v>920634</v>
      </c>
      <c r="K42" s="115">
        <v>1108416</v>
      </c>
      <c r="L42" s="115">
        <v>5122</v>
      </c>
      <c r="M42" s="134">
        <f t="shared" si="4"/>
        <v>1113538</v>
      </c>
      <c r="N42" s="115">
        <v>962302</v>
      </c>
      <c r="O42" s="115">
        <v>0</v>
      </c>
      <c r="P42" s="134">
        <f t="shared" si="5"/>
        <v>962302</v>
      </c>
      <c r="Q42" s="115">
        <v>836149</v>
      </c>
      <c r="R42" s="115">
        <v>0</v>
      </c>
      <c r="S42" s="122">
        <v>836149</v>
      </c>
      <c r="T42" s="114">
        <v>1090629</v>
      </c>
      <c r="U42" s="114">
        <v>0</v>
      </c>
      <c r="V42" s="122">
        <v>1090629</v>
      </c>
      <c r="W42" s="114">
        <v>1108999</v>
      </c>
      <c r="X42" s="114">
        <v>14795</v>
      </c>
      <c r="Y42" s="122">
        <v>1123794</v>
      </c>
      <c r="Z42" s="113">
        <v>1107743</v>
      </c>
      <c r="AA42" s="113">
        <v>6243</v>
      </c>
      <c r="AB42" s="122">
        <v>1113986</v>
      </c>
      <c r="AD42" s="112" t="s">
        <v>509</v>
      </c>
      <c r="AE42" s="112">
        <v>749450</v>
      </c>
      <c r="AF42" s="112">
        <v>35677</v>
      </c>
      <c r="AG42" s="122">
        <v>785127</v>
      </c>
      <c r="AH42" s="104" t="s">
        <v>498</v>
      </c>
      <c r="AI42" s="104">
        <v>194811</v>
      </c>
      <c r="AJ42" s="104">
        <v>0</v>
      </c>
      <c r="AK42" s="122">
        <v>194811</v>
      </c>
      <c r="AL42" s="106">
        <v>217730</v>
      </c>
      <c r="AM42" s="106">
        <v>0</v>
      </c>
      <c r="AN42" s="122">
        <v>217730</v>
      </c>
      <c r="AO42" s="106">
        <v>468507</v>
      </c>
      <c r="AP42" s="106">
        <v>2601</v>
      </c>
      <c r="AQ42" s="122">
        <v>471108</v>
      </c>
      <c r="AR42" s="106">
        <v>672029</v>
      </c>
      <c r="AS42" s="106">
        <v>6088</v>
      </c>
      <c r="AT42" s="122">
        <v>678117</v>
      </c>
      <c r="AU42" s="104">
        <v>342</v>
      </c>
      <c r="AV42" s="104" t="s">
        <v>495</v>
      </c>
      <c r="AW42" s="106">
        <v>2250547</v>
      </c>
      <c r="AX42" s="106">
        <v>37353</v>
      </c>
      <c r="AY42" s="122">
        <v>2287900</v>
      </c>
    </row>
    <row r="43" spans="1:51">
      <c r="A43" s="115" t="s">
        <v>388</v>
      </c>
      <c r="B43" s="115">
        <v>243436</v>
      </c>
      <c r="C43" s="115">
        <v>125693</v>
      </c>
      <c r="D43" s="134">
        <f t="shared" si="1"/>
        <v>369129</v>
      </c>
      <c r="E43" s="115">
        <v>494804</v>
      </c>
      <c r="F43" s="115">
        <v>34148</v>
      </c>
      <c r="G43" s="134">
        <f t="shared" si="2"/>
        <v>528952</v>
      </c>
      <c r="H43" s="115">
        <v>462614</v>
      </c>
      <c r="I43" s="115">
        <v>19524</v>
      </c>
      <c r="J43" s="134">
        <f t="shared" si="3"/>
        <v>482138</v>
      </c>
      <c r="K43" s="115">
        <v>404746</v>
      </c>
      <c r="L43" s="115">
        <v>8177</v>
      </c>
      <c r="M43" s="134">
        <f t="shared" si="4"/>
        <v>412923</v>
      </c>
      <c r="N43" s="115">
        <v>223634</v>
      </c>
      <c r="O43" s="115">
        <v>0</v>
      </c>
      <c r="P43" s="134">
        <f t="shared" si="5"/>
        <v>223634</v>
      </c>
      <c r="Q43" s="115">
        <v>360588</v>
      </c>
      <c r="R43" s="115">
        <v>0</v>
      </c>
      <c r="S43" s="122">
        <v>360588</v>
      </c>
      <c r="T43" s="114">
        <v>406442</v>
      </c>
      <c r="U43" s="114">
        <v>0</v>
      </c>
      <c r="V43" s="122">
        <v>406442</v>
      </c>
      <c r="W43" s="114">
        <v>434402</v>
      </c>
      <c r="X43" s="114">
        <v>40260</v>
      </c>
      <c r="Y43" s="122">
        <v>474662</v>
      </c>
      <c r="Z43" s="113">
        <v>754542</v>
      </c>
      <c r="AA43" s="113">
        <v>11907</v>
      </c>
      <c r="AB43" s="122">
        <v>766449</v>
      </c>
      <c r="AD43" s="112" t="s">
        <v>205</v>
      </c>
      <c r="AE43" s="112">
        <v>15553968</v>
      </c>
      <c r="AF43" s="112">
        <v>1175392</v>
      </c>
      <c r="AG43" s="122">
        <v>16729360</v>
      </c>
      <c r="AH43" s="104" t="s">
        <v>499</v>
      </c>
      <c r="AI43" s="104">
        <v>345342</v>
      </c>
      <c r="AJ43" s="104">
        <v>0</v>
      </c>
      <c r="AK43" s="122">
        <v>345342</v>
      </c>
      <c r="AL43" s="106">
        <v>505522</v>
      </c>
      <c r="AM43" s="106">
        <v>0</v>
      </c>
      <c r="AN43" s="122">
        <v>505522</v>
      </c>
      <c r="AO43" s="106">
        <v>218440</v>
      </c>
      <c r="AP43" s="106">
        <v>0</v>
      </c>
      <c r="AQ43" s="122">
        <v>218440</v>
      </c>
      <c r="AR43" s="106">
        <v>935676</v>
      </c>
      <c r="AS43" s="106">
        <v>0</v>
      </c>
      <c r="AT43" s="122">
        <v>935676</v>
      </c>
      <c r="AU43" s="104">
        <v>343</v>
      </c>
      <c r="AV43" s="104" t="s">
        <v>496</v>
      </c>
      <c r="AW43" s="106">
        <v>214423</v>
      </c>
      <c r="AX43" s="106">
        <v>53625</v>
      </c>
      <c r="AY43" s="122">
        <v>268048</v>
      </c>
    </row>
    <row r="44" spans="1:51">
      <c r="A44" s="115" t="s">
        <v>389</v>
      </c>
      <c r="B44" s="115">
        <v>948947</v>
      </c>
      <c r="C44" s="115">
        <v>91614</v>
      </c>
      <c r="D44" s="134">
        <f t="shared" si="1"/>
        <v>1040561</v>
      </c>
      <c r="E44" s="115">
        <v>838517</v>
      </c>
      <c r="F44" s="115">
        <v>35837</v>
      </c>
      <c r="G44" s="134">
        <f t="shared" si="2"/>
        <v>874354</v>
      </c>
      <c r="H44" s="115">
        <v>1091767</v>
      </c>
      <c r="I44" s="115">
        <v>27681</v>
      </c>
      <c r="J44" s="134">
        <f t="shared" si="3"/>
        <v>1119448</v>
      </c>
      <c r="K44" s="115">
        <v>1116758</v>
      </c>
      <c r="L44" s="115">
        <v>40304</v>
      </c>
      <c r="M44" s="134">
        <f t="shared" si="4"/>
        <v>1157062</v>
      </c>
      <c r="N44" s="115">
        <v>1219330</v>
      </c>
      <c r="O44" s="115">
        <v>0</v>
      </c>
      <c r="P44" s="134">
        <f t="shared" si="5"/>
        <v>1219330</v>
      </c>
      <c r="Q44" s="115">
        <v>1459404</v>
      </c>
      <c r="R44" s="115">
        <v>49647</v>
      </c>
      <c r="S44" s="122">
        <v>1509051</v>
      </c>
      <c r="T44" s="114">
        <v>1752593</v>
      </c>
      <c r="U44" s="114">
        <v>0</v>
      </c>
      <c r="V44" s="122">
        <v>1752593</v>
      </c>
      <c r="W44" s="114">
        <v>2462121</v>
      </c>
      <c r="X44" s="114">
        <v>20261</v>
      </c>
      <c r="Y44" s="122">
        <v>2482382</v>
      </c>
      <c r="Z44" s="113">
        <v>1788824</v>
      </c>
      <c r="AA44" s="113">
        <v>29448</v>
      </c>
      <c r="AB44" s="122">
        <v>1818272</v>
      </c>
      <c r="AD44" s="112" t="s">
        <v>473</v>
      </c>
      <c r="AE44" s="112">
        <v>965672</v>
      </c>
      <c r="AF44" s="112">
        <v>2218</v>
      </c>
      <c r="AG44" s="122">
        <v>967890</v>
      </c>
      <c r="AH44" s="104" t="s">
        <v>500</v>
      </c>
      <c r="AI44" s="104">
        <v>398187</v>
      </c>
      <c r="AJ44" s="104">
        <v>0</v>
      </c>
      <c r="AK44" s="122">
        <v>398187</v>
      </c>
      <c r="AL44" s="106">
        <v>593631</v>
      </c>
      <c r="AM44" s="106">
        <v>7952</v>
      </c>
      <c r="AN44" s="122">
        <v>601583</v>
      </c>
      <c r="AO44" s="106">
        <v>1018756</v>
      </c>
      <c r="AP44" s="106">
        <v>0</v>
      </c>
      <c r="AQ44" s="122">
        <v>1018756</v>
      </c>
      <c r="AR44" s="106">
        <v>537442</v>
      </c>
      <c r="AS44" s="106">
        <v>0</v>
      </c>
      <c r="AT44" s="122">
        <v>537442</v>
      </c>
      <c r="AU44" s="104">
        <v>361</v>
      </c>
      <c r="AV44" s="104" t="s">
        <v>497</v>
      </c>
      <c r="AW44" s="106">
        <v>766589</v>
      </c>
      <c r="AX44" s="106">
        <v>29715</v>
      </c>
      <c r="AY44" s="122">
        <v>796304</v>
      </c>
    </row>
    <row r="45" spans="1:51">
      <c r="A45" s="115" t="s">
        <v>390</v>
      </c>
      <c r="B45" s="115">
        <v>371015</v>
      </c>
      <c r="C45" s="115">
        <v>16679</v>
      </c>
      <c r="D45" s="134">
        <f t="shared" si="1"/>
        <v>387694</v>
      </c>
      <c r="E45" s="115">
        <v>559934</v>
      </c>
      <c r="F45" s="115">
        <v>7554</v>
      </c>
      <c r="G45" s="134">
        <f t="shared" si="2"/>
        <v>567488</v>
      </c>
      <c r="H45" s="115">
        <v>757361</v>
      </c>
      <c r="I45" s="115">
        <v>2086</v>
      </c>
      <c r="J45" s="134">
        <f t="shared" si="3"/>
        <v>759447</v>
      </c>
      <c r="K45" s="115">
        <v>798097</v>
      </c>
      <c r="L45" s="115">
        <v>3864</v>
      </c>
      <c r="M45" s="134">
        <f t="shared" si="4"/>
        <v>801961</v>
      </c>
      <c r="N45" s="115">
        <v>775701</v>
      </c>
      <c r="O45" s="115">
        <v>267</v>
      </c>
      <c r="P45" s="134">
        <f t="shared" si="5"/>
        <v>775968</v>
      </c>
      <c r="Q45" s="115">
        <v>715125</v>
      </c>
      <c r="R45" s="115">
        <v>0</v>
      </c>
      <c r="S45" s="122">
        <v>715125</v>
      </c>
      <c r="T45" s="114">
        <v>924762</v>
      </c>
      <c r="U45" s="114">
        <v>2357</v>
      </c>
      <c r="V45" s="122">
        <v>927119</v>
      </c>
      <c r="W45" s="114">
        <v>844134</v>
      </c>
      <c r="X45" s="114">
        <v>2838</v>
      </c>
      <c r="Y45" s="122">
        <v>846972</v>
      </c>
      <c r="Z45" s="113">
        <v>689851</v>
      </c>
      <c r="AA45" s="113">
        <v>17320</v>
      </c>
      <c r="AB45" s="122">
        <v>707171</v>
      </c>
      <c r="AD45" s="112" t="s">
        <v>476</v>
      </c>
      <c r="AE45" s="112">
        <v>800126</v>
      </c>
      <c r="AF45" s="112">
        <v>0</v>
      </c>
      <c r="AG45" s="122">
        <v>800126</v>
      </c>
      <c r="AH45" s="104" t="s">
        <v>501</v>
      </c>
      <c r="AI45" s="104">
        <v>1483729</v>
      </c>
      <c r="AJ45" s="104">
        <v>0</v>
      </c>
      <c r="AK45" s="122">
        <v>1483729</v>
      </c>
      <c r="AL45" s="106">
        <v>1291136</v>
      </c>
      <c r="AM45" s="106">
        <v>0</v>
      </c>
      <c r="AN45" s="122">
        <v>1291136</v>
      </c>
      <c r="AO45" s="106">
        <v>1296831</v>
      </c>
      <c r="AP45" s="106">
        <v>0</v>
      </c>
      <c r="AQ45" s="122">
        <v>1296831</v>
      </c>
      <c r="AR45" s="106">
        <v>1351100</v>
      </c>
      <c r="AS45" s="106">
        <v>0</v>
      </c>
      <c r="AT45" s="122">
        <v>1351100</v>
      </c>
      <c r="AU45" s="104">
        <v>362</v>
      </c>
      <c r="AV45" s="104" t="s">
        <v>498</v>
      </c>
      <c r="AW45" s="106">
        <v>540727</v>
      </c>
      <c r="AX45" s="106">
        <v>79260</v>
      </c>
      <c r="AY45" s="122">
        <v>619987</v>
      </c>
    </row>
    <row r="46" spans="1:51">
      <c r="A46" s="115" t="s">
        <v>391</v>
      </c>
      <c r="B46" s="115">
        <v>277339</v>
      </c>
      <c r="C46" s="115">
        <v>9435</v>
      </c>
      <c r="D46" s="134">
        <f t="shared" si="1"/>
        <v>286774</v>
      </c>
      <c r="E46" s="115">
        <v>374542</v>
      </c>
      <c r="F46" s="115">
        <v>35498</v>
      </c>
      <c r="G46" s="134">
        <f t="shared" si="2"/>
        <v>410040</v>
      </c>
      <c r="H46" s="115">
        <v>410507</v>
      </c>
      <c r="I46" s="115">
        <v>27682</v>
      </c>
      <c r="J46" s="134">
        <f t="shared" si="3"/>
        <v>438189</v>
      </c>
      <c r="K46" s="115">
        <v>398742</v>
      </c>
      <c r="L46" s="115">
        <v>23034</v>
      </c>
      <c r="M46" s="134">
        <f t="shared" si="4"/>
        <v>421776</v>
      </c>
      <c r="N46" s="115">
        <v>489228</v>
      </c>
      <c r="O46" s="115">
        <v>0</v>
      </c>
      <c r="P46" s="134">
        <f t="shared" si="5"/>
        <v>489228</v>
      </c>
      <c r="Q46" s="115">
        <v>423918</v>
      </c>
      <c r="R46" s="115">
        <v>0</v>
      </c>
      <c r="S46" s="122">
        <v>423918</v>
      </c>
      <c r="T46" s="114">
        <v>602028</v>
      </c>
      <c r="U46" s="114">
        <v>15772</v>
      </c>
      <c r="V46" s="122">
        <v>617800</v>
      </c>
      <c r="W46" s="114">
        <v>370925</v>
      </c>
      <c r="X46" s="114">
        <v>0</v>
      </c>
      <c r="Y46" s="122">
        <v>370925</v>
      </c>
      <c r="Z46" s="113">
        <v>644603</v>
      </c>
      <c r="AA46" s="113">
        <v>0</v>
      </c>
      <c r="AB46" s="122">
        <v>644603</v>
      </c>
      <c r="AD46" s="112" t="s">
        <v>477</v>
      </c>
      <c r="AE46" s="112">
        <v>365612</v>
      </c>
      <c r="AF46" s="112">
        <v>3305</v>
      </c>
      <c r="AG46" s="122">
        <v>368917</v>
      </c>
      <c r="AH46" s="104" t="s">
        <v>502</v>
      </c>
      <c r="AI46" s="104">
        <v>2868089</v>
      </c>
      <c r="AJ46" s="104">
        <v>0</v>
      </c>
      <c r="AK46" s="122">
        <v>2868089</v>
      </c>
      <c r="AL46" s="106">
        <v>2513526</v>
      </c>
      <c r="AM46" s="106">
        <v>0</v>
      </c>
      <c r="AN46" s="122">
        <v>2513526</v>
      </c>
      <c r="AO46" s="106">
        <v>3527629</v>
      </c>
      <c r="AP46" s="106">
        <v>0</v>
      </c>
      <c r="AQ46" s="122">
        <v>3527629</v>
      </c>
      <c r="AR46" s="106">
        <v>2637103</v>
      </c>
      <c r="AS46" s="106">
        <v>0</v>
      </c>
      <c r="AT46" s="122">
        <v>2637103</v>
      </c>
      <c r="AU46" s="104">
        <v>363</v>
      </c>
      <c r="AV46" s="104" t="s">
        <v>499</v>
      </c>
      <c r="AW46" s="106">
        <v>1178301</v>
      </c>
      <c r="AX46" s="106">
        <v>58975</v>
      </c>
      <c r="AY46" s="122">
        <v>1237276</v>
      </c>
    </row>
    <row r="47" spans="1:51">
      <c r="A47" s="115" t="s">
        <v>208</v>
      </c>
      <c r="B47" s="115">
        <v>1395968</v>
      </c>
      <c r="C47" s="115">
        <v>11436</v>
      </c>
      <c r="D47" s="134">
        <f t="shared" si="1"/>
        <v>1407404</v>
      </c>
      <c r="E47" s="115">
        <v>1449792</v>
      </c>
      <c r="F47" s="115">
        <v>28541</v>
      </c>
      <c r="G47" s="134">
        <f t="shared" si="2"/>
        <v>1478333</v>
      </c>
      <c r="H47" s="115">
        <v>1994790</v>
      </c>
      <c r="I47" s="115">
        <v>0</v>
      </c>
      <c r="J47" s="134">
        <f t="shared" si="3"/>
        <v>1994790</v>
      </c>
      <c r="K47" s="115">
        <v>2539981</v>
      </c>
      <c r="L47" s="115">
        <v>0</v>
      </c>
      <c r="M47" s="134">
        <f t="shared" si="4"/>
        <v>2539981</v>
      </c>
      <c r="N47" s="115">
        <v>2157524</v>
      </c>
      <c r="O47" s="115">
        <v>0</v>
      </c>
      <c r="P47" s="134">
        <f t="shared" si="5"/>
        <v>2157524</v>
      </c>
      <c r="Q47" s="115">
        <v>2426853</v>
      </c>
      <c r="R47" s="115">
        <v>0</v>
      </c>
      <c r="S47" s="122">
        <v>2426853</v>
      </c>
      <c r="T47" s="114">
        <v>2489936</v>
      </c>
      <c r="U47" s="114">
        <v>0</v>
      </c>
      <c r="V47" s="122">
        <v>2489936</v>
      </c>
      <c r="W47" s="114">
        <v>2264841</v>
      </c>
      <c r="X47" s="114">
        <v>0</v>
      </c>
      <c r="Y47" s="122">
        <v>2264841</v>
      </c>
      <c r="Z47" s="113">
        <v>2573922</v>
      </c>
      <c r="AA47" s="113">
        <v>0</v>
      </c>
      <c r="AB47" s="122">
        <v>2573922</v>
      </c>
      <c r="AD47" s="112" t="s">
        <v>510</v>
      </c>
      <c r="AE47" s="112">
        <v>1203143</v>
      </c>
      <c r="AF47" s="112">
        <v>18742</v>
      </c>
      <c r="AG47" s="122">
        <v>1221885</v>
      </c>
      <c r="AH47" s="104" t="s">
        <v>503</v>
      </c>
      <c r="AI47" s="104">
        <v>642585</v>
      </c>
      <c r="AJ47" s="104">
        <v>0</v>
      </c>
      <c r="AK47" s="122">
        <v>642585</v>
      </c>
      <c r="AL47" s="106">
        <v>831459</v>
      </c>
      <c r="AM47" s="106">
        <v>0</v>
      </c>
      <c r="AN47" s="122">
        <v>831459</v>
      </c>
      <c r="AO47" s="106">
        <v>410945</v>
      </c>
      <c r="AP47" s="106">
        <v>0</v>
      </c>
      <c r="AQ47" s="122">
        <v>410945</v>
      </c>
      <c r="AR47" s="106">
        <v>495673</v>
      </c>
      <c r="AS47" s="106">
        <v>0</v>
      </c>
      <c r="AT47" s="122">
        <v>495673</v>
      </c>
      <c r="AU47" s="104">
        <v>364</v>
      </c>
      <c r="AV47" s="104" t="s">
        <v>500</v>
      </c>
      <c r="AW47" s="106">
        <v>433525</v>
      </c>
      <c r="AX47" s="106">
        <v>141580</v>
      </c>
      <c r="AY47" s="122">
        <v>575105</v>
      </c>
    </row>
    <row r="48" spans="1:51">
      <c r="A48" s="115" t="s">
        <v>209</v>
      </c>
      <c r="B48" s="115">
        <v>1132876</v>
      </c>
      <c r="C48" s="115">
        <v>37186</v>
      </c>
      <c r="D48" s="134">
        <f t="shared" si="1"/>
        <v>1170062</v>
      </c>
      <c r="E48" s="115">
        <v>1250011</v>
      </c>
      <c r="F48" s="115">
        <v>45697</v>
      </c>
      <c r="G48" s="134">
        <f t="shared" si="2"/>
        <v>1295708</v>
      </c>
      <c r="H48" s="115">
        <v>1280555</v>
      </c>
      <c r="I48" s="115">
        <v>8632</v>
      </c>
      <c r="J48" s="134">
        <f t="shared" si="3"/>
        <v>1289187</v>
      </c>
      <c r="K48" s="115">
        <v>1499815</v>
      </c>
      <c r="L48" s="115">
        <v>38011</v>
      </c>
      <c r="M48" s="134">
        <f t="shared" si="4"/>
        <v>1537826</v>
      </c>
      <c r="N48" s="115">
        <v>1860040</v>
      </c>
      <c r="O48" s="115">
        <v>74446</v>
      </c>
      <c r="P48" s="134">
        <f t="shared" si="5"/>
        <v>1934486</v>
      </c>
      <c r="Q48" s="115">
        <v>1680572</v>
      </c>
      <c r="R48" s="115">
        <v>3463</v>
      </c>
      <c r="S48" s="122">
        <v>1684035</v>
      </c>
      <c r="T48" s="114">
        <v>1455565</v>
      </c>
      <c r="U48" s="114">
        <v>6004</v>
      </c>
      <c r="V48" s="122">
        <v>1461569</v>
      </c>
      <c r="W48" s="114">
        <v>1520682</v>
      </c>
      <c r="X48" s="114">
        <v>0</v>
      </c>
      <c r="Y48" s="122">
        <v>1520682</v>
      </c>
      <c r="Z48" s="113">
        <v>1492406</v>
      </c>
      <c r="AA48" s="113">
        <v>87928</v>
      </c>
      <c r="AB48" s="122">
        <v>1580334</v>
      </c>
      <c r="AD48" s="112" t="s">
        <v>511</v>
      </c>
      <c r="AE48" s="112">
        <v>875726</v>
      </c>
      <c r="AF48" s="112">
        <v>0</v>
      </c>
      <c r="AG48" s="122">
        <v>875726</v>
      </c>
      <c r="AH48" s="104" t="s">
        <v>504</v>
      </c>
      <c r="AI48" s="104">
        <v>591121</v>
      </c>
      <c r="AJ48" s="104">
        <v>0</v>
      </c>
      <c r="AK48" s="122">
        <v>591121</v>
      </c>
      <c r="AL48" s="106">
        <v>851941</v>
      </c>
      <c r="AM48" s="106">
        <v>0</v>
      </c>
      <c r="AN48" s="122">
        <v>851941</v>
      </c>
      <c r="AO48" s="106">
        <v>674795</v>
      </c>
      <c r="AP48" s="106">
        <v>0</v>
      </c>
      <c r="AQ48" s="122">
        <v>674795</v>
      </c>
      <c r="AR48" s="106">
        <v>613782</v>
      </c>
      <c r="AS48" s="106">
        <v>0</v>
      </c>
      <c r="AT48" s="122">
        <v>613782</v>
      </c>
      <c r="AU48" s="104">
        <v>381</v>
      </c>
      <c r="AV48" s="104" t="s">
        <v>501</v>
      </c>
      <c r="AW48" s="106">
        <v>1323323</v>
      </c>
      <c r="AX48" s="106">
        <v>11193</v>
      </c>
      <c r="AY48" s="122">
        <v>1334516</v>
      </c>
    </row>
    <row r="49" spans="1:51">
      <c r="A49" s="115" t="s">
        <v>335</v>
      </c>
      <c r="B49" s="115">
        <v>992175</v>
      </c>
      <c r="C49" s="115">
        <v>56482</v>
      </c>
      <c r="D49" s="134">
        <f t="shared" si="1"/>
        <v>1048657</v>
      </c>
      <c r="E49" s="115">
        <v>749528</v>
      </c>
      <c r="F49" s="115">
        <v>29472</v>
      </c>
      <c r="G49" s="134">
        <f t="shared" si="2"/>
        <v>779000</v>
      </c>
      <c r="H49" s="115">
        <v>686797</v>
      </c>
      <c r="I49" s="115">
        <v>7624</v>
      </c>
      <c r="J49" s="134">
        <f t="shared" si="3"/>
        <v>694421</v>
      </c>
      <c r="K49" s="115">
        <v>531654</v>
      </c>
      <c r="L49" s="115">
        <v>128826</v>
      </c>
      <c r="M49" s="134">
        <f t="shared" si="4"/>
        <v>660480</v>
      </c>
      <c r="N49" s="115">
        <v>592775</v>
      </c>
      <c r="O49" s="115">
        <v>92206</v>
      </c>
      <c r="P49" s="134">
        <f t="shared" si="5"/>
        <v>684981</v>
      </c>
      <c r="Q49" s="115">
        <v>632074</v>
      </c>
      <c r="R49" s="115">
        <v>35941</v>
      </c>
      <c r="S49" s="122">
        <v>668015</v>
      </c>
      <c r="T49" s="114">
        <v>891034</v>
      </c>
      <c r="U49" s="114">
        <v>0</v>
      </c>
      <c r="V49" s="122">
        <v>891034</v>
      </c>
      <c r="W49" s="114">
        <v>717225</v>
      </c>
      <c r="X49" s="114">
        <v>15092</v>
      </c>
      <c r="Y49" s="122">
        <v>732317</v>
      </c>
      <c r="Z49" s="113">
        <v>641178</v>
      </c>
      <c r="AA49" s="113">
        <v>55206</v>
      </c>
      <c r="AB49" s="122">
        <v>696384</v>
      </c>
      <c r="AD49" s="112" t="s">
        <v>512</v>
      </c>
      <c r="AE49" s="112">
        <v>830449</v>
      </c>
      <c r="AF49" s="112">
        <v>0</v>
      </c>
      <c r="AG49" s="122">
        <v>830449</v>
      </c>
      <c r="AH49" s="104" t="s">
        <v>505</v>
      </c>
      <c r="AI49" s="104">
        <v>395797</v>
      </c>
      <c r="AJ49" s="104">
        <v>0</v>
      </c>
      <c r="AK49" s="122">
        <v>395797</v>
      </c>
      <c r="AL49" s="106">
        <v>390335</v>
      </c>
      <c r="AM49" s="106">
        <v>0</v>
      </c>
      <c r="AN49" s="122">
        <v>390335</v>
      </c>
      <c r="AO49" s="106">
        <v>428692</v>
      </c>
      <c r="AP49" s="106">
        <v>0</v>
      </c>
      <c r="AQ49" s="122">
        <v>428692</v>
      </c>
      <c r="AR49" s="106">
        <v>531116</v>
      </c>
      <c r="AS49" s="106">
        <v>0</v>
      </c>
      <c r="AT49" s="122">
        <v>531116</v>
      </c>
      <c r="AU49" s="104">
        <v>382</v>
      </c>
      <c r="AV49" s="104" t="s">
        <v>502</v>
      </c>
      <c r="AW49" s="106">
        <v>1886394</v>
      </c>
      <c r="AX49" s="106">
        <v>0</v>
      </c>
      <c r="AY49" s="122">
        <v>1886394</v>
      </c>
    </row>
    <row r="50" spans="1:51">
      <c r="A50" s="115" t="s">
        <v>392</v>
      </c>
      <c r="B50" s="115">
        <v>342725</v>
      </c>
      <c r="C50" s="115">
        <v>127393</v>
      </c>
      <c r="D50" s="134">
        <f t="shared" si="1"/>
        <v>470118</v>
      </c>
      <c r="E50" s="115">
        <v>484805</v>
      </c>
      <c r="F50" s="115">
        <v>182485</v>
      </c>
      <c r="G50" s="134">
        <f t="shared" si="2"/>
        <v>667290</v>
      </c>
      <c r="H50" s="115">
        <v>420455</v>
      </c>
      <c r="I50" s="115">
        <v>23165</v>
      </c>
      <c r="J50" s="134">
        <f t="shared" si="3"/>
        <v>443620</v>
      </c>
      <c r="K50" s="115">
        <v>505921</v>
      </c>
      <c r="L50" s="115">
        <v>70487</v>
      </c>
      <c r="M50" s="134">
        <f t="shared" si="4"/>
        <v>576408</v>
      </c>
      <c r="N50" s="115">
        <v>400967</v>
      </c>
      <c r="O50" s="115">
        <v>38510</v>
      </c>
      <c r="P50" s="134">
        <f t="shared" si="5"/>
        <v>439477</v>
      </c>
      <c r="Q50" s="115">
        <v>480182</v>
      </c>
      <c r="R50" s="115">
        <v>21757</v>
      </c>
      <c r="S50" s="122">
        <v>501939</v>
      </c>
      <c r="T50" s="114">
        <v>786081</v>
      </c>
      <c r="U50" s="114">
        <v>0</v>
      </c>
      <c r="V50" s="122">
        <v>786081</v>
      </c>
      <c r="W50" s="114">
        <v>789850</v>
      </c>
      <c r="X50" s="114">
        <v>24380</v>
      </c>
      <c r="Y50" s="122">
        <v>814230</v>
      </c>
      <c r="Z50" s="113">
        <v>672929</v>
      </c>
      <c r="AA50" s="113">
        <v>128773</v>
      </c>
      <c r="AB50" s="122">
        <v>801702</v>
      </c>
      <c r="AD50" s="112" t="s">
        <v>513</v>
      </c>
      <c r="AE50" s="112">
        <v>2493994</v>
      </c>
      <c r="AF50" s="112">
        <v>8301</v>
      </c>
      <c r="AG50" s="122">
        <v>2502295</v>
      </c>
      <c r="AH50" s="104" t="s">
        <v>506</v>
      </c>
      <c r="AI50" s="104">
        <v>812546</v>
      </c>
      <c r="AJ50" s="104">
        <v>7675</v>
      </c>
      <c r="AK50" s="122">
        <v>820221</v>
      </c>
      <c r="AL50" s="106">
        <v>560369</v>
      </c>
      <c r="AM50" s="106">
        <v>0</v>
      </c>
      <c r="AN50" s="122">
        <v>560369</v>
      </c>
      <c r="AO50" s="106">
        <v>627367</v>
      </c>
      <c r="AP50" s="106">
        <v>1601</v>
      </c>
      <c r="AQ50" s="122">
        <v>628968</v>
      </c>
      <c r="AR50" s="106">
        <v>453530</v>
      </c>
      <c r="AS50" s="106">
        <v>0</v>
      </c>
      <c r="AT50" s="122">
        <v>453530</v>
      </c>
      <c r="AU50" s="104">
        <v>421</v>
      </c>
      <c r="AV50" s="104" t="s">
        <v>503</v>
      </c>
      <c r="AW50" s="106">
        <v>514829</v>
      </c>
      <c r="AX50" s="106">
        <v>159571</v>
      </c>
      <c r="AY50" s="122">
        <v>674400</v>
      </c>
    </row>
    <row r="51" spans="1:51">
      <c r="A51" s="115" t="s">
        <v>393</v>
      </c>
      <c r="B51" s="115">
        <v>184946</v>
      </c>
      <c r="C51" s="115">
        <v>3536</v>
      </c>
      <c r="D51" s="134">
        <f t="shared" si="1"/>
        <v>188482</v>
      </c>
      <c r="E51" s="115">
        <v>303427</v>
      </c>
      <c r="F51" s="115">
        <v>160</v>
      </c>
      <c r="G51" s="134">
        <f t="shared" si="2"/>
        <v>303587</v>
      </c>
      <c r="H51" s="115">
        <v>217641</v>
      </c>
      <c r="I51" s="115">
        <v>1923</v>
      </c>
      <c r="J51" s="134">
        <f t="shared" si="3"/>
        <v>219564</v>
      </c>
      <c r="K51" s="115">
        <v>166760</v>
      </c>
      <c r="L51" s="115">
        <v>42105</v>
      </c>
      <c r="M51" s="134">
        <f t="shared" si="4"/>
        <v>208865</v>
      </c>
      <c r="N51" s="115">
        <v>221879</v>
      </c>
      <c r="O51" s="115">
        <v>0</v>
      </c>
      <c r="P51" s="134">
        <f t="shared" si="5"/>
        <v>221879</v>
      </c>
      <c r="Q51" s="115">
        <v>232805</v>
      </c>
      <c r="R51" s="115">
        <v>353</v>
      </c>
      <c r="S51" s="122">
        <v>233158</v>
      </c>
      <c r="T51" s="114">
        <v>408180</v>
      </c>
      <c r="U51" s="114">
        <v>0</v>
      </c>
      <c r="V51" s="122">
        <v>408180</v>
      </c>
      <c r="W51" s="114">
        <v>488758</v>
      </c>
      <c r="X51" s="114">
        <v>757</v>
      </c>
      <c r="Y51" s="122">
        <v>489515</v>
      </c>
      <c r="Z51" s="113">
        <v>214219</v>
      </c>
      <c r="AA51" s="113">
        <v>25892</v>
      </c>
      <c r="AB51" s="122">
        <v>240111</v>
      </c>
      <c r="AD51" s="112" t="s">
        <v>514</v>
      </c>
      <c r="AE51" s="112">
        <v>1909373</v>
      </c>
      <c r="AF51" s="112">
        <v>232052</v>
      </c>
      <c r="AG51" s="122">
        <v>2141425</v>
      </c>
      <c r="AH51" s="104" t="s">
        <v>507</v>
      </c>
      <c r="AI51" s="104">
        <v>907491</v>
      </c>
      <c r="AJ51" s="104">
        <v>0</v>
      </c>
      <c r="AK51" s="122">
        <v>907491</v>
      </c>
      <c r="AL51" s="106">
        <v>947037</v>
      </c>
      <c r="AM51" s="106">
        <v>0</v>
      </c>
      <c r="AN51" s="122">
        <v>947037</v>
      </c>
      <c r="AO51" s="106">
        <v>1317616</v>
      </c>
      <c r="AP51" s="106">
        <v>0</v>
      </c>
      <c r="AQ51" s="122">
        <v>1317616</v>
      </c>
      <c r="AR51" s="106">
        <v>1044233</v>
      </c>
      <c r="AS51" s="106">
        <v>0</v>
      </c>
      <c r="AT51" s="122">
        <v>1044233</v>
      </c>
      <c r="AU51" s="104">
        <v>422</v>
      </c>
      <c r="AV51" s="104" t="s">
        <v>504</v>
      </c>
      <c r="AW51" s="106">
        <v>1021038</v>
      </c>
      <c r="AX51" s="106">
        <v>36213</v>
      </c>
      <c r="AY51" s="122">
        <v>1057251</v>
      </c>
    </row>
    <row r="52" spans="1:51">
      <c r="A52" s="115" t="s">
        <v>394</v>
      </c>
      <c r="B52" s="115">
        <v>411336</v>
      </c>
      <c r="C52" s="115">
        <v>18095</v>
      </c>
      <c r="D52" s="134">
        <f t="shared" si="1"/>
        <v>429431</v>
      </c>
      <c r="E52" s="115">
        <v>392075</v>
      </c>
      <c r="F52" s="115">
        <v>0</v>
      </c>
      <c r="G52" s="134">
        <f t="shared" si="2"/>
        <v>392075</v>
      </c>
      <c r="H52" s="115">
        <v>444729</v>
      </c>
      <c r="I52" s="115">
        <v>22473</v>
      </c>
      <c r="J52" s="134">
        <f t="shared" si="3"/>
        <v>467202</v>
      </c>
      <c r="K52" s="115">
        <v>363883</v>
      </c>
      <c r="L52" s="115">
        <v>31491</v>
      </c>
      <c r="M52" s="134">
        <f t="shared" si="4"/>
        <v>395374</v>
      </c>
      <c r="N52" s="115">
        <v>360478</v>
      </c>
      <c r="O52" s="115">
        <v>5423</v>
      </c>
      <c r="P52" s="134">
        <f t="shared" si="5"/>
        <v>365901</v>
      </c>
      <c r="Q52" s="115">
        <v>686762</v>
      </c>
      <c r="R52" s="115">
        <v>20189</v>
      </c>
      <c r="S52" s="122">
        <v>706951</v>
      </c>
      <c r="T52" s="114">
        <v>379776</v>
      </c>
      <c r="U52" s="114">
        <v>0</v>
      </c>
      <c r="V52" s="122">
        <v>379776</v>
      </c>
      <c r="W52" s="114">
        <v>397904</v>
      </c>
      <c r="X52" s="114">
        <v>4926</v>
      </c>
      <c r="Y52" s="122">
        <v>402830</v>
      </c>
      <c r="Z52" s="113">
        <v>425343</v>
      </c>
      <c r="AA52" s="113">
        <v>6983</v>
      </c>
      <c r="AB52" s="122">
        <v>432326</v>
      </c>
      <c r="AD52" s="112" t="s">
        <v>515</v>
      </c>
      <c r="AE52" s="112">
        <v>626039</v>
      </c>
      <c r="AF52" s="112">
        <v>400569</v>
      </c>
      <c r="AG52" s="122">
        <v>1026608</v>
      </c>
      <c r="AH52" s="104" t="s">
        <v>508</v>
      </c>
      <c r="AI52" s="104">
        <v>704822</v>
      </c>
      <c r="AJ52" s="104">
        <v>0</v>
      </c>
      <c r="AK52" s="122">
        <v>704822</v>
      </c>
      <c r="AL52" s="106">
        <v>702585</v>
      </c>
      <c r="AM52" s="106">
        <v>0</v>
      </c>
      <c r="AN52" s="122">
        <v>702585</v>
      </c>
      <c r="AO52" s="106">
        <v>672428</v>
      </c>
      <c r="AP52" s="106">
        <v>0</v>
      </c>
      <c r="AQ52" s="122">
        <v>672428</v>
      </c>
      <c r="AR52" s="106">
        <v>671262</v>
      </c>
      <c r="AS52" s="106">
        <v>0</v>
      </c>
      <c r="AT52" s="122">
        <v>671262</v>
      </c>
      <c r="AU52" s="104">
        <v>441</v>
      </c>
      <c r="AV52" s="104" t="s">
        <v>505</v>
      </c>
      <c r="AW52" s="106">
        <v>422731</v>
      </c>
      <c r="AX52" s="106">
        <v>48372</v>
      </c>
      <c r="AY52" s="122">
        <v>471103</v>
      </c>
    </row>
    <row r="53" spans="1:51">
      <c r="A53" s="115" t="s">
        <v>395</v>
      </c>
      <c r="B53" s="115">
        <v>844628</v>
      </c>
      <c r="C53" s="115">
        <v>335524</v>
      </c>
      <c r="D53" s="134">
        <f t="shared" si="1"/>
        <v>1180152</v>
      </c>
      <c r="E53" s="115">
        <v>1009924</v>
      </c>
      <c r="F53" s="115">
        <v>253703</v>
      </c>
      <c r="G53" s="134">
        <f t="shared" si="2"/>
        <v>1263627</v>
      </c>
      <c r="H53" s="115">
        <v>1268667</v>
      </c>
      <c r="I53" s="115">
        <v>59111</v>
      </c>
      <c r="J53" s="134">
        <f t="shared" si="3"/>
        <v>1327778</v>
      </c>
      <c r="K53" s="115">
        <v>1268068</v>
      </c>
      <c r="L53" s="115">
        <v>145047</v>
      </c>
      <c r="M53" s="134">
        <f t="shared" si="4"/>
        <v>1413115</v>
      </c>
      <c r="N53" s="115">
        <v>1355719</v>
      </c>
      <c r="O53" s="115">
        <v>11855</v>
      </c>
      <c r="P53" s="134">
        <f t="shared" si="5"/>
        <v>1367574</v>
      </c>
      <c r="Q53" s="115">
        <v>1444956</v>
      </c>
      <c r="R53" s="115">
        <v>10574</v>
      </c>
      <c r="S53" s="122">
        <v>1455530</v>
      </c>
      <c r="T53" s="114">
        <v>1490895</v>
      </c>
      <c r="U53" s="114">
        <v>0</v>
      </c>
      <c r="V53" s="122">
        <v>1490895</v>
      </c>
      <c r="W53" s="114">
        <v>1153092</v>
      </c>
      <c r="X53" s="114">
        <v>24435</v>
      </c>
      <c r="Y53" s="122">
        <v>1177527</v>
      </c>
      <c r="Z53" s="113">
        <v>2569867</v>
      </c>
      <c r="AA53" s="113">
        <v>101187</v>
      </c>
      <c r="AB53" s="122">
        <v>2671054</v>
      </c>
      <c r="AD53" s="112" t="s">
        <v>516</v>
      </c>
      <c r="AE53" s="112">
        <v>423833</v>
      </c>
      <c r="AF53" s="112">
        <v>382774</v>
      </c>
      <c r="AG53" s="122">
        <v>806607</v>
      </c>
      <c r="AH53" s="104" t="s">
        <v>509</v>
      </c>
      <c r="AI53" s="104">
        <v>441618</v>
      </c>
      <c r="AJ53" s="104">
        <v>0</v>
      </c>
      <c r="AK53" s="122">
        <v>441618</v>
      </c>
      <c r="AL53" s="106">
        <v>949345</v>
      </c>
      <c r="AM53" s="106">
        <v>0</v>
      </c>
      <c r="AN53" s="122">
        <v>949345</v>
      </c>
      <c r="AO53" s="106">
        <v>558783</v>
      </c>
      <c r="AP53" s="106">
        <v>0</v>
      </c>
      <c r="AQ53" s="122">
        <v>558783</v>
      </c>
      <c r="AR53" s="106">
        <v>288764</v>
      </c>
      <c r="AS53" s="106">
        <v>0</v>
      </c>
      <c r="AT53" s="122">
        <v>288764</v>
      </c>
      <c r="AU53" s="104">
        <v>442</v>
      </c>
      <c r="AV53" s="104" t="s">
        <v>506</v>
      </c>
      <c r="AW53" s="106">
        <v>119293</v>
      </c>
      <c r="AX53" s="106">
        <v>124989</v>
      </c>
      <c r="AY53" s="122">
        <v>244282</v>
      </c>
    </row>
    <row r="54" spans="1:51">
      <c r="A54" s="115" t="s">
        <v>396</v>
      </c>
      <c r="B54" s="115">
        <v>241734</v>
      </c>
      <c r="C54" s="115">
        <v>95984</v>
      </c>
      <c r="D54" s="134">
        <f t="shared" si="1"/>
        <v>337718</v>
      </c>
      <c r="E54" s="115">
        <v>325681</v>
      </c>
      <c r="F54" s="115">
        <v>20755</v>
      </c>
      <c r="G54" s="134">
        <f t="shared" si="2"/>
        <v>346436</v>
      </c>
      <c r="H54" s="115">
        <v>281838</v>
      </c>
      <c r="I54" s="115">
        <v>9898</v>
      </c>
      <c r="J54" s="134">
        <f t="shared" si="3"/>
        <v>291736</v>
      </c>
      <c r="K54" s="115">
        <v>275839</v>
      </c>
      <c r="L54" s="115">
        <v>0</v>
      </c>
      <c r="M54" s="134">
        <f t="shared" si="4"/>
        <v>275839</v>
      </c>
      <c r="N54" s="115">
        <v>141675</v>
      </c>
      <c r="O54" s="115">
        <v>0</v>
      </c>
      <c r="P54" s="134">
        <f t="shared" si="5"/>
        <v>141675</v>
      </c>
      <c r="Q54" s="115">
        <v>202023</v>
      </c>
      <c r="R54" s="115">
        <v>22202</v>
      </c>
      <c r="S54" s="122">
        <v>224225</v>
      </c>
      <c r="T54" s="114">
        <v>156013</v>
      </c>
      <c r="U54" s="114">
        <v>0</v>
      </c>
      <c r="V54" s="122">
        <v>156013</v>
      </c>
      <c r="W54" s="114">
        <v>287932</v>
      </c>
      <c r="X54" s="114">
        <v>101036</v>
      </c>
      <c r="Y54" s="122">
        <v>388968</v>
      </c>
      <c r="Z54" s="113">
        <v>281629</v>
      </c>
      <c r="AA54" s="113">
        <v>40795</v>
      </c>
      <c r="AB54" s="122">
        <v>322424</v>
      </c>
      <c r="AD54" s="112" t="s">
        <v>517</v>
      </c>
      <c r="AE54" s="112">
        <v>280946</v>
      </c>
      <c r="AF54" s="112">
        <v>4172</v>
      </c>
      <c r="AG54" s="122">
        <v>285118</v>
      </c>
      <c r="AH54" s="104" t="s">
        <v>510</v>
      </c>
      <c r="AI54" s="104">
        <v>1598802</v>
      </c>
      <c r="AJ54" s="104">
        <v>15074</v>
      </c>
      <c r="AK54" s="122">
        <v>1613876</v>
      </c>
      <c r="AL54" s="106">
        <v>1206115</v>
      </c>
      <c r="AM54" s="106">
        <v>0</v>
      </c>
      <c r="AN54" s="122">
        <v>1206115</v>
      </c>
      <c r="AO54" s="106">
        <v>1342603</v>
      </c>
      <c r="AP54" s="106">
        <v>0</v>
      </c>
      <c r="AQ54" s="122">
        <v>1342603</v>
      </c>
      <c r="AR54" s="106">
        <v>1133284</v>
      </c>
      <c r="AS54" s="106">
        <v>0</v>
      </c>
      <c r="AT54" s="122">
        <v>1133284</v>
      </c>
      <c r="AU54" s="104">
        <v>443</v>
      </c>
      <c r="AV54" s="104" t="s">
        <v>507</v>
      </c>
      <c r="AW54" s="106">
        <v>976745</v>
      </c>
      <c r="AX54" s="106">
        <v>16508</v>
      </c>
      <c r="AY54" s="122">
        <v>993253</v>
      </c>
    </row>
    <row r="55" spans="1:51">
      <c r="A55" s="115" t="s">
        <v>397</v>
      </c>
      <c r="B55" s="115">
        <v>418406</v>
      </c>
      <c r="C55" s="115">
        <v>326028</v>
      </c>
      <c r="D55" s="134">
        <f t="shared" si="1"/>
        <v>744434</v>
      </c>
      <c r="E55" s="115">
        <v>465210</v>
      </c>
      <c r="F55" s="115">
        <v>381543</v>
      </c>
      <c r="G55" s="134">
        <f t="shared" si="2"/>
        <v>846753</v>
      </c>
      <c r="H55" s="115">
        <v>563896</v>
      </c>
      <c r="I55" s="115">
        <v>79022</v>
      </c>
      <c r="J55" s="134">
        <f t="shared" si="3"/>
        <v>642918</v>
      </c>
      <c r="K55" s="115">
        <v>396937</v>
      </c>
      <c r="L55" s="115">
        <v>30490</v>
      </c>
      <c r="M55" s="134">
        <f t="shared" si="4"/>
        <v>427427</v>
      </c>
      <c r="N55" s="115">
        <v>438456</v>
      </c>
      <c r="O55" s="115">
        <v>13442</v>
      </c>
      <c r="P55" s="134">
        <f t="shared" si="5"/>
        <v>451898</v>
      </c>
      <c r="Q55" s="115">
        <v>551106</v>
      </c>
      <c r="R55" s="115">
        <v>15395</v>
      </c>
      <c r="S55" s="122">
        <v>566501</v>
      </c>
      <c r="T55" s="114">
        <v>444544</v>
      </c>
      <c r="U55" s="114">
        <v>9066</v>
      </c>
      <c r="V55" s="122">
        <v>453610</v>
      </c>
      <c r="W55" s="114">
        <v>429785</v>
      </c>
      <c r="X55" s="114">
        <v>11156</v>
      </c>
      <c r="Y55" s="122">
        <v>440941</v>
      </c>
      <c r="Z55" s="113">
        <v>598658</v>
      </c>
      <c r="AA55" s="113">
        <v>9249</v>
      </c>
      <c r="AB55" s="122">
        <v>607907</v>
      </c>
      <c r="AD55" s="112" t="s">
        <v>518</v>
      </c>
      <c r="AE55" s="112">
        <v>548503</v>
      </c>
      <c r="AF55" s="112">
        <v>0</v>
      </c>
      <c r="AG55" s="122">
        <v>548503</v>
      </c>
      <c r="AH55" s="104" t="s">
        <v>511</v>
      </c>
      <c r="AI55" s="104">
        <v>685174</v>
      </c>
      <c r="AJ55" s="104">
        <v>0</v>
      </c>
      <c r="AK55" s="122">
        <v>685174</v>
      </c>
      <c r="AL55" s="106">
        <v>824650</v>
      </c>
      <c r="AM55" s="106">
        <v>3444</v>
      </c>
      <c r="AN55" s="122">
        <v>828094</v>
      </c>
      <c r="AO55" s="106">
        <v>904381</v>
      </c>
      <c r="AP55" s="106">
        <v>0</v>
      </c>
      <c r="AQ55" s="122">
        <v>904381</v>
      </c>
      <c r="AR55" s="106">
        <v>1134150</v>
      </c>
      <c r="AS55" s="106">
        <v>0</v>
      </c>
      <c r="AT55" s="122">
        <v>1134150</v>
      </c>
      <c r="AU55" s="104">
        <v>444</v>
      </c>
      <c r="AV55" s="104" t="s">
        <v>508</v>
      </c>
      <c r="AW55" s="106">
        <v>724834</v>
      </c>
      <c r="AX55" s="106">
        <v>22739</v>
      </c>
      <c r="AY55" s="122">
        <v>747573</v>
      </c>
    </row>
    <row r="56" spans="1:51">
      <c r="A56" s="115" t="s">
        <v>398</v>
      </c>
      <c r="B56" s="115">
        <v>287014</v>
      </c>
      <c r="C56" s="115">
        <v>61319</v>
      </c>
      <c r="D56" s="134">
        <f t="shared" si="1"/>
        <v>348333</v>
      </c>
      <c r="E56" s="115">
        <v>267891</v>
      </c>
      <c r="F56" s="115">
        <v>96</v>
      </c>
      <c r="G56" s="134">
        <f t="shared" si="2"/>
        <v>267987</v>
      </c>
      <c r="H56" s="115">
        <v>349160</v>
      </c>
      <c r="I56" s="115">
        <v>17921</v>
      </c>
      <c r="J56" s="134">
        <f t="shared" si="3"/>
        <v>367081</v>
      </c>
      <c r="K56" s="115">
        <v>488830</v>
      </c>
      <c r="L56" s="115">
        <v>22453</v>
      </c>
      <c r="M56" s="134">
        <f t="shared" si="4"/>
        <v>511283</v>
      </c>
      <c r="N56" s="115">
        <v>663516</v>
      </c>
      <c r="O56" s="115">
        <v>30</v>
      </c>
      <c r="P56" s="134">
        <f t="shared" si="5"/>
        <v>663546</v>
      </c>
      <c r="Q56" s="115">
        <v>643778</v>
      </c>
      <c r="R56" s="115">
        <v>2185</v>
      </c>
      <c r="S56" s="122">
        <v>645963</v>
      </c>
      <c r="T56" s="114">
        <v>662766</v>
      </c>
      <c r="U56" s="114">
        <v>2408</v>
      </c>
      <c r="V56" s="122">
        <v>665174</v>
      </c>
      <c r="W56" s="114">
        <v>485353</v>
      </c>
      <c r="X56" s="114">
        <v>16532</v>
      </c>
      <c r="Y56" s="122">
        <v>501885</v>
      </c>
      <c r="Z56" s="113">
        <v>359402</v>
      </c>
      <c r="AA56" s="113">
        <v>68742</v>
      </c>
      <c r="AB56" s="122">
        <v>428144</v>
      </c>
      <c r="AD56" s="112" t="s">
        <v>519</v>
      </c>
      <c r="AE56" s="112">
        <v>1901448</v>
      </c>
      <c r="AF56" s="112">
        <v>22124</v>
      </c>
      <c r="AG56" s="122">
        <v>1923572</v>
      </c>
      <c r="AH56" s="104" t="s">
        <v>512</v>
      </c>
      <c r="AI56" s="104">
        <v>744801</v>
      </c>
      <c r="AJ56" s="104">
        <v>0</v>
      </c>
      <c r="AK56" s="122">
        <v>744801</v>
      </c>
      <c r="AL56" s="106">
        <v>950891</v>
      </c>
      <c r="AM56" s="106">
        <v>0</v>
      </c>
      <c r="AN56" s="122">
        <v>950891</v>
      </c>
      <c r="AO56" s="106">
        <v>1048414</v>
      </c>
      <c r="AP56" s="106">
        <v>0</v>
      </c>
      <c r="AQ56" s="122">
        <v>1048414</v>
      </c>
      <c r="AR56" s="106">
        <v>750704</v>
      </c>
      <c r="AS56" s="106">
        <v>0</v>
      </c>
      <c r="AT56" s="122">
        <v>750704</v>
      </c>
      <c r="AU56" s="104">
        <v>445</v>
      </c>
      <c r="AV56" s="104" t="s">
        <v>509</v>
      </c>
      <c r="AW56" s="106">
        <v>298635</v>
      </c>
      <c r="AX56" s="106">
        <v>62972</v>
      </c>
      <c r="AY56" s="122">
        <v>361607</v>
      </c>
    </row>
    <row r="57" spans="1:51">
      <c r="A57" s="115" t="s">
        <v>399</v>
      </c>
      <c r="B57" s="115">
        <v>163530</v>
      </c>
      <c r="C57" s="115">
        <v>37206</v>
      </c>
      <c r="D57" s="134">
        <f t="shared" si="1"/>
        <v>200736</v>
      </c>
      <c r="E57" s="115">
        <v>268397</v>
      </c>
      <c r="F57" s="115">
        <v>0</v>
      </c>
      <c r="G57" s="134">
        <f t="shared" si="2"/>
        <v>268397</v>
      </c>
      <c r="H57" s="115">
        <v>296434</v>
      </c>
      <c r="I57" s="115">
        <v>59456</v>
      </c>
      <c r="J57" s="134">
        <f t="shared" si="3"/>
        <v>355890</v>
      </c>
      <c r="K57" s="115">
        <v>280664</v>
      </c>
      <c r="L57" s="115">
        <v>34940</v>
      </c>
      <c r="M57" s="134">
        <f t="shared" si="4"/>
        <v>315604</v>
      </c>
      <c r="N57" s="115">
        <v>389281</v>
      </c>
      <c r="O57" s="115">
        <v>21267</v>
      </c>
      <c r="P57" s="134">
        <f t="shared" si="5"/>
        <v>410548</v>
      </c>
      <c r="Q57" s="115">
        <v>539048</v>
      </c>
      <c r="R57" s="115">
        <v>21548</v>
      </c>
      <c r="S57" s="122">
        <v>560596</v>
      </c>
      <c r="T57" s="114">
        <v>514592</v>
      </c>
      <c r="U57" s="114">
        <v>3939</v>
      </c>
      <c r="V57" s="122">
        <v>518531</v>
      </c>
      <c r="W57" s="114">
        <v>322236</v>
      </c>
      <c r="X57" s="114">
        <v>22950</v>
      </c>
      <c r="Y57" s="122">
        <v>345186</v>
      </c>
      <c r="Z57" s="113">
        <v>455204</v>
      </c>
      <c r="AA57" s="113">
        <v>86226</v>
      </c>
      <c r="AB57" s="122">
        <v>541430</v>
      </c>
      <c r="AD57" s="112" t="s">
        <v>520</v>
      </c>
      <c r="AE57" s="112">
        <v>592325</v>
      </c>
      <c r="AF57" s="112">
        <v>0</v>
      </c>
      <c r="AG57" s="122">
        <v>592325</v>
      </c>
      <c r="AH57" s="104" t="s">
        <v>513</v>
      </c>
      <c r="AI57" s="104">
        <v>2160916</v>
      </c>
      <c r="AJ57" s="104">
        <v>0</v>
      </c>
      <c r="AK57" s="122">
        <v>2160916</v>
      </c>
      <c r="AL57" s="106">
        <v>1543344</v>
      </c>
      <c r="AM57" s="106">
        <v>0</v>
      </c>
      <c r="AN57" s="122">
        <v>1543344</v>
      </c>
      <c r="AO57" s="106">
        <v>1491375</v>
      </c>
      <c r="AP57" s="106">
        <v>0</v>
      </c>
      <c r="AQ57" s="122">
        <v>1491375</v>
      </c>
      <c r="AR57" s="106">
        <v>1346419</v>
      </c>
      <c r="AS57" s="106">
        <v>0</v>
      </c>
      <c r="AT57" s="122">
        <v>1346419</v>
      </c>
      <c r="AU57" s="104">
        <v>461</v>
      </c>
      <c r="AV57" s="104" t="s">
        <v>510</v>
      </c>
      <c r="AW57" s="106">
        <v>999756</v>
      </c>
      <c r="AX57" s="106">
        <v>172914</v>
      </c>
      <c r="AY57" s="122">
        <v>1172670</v>
      </c>
    </row>
    <row r="58" spans="1:51">
      <c r="A58" s="115" t="s">
        <v>210</v>
      </c>
      <c r="B58" s="115">
        <f t="shared" ref="B58:N58" si="9">SUM(B59:B77)</f>
        <v>12268610</v>
      </c>
      <c r="C58" s="115">
        <f t="shared" si="9"/>
        <v>3339084</v>
      </c>
      <c r="D58" s="134">
        <f t="shared" si="1"/>
        <v>15607694</v>
      </c>
      <c r="E58" s="115">
        <f t="shared" si="9"/>
        <v>14693072</v>
      </c>
      <c r="F58" s="115">
        <f t="shared" si="9"/>
        <v>6445408</v>
      </c>
      <c r="G58" s="134">
        <f t="shared" si="2"/>
        <v>21138480</v>
      </c>
      <c r="H58" s="115">
        <f t="shared" si="9"/>
        <v>17523900</v>
      </c>
      <c r="I58" s="115">
        <f t="shared" si="9"/>
        <v>2963809</v>
      </c>
      <c r="J58" s="134">
        <f t="shared" si="3"/>
        <v>20487709</v>
      </c>
      <c r="K58" s="115">
        <f t="shared" si="9"/>
        <v>15947485</v>
      </c>
      <c r="L58" s="115">
        <f t="shared" si="9"/>
        <v>791635</v>
      </c>
      <c r="M58" s="134">
        <f t="shared" si="4"/>
        <v>16739120</v>
      </c>
      <c r="N58" s="115">
        <f t="shared" si="9"/>
        <v>18326020</v>
      </c>
      <c r="O58" s="115">
        <f>SUM(O59:O77)</f>
        <v>450570</v>
      </c>
      <c r="P58" s="134">
        <f t="shared" si="5"/>
        <v>18776590</v>
      </c>
      <c r="Q58" s="115">
        <v>19864452</v>
      </c>
      <c r="R58" s="115">
        <v>471232</v>
      </c>
      <c r="S58" s="122">
        <v>20335684</v>
      </c>
      <c r="T58" s="114">
        <v>17991997</v>
      </c>
      <c r="U58" s="114">
        <v>144091</v>
      </c>
      <c r="V58" s="122">
        <v>18136088</v>
      </c>
      <c r="W58" s="114">
        <v>20264023</v>
      </c>
      <c r="X58" s="114">
        <v>169667</v>
      </c>
      <c r="Y58" s="122">
        <v>20433690</v>
      </c>
      <c r="Z58" s="113">
        <v>18808569</v>
      </c>
      <c r="AA58" s="113">
        <v>889148</v>
      </c>
      <c r="AB58" s="122">
        <v>19697717</v>
      </c>
      <c r="AD58" s="112" t="s">
        <v>565</v>
      </c>
      <c r="AE58" s="112">
        <v>870150</v>
      </c>
      <c r="AF58" s="112">
        <v>25149</v>
      </c>
      <c r="AG58" s="122">
        <v>895299</v>
      </c>
      <c r="AH58" s="104" t="s">
        <v>514</v>
      </c>
      <c r="AI58" s="104">
        <v>2003861</v>
      </c>
      <c r="AJ58" s="104">
        <v>98654</v>
      </c>
      <c r="AK58" s="122">
        <v>2102515</v>
      </c>
      <c r="AL58" s="106">
        <v>2563332</v>
      </c>
      <c r="AM58" s="106">
        <v>0</v>
      </c>
      <c r="AN58" s="122">
        <v>2563332</v>
      </c>
      <c r="AO58" s="106">
        <v>1479840</v>
      </c>
      <c r="AP58" s="106">
        <v>0</v>
      </c>
      <c r="AQ58" s="122">
        <v>1479840</v>
      </c>
      <c r="AR58" s="106">
        <v>1544242</v>
      </c>
      <c r="AS58" s="106">
        <v>19936</v>
      </c>
      <c r="AT58" s="122">
        <v>1564178</v>
      </c>
      <c r="AU58" s="104">
        <v>462</v>
      </c>
      <c r="AV58" s="104" t="s">
        <v>511</v>
      </c>
      <c r="AW58" s="106">
        <v>724583</v>
      </c>
      <c r="AX58" s="106">
        <v>47713</v>
      </c>
      <c r="AY58" s="122">
        <v>772296</v>
      </c>
    </row>
    <row r="59" spans="1:51">
      <c r="A59" s="115" t="s">
        <v>336</v>
      </c>
      <c r="B59" s="115">
        <v>3078072</v>
      </c>
      <c r="C59" s="115">
        <v>174627</v>
      </c>
      <c r="D59" s="134">
        <f t="shared" si="1"/>
        <v>3252699</v>
      </c>
      <c r="E59" s="115">
        <v>3485029</v>
      </c>
      <c r="F59" s="115">
        <v>599280</v>
      </c>
      <c r="G59" s="134">
        <f t="shared" si="2"/>
        <v>4084309</v>
      </c>
      <c r="H59" s="115">
        <v>6480270</v>
      </c>
      <c r="I59" s="115">
        <v>61478</v>
      </c>
      <c r="J59" s="134">
        <f t="shared" si="3"/>
        <v>6541748</v>
      </c>
      <c r="K59" s="115">
        <v>4725624</v>
      </c>
      <c r="L59" s="115">
        <v>2351</v>
      </c>
      <c r="M59" s="134">
        <f t="shared" si="4"/>
        <v>4727975</v>
      </c>
      <c r="N59" s="115">
        <v>4761093</v>
      </c>
      <c r="O59" s="115">
        <v>18757</v>
      </c>
      <c r="P59" s="134">
        <f t="shared" si="5"/>
        <v>4779850</v>
      </c>
      <c r="Q59" s="115">
        <v>5865955</v>
      </c>
      <c r="R59" s="115">
        <v>36561</v>
      </c>
      <c r="S59" s="122">
        <v>5902516</v>
      </c>
      <c r="T59" s="114">
        <v>4392288</v>
      </c>
      <c r="U59" s="114">
        <v>17746</v>
      </c>
      <c r="V59" s="122">
        <v>4410034</v>
      </c>
      <c r="W59" s="114">
        <v>5475239</v>
      </c>
      <c r="X59" s="114">
        <v>21266</v>
      </c>
      <c r="Y59" s="122">
        <v>5496505</v>
      </c>
      <c r="Z59" s="113">
        <v>3309409</v>
      </c>
      <c r="AA59" s="113">
        <v>32523</v>
      </c>
      <c r="AB59" s="122">
        <v>3341932</v>
      </c>
      <c r="AD59" s="112" t="s">
        <v>522</v>
      </c>
      <c r="AE59" s="112">
        <v>334996</v>
      </c>
      <c r="AF59" s="112">
        <v>46694</v>
      </c>
      <c r="AG59" s="122">
        <v>381690</v>
      </c>
      <c r="AH59" s="104" t="s">
        <v>515</v>
      </c>
      <c r="AI59" s="104">
        <v>568217</v>
      </c>
      <c r="AJ59" s="104">
        <v>55418</v>
      </c>
      <c r="AK59" s="122">
        <v>623635</v>
      </c>
      <c r="AL59" s="106">
        <v>622430</v>
      </c>
      <c r="AM59" s="106">
        <v>0</v>
      </c>
      <c r="AN59" s="122">
        <v>622430</v>
      </c>
      <c r="AO59" s="106">
        <v>429304</v>
      </c>
      <c r="AP59" s="106">
        <v>0</v>
      </c>
      <c r="AQ59" s="122">
        <v>429304</v>
      </c>
      <c r="AR59" s="106">
        <v>644904</v>
      </c>
      <c r="AS59" s="106">
        <v>0</v>
      </c>
      <c r="AT59" s="122">
        <v>644904</v>
      </c>
      <c r="AU59" s="104">
        <v>463</v>
      </c>
      <c r="AV59" s="104" t="s">
        <v>512</v>
      </c>
      <c r="AW59" s="106">
        <v>573477</v>
      </c>
      <c r="AX59" s="106">
        <v>83499</v>
      </c>
      <c r="AY59" s="122">
        <v>656976</v>
      </c>
    </row>
    <row r="60" spans="1:51">
      <c r="A60" s="115" t="s">
        <v>400</v>
      </c>
      <c r="B60" s="115">
        <v>513479</v>
      </c>
      <c r="C60" s="115">
        <v>46024</v>
      </c>
      <c r="D60" s="134">
        <f t="shared" si="1"/>
        <v>559503</v>
      </c>
      <c r="E60" s="115">
        <v>532427</v>
      </c>
      <c r="F60" s="115">
        <v>27577</v>
      </c>
      <c r="G60" s="134">
        <f t="shared" si="2"/>
        <v>560004</v>
      </c>
      <c r="H60" s="115">
        <v>424545</v>
      </c>
      <c r="I60" s="115">
        <v>30469</v>
      </c>
      <c r="J60" s="134">
        <f t="shared" si="3"/>
        <v>455014</v>
      </c>
      <c r="K60" s="115">
        <v>437512</v>
      </c>
      <c r="L60" s="115">
        <v>0</v>
      </c>
      <c r="M60" s="134">
        <f t="shared" si="4"/>
        <v>437512</v>
      </c>
      <c r="N60" s="115">
        <v>341229</v>
      </c>
      <c r="O60" s="115">
        <v>3180</v>
      </c>
      <c r="P60" s="134">
        <f t="shared" si="5"/>
        <v>344409</v>
      </c>
      <c r="Q60" s="115">
        <v>483214</v>
      </c>
      <c r="R60" s="115">
        <v>0</v>
      </c>
      <c r="S60" s="122">
        <v>483214</v>
      </c>
      <c r="T60" s="114">
        <v>450830</v>
      </c>
      <c r="U60" s="114">
        <v>0</v>
      </c>
      <c r="V60" s="122">
        <v>450830</v>
      </c>
      <c r="W60" s="114">
        <v>499896</v>
      </c>
      <c r="X60" s="114">
        <v>0</v>
      </c>
      <c r="Y60" s="122">
        <v>499896</v>
      </c>
      <c r="Z60" s="113">
        <v>550704</v>
      </c>
      <c r="AA60" s="113">
        <v>15905</v>
      </c>
      <c r="AB60" s="122">
        <v>566609</v>
      </c>
      <c r="AD60" s="112" t="s">
        <v>523</v>
      </c>
      <c r="AE60" s="112">
        <v>531633</v>
      </c>
      <c r="AF60" s="112">
        <v>29292</v>
      </c>
      <c r="AG60" s="122">
        <v>560925</v>
      </c>
      <c r="AH60" s="104" t="s">
        <v>516</v>
      </c>
      <c r="AI60" s="104">
        <v>408836</v>
      </c>
      <c r="AJ60" s="104">
        <v>73078</v>
      </c>
      <c r="AK60" s="122">
        <v>481914</v>
      </c>
      <c r="AL60" s="106">
        <v>312547</v>
      </c>
      <c r="AM60" s="106">
        <v>1013</v>
      </c>
      <c r="AN60" s="122">
        <v>313560</v>
      </c>
      <c r="AO60" s="106">
        <v>401219</v>
      </c>
      <c r="AP60" s="106">
        <v>0</v>
      </c>
      <c r="AQ60" s="122">
        <v>401219</v>
      </c>
      <c r="AR60" s="106">
        <v>566587</v>
      </c>
      <c r="AS60" s="106">
        <v>46249</v>
      </c>
      <c r="AT60" s="122">
        <v>612836</v>
      </c>
      <c r="AU60" s="104">
        <v>464</v>
      </c>
      <c r="AV60" s="104" t="s">
        <v>513</v>
      </c>
      <c r="AW60" s="106">
        <v>1368173</v>
      </c>
      <c r="AX60" s="106">
        <v>28882</v>
      </c>
      <c r="AY60" s="122">
        <v>1397055</v>
      </c>
    </row>
    <row r="61" spans="1:51">
      <c r="A61" s="115" t="s">
        <v>401</v>
      </c>
      <c r="B61" s="115">
        <v>488068</v>
      </c>
      <c r="C61" s="115">
        <v>244281</v>
      </c>
      <c r="D61" s="134">
        <f t="shared" si="1"/>
        <v>732349</v>
      </c>
      <c r="E61" s="115">
        <v>641417</v>
      </c>
      <c r="F61" s="115">
        <v>305073</v>
      </c>
      <c r="G61" s="134">
        <f t="shared" si="2"/>
        <v>946490</v>
      </c>
      <c r="H61" s="115">
        <v>550903</v>
      </c>
      <c r="I61" s="115">
        <v>48255</v>
      </c>
      <c r="J61" s="134">
        <f t="shared" si="3"/>
        <v>599158</v>
      </c>
      <c r="K61" s="115">
        <v>299054</v>
      </c>
      <c r="L61" s="115">
        <v>3290</v>
      </c>
      <c r="M61" s="134">
        <f t="shared" si="4"/>
        <v>302344</v>
      </c>
      <c r="N61" s="115">
        <v>462295</v>
      </c>
      <c r="O61" s="115">
        <v>18257</v>
      </c>
      <c r="P61" s="134">
        <f t="shared" si="5"/>
        <v>480552</v>
      </c>
      <c r="Q61" s="115">
        <v>509977</v>
      </c>
      <c r="R61" s="115">
        <v>0</v>
      </c>
      <c r="S61" s="122">
        <v>509977</v>
      </c>
      <c r="T61" s="114">
        <v>450478</v>
      </c>
      <c r="U61" s="114">
        <v>23393</v>
      </c>
      <c r="V61" s="122">
        <v>473871</v>
      </c>
      <c r="W61" s="114">
        <v>361586</v>
      </c>
      <c r="X61" s="114">
        <v>26556</v>
      </c>
      <c r="Y61" s="122">
        <v>388142</v>
      </c>
      <c r="Z61" s="113">
        <v>384798</v>
      </c>
      <c r="AA61" s="113">
        <v>34546</v>
      </c>
      <c r="AB61" s="122">
        <v>419344</v>
      </c>
      <c r="AD61" s="112" t="s">
        <v>463</v>
      </c>
      <c r="AE61" s="112">
        <v>18272247</v>
      </c>
      <c r="AF61" s="112">
        <v>1140392</v>
      </c>
      <c r="AG61" s="122">
        <v>19412639</v>
      </c>
      <c r="AH61" s="104" t="s">
        <v>517</v>
      </c>
      <c r="AI61" s="104">
        <v>219569</v>
      </c>
      <c r="AJ61" s="104">
        <v>0</v>
      </c>
      <c r="AK61" s="122">
        <v>219569</v>
      </c>
      <c r="AL61" s="106">
        <v>269310</v>
      </c>
      <c r="AM61" s="106">
        <v>0</v>
      </c>
      <c r="AN61" s="122">
        <v>269310</v>
      </c>
      <c r="AO61" s="106">
        <v>363612</v>
      </c>
      <c r="AP61" s="106">
        <v>0</v>
      </c>
      <c r="AQ61" s="122">
        <v>363612</v>
      </c>
      <c r="AR61" s="106">
        <v>321070</v>
      </c>
      <c r="AS61" s="106">
        <v>0</v>
      </c>
      <c r="AT61" s="122">
        <v>321070</v>
      </c>
      <c r="AU61" s="104">
        <v>481</v>
      </c>
      <c r="AV61" s="104" t="s">
        <v>514</v>
      </c>
      <c r="AW61" s="106">
        <v>1183074</v>
      </c>
      <c r="AX61" s="106">
        <v>69981</v>
      </c>
      <c r="AY61" s="122">
        <v>1253055</v>
      </c>
    </row>
    <row r="62" spans="1:51">
      <c r="A62" s="115" t="s">
        <v>402</v>
      </c>
      <c r="B62" s="115">
        <v>540942</v>
      </c>
      <c r="C62" s="115">
        <v>362895</v>
      </c>
      <c r="D62" s="134">
        <f t="shared" si="1"/>
        <v>903837</v>
      </c>
      <c r="E62" s="115">
        <v>488397</v>
      </c>
      <c r="F62" s="115">
        <v>363932</v>
      </c>
      <c r="G62" s="134">
        <f t="shared" si="2"/>
        <v>852329</v>
      </c>
      <c r="H62" s="115">
        <v>648661</v>
      </c>
      <c r="I62" s="115">
        <v>159745</v>
      </c>
      <c r="J62" s="134">
        <f t="shared" si="3"/>
        <v>808406</v>
      </c>
      <c r="K62" s="115">
        <v>578067</v>
      </c>
      <c r="L62" s="115">
        <v>45544</v>
      </c>
      <c r="M62" s="134">
        <f t="shared" si="4"/>
        <v>623611</v>
      </c>
      <c r="N62" s="115">
        <v>837861</v>
      </c>
      <c r="O62" s="115">
        <v>14323</v>
      </c>
      <c r="P62" s="134">
        <f t="shared" si="5"/>
        <v>852184</v>
      </c>
      <c r="Q62" s="115">
        <v>847875</v>
      </c>
      <c r="R62" s="115">
        <v>36059</v>
      </c>
      <c r="S62" s="122">
        <v>883934</v>
      </c>
      <c r="T62" s="114">
        <v>931390</v>
      </c>
      <c r="U62" s="114">
        <v>31301</v>
      </c>
      <c r="V62" s="122">
        <v>962691</v>
      </c>
      <c r="W62" s="114">
        <v>1143900</v>
      </c>
      <c r="X62" s="114">
        <v>577</v>
      </c>
      <c r="Y62" s="122">
        <v>1144477</v>
      </c>
      <c r="Z62" s="113">
        <v>1381086</v>
      </c>
      <c r="AA62" s="113">
        <v>38355</v>
      </c>
      <c r="AB62" s="122">
        <v>1419441</v>
      </c>
      <c r="AD62" s="112" t="s">
        <v>474</v>
      </c>
      <c r="AE62" s="112">
        <v>3180173</v>
      </c>
      <c r="AF62" s="112">
        <v>71699</v>
      </c>
      <c r="AG62" s="122">
        <v>3251872</v>
      </c>
      <c r="AH62" s="104" t="s">
        <v>518</v>
      </c>
      <c r="AI62" s="104">
        <v>629396</v>
      </c>
      <c r="AJ62" s="104">
        <v>0</v>
      </c>
      <c r="AK62" s="122">
        <v>629396</v>
      </c>
      <c r="AL62" s="106">
        <v>755865</v>
      </c>
      <c r="AM62" s="106">
        <v>0</v>
      </c>
      <c r="AN62" s="122">
        <v>755865</v>
      </c>
      <c r="AO62" s="106">
        <v>409009</v>
      </c>
      <c r="AP62" s="106">
        <v>0</v>
      </c>
      <c r="AQ62" s="122">
        <v>409009</v>
      </c>
      <c r="AR62" s="106">
        <v>523498</v>
      </c>
      <c r="AS62" s="106">
        <v>0</v>
      </c>
      <c r="AT62" s="122">
        <v>523498</v>
      </c>
      <c r="AU62" s="104">
        <v>501</v>
      </c>
      <c r="AV62" s="104" t="s">
        <v>515</v>
      </c>
      <c r="AW62" s="106">
        <v>688413</v>
      </c>
      <c r="AX62" s="106">
        <v>190305</v>
      </c>
      <c r="AY62" s="122">
        <v>878718</v>
      </c>
    </row>
    <row r="63" spans="1:51">
      <c r="A63" s="115" t="s">
        <v>403</v>
      </c>
      <c r="B63" s="115">
        <v>1121211</v>
      </c>
      <c r="C63" s="115">
        <v>130988</v>
      </c>
      <c r="D63" s="134">
        <f t="shared" si="1"/>
        <v>1252199</v>
      </c>
      <c r="E63" s="115">
        <v>1285830</v>
      </c>
      <c r="F63" s="115">
        <v>297034</v>
      </c>
      <c r="G63" s="134">
        <f t="shared" si="2"/>
        <v>1582864</v>
      </c>
      <c r="H63" s="115">
        <v>1046804</v>
      </c>
      <c r="I63" s="115">
        <v>66859</v>
      </c>
      <c r="J63" s="134">
        <f t="shared" si="3"/>
        <v>1113663</v>
      </c>
      <c r="K63" s="115">
        <v>1069552</v>
      </c>
      <c r="L63" s="115">
        <v>4103</v>
      </c>
      <c r="M63" s="134">
        <f t="shared" si="4"/>
        <v>1073655</v>
      </c>
      <c r="N63" s="115">
        <v>1047175</v>
      </c>
      <c r="O63" s="115">
        <v>6899</v>
      </c>
      <c r="P63" s="134">
        <f t="shared" si="5"/>
        <v>1054074</v>
      </c>
      <c r="Q63" s="115">
        <v>1296308</v>
      </c>
      <c r="R63" s="115">
        <v>29508</v>
      </c>
      <c r="S63" s="122">
        <v>1325816</v>
      </c>
      <c r="T63" s="114">
        <v>1913891</v>
      </c>
      <c r="U63" s="114">
        <v>0</v>
      </c>
      <c r="V63" s="122">
        <v>1913891</v>
      </c>
      <c r="W63" s="114">
        <v>2018292</v>
      </c>
      <c r="X63" s="114">
        <v>7141</v>
      </c>
      <c r="Y63" s="122">
        <v>2025433</v>
      </c>
      <c r="Z63" s="113">
        <v>1886284</v>
      </c>
      <c r="AA63" s="113">
        <v>39722</v>
      </c>
      <c r="AB63" s="122">
        <v>1926006</v>
      </c>
      <c r="AD63" s="112" t="s">
        <v>524</v>
      </c>
      <c r="AE63" s="112">
        <v>663827</v>
      </c>
      <c r="AF63" s="112">
        <v>10232</v>
      </c>
      <c r="AG63" s="122">
        <v>674059</v>
      </c>
      <c r="AH63" s="104" t="s">
        <v>519</v>
      </c>
      <c r="AI63" s="104">
        <v>1422416</v>
      </c>
      <c r="AJ63" s="104">
        <v>0</v>
      </c>
      <c r="AK63" s="122">
        <v>1422416</v>
      </c>
      <c r="AL63" s="106">
        <v>1436023</v>
      </c>
      <c r="AM63" s="106">
        <v>2467</v>
      </c>
      <c r="AN63" s="122">
        <v>1438490</v>
      </c>
      <c r="AO63" s="106">
        <v>1285035</v>
      </c>
      <c r="AP63" s="106">
        <v>5565</v>
      </c>
      <c r="AQ63" s="122">
        <v>1290600</v>
      </c>
      <c r="AR63" s="106">
        <v>1439476</v>
      </c>
      <c r="AS63" s="106">
        <v>0</v>
      </c>
      <c r="AT63" s="122">
        <v>1439476</v>
      </c>
      <c r="AU63" s="104">
        <v>502</v>
      </c>
      <c r="AV63" s="104" t="s">
        <v>516</v>
      </c>
      <c r="AW63" s="106">
        <v>724969</v>
      </c>
      <c r="AX63" s="106">
        <v>170934</v>
      </c>
      <c r="AY63" s="122">
        <v>895903</v>
      </c>
    </row>
    <row r="64" spans="1:51">
      <c r="A64" s="115" t="s">
        <v>404</v>
      </c>
      <c r="B64" s="115">
        <v>393775</v>
      </c>
      <c r="C64" s="115">
        <v>187328</v>
      </c>
      <c r="D64" s="134">
        <f t="shared" si="1"/>
        <v>581103</v>
      </c>
      <c r="E64" s="115">
        <v>715259</v>
      </c>
      <c r="F64" s="115">
        <v>36251</v>
      </c>
      <c r="G64" s="134">
        <f t="shared" si="2"/>
        <v>751510</v>
      </c>
      <c r="H64" s="115">
        <v>705655</v>
      </c>
      <c r="I64" s="115">
        <v>1</v>
      </c>
      <c r="J64" s="134">
        <f t="shared" si="3"/>
        <v>705656</v>
      </c>
      <c r="K64" s="115">
        <v>702097</v>
      </c>
      <c r="L64" s="115">
        <v>0</v>
      </c>
      <c r="M64" s="134">
        <f t="shared" si="4"/>
        <v>702097</v>
      </c>
      <c r="N64" s="115">
        <v>998890</v>
      </c>
      <c r="O64" s="115">
        <v>0</v>
      </c>
      <c r="P64" s="134">
        <f t="shared" si="5"/>
        <v>998890</v>
      </c>
      <c r="Q64" s="115">
        <v>843867</v>
      </c>
      <c r="R64" s="115">
        <v>510</v>
      </c>
      <c r="S64" s="122">
        <v>844377</v>
      </c>
      <c r="T64" s="114">
        <v>819023</v>
      </c>
      <c r="U64" s="114">
        <v>2428</v>
      </c>
      <c r="V64" s="122">
        <v>821451</v>
      </c>
      <c r="W64" s="114">
        <v>770632</v>
      </c>
      <c r="X64" s="114">
        <v>0</v>
      </c>
      <c r="Y64" s="122">
        <v>770632</v>
      </c>
      <c r="Z64" s="113">
        <v>1070534</v>
      </c>
      <c r="AA64" s="113">
        <v>34900</v>
      </c>
      <c r="AB64" s="122">
        <v>1105434</v>
      </c>
      <c r="AD64" s="112" t="s">
        <v>525</v>
      </c>
      <c r="AE64" s="112">
        <v>534850</v>
      </c>
      <c r="AF64" s="112">
        <v>2100</v>
      </c>
      <c r="AG64" s="122">
        <v>536950</v>
      </c>
      <c r="AH64" s="104" t="s">
        <v>520</v>
      </c>
      <c r="AI64" s="104">
        <v>238365</v>
      </c>
      <c r="AJ64" s="104">
        <v>0</v>
      </c>
      <c r="AK64" s="122">
        <v>238365</v>
      </c>
      <c r="AL64" s="106">
        <v>147242</v>
      </c>
      <c r="AM64" s="106">
        <v>0</v>
      </c>
      <c r="AN64" s="122">
        <v>147242</v>
      </c>
      <c r="AO64" s="106">
        <v>342500</v>
      </c>
      <c r="AP64" s="106">
        <v>0</v>
      </c>
      <c r="AQ64" s="122">
        <v>342500</v>
      </c>
      <c r="AR64" s="106">
        <v>537322</v>
      </c>
      <c r="AS64" s="106">
        <v>0</v>
      </c>
      <c r="AT64" s="122">
        <v>537322</v>
      </c>
      <c r="AU64" s="104">
        <v>503</v>
      </c>
      <c r="AV64" s="104" t="s">
        <v>517</v>
      </c>
      <c r="AW64" s="106">
        <v>223451</v>
      </c>
      <c r="AX64" s="106">
        <v>82277</v>
      </c>
      <c r="AY64" s="122">
        <v>305728</v>
      </c>
    </row>
    <row r="65" spans="1:51">
      <c r="A65" s="115" t="s">
        <v>405</v>
      </c>
      <c r="B65" s="115">
        <v>338512</v>
      </c>
      <c r="C65" s="115">
        <v>132036</v>
      </c>
      <c r="D65" s="134">
        <f t="shared" si="1"/>
        <v>470548</v>
      </c>
      <c r="E65" s="115">
        <v>356295</v>
      </c>
      <c r="F65" s="115">
        <v>201903</v>
      </c>
      <c r="G65" s="134">
        <f t="shared" si="2"/>
        <v>558198</v>
      </c>
      <c r="H65" s="115">
        <v>231796</v>
      </c>
      <c r="I65" s="115">
        <v>78888</v>
      </c>
      <c r="J65" s="134">
        <f t="shared" si="3"/>
        <v>310684</v>
      </c>
      <c r="K65" s="115">
        <v>219741</v>
      </c>
      <c r="L65" s="115">
        <v>0</v>
      </c>
      <c r="M65" s="134">
        <f t="shared" si="4"/>
        <v>219741</v>
      </c>
      <c r="N65" s="115">
        <v>268125</v>
      </c>
      <c r="O65" s="115">
        <v>6546</v>
      </c>
      <c r="P65" s="134">
        <f t="shared" si="5"/>
        <v>274671</v>
      </c>
      <c r="Q65" s="115">
        <v>495304</v>
      </c>
      <c r="R65" s="115">
        <v>2597</v>
      </c>
      <c r="S65" s="122">
        <v>497901</v>
      </c>
      <c r="T65" s="114">
        <v>727238</v>
      </c>
      <c r="U65" s="114">
        <v>0</v>
      </c>
      <c r="V65" s="122">
        <v>727238</v>
      </c>
      <c r="W65" s="114">
        <v>677593</v>
      </c>
      <c r="X65" s="114">
        <v>0</v>
      </c>
      <c r="Y65" s="122">
        <v>677593</v>
      </c>
      <c r="Z65" s="113">
        <v>928806</v>
      </c>
      <c r="AA65" s="113">
        <v>78053</v>
      </c>
      <c r="AB65" s="122">
        <v>1006859</v>
      </c>
      <c r="AD65" s="112" t="s">
        <v>526</v>
      </c>
      <c r="AE65" s="112">
        <v>969816</v>
      </c>
      <c r="AF65" s="112">
        <v>17149</v>
      </c>
      <c r="AG65" s="122">
        <v>986965</v>
      </c>
      <c r="AH65" s="104" t="s">
        <v>521</v>
      </c>
      <c r="AI65" s="104">
        <v>946475</v>
      </c>
      <c r="AJ65" s="104">
        <v>1721</v>
      </c>
      <c r="AK65" s="122">
        <v>948196</v>
      </c>
      <c r="AL65" s="106">
        <v>633917</v>
      </c>
      <c r="AM65" s="106">
        <v>4196</v>
      </c>
      <c r="AN65" s="122">
        <v>638113</v>
      </c>
      <c r="AO65" s="106">
        <v>590806</v>
      </c>
      <c r="AP65" s="106">
        <v>2834</v>
      </c>
      <c r="AQ65" s="122">
        <v>593640</v>
      </c>
      <c r="AR65" s="106">
        <v>831157</v>
      </c>
      <c r="AS65" s="106">
        <v>3753</v>
      </c>
      <c r="AT65" s="122">
        <v>834910</v>
      </c>
      <c r="AU65" s="104">
        <v>504</v>
      </c>
      <c r="AV65" s="104" t="s">
        <v>518</v>
      </c>
      <c r="AW65" s="106">
        <v>364488</v>
      </c>
      <c r="AX65" s="106">
        <v>64699</v>
      </c>
      <c r="AY65" s="122">
        <v>429187</v>
      </c>
    </row>
    <row r="66" spans="1:51">
      <c r="A66" s="115" t="s">
        <v>406</v>
      </c>
      <c r="B66" s="115">
        <v>395379</v>
      </c>
      <c r="C66" s="115">
        <v>192755</v>
      </c>
      <c r="D66" s="134">
        <f t="shared" si="1"/>
        <v>588134</v>
      </c>
      <c r="E66" s="115">
        <v>840611</v>
      </c>
      <c r="F66" s="115">
        <v>473130</v>
      </c>
      <c r="G66" s="134">
        <f t="shared" si="2"/>
        <v>1313741</v>
      </c>
      <c r="H66" s="115">
        <v>547450</v>
      </c>
      <c r="I66" s="115">
        <v>323011</v>
      </c>
      <c r="J66" s="134">
        <f t="shared" si="3"/>
        <v>870461</v>
      </c>
      <c r="K66" s="115">
        <v>591402</v>
      </c>
      <c r="L66" s="115">
        <v>5867</v>
      </c>
      <c r="M66" s="134">
        <f t="shared" si="4"/>
        <v>597269</v>
      </c>
      <c r="N66" s="115">
        <v>447926</v>
      </c>
      <c r="O66" s="115">
        <v>32562</v>
      </c>
      <c r="P66" s="134">
        <f t="shared" si="5"/>
        <v>480488</v>
      </c>
      <c r="Q66" s="115">
        <v>567719</v>
      </c>
      <c r="R66" s="115">
        <v>29846</v>
      </c>
      <c r="S66" s="122">
        <v>597565</v>
      </c>
      <c r="T66" s="114">
        <v>596234</v>
      </c>
      <c r="U66" s="114">
        <v>22058</v>
      </c>
      <c r="V66" s="122">
        <v>618292</v>
      </c>
      <c r="W66" s="114">
        <v>545906</v>
      </c>
      <c r="X66" s="114">
        <v>18746</v>
      </c>
      <c r="Y66" s="122">
        <v>564652</v>
      </c>
      <c r="Z66" s="113">
        <v>811542</v>
      </c>
      <c r="AA66" s="113">
        <v>34139</v>
      </c>
      <c r="AB66" s="122">
        <v>845681</v>
      </c>
      <c r="AD66" s="112" t="s">
        <v>527</v>
      </c>
      <c r="AE66" s="112">
        <v>1914477</v>
      </c>
      <c r="AF66" s="112">
        <v>13568</v>
      </c>
      <c r="AG66" s="122">
        <v>1928045</v>
      </c>
      <c r="AH66" s="104" t="s">
        <v>522</v>
      </c>
      <c r="AI66" s="104">
        <v>485835</v>
      </c>
      <c r="AJ66" s="104">
        <v>7590</v>
      </c>
      <c r="AK66" s="122">
        <v>493425</v>
      </c>
      <c r="AL66" s="106">
        <v>538018</v>
      </c>
      <c r="AM66" s="106">
        <v>5419</v>
      </c>
      <c r="AN66" s="122">
        <v>543437</v>
      </c>
      <c r="AO66" s="106">
        <v>472737</v>
      </c>
      <c r="AP66" s="106">
        <v>0</v>
      </c>
      <c r="AQ66" s="122">
        <v>472737</v>
      </c>
      <c r="AR66" s="106">
        <v>484511</v>
      </c>
      <c r="AS66" s="106">
        <v>0</v>
      </c>
      <c r="AT66" s="122">
        <v>484511</v>
      </c>
      <c r="AU66" s="104">
        <v>521</v>
      </c>
      <c r="AV66" s="104" t="s">
        <v>519</v>
      </c>
      <c r="AW66" s="106">
        <v>1197156</v>
      </c>
      <c r="AX66" s="106">
        <v>74384</v>
      </c>
      <c r="AY66" s="122">
        <v>1271540</v>
      </c>
    </row>
    <row r="67" spans="1:51">
      <c r="A67" s="115" t="s">
        <v>407</v>
      </c>
      <c r="B67" s="115">
        <v>434336</v>
      </c>
      <c r="C67" s="115">
        <v>293718</v>
      </c>
      <c r="D67" s="134">
        <f t="shared" si="1"/>
        <v>728054</v>
      </c>
      <c r="E67" s="115">
        <v>406843</v>
      </c>
      <c r="F67" s="115">
        <v>652836</v>
      </c>
      <c r="G67" s="134">
        <f t="shared" si="2"/>
        <v>1059679</v>
      </c>
      <c r="H67" s="115">
        <v>601862</v>
      </c>
      <c r="I67" s="115">
        <v>151209</v>
      </c>
      <c r="J67" s="134">
        <f t="shared" si="3"/>
        <v>753071</v>
      </c>
      <c r="K67" s="115">
        <v>848067</v>
      </c>
      <c r="L67" s="115">
        <v>33392</v>
      </c>
      <c r="M67" s="134">
        <f t="shared" si="4"/>
        <v>881459</v>
      </c>
      <c r="N67" s="115">
        <v>609120</v>
      </c>
      <c r="O67" s="115">
        <v>34337</v>
      </c>
      <c r="P67" s="134">
        <f t="shared" si="5"/>
        <v>643457</v>
      </c>
      <c r="Q67" s="115">
        <v>567672</v>
      </c>
      <c r="R67" s="115">
        <v>10486</v>
      </c>
      <c r="S67" s="122">
        <v>578158</v>
      </c>
      <c r="T67" s="114">
        <v>495063</v>
      </c>
      <c r="U67" s="114">
        <v>973</v>
      </c>
      <c r="V67" s="122">
        <v>496036</v>
      </c>
      <c r="W67" s="114">
        <v>527396</v>
      </c>
      <c r="X67" s="114">
        <v>0</v>
      </c>
      <c r="Y67" s="122">
        <v>527396</v>
      </c>
      <c r="Z67" s="113">
        <v>604457</v>
      </c>
      <c r="AA67" s="113">
        <v>9749</v>
      </c>
      <c r="AB67" s="122">
        <v>614206</v>
      </c>
      <c r="AD67" s="112" t="s">
        <v>528</v>
      </c>
      <c r="AE67" s="112">
        <v>676840</v>
      </c>
      <c r="AF67" s="112">
        <v>32749</v>
      </c>
      <c r="AG67" s="122">
        <v>709589</v>
      </c>
      <c r="AH67" s="104" t="s">
        <v>523</v>
      </c>
      <c r="AI67" s="104">
        <v>378568</v>
      </c>
      <c r="AJ67" s="104">
        <v>14331</v>
      </c>
      <c r="AK67" s="122">
        <v>392899</v>
      </c>
      <c r="AL67" s="106">
        <v>753262</v>
      </c>
      <c r="AM67" s="106">
        <v>0</v>
      </c>
      <c r="AN67" s="122">
        <v>753262</v>
      </c>
      <c r="AO67" s="106">
        <v>609986</v>
      </c>
      <c r="AP67" s="106">
        <v>0</v>
      </c>
      <c r="AQ67" s="122">
        <v>609986</v>
      </c>
      <c r="AR67" s="106">
        <v>563977</v>
      </c>
      <c r="AS67" s="106">
        <v>0</v>
      </c>
      <c r="AT67" s="122">
        <v>563977</v>
      </c>
      <c r="AU67" s="104">
        <v>522</v>
      </c>
      <c r="AV67" s="104" t="s">
        <v>520</v>
      </c>
      <c r="AW67" s="106">
        <v>446501</v>
      </c>
      <c r="AX67" s="106">
        <v>73757</v>
      </c>
      <c r="AY67" s="122">
        <v>520258</v>
      </c>
    </row>
    <row r="68" spans="1:51">
      <c r="A68" s="115" t="s">
        <v>408</v>
      </c>
      <c r="B68" s="115">
        <v>425597</v>
      </c>
      <c r="C68" s="115">
        <v>47190</v>
      </c>
      <c r="D68" s="134">
        <f t="shared" ref="D68:D100" si="10">B68+C68</f>
        <v>472787</v>
      </c>
      <c r="E68" s="115">
        <v>455191</v>
      </c>
      <c r="F68" s="115">
        <v>110664</v>
      </c>
      <c r="G68" s="134">
        <f t="shared" ref="G68:G100" si="11">E68+F68</f>
        <v>565855</v>
      </c>
      <c r="H68" s="115">
        <v>493914</v>
      </c>
      <c r="I68" s="115">
        <v>0</v>
      </c>
      <c r="J68" s="134">
        <f t="shared" ref="J68:J100" si="12">H68+I68</f>
        <v>493914</v>
      </c>
      <c r="K68" s="115">
        <v>878</v>
      </c>
      <c r="L68" s="115">
        <v>37502</v>
      </c>
      <c r="M68" s="134">
        <f t="shared" ref="M68:M100" si="13">K68+L68</f>
        <v>38380</v>
      </c>
      <c r="N68" s="115">
        <v>480674</v>
      </c>
      <c r="O68" s="115">
        <v>10128</v>
      </c>
      <c r="P68" s="134">
        <f t="shared" ref="P68:P100" si="14">N68+O68</f>
        <v>490802</v>
      </c>
      <c r="Q68" s="115">
        <v>618563</v>
      </c>
      <c r="R68" s="115">
        <v>2083</v>
      </c>
      <c r="S68" s="122">
        <v>620646</v>
      </c>
      <c r="T68" s="114">
        <v>340849</v>
      </c>
      <c r="U68" s="114">
        <v>0</v>
      </c>
      <c r="V68" s="122">
        <v>340849</v>
      </c>
      <c r="W68" s="114">
        <v>489071</v>
      </c>
      <c r="X68" s="114">
        <v>7710</v>
      </c>
      <c r="Y68" s="122">
        <v>496781</v>
      </c>
      <c r="Z68" s="113">
        <v>675914</v>
      </c>
      <c r="AA68" s="113">
        <v>38663</v>
      </c>
      <c r="AB68" s="122">
        <v>714577</v>
      </c>
      <c r="AD68" s="112" t="s">
        <v>529</v>
      </c>
      <c r="AE68" s="112">
        <v>698390</v>
      </c>
      <c r="AF68" s="112">
        <v>299386</v>
      </c>
      <c r="AG68" s="122">
        <v>997776</v>
      </c>
      <c r="AH68" s="104" t="s">
        <v>524</v>
      </c>
      <c r="AI68" s="104">
        <v>662802</v>
      </c>
      <c r="AJ68" s="104">
        <v>5456</v>
      </c>
      <c r="AK68" s="122">
        <v>668258</v>
      </c>
      <c r="AL68" s="106">
        <v>511493</v>
      </c>
      <c r="AM68" s="106">
        <v>5840</v>
      </c>
      <c r="AN68" s="122">
        <v>517333</v>
      </c>
      <c r="AO68" s="106">
        <v>478293</v>
      </c>
      <c r="AP68" s="106">
        <v>0</v>
      </c>
      <c r="AQ68" s="122">
        <v>478293</v>
      </c>
      <c r="AR68" s="106">
        <v>653728</v>
      </c>
      <c r="AS68" s="106">
        <v>0</v>
      </c>
      <c r="AT68" s="122">
        <v>653728</v>
      </c>
      <c r="AU68" s="104">
        <v>523</v>
      </c>
      <c r="AV68" s="104" t="s">
        <v>521</v>
      </c>
      <c r="AW68" s="106">
        <v>548819</v>
      </c>
      <c r="AX68" s="106">
        <v>91185</v>
      </c>
      <c r="AY68" s="122">
        <v>640004</v>
      </c>
    </row>
    <row r="69" spans="1:51">
      <c r="A69" s="115" t="s">
        <v>409</v>
      </c>
      <c r="B69" s="115">
        <v>866737</v>
      </c>
      <c r="C69" s="115">
        <v>239668</v>
      </c>
      <c r="D69" s="134">
        <f t="shared" si="10"/>
        <v>1106405</v>
      </c>
      <c r="E69" s="115">
        <v>365047</v>
      </c>
      <c r="F69" s="115">
        <v>940291</v>
      </c>
      <c r="G69" s="134">
        <f t="shared" si="11"/>
        <v>1305338</v>
      </c>
      <c r="H69" s="115">
        <v>422047</v>
      </c>
      <c r="I69" s="115">
        <v>985791</v>
      </c>
      <c r="J69" s="134">
        <f t="shared" si="12"/>
        <v>1407838</v>
      </c>
      <c r="K69" s="115">
        <v>649802</v>
      </c>
      <c r="L69" s="115">
        <v>319841</v>
      </c>
      <c r="M69" s="134">
        <f t="shared" si="13"/>
        <v>969643</v>
      </c>
      <c r="N69" s="115">
        <v>630410</v>
      </c>
      <c r="O69" s="115">
        <v>150108</v>
      </c>
      <c r="P69" s="134">
        <f t="shared" si="14"/>
        <v>780518</v>
      </c>
      <c r="Q69" s="115">
        <v>363031</v>
      </c>
      <c r="R69" s="115">
        <v>252474</v>
      </c>
      <c r="S69" s="122">
        <v>615505</v>
      </c>
      <c r="T69" s="114">
        <v>381362</v>
      </c>
      <c r="U69" s="114">
        <v>22253</v>
      </c>
      <c r="V69" s="122">
        <v>403615</v>
      </c>
      <c r="W69" s="114">
        <v>403756</v>
      </c>
      <c r="X69" s="114">
        <v>54628</v>
      </c>
      <c r="Y69" s="122">
        <v>458384</v>
      </c>
      <c r="Z69" s="113">
        <v>379484</v>
      </c>
      <c r="AA69" s="113">
        <v>121334</v>
      </c>
      <c r="AB69" s="122">
        <v>500818</v>
      </c>
      <c r="AD69" s="112" t="s">
        <v>530</v>
      </c>
      <c r="AE69" s="112">
        <v>1127348</v>
      </c>
      <c r="AF69" s="112">
        <v>153584</v>
      </c>
      <c r="AG69" s="122">
        <v>1280932</v>
      </c>
      <c r="AH69" s="104" t="s">
        <v>525</v>
      </c>
      <c r="AI69" s="104">
        <v>552736</v>
      </c>
      <c r="AJ69" s="104">
        <v>5718</v>
      </c>
      <c r="AK69" s="122">
        <v>558454</v>
      </c>
      <c r="AL69" s="106">
        <v>654995</v>
      </c>
      <c r="AM69" s="106">
        <v>0</v>
      </c>
      <c r="AN69" s="122">
        <v>654995</v>
      </c>
      <c r="AO69" s="106">
        <v>747157</v>
      </c>
      <c r="AP69" s="106">
        <v>0</v>
      </c>
      <c r="AQ69" s="122">
        <v>747157</v>
      </c>
      <c r="AR69" s="106">
        <v>562515</v>
      </c>
      <c r="AS69" s="106">
        <v>5403</v>
      </c>
      <c r="AT69" s="122">
        <v>567918</v>
      </c>
      <c r="AU69" s="104">
        <v>524</v>
      </c>
      <c r="AV69" s="104" t="s">
        <v>522</v>
      </c>
      <c r="AW69" s="106">
        <v>711827</v>
      </c>
      <c r="AX69" s="106">
        <v>25111</v>
      </c>
      <c r="AY69" s="122">
        <v>736938</v>
      </c>
    </row>
    <row r="70" spans="1:51">
      <c r="A70" s="115" t="s">
        <v>410</v>
      </c>
      <c r="B70" s="115">
        <v>648902</v>
      </c>
      <c r="C70" s="115">
        <v>276177</v>
      </c>
      <c r="D70" s="134">
        <f t="shared" si="10"/>
        <v>925079</v>
      </c>
      <c r="E70" s="115">
        <v>1349378</v>
      </c>
      <c r="F70" s="115">
        <v>535177</v>
      </c>
      <c r="G70" s="134">
        <f t="shared" si="11"/>
        <v>1884555</v>
      </c>
      <c r="H70" s="115">
        <v>983882</v>
      </c>
      <c r="I70" s="115">
        <v>410373</v>
      </c>
      <c r="J70" s="134">
        <f t="shared" si="12"/>
        <v>1394255</v>
      </c>
      <c r="K70" s="115">
        <v>1722742</v>
      </c>
      <c r="L70" s="115">
        <v>90083</v>
      </c>
      <c r="M70" s="134">
        <f t="shared" si="13"/>
        <v>1812825</v>
      </c>
      <c r="N70" s="115">
        <v>1063583</v>
      </c>
      <c r="O70" s="115">
        <v>54705</v>
      </c>
      <c r="P70" s="134">
        <f t="shared" si="14"/>
        <v>1118288</v>
      </c>
      <c r="Q70" s="115">
        <v>963310</v>
      </c>
      <c r="R70" s="115">
        <v>16693</v>
      </c>
      <c r="S70" s="122">
        <v>980003</v>
      </c>
      <c r="T70" s="114">
        <v>1369811</v>
      </c>
      <c r="U70" s="114">
        <v>3000</v>
      </c>
      <c r="V70" s="122">
        <v>1372811</v>
      </c>
      <c r="W70" s="114">
        <v>1180447</v>
      </c>
      <c r="X70" s="114">
        <v>6438</v>
      </c>
      <c r="Y70" s="122">
        <v>1186885</v>
      </c>
      <c r="Z70" s="113">
        <v>919554</v>
      </c>
      <c r="AA70" s="113">
        <v>147890</v>
      </c>
      <c r="AB70" s="122">
        <v>1067444</v>
      </c>
      <c r="AD70" s="112" t="s">
        <v>531</v>
      </c>
      <c r="AE70" s="112">
        <v>642838</v>
      </c>
      <c r="AF70" s="112">
        <v>6998</v>
      </c>
      <c r="AG70" s="122">
        <v>649836</v>
      </c>
      <c r="AH70" s="104" t="s">
        <v>526</v>
      </c>
      <c r="AI70" s="104">
        <v>615763</v>
      </c>
      <c r="AJ70" s="104">
        <v>1713</v>
      </c>
      <c r="AK70" s="122">
        <v>617476</v>
      </c>
      <c r="AL70" s="106">
        <v>598083</v>
      </c>
      <c r="AM70" s="106">
        <v>0</v>
      </c>
      <c r="AN70" s="122">
        <v>598083</v>
      </c>
      <c r="AO70" s="106">
        <v>767326</v>
      </c>
      <c r="AP70" s="106">
        <v>0</v>
      </c>
      <c r="AQ70" s="122">
        <v>767326</v>
      </c>
      <c r="AR70" s="106">
        <v>956785</v>
      </c>
      <c r="AS70" s="106">
        <v>0</v>
      </c>
      <c r="AT70" s="122">
        <v>956785</v>
      </c>
      <c r="AU70" s="104">
        <v>525</v>
      </c>
      <c r="AV70" s="104" t="s">
        <v>523</v>
      </c>
      <c r="AW70" s="106">
        <v>946672</v>
      </c>
      <c r="AX70" s="106">
        <v>66445</v>
      </c>
      <c r="AY70" s="122">
        <v>1013117</v>
      </c>
    </row>
    <row r="71" spans="1:51">
      <c r="A71" s="115" t="s">
        <v>411</v>
      </c>
      <c r="B71" s="115">
        <v>301269</v>
      </c>
      <c r="C71" s="115">
        <v>221856</v>
      </c>
      <c r="D71" s="134">
        <f t="shared" si="10"/>
        <v>523125</v>
      </c>
      <c r="E71" s="115">
        <v>581344</v>
      </c>
      <c r="F71" s="115">
        <v>412273</v>
      </c>
      <c r="G71" s="134">
        <f t="shared" si="11"/>
        <v>993617</v>
      </c>
      <c r="H71" s="115">
        <v>687984</v>
      </c>
      <c r="I71" s="115">
        <v>164885</v>
      </c>
      <c r="J71" s="134">
        <f t="shared" si="12"/>
        <v>852869</v>
      </c>
      <c r="K71" s="115">
        <v>841819</v>
      </c>
      <c r="L71" s="115">
        <v>87800</v>
      </c>
      <c r="M71" s="134">
        <f t="shared" si="13"/>
        <v>929619</v>
      </c>
      <c r="N71" s="115">
        <v>669028</v>
      </c>
      <c r="O71" s="115">
        <v>46693</v>
      </c>
      <c r="P71" s="134">
        <f t="shared" si="14"/>
        <v>715721</v>
      </c>
      <c r="Q71" s="115">
        <v>699963</v>
      </c>
      <c r="R71" s="115">
        <v>22034</v>
      </c>
      <c r="S71" s="122">
        <v>721997</v>
      </c>
      <c r="T71" s="114">
        <v>750537</v>
      </c>
      <c r="U71" s="114">
        <v>0</v>
      </c>
      <c r="V71" s="122">
        <v>750537</v>
      </c>
      <c r="W71" s="114">
        <v>826245</v>
      </c>
      <c r="X71" s="114">
        <v>3160</v>
      </c>
      <c r="Y71" s="122">
        <v>829405</v>
      </c>
      <c r="Z71" s="113">
        <v>673870</v>
      </c>
      <c r="AA71" s="113">
        <v>19592</v>
      </c>
      <c r="AB71" s="122">
        <v>693462</v>
      </c>
      <c r="AD71" s="112" t="s">
        <v>532</v>
      </c>
      <c r="AE71" s="112">
        <v>692211</v>
      </c>
      <c r="AF71" s="112">
        <v>65068</v>
      </c>
      <c r="AG71" s="122">
        <v>757279</v>
      </c>
      <c r="AH71" s="104" t="s">
        <v>527</v>
      </c>
      <c r="AI71" s="104">
        <v>2041260</v>
      </c>
      <c r="AJ71" s="104">
        <v>0</v>
      </c>
      <c r="AK71" s="122">
        <v>2041260</v>
      </c>
      <c r="AL71" s="106">
        <v>1470052</v>
      </c>
      <c r="AM71" s="106">
        <v>0</v>
      </c>
      <c r="AN71" s="122">
        <v>1470052</v>
      </c>
      <c r="AO71" s="106">
        <v>1168685</v>
      </c>
      <c r="AP71" s="106">
        <v>0</v>
      </c>
      <c r="AQ71" s="122">
        <v>1168685</v>
      </c>
      <c r="AR71" s="106">
        <v>1303286</v>
      </c>
      <c r="AS71" s="106">
        <v>76661</v>
      </c>
      <c r="AT71" s="122">
        <v>1379947</v>
      </c>
      <c r="AU71" s="104">
        <v>541</v>
      </c>
      <c r="AV71" s="104" t="s">
        <v>524</v>
      </c>
      <c r="AW71" s="106">
        <v>1039075</v>
      </c>
      <c r="AX71" s="106">
        <v>73998</v>
      </c>
      <c r="AY71" s="122">
        <v>1113073</v>
      </c>
    </row>
    <row r="72" spans="1:51">
      <c r="A72" s="115" t="s">
        <v>412</v>
      </c>
      <c r="B72" s="115">
        <v>196536</v>
      </c>
      <c r="C72" s="115">
        <v>201909</v>
      </c>
      <c r="D72" s="134">
        <f t="shared" si="10"/>
        <v>398445</v>
      </c>
      <c r="E72" s="115">
        <v>188437</v>
      </c>
      <c r="F72" s="115">
        <v>428337</v>
      </c>
      <c r="G72" s="134">
        <f t="shared" si="11"/>
        <v>616774</v>
      </c>
      <c r="H72" s="115">
        <v>340267</v>
      </c>
      <c r="I72" s="115">
        <v>106966</v>
      </c>
      <c r="J72" s="134">
        <f t="shared" si="12"/>
        <v>447233</v>
      </c>
      <c r="K72" s="115">
        <v>319005</v>
      </c>
      <c r="L72" s="115">
        <v>27169</v>
      </c>
      <c r="M72" s="134">
        <f t="shared" si="13"/>
        <v>346174</v>
      </c>
      <c r="N72" s="115">
        <v>278550</v>
      </c>
      <c r="O72" s="115">
        <v>12710</v>
      </c>
      <c r="P72" s="134">
        <f t="shared" si="14"/>
        <v>291260</v>
      </c>
      <c r="Q72" s="115">
        <v>310593</v>
      </c>
      <c r="R72" s="115">
        <v>4438</v>
      </c>
      <c r="S72" s="122">
        <v>315031</v>
      </c>
      <c r="T72" s="114">
        <v>275277</v>
      </c>
      <c r="U72" s="114">
        <v>12680</v>
      </c>
      <c r="V72" s="122">
        <v>287957</v>
      </c>
      <c r="W72" s="114">
        <v>413708</v>
      </c>
      <c r="X72" s="114">
        <v>10798</v>
      </c>
      <c r="Y72" s="122">
        <v>424506</v>
      </c>
      <c r="Z72" s="113">
        <v>583039</v>
      </c>
      <c r="AA72" s="113">
        <v>38024</v>
      </c>
      <c r="AB72" s="122">
        <v>621063</v>
      </c>
      <c r="AD72" s="112" t="s">
        <v>533</v>
      </c>
      <c r="AE72" s="112">
        <v>492300</v>
      </c>
      <c r="AF72" s="112">
        <v>137686</v>
      </c>
      <c r="AG72" s="122">
        <v>629986</v>
      </c>
      <c r="AH72" s="104" t="s">
        <v>528</v>
      </c>
      <c r="AI72" s="104">
        <v>565960</v>
      </c>
      <c r="AJ72" s="104">
        <v>0</v>
      </c>
      <c r="AK72" s="122">
        <v>565960</v>
      </c>
      <c r="AL72" s="106">
        <v>557111</v>
      </c>
      <c r="AM72" s="106">
        <v>0</v>
      </c>
      <c r="AN72" s="122">
        <v>557111</v>
      </c>
      <c r="AO72" s="106">
        <v>431864</v>
      </c>
      <c r="AP72" s="106">
        <v>0</v>
      </c>
      <c r="AQ72" s="122">
        <v>431864</v>
      </c>
      <c r="AR72" s="106">
        <v>548205</v>
      </c>
      <c r="AS72" s="106">
        <v>0</v>
      </c>
      <c r="AT72" s="122">
        <v>548205</v>
      </c>
      <c r="AU72" s="104">
        <v>542</v>
      </c>
      <c r="AV72" s="104" t="s">
        <v>525</v>
      </c>
      <c r="AW72" s="106">
        <v>405220</v>
      </c>
      <c r="AX72" s="106">
        <v>74382</v>
      </c>
      <c r="AY72" s="122">
        <v>479602</v>
      </c>
    </row>
    <row r="73" spans="1:51">
      <c r="A73" s="115" t="s">
        <v>416</v>
      </c>
      <c r="B73" s="115">
        <v>537785</v>
      </c>
      <c r="C73" s="115">
        <v>91049</v>
      </c>
      <c r="D73" s="134">
        <f t="shared" si="10"/>
        <v>628834</v>
      </c>
      <c r="E73" s="115">
        <v>652896</v>
      </c>
      <c r="F73" s="115">
        <v>211422</v>
      </c>
      <c r="G73" s="134">
        <f t="shared" si="11"/>
        <v>864318</v>
      </c>
      <c r="H73" s="115">
        <v>630027</v>
      </c>
      <c r="I73" s="115">
        <v>49641</v>
      </c>
      <c r="J73" s="134">
        <f t="shared" si="12"/>
        <v>679668</v>
      </c>
      <c r="K73" s="115">
        <v>977967</v>
      </c>
      <c r="L73" s="115">
        <v>62924</v>
      </c>
      <c r="M73" s="134">
        <f t="shared" si="13"/>
        <v>1040891</v>
      </c>
      <c r="N73" s="115">
        <v>740940</v>
      </c>
      <c r="O73" s="115">
        <v>37353</v>
      </c>
      <c r="P73" s="134">
        <f t="shared" si="14"/>
        <v>778293</v>
      </c>
      <c r="Q73" s="115">
        <v>619178</v>
      </c>
      <c r="R73" s="115">
        <v>12410</v>
      </c>
      <c r="S73" s="122">
        <v>631588</v>
      </c>
      <c r="T73" s="114">
        <v>692312</v>
      </c>
      <c r="U73" s="114">
        <v>8259</v>
      </c>
      <c r="V73" s="122">
        <v>700571</v>
      </c>
      <c r="W73" s="114">
        <v>1059048</v>
      </c>
      <c r="X73" s="114">
        <v>3620</v>
      </c>
      <c r="Y73" s="122">
        <v>1062668</v>
      </c>
      <c r="Z73" s="113">
        <v>1064448</v>
      </c>
      <c r="AA73" s="113">
        <v>41148</v>
      </c>
      <c r="AB73" s="122">
        <v>1105596</v>
      </c>
      <c r="AD73" s="112" t="s">
        <v>546</v>
      </c>
      <c r="AE73" s="112">
        <v>1052586</v>
      </c>
      <c r="AF73" s="112">
        <v>30954</v>
      </c>
      <c r="AG73" s="122">
        <v>1083540</v>
      </c>
      <c r="AH73" s="104" t="s">
        <v>529</v>
      </c>
      <c r="AI73" s="104">
        <v>467837</v>
      </c>
      <c r="AJ73" s="104">
        <v>81269</v>
      </c>
      <c r="AK73" s="122">
        <v>549106</v>
      </c>
      <c r="AL73" s="106">
        <v>474631</v>
      </c>
      <c r="AM73" s="106">
        <v>61028</v>
      </c>
      <c r="AN73" s="122">
        <v>535659</v>
      </c>
      <c r="AO73" s="106">
        <v>741990</v>
      </c>
      <c r="AP73" s="106">
        <v>620</v>
      </c>
      <c r="AQ73" s="122">
        <v>742610</v>
      </c>
      <c r="AR73" s="106">
        <v>1044254</v>
      </c>
      <c r="AS73" s="106">
        <v>1998</v>
      </c>
      <c r="AT73" s="122">
        <v>1046252</v>
      </c>
      <c r="AU73" s="104">
        <v>543</v>
      </c>
      <c r="AV73" s="104" t="s">
        <v>526</v>
      </c>
      <c r="AW73" s="106">
        <v>776600</v>
      </c>
      <c r="AX73" s="106">
        <v>67345</v>
      </c>
      <c r="AY73" s="122">
        <v>843945</v>
      </c>
    </row>
    <row r="74" spans="1:51">
      <c r="A74" s="115" t="s">
        <v>418</v>
      </c>
      <c r="B74" s="115">
        <v>501013</v>
      </c>
      <c r="C74" s="115">
        <v>121065</v>
      </c>
      <c r="D74" s="134">
        <f t="shared" si="10"/>
        <v>622078</v>
      </c>
      <c r="E74" s="115">
        <v>564617</v>
      </c>
      <c r="F74" s="115">
        <v>339672</v>
      </c>
      <c r="G74" s="134">
        <f t="shared" si="11"/>
        <v>904289</v>
      </c>
      <c r="H74" s="115">
        <v>578741</v>
      </c>
      <c r="I74" s="115">
        <v>241061</v>
      </c>
      <c r="J74" s="134">
        <f t="shared" si="12"/>
        <v>819802</v>
      </c>
      <c r="K74" s="115">
        <v>708648</v>
      </c>
      <c r="L74" s="115">
        <v>25028</v>
      </c>
      <c r="M74" s="134">
        <f t="shared" si="13"/>
        <v>733676</v>
      </c>
      <c r="N74" s="115">
        <v>1019369</v>
      </c>
      <c r="O74" s="115">
        <v>1917</v>
      </c>
      <c r="P74" s="134">
        <f t="shared" si="14"/>
        <v>1021286</v>
      </c>
      <c r="Q74" s="115">
        <v>915808</v>
      </c>
      <c r="R74" s="115">
        <v>0</v>
      </c>
      <c r="S74" s="122">
        <v>915808</v>
      </c>
      <c r="T74" s="114">
        <v>881902</v>
      </c>
      <c r="U74" s="114">
        <v>0</v>
      </c>
      <c r="V74" s="122">
        <v>881902</v>
      </c>
      <c r="W74" s="114">
        <v>925235</v>
      </c>
      <c r="X74" s="114">
        <v>4646</v>
      </c>
      <c r="Y74" s="122">
        <v>929881</v>
      </c>
      <c r="Z74" s="113">
        <v>709095</v>
      </c>
      <c r="AA74" s="113">
        <v>43787</v>
      </c>
      <c r="AB74" s="122">
        <v>752882</v>
      </c>
      <c r="AD74" s="112" t="s">
        <v>547</v>
      </c>
      <c r="AE74" s="112">
        <v>353173</v>
      </c>
      <c r="AF74" s="112">
        <v>26954</v>
      </c>
      <c r="AG74" s="122">
        <v>380127</v>
      </c>
      <c r="AH74" s="104" t="s">
        <v>530</v>
      </c>
      <c r="AI74" s="104">
        <v>847963</v>
      </c>
      <c r="AJ74" s="104">
        <v>5008</v>
      </c>
      <c r="AK74" s="122">
        <v>852971</v>
      </c>
      <c r="AL74" s="106">
        <v>896850</v>
      </c>
      <c r="AM74" s="106">
        <v>0</v>
      </c>
      <c r="AN74" s="122">
        <v>896850</v>
      </c>
      <c r="AO74" s="106">
        <v>761942</v>
      </c>
      <c r="AP74" s="106">
        <v>0</v>
      </c>
      <c r="AQ74" s="122">
        <v>761942</v>
      </c>
      <c r="AR74" s="106">
        <v>832257</v>
      </c>
      <c r="AS74" s="106">
        <v>4213</v>
      </c>
      <c r="AT74" s="122">
        <v>836470</v>
      </c>
      <c r="AU74" s="104">
        <v>544</v>
      </c>
      <c r="AV74" s="104" t="s">
        <v>527</v>
      </c>
      <c r="AW74" s="106">
        <v>1525484</v>
      </c>
      <c r="AX74" s="106">
        <v>160724</v>
      </c>
      <c r="AY74" s="122">
        <v>1686208</v>
      </c>
    </row>
    <row r="75" spans="1:51">
      <c r="A75" s="115" t="s">
        <v>419</v>
      </c>
      <c r="B75" s="115">
        <v>738717</v>
      </c>
      <c r="C75" s="115">
        <v>184669</v>
      </c>
      <c r="D75" s="134">
        <f t="shared" si="10"/>
        <v>923386</v>
      </c>
      <c r="E75" s="115">
        <v>899165</v>
      </c>
      <c r="F75" s="115">
        <v>209998</v>
      </c>
      <c r="G75" s="134">
        <f t="shared" si="11"/>
        <v>1109163</v>
      </c>
      <c r="H75" s="115">
        <v>1130733</v>
      </c>
      <c r="I75" s="115">
        <v>36203</v>
      </c>
      <c r="J75" s="134">
        <f t="shared" si="12"/>
        <v>1166936</v>
      </c>
      <c r="K75" s="115">
        <v>185520</v>
      </c>
      <c r="L75" s="115">
        <v>19701</v>
      </c>
      <c r="M75" s="134">
        <f t="shared" si="13"/>
        <v>205221</v>
      </c>
      <c r="N75" s="115">
        <v>2446448</v>
      </c>
      <c r="O75" s="115">
        <v>112</v>
      </c>
      <c r="P75" s="134">
        <f t="shared" si="14"/>
        <v>2446560</v>
      </c>
      <c r="Q75" s="115">
        <v>2354396</v>
      </c>
      <c r="R75" s="115">
        <v>0</v>
      </c>
      <c r="S75" s="122">
        <v>2354396</v>
      </c>
      <c r="T75" s="114">
        <v>1449731</v>
      </c>
      <c r="U75" s="114">
        <v>0</v>
      </c>
      <c r="V75" s="122">
        <v>1449731</v>
      </c>
      <c r="W75" s="114">
        <v>1256410</v>
      </c>
      <c r="X75" s="114">
        <v>4381</v>
      </c>
      <c r="Y75" s="122">
        <v>1260791</v>
      </c>
      <c r="Z75" s="113">
        <v>1182000</v>
      </c>
      <c r="AA75" s="113">
        <v>27481</v>
      </c>
      <c r="AB75" s="122">
        <v>1209481</v>
      </c>
      <c r="AD75" s="112" t="s">
        <v>548</v>
      </c>
      <c r="AE75" s="112">
        <v>352984</v>
      </c>
      <c r="AF75" s="112">
        <v>9895</v>
      </c>
      <c r="AG75" s="122">
        <v>362879</v>
      </c>
      <c r="AH75" s="104" t="s">
        <v>531</v>
      </c>
      <c r="AI75" s="104">
        <v>593471</v>
      </c>
      <c r="AJ75" s="104">
        <v>0</v>
      </c>
      <c r="AK75" s="122">
        <v>593471</v>
      </c>
      <c r="AL75" s="106">
        <v>581164</v>
      </c>
      <c r="AM75" s="106">
        <v>0</v>
      </c>
      <c r="AN75" s="122">
        <v>581164</v>
      </c>
      <c r="AO75" s="106">
        <v>615009</v>
      </c>
      <c r="AP75" s="106">
        <v>0</v>
      </c>
      <c r="AQ75" s="122">
        <v>615009</v>
      </c>
      <c r="AR75" s="106">
        <v>691604</v>
      </c>
      <c r="AS75" s="106">
        <v>2714</v>
      </c>
      <c r="AT75" s="122">
        <v>694318</v>
      </c>
      <c r="AU75" s="104">
        <v>561</v>
      </c>
      <c r="AV75" s="104" t="s">
        <v>528</v>
      </c>
      <c r="AW75" s="106">
        <v>1170825</v>
      </c>
      <c r="AX75" s="106">
        <v>389349</v>
      </c>
      <c r="AY75" s="122">
        <v>1560174</v>
      </c>
    </row>
    <row r="76" spans="1:51">
      <c r="A76" s="115" t="s">
        <v>420</v>
      </c>
      <c r="B76" s="115">
        <v>267706</v>
      </c>
      <c r="C76" s="115">
        <v>42697</v>
      </c>
      <c r="D76" s="134">
        <f t="shared" si="10"/>
        <v>310403</v>
      </c>
      <c r="E76" s="115">
        <v>341862</v>
      </c>
      <c r="F76" s="115">
        <v>19833</v>
      </c>
      <c r="G76" s="134">
        <f t="shared" si="11"/>
        <v>361695</v>
      </c>
      <c r="H76" s="115">
        <v>399099</v>
      </c>
      <c r="I76" s="115">
        <v>0</v>
      </c>
      <c r="J76" s="134">
        <f t="shared" si="12"/>
        <v>399099</v>
      </c>
      <c r="K76" s="115">
        <v>559316</v>
      </c>
      <c r="L76" s="115">
        <v>18195</v>
      </c>
      <c r="M76" s="134">
        <f t="shared" si="13"/>
        <v>577511</v>
      </c>
      <c r="N76" s="115">
        <v>829394</v>
      </c>
      <c r="O76" s="115">
        <v>378</v>
      </c>
      <c r="P76" s="134">
        <f t="shared" si="14"/>
        <v>829772</v>
      </c>
      <c r="Q76" s="115">
        <v>989452</v>
      </c>
      <c r="R76" s="115">
        <v>0</v>
      </c>
      <c r="S76" s="122">
        <v>989452</v>
      </c>
      <c r="T76" s="114">
        <v>397694</v>
      </c>
      <c r="U76" s="114">
        <v>0</v>
      </c>
      <c r="V76" s="122">
        <v>397694</v>
      </c>
      <c r="W76" s="114">
        <v>568615</v>
      </c>
      <c r="X76" s="114">
        <v>0</v>
      </c>
      <c r="Y76" s="122">
        <v>568615</v>
      </c>
      <c r="Z76" s="113">
        <v>991879</v>
      </c>
      <c r="AA76" s="113">
        <v>59139</v>
      </c>
      <c r="AB76" s="122">
        <v>1051018</v>
      </c>
      <c r="AD76" s="112" t="s">
        <v>549</v>
      </c>
      <c r="AE76" s="112">
        <v>721146</v>
      </c>
      <c r="AF76" s="112">
        <v>41394</v>
      </c>
      <c r="AG76" s="122">
        <v>762540</v>
      </c>
      <c r="AH76" s="104" t="s">
        <v>532</v>
      </c>
      <c r="AI76" s="104">
        <v>601967</v>
      </c>
      <c r="AJ76" s="104">
        <v>42828</v>
      </c>
      <c r="AK76" s="122">
        <v>644795</v>
      </c>
      <c r="AL76" s="106">
        <v>514838</v>
      </c>
      <c r="AM76" s="106">
        <v>0</v>
      </c>
      <c r="AN76" s="122">
        <v>514838</v>
      </c>
      <c r="AO76" s="106">
        <v>504256</v>
      </c>
      <c r="AP76" s="106">
        <v>0</v>
      </c>
      <c r="AQ76" s="122">
        <v>504256</v>
      </c>
      <c r="AR76" s="106">
        <v>312753</v>
      </c>
      <c r="AS76" s="106">
        <v>0</v>
      </c>
      <c r="AT76" s="122">
        <v>312753</v>
      </c>
      <c r="AU76" s="104">
        <v>562</v>
      </c>
      <c r="AV76" s="104" t="s">
        <v>529</v>
      </c>
      <c r="AW76" s="106">
        <v>724022</v>
      </c>
      <c r="AX76" s="106">
        <v>378116</v>
      </c>
      <c r="AY76" s="122">
        <v>1102138</v>
      </c>
    </row>
    <row r="77" spans="1:51">
      <c r="A77" s="115" t="s">
        <v>421</v>
      </c>
      <c r="B77" s="115">
        <v>480574</v>
      </c>
      <c r="C77" s="115">
        <v>148152</v>
      </c>
      <c r="D77" s="134">
        <f t="shared" si="10"/>
        <v>628726</v>
      </c>
      <c r="E77" s="115">
        <v>543027</v>
      </c>
      <c r="F77" s="115">
        <v>280725</v>
      </c>
      <c r="G77" s="134">
        <f t="shared" si="11"/>
        <v>823752</v>
      </c>
      <c r="H77" s="115">
        <v>619260</v>
      </c>
      <c r="I77" s="115">
        <v>48974</v>
      </c>
      <c r="J77" s="134">
        <f t="shared" si="12"/>
        <v>668234</v>
      </c>
      <c r="K77" s="115">
        <v>510672</v>
      </c>
      <c r="L77" s="115">
        <v>8845</v>
      </c>
      <c r="M77" s="134">
        <f t="shared" si="13"/>
        <v>519517</v>
      </c>
      <c r="N77" s="115">
        <v>393910</v>
      </c>
      <c r="O77" s="115">
        <v>1605</v>
      </c>
      <c r="P77" s="134">
        <f t="shared" si="14"/>
        <v>395515</v>
      </c>
      <c r="Q77" s="115">
        <v>552267</v>
      </c>
      <c r="R77" s="115">
        <v>15533</v>
      </c>
      <c r="S77" s="122">
        <v>567800</v>
      </c>
      <c r="T77" s="114">
        <v>676087</v>
      </c>
      <c r="U77" s="114">
        <v>0</v>
      </c>
      <c r="V77" s="122">
        <v>676087</v>
      </c>
      <c r="W77" s="114">
        <v>1121048</v>
      </c>
      <c r="X77" s="114">
        <v>0</v>
      </c>
      <c r="Y77" s="122">
        <v>1121048</v>
      </c>
      <c r="Z77" s="113">
        <v>701666</v>
      </c>
      <c r="AA77" s="113">
        <v>34198</v>
      </c>
      <c r="AB77" s="122">
        <v>735864</v>
      </c>
      <c r="AD77" s="112" t="s">
        <v>534</v>
      </c>
      <c r="AE77" s="112">
        <v>836658</v>
      </c>
      <c r="AF77" s="112">
        <v>58773</v>
      </c>
      <c r="AG77" s="122">
        <v>895431</v>
      </c>
      <c r="AH77" s="104" t="s">
        <v>533</v>
      </c>
      <c r="AI77" s="104">
        <v>485865</v>
      </c>
      <c r="AJ77" s="104">
        <v>665</v>
      </c>
      <c r="AK77" s="122">
        <v>486530</v>
      </c>
      <c r="AL77" s="106">
        <v>431116</v>
      </c>
      <c r="AM77" s="106">
        <v>0</v>
      </c>
      <c r="AN77" s="122">
        <v>431116</v>
      </c>
      <c r="AO77" s="106">
        <v>415374</v>
      </c>
      <c r="AP77" s="106">
        <v>7221</v>
      </c>
      <c r="AQ77" s="122">
        <v>422595</v>
      </c>
      <c r="AR77" s="106">
        <v>715457</v>
      </c>
      <c r="AS77" s="106">
        <v>9651</v>
      </c>
      <c r="AT77" s="122">
        <v>725108</v>
      </c>
      <c r="AU77" s="104">
        <v>581</v>
      </c>
      <c r="AV77" s="104" t="s">
        <v>530</v>
      </c>
      <c r="AW77" s="106">
        <v>845630</v>
      </c>
      <c r="AX77" s="106">
        <v>45997</v>
      </c>
      <c r="AY77" s="122">
        <v>891627</v>
      </c>
    </row>
    <row r="78" spans="1:51">
      <c r="A78" s="115" t="s">
        <v>211</v>
      </c>
      <c r="B78" s="115">
        <f t="shared" ref="B78:N78" si="15">SUM(B79:B88)</f>
        <v>5268923</v>
      </c>
      <c r="C78" s="115">
        <f t="shared" si="15"/>
        <v>862329</v>
      </c>
      <c r="D78" s="134">
        <f t="shared" si="10"/>
        <v>6131252</v>
      </c>
      <c r="E78" s="115">
        <f t="shared" si="15"/>
        <v>7241898</v>
      </c>
      <c r="F78" s="115">
        <f t="shared" si="15"/>
        <v>838322</v>
      </c>
      <c r="G78" s="134">
        <f t="shared" si="11"/>
        <v>8080220</v>
      </c>
      <c r="H78" s="115">
        <f t="shared" si="15"/>
        <v>6772700</v>
      </c>
      <c r="I78" s="115">
        <f t="shared" si="15"/>
        <v>48577</v>
      </c>
      <c r="J78" s="134">
        <f t="shared" si="12"/>
        <v>6821277</v>
      </c>
      <c r="K78" s="115">
        <f t="shared" si="15"/>
        <v>7526383</v>
      </c>
      <c r="L78" s="115">
        <f t="shared" si="15"/>
        <v>83752</v>
      </c>
      <c r="M78" s="134">
        <f t="shared" si="13"/>
        <v>7610135</v>
      </c>
      <c r="N78" s="115">
        <f t="shared" si="15"/>
        <v>7974181</v>
      </c>
      <c r="O78" s="115">
        <f>SUM(O79:O88)</f>
        <v>23595</v>
      </c>
      <c r="P78" s="134">
        <f t="shared" si="14"/>
        <v>7997776</v>
      </c>
      <c r="Q78" s="115">
        <v>8589084</v>
      </c>
      <c r="R78" s="115">
        <v>54548</v>
      </c>
      <c r="S78" s="122">
        <v>8643632</v>
      </c>
      <c r="T78" s="114">
        <v>11115873</v>
      </c>
      <c r="U78" s="114">
        <v>557885</v>
      </c>
      <c r="V78" s="122">
        <v>11673758</v>
      </c>
      <c r="W78" s="114">
        <v>9103223</v>
      </c>
      <c r="X78" s="114">
        <v>332397</v>
      </c>
      <c r="Y78" s="122">
        <v>9435620</v>
      </c>
      <c r="Z78" s="113">
        <v>8701586</v>
      </c>
      <c r="AA78" s="113">
        <v>171150</v>
      </c>
      <c r="AB78" s="122">
        <v>8872736</v>
      </c>
      <c r="AD78" s="112" t="s">
        <v>535</v>
      </c>
      <c r="AE78" s="112">
        <v>1455882</v>
      </c>
      <c r="AF78" s="112">
        <v>83765</v>
      </c>
      <c r="AG78" s="122">
        <v>1539647</v>
      </c>
      <c r="AH78" s="104" t="s">
        <v>546</v>
      </c>
      <c r="AI78" s="104">
        <v>1343517</v>
      </c>
      <c r="AJ78" s="104">
        <v>13175</v>
      </c>
      <c r="AK78" s="122">
        <v>1356692</v>
      </c>
      <c r="AL78" s="106">
        <v>935041</v>
      </c>
      <c r="AM78" s="106">
        <v>0</v>
      </c>
      <c r="AN78" s="122">
        <v>935041</v>
      </c>
      <c r="AO78" s="106">
        <v>767017</v>
      </c>
      <c r="AP78" s="106">
        <v>0</v>
      </c>
      <c r="AQ78" s="122">
        <v>767017</v>
      </c>
      <c r="AR78" s="106">
        <v>709252</v>
      </c>
      <c r="AS78" s="106">
        <v>0</v>
      </c>
      <c r="AT78" s="122">
        <v>709252</v>
      </c>
      <c r="AU78" s="104">
        <v>582</v>
      </c>
      <c r="AV78" s="104" t="s">
        <v>531</v>
      </c>
      <c r="AW78" s="106">
        <v>465762</v>
      </c>
      <c r="AX78" s="106">
        <v>48426</v>
      </c>
      <c r="AY78" s="122">
        <v>514188</v>
      </c>
    </row>
    <row r="79" spans="1:51">
      <c r="A79" s="115" t="s">
        <v>422</v>
      </c>
      <c r="B79" s="115">
        <v>378506</v>
      </c>
      <c r="C79" s="115">
        <v>79577</v>
      </c>
      <c r="D79" s="134">
        <f t="shared" si="10"/>
        <v>458083</v>
      </c>
      <c r="E79" s="115">
        <v>769027</v>
      </c>
      <c r="F79" s="115">
        <v>73331</v>
      </c>
      <c r="G79" s="134">
        <f t="shared" si="11"/>
        <v>842358</v>
      </c>
      <c r="H79" s="115">
        <v>516124</v>
      </c>
      <c r="I79" s="115">
        <v>0</v>
      </c>
      <c r="J79" s="134">
        <f t="shared" si="12"/>
        <v>516124</v>
      </c>
      <c r="K79" s="115">
        <v>376974</v>
      </c>
      <c r="L79" s="115">
        <v>0</v>
      </c>
      <c r="M79" s="134">
        <f t="shared" si="13"/>
        <v>376974</v>
      </c>
      <c r="N79" s="115">
        <v>734018</v>
      </c>
      <c r="O79" s="115">
        <v>0</v>
      </c>
      <c r="P79" s="134">
        <f t="shared" si="14"/>
        <v>734018</v>
      </c>
      <c r="Q79" s="115">
        <v>964858</v>
      </c>
      <c r="R79" s="115">
        <v>0</v>
      </c>
      <c r="S79" s="122">
        <v>964858</v>
      </c>
      <c r="T79" s="114">
        <v>913965</v>
      </c>
      <c r="U79" s="114">
        <v>0</v>
      </c>
      <c r="V79" s="122">
        <v>913965</v>
      </c>
      <c r="W79" s="114">
        <v>464123</v>
      </c>
      <c r="X79" s="114">
        <v>0</v>
      </c>
      <c r="Y79" s="122">
        <v>464123</v>
      </c>
      <c r="Z79" s="113">
        <v>544095</v>
      </c>
      <c r="AA79" s="113">
        <v>0</v>
      </c>
      <c r="AB79" s="122">
        <v>544095</v>
      </c>
      <c r="AD79" s="112" t="s">
        <v>536</v>
      </c>
      <c r="AE79" s="112">
        <v>586799</v>
      </c>
      <c r="AF79" s="112">
        <v>15399</v>
      </c>
      <c r="AG79" s="122">
        <v>602198</v>
      </c>
      <c r="AH79" s="104" t="s">
        <v>547</v>
      </c>
      <c r="AI79" s="104">
        <v>370553</v>
      </c>
      <c r="AJ79" s="104">
        <v>0</v>
      </c>
      <c r="AK79" s="122">
        <v>370553</v>
      </c>
      <c r="AL79" s="106">
        <v>440274</v>
      </c>
      <c r="AM79" s="106">
        <v>0</v>
      </c>
      <c r="AN79" s="122">
        <v>440274</v>
      </c>
      <c r="AO79" s="106">
        <v>346800</v>
      </c>
      <c r="AP79" s="106">
        <v>0</v>
      </c>
      <c r="AQ79" s="122">
        <v>346800</v>
      </c>
      <c r="AR79" s="106">
        <v>216478</v>
      </c>
      <c r="AS79" s="106">
        <v>0</v>
      </c>
      <c r="AT79" s="122">
        <v>216478</v>
      </c>
      <c r="AU79" s="104">
        <v>583</v>
      </c>
      <c r="AV79" s="104" t="s">
        <v>532</v>
      </c>
      <c r="AW79" s="106">
        <v>410706</v>
      </c>
      <c r="AX79" s="106">
        <v>35830</v>
      </c>
      <c r="AY79" s="122">
        <v>446536</v>
      </c>
    </row>
    <row r="80" spans="1:51">
      <c r="A80" s="115" t="s">
        <v>423</v>
      </c>
      <c r="B80" s="115">
        <v>844949</v>
      </c>
      <c r="C80" s="115">
        <v>36452</v>
      </c>
      <c r="D80" s="134">
        <f t="shared" si="10"/>
        <v>881401</v>
      </c>
      <c r="E80" s="115">
        <v>1169321</v>
      </c>
      <c r="F80" s="115">
        <v>30640</v>
      </c>
      <c r="G80" s="134">
        <f t="shared" si="11"/>
        <v>1199961</v>
      </c>
      <c r="H80" s="115">
        <v>1076484</v>
      </c>
      <c r="I80" s="115">
        <v>8636</v>
      </c>
      <c r="J80" s="134">
        <f t="shared" si="12"/>
        <v>1085120</v>
      </c>
      <c r="K80" s="115">
        <v>1026933</v>
      </c>
      <c r="L80" s="115">
        <v>0</v>
      </c>
      <c r="M80" s="134">
        <f t="shared" si="13"/>
        <v>1026933</v>
      </c>
      <c r="N80" s="115">
        <v>1074409</v>
      </c>
      <c r="O80" s="115">
        <v>10209</v>
      </c>
      <c r="P80" s="134">
        <f t="shared" si="14"/>
        <v>1084618</v>
      </c>
      <c r="Q80" s="115">
        <v>1070508</v>
      </c>
      <c r="R80" s="115">
        <v>0</v>
      </c>
      <c r="S80" s="122">
        <v>1070508</v>
      </c>
      <c r="T80" s="114">
        <v>768041</v>
      </c>
      <c r="U80" s="114">
        <v>0</v>
      </c>
      <c r="V80" s="122">
        <v>768041</v>
      </c>
      <c r="W80" s="114">
        <v>985056</v>
      </c>
      <c r="X80" s="114">
        <v>0</v>
      </c>
      <c r="Y80" s="122">
        <v>985056</v>
      </c>
      <c r="Z80" s="113">
        <v>1248068</v>
      </c>
      <c r="AA80" s="113">
        <v>4305</v>
      </c>
      <c r="AB80" s="122">
        <v>1252373</v>
      </c>
      <c r="AD80" s="112" t="s">
        <v>537</v>
      </c>
      <c r="AE80" s="112">
        <v>1319949</v>
      </c>
      <c r="AF80" s="112">
        <v>63039</v>
      </c>
      <c r="AG80" s="122">
        <v>1382988</v>
      </c>
      <c r="AH80" s="104" t="s">
        <v>548</v>
      </c>
      <c r="AI80" s="104">
        <v>352325</v>
      </c>
      <c r="AJ80" s="104">
        <v>9201</v>
      </c>
      <c r="AK80" s="122">
        <v>361526</v>
      </c>
      <c r="AL80" s="106">
        <v>440632</v>
      </c>
      <c r="AM80" s="106">
        <v>0</v>
      </c>
      <c r="AN80" s="122">
        <v>440632</v>
      </c>
      <c r="AO80" s="106">
        <v>442638</v>
      </c>
      <c r="AP80" s="106">
        <v>0</v>
      </c>
      <c r="AQ80" s="122">
        <v>442638</v>
      </c>
      <c r="AR80" s="106">
        <v>458945</v>
      </c>
      <c r="AS80" s="106">
        <v>682</v>
      </c>
      <c r="AT80" s="122">
        <v>459627</v>
      </c>
      <c r="AU80" s="104">
        <v>584</v>
      </c>
      <c r="AV80" s="104" t="s">
        <v>533</v>
      </c>
      <c r="AW80" s="106">
        <v>1017154</v>
      </c>
      <c r="AX80" s="106">
        <v>80031</v>
      </c>
      <c r="AY80" s="122">
        <v>1097185</v>
      </c>
    </row>
    <row r="81" spans="1:51">
      <c r="A81" s="115" t="s">
        <v>424</v>
      </c>
      <c r="B81" s="115">
        <v>422851</v>
      </c>
      <c r="C81" s="115">
        <v>103707</v>
      </c>
      <c r="D81" s="134">
        <f t="shared" si="10"/>
        <v>526558</v>
      </c>
      <c r="E81" s="115">
        <v>759337</v>
      </c>
      <c r="F81" s="115">
        <v>203075</v>
      </c>
      <c r="G81" s="134">
        <f t="shared" si="11"/>
        <v>962412</v>
      </c>
      <c r="H81" s="115">
        <v>539636</v>
      </c>
      <c r="I81" s="115">
        <v>0</v>
      </c>
      <c r="J81" s="134">
        <f t="shared" si="12"/>
        <v>539636</v>
      </c>
      <c r="K81" s="115">
        <v>705401</v>
      </c>
      <c r="L81" s="115">
        <v>8698</v>
      </c>
      <c r="M81" s="134">
        <f t="shared" si="13"/>
        <v>714099</v>
      </c>
      <c r="N81" s="115">
        <v>602182</v>
      </c>
      <c r="O81" s="115">
        <v>0</v>
      </c>
      <c r="P81" s="134">
        <f t="shared" si="14"/>
        <v>602182</v>
      </c>
      <c r="Q81" s="115">
        <v>292106</v>
      </c>
      <c r="R81" s="115">
        <v>0</v>
      </c>
      <c r="S81" s="122">
        <v>292106</v>
      </c>
      <c r="T81" s="114">
        <v>291892</v>
      </c>
      <c r="U81" s="114">
        <v>0</v>
      </c>
      <c r="V81" s="122">
        <v>291892</v>
      </c>
      <c r="W81" s="114">
        <v>442819</v>
      </c>
      <c r="X81" s="114">
        <v>9490</v>
      </c>
      <c r="Y81" s="122">
        <v>452309</v>
      </c>
      <c r="Z81" s="113">
        <v>789799</v>
      </c>
      <c r="AA81" s="113">
        <v>62180</v>
      </c>
      <c r="AB81" s="122">
        <v>851979</v>
      </c>
      <c r="AD81" s="112" t="s">
        <v>464</v>
      </c>
      <c r="AE81" s="112">
        <v>9332036</v>
      </c>
      <c r="AF81" s="112">
        <v>652922</v>
      </c>
      <c r="AG81" s="122">
        <v>9984958</v>
      </c>
      <c r="AH81" s="104" t="s">
        <v>549</v>
      </c>
      <c r="AI81" s="104">
        <v>585368</v>
      </c>
      <c r="AJ81" s="104">
        <v>0</v>
      </c>
      <c r="AK81" s="122">
        <v>585368</v>
      </c>
      <c r="AL81" s="106">
        <v>615113</v>
      </c>
      <c r="AM81" s="106">
        <v>0</v>
      </c>
      <c r="AN81" s="122">
        <v>615113</v>
      </c>
      <c r="AO81" s="106">
        <v>546863</v>
      </c>
      <c r="AP81" s="106">
        <v>0</v>
      </c>
      <c r="AQ81" s="122">
        <v>546863</v>
      </c>
      <c r="AR81" s="106">
        <v>804288</v>
      </c>
      <c r="AS81" s="106">
        <v>0</v>
      </c>
      <c r="AT81" s="122">
        <v>804288</v>
      </c>
      <c r="AU81" s="104">
        <v>621</v>
      </c>
      <c r="AV81" s="104" t="s">
        <v>534</v>
      </c>
      <c r="AW81" s="106">
        <v>399574</v>
      </c>
      <c r="AX81" s="106">
        <v>20526</v>
      </c>
      <c r="AY81" s="122">
        <v>420100</v>
      </c>
    </row>
    <row r="82" spans="1:51">
      <c r="A82" s="115" t="s">
        <v>425</v>
      </c>
      <c r="B82" s="115">
        <v>554746</v>
      </c>
      <c r="C82" s="115">
        <v>140652</v>
      </c>
      <c r="D82" s="134">
        <f t="shared" si="10"/>
        <v>695398</v>
      </c>
      <c r="E82" s="115">
        <v>1044504</v>
      </c>
      <c r="F82" s="115">
        <v>196859</v>
      </c>
      <c r="G82" s="134">
        <f t="shared" si="11"/>
        <v>1241363</v>
      </c>
      <c r="H82" s="115">
        <v>671104</v>
      </c>
      <c r="I82" s="115">
        <v>32500</v>
      </c>
      <c r="J82" s="134">
        <f t="shared" si="12"/>
        <v>703604</v>
      </c>
      <c r="K82" s="115">
        <v>513214</v>
      </c>
      <c r="L82" s="115">
        <v>12189</v>
      </c>
      <c r="M82" s="134">
        <f t="shared" si="13"/>
        <v>525403</v>
      </c>
      <c r="N82" s="115">
        <v>565597</v>
      </c>
      <c r="O82" s="115">
        <v>3039</v>
      </c>
      <c r="P82" s="134">
        <f t="shared" si="14"/>
        <v>568636</v>
      </c>
      <c r="Q82" s="115">
        <v>620277</v>
      </c>
      <c r="R82" s="115">
        <v>704</v>
      </c>
      <c r="S82" s="122">
        <v>620981</v>
      </c>
      <c r="T82" s="114">
        <v>490235</v>
      </c>
      <c r="U82" s="114">
        <v>0</v>
      </c>
      <c r="V82" s="122">
        <v>490235</v>
      </c>
      <c r="W82" s="114">
        <v>501419</v>
      </c>
      <c r="X82" s="114">
        <v>323</v>
      </c>
      <c r="Y82" s="122">
        <v>501742</v>
      </c>
      <c r="Z82" s="113">
        <v>456001</v>
      </c>
      <c r="AA82" s="113">
        <v>24534</v>
      </c>
      <c r="AB82" s="122">
        <v>480535</v>
      </c>
      <c r="AD82" s="112" t="s">
        <v>1147</v>
      </c>
      <c r="AE82" s="112">
        <v>3863663</v>
      </c>
      <c r="AF82" s="112">
        <v>199506</v>
      </c>
      <c r="AG82" s="122">
        <v>4063169</v>
      </c>
      <c r="AH82" s="104" t="s">
        <v>534</v>
      </c>
      <c r="AI82" s="104">
        <v>766170</v>
      </c>
      <c r="AJ82" s="104">
        <v>1</v>
      </c>
      <c r="AK82" s="122">
        <v>766171</v>
      </c>
      <c r="AL82" s="106">
        <v>798032</v>
      </c>
      <c r="AM82" s="106">
        <v>0</v>
      </c>
      <c r="AN82" s="122">
        <v>798032</v>
      </c>
      <c r="AO82" s="106">
        <v>468877</v>
      </c>
      <c r="AP82" s="106">
        <v>0</v>
      </c>
      <c r="AQ82" s="122">
        <v>468877</v>
      </c>
      <c r="AR82" s="106">
        <v>573135</v>
      </c>
      <c r="AS82" s="106">
        <v>0</v>
      </c>
      <c r="AT82" s="122">
        <v>573135</v>
      </c>
      <c r="AU82" s="104">
        <v>622</v>
      </c>
      <c r="AV82" s="104" t="s">
        <v>535</v>
      </c>
      <c r="AW82" s="106">
        <v>1173017</v>
      </c>
      <c r="AX82" s="106">
        <v>178562</v>
      </c>
      <c r="AY82" s="122">
        <v>1351579</v>
      </c>
    </row>
    <row r="83" spans="1:51">
      <c r="A83" s="115" t="s">
        <v>426</v>
      </c>
      <c r="B83" s="115">
        <v>380079</v>
      </c>
      <c r="C83" s="115">
        <v>94447</v>
      </c>
      <c r="D83" s="134">
        <f t="shared" si="10"/>
        <v>474526</v>
      </c>
      <c r="E83" s="115">
        <v>631131</v>
      </c>
      <c r="F83" s="115">
        <v>30569</v>
      </c>
      <c r="G83" s="134">
        <f t="shared" si="11"/>
        <v>661700</v>
      </c>
      <c r="H83" s="115">
        <v>607380</v>
      </c>
      <c r="I83" s="115">
        <v>0</v>
      </c>
      <c r="J83" s="134">
        <f t="shared" si="12"/>
        <v>607380</v>
      </c>
      <c r="K83" s="115">
        <v>627440</v>
      </c>
      <c r="L83" s="115">
        <v>10792</v>
      </c>
      <c r="M83" s="134">
        <f t="shared" si="13"/>
        <v>638232</v>
      </c>
      <c r="N83" s="115">
        <v>1076611</v>
      </c>
      <c r="O83" s="115">
        <v>0</v>
      </c>
      <c r="P83" s="134">
        <f t="shared" si="14"/>
        <v>1076611</v>
      </c>
      <c r="Q83" s="115">
        <v>474221</v>
      </c>
      <c r="R83" s="115">
        <v>9156</v>
      </c>
      <c r="S83" s="122">
        <v>483377</v>
      </c>
      <c r="T83" s="114">
        <v>744308</v>
      </c>
      <c r="U83" s="114">
        <v>26057</v>
      </c>
      <c r="V83" s="122">
        <v>770365</v>
      </c>
      <c r="W83" s="114">
        <v>888273</v>
      </c>
      <c r="X83" s="114">
        <v>3114</v>
      </c>
      <c r="Y83" s="122">
        <v>891387</v>
      </c>
      <c r="Z83" s="113">
        <v>714287</v>
      </c>
      <c r="AA83" s="113">
        <v>16562</v>
      </c>
      <c r="AB83" s="122">
        <v>730849</v>
      </c>
      <c r="AD83" s="112" t="s">
        <v>550</v>
      </c>
      <c r="AE83" s="112">
        <v>489315</v>
      </c>
      <c r="AF83" s="112">
        <v>97223</v>
      </c>
      <c r="AG83" s="122">
        <v>586538</v>
      </c>
      <c r="AH83" s="104" t="s">
        <v>535</v>
      </c>
      <c r="AI83" s="104">
        <v>1509249</v>
      </c>
      <c r="AJ83" s="104">
        <v>61561</v>
      </c>
      <c r="AK83" s="122">
        <v>1570810</v>
      </c>
      <c r="AL83" s="106">
        <v>1714774</v>
      </c>
      <c r="AM83" s="106">
        <v>75903</v>
      </c>
      <c r="AN83" s="122">
        <v>1790677</v>
      </c>
      <c r="AO83" s="106">
        <v>1405628</v>
      </c>
      <c r="AP83" s="106">
        <v>0</v>
      </c>
      <c r="AQ83" s="122">
        <v>1405628</v>
      </c>
      <c r="AR83" s="106">
        <v>1582760</v>
      </c>
      <c r="AS83" s="106">
        <v>0</v>
      </c>
      <c r="AT83" s="122">
        <v>1582760</v>
      </c>
      <c r="AU83" s="104">
        <v>623</v>
      </c>
      <c r="AV83" s="104" t="s">
        <v>536</v>
      </c>
      <c r="AW83" s="106">
        <v>417636</v>
      </c>
      <c r="AX83" s="106">
        <v>67972</v>
      </c>
      <c r="AY83" s="122">
        <v>485608</v>
      </c>
    </row>
    <row r="84" spans="1:51">
      <c r="A84" s="115" t="s">
        <v>427</v>
      </c>
      <c r="B84" s="115">
        <v>646348</v>
      </c>
      <c r="C84" s="115">
        <v>156308</v>
      </c>
      <c r="D84" s="134">
        <f t="shared" si="10"/>
        <v>802656</v>
      </c>
      <c r="E84" s="115">
        <v>477754</v>
      </c>
      <c r="F84" s="115">
        <v>106213</v>
      </c>
      <c r="G84" s="134">
        <f t="shared" si="11"/>
        <v>583967</v>
      </c>
      <c r="H84" s="115">
        <v>592067</v>
      </c>
      <c r="I84" s="115">
        <v>7441</v>
      </c>
      <c r="J84" s="134">
        <f t="shared" si="12"/>
        <v>599508</v>
      </c>
      <c r="K84" s="115">
        <v>952997</v>
      </c>
      <c r="L84" s="115">
        <v>4312</v>
      </c>
      <c r="M84" s="134">
        <f t="shared" si="13"/>
        <v>957309</v>
      </c>
      <c r="N84" s="115">
        <v>848025</v>
      </c>
      <c r="O84" s="115">
        <v>0</v>
      </c>
      <c r="P84" s="134">
        <f t="shared" si="14"/>
        <v>848025</v>
      </c>
      <c r="Q84" s="115">
        <v>961845</v>
      </c>
      <c r="R84" s="115">
        <v>0</v>
      </c>
      <c r="S84" s="122">
        <v>961845</v>
      </c>
      <c r="T84" s="114">
        <v>689380</v>
      </c>
      <c r="U84" s="114">
        <v>690</v>
      </c>
      <c r="V84" s="122">
        <v>690070</v>
      </c>
      <c r="W84" s="114">
        <v>624355</v>
      </c>
      <c r="X84" s="114">
        <v>4459</v>
      </c>
      <c r="Y84" s="122">
        <v>628814</v>
      </c>
      <c r="Z84" s="113">
        <v>642509</v>
      </c>
      <c r="AA84" s="113">
        <v>21993</v>
      </c>
      <c r="AB84" s="122">
        <v>664502</v>
      </c>
      <c r="AD84" s="112" t="s">
        <v>551</v>
      </c>
      <c r="AE84" s="112">
        <v>1221265</v>
      </c>
      <c r="AF84" s="112">
        <v>25654</v>
      </c>
      <c r="AG84" s="122">
        <v>1246919</v>
      </c>
      <c r="AH84" s="104" t="s">
        <v>536</v>
      </c>
      <c r="AI84" s="104">
        <v>456178</v>
      </c>
      <c r="AJ84" s="104">
        <v>512</v>
      </c>
      <c r="AK84" s="122">
        <v>456690</v>
      </c>
      <c r="AL84" s="106">
        <v>453570</v>
      </c>
      <c r="AM84" s="106">
        <v>31999</v>
      </c>
      <c r="AN84" s="122">
        <v>485569</v>
      </c>
      <c r="AO84" s="106">
        <v>446466</v>
      </c>
      <c r="AP84" s="106">
        <v>0</v>
      </c>
      <c r="AQ84" s="122">
        <v>446466</v>
      </c>
      <c r="AR84" s="106">
        <v>725301</v>
      </c>
      <c r="AS84" s="106">
        <v>0</v>
      </c>
      <c r="AT84" s="122">
        <v>725301</v>
      </c>
      <c r="AU84" s="104">
        <v>624</v>
      </c>
      <c r="AV84" s="104" t="s">
        <v>537</v>
      </c>
      <c r="AW84" s="106">
        <v>490871</v>
      </c>
      <c r="AX84" s="106">
        <v>51200</v>
      </c>
      <c r="AY84" s="122">
        <v>542071</v>
      </c>
    </row>
    <row r="85" spans="1:51">
      <c r="A85" s="115" t="s">
        <v>429</v>
      </c>
      <c r="B85" s="115">
        <v>1069671</v>
      </c>
      <c r="C85" s="115">
        <v>119562</v>
      </c>
      <c r="D85" s="134">
        <f t="shared" si="10"/>
        <v>1189233</v>
      </c>
      <c r="E85" s="115">
        <v>937429</v>
      </c>
      <c r="F85" s="115">
        <v>101485</v>
      </c>
      <c r="G85" s="134">
        <f t="shared" si="11"/>
        <v>1038914</v>
      </c>
      <c r="H85" s="115">
        <v>1034097</v>
      </c>
      <c r="I85" s="115">
        <v>0</v>
      </c>
      <c r="J85" s="134">
        <f t="shared" si="12"/>
        <v>1034097</v>
      </c>
      <c r="K85" s="115">
        <v>1452433</v>
      </c>
      <c r="L85" s="115">
        <v>0</v>
      </c>
      <c r="M85" s="134">
        <f t="shared" si="13"/>
        <v>1452433</v>
      </c>
      <c r="N85" s="115">
        <v>1461144</v>
      </c>
      <c r="O85" s="115">
        <v>10347</v>
      </c>
      <c r="P85" s="134">
        <f t="shared" si="14"/>
        <v>1471491</v>
      </c>
      <c r="Q85" s="115">
        <v>1311962</v>
      </c>
      <c r="R85" s="115">
        <v>39374</v>
      </c>
      <c r="S85" s="122">
        <v>1351336</v>
      </c>
      <c r="T85" s="114">
        <v>1870199</v>
      </c>
      <c r="U85" s="114">
        <v>211703</v>
      </c>
      <c r="V85" s="122">
        <v>2081902</v>
      </c>
      <c r="W85" s="114">
        <v>2590247</v>
      </c>
      <c r="X85" s="114">
        <v>152361</v>
      </c>
      <c r="Y85" s="122">
        <v>2742608</v>
      </c>
      <c r="Z85" s="113">
        <v>1679563</v>
      </c>
      <c r="AA85" s="113">
        <v>19204</v>
      </c>
      <c r="AB85" s="122">
        <v>1698767</v>
      </c>
      <c r="AD85" s="112" t="s">
        <v>552</v>
      </c>
      <c r="AE85" s="112">
        <v>1001117</v>
      </c>
      <c r="AF85" s="112">
        <v>65394</v>
      </c>
      <c r="AG85" s="122">
        <v>1066511</v>
      </c>
      <c r="AH85" s="104" t="s">
        <v>537</v>
      </c>
      <c r="AI85" s="104">
        <v>629686</v>
      </c>
      <c r="AJ85" s="104">
        <v>0</v>
      </c>
      <c r="AK85" s="122">
        <v>629686</v>
      </c>
      <c r="AL85" s="106">
        <v>722659</v>
      </c>
      <c r="AM85" s="106">
        <v>0</v>
      </c>
      <c r="AN85" s="122">
        <v>722659</v>
      </c>
      <c r="AO85" s="106">
        <v>385450</v>
      </c>
      <c r="AP85" s="106">
        <v>0</v>
      </c>
      <c r="AQ85" s="122">
        <v>385450</v>
      </c>
      <c r="AR85" s="106">
        <v>479041</v>
      </c>
      <c r="AS85" s="106">
        <v>0</v>
      </c>
      <c r="AT85" s="122">
        <v>479041</v>
      </c>
      <c r="AU85" s="104">
        <v>681</v>
      </c>
      <c r="AV85" s="104" t="s">
        <v>538</v>
      </c>
      <c r="AW85" s="106">
        <v>901840</v>
      </c>
      <c r="AX85" s="106">
        <v>1454031</v>
      </c>
      <c r="AY85" s="122">
        <v>2355871</v>
      </c>
    </row>
    <row r="86" spans="1:51">
      <c r="A86" s="115" t="s">
        <v>430</v>
      </c>
      <c r="B86" s="115">
        <v>200498</v>
      </c>
      <c r="C86" s="115">
        <v>33436</v>
      </c>
      <c r="D86" s="134">
        <f t="shared" si="10"/>
        <v>233934</v>
      </c>
      <c r="E86" s="115">
        <v>394504</v>
      </c>
      <c r="F86" s="115">
        <v>869</v>
      </c>
      <c r="G86" s="134">
        <f t="shared" si="11"/>
        <v>395373</v>
      </c>
      <c r="H86" s="115">
        <v>351395</v>
      </c>
      <c r="I86" s="115">
        <v>0</v>
      </c>
      <c r="J86" s="134">
        <f t="shared" si="12"/>
        <v>351395</v>
      </c>
      <c r="K86" s="115">
        <v>427606</v>
      </c>
      <c r="L86" s="115">
        <v>0</v>
      </c>
      <c r="M86" s="134">
        <f t="shared" si="13"/>
        <v>427606</v>
      </c>
      <c r="N86" s="115">
        <v>317400</v>
      </c>
      <c r="O86" s="115">
        <v>0</v>
      </c>
      <c r="P86" s="134">
        <f t="shared" si="14"/>
        <v>317400</v>
      </c>
      <c r="Q86" s="115">
        <v>978224</v>
      </c>
      <c r="R86" s="115">
        <v>1663</v>
      </c>
      <c r="S86" s="122">
        <v>979887</v>
      </c>
      <c r="T86" s="114">
        <v>759383</v>
      </c>
      <c r="U86" s="114">
        <v>2175</v>
      </c>
      <c r="V86" s="122">
        <v>761558</v>
      </c>
      <c r="W86" s="114">
        <v>830912</v>
      </c>
      <c r="X86" s="114">
        <v>510</v>
      </c>
      <c r="Y86" s="122">
        <v>831422</v>
      </c>
      <c r="Z86" s="113">
        <v>876229</v>
      </c>
      <c r="AA86" s="113">
        <v>8826</v>
      </c>
      <c r="AB86" s="122">
        <v>885055</v>
      </c>
      <c r="AD86" s="112" t="s">
        <v>553</v>
      </c>
      <c r="AE86" s="112">
        <v>811903</v>
      </c>
      <c r="AF86" s="112">
        <v>43274</v>
      </c>
      <c r="AG86" s="122">
        <v>855177</v>
      </c>
      <c r="AH86" s="104" t="s">
        <v>550</v>
      </c>
      <c r="AI86" s="104">
        <v>1259409</v>
      </c>
      <c r="AJ86" s="104">
        <v>10670</v>
      </c>
      <c r="AK86" s="122">
        <v>1270079</v>
      </c>
      <c r="AL86" s="106">
        <v>528216</v>
      </c>
      <c r="AM86" s="106">
        <v>0</v>
      </c>
      <c r="AN86" s="122">
        <v>528216</v>
      </c>
      <c r="AO86" s="106">
        <v>613332</v>
      </c>
      <c r="AP86" s="106">
        <v>0</v>
      </c>
      <c r="AQ86" s="122">
        <v>613332</v>
      </c>
      <c r="AR86" s="106">
        <v>584148</v>
      </c>
      <c r="AS86" s="106">
        <v>0</v>
      </c>
      <c r="AT86" s="122">
        <v>584148</v>
      </c>
      <c r="AU86" s="104">
        <v>682</v>
      </c>
      <c r="AV86" s="104" t="s">
        <v>539</v>
      </c>
      <c r="AW86" s="106">
        <v>466661</v>
      </c>
      <c r="AX86" s="106">
        <v>95683</v>
      </c>
      <c r="AY86" s="122">
        <v>562344</v>
      </c>
    </row>
    <row r="87" spans="1:51">
      <c r="A87" s="115" t="s">
        <v>431</v>
      </c>
      <c r="B87" s="115">
        <v>475563</v>
      </c>
      <c r="C87" s="115">
        <v>59106</v>
      </c>
      <c r="D87" s="134">
        <f t="shared" si="10"/>
        <v>534669</v>
      </c>
      <c r="E87" s="115">
        <v>702190</v>
      </c>
      <c r="F87" s="115">
        <v>94139</v>
      </c>
      <c r="G87" s="134">
        <f t="shared" si="11"/>
        <v>796329</v>
      </c>
      <c r="H87" s="115">
        <v>726106</v>
      </c>
      <c r="I87" s="115">
        <v>0</v>
      </c>
      <c r="J87" s="134">
        <f t="shared" si="12"/>
        <v>726106</v>
      </c>
      <c r="K87" s="115">
        <v>1260271</v>
      </c>
      <c r="L87" s="115">
        <v>8654</v>
      </c>
      <c r="M87" s="134">
        <f t="shared" si="13"/>
        <v>1268925</v>
      </c>
      <c r="N87" s="115">
        <v>1120099</v>
      </c>
      <c r="O87" s="115">
        <v>0</v>
      </c>
      <c r="P87" s="134">
        <f t="shared" si="14"/>
        <v>1120099</v>
      </c>
      <c r="Q87" s="115">
        <v>1732434</v>
      </c>
      <c r="R87" s="115">
        <v>1681</v>
      </c>
      <c r="S87" s="122">
        <v>1734115</v>
      </c>
      <c r="T87" s="114">
        <v>4372367</v>
      </c>
      <c r="U87" s="114">
        <v>207891</v>
      </c>
      <c r="V87" s="122">
        <v>4580258</v>
      </c>
      <c r="W87" s="114">
        <v>1610730</v>
      </c>
      <c r="X87" s="114">
        <v>95440</v>
      </c>
      <c r="Y87" s="122">
        <v>1706170</v>
      </c>
      <c r="Z87" s="113">
        <v>1607908</v>
      </c>
      <c r="AA87" s="113">
        <v>10140</v>
      </c>
      <c r="AB87" s="122">
        <v>1618048</v>
      </c>
      <c r="AD87" s="112" t="s">
        <v>555</v>
      </c>
      <c r="AE87" s="112">
        <v>760033</v>
      </c>
      <c r="AF87" s="112">
        <v>171441</v>
      </c>
      <c r="AG87" s="122">
        <v>931474</v>
      </c>
      <c r="AH87" s="104" t="s">
        <v>551</v>
      </c>
      <c r="AI87" s="104">
        <v>1116251</v>
      </c>
      <c r="AJ87" s="104">
        <v>40175</v>
      </c>
      <c r="AK87" s="122">
        <v>1156426</v>
      </c>
      <c r="AL87" s="106">
        <v>945625</v>
      </c>
      <c r="AM87" s="106">
        <v>0</v>
      </c>
      <c r="AN87" s="122">
        <v>945625</v>
      </c>
      <c r="AO87" s="106">
        <v>869294</v>
      </c>
      <c r="AP87" s="106">
        <v>0</v>
      </c>
      <c r="AQ87" s="122">
        <v>869294</v>
      </c>
      <c r="AR87" s="106">
        <v>1095000</v>
      </c>
      <c r="AS87" s="106">
        <v>0</v>
      </c>
      <c r="AT87" s="122">
        <v>1095000</v>
      </c>
      <c r="AU87" s="104">
        <v>683</v>
      </c>
      <c r="AV87" s="104" t="s">
        <v>540</v>
      </c>
      <c r="AW87" s="106">
        <v>2941256</v>
      </c>
      <c r="AX87" s="106">
        <v>1137001</v>
      </c>
      <c r="AY87" s="122">
        <v>4078257</v>
      </c>
    </row>
    <row r="88" spans="1:51">
      <c r="A88" s="115" t="s">
        <v>432</v>
      </c>
      <c r="B88" s="115">
        <v>295712</v>
      </c>
      <c r="C88" s="115">
        <v>39082</v>
      </c>
      <c r="D88" s="134">
        <f t="shared" si="10"/>
        <v>334794</v>
      </c>
      <c r="E88" s="115">
        <v>356701</v>
      </c>
      <c r="F88" s="115">
        <v>1142</v>
      </c>
      <c r="G88" s="134">
        <f t="shared" si="11"/>
        <v>357843</v>
      </c>
      <c r="H88" s="115">
        <v>658307</v>
      </c>
      <c r="I88" s="115">
        <v>0</v>
      </c>
      <c r="J88" s="134">
        <f t="shared" si="12"/>
        <v>658307</v>
      </c>
      <c r="K88" s="115">
        <v>183114</v>
      </c>
      <c r="L88" s="115">
        <v>39107</v>
      </c>
      <c r="M88" s="134">
        <f t="shared" si="13"/>
        <v>222221</v>
      </c>
      <c r="N88" s="115">
        <v>174696</v>
      </c>
      <c r="O88" s="115">
        <v>0</v>
      </c>
      <c r="P88" s="134">
        <f t="shared" si="14"/>
        <v>174696</v>
      </c>
      <c r="Q88" s="115">
        <v>182649</v>
      </c>
      <c r="R88" s="115">
        <v>1970</v>
      </c>
      <c r="S88" s="122">
        <v>184619</v>
      </c>
      <c r="T88" s="114">
        <v>216103</v>
      </c>
      <c r="U88" s="114">
        <v>109369</v>
      </c>
      <c r="V88" s="122">
        <v>325472</v>
      </c>
      <c r="W88" s="114">
        <v>165289</v>
      </c>
      <c r="X88" s="114">
        <v>66700</v>
      </c>
      <c r="Y88" s="122">
        <v>231989</v>
      </c>
      <c r="Z88" s="113">
        <v>143127</v>
      </c>
      <c r="AA88" s="113">
        <v>3406</v>
      </c>
      <c r="AB88" s="122">
        <v>146533</v>
      </c>
      <c r="AD88" s="112" t="s">
        <v>556</v>
      </c>
      <c r="AE88" s="112">
        <v>1184740</v>
      </c>
      <c r="AF88" s="112">
        <v>50430</v>
      </c>
      <c r="AG88" s="122">
        <v>1235170</v>
      </c>
      <c r="AH88" s="104" t="s">
        <v>552</v>
      </c>
      <c r="AI88" s="104">
        <v>720291</v>
      </c>
      <c r="AJ88" s="104">
        <v>24028</v>
      </c>
      <c r="AK88" s="122">
        <v>744319</v>
      </c>
      <c r="AL88" s="106">
        <v>636759</v>
      </c>
      <c r="AM88" s="106">
        <v>0</v>
      </c>
      <c r="AN88" s="122">
        <v>636759</v>
      </c>
      <c r="AO88" s="106">
        <v>665201</v>
      </c>
      <c r="AP88" s="106">
        <v>0</v>
      </c>
      <c r="AQ88" s="122">
        <v>665201</v>
      </c>
      <c r="AR88" s="106">
        <v>1039260</v>
      </c>
      <c r="AS88" s="106">
        <v>0</v>
      </c>
      <c r="AT88" s="122">
        <v>1039260</v>
      </c>
      <c r="AU88" s="104">
        <v>684</v>
      </c>
      <c r="AV88" s="104" t="s">
        <v>541</v>
      </c>
      <c r="AW88" s="106">
        <v>752081</v>
      </c>
      <c r="AX88" s="106">
        <v>1806438</v>
      </c>
      <c r="AY88" s="122">
        <v>2558519</v>
      </c>
    </row>
    <row r="89" spans="1:51">
      <c r="A89" s="115" t="s">
        <v>212</v>
      </c>
      <c r="B89" s="115">
        <f t="shared" ref="B89:N89" si="16">SUM(B90:B100)</f>
        <v>8806967</v>
      </c>
      <c r="C89" s="115">
        <f t="shared" si="16"/>
        <v>3109935</v>
      </c>
      <c r="D89" s="134">
        <f t="shared" si="10"/>
        <v>11916902</v>
      </c>
      <c r="E89" s="115">
        <f t="shared" si="16"/>
        <v>11643962</v>
      </c>
      <c r="F89" s="115">
        <f t="shared" si="16"/>
        <v>2634861</v>
      </c>
      <c r="G89" s="134">
        <f t="shared" si="11"/>
        <v>14278823</v>
      </c>
      <c r="H89" s="115">
        <f t="shared" si="16"/>
        <v>13231454</v>
      </c>
      <c r="I89" s="115">
        <f t="shared" si="16"/>
        <v>285835</v>
      </c>
      <c r="J89" s="134">
        <f t="shared" si="12"/>
        <v>13517289</v>
      </c>
      <c r="K89" s="115">
        <f t="shared" si="16"/>
        <v>9000539</v>
      </c>
      <c r="L89" s="115">
        <f t="shared" si="16"/>
        <v>908645</v>
      </c>
      <c r="M89" s="134">
        <f t="shared" si="13"/>
        <v>9909184</v>
      </c>
      <c r="N89" s="115">
        <f t="shared" si="16"/>
        <v>9739893</v>
      </c>
      <c r="O89" s="115">
        <f>SUM(O90:O100)</f>
        <v>1768193</v>
      </c>
      <c r="P89" s="134">
        <f t="shared" si="14"/>
        <v>11508086</v>
      </c>
      <c r="Q89" s="115">
        <v>17290645</v>
      </c>
      <c r="R89" s="115">
        <v>15478301</v>
      </c>
      <c r="S89" s="122">
        <v>32768946</v>
      </c>
      <c r="T89" s="114">
        <v>27915578</v>
      </c>
      <c r="U89" s="114">
        <v>7640240</v>
      </c>
      <c r="V89" s="122">
        <v>35555818</v>
      </c>
      <c r="W89" s="114">
        <v>19304933</v>
      </c>
      <c r="X89" s="114">
        <v>2214052</v>
      </c>
      <c r="Y89" s="122">
        <v>21518985</v>
      </c>
      <c r="Z89" s="113">
        <v>16406820</v>
      </c>
      <c r="AA89" s="113">
        <v>3436173</v>
      </c>
      <c r="AB89" s="122">
        <v>19842993</v>
      </c>
      <c r="AD89" s="112" t="s">
        <v>465</v>
      </c>
      <c r="AE89" s="112">
        <v>15199711</v>
      </c>
      <c r="AF89" s="112">
        <v>5865058</v>
      </c>
      <c r="AG89" s="122">
        <v>21064769</v>
      </c>
      <c r="AH89" s="104" t="s">
        <v>553</v>
      </c>
      <c r="AI89" s="104">
        <v>475367</v>
      </c>
      <c r="AJ89" s="104">
        <v>31718</v>
      </c>
      <c r="AK89" s="122">
        <v>507085</v>
      </c>
      <c r="AL89" s="106">
        <v>634813</v>
      </c>
      <c r="AM89" s="106">
        <v>0</v>
      </c>
      <c r="AN89" s="122">
        <v>634813</v>
      </c>
      <c r="AO89" s="106">
        <v>1062163</v>
      </c>
      <c r="AP89" s="106">
        <v>0</v>
      </c>
      <c r="AQ89" s="122">
        <v>1062163</v>
      </c>
      <c r="AR89" s="106">
        <v>824831</v>
      </c>
      <c r="AS89" s="106">
        <v>0</v>
      </c>
      <c r="AT89" s="122">
        <v>824831</v>
      </c>
      <c r="AU89" s="104">
        <v>685</v>
      </c>
      <c r="AV89" s="104" t="s">
        <v>542</v>
      </c>
      <c r="AW89" s="106">
        <v>1010606</v>
      </c>
      <c r="AX89" s="106">
        <v>1137588</v>
      </c>
      <c r="AY89" s="122">
        <v>2148194</v>
      </c>
    </row>
    <row r="90" spans="1:51">
      <c r="A90" s="115" t="s">
        <v>339</v>
      </c>
      <c r="B90" s="115">
        <v>2635322</v>
      </c>
      <c r="C90" s="115">
        <v>385287</v>
      </c>
      <c r="D90" s="134">
        <f t="shared" si="10"/>
        <v>3020609</v>
      </c>
      <c r="E90" s="115">
        <v>2854354</v>
      </c>
      <c r="F90" s="115">
        <v>155249</v>
      </c>
      <c r="G90" s="134">
        <f t="shared" si="11"/>
        <v>3009603</v>
      </c>
      <c r="H90" s="115">
        <v>3674114</v>
      </c>
      <c r="I90" s="115">
        <v>1677</v>
      </c>
      <c r="J90" s="134">
        <f t="shared" si="12"/>
        <v>3675791</v>
      </c>
      <c r="K90" s="115">
        <v>755490</v>
      </c>
      <c r="L90" s="115">
        <v>108036</v>
      </c>
      <c r="M90" s="134">
        <f t="shared" si="13"/>
        <v>863526</v>
      </c>
      <c r="N90" s="115">
        <v>2837209</v>
      </c>
      <c r="O90" s="115">
        <v>98956</v>
      </c>
      <c r="P90" s="134">
        <f t="shared" si="14"/>
        <v>2936165</v>
      </c>
      <c r="Q90" s="115">
        <v>3807615</v>
      </c>
      <c r="R90" s="115">
        <v>448682</v>
      </c>
      <c r="S90" s="122">
        <v>4256297</v>
      </c>
      <c r="T90" s="114">
        <v>5255136</v>
      </c>
      <c r="U90" s="114">
        <v>0</v>
      </c>
      <c r="V90" s="122">
        <v>5255136</v>
      </c>
      <c r="W90" s="114">
        <v>1946572</v>
      </c>
      <c r="X90" s="114">
        <v>122955</v>
      </c>
      <c r="Y90" s="122">
        <v>2069527</v>
      </c>
      <c r="Z90" s="113">
        <v>3561258</v>
      </c>
      <c r="AA90" s="113">
        <v>303534</v>
      </c>
      <c r="AB90" s="122">
        <v>3864792</v>
      </c>
      <c r="AD90" s="112" t="s">
        <v>470</v>
      </c>
      <c r="AE90" s="112">
        <v>2837821</v>
      </c>
      <c r="AF90" s="112">
        <v>695424</v>
      </c>
      <c r="AG90" s="122">
        <v>3533245</v>
      </c>
      <c r="AH90" s="104" t="s">
        <v>555</v>
      </c>
      <c r="AI90" s="104">
        <v>795651</v>
      </c>
      <c r="AJ90" s="104">
        <v>147768</v>
      </c>
      <c r="AK90" s="122">
        <v>943419</v>
      </c>
      <c r="AL90" s="106">
        <v>692872</v>
      </c>
      <c r="AM90" s="106">
        <v>9711</v>
      </c>
      <c r="AN90" s="122">
        <v>702583</v>
      </c>
      <c r="AO90" s="106">
        <v>579230</v>
      </c>
      <c r="AP90" s="106">
        <v>0</v>
      </c>
      <c r="AQ90" s="122">
        <v>579230</v>
      </c>
      <c r="AR90" s="106">
        <v>490617</v>
      </c>
      <c r="AS90" s="106">
        <v>0</v>
      </c>
      <c r="AT90" s="122">
        <v>490617</v>
      </c>
      <c r="AU90" s="104">
        <v>686</v>
      </c>
      <c r="AV90" s="104" t="s">
        <v>543</v>
      </c>
      <c r="AW90" s="106">
        <v>1181823</v>
      </c>
      <c r="AX90" s="106">
        <v>203061</v>
      </c>
      <c r="AY90" s="122">
        <v>1384884</v>
      </c>
    </row>
    <row r="91" spans="1:51">
      <c r="A91" s="115" t="s">
        <v>433</v>
      </c>
      <c r="B91" s="115">
        <v>637135</v>
      </c>
      <c r="C91" s="115">
        <v>433571</v>
      </c>
      <c r="D91" s="134">
        <f t="shared" si="10"/>
        <v>1070706</v>
      </c>
      <c r="E91" s="115">
        <v>1405413</v>
      </c>
      <c r="F91" s="115">
        <v>251768</v>
      </c>
      <c r="G91" s="134">
        <f t="shared" si="11"/>
        <v>1657181</v>
      </c>
      <c r="H91" s="115">
        <v>1005376</v>
      </c>
      <c r="I91" s="115">
        <v>15635</v>
      </c>
      <c r="J91" s="134">
        <f t="shared" si="12"/>
        <v>1021011</v>
      </c>
      <c r="K91" s="115">
        <v>1542838</v>
      </c>
      <c r="L91" s="115">
        <v>111915</v>
      </c>
      <c r="M91" s="134">
        <f t="shared" si="13"/>
        <v>1654753</v>
      </c>
      <c r="N91" s="115">
        <v>1150575</v>
      </c>
      <c r="O91" s="115">
        <v>294125</v>
      </c>
      <c r="P91" s="134">
        <f t="shared" si="14"/>
        <v>1444700</v>
      </c>
      <c r="Q91" s="115">
        <v>1728823</v>
      </c>
      <c r="R91" s="115">
        <v>2244966</v>
      </c>
      <c r="S91" s="122">
        <v>3973789</v>
      </c>
      <c r="T91" s="114">
        <v>5940427</v>
      </c>
      <c r="U91" s="114">
        <v>1568770</v>
      </c>
      <c r="V91" s="122">
        <v>7509197</v>
      </c>
      <c r="W91" s="114">
        <v>3227076</v>
      </c>
      <c r="X91" s="114">
        <v>275337</v>
      </c>
      <c r="Y91" s="122">
        <v>3502413</v>
      </c>
      <c r="Z91" s="113">
        <v>2197281</v>
      </c>
      <c r="AA91" s="113">
        <v>420719</v>
      </c>
      <c r="AB91" s="122">
        <v>2618000</v>
      </c>
      <c r="AD91" s="112" t="s">
        <v>538</v>
      </c>
      <c r="AE91" s="112">
        <v>1467545</v>
      </c>
      <c r="AF91" s="112">
        <v>753290</v>
      </c>
      <c r="AG91" s="122">
        <v>2220835</v>
      </c>
      <c r="AH91" s="104" t="s">
        <v>556</v>
      </c>
      <c r="AI91" s="104">
        <v>685472</v>
      </c>
      <c r="AJ91" s="104">
        <v>26585</v>
      </c>
      <c r="AK91" s="122">
        <v>712057</v>
      </c>
      <c r="AL91" s="106">
        <v>929813</v>
      </c>
      <c r="AM91" s="106">
        <v>0</v>
      </c>
      <c r="AN91" s="122">
        <v>929813</v>
      </c>
      <c r="AO91" s="106">
        <v>953188</v>
      </c>
      <c r="AP91" s="106">
        <v>0</v>
      </c>
      <c r="AQ91" s="122">
        <v>953188</v>
      </c>
      <c r="AR91" s="106">
        <v>787988</v>
      </c>
      <c r="AS91" s="106">
        <v>0</v>
      </c>
      <c r="AT91" s="122">
        <v>787988</v>
      </c>
      <c r="AU91" s="104" t="s">
        <v>544</v>
      </c>
    </row>
    <row r="92" spans="1:51">
      <c r="A92" s="115" t="s">
        <v>434</v>
      </c>
      <c r="B92" s="115">
        <v>430462</v>
      </c>
      <c r="C92" s="115">
        <v>17394</v>
      </c>
      <c r="D92" s="134">
        <f t="shared" si="10"/>
        <v>447856</v>
      </c>
      <c r="E92" s="115">
        <v>321214</v>
      </c>
      <c r="F92" s="115">
        <v>21136</v>
      </c>
      <c r="G92" s="134">
        <f t="shared" si="11"/>
        <v>342350</v>
      </c>
      <c r="H92" s="115">
        <v>406525</v>
      </c>
      <c r="I92" s="115">
        <v>0</v>
      </c>
      <c r="J92" s="134">
        <f t="shared" si="12"/>
        <v>406525</v>
      </c>
      <c r="K92" s="115">
        <v>505492</v>
      </c>
      <c r="L92" s="115">
        <v>0</v>
      </c>
      <c r="M92" s="134">
        <f t="shared" si="13"/>
        <v>505492</v>
      </c>
      <c r="N92" s="115">
        <v>523019</v>
      </c>
      <c r="O92" s="115">
        <v>44996</v>
      </c>
      <c r="P92" s="134">
        <f t="shared" si="14"/>
        <v>568015</v>
      </c>
      <c r="Q92" s="115">
        <v>1318104</v>
      </c>
      <c r="R92" s="115">
        <v>931610</v>
      </c>
      <c r="S92" s="122">
        <v>2249714</v>
      </c>
      <c r="T92" s="114">
        <v>1346598</v>
      </c>
      <c r="U92" s="114">
        <v>59099</v>
      </c>
      <c r="V92" s="122">
        <v>1405697</v>
      </c>
      <c r="W92" s="114">
        <v>495150</v>
      </c>
      <c r="X92" s="114">
        <v>3953</v>
      </c>
      <c r="Y92" s="122">
        <v>499103</v>
      </c>
      <c r="Z92" s="113">
        <v>537906</v>
      </c>
      <c r="AA92" s="113">
        <v>37752</v>
      </c>
      <c r="AB92" s="122">
        <v>575658</v>
      </c>
      <c r="AD92" s="112" t="s">
        <v>539</v>
      </c>
      <c r="AE92" s="112">
        <v>734736</v>
      </c>
      <c r="AF92" s="112">
        <v>90730</v>
      </c>
      <c r="AG92" s="122">
        <v>825466</v>
      </c>
      <c r="AH92" s="104" t="s">
        <v>538</v>
      </c>
      <c r="AI92" s="104">
        <v>1543627</v>
      </c>
      <c r="AJ92" s="104">
        <v>897460</v>
      </c>
      <c r="AK92" s="122">
        <v>2441087</v>
      </c>
      <c r="AL92" s="106">
        <v>689324</v>
      </c>
      <c r="AM92" s="106">
        <v>70612</v>
      </c>
      <c r="AN92" s="122">
        <v>759936</v>
      </c>
      <c r="AO92" s="106">
        <v>720151</v>
      </c>
      <c r="AP92" s="106">
        <v>338</v>
      </c>
      <c r="AQ92" s="122">
        <v>720489</v>
      </c>
      <c r="AR92" s="106">
        <v>854807</v>
      </c>
      <c r="AS92" s="106">
        <v>642038</v>
      </c>
      <c r="AT92" s="122">
        <v>1496845</v>
      </c>
    </row>
    <row r="93" spans="1:51">
      <c r="A93" s="115" t="s">
        <v>435</v>
      </c>
      <c r="B93" s="115">
        <v>501370</v>
      </c>
      <c r="C93" s="115">
        <v>610231</v>
      </c>
      <c r="D93" s="134">
        <f t="shared" si="10"/>
        <v>1111601</v>
      </c>
      <c r="E93" s="115">
        <v>878018</v>
      </c>
      <c r="F93" s="115">
        <v>420826</v>
      </c>
      <c r="G93" s="134">
        <f t="shared" si="11"/>
        <v>1298844</v>
      </c>
      <c r="H93" s="115">
        <v>1030087</v>
      </c>
      <c r="I93" s="115">
        <v>0</v>
      </c>
      <c r="J93" s="134">
        <f t="shared" si="12"/>
        <v>1030087</v>
      </c>
      <c r="K93" s="115">
        <v>674438</v>
      </c>
      <c r="L93" s="115">
        <v>267881</v>
      </c>
      <c r="M93" s="134">
        <f t="shared" si="13"/>
        <v>942319</v>
      </c>
      <c r="N93" s="115">
        <v>472996</v>
      </c>
      <c r="O93" s="115">
        <v>564280</v>
      </c>
      <c r="P93" s="134">
        <f t="shared" si="14"/>
        <v>1037276</v>
      </c>
      <c r="Q93" s="115">
        <v>1797464</v>
      </c>
      <c r="R93" s="115">
        <v>5609152</v>
      </c>
      <c r="S93" s="122">
        <v>7406616</v>
      </c>
      <c r="T93" s="114">
        <v>5857134</v>
      </c>
      <c r="U93" s="114">
        <v>2669516</v>
      </c>
      <c r="V93" s="122">
        <v>8526650</v>
      </c>
      <c r="W93" s="114">
        <v>4379568</v>
      </c>
      <c r="X93" s="114">
        <v>806118</v>
      </c>
      <c r="Y93" s="122">
        <v>5185686</v>
      </c>
      <c r="Z93" s="113">
        <v>2836164</v>
      </c>
      <c r="AA93" s="113">
        <v>1220673</v>
      </c>
      <c r="AB93" s="122">
        <v>4056837</v>
      </c>
      <c r="AD93" s="112" t="s">
        <v>540</v>
      </c>
      <c r="AE93" s="112">
        <v>2115343</v>
      </c>
      <c r="AF93" s="112">
        <v>1680158</v>
      </c>
      <c r="AG93" s="122">
        <v>3795501</v>
      </c>
      <c r="AH93" s="104" t="s">
        <v>539</v>
      </c>
      <c r="AI93" s="104">
        <v>600389</v>
      </c>
      <c r="AJ93" s="104">
        <v>0</v>
      </c>
      <c r="AK93" s="122">
        <v>600389</v>
      </c>
      <c r="AL93" s="106">
        <v>486295</v>
      </c>
      <c r="AM93" s="106">
        <v>0</v>
      </c>
      <c r="AN93" s="122">
        <v>486295</v>
      </c>
      <c r="AO93" s="106">
        <v>614145</v>
      </c>
      <c r="AP93" s="106">
        <v>0</v>
      </c>
      <c r="AQ93" s="122">
        <v>614145</v>
      </c>
      <c r="AR93" s="106">
        <v>510735</v>
      </c>
      <c r="AS93" s="106">
        <v>15211</v>
      </c>
      <c r="AT93" s="122">
        <v>525946</v>
      </c>
    </row>
    <row r="94" spans="1:51">
      <c r="A94" s="115" t="s">
        <v>397</v>
      </c>
      <c r="B94" s="115">
        <v>1288788</v>
      </c>
      <c r="C94" s="115">
        <v>375105</v>
      </c>
      <c r="D94" s="134">
        <f t="shared" si="10"/>
        <v>1663893</v>
      </c>
      <c r="E94" s="115">
        <v>1683147</v>
      </c>
      <c r="F94" s="115">
        <v>630924</v>
      </c>
      <c r="G94" s="134">
        <f t="shared" si="11"/>
        <v>2314071</v>
      </c>
      <c r="H94" s="115">
        <v>1120148</v>
      </c>
      <c r="I94" s="115">
        <v>106250</v>
      </c>
      <c r="J94" s="134">
        <f t="shared" si="12"/>
        <v>1226398</v>
      </c>
      <c r="K94" s="115">
        <v>989621</v>
      </c>
      <c r="L94" s="115">
        <v>180556</v>
      </c>
      <c r="M94" s="134">
        <f t="shared" si="13"/>
        <v>1170177</v>
      </c>
      <c r="N94" s="115">
        <v>920377</v>
      </c>
      <c r="O94" s="115">
        <v>325021</v>
      </c>
      <c r="P94" s="134">
        <f t="shared" si="14"/>
        <v>1245398</v>
      </c>
      <c r="Q94" s="115">
        <v>2497245</v>
      </c>
      <c r="R94" s="115">
        <v>2145644</v>
      </c>
      <c r="S94" s="122">
        <v>4642889</v>
      </c>
      <c r="T94" s="114">
        <v>2314065</v>
      </c>
      <c r="U94" s="114">
        <v>1763742</v>
      </c>
      <c r="V94" s="122">
        <v>4077807</v>
      </c>
      <c r="W94" s="114">
        <v>2340490</v>
      </c>
      <c r="X94" s="114">
        <v>293622</v>
      </c>
      <c r="Y94" s="122">
        <v>2634112</v>
      </c>
      <c r="Z94" s="113">
        <v>1334999</v>
      </c>
      <c r="AA94" s="113">
        <v>376242</v>
      </c>
      <c r="AB94" s="122">
        <v>1711241</v>
      </c>
      <c r="AD94" s="112" t="s">
        <v>565</v>
      </c>
      <c r="AE94" s="112">
        <v>778133</v>
      </c>
      <c r="AF94" s="112">
        <v>1037687</v>
      </c>
      <c r="AG94" s="122">
        <v>1815820</v>
      </c>
      <c r="AH94" s="104" t="s">
        <v>540</v>
      </c>
      <c r="AI94" s="104">
        <v>2296808</v>
      </c>
      <c r="AJ94" s="104">
        <v>910464</v>
      </c>
      <c r="AK94" s="122">
        <v>3207272</v>
      </c>
      <c r="AL94" s="106">
        <v>3318605</v>
      </c>
      <c r="AM94" s="106">
        <v>90747</v>
      </c>
      <c r="AN94" s="122">
        <v>3409352</v>
      </c>
      <c r="AO94" s="106">
        <v>4470733</v>
      </c>
      <c r="AP94" s="106">
        <v>51299</v>
      </c>
      <c r="AQ94" s="122">
        <v>4522032</v>
      </c>
      <c r="AR94" s="106">
        <v>4169989</v>
      </c>
      <c r="AS94" s="106">
        <v>462234</v>
      </c>
      <c r="AT94" s="122">
        <v>4632223</v>
      </c>
    </row>
    <row r="95" spans="1:51">
      <c r="A95" s="115" t="s">
        <v>436</v>
      </c>
      <c r="B95" s="115">
        <v>588657</v>
      </c>
      <c r="C95" s="115">
        <v>495614</v>
      </c>
      <c r="D95" s="134">
        <f t="shared" si="10"/>
        <v>1084271</v>
      </c>
      <c r="E95" s="115">
        <v>839646</v>
      </c>
      <c r="F95" s="115">
        <v>661648</v>
      </c>
      <c r="G95" s="134">
        <f t="shared" si="11"/>
        <v>1501294</v>
      </c>
      <c r="H95" s="115">
        <v>1237622</v>
      </c>
      <c r="I95" s="115">
        <v>87248</v>
      </c>
      <c r="J95" s="134">
        <f t="shared" si="12"/>
        <v>1324870</v>
      </c>
      <c r="K95" s="115">
        <v>881323</v>
      </c>
      <c r="L95" s="115">
        <v>159127</v>
      </c>
      <c r="M95" s="134">
        <f t="shared" si="13"/>
        <v>1040450</v>
      </c>
      <c r="N95" s="115">
        <v>617220</v>
      </c>
      <c r="O95" s="115">
        <v>132524</v>
      </c>
      <c r="P95" s="134">
        <f t="shared" si="14"/>
        <v>749744</v>
      </c>
      <c r="Q95" s="115">
        <v>1569134</v>
      </c>
      <c r="R95" s="115">
        <v>529456</v>
      </c>
      <c r="S95" s="122">
        <v>2098590</v>
      </c>
      <c r="T95" s="114">
        <v>1228049</v>
      </c>
      <c r="U95" s="114">
        <v>216271</v>
      </c>
      <c r="V95" s="122">
        <v>1444320</v>
      </c>
      <c r="W95" s="114">
        <v>1399987</v>
      </c>
      <c r="X95" s="114">
        <v>178844</v>
      </c>
      <c r="Y95" s="122">
        <v>1578831</v>
      </c>
      <c r="Z95" s="113">
        <v>1038483</v>
      </c>
      <c r="AA95" s="113">
        <v>432702</v>
      </c>
      <c r="AB95" s="122">
        <v>1471185</v>
      </c>
      <c r="AD95" s="112" t="s">
        <v>542</v>
      </c>
      <c r="AE95" s="112">
        <v>1323814</v>
      </c>
      <c r="AF95" s="112">
        <v>793751</v>
      </c>
      <c r="AG95" s="122">
        <v>2117565</v>
      </c>
      <c r="AH95" s="104" t="s">
        <v>541</v>
      </c>
      <c r="AI95" s="104">
        <v>819694</v>
      </c>
      <c r="AJ95" s="104">
        <v>635810</v>
      </c>
      <c r="AK95" s="122">
        <v>1455504</v>
      </c>
      <c r="AL95" s="106">
        <v>777679</v>
      </c>
      <c r="AM95" s="106">
        <v>120202</v>
      </c>
      <c r="AN95" s="122">
        <v>897881</v>
      </c>
      <c r="AO95" s="106">
        <v>863184</v>
      </c>
      <c r="AP95" s="106">
        <v>1396</v>
      </c>
      <c r="AQ95" s="122">
        <v>864580</v>
      </c>
      <c r="AR95" s="106">
        <v>661089</v>
      </c>
      <c r="AS95" s="106">
        <v>349148</v>
      </c>
      <c r="AT95" s="122">
        <v>1010237</v>
      </c>
    </row>
    <row r="96" spans="1:51">
      <c r="A96" s="115" t="s">
        <v>437</v>
      </c>
      <c r="B96" s="115">
        <v>252163</v>
      </c>
      <c r="C96" s="115">
        <v>193103</v>
      </c>
      <c r="D96" s="134">
        <f t="shared" si="10"/>
        <v>445266</v>
      </c>
      <c r="E96" s="115">
        <v>563046</v>
      </c>
      <c r="F96" s="115">
        <v>107597</v>
      </c>
      <c r="G96" s="134">
        <f t="shared" si="11"/>
        <v>670643</v>
      </c>
      <c r="H96" s="115">
        <v>1611983</v>
      </c>
      <c r="I96" s="115">
        <v>0</v>
      </c>
      <c r="J96" s="134">
        <f t="shared" si="12"/>
        <v>1611983</v>
      </c>
      <c r="K96" s="115">
        <v>735170</v>
      </c>
      <c r="L96" s="115">
        <v>45260</v>
      </c>
      <c r="M96" s="134">
        <f t="shared" si="13"/>
        <v>780430</v>
      </c>
      <c r="N96" s="115">
        <v>546006</v>
      </c>
      <c r="O96" s="115">
        <v>254866</v>
      </c>
      <c r="P96" s="134">
        <f t="shared" si="14"/>
        <v>800872</v>
      </c>
      <c r="Q96" s="115">
        <v>1670904</v>
      </c>
      <c r="R96" s="115">
        <v>2226431</v>
      </c>
      <c r="S96" s="122">
        <v>3897335</v>
      </c>
      <c r="T96" s="114">
        <v>2917696</v>
      </c>
      <c r="U96" s="114">
        <v>1308499</v>
      </c>
      <c r="V96" s="122">
        <v>4226195</v>
      </c>
      <c r="W96" s="114">
        <v>1363657</v>
      </c>
      <c r="X96" s="114">
        <v>266614</v>
      </c>
      <c r="Y96" s="122">
        <v>1630271</v>
      </c>
      <c r="Z96" s="113">
        <v>1185929</v>
      </c>
      <c r="AA96" s="113">
        <v>223415</v>
      </c>
      <c r="AB96" s="122">
        <v>1409344</v>
      </c>
      <c r="AD96" s="112" t="s">
        <v>543</v>
      </c>
      <c r="AE96" s="112">
        <v>1489343</v>
      </c>
      <c r="AF96" s="112">
        <v>223627</v>
      </c>
      <c r="AG96" s="122">
        <v>1712970</v>
      </c>
      <c r="AH96" s="104" t="s">
        <v>542</v>
      </c>
      <c r="AI96" s="104">
        <v>1456007</v>
      </c>
      <c r="AJ96" s="104">
        <v>712066</v>
      </c>
      <c r="AK96" s="122">
        <v>2168073</v>
      </c>
      <c r="AL96" s="106">
        <v>1688401</v>
      </c>
      <c r="AM96" s="106">
        <v>122287</v>
      </c>
      <c r="AN96" s="122">
        <v>1810688</v>
      </c>
      <c r="AO96" s="106">
        <v>1172522</v>
      </c>
      <c r="AP96" s="106">
        <v>16772</v>
      </c>
      <c r="AQ96" s="122">
        <v>1189294</v>
      </c>
      <c r="AR96" s="106">
        <v>1147278</v>
      </c>
      <c r="AS96" s="106">
        <v>281804</v>
      </c>
      <c r="AT96" s="122">
        <v>1429082</v>
      </c>
    </row>
    <row r="97" spans="1:46">
      <c r="A97" s="115" t="s">
        <v>438</v>
      </c>
      <c r="B97" s="115">
        <v>233958</v>
      </c>
      <c r="C97" s="115">
        <v>173457</v>
      </c>
      <c r="D97" s="134">
        <f t="shared" si="10"/>
        <v>407415</v>
      </c>
      <c r="E97" s="115">
        <v>270207</v>
      </c>
      <c r="F97" s="115">
        <v>111023</v>
      </c>
      <c r="G97" s="134">
        <f t="shared" si="11"/>
        <v>381230</v>
      </c>
      <c r="H97" s="115">
        <v>488597</v>
      </c>
      <c r="I97" s="115">
        <v>31945</v>
      </c>
      <c r="J97" s="134">
        <f t="shared" si="12"/>
        <v>520542</v>
      </c>
      <c r="K97" s="115">
        <v>749549</v>
      </c>
      <c r="L97" s="115">
        <v>0</v>
      </c>
      <c r="M97" s="134">
        <f t="shared" si="13"/>
        <v>749549</v>
      </c>
      <c r="N97" s="115">
        <v>484393</v>
      </c>
      <c r="O97" s="115">
        <v>6093</v>
      </c>
      <c r="P97" s="134">
        <f t="shared" si="14"/>
        <v>490486</v>
      </c>
      <c r="Q97" s="115">
        <v>348910</v>
      </c>
      <c r="R97" s="115">
        <v>225439</v>
      </c>
      <c r="S97" s="122">
        <v>574349</v>
      </c>
      <c r="T97" s="114">
        <v>438171</v>
      </c>
      <c r="U97" s="114">
        <v>9232</v>
      </c>
      <c r="V97" s="122">
        <v>447403</v>
      </c>
      <c r="W97" s="114">
        <v>411965</v>
      </c>
      <c r="X97" s="114">
        <v>123215</v>
      </c>
      <c r="Y97" s="122">
        <v>535180</v>
      </c>
      <c r="Z97" s="113">
        <v>708670</v>
      </c>
      <c r="AA97" s="113">
        <v>79382</v>
      </c>
      <c r="AB97" s="122">
        <v>788052</v>
      </c>
      <c r="AD97" s="112" t="s">
        <v>557</v>
      </c>
      <c r="AE97" s="112">
        <v>447637</v>
      </c>
      <c r="AF97" s="112">
        <v>244896</v>
      </c>
      <c r="AG97" s="122">
        <v>692533</v>
      </c>
      <c r="AH97" s="104" t="s">
        <v>543</v>
      </c>
      <c r="AI97" s="104">
        <v>757472</v>
      </c>
      <c r="AJ97" s="104">
        <v>197010</v>
      </c>
      <c r="AK97" s="122">
        <v>954482</v>
      </c>
      <c r="AL97" s="106">
        <v>1229135</v>
      </c>
      <c r="AM97" s="106">
        <v>1729</v>
      </c>
      <c r="AN97" s="122">
        <v>1230864</v>
      </c>
      <c r="AO97" s="106">
        <v>1417611</v>
      </c>
      <c r="AP97" s="106">
        <v>16</v>
      </c>
      <c r="AQ97" s="122">
        <v>1417627</v>
      </c>
      <c r="AR97" s="106">
        <v>1137116</v>
      </c>
      <c r="AS97" s="106">
        <v>87925</v>
      </c>
      <c r="AT97" s="122">
        <v>1225041</v>
      </c>
    </row>
    <row r="98" spans="1:46">
      <c r="A98" s="115" t="s">
        <v>439</v>
      </c>
      <c r="B98" s="115">
        <v>577346</v>
      </c>
      <c r="C98" s="115">
        <v>174339</v>
      </c>
      <c r="D98" s="134">
        <f t="shared" si="10"/>
        <v>751685</v>
      </c>
      <c r="E98" s="115">
        <v>968917</v>
      </c>
      <c r="F98" s="115">
        <v>148939</v>
      </c>
      <c r="G98" s="134">
        <f t="shared" si="11"/>
        <v>1117856</v>
      </c>
      <c r="H98" s="115">
        <v>530138</v>
      </c>
      <c r="I98" s="115">
        <v>565</v>
      </c>
      <c r="J98" s="134">
        <f t="shared" si="12"/>
        <v>530703</v>
      </c>
      <c r="K98" s="115">
        <v>479153</v>
      </c>
      <c r="L98" s="115">
        <v>0</v>
      </c>
      <c r="M98" s="134">
        <f t="shared" si="13"/>
        <v>479153</v>
      </c>
      <c r="N98" s="115">
        <v>487495</v>
      </c>
      <c r="O98" s="115">
        <v>47156</v>
      </c>
      <c r="P98" s="134">
        <f t="shared" si="14"/>
        <v>534651</v>
      </c>
      <c r="Q98" s="115">
        <v>458130</v>
      </c>
      <c r="R98" s="115">
        <v>904916</v>
      </c>
      <c r="S98" s="122">
        <v>1363046</v>
      </c>
      <c r="T98" s="114">
        <v>548675</v>
      </c>
      <c r="U98" s="114">
        <v>34718</v>
      </c>
      <c r="V98" s="122">
        <v>583393</v>
      </c>
      <c r="W98" s="114">
        <v>561838</v>
      </c>
      <c r="X98" s="114">
        <v>54094</v>
      </c>
      <c r="Y98" s="122">
        <v>615932</v>
      </c>
      <c r="Z98" s="113">
        <v>603458</v>
      </c>
      <c r="AA98" s="113">
        <v>104284</v>
      </c>
      <c r="AB98" s="122">
        <v>707742</v>
      </c>
      <c r="AD98" s="112" t="s">
        <v>558</v>
      </c>
      <c r="AE98" s="112">
        <v>515727</v>
      </c>
      <c r="AF98" s="112">
        <v>96886</v>
      </c>
      <c r="AG98" s="122">
        <v>612613</v>
      </c>
      <c r="AH98" s="104" t="s">
        <v>557</v>
      </c>
      <c r="AI98" s="104">
        <v>516180</v>
      </c>
      <c r="AJ98" s="104">
        <v>76075</v>
      </c>
      <c r="AK98" s="122">
        <v>592255</v>
      </c>
      <c r="AL98" s="106">
        <v>736135</v>
      </c>
      <c r="AM98" s="106">
        <v>0</v>
      </c>
      <c r="AN98" s="122">
        <v>736135</v>
      </c>
      <c r="AO98" s="106">
        <v>415597</v>
      </c>
      <c r="AP98" s="106">
        <v>0</v>
      </c>
      <c r="AQ98" s="122">
        <v>415597</v>
      </c>
      <c r="AR98" s="106">
        <v>372526</v>
      </c>
      <c r="AS98" s="106">
        <v>104007</v>
      </c>
      <c r="AT98" s="122">
        <v>476533</v>
      </c>
    </row>
    <row r="99" spans="1:46">
      <c r="A99" s="115" t="s">
        <v>440</v>
      </c>
      <c r="B99" s="115">
        <v>558118</v>
      </c>
      <c r="C99" s="115">
        <v>121368</v>
      </c>
      <c r="D99" s="134">
        <f t="shared" si="10"/>
        <v>679486</v>
      </c>
      <c r="E99" s="115">
        <v>1060694</v>
      </c>
      <c r="F99" s="115">
        <v>796</v>
      </c>
      <c r="G99" s="134">
        <f t="shared" si="11"/>
        <v>1061490</v>
      </c>
      <c r="H99" s="115">
        <v>715135</v>
      </c>
      <c r="I99" s="115">
        <v>0</v>
      </c>
      <c r="J99" s="134">
        <f t="shared" si="12"/>
        <v>715135</v>
      </c>
      <c r="K99" s="115">
        <v>768752</v>
      </c>
      <c r="L99" s="115">
        <v>35700</v>
      </c>
      <c r="M99" s="134">
        <f t="shared" si="13"/>
        <v>804452</v>
      </c>
      <c r="N99" s="115">
        <v>920470</v>
      </c>
      <c r="O99" s="115">
        <v>0</v>
      </c>
      <c r="P99" s="134">
        <f t="shared" si="14"/>
        <v>920470</v>
      </c>
      <c r="Q99" s="115">
        <v>1393003</v>
      </c>
      <c r="R99" s="115">
        <v>101298</v>
      </c>
      <c r="S99" s="122">
        <v>1494301</v>
      </c>
      <c r="T99" s="114">
        <v>991525</v>
      </c>
      <c r="U99" s="114">
        <v>10393</v>
      </c>
      <c r="V99" s="122">
        <v>1001918</v>
      </c>
      <c r="W99" s="114">
        <v>966736</v>
      </c>
      <c r="X99" s="114">
        <v>40288</v>
      </c>
      <c r="Y99" s="122">
        <v>1007024</v>
      </c>
      <c r="Z99" s="113">
        <v>663894</v>
      </c>
      <c r="AA99" s="113">
        <v>51096</v>
      </c>
      <c r="AB99" s="122">
        <v>714990</v>
      </c>
      <c r="AD99" s="112" t="s">
        <v>559</v>
      </c>
      <c r="AE99" s="112">
        <v>771173</v>
      </c>
      <c r="AF99" s="112">
        <v>30373</v>
      </c>
      <c r="AG99" s="122">
        <v>801546</v>
      </c>
      <c r="AH99" s="104" t="s">
        <v>558</v>
      </c>
      <c r="AI99" s="104">
        <v>383147</v>
      </c>
      <c r="AJ99" s="104">
        <v>30564</v>
      </c>
      <c r="AK99" s="122">
        <v>413711</v>
      </c>
      <c r="AL99" s="106">
        <v>390194</v>
      </c>
      <c r="AM99" s="106">
        <v>8815</v>
      </c>
      <c r="AN99" s="122">
        <v>399009</v>
      </c>
      <c r="AO99" s="106">
        <v>736104</v>
      </c>
      <c r="AP99" s="106">
        <v>202988</v>
      </c>
      <c r="AQ99" s="122">
        <v>939092</v>
      </c>
      <c r="AR99" s="106">
        <v>539420</v>
      </c>
      <c r="AS99" s="106">
        <v>76816</v>
      </c>
      <c r="AT99" s="122">
        <v>616236</v>
      </c>
    </row>
    <row r="100" spans="1:46">
      <c r="A100" s="115" t="s">
        <v>441</v>
      </c>
      <c r="B100" s="115">
        <v>1103648</v>
      </c>
      <c r="C100" s="115">
        <v>130466</v>
      </c>
      <c r="D100" s="134">
        <f t="shared" si="10"/>
        <v>1234114</v>
      </c>
      <c r="E100" s="115">
        <v>799306</v>
      </c>
      <c r="F100" s="115">
        <v>124955</v>
      </c>
      <c r="G100" s="134">
        <f t="shared" si="11"/>
        <v>924261</v>
      </c>
      <c r="H100" s="115">
        <v>1411729</v>
      </c>
      <c r="I100" s="115">
        <v>42515</v>
      </c>
      <c r="J100" s="134">
        <f t="shared" si="12"/>
        <v>1454244</v>
      </c>
      <c r="K100" s="115">
        <v>918713</v>
      </c>
      <c r="L100" s="115">
        <v>170</v>
      </c>
      <c r="M100" s="134">
        <f t="shared" si="13"/>
        <v>918883</v>
      </c>
      <c r="N100" s="115">
        <v>780133</v>
      </c>
      <c r="O100" s="115">
        <v>176</v>
      </c>
      <c r="P100" s="134">
        <f t="shared" si="14"/>
        <v>780309</v>
      </c>
      <c r="Q100" s="115">
        <v>701313</v>
      </c>
      <c r="R100" s="115">
        <v>110707</v>
      </c>
      <c r="S100" s="122">
        <v>812020</v>
      </c>
      <c r="T100" s="114">
        <v>1078102</v>
      </c>
      <c r="U100" s="114">
        <v>0</v>
      </c>
      <c r="V100" s="122">
        <v>1078102</v>
      </c>
      <c r="W100" s="114">
        <v>2211894</v>
      </c>
      <c r="X100" s="114">
        <v>49012</v>
      </c>
      <c r="Y100" s="122">
        <v>2260906</v>
      </c>
      <c r="Z100" s="113">
        <v>1738778</v>
      </c>
      <c r="AA100" s="113">
        <v>186374</v>
      </c>
      <c r="AB100" s="122">
        <v>1925152</v>
      </c>
      <c r="AD100" s="112" t="s">
        <v>560</v>
      </c>
      <c r="AE100" s="112">
        <v>2718439</v>
      </c>
      <c r="AF100" s="112">
        <v>218236</v>
      </c>
      <c r="AG100" s="122">
        <v>2936675</v>
      </c>
      <c r="AH100" s="104" t="s">
        <v>559</v>
      </c>
      <c r="AI100" s="104">
        <v>901456</v>
      </c>
      <c r="AJ100" s="104">
        <v>4006</v>
      </c>
      <c r="AK100" s="122">
        <v>905462</v>
      </c>
      <c r="AL100" s="106">
        <v>1212738</v>
      </c>
      <c r="AM100" s="106">
        <v>3037</v>
      </c>
      <c r="AN100" s="122">
        <v>1215775</v>
      </c>
      <c r="AO100" s="106">
        <v>911731</v>
      </c>
      <c r="AP100" s="106">
        <v>0</v>
      </c>
      <c r="AQ100" s="122">
        <v>911731</v>
      </c>
      <c r="AR100" s="106">
        <v>1017004</v>
      </c>
      <c r="AS100" s="106">
        <v>47771</v>
      </c>
      <c r="AT100" s="122">
        <v>1064775</v>
      </c>
    </row>
    <row r="101" spans="1:46">
      <c r="T101" s="114"/>
      <c r="U101" s="114"/>
      <c r="W101" s="114"/>
      <c r="X101" s="114"/>
      <c r="Z101" s="113"/>
      <c r="AA101" s="113"/>
      <c r="AD101" s="120" t="s">
        <v>566</v>
      </c>
      <c r="AE101" s="112"/>
      <c r="AF101" s="112"/>
      <c r="AH101" s="217" t="s">
        <v>560</v>
      </c>
      <c r="AI101" s="217">
        <v>1853211</v>
      </c>
      <c r="AJ101" s="217">
        <v>71889</v>
      </c>
      <c r="AK101" s="191">
        <v>1925100</v>
      </c>
      <c r="AL101" s="218">
        <v>1653728</v>
      </c>
      <c r="AM101" s="218">
        <v>16913</v>
      </c>
      <c r="AN101" s="191">
        <v>1670641</v>
      </c>
      <c r="AO101" s="218">
        <v>894734</v>
      </c>
      <c r="AP101" s="218">
        <v>0</v>
      </c>
      <c r="AQ101" s="191">
        <v>894734</v>
      </c>
      <c r="AR101" s="218">
        <v>1115868</v>
      </c>
      <c r="AS101" s="218">
        <v>86848</v>
      </c>
      <c r="AT101" s="191">
        <v>1202716</v>
      </c>
    </row>
    <row r="102" spans="1:46">
      <c r="AD102" s="112"/>
      <c r="AE102" s="112"/>
      <c r="AF102" s="112"/>
    </row>
    <row r="112" spans="1:46">
      <c r="AD112" s="112"/>
      <c r="AE112" s="112"/>
      <c r="AF112" s="112"/>
    </row>
    <row r="113" spans="20:32">
      <c r="AD113" s="112"/>
      <c r="AE113" s="112"/>
      <c r="AF113" s="112"/>
    </row>
    <row r="114" spans="20:32">
      <c r="T114" s="114"/>
      <c r="U114" s="114"/>
      <c r="W114" s="114"/>
      <c r="X114" s="114"/>
      <c r="Z114" s="113"/>
      <c r="AA114" s="113"/>
      <c r="AD114" s="112"/>
      <c r="AE114" s="112"/>
      <c r="AF114" s="112"/>
    </row>
    <row r="115" spans="20:32">
      <c r="T115" s="114"/>
      <c r="U115" s="114"/>
      <c r="W115" s="114"/>
      <c r="X115" s="114"/>
      <c r="Z115" s="113"/>
      <c r="AA115" s="113"/>
    </row>
    <row r="116" spans="20:32">
      <c r="T116" s="114"/>
      <c r="U116" s="114"/>
      <c r="W116" s="114"/>
      <c r="X116" s="114"/>
      <c r="Z116" s="113"/>
      <c r="AA116" s="113"/>
      <c r="AD116" s="112"/>
      <c r="AE116" s="112"/>
      <c r="AF116" s="112"/>
    </row>
    <row r="117" spans="20:32">
      <c r="T117" s="114"/>
      <c r="U117" s="114"/>
      <c r="W117" s="114"/>
      <c r="X117" s="114"/>
      <c r="Z117" s="113"/>
      <c r="AA117" s="113"/>
      <c r="AD117" s="112"/>
      <c r="AE117" s="112"/>
      <c r="AF117" s="112"/>
    </row>
    <row r="118" spans="20:32">
      <c r="T118" s="114"/>
      <c r="U118" s="114"/>
      <c r="W118" s="114"/>
      <c r="X118" s="114"/>
      <c r="Z118" s="113"/>
      <c r="AA118" s="113"/>
      <c r="AD118" s="112"/>
      <c r="AE118" s="112"/>
      <c r="AF118" s="112"/>
    </row>
    <row r="119" spans="20:32">
      <c r="T119" s="114"/>
      <c r="U119" s="114"/>
      <c r="W119" s="114"/>
      <c r="X119" s="114"/>
      <c r="Z119" s="113"/>
      <c r="AA119" s="113"/>
      <c r="AD119" s="112"/>
      <c r="AE119" s="112"/>
      <c r="AF119" s="112"/>
    </row>
    <row r="120" spans="20:32">
      <c r="T120" s="114"/>
      <c r="U120" s="114"/>
      <c r="W120" s="114"/>
      <c r="X120" s="114"/>
      <c r="AD120" s="112"/>
      <c r="AE120" s="112"/>
      <c r="AF120" s="112"/>
    </row>
    <row r="121" spans="20:32">
      <c r="T121" s="114"/>
      <c r="U121" s="114"/>
      <c r="W121" s="114"/>
      <c r="X121" s="114"/>
      <c r="Z121" s="113"/>
      <c r="AA121" s="113"/>
      <c r="AD121" s="112"/>
      <c r="AE121" s="112"/>
      <c r="AF121" s="112"/>
    </row>
    <row r="122" spans="20:32">
      <c r="T122" s="114"/>
      <c r="U122" s="114"/>
      <c r="W122" s="114"/>
      <c r="X122" s="114"/>
      <c r="Z122" s="113"/>
      <c r="AA122" s="113"/>
      <c r="AD122" s="112"/>
      <c r="AE122" s="112"/>
      <c r="AF122" s="112"/>
    </row>
    <row r="123" spans="20:32">
      <c r="T123" s="114"/>
      <c r="U123" s="114"/>
      <c r="W123" s="114"/>
      <c r="X123" s="114"/>
      <c r="Z123" s="113"/>
      <c r="AA123" s="113"/>
      <c r="AD123" s="112"/>
      <c r="AE123" s="112"/>
      <c r="AF123" s="112"/>
    </row>
    <row r="124" spans="20:32">
      <c r="T124" s="114"/>
      <c r="U124" s="114"/>
      <c r="W124" s="114"/>
      <c r="X124" s="114"/>
      <c r="Z124" s="113"/>
      <c r="AA124" s="113"/>
      <c r="AD124" s="112"/>
      <c r="AE124" s="112"/>
      <c r="AF124" s="112"/>
    </row>
    <row r="125" spans="20:32">
      <c r="T125" s="114"/>
      <c r="U125" s="114"/>
      <c r="W125" s="114"/>
      <c r="X125" s="114"/>
      <c r="Z125" s="113"/>
      <c r="AA125" s="113"/>
      <c r="AD125" s="112"/>
      <c r="AE125" s="112"/>
      <c r="AF125" s="112"/>
    </row>
    <row r="126" spans="20:32">
      <c r="T126" s="114"/>
      <c r="U126" s="114"/>
      <c r="W126" s="114"/>
      <c r="X126" s="114"/>
      <c r="Z126" s="113"/>
      <c r="AA126" s="113"/>
      <c r="AD126" s="112"/>
      <c r="AE126" s="112"/>
      <c r="AF126" s="112"/>
    </row>
    <row r="127" spans="20:32">
      <c r="AD127" s="112"/>
      <c r="AE127" s="112"/>
      <c r="AF127" s="112"/>
    </row>
    <row r="128" spans="20:32">
      <c r="T128" s="114"/>
      <c r="U128" s="114"/>
      <c r="Z128" s="113"/>
      <c r="AA128" s="113"/>
      <c r="AD128" s="112"/>
      <c r="AE128" s="112"/>
      <c r="AF128" s="112"/>
    </row>
    <row r="129" spans="20:32">
      <c r="T129" s="114"/>
      <c r="U129" s="114"/>
      <c r="Z129" s="113"/>
      <c r="AA129" s="113"/>
      <c r="AD129" s="112"/>
      <c r="AE129" s="112"/>
      <c r="AF129" s="112"/>
    </row>
    <row r="130" spans="20:32">
      <c r="T130" s="114"/>
      <c r="U130" s="114"/>
      <c r="Z130" s="113"/>
      <c r="AA130" s="113"/>
      <c r="AD130" s="112"/>
      <c r="AE130" s="112"/>
      <c r="AF130" s="112"/>
    </row>
    <row r="131" spans="20:32">
      <c r="T131" s="114"/>
      <c r="U131" s="114"/>
      <c r="Z131" s="113"/>
      <c r="AA131" s="113"/>
      <c r="AD131" s="112"/>
      <c r="AE131" s="112"/>
      <c r="AF131" s="112"/>
    </row>
    <row r="132" spans="20:32">
      <c r="T132" s="114"/>
      <c r="U132" s="114"/>
      <c r="Z132" s="113"/>
      <c r="AA132" s="113"/>
    </row>
    <row r="133" spans="20:32">
      <c r="T133" s="114"/>
      <c r="U133" s="114"/>
      <c r="Z133" s="113"/>
      <c r="AA133" s="113"/>
    </row>
    <row r="134" spans="20:32">
      <c r="T134" s="114"/>
      <c r="U134" s="114"/>
      <c r="Z134" s="113"/>
      <c r="AA134" s="113"/>
    </row>
    <row r="135" spans="20:32">
      <c r="T135" s="114"/>
      <c r="U135" s="114"/>
      <c r="Z135" s="113"/>
      <c r="AA135" s="113"/>
    </row>
    <row r="136" spans="20:32">
      <c r="T136" s="114"/>
      <c r="U136" s="114"/>
      <c r="Z136" s="113"/>
      <c r="AA136" s="113"/>
    </row>
    <row r="137" spans="20:32">
      <c r="T137" s="114"/>
      <c r="U137" s="114"/>
      <c r="Z137" s="113"/>
      <c r="AA137" s="113"/>
    </row>
    <row r="138" spans="20:32">
      <c r="T138" s="114"/>
      <c r="U138" s="114"/>
      <c r="Z138" s="113"/>
      <c r="AA138" s="113"/>
    </row>
    <row r="139" spans="20:32">
      <c r="T139" s="114"/>
      <c r="U139" s="114"/>
      <c r="Z139" s="113"/>
      <c r="AA139" s="113"/>
    </row>
    <row r="140" spans="20:32">
      <c r="T140" s="114"/>
      <c r="U140" s="114"/>
      <c r="Z140" s="113"/>
      <c r="AA140" s="113"/>
    </row>
    <row r="141" spans="20:32">
      <c r="T141" s="114"/>
      <c r="U141" s="114"/>
      <c r="Z141" s="113"/>
      <c r="AA141" s="113"/>
    </row>
    <row r="142" spans="20:32">
      <c r="Z142" s="113"/>
      <c r="AA142" s="113"/>
    </row>
    <row r="143" spans="20:32">
      <c r="Z143" s="113"/>
      <c r="AA143" s="113"/>
    </row>
    <row r="144" spans="20:32">
      <c r="T144" s="114"/>
      <c r="U144" s="114"/>
    </row>
    <row r="145" spans="20:27">
      <c r="T145" s="114"/>
      <c r="U145" s="114"/>
    </row>
    <row r="146" spans="20:27">
      <c r="T146" s="114"/>
      <c r="U146" s="114"/>
      <c r="Z146" s="113"/>
      <c r="AA146" s="113"/>
    </row>
    <row r="147" spans="20:27">
      <c r="T147" s="114"/>
      <c r="U147" s="114"/>
      <c r="Z147" s="113"/>
      <c r="AA147" s="113"/>
    </row>
    <row r="148" spans="20:27">
      <c r="T148" s="114"/>
      <c r="U148" s="114"/>
      <c r="Z148" s="113"/>
      <c r="AA148" s="113"/>
    </row>
    <row r="149" spans="20:27">
      <c r="T149" s="114"/>
      <c r="U149" s="114"/>
      <c r="Z149" s="113"/>
      <c r="AA149" s="113"/>
    </row>
    <row r="150" spans="20:27">
      <c r="T150" s="114"/>
      <c r="U150" s="114"/>
      <c r="Z150" s="113"/>
      <c r="AA150" s="113"/>
    </row>
    <row r="151" spans="20:27">
      <c r="T151" s="114"/>
      <c r="U151" s="114"/>
      <c r="Z151" s="113"/>
      <c r="AA151" s="113"/>
    </row>
    <row r="152" spans="20:27">
      <c r="T152" s="114"/>
      <c r="U152" s="114"/>
      <c r="Z152" s="113"/>
      <c r="AA152" s="113"/>
    </row>
    <row r="153" spans="20:27">
      <c r="T153" s="114"/>
      <c r="U153" s="114"/>
      <c r="Z153" s="113"/>
      <c r="AA153" s="113"/>
    </row>
    <row r="154" spans="20:27">
      <c r="T154" s="114"/>
      <c r="U154" s="114"/>
      <c r="Z154" s="113"/>
      <c r="AA154" s="113"/>
    </row>
    <row r="155" spans="20:27">
      <c r="T155" s="114"/>
      <c r="U155" s="114"/>
      <c r="Z155" s="113"/>
      <c r="AA155" s="113"/>
    </row>
    <row r="156" spans="20:27">
      <c r="T156" s="114"/>
      <c r="U156" s="114"/>
      <c r="Z156" s="113"/>
      <c r="AA156" s="113"/>
    </row>
    <row r="157" spans="20:27">
      <c r="T157" s="114"/>
      <c r="U157" s="114"/>
      <c r="Z157" s="113"/>
      <c r="AA157" s="113"/>
    </row>
    <row r="158" spans="20:27">
      <c r="T158" s="114"/>
      <c r="U158" s="114"/>
      <c r="Z158" s="113"/>
      <c r="AA158" s="113"/>
    </row>
    <row r="159" spans="20:27">
      <c r="Z159" s="113"/>
      <c r="AA159" s="113"/>
    </row>
    <row r="160" spans="20:27">
      <c r="Z160" s="113"/>
      <c r="AA160" s="113"/>
    </row>
    <row r="161" spans="26:27">
      <c r="Z161" s="113"/>
      <c r="AA161" s="113"/>
    </row>
    <row r="162" spans="26:27">
      <c r="Z162" s="113"/>
      <c r="AA162" s="113"/>
    </row>
    <row r="163" spans="26:27">
      <c r="Z163" s="113"/>
      <c r="AA163" s="113"/>
    </row>
    <row r="164" spans="26:27">
      <c r="Z164" s="113"/>
      <c r="AA164" s="113"/>
    </row>
    <row r="165" spans="26:27">
      <c r="Z165" s="113"/>
      <c r="AA165" s="113"/>
    </row>
    <row r="166" spans="26:27">
      <c r="Z166" s="113"/>
      <c r="AA166" s="113"/>
    </row>
    <row r="167" spans="26:27">
      <c r="Z167" s="113"/>
      <c r="AA167" s="113"/>
    </row>
    <row r="168" spans="26:27">
      <c r="Z168" s="113"/>
      <c r="AA168" s="113"/>
    </row>
    <row r="169" spans="26:27">
      <c r="Z169" s="113"/>
      <c r="AA169" s="113"/>
    </row>
    <row r="170" spans="26:27">
      <c r="Z170" s="113"/>
      <c r="AA170" s="113"/>
    </row>
    <row r="171" spans="26:27">
      <c r="Z171" s="113"/>
      <c r="AA171" s="113"/>
    </row>
    <row r="172" spans="26:27">
      <c r="Z172" s="113"/>
      <c r="AA172" s="113"/>
    </row>
    <row r="173" spans="26:27">
      <c r="Z173" s="113"/>
      <c r="AA173" s="113"/>
    </row>
    <row r="174" spans="26:27">
      <c r="Z174" s="113"/>
      <c r="AA174" s="113"/>
    </row>
    <row r="175" spans="26:27">
      <c r="Z175" s="113"/>
      <c r="AA175" s="113"/>
    </row>
    <row r="176" spans="26:27">
      <c r="Z176" s="113"/>
      <c r="AA176" s="113"/>
    </row>
    <row r="177" spans="26:27">
      <c r="Z177" s="113"/>
      <c r="AA177" s="113"/>
    </row>
    <row r="178" spans="26:27">
      <c r="Z178" s="113"/>
      <c r="AA178" s="113"/>
    </row>
    <row r="179" spans="26:27">
      <c r="Z179" s="113"/>
      <c r="AA179" s="113"/>
    </row>
    <row r="180" spans="26:27">
      <c r="Z180" s="113"/>
      <c r="AA180" s="113"/>
    </row>
    <row r="181" spans="26:27">
      <c r="Z181" s="113"/>
      <c r="AA181" s="113"/>
    </row>
    <row r="182" spans="26:27">
      <c r="Z182" s="113"/>
      <c r="AA182" s="113"/>
    </row>
    <row r="183" spans="26:27">
      <c r="Z183" s="113"/>
      <c r="AA183" s="113"/>
    </row>
    <row r="184" spans="26:27">
      <c r="Z184" s="113"/>
      <c r="AA184" s="113"/>
    </row>
    <row r="185" spans="26:27">
      <c r="Z185" s="113"/>
      <c r="AA185" s="113"/>
    </row>
    <row r="186" spans="26:27">
      <c r="Z186" s="113"/>
      <c r="AA186" s="113"/>
    </row>
    <row r="187" spans="26:27">
      <c r="Z187" s="113"/>
      <c r="AA187" s="113"/>
    </row>
    <row r="188" spans="26:27">
      <c r="Z188" s="113"/>
      <c r="AA188" s="113"/>
    </row>
    <row r="189" spans="26:27">
      <c r="Z189" s="113"/>
      <c r="AA189" s="113"/>
    </row>
    <row r="190" spans="26:27">
      <c r="Z190" s="113"/>
      <c r="AA190" s="113"/>
    </row>
    <row r="191" spans="26:27">
      <c r="Z191" s="113"/>
      <c r="AA191" s="113"/>
    </row>
    <row r="192" spans="26:27">
      <c r="Z192" s="113"/>
      <c r="AA192" s="113"/>
    </row>
    <row r="193" spans="26:27">
      <c r="Z193" s="113"/>
      <c r="AA193" s="113"/>
    </row>
    <row r="194" spans="26:27">
      <c r="Z194" s="113"/>
      <c r="AA194" s="113"/>
    </row>
    <row r="195" spans="26:27">
      <c r="Z195" s="113"/>
      <c r="AA195" s="113"/>
    </row>
    <row r="196" spans="26:27">
      <c r="Z196" s="113"/>
      <c r="AA196" s="113"/>
    </row>
    <row r="197" spans="26:27">
      <c r="Z197" s="113"/>
      <c r="AA197" s="113"/>
    </row>
    <row r="198" spans="26:27">
      <c r="Z198" s="113"/>
      <c r="AA198" s="113"/>
    </row>
    <row r="199" spans="26:27">
      <c r="Z199" s="113"/>
      <c r="AA199" s="113"/>
    </row>
    <row r="200" spans="26:27">
      <c r="Z200" s="113"/>
      <c r="AA200" s="113"/>
    </row>
    <row r="201" spans="26:27">
      <c r="Z201" s="113"/>
      <c r="AA201" s="113"/>
    </row>
    <row r="202" spans="26:27">
      <c r="Z202" s="113"/>
      <c r="AA202" s="113"/>
    </row>
    <row r="203" spans="26:27">
      <c r="Z203" s="113"/>
      <c r="AA203" s="113"/>
    </row>
    <row r="204" spans="26:27">
      <c r="Z204" s="113"/>
      <c r="AA204" s="113"/>
    </row>
    <row r="205" spans="26:27">
      <c r="Z205" s="113"/>
      <c r="AA205" s="113"/>
    </row>
    <row r="206" spans="26:27">
      <c r="Z206" s="113"/>
      <c r="AA206" s="113"/>
    </row>
    <row r="207" spans="26:27">
      <c r="Z207" s="113"/>
      <c r="AA207" s="113"/>
    </row>
    <row r="208" spans="26:27">
      <c r="Z208" s="113"/>
      <c r="AA208" s="113"/>
    </row>
    <row r="209" spans="26:27">
      <c r="Z209" s="113"/>
      <c r="AA209" s="113"/>
    </row>
    <row r="210" spans="26:27">
      <c r="Z210" s="113"/>
      <c r="AA210" s="113"/>
    </row>
    <row r="211" spans="26:27">
      <c r="Z211" s="113"/>
      <c r="AA211" s="113"/>
    </row>
    <row r="212" spans="26:27">
      <c r="Z212" s="113"/>
      <c r="AA212" s="113"/>
    </row>
    <row r="213" spans="26:27">
      <c r="Z213" s="113"/>
      <c r="AA213" s="113"/>
    </row>
    <row r="214" spans="26:27">
      <c r="Z214" s="113"/>
      <c r="AA214" s="113"/>
    </row>
    <row r="215" spans="26:27">
      <c r="Z215" s="113"/>
      <c r="AA215" s="113"/>
    </row>
    <row r="216" spans="26:27">
      <c r="Z216" s="113"/>
      <c r="AA216" s="113"/>
    </row>
    <row r="217" spans="26:27">
      <c r="Z217" s="113"/>
      <c r="AA217" s="113"/>
    </row>
    <row r="218" spans="26:27">
      <c r="Z218" s="113"/>
      <c r="AA218" s="113"/>
    </row>
    <row r="219" spans="26:27">
      <c r="Z219" s="113"/>
      <c r="AA219" s="113"/>
    </row>
    <row r="220" spans="26:27">
      <c r="Z220" s="113"/>
      <c r="AA220" s="113"/>
    </row>
    <row r="221" spans="26:27">
      <c r="Z221" s="113"/>
      <c r="AA221" s="113"/>
    </row>
    <row r="222" spans="26:27">
      <c r="Z222" s="113"/>
      <c r="AA222" s="113"/>
    </row>
    <row r="223" spans="26:27">
      <c r="Z223" s="113"/>
      <c r="AA223" s="113"/>
    </row>
    <row r="224" spans="26:27">
      <c r="Z224" s="113"/>
      <c r="AA224" s="113"/>
    </row>
    <row r="225" spans="26:27">
      <c r="Z225" s="113"/>
      <c r="AA225" s="113"/>
    </row>
    <row r="226" spans="26:27">
      <c r="Z226" s="113"/>
      <c r="AA226" s="113"/>
    </row>
    <row r="227" spans="26:27">
      <c r="Z227" s="113"/>
      <c r="AA227" s="113"/>
    </row>
    <row r="228" spans="26:27">
      <c r="Z228" s="113"/>
      <c r="AA228" s="113"/>
    </row>
    <row r="229" spans="26:27">
      <c r="Z229" s="113"/>
      <c r="AA229" s="113"/>
    </row>
    <row r="230" spans="26:27">
      <c r="Z230" s="113"/>
      <c r="AA230" s="113"/>
    </row>
    <row r="231" spans="26:27">
      <c r="Z231" s="113"/>
      <c r="AA231" s="113"/>
    </row>
    <row r="232" spans="26:27">
      <c r="Z232" s="113"/>
      <c r="AA232" s="113"/>
    </row>
    <row r="233" spans="26:27">
      <c r="Z233" s="113"/>
      <c r="AA233" s="113"/>
    </row>
    <row r="234" spans="26:27">
      <c r="Z234" s="113"/>
      <c r="AA234" s="113"/>
    </row>
    <row r="235" spans="26:27">
      <c r="Z235" s="113"/>
      <c r="AA235" s="113"/>
    </row>
    <row r="236" spans="26:27">
      <c r="Z236" s="113"/>
      <c r="AA236" s="113"/>
    </row>
    <row r="237" spans="26:27">
      <c r="Z237" s="113"/>
      <c r="AA237" s="113"/>
    </row>
    <row r="238" spans="26:27">
      <c r="Z238" s="113"/>
      <c r="AA238" s="113"/>
    </row>
    <row r="239" spans="26:27">
      <c r="Z239" s="113"/>
      <c r="AA239" s="113"/>
    </row>
    <row r="240" spans="26:27">
      <c r="Z240" s="113"/>
      <c r="AA240" s="113"/>
    </row>
    <row r="241" spans="26:27">
      <c r="Z241" s="113"/>
      <c r="AA241" s="113"/>
    </row>
    <row r="242" spans="26:27">
      <c r="Z242" s="113"/>
      <c r="AA242" s="113"/>
    </row>
    <row r="243" spans="26:27">
      <c r="Z243" s="113"/>
      <c r="AA243" s="113"/>
    </row>
    <row r="244" spans="26:27">
      <c r="Z244" s="113"/>
      <c r="AA244" s="113"/>
    </row>
    <row r="245" spans="26:27">
      <c r="Z245" s="113"/>
      <c r="AA245" s="113"/>
    </row>
    <row r="246" spans="26:27">
      <c r="Z246" s="113"/>
      <c r="AA246" s="113"/>
    </row>
    <row r="247" spans="26:27">
      <c r="Z247" s="113"/>
      <c r="AA247" s="113"/>
    </row>
    <row r="248" spans="26:27">
      <c r="Z248" s="113"/>
      <c r="AA248" s="113"/>
    </row>
    <row r="249" spans="26:27">
      <c r="Z249" s="113"/>
      <c r="AA249" s="113"/>
    </row>
    <row r="250" spans="26:27">
      <c r="Z250" s="113"/>
      <c r="AA250" s="113"/>
    </row>
    <row r="251" spans="26:27">
      <c r="Z251" s="113"/>
      <c r="AA251" s="113"/>
    </row>
    <row r="252" spans="26:27">
      <c r="Z252" s="113"/>
      <c r="AA252" s="113"/>
    </row>
    <row r="253" spans="26:27">
      <c r="Z253" s="113"/>
      <c r="AA253" s="113"/>
    </row>
    <row r="254" spans="26:27">
      <c r="Z254" s="113"/>
      <c r="AA254" s="113"/>
    </row>
    <row r="255" spans="26:27">
      <c r="Z255" s="113"/>
      <c r="AA255" s="113"/>
    </row>
    <row r="256" spans="26:27">
      <c r="Z256" s="113"/>
      <c r="AA256" s="113"/>
    </row>
    <row r="257" spans="26:27">
      <c r="Z257" s="113"/>
      <c r="AA257" s="113"/>
    </row>
    <row r="258" spans="26:27">
      <c r="Z258" s="113"/>
      <c r="AA258" s="113"/>
    </row>
    <row r="259" spans="26:27">
      <c r="Z259" s="113"/>
      <c r="AA259" s="113"/>
    </row>
  </sheetData>
  <phoneticPr fontId="13"/>
  <pageMargins left="0.75" right="0.75" top="1" bottom="1" header="0.51200000000000001" footer="0.5120000000000000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2">
    <tabColor indexed="43"/>
  </sheetPr>
  <dimension ref="A1:HY69"/>
  <sheetViews>
    <sheetView zoomScale="90" zoomScaleNormal="90" workbookViewId="0">
      <pane xSplit="2" ySplit="5" topLeftCell="GJ6" activePane="bottomRight" state="frozen"/>
      <selection pane="topRight" activeCell="CB1" sqref="CB1"/>
      <selection pane="bottomLeft" activeCell="A5" sqref="A5"/>
      <selection pane="bottomRight" activeCell="GT9" sqref="GT9"/>
    </sheetView>
  </sheetViews>
  <sheetFormatPr defaultColWidth="8.7109375" defaultRowHeight="16.5"/>
  <cols>
    <col min="1" max="1" width="3.2109375" style="495" customWidth="1"/>
    <col min="2" max="2" width="10.7109375" style="495" customWidth="1"/>
    <col min="3" max="6" width="9.7109375" style="495" customWidth="1"/>
    <col min="7" max="7" width="8.92578125" style="495" bestFit="1" customWidth="1"/>
    <col min="8" max="8" width="9.5703125" style="495" bestFit="1" customWidth="1"/>
    <col min="9" max="9" width="9.7109375" style="495" customWidth="1"/>
    <col min="10" max="10" width="9.5703125" style="495" bestFit="1" customWidth="1"/>
    <col min="11" max="42" width="9.7109375" style="495" customWidth="1"/>
    <col min="43" max="47" width="9.7109375" style="239" customWidth="1"/>
    <col min="48" max="48" width="9.7109375" style="495" customWidth="1"/>
    <col min="49" max="57" width="9.7109375" style="239" customWidth="1"/>
    <col min="58" max="58" width="9.7109375" style="495" customWidth="1"/>
    <col min="59" max="67" width="9.7109375" style="239" customWidth="1"/>
    <col min="68" max="68" width="9.7109375" style="495" customWidth="1"/>
    <col min="69" max="77" width="9.7109375" style="239" customWidth="1"/>
    <col min="78" max="78" width="9.7109375" style="495" customWidth="1"/>
    <col min="79" max="87" width="9.7109375" style="239" customWidth="1"/>
    <col min="88" max="88" width="9.7109375" style="495" customWidth="1"/>
    <col min="89" max="97" width="9.7109375" style="239" customWidth="1"/>
    <col min="98" max="98" width="9.7109375" style="495" customWidth="1"/>
    <col min="99" max="107" width="9.7109375" style="239" customWidth="1"/>
    <col min="108" max="108" width="9.7109375" style="495" customWidth="1"/>
    <col min="109" max="117" width="9.7109375" style="239" customWidth="1"/>
    <col min="118" max="118" width="9.7109375" style="495" customWidth="1"/>
    <col min="119" max="127" width="9.7109375" style="239" customWidth="1"/>
    <col min="128" max="128" width="9.7109375" style="495" customWidth="1"/>
    <col min="129" max="137" width="9.7109375" style="239" customWidth="1"/>
    <col min="138" max="138" width="9.7109375" style="495" customWidth="1"/>
    <col min="139" max="142" width="9.7109375" style="239" customWidth="1"/>
    <col min="143" max="143" width="9.5" style="239" customWidth="1"/>
    <col min="144" max="172" width="8.7109375" style="239"/>
    <col min="173" max="173" width="4.5" style="239" customWidth="1"/>
    <col min="174" max="215" width="8.7109375" style="239"/>
    <col min="216" max="216" width="8.7109375" style="239" customWidth="1"/>
    <col min="217" max="223" width="8.7109375" style="239"/>
    <col min="224" max="224" width="4.92578125" style="239" customWidth="1"/>
    <col min="225" max="16384" width="8.7109375" style="239"/>
  </cols>
  <sheetData>
    <row r="1" spans="1:233">
      <c r="A1" s="899" t="s">
        <v>1333</v>
      </c>
      <c r="C1" s="285">
        <f t="shared" ref="C1:BN1" si="0">+C5-C6</f>
        <v>810007.43384982366</v>
      </c>
      <c r="D1" s="285">
        <f t="shared" si="0"/>
        <v>1481109.5861628735</v>
      </c>
      <c r="E1" s="285">
        <f t="shared" si="0"/>
        <v>0</v>
      </c>
      <c r="F1" s="285">
        <f t="shared" si="0"/>
        <v>0</v>
      </c>
      <c r="G1" s="285">
        <f t="shared" si="0"/>
        <v>0</v>
      </c>
      <c r="H1" s="285">
        <f t="shared" si="0"/>
        <v>0</v>
      </c>
      <c r="I1" s="285">
        <f t="shared" si="0"/>
        <v>0</v>
      </c>
      <c r="J1" s="285">
        <f t="shared" si="0"/>
        <v>-810007.43384982646</v>
      </c>
      <c r="K1" s="285">
        <f t="shared" si="0"/>
        <v>0</v>
      </c>
      <c r="L1" s="285">
        <f t="shared" si="0"/>
        <v>0</v>
      </c>
      <c r="M1" s="285">
        <f t="shared" si="0"/>
        <v>1425455.4883062954</v>
      </c>
      <c r="N1" s="285">
        <f t="shared" si="0"/>
        <v>2156774.9361025505</v>
      </c>
      <c r="O1" s="285">
        <f t="shared" si="0"/>
        <v>0</v>
      </c>
      <c r="P1" s="285">
        <f t="shared" si="0"/>
        <v>0</v>
      </c>
      <c r="Q1" s="285">
        <f t="shared" si="0"/>
        <v>0</v>
      </c>
      <c r="R1" s="285">
        <f t="shared" si="0"/>
        <v>0</v>
      </c>
      <c r="S1" s="285">
        <f t="shared" si="0"/>
        <v>0</v>
      </c>
      <c r="T1" s="285">
        <f t="shared" si="0"/>
        <v>-1425455.4883062951</v>
      </c>
      <c r="U1" s="285">
        <f t="shared" si="0"/>
        <v>0</v>
      </c>
      <c r="V1" s="285">
        <f t="shared" si="0"/>
        <v>0</v>
      </c>
      <c r="W1" s="285">
        <f t="shared" si="0"/>
        <v>367889.97575087973</v>
      </c>
      <c r="X1" s="285">
        <f t="shared" si="0"/>
        <v>503933.83868555096</v>
      </c>
      <c r="Y1" s="285">
        <f t="shared" si="0"/>
        <v>0</v>
      </c>
      <c r="Z1" s="285">
        <f t="shared" si="0"/>
        <v>0</v>
      </c>
      <c r="AA1" s="285">
        <f t="shared" si="0"/>
        <v>0</v>
      </c>
      <c r="AB1" s="285">
        <f t="shared" si="0"/>
        <v>0</v>
      </c>
      <c r="AC1" s="285">
        <f t="shared" si="0"/>
        <v>0</v>
      </c>
      <c r="AD1" s="285">
        <f t="shared" si="0"/>
        <v>-367889.97575088218</v>
      </c>
      <c r="AE1" s="285">
        <f t="shared" si="0"/>
        <v>0</v>
      </c>
      <c r="AF1" s="285">
        <f t="shared" si="0"/>
        <v>0</v>
      </c>
      <c r="AG1" s="285">
        <f t="shared" si="0"/>
        <v>-1246762.6472310391</v>
      </c>
      <c r="AH1" s="285">
        <f t="shared" si="0"/>
        <v>-1119614.1507366081</v>
      </c>
      <c r="AI1" s="285">
        <f t="shared" si="0"/>
        <v>0</v>
      </c>
      <c r="AJ1" s="285">
        <f t="shared" si="0"/>
        <v>0</v>
      </c>
      <c r="AK1" s="285">
        <f t="shared" si="0"/>
        <v>0</v>
      </c>
      <c r="AL1" s="285">
        <f t="shared" si="0"/>
        <v>0</v>
      </c>
      <c r="AM1" s="285">
        <f t="shared" si="0"/>
        <v>0</v>
      </c>
      <c r="AN1" s="285">
        <f t="shared" si="0"/>
        <v>1246762.6472310387</v>
      </c>
      <c r="AO1" s="285">
        <f t="shared" si="0"/>
        <v>0</v>
      </c>
      <c r="AP1" s="285">
        <f t="shared" si="0"/>
        <v>0</v>
      </c>
      <c r="AQ1" s="285">
        <f t="shared" si="0"/>
        <v>-1170008.7775902199</v>
      </c>
      <c r="AR1" s="285">
        <f t="shared" si="0"/>
        <v>-820590.15993855987</v>
      </c>
      <c r="AS1" s="285">
        <f t="shared" si="0"/>
        <v>0</v>
      </c>
      <c r="AT1" s="285">
        <f t="shared" si="0"/>
        <v>0</v>
      </c>
      <c r="AU1" s="285">
        <f t="shared" si="0"/>
        <v>0</v>
      </c>
      <c r="AV1" s="285">
        <f t="shared" si="0"/>
        <v>0</v>
      </c>
      <c r="AW1" s="285">
        <f t="shared" si="0"/>
        <v>0</v>
      </c>
      <c r="AX1" s="285">
        <f t="shared" si="0"/>
        <v>1170008.7775902189</v>
      </c>
      <c r="AY1" s="285">
        <f t="shared" si="0"/>
        <v>0</v>
      </c>
      <c r="AZ1" s="285">
        <f t="shared" si="0"/>
        <v>0</v>
      </c>
      <c r="BA1" s="285">
        <f t="shared" si="0"/>
        <v>2</v>
      </c>
      <c r="BB1" s="285">
        <f t="shared" si="0"/>
        <v>97043.65056151594</v>
      </c>
      <c r="BC1" s="285">
        <f t="shared" si="0"/>
        <v>0</v>
      </c>
      <c r="BD1" s="285">
        <f t="shared" si="0"/>
        <v>0</v>
      </c>
      <c r="BE1" s="285">
        <f t="shared" si="0"/>
        <v>0</v>
      </c>
      <c r="BF1" s="285">
        <f t="shared" si="0"/>
        <v>0</v>
      </c>
      <c r="BG1" s="285">
        <f t="shared" si="0"/>
        <v>0</v>
      </c>
      <c r="BH1" s="285">
        <f t="shared" si="0"/>
        <v>-2</v>
      </c>
      <c r="BI1" s="285">
        <f t="shared" si="0"/>
        <v>0</v>
      </c>
      <c r="BJ1" s="285">
        <f t="shared" si="0"/>
        <v>0</v>
      </c>
      <c r="BK1" s="285">
        <f t="shared" si="0"/>
        <v>-1</v>
      </c>
      <c r="BL1" s="285">
        <f t="shared" si="0"/>
        <v>-17045.723807917209</v>
      </c>
      <c r="BM1" s="285">
        <f t="shared" si="0"/>
        <v>0</v>
      </c>
      <c r="BN1" s="285">
        <f t="shared" si="0"/>
        <v>0</v>
      </c>
      <c r="BO1" s="285">
        <f t="shared" ref="BO1:DZ1" si="1">+BO5-BO6</f>
        <v>0</v>
      </c>
      <c r="BP1" s="285">
        <f t="shared" si="1"/>
        <v>0</v>
      </c>
      <c r="BQ1" s="285">
        <f t="shared" si="1"/>
        <v>0</v>
      </c>
      <c r="BR1" s="285">
        <f t="shared" si="1"/>
        <v>1</v>
      </c>
      <c r="BS1" s="285">
        <f t="shared" si="1"/>
        <v>0</v>
      </c>
      <c r="BT1" s="285">
        <f t="shared" si="1"/>
        <v>0</v>
      </c>
      <c r="BU1" s="285">
        <f t="shared" si="1"/>
        <v>-2</v>
      </c>
      <c r="BV1" s="285">
        <f t="shared" si="1"/>
        <v>-79097.795045838691</v>
      </c>
      <c r="BW1" s="285">
        <f t="shared" si="1"/>
        <v>0</v>
      </c>
      <c r="BX1" s="285">
        <f t="shared" si="1"/>
        <v>0</v>
      </c>
      <c r="BY1" s="285">
        <f t="shared" si="1"/>
        <v>0</v>
      </c>
      <c r="BZ1" s="285">
        <f t="shared" si="1"/>
        <v>0</v>
      </c>
      <c r="CA1" s="285">
        <f t="shared" si="1"/>
        <v>0</v>
      </c>
      <c r="CB1" s="285">
        <f t="shared" si="1"/>
        <v>2</v>
      </c>
      <c r="CC1" s="285">
        <f t="shared" si="1"/>
        <v>0</v>
      </c>
      <c r="CD1" s="285">
        <f t="shared" si="1"/>
        <v>0</v>
      </c>
      <c r="CE1" s="285">
        <f t="shared" si="1"/>
        <v>1</v>
      </c>
      <c r="CF1" s="285">
        <f t="shared" si="1"/>
        <v>-190032.85223591037</v>
      </c>
      <c r="CG1" s="285">
        <f t="shared" si="1"/>
        <v>0</v>
      </c>
      <c r="CH1" s="285">
        <f t="shared" si="1"/>
        <v>0</v>
      </c>
      <c r="CI1" s="285">
        <f t="shared" si="1"/>
        <v>0</v>
      </c>
      <c r="CJ1" s="285">
        <f t="shared" si="1"/>
        <v>0</v>
      </c>
      <c r="CK1" s="285">
        <f t="shared" si="1"/>
        <v>0</v>
      </c>
      <c r="CL1" s="285">
        <f t="shared" si="1"/>
        <v>-1</v>
      </c>
      <c r="CM1" s="285">
        <f t="shared" si="1"/>
        <v>0</v>
      </c>
      <c r="CN1" s="285">
        <f t="shared" si="1"/>
        <v>0</v>
      </c>
      <c r="CO1" s="285">
        <f t="shared" si="1"/>
        <v>0</v>
      </c>
      <c r="CP1" s="285">
        <f t="shared" si="1"/>
        <v>87801.653720025439</v>
      </c>
      <c r="CQ1" s="285">
        <f t="shared" si="1"/>
        <v>0</v>
      </c>
      <c r="CR1" s="285">
        <f t="shared" si="1"/>
        <v>0</v>
      </c>
      <c r="CS1" s="285">
        <f t="shared" si="1"/>
        <v>0</v>
      </c>
      <c r="CT1" s="285">
        <f t="shared" si="1"/>
        <v>0</v>
      </c>
      <c r="CU1" s="285">
        <f t="shared" si="1"/>
        <v>0</v>
      </c>
      <c r="CV1" s="285">
        <f t="shared" si="1"/>
        <v>0</v>
      </c>
      <c r="CW1" s="285">
        <f t="shared" si="1"/>
        <v>0</v>
      </c>
      <c r="CX1" s="285">
        <f t="shared" si="1"/>
        <v>0</v>
      </c>
      <c r="CY1" s="285">
        <f t="shared" si="1"/>
        <v>0</v>
      </c>
      <c r="CZ1" s="285">
        <f t="shared" si="1"/>
        <v>-375366.51478088903</v>
      </c>
      <c r="DA1" s="285">
        <f t="shared" si="1"/>
        <v>0</v>
      </c>
      <c r="DB1" s="285">
        <f t="shared" si="1"/>
        <v>0</v>
      </c>
      <c r="DC1" s="285">
        <f t="shared" si="1"/>
        <v>0</v>
      </c>
      <c r="DD1" s="285">
        <f t="shared" si="1"/>
        <v>0</v>
      </c>
      <c r="DE1" s="285">
        <f t="shared" si="1"/>
        <v>0</v>
      </c>
      <c r="DF1" s="285">
        <f t="shared" si="1"/>
        <v>0</v>
      </c>
      <c r="DG1" s="285">
        <f t="shared" si="1"/>
        <v>0</v>
      </c>
      <c r="DH1" s="285">
        <f t="shared" si="1"/>
        <v>0</v>
      </c>
      <c r="DI1" s="285">
        <f t="shared" si="1"/>
        <v>-1</v>
      </c>
      <c r="DJ1" s="285">
        <f t="shared" si="1"/>
        <v>-926811.165737401</v>
      </c>
      <c r="DK1" s="285">
        <f t="shared" si="1"/>
        <v>0</v>
      </c>
      <c r="DL1" s="285">
        <f t="shared" si="1"/>
        <v>0</v>
      </c>
      <c r="DM1" s="285">
        <f t="shared" si="1"/>
        <v>0</v>
      </c>
      <c r="DN1" s="285">
        <f t="shared" si="1"/>
        <v>0</v>
      </c>
      <c r="DO1" s="285">
        <f t="shared" si="1"/>
        <v>0</v>
      </c>
      <c r="DP1" s="285">
        <f t="shared" si="1"/>
        <v>1</v>
      </c>
      <c r="DQ1" s="285">
        <f t="shared" si="1"/>
        <v>0</v>
      </c>
      <c r="DR1" s="285">
        <f t="shared" si="1"/>
        <v>0</v>
      </c>
      <c r="DS1" s="285">
        <f t="shared" si="1"/>
        <v>0</v>
      </c>
      <c r="DT1" s="285">
        <f t="shared" si="1"/>
        <v>-1544008.7081245894</v>
      </c>
      <c r="DU1" s="285">
        <f t="shared" si="1"/>
        <v>0</v>
      </c>
      <c r="DV1" s="285">
        <f t="shared" si="1"/>
        <v>0</v>
      </c>
      <c r="DW1" s="285">
        <f t="shared" si="1"/>
        <v>0</v>
      </c>
      <c r="DX1" s="285">
        <f t="shared" si="1"/>
        <v>0</v>
      </c>
      <c r="DY1" s="285">
        <f t="shared" si="1"/>
        <v>0</v>
      </c>
      <c r="DZ1" s="285">
        <f t="shared" si="1"/>
        <v>0</v>
      </c>
      <c r="EA1" s="285">
        <f t="shared" ref="EA1:EL1" si="2">+EA5-EA6</f>
        <v>0</v>
      </c>
      <c r="EB1" s="285">
        <f t="shared" si="2"/>
        <v>0</v>
      </c>
      <c r="EC1" s="285">
        <f t="shared" si="2"/>
        <v>0</v>
      </c>
      <c r="ED1" s="285">
        <f t="shared" si="2"/>
        <v>-2081711.0547938205</v>
      </c>
      <c r="EE1" s="285">
        <f t="shared" si="2"/>
        <v>0</v>
      </c>
      <c r="EF1" s="285">
        <f t="shared" si="2"/>
        <v>0</v>
      </c>
      <c r="EG1" s="285">
        <f t="shared" si="2"/>
        <v>0</v>
      </c>
      <c r="EH1" s="285">
        <f t="shared" si="2"/>
        <v>0</v>
      </c>
      <c r="EI1" s="285">
        <f t="shared" si="2"/>
        <v>0</v>
      </c>
      <c r="EJ1" s="285">
        <f t="shared" si="2"/>
        <v>0</v>
      </c>
      <c r="EK1" s="285">
        <f t="shared" si="2"/>
        <v>0</v>
      </c>
      <c r="EL1" s="285">
        <f t="shared" si="2"/>
        <v>0</v>
      </c>
      <c r="EM1" s="285">
        <f t="shared" ref="EM1:ET1" si="3">+EM5-EM6</f>
        <v>0</v>
      </c>
      <c r="EN1" s="285">
        <f>+EN5-EN6</f>
        <v>-1302268.3117460024</v>
      </c>
      <c r="EO1" s="285">
        <f>+EO5-EO6</f>
        <v>0</v>
      </c>
      <c r="EP1" s="285">
        <f t="shared" si="3"/>
        <v>0</v>
      </c>
      <c r="EQ1" s="285">
        <f t="shared" si="3"/>
        <v>0</v>
      </c>
      <c r="ER1" s="285">
        <f t="shared" si="3"/>
        <v>0</v>
      </c>
      <c r="ES1" s="285">
        <f t="shared" si="3"/>
        <v>0</v>
      </c>
      <c r="ET1" s="285">
        <f t="shared" si="3"/>
        <v>0</v>
      </c>
      <c r="EU1" s="285">
        <f>+EU5-EU6</f>
        <v>0</v>
      </c>
      <c r="EV1" s="285">
        <f>+EV5-EV6</f>
        <v>0</v>
      </c>
      <c r="EX1" s="500" t="s">
        <v>117</v>
      </c>
      <c r="EY1" s="500" t="s">
        <v>1707</v>
      </c>
      <c r="FA1" s="285">
        <f t="shared" ref="FA1:FB1" si="4">+FA5-FA6</f>
        <v>0</v>
      </c>
      <c r="FB1" s="285">
        <f t="shared" si="4"/>
        <v>0</v>
      </c>
      <c r="FH1" s="682" t="s">
        <v>1588</v>
      </c>
      <c r="FI1" s="682">
        <f>名目県内総支出!X23+24995</f>
        <v>697634</v>
      </c>
      <c r="FJ1" s="239" t="s">
        <v>117</v>
      </c>
      <c r="FK1" s="285" t="s">
        <v>1534</v>
      </c>
      <c r="FL1" s="285" t="s">
        <v>1534</v>
      </c>
      <c r="FS1" s="682" t="s">
        <v>1588</v>
      </c>
      <c r="FT1" s="682">
        <f>名目県内総支出!Y23-231574</f>
        <v>433898</v>
      </c>
      <c r="FV1" s="285" t="s">
        <v>117</v>
      </c>
      <c r="FW1" s="285" t="s">
        <v>117</v>
      </c>
      <c r="GC1" s="682" t="s">
        <v>1588</v>
      </c>
      <c r="GD1" s="539">
        <f>名目県内総支出!Z23-793068-62404+115295</f>
        <v>-43435</v>
      </c>
      <c r="GF1" s="285" t="s">
        <v>117</v>
      </c>
      <c r="GG1" s="285" t="s">
        <v>117</v>
      </c>
      <c r="GM1" s="682" t="s">
        <v>1588</v>
      </c>
      <c r="GN1" s="1724">
        <f>名目県内総支出!AA23</f>
        <v>727838</v>
      </c>
      <c r="GO1" s="1473">
        <f>-793068-62404+115295</f>
        <v>-740177</v>
      </c>
      <c r="GP1" s="285" t="s">
        <v>117</v>
      </c>
      <c r="GQ1" s="285" t="s">
        <v>117</v>
      </c>
      <c r="GW1" s="682" t="s">
        <v>1588</v>
      </c>
      <c r="GX1" s="1724">
        <f>名目県内総支出!AB23</f>
        <v>732937</v>
      </c>
      <c r="GY1" s="1473">
        <f>GO1</f>
        <v>-740177</v>
      </c>
      <c r="GZ1" s="285" t="s">
        <v>117</v>
      </c>
      <c r="HA1" s="285" t="s">
        <v>117</v>
      </c>
      <c r="HG1" s="682" t="s">
        <v>1588</v>
      </c>
      <c r="HH1" s="1724">
        <f>名目県内総支出!AC23</f>
        <v>738036</v>
      </c>
      <c r="HJ1" s="285" t="s">
        <v>117</v>
      </c>
      <c r="HK1" s="285" t="s">
        <v>117</v>
      </c>
    </row>
    <row r="2" spans="1:233" ht="13" thickBot="1">
      <c r="A2" s="1246"/>
      <c r="B2" s="1247" t="s">
        <v>845</v>
      </c>
      <c r="C2" s="1248"/>
      <c r="D2" s="1249" t="s">
        <v>1350</v>
      </c>
      <c r="E2" s="1250" t="s">
        <v>1313</v>
      </c>
      <c r="F2" s="1250" t="s">
        <v>1314</v>
      </c>
      <c r="G2" s="1250" t="s">
        <v>1313</v>
      </c>
      <c r="H2" s="1250" t="s">
        <v>1312</v>
      </c>
      <c r="I2" s="1250" t="s">
        <v>1313</v>
      </c>
      <c r="J2" s="1251"/>
      <c r="K2" s="1251"/>
      <c r="L2" s="1251" t="s">
        <v>818</v>
      </c>
      <c r="M2" s="1248"/>
      <c r="N2" s="1249" t="s">
        <v>1315</v>
      </c>
      <c r="O2" s="1250" t="s">
        <v>1313</v>
      </c>
      <c r="P2" s="1250" t="s">
        <v>1314</v>
      </c>
      <c r="Q2" s="1250" t="s">
        <v>1313</v>
      </c>
      <c r="R2" s="1250" t="s">
        <v>1312</v>
      </c>
      <c r="S2" s="1250" t="s">
        <v>1313</v>
      </c>
      <c r="T2" s="1251"/>
      <c r="U2" s="1251"/>
      <c r="V2" s="1251" t="s">
        <v>818</v>
      </c>
      <c r="W2" s="1248"/>
      <c r="X2" s="1249" t="s">
        <v>1315</v>
      </c>
      <c r="Y2" s="1250" t="s">
        <v>1313</v>
      </c>
      <c r="Z2" s="1250" t="s">
        <v>1314</v>
      </c>
      <c r="AA2" s="1250" t="s">
        <v>1313</v>
      </c>
      <c r="AB2" s="1250" t="s">
        <v>1312</v>
      </c>
      <c r="AC2" s="1250" t="s">
        <v>1313</v>
      </c>
      <c r="AD2" s="1251"/>
      <c r="AE2" s="1251"/>
      <c r="AF2" s="1251" t="s">
        <v>818</v>
      </c>
      <c r="AG2" s="1248"/>
      <c r="AH2" s="1249" t="s">
        <v>1315</v>
      </c>
      <c r="AI2" s="1250" t="s">
        <v>1313</v>
      </c>
      <c r="AJ2" s="1250" t="s">
        <v>1314</v>
      </c>
      <c r="AK2" s="1250" t="s">
        <v>1313</v>
      </c>
      <c r="AL2" s="1250" t="s">
        <v>1312</v>
      </c>
      <c r="AM2" s="1250" t="s">
        <v>1313</v>
      </c>
      <c r="AN2" s="1251"/>
      <c r="AO2" s="1251"/>
      <c r="AP2" s="1251" t="s">
        <v>818</v>
      </c>
      <c r="AQ2" s="1248"/>
      <c r="AR2" s="1249" t="s">
        <v>1315</v>
      </c>
      <c r="AS2" s="1250" t="s">
        <v>1313</v>
      </c>
      <c r="AT2" s="1250" t="s">
        <v>1314</v>
      </c>
      <c r="AU2" s="1250" t="s">
        <v>1313</v>
      </c>
      <c r="AV2" s="1250" t="s">
        <v>1312</v>
      </c>
      <c r="AW2" s="1250" t="s">
        <v>1313</v>
      </c>
      <c r="AX2" s="1251"/>
      <c r="AY2" s="1251"/>
      <c r="AZ2" s="1251" t="s">
        <v>818</v>
      </c>
      <c r="BA2" s="1248"/>
      <c r="BB2" s="1249" t="s">
        <v>1315</v>
      </c>
      <c r="BC2" s="1250" t="s">
        <v>1313</v>
      </c>
      <c r="BD2" s="1250" t="s">
        <v>1314</v>
      </c>
      <c r="BE2" s="1250" t="s">
        <v>1313</v>
      </c>
      <c r="BF2" s="1250" t="s">
        <v>1312</v>
      </c>
      <c r="BG2" s="1250" t="s">
        <v>1313</v>
      </c>
      <c r="BH2" s="1251"/>
      <c r="BI2" s="1251"/>
      <c r="BJ2" s="1251" t="s">
        <v>818</v>
      </c>
      <c r="BK2" s="1248"/>
      <c r="BL2" s="1249" t="s">
        <v>1315</v>
      </c>
      <c r="BM2" s="1250" t="s">
        <v>1313</v>
      </c>
      <c r="BN2" s="1250" t="s">
        <v>1314</v>
      </c>
      <c r="BO2" s="1250" t="s">
        <v>1313</v>
      </c>
      <c r="BP2" s="1250" t="s">
        <v>1312</v>
      </c>
      <c r="BQ2" s="1250" t="s">
        <v>1313</v>
      </c>
      <c r="BR2" s="1251"/>
      <c r="BS2" s="1251"/>
      <c r="BT2" s="1251" t="s">
        <v>818</v>
      </c>
      <c r="BU2" s="1248"/>
      <c r="BV2" s="1249" t="s">
        <v>1315</v>
      </c>
      <c r="BW2" s="1250" t="s">
        <v>1313</v>
      </c>
      <c r="BX2" s="1250" t="s">
        <v>1314</v>
      </c>
      <c r="BY2" s="1250" t="s">
        <v>1313</v>
      </c>
      <c r="BZ2" s="1250" t="s">
        <v>1312</v>
      </c>
      <c r="CA2" s="1250" t="s">
        <v>1313</v>
      </c>
      <c r="CB2" s="1251"/>
      <c r="CC2" s="1251"/>
      <c r="CD2" s="1251" t="s">
        <v>818</v>
      </c>
      <c r="CE2" s="1248"/>
      <c r="CF2" s="1249" t="s">
        <v>1315</v>
      </c>
      <c r="CG2" s="1250" t="s">
        <v>1313</v>
      </c>
      <c r="CH2" s="1250" t="s">
        <v>1314</v>
      </c>
      <c r="CI2" s="1250" t="s">
        <v>1313</v>
      </c>
      <c r="CJ2" s="1250" t="s">
        <v>1312</v>
      </c>
      <c r="CK2" s="1250" t="s">
        <v>1313</v>
      </c>
      <c r="CL2" s="1251"/>
      <c r="CM2" s="1251"/>
      <c r="CN2" s="1251" t="s">
        <v>818</v>
      </c>
      <c r="CO2" s="1248"/>
      <c r="CP2" s="1249" t="s">
        <v>1315</v>
      </c>
      <c r="CQ2" s="1250" t="s">
        <v>1313</v>
      </c>
      <c r="CR2" s="1250" t="s">
        <v>1314</v>
      </c>
      <c r="CS2" s="1250" t="s">
        <v>1313</v>
      </c>
      <c r="CT2" s="1250" t="s">
        <v>1312</v>
      </c>
      <c r="CU2" s="1250" t="s">
        <v>1313</v>
      </c>
      <c r="CV2" s="1251"/>
      <c r="CW2" s="1251"/>
      <c r="CX2" s="1251" t="s">
        <v>818</v>
      </c>
      <c r="CY2" s="1248"/>
      <c r="CZ2" s="1249" t="s">
        <v>1315</v>
      </c>
      <c r="DA2" s="1250" t="s">
        <v>1313</v>
      </c>
      <c r="DB2" s="1250" t="s">
        <v>1314</v>
      </c>
      <c r="DC2" s="1250" t="s">
        <v>1313</v>
      </c>
      <c r="DD2" s="1250" t="s">
        <v>1312</v>
      </c>
      <c r="DE2" s="1250" t="s">
        <v>1313</v>
      </c>
      <c r="DF2" s="1251"/>
      <c r="DG2" s="1251"/>
      <c r="DH2" s="1251" t="s">
        <v>818</v>
      </c>
      <c r="DI2" s="1248"/>
      <c r="DJ2" s="1249" t="s">
        <v>1315</v>
      </c>
      <c r="DK2" s="1250" t="s">
        <v>1313</v>
      </c>
      <c r="DL2" s="1250" t="s">
        <v>1314</v>
      </c>
      <c r="DM2" s="1250" t="s">
        <v>1313</v>
      </c>
      <c r="DN2" s="1250" t="s">
        <v>1312</v>
      </c>
      <c r="DO2" s="1250" t="s">
        <v>1313</v>
      </c>
      <c r="DP2" s="1251"/>
      <c r="DQ2" s="1251"/>
      <c r="DR2" s="1251" t="s">
        <v>818</v>
      </c>
      <c r="DS2" s="1248"/>
      <c r="DT2" s="1249" t="s">
        <v>1315</v>
      </c>
      <c r="DU2" s="1250" t="s">
        <v>1313</v>
      </c>
      <c r="DV2" s="1250" t="s">
        <v>1314</v>
      </c>
      <c r="DW2" s="1250" t="s">
        <v>1313</v>
      </c>
      <c r="DX2" s="1250" t="s">
        <v>1312</v>
      </c>
      <c r="DY2" s="1250" t="s">
        <v>1313</v>
      </c>
      <c r="DZ2" s="1251"/>
      <c r="EA2" s="1251"/>
      <c r="EB2" s="1251" t="s">
        <v>818</v>
      </c>
      <c r="EC2" s="1248"/>
      <c r="ED2" s="1249" t="s">
        <v>1315</v>
      </c>
      <c r="EE2" s="1250" t="s">
        <v>1313</v>
      </c>
      <c r="EF2" s="1250" t="s">
        <v>1314</v>
      </c>
      <c r="EG2" s="1250" t="s">
        <v>1313</v>
      </c>
      <c r="EH2" s="1250" t="s">
        <v>1312</v>
      </c>
      <c r="EI2" s="1250" t="s">
        <v>1313</v>
      </c>
      <c r="EJ2" s="1251"/>
      <c r="EK2" s="1251"/>
      <c r="EL2" s="1251" t="s">
        <v>818</v>
      </c>
      <c r="EM2" s="1248"/>
      <c r="EN2" s="1249" t="s">
        <v>1315</v>
      </c>
      <c r="EO2" s="1250" t="s">
        <v>1313</v>
      </c>
      <c r="EP2" s="1250" t="s">
        <v>1314</v>
      </c>
      <c r="EQ2" s="1252" t="s">
        <v>1313</v>
      </c>
      <c r="ER2" s="1252" t="s">
        <v>1312</v>
      </c>
      <c r="ES2" s="1250" t="s">
        <v>1313</v>
      </c>
      <c r="ET2" s="1251"/>
      <c r="EU2" s="1251"/>
      <c r="EV2" s="1251" t="s">
        <v>818</v>
      </c>
      <c r="EX2" s="1251"/>
      <c r="EY2" s="1251" t="s">
        <v>1511</v>
      </c>
      <c r="EZ2" s="1251" t="s">
        <v>1512</v>
      </c>
      <c r="FA2" s="1250" t="s">
        <v>1313</v>
      </c>
      <c r="FB2" s="1250" t="s">
        <v>1312</v>
      </c>
      <c r="FC2" s="1250" t="s">
        <v>1313</v>
      </c>
      <c r="FD2" s="1251"/>
      <c r="FE2" s="1251"/>
      <c r="FF2" s="1251"/>
      <c r="FH2" s="1251"/>
      <c r="FI2" s="1251" t="s">
        <v>1511</v>
      </c>
      <c r="FJ2" s="1251" t="s">
        <v>1512</v>
      </c>
      <c r="FK2" s="1250" t="s">
        <v>1313</v>
      </c>
      <c r="FL2" s="1250" t="s">
        <v>1312</v>
      </c>
      <c r="FM2" s="1250" t="s">
        <v>1313</v>
      </c>
      <c r="FN2" s="1251"/>
      <c r="FO2" s="1251"/>
      <c r="FP2" s="1251" t="s">
        <v>11</v>
      </c>
      <c r="FQ2" s="1251"/>
      <c r="FS2" s="1251"/>
      <c r="FT2" s="1251" t="s">
        <v>1511</v>
      </c>
      <c r="FU2" s="1251" t="s">
        <v>1512</v>
      </c>
      <c r="FV2" s="1250" t="s">
        <v>1313</v>
      </c>
      <c r="FW2" s="1250" t="s">
        <v>1312</v>
      </c>
      <c r="FX2" s="1250" t="s">
        <v>1313</v>
      </c>
      <c r="FY2" s="1251"/>
      <c r="FZ2" s="1251"/>
      <c r="GA2" s="1251" t="s">
        <v>1513</v>
      </c>
      <c r="GC2" s="1251"/>
      <c r="GD2" s="1251" t="s">
        <v>1511</v>
      </c>
      <c r="GE2" s="1251" t="s">
        <v>1512</v>
      </c>
      <c r="GF2" s="1250" t="s">
        <v>1313</v>
      </c>
      <c r="GG2" s="1250" t="s">
        <v>1312</v>
      </c>
      <c r="GH2" s="1250" t="s">
        <v>1313</v>
      </c>
      <c r="GI2" s="1251"/>
      <c r="GJ2" s="1251"/>
      <c r="GK2" s="1251" t="s">
        <v>1513</v>
      </c>
      <c r="GM2" s="1251"/>
      <c r="GN2" s="1251" t="s">
        <v>1511</v>
      </c>
      <c r="GO2" s="1251" t="s">
        <v>1512</v>
      </c>
      <c r="GP2" s="1250" t="s">
        <v>1313</v>
      </c>
      <c r="GQ2" s="1250" t="s">
        <v>1312</v>
      </c>
      <c r="GR2" s="1250" t="s">
        <v>1313</v>
      </c>
      <c r="GS2" s="1251"/>
      <c r="GT2" s="1251"/>
      <c r="GU2" s="1251" t="s">
        <v>1513</v>
      </c>
      <c r="GW2" s="1251"/>
      <c r="GX2" s="1251" t="s">
        <v>1511</v>
      </c>
      <c r="GY2" s="1251" t="s">
        <v>1512</v>
      </c>
      <c r="GZ2" s="1250" t="s">
        <v>1313</v>
      </c>
      <c r="HA2" s="1250" t="s">
        <v>1312</v>
      </c>
      <c r="HB2" s="1250" t="s">
        <v>1313</v>
      </c>
      <c r="HC2" s="1251"/>
      <c r="HD2" s="1251"/>
      <c r="HE2" s="1251" t="s">
        <v>1513</v>
      </c>
      <c r="HG2" s="1251"/>
      <c r="HH2" s="1251" t="s">
        <v>1511</v>
      </c>
      <c r="HI2" s="1251" t="s">
        <v>1512</v>
      </c>
      <c r="HJ2" s="1250" t="s">
        <v>1313</v>
      </c>
      <c r="HK2" s="1250" t="s">
        <v>1312</v>
      </c>
      <c r="HL2" s="1250" t="s">
        <v>1313</v>
      </c>
      <c r="HM2" s="1251"/>
      <c r="HN2" s="1251"/>
      <c r="HO2" s="1251" t="s">
        <v>1513</v>
      </c>
      <c r="HQ2" s="682" t="s">
        <v>1717</v>
      </c>
      <c r="HT2" s="500" t="s">
        <v>117</v>
      </c>
      <c r="HU2" s="500" t="s">
        <v>1539</v>
      </c>
      <c r="HV2" s="682" t="s">
        <v>1539</v>
      </c>
      <c r="HW2" s="682" t="s">
        <v>1539</v>
      </c>
      <c r="HX2" s="682" t="s">
        <v>1539</v>
      </c>
      <c r="HY2" s="682" t="s">
        <v>1539</v>
      </c>
    </row>
    <row r="3" spans="1:233" ht="12.5">
      <c r="A3" s="1253"/>
      <c r="B3" s="1254"/>
      <c r="C3" s="1255" t="s">
        <v>459</v>
      </c>
      <c r="D3" s="1256"/>
      <c r="E3" s="1257"/>
      <c r="F3" s="1257"/>
      <c r="G3" s="1257"/>
      <c r="H3" s="1257"/>
      <c r="I3" s="1257"/>
      <c r="J3" s="1258" t="s">
        <v>1311</v>
      </c>
      <c r="K3" s="1259"/>
      <c r="L3" s="1260"/>
      <c r="M3" s="1255" t="s">
        <v>456</v>
      </c>
      <c r="N3" s="1256"/>
      <c r="O3" s="1257"/>
      <c r="P3" s="1257"/>
      <c r="Q3" s="1257"/>
      <c r="R3" s="1257"/>
      <c r="S3" s="1257"/>
      <c r="T3" s="1258" t="s">
        <v>1311</v>
      </c>
      <c r="U3" s="1259"/>
      <c r="V3" s="1260"/>
      <c r="W3" s="1255" t="s">
        <v>750</v>
      </c>
      <c r="X3" s="1256"/>
      <c r="Y3" s="1257"/>
      <c r="Z3" s="1257"/>
      <c r="AA3" s="1257"/>
      <c r="AB3" s="1257"/>
      <c r="AC3" s="1257"/>
      <c r="AD3" s="1258" t="s">
        <v>1311</v>
      </c>
      <c r="AE3" s="1259"/>
      <c r="AF3" s="1260"/>
      <c r="AG3" s="1255" t="s">
        <v>856</v>
      </c>
      <c r="AH3" s="1256"/>
      <c r="AI3" s="1257"/>
      <c r="AJ3" s="1257"/>
      <c r="AK3" s="1257"/>
      <c r="AL3" s="1257"/>
      <c r="AM3" s="1257"/>
      <c r="AN3" s="1258" t="s">
        <v>1311</v>
      </c>
      <c r="AO3" s="1259"/>
      <c r="AP3" s="1260"/>
      <c r="AQ3" s="1255" t="s">
        <v>911</v>
      </c>
      <c r="AR3" s="1256"/>
      <c r="AS3" s="1257"/>
      <c r="AT3" s="1257"/>
      <c r="AU3" s="1257"/>
      <c r="AV3" s="1257"/>
      <c r="AW3" s="1257"/>
      <c r="AX3" s="1258" t="s">
        <v>1311</v>
      </c>
      <c r="AY3" s="1259"/>
      <c r="AZ3" s="1260"/>
      <c r="BA3" s="1255" t="s">
        <v>96</v>
      </c>
      <c r="BB3" s="1256"/>
      <c r="BC3" s="1257"/>
      <c r="BD3" s="1257"/>
      <c r="BE3" s="1257"/>
      <c r="BF3" s="1257"/>
      <c r="BG3" s="1257"/>
      <c r="BH3" s="1258" t="s">
        <v>1311</v>
      </c>
      <c r="BI3" s="1259"/>
      <c r="BJ3" s="1260"/>
      <c r="BK3" s="1255" t="s">
        <v>118</v>
      </c>
      <c r="BL3" s="1256"/>
      <c r="BM3" s="1257"/>
      <c r="BN3" s="1257"/>
      <c r="BO3" s="1257"/>
      <c r="BP3" s="1257"/>
      <c r="BQ3" s="1257"/>
      <c r="BR3" s="1258" t="s">
        <v>1311</v>
      </c>
      <c r="BS3" s="1259"/>
      <c r="BT3" s="1260"/>
      <c r="BU3" s="1255" t="s">
        <v>119</v>
      </c>
      <c r="BV3" s="1256"/>
      <c r="BW3" s="1257"/>
      <c r="BX3" s="1257"/>
      <c r="BY3" s="1257"/>
      <c r="BZ3" s="1257"/>
      <c r="CA3" s="1257"/>
      <c r="CB3" s="1258" t="s">
        <v>1311</v>
      </c>
      <c r="CC3" s="1259"/>
      <c r="CD3" s="1260"/>
      <c r="CE3" s="1255" t="s">
        <v>67</v>
      </c>
      <c r="CF3" s="1256"/>
      <c r="CG3" s="1257"/>
      <c r="CH3" s="1257"/>
      <c r="CI3" s="1257"/>
      <c r="CJ3" s="1257"/>
      <c r="CK3" s="1257"/>
      <c r="CL3" s="1258" t="s">
        <v>1311</v>
      </c>
      <c r="CM3" s="1259"/>
      <c r="CN3" s="1260"/>
      <c r="CO3" s="1255" t="s">
        <v>157</v>
      </c>
      <c r="CP3" s="1256"/>
      <c r="CQ3" s="1257"/>
      <c r="CR3" s="1257"/>
      <c r="CS3" s="1257"/>
      <c r="CT3" s="1257"/>
      <c r="CU3" s="1257"/>
      <c r="CV3" s="1258" t="s">
        <v>1311</v>
      </c>
      <c r="CW3" s="1259"/>
      <c r="CX3" s="1260"/>
      <c r="CY3" s="1255" t="s">
        <v>1000</v>
      </c>
      <c r="CZ3" s="1256"/>
      <c r="DA3" s="1257"/>
      <c r="DB3" s="1257"/>
      <c r="DC3" s="1257"/>
      <c r="DD3" s="1257"/>
      <c r="DE3" s="1257"/>
      <c r="DF3" s="1258" t="s">
        <v>1311</v>
      </c>
      <c r="DG3" s="1259"/>
      <c r="DH3" s="1260"/>
      <c r="DI3" s="1255" t="s">
        <v>1036</v>
      </c>
      <c r="DJ3" s="1256"/>
      <c r="DK3" s="1257"/>
      <c r="DL3" s="1257"/>
      <c r="DM3" s="1257"/>
      <c r="DN3" s="1257"/>
      <c r="DO3" s="1257"/>
      <c r="DP3" s="1258" t="s">
        <v>1311</v>
      </c>
      <c r="DQ3" s="1259"/>
      <c r="DR3" s="1260"/>
      <c r="DS3" s="1255" t="s">
        <v>1062</v>
      </c>
      <c r="DT3" s="1256"/>
      <c r="DU3" s="1257"/>
      <c r="DV3" s="1257"/>
      <c r="DW3" s="1257"/>
      <c r="DX3" s="1257"/>
      <c r="DY3" s="1257"/>
      <c r="DZ3" s="1258" t="s">
        <v>1311</v>
      </c>
      <c r="EA3" s="1259"/>
      <c r="EB3" s="1260"/>
      <c r="EC3" s="1255" t="s">
        <v>1161</v>
      </c>
      <c r="ED3" s="1256"/>
      <c r="EE3" s="1257"/>
      <c r="EF3" s="1257"/>
      <c r="EG3" s="1257"/>
      <c r="EH3" s="1257"/>
      <c r="EI3" s="1257"/>
      <c r="EJ3" s="1258" t="s">
        <v>1311</v>
      </c>
      <c r="EK3" s="1259"/>
      <c r="EL3" s="1260"/>
      <c r="EM3" s="1261" t="s">
        <v>1340</v>
      </c>
      <c r="EN3" s="1262"/>
      <c r="EO3" s="1263"/>
      <c r="EP3" s="1263"/>
      <c r="EQ3" s="1264"/>
      <c r="ER3" s="1264"/>
      <c r="ES3" s="1263"/>
      <c r="ET3" s="1261" t="s">
        <v>1311</v>
      </c>
      <c r="EU3" s="1265"/>
      <c r="EV3" s="1266"/>
      <c r="EW3" s="1685" t="s">
        <v>1160</v>
      </c>
      <c r="EX3" s="1255"/>
      <c r="EY3" s="1255"/>
      <c r="EZ3" s="1255"/>
      <c r="FA3" s="1686"/>
      <c r="FB3" s="1686"/>
      <c r="FC3" s="1408"/>
      <c r="FD3" s="1407" t="s">
        <v>1311</v>
      </c>
      <c r="FE3" s="1255"/>
      <c r="FF3" s="1408"/>
      <c r="FG3" s="1685" t="s">
        <v>1200</v>
      </c>
      <c r="FH3" s="1255"/>
      <c r="FI3" s="1255"/>
      <c r="FJ3" s="1255"/>
      <c r="FK3" s="1686"/>
      <c r="FL3" s="1686"/>
      <c r="FM3" s="1408"/>
      <c r="FN3" s="1407" t="s">
        <v>1311</v>
      </c>
      <c r="FO3" s="1255"/>
      <c r="FP3" s="1408"/>
      <c r="FQ3" s="1844"/>
      <c r="FR3" s="1685" t="s">
        <v>1234</v>
      </c>
      <c r="FS3" s="1255"/>
      <c r="FT3" s="1255"/>
      <c r="FU3" s="1255"/>
      <c r="FV3" s="1686"/>
      <c r="FW3" s="1686"/>
      <c r="FX3" s="1408"/>
      <c r="FY3" s="1265" t="s">
        <v>1311</v>
      </c>
      <c r="FZ3" s="1265"/>
      <c r="GA3" s="1266"/>
      <c r="GB3" s="1267" t="s">
        <v>1561</v>
      </c>
      <c r="GC3" s="1265"/>
      <c r="GD3" s="1265"/>
      <c r="GE3" s="1265"/>
      <c r="GF3" s="1264"/>
      <c r="GG3" s="1264"/>
      <c r="GH3" s="1265"/>
      <c r="GI3" s="1407" t="s">
        <v>1311</v>
      </c>
      <c r="GJ3" s="1255"/>
      <c r="GK3" s="1408"/>
      <c r="GL3" s="1267" t="s">
        <v>1603</v>
      </c>
      <c r="GM3" s="1265"/>
      <c r="GN3" s="1265"/>
      <c r="GO3" s="1265"/>
      <c r="GP3" s="1264"/>
      <c r="GQ3" s="1264"/>
      <c r="GR3" s="1265"/>
      <c r="GS3" s="1407" t="s">
        <v>1311</v>
      </c>
      <c r="GT3" s="1255"/>
      <c r="GU3" s="1408"/>
      <c r="GV3" s="1267" t="s">
        <v>1745</v>
      </c>
      <c r="GW3" s="1265"/>
      <c r="GX3" s="1265"/>
      <c r="GY3" s="1265"/>
      <c r="GZ3" s="1264"/>
      <c r="HA3" s="1264"/>
      <c r="HB3" s="1265"/>
      <c r="HC3" s="1407" t="s">
        <v>1311</v>
      </c>
      <c r="HD3" s="1255"/>
      <c r="HE3" s="1408"/>
      <c r="HF3" s="1267" t="s">
        <v>1783</v>
      </c>
      <c r="HG3" s="1265"/>
      <c r="HH3" s="1265"/>
      <c r="HI3" s="1265"/>
      <c r="HJ3" s="1264"/>
      <c r="HK3" s="1264"/>
      <c r="HL3" s="1265"/>
      <c r="HM3" s="1407" t="s">
        <v>1311</v>
      </c>
      <c r="HN3" s="1255"/>
      <c r="HO3" s="1408"/>
      <c r="HQ3" s="1000" t="s">
        <v>1538</v>
      </c>
      <c r="HR3" s="1033"/>
      <c r="HS3" s="1000" t="s">
        <v>1538</v>
      </c>
      <c r="HT3" s="1000" t="s">
        <v>1538</v>
      </c>
      <c r="HU3" s="1000" t="s">
        <v>1538</v>
      </c>
      <c r="HV3" s="1268" t="s">
        <v>1538</v>
      </c>
      <c r="HW3" s="1268" t="s">
        <v>1538</v>
      </c>
      <c r="HX3" s="1268" t="s">
        <v>1538</v>
      </c>
      <c r="HY3" s="1268" t="s">
        <v>1538</v>
      </c>
    </row>
    <row r="4" spans="1:233" ht="38.25" customHeight="1">
      <c r="A4" s="1269"/>
      <c r="B4" s="1270"/>
      <c r="C4" s="1271" t="s">
        <v>853</v>
      </c>
      <c r="D4" s="1272" t="s">
        <v>1318</v>
      </c>
      <c r="E4" s="1273" t="s">
        <v>895</v>
      </c>
      <c r="F4" s="1273" t="s">
        <v>896</v>
      </c>
      <c r="G4" s="1273" t="s">
        <v>836</v>
      </c>
      <c r="H4" s="1273" t="s">
        <v>1302</v>
      </c>
      <c r="I4" s="1273" t="s">
        <v>1552</v>
      </c>
      <c r="J4" s="1274" t="s">
        <v>855</v>
      </c>
      <c r="K4" s="1275" t="s">
        <v>1310</v>
      </c>
      <c r="L4" s="1276" t="s">
        <v>817</v>
      </c>
      <c r="M4" s="1271" t="s">
        <v>853</v>
      </c>
      <c r="N4" s="1272" t="s">
        <v>1316</v>
      </c>
      <c r="O4" s="1273" t="s">
        <v>895</v>
      </c>
      <c r="P4" s="1273" t="s">
        <v>896</v>
      </c>
      <c r="Q4" s="1273" t="s">
        <v>836</v>
      </c>
      <c r="R4" s="1273" t="s">
        <v>1302</v>
      </c>
      <c r="S4" s="1273" t="s">
        <v>1552</v>
      </c>
      <c r="T4" s="1274" t="s">
        <v>855</v>
      </c>
      <c r="U4" s="1275" t="s">
        <v>1310</v>
      </c>
      <c r="V4" s="1276" t="s">
        <v>817</v>
      </c>
      <c r="W4" s="1271" t="s">
        <v>853</v>
      </c>
      <c r="X4" s="1272" t="s">
        <v>1316</v>
      </c>
      <c r="Y4" s="1273" t="s">
        <v>895</v>
      </c>
      <c r="Z4" s="1273" t="s">
        <v>896</v>
      </c>
      <c r="AA4" s="1273" t="s">
        <v>836</v>
      </c>
      <c r="AB4" s="1273" t="s">
        <v>1302</v>
      </c>
      <c r="AC4" s="1273" t="s">
        <v>1552</v>
      </c>
      <c r="AD4" s="1274" t="s">
        <v>855</v>
      </c>
      <c r="AE4" s="1275" t="s">
        <v>1310</v>
      </c>
      <c r="AF4" s="1276" t="s">
        <v>817</v>
      </c>
      <c r="AG4" s="1271" t="s">
        <v>853</v>
      </c>
      <c r="AH4" s="1272" t="s">
        <v>1316</v>
      </c>
      <c r="AI4" s="1273" t="s">
        <v>895</v>
      </c>
      <c r="AJ4" s="1273" t="s">
        <v>896</v>
      </c>
      <c r="AK4" s="1273" t="s">
        <v>836</v>
      </c>
      <c r="AL4" s="1273" t="s">
        <v>1302</v>
      </c>
      <c r="AM4" s="1273" t="s">
        <v>1552</v>
      </c>
      <c r="AN4" s="1274" t="s">
        <v>855</v>
      </c>
      <c r="AO4" s="1275" t="s">
        <v>1310</v>
      </c>
      <c r="AP4" s="1276" t="s">
        <v>817</v>
      </c>
      <c r="AQ4" s="1271" t="s">
        <v>853</v>
      </c>
      <c r="AR4" s="1272" t="s">
        <v>1316</v>
      </c>
      <c r="AS4" s="1273" t="s">
        <v>895</v>
      </c>
      <c r="AT4" s="1273" t="s">
        <v>896</v>
      </c>
      <c r="AU4" s="1273" t="s">
        <v>836</v>
      </c>
      <c r="AV4" s="1273" t="s">
        <v>1302</v>
      </c>
      <c r="AW4" s="1273" t="s">
        <v>1552</v>
      </c>
      <c r="AX4" s="1274" t="s">
        <v>855</v>
      </c>
      <c r="AY4" s="1275" t="s">
        <v>1310</v>
      </c>
      <c r="AZ4" s="1276" t="s">
        <v>817</v>
      </c>
      <c r="BA4" s="1271" t="s">
        <v>853</v>
      </c>
      <c r="BB4" s="1272" t="s">
        <v>1316</v>
      </c>
      <c r="BC4" s="1273" t="s">
        <v>895</v>
      </c>
      <c r="BD4" s="1273" t="s">
        <v>896</v>
      </c>
      <c r="BE4" s="1273" t="s">
        <v>836</v>
      </c>
      <c r="BF4" s="1273" t="s">
        <v>1302</v>
      </c>
      <c r="BG4" s="1273" t="s">
        <v>1552</v>
      </c>
      <c r="BH4" s="1274" t="s">
        <v>855</v>
      </c>
      <c r="BI4" s="1275" t="s">
        <v>1310</v>
      </c>
      <c r="BJ4" s="1276" t="s">
        <v>817</v>
      </c>
      <c r="BK4" s="1271" t="s">
        <v>853</v>
      </c>
      <c r="BL4" s="1272" t="s">
        <v>1316</v>
      </c>
      <c r="BM4" s="1273" t="s">
        <v>895</v>
      </c>
      <c r="BN4" s="1273" t="s">
        <v>896</v>
      </c>
      <c r="BO4" s="1273" t="s">
        <v>836</v>
      </c>
      <c r="BP4" s="1273" t="s">
        <v>1302</v>
      </c>
      <c r="BQ4" s="1273" t="s">
        <v>1552</v>
      </c>
      <c r="BR4" s="1274" t="s">
        <v>855</v>
      </c>
      <c r="BS4" s="1275" t="s">
        <v>1310</v>
      </c>
      <c r="BT4" s="1276" t="s">
        <v>817</v>
      </c>
      <c r="BU4" s="1271" t="s">
        <v>853</v>
      </c>
      <c r="BV4" s="1272" t="s">
        <v>1316</v>
      </c>
      <c r="BW4" s="1273" t="s">
        <v>895</v>
      </c>
      <c r="BX4" s="1273" t="s">
        <v>896</v>
      </c>
      <c r="BY4" s="1273" t="s">
        <v>836</v>
      </c>
      <c r="BZ4" s="1273" t="s">
        <v>1302</v>
      </c>
      <c r="CA4" s="1273" t="s">
        <v>1552</v>
      </c>
      <c r="CB4" s="1274" t="s">
        <v>855</v>
      </c>
      <c r="CC4" s="1275" t="s">
        <v>1310</v>
      </c>
      <c r="CD4" s="1276" t="s">
        <v>817</v>
      </c>
      <c r="CE4" s="1271" t="s">
        <v>853</v>
      </c>
      <c r="CF4" s="1272" t="s">
        <v>1316</v>
      </c>
      <c r="CG4" s="1273" t="s">
        <v>895</v>
      </c>
      <c r="CH4" s="1273" t="s">
        <v>896</v>
      </c>
      <c r="CI4" s="1273" t="s">
        <v>836</v>
      </c>
      <c r="CJ4" s="1273" t="s">
        <v>1302</v>
      </c>
      <c r="CK4" s="1273" t="s">
        <v>1552</v>
      </c>
      <c r="CL4" s="1274" t="s">
        <v>855</v>
      </c>
      <c r="CM4" s="1275" t="s">
        <v>1310</v>
      </c>
      <c r="CN4" s="1276" t="s">
        <v>817</v>
      </c>
      <c r="CO4" s="1271" t="s">
        <v>853</v>
      </c>
      <c r="CP4" s="1272" t="s">
        <v>1316</v>
      </c>
      <c r="CQ4" s="1273" t="s">
        <v>895</v>
      </c>
      <c r="CR4" s="1273" t="s">
        <v>896</v>
      </c>
      <c r="CS4" s="1273" t="s">
        <v>836</v>
      </c>
      <c r="CT4" s="1273" t="s">
        <v>1302</v>
      </c>
      <c r="CU4" s="1273" t="s">
        <v>1552</v>
      </c>
      <c r="CV4" s="1274" t="s">
        <v>855</v>
      </c>
      <c r="CW4" s="1275" t="s">
        <v>1310</v>
      </c>
      <c r="CX4" s="1276" t="s">
        <v>817</v>
      </c>
      <c r="CY4" s="1271" t="s">
        <v>853</v>
      </c>
      <c r="CZ4" s="1272" t="s">
        <v>1316</v>
      </c>
      <c r="DA4" s="1273" t="s">
        <v>895</v>
      </c>
      <c r="DB4" s="1273" t="s">
        <v>896</v>
      </c>
      <c r="DC4" s="1273" t="s">
        <v>836</v>
      </c>
      <c r="DD4" s="1273" t="s">
        <v>1302</v>
      </c>
      <c r="DE4" s="1273" t="s">
        <v>1552</v>
      </c>
      <c r="DF4" s="1274" t="s">
        <v>855</v>
      </c>
      <c r="DG4" s="1275" t="s">
        <v>1310</v>
      </c>
      <c r="DH4" s="1276" t="s">
        <v>817</v>
      </c>
      <c r="DI4" s="1271" t="s">
        <v>853</v>
      </c>
      <c r="DJ4" s="1272" t="s">
        <v>1316</v>
      </c>
      <c r="DK4" s="1273" t="s">
        <v>895</v>
      </c>
      <c r="DL4" s="1273" t="s">
        <v>896</v>
      </c>
      <c r="DM4" s="1273" t="s">
        <v>836</v>
      </c>
      <c r="DN4" s="1273" t="s">
        <v>1302</v>
      </c>
      <c r="DO4" s="1273" t="s">
        <v>1552</v>
      </c>
      <c r="DP4" s="1274" t="s">
        <v>855</v>
      </c>
      <c r="DQ4" s="1275" t="s">
        <v>1310</v>
      </c>
      <c r="DR4" s="1276" t="s">
        <v>817</v>
      </c>
      <c r="DS4" s="1271" t="s">
        <v>853</v>
      </c>
      <c r="DT4" s="1272" t="s">
        <v>1316</v>
      </c>
      <c r="DU4" s="1273" t="s">
        <v>895</v>
      </c>
      <c r="DV4" s="1273" t="s">
        <v>896</v>
      </c>
      <c r="DW4" s="1273" t="s">
        <v>836</v>
      </c>
      <c r="DX4" s="1273" t="s">
        <v>1302</v>
      </c>
      <c r="DY4" s="1273" t="s">
        <v>1552</v>
      </c>
      <c r="DZ4" s="1274" t="s">
        <v>855</v>
      </c>
      <c r="EA4" s="1275" t="s">
        <v>1310</v>
      </c>
      <c r="EB4" s="1276" t="s">
        <v>817</v>
      </c>
      <c r="EC4" s="1271" t="s">
        <v>853</v>
      </c>
      <c r="ED4" s="1272" t="s">
        <v>1316</v>
      </c>
      <c r="EE4" s="1273" t="s">
        <v>895</v>
      </c>
      <c r="EF4" s="1273" t="s">
        <v>896</v>
      </c>
      <c r="EG4" s="1273" t="s">
        <v>836</v>
      </c>
      <c r="EH4" s="1273" t="s">
        <v>1302</v>
      </c>
      <c r="EI4" s="1273" t="s">
        <v>1552</v>
      </c>
      <c r="EJ4" s="1274" t="s">
        <v>855</v>
      </c>
      <c r="EK4" s="1275" t="s">
        <v>1310</v>
      </c>
      <c r="EL4" s="1276" t="s">
        <v>817</v>
      </c>
      <c r="EM4" s="1277" t="s">
        <v>853</v>
      </c>
      <c r="EN4" s="1278" t="s">
        <v>1316</v>
      </c>
      <c r="EO4" s="1279" t="s">
        <v>895</v>
      </c>
      <c r="EP4" s="1279" t="s">
        <v>896</v>
      </c>
      <c r="EQ4" s="1280" t="s">
        <v>836</v>
      </c>
      <c r="ER4" s="1280" t="s">
        <v>1581</v>
      </c>
      <c r="ES4" s="1279" t="s">
        <v>1552</v>
      </c>
      <c r="ET4" s="1281" t="s">
        <v>855</v>
      </c>
      <c r="EU4" s="1282" t="s">
        <v>1310</v>
      </c>
      <c r="EV4" s="1283" t="s">
        <v>817</v>
      </c>
      <c r="EW4" s="1687" t="s">
        <v>853</v>
      </c>
      <c r="EX4" s="1285" t="s">
        <v>1514</v>
      </c>
      <c r="EY4" s="1286" t="s">
        <v>1422</v>
      </c>
      <c r="EZ4" s="1286" t="s">
        <v>1426</v>
      </c>
      <c r="FA4" s="1280" t="s">
        <v>836</v>
      </c>
      <c r="FB4" s="1280" t="s">
        <v>1302</v>
      </c>
      <c r="FC4" s="1688" t="s">
        <v>1432</v>
      </c>
      <c r="FD4" s="1409" t="s">
        <v>855</v>
      </c>
      <c r="FE4" s="1282" t="s">
        <v>1310</v>
      </c>
      <c r="FF4" s="1410" t="s">
        <v>817</v>
      </c>
      <c r="FG4" s="1687" t="s">
        <v>853</v>
      </c>
      <c r="FH4" s="1285" t="s">
        <v>1514</v>
      </c>
      <c r="FI4" s="1286" t="s">
        <v>1422</v>
      </c>
      <c r="FJ4" s="1286" t="s">
        <v>1426</v>
      </c>
      <c r="FK4" s="1280" t="s">
        <v>836</v>
      </c>
      <c r="FL4" s="1280" t="s">
        <v>1302</v>
      </c>
      <c r="FM4" s="1688" t="s">
        <v>1432</v>
      </c>
      <c r="FN4" s="1409" t="s">
        <v>855</v>
      </c>
      <c r="FO4" s="1282" t="s">
        <v>1310</v>
      </c>
      <c r="FP4" s="1410" t="s">
        <v>817</v>
      </c>
      <c r="FQ4" s="1682"/>
      <c r="FR4" s="1687" t="s">
        <v>853</v>
      </c>
      <c r="FS4" s="1285" t="s">
        <v>1514</v>
      </c>
      <c r="FT4" s="1286" t="s">
        <v>1422</v>
      </c>
      <c r="FU4" s="1286" t="s">
        <v>1426</v>
      </c>
      <c r="FV4" s="1280" t="s">
        <v>836</v>
      </c>
      <c r="FW4" s="1280" t="s">
        <v>1302</v>
      </c>
      <c r="FX4" s="1688" t="s">
        <v>1432</v>
      </c>
      <c r="FY4" s="1282" t="s">
        <v>855</v>
      </c>
      <c r="FZ4" s="1282" t="s">
        <v>1310</v>
      </c>
      <c r="GA4" s="1283" t="s">
        <v>817</v>
      </c>
      <c r="GB4" s="1284" t="s">
        <v>853</v>
      </c>
      <c r="GC4" s="1285" t="s">
        <v>1514</v>
      </c>
      <c r="GD4" s="1286" t="s">
        <v>1422</v>
      </c>
      <c r="GE4" s="1286" t="s">
        <v>1426</v>
      </c>
      <c r="GF4" s="1280" t="s">
        <v>836</v>
      </c>
      <c r="GG4" s="1280" t="s">
        <v>1302</v>
      </c>
      <c r="GH4" s="1286" t="s">
        <v>1432</v>
      </c>
      <c r="GI4" s="1409" t="s">
        <v>855</v>
      </c>
      <c r="GJ4" s="1282" t="s">
        <v>1310</v>
      </c>
      <c r="GK4" s="1410" t="s">
        <v>817</v>
      </c>
      <c r="GL4" s="1284" t="s">
        <v>853</v>
      </c>
      <c r="GM4" s="1285" t="s">
        <v>1514</v>
      </c>
      <c r="GN4" s="1286" t="s">
        <v>1422</v>
      </c>
      <c r="GO4" s="1286" t="s">
        <v>1426</v>
      </c>
      <c r="GP4" s="1280" t="s">
        <v>836</v>
      </c>
      <c r="GQ4" s="1280" t="s">
        <v>1302</v>
      </c>
      <c r="GR4" s="1286" t="s">
        <v>1432</v>
      </c>
      <c r="GS4" s="1409" t="s">
        <v>855</v>
      </c>
      <c r="GT4" s="1282" t="s">
        <v>1310</v>
      </c>
      <c r="GU4" s="1410" t="s">
        <v>817</v>
      </c>
      <c r="GV4" s="1284" t="s">
        <v>853</v>
      </c>
      <c r="GW4" s="1285" t="s">
        <v>1514</v>
      </c>
      <c r="GX4" s="1286" t="s">
        <v>1422</v>
      </c>
      <c r="GY4" s="1286" t="s">
        <v>1426</v>
      </c>
      <c r="GZ4" s="1280" t="s">
        <v>836</v>
      </c>
      <c r="HA4" s="1280" t="s">
        <v>1302</v>
      </c>
      <c r="HB4" s="1286" t="s">
        <v>1432</v>
      </c>
      <c r="HC4" s="1409" t="s">
        <v>855</v>
      </c>
      <c r="HD4" s="1282" t="s">
        <v>1310</v>
      </c>
      <c r="HE4" s="1410" t="s">
        <v>817</v>
      </c>
      <c r="HF4" s="1284" t="s">
        <v>853</v>
      </c>
      <c r="HG4" s="1285" t="s">
        <v>1514</v>
      </c>
      <c r="HH4" s="1286" t="s">
        <v>1422</v>
      </c>
      <c r="HI4" s="1286" t="s">
        <v>1426</v>
      </c>
      <c r="HJ4" s="1280" t="s">
        <v>836</v>
      </c>
      <c r="HK4" s="1280" t="s">
        <v>1302</v>
      </c>
      <c r="HL4" s="1286" t="s">
        <v>1432</v>
      </c>
      <c r="HM4" s="1409" t="s">
        <v>855</v>
      </c>
      <c r="HN4" s="1282" t="s">
        <v>1310</v>
      </c>
      <c r="HO4" s="1410" t="s">
        <v>817</v>
      </c>
      <c r="HQ4" s="1275" t="s">
        <v>817</v>
      </c>
      <c r="HR4" s="1275" t="s">
        <v>817</v>
      </c>
      <c r="HS4" s="1682" t="s">
        <v>817</v>
      </c>
      <c r="HT4" s="1682" t="s">
        <v>817</v>
      </c>
      <c r="HU4" s="1682" t="s">
        <v>817</v>
      </c>
      <c r="HV4" s="1287" t="s">
        <v>817</v>
      </c>
      <c r="HW4" s="1287" t="s">
        <v>817</v>
      </c>
      <c r="HX4" s="1287" t="s">
        <v>817</v>
      </c>
      <c r="HY4" s="1287" t="s">
        <v>817</v>
      </c>
    </row>
    <row r="5" spans="1:233">
      <c r="A5" s="1288" t="s">
        <v>1317</v>
      </c>
      <c r="B5" s="1289"/>
      <c r="C5" s="1290">
        <f>名目県内総支出!H63</f>
        <v>339700.89933091216</v>
      </c>
      <c r="D5" s="1291">
        <f>E5-F5+G5+H5</f>
        <v>812930.05164396204</v>
      </c>
      <c r="E5" s="1291">
        <f>名目県内総支出!H39</f>
        <v>17020830</v>
      </c>
      <c r="F5" s="1291">
        <f>名目県内総支出!H40</f>
        <v>17465728</v>
      </c>
      <c r="G5" s="1291">
        <f>名目県内総支出!H41</f>
        <v>-27156.520947235171</v>
      </c>
      <c r="H5" s="1291">
        <f>名目県内総支出!H64</f>
        <v>1284984.5725911972</v>
      </c>
      <c r="I5" s="1291">
        <f>名目県内総支出!H43</f>
        <v>197873</v>
      </c>
      <c r="J5" s="1292">
        <f>名目県内総支出!H62</f>
        <v>19657422.100669086</v>
      </c>
      <c r="K5" s="1291">
        <f>名目県内総支出!H61</f>
        <v>1976091.6379963746</v>
      </c>
      <c r="L5" s="1293">
        <f>名目県内総支出!H44</f>
        <v>19997123</v>
      </c>
      <c r="M5" s="1290">
        <f>名目県内総支出!I63</f>
        <v>897739.34781570476</v>
      </c>
      <c r="N5" s="1291">
        <f>O5-P5+Q5+R5</f>
        <v>1299466.7956119601</v>
      </c>
      <c r="O5" s="1291">
        <f>名目県内総支出!I39</f>
        <v>18186045</v>
      </c>
      <c r="P5" s="1291">
        <f>名目県内総支出!I40</f>
        <v>18137965</v>
      </c>
      <c r="Q5" s="1291">
        <f>名目県内総支出!I41</f>
        <v>-43570.998591894517</v>
      </c>
      <c r="R5" s="1291">
        <f>名目県内総支出!I64</f>
        <v>1294957.7942038546</v>
      </c>
      <c r="S5" s="1291">
        <f>名目県内総支出!I43</f>
        <v>329592</v>
      </c>
      <c r="T5" s="1292">
        <f>名目県内総支出!I62</f>
        <v>18977766.652184296</v>
      </c>
      <c r="U5" s="1291">
        <f>名目県内総支出!I61</f>
        <v>2008206.5496911928</v>
      </c>
      <c r="V5" s="1293">
        <f>名目県内総支出!I44</f>
        <v>19875506</v>
      </c>
      <c r="W5" s="1290">
        <f>名目県内総支出!J63</f>
        <v>597610.2708878651</v>
      </c>
      <c r="X5" s="1291">
        <f>Y5-Z5+AA5+AB5</f>
        <v>444960.13382253633</v>
      </c>
      <c r="Y5" s="1291">
        <f>名目県内総支出!J39</f>
        <v>17239515</v>
      </c>
      <c r="Z5" s="1291">
        <f>名目県内総支出!J40</f>
        <v>17948628</v>
      </c>
      <c r="AA5" s="1291">
        <f>名目県内総支出!J41</f>
        <v>-110942.40033578174</v>
      </c>
      <c r="AB5" s="1291">
        <f>名目県内総支出!J64</f>
        <v>1265015.5341583181</v>
      </c>
      <c r="AC5" s="1291">
        <f>名目県内総支出!J43</f>
        <v>288694</v>
      </c>
      <c r="AD5" s="1292">
        <f>名目県内総支出!J62</f>
        <v>19973532.729112133</v>
      </c>
      <c r="AE5" s="1291">
        <f>名目県内総支出!J61</f>
        <v>2118619.8702144846</v>
      </c>
      <c r="AF5" s="1293">
        <f>名目県内総支出!J44</f>
        <v>20571143</v>
      </c>
      <c r="AG5" s="1290">
        <f>名目県内総支出!K63</f>
        <v>125598.82204964617</v>
      </c>
      <c r="AH5" s="1291">
        <f>AI5-AJ5+AK5+AL5</f>
        <v>478370.31854407722</v>
      </c>
      <c r="AI5" s="1291">
        <f>名目県内総支出!K39</f>
        <v>15125960</v>
      </c>
      <c r="AJ5" s="1291">
        <f>名目県内総支出!K40</f>
        <v>15903578</v>
      </c>
      <c r="AK5" s="1291">
        <f>名目県内総支出!K41</f>
        <v>14348.943705466052</v>
      </c>
      <c r="AL5" s="1291">
        <f>名目県内総支出!K64</f>
        <v>1241639.3748386111</v>
      </c>
      <c r="AM5" s="1291">
        <f>名目県内総支出!K43</f>
        <v>-225623</v>
      </c>
      <c r="AN5" s="1292">
        <f>名目県内総支出!K62</f>
        <v>20615546.177950352</v>
      </c>
      <c r="AO5" s="1291">
        <f>名目県内総支出!K61</f>
        <v>2219145.343405799</v>
      </c>
      <c r="AP5" s="1293">
        <f>名目県内総支出!K44</f>
        <v>20741145</v>
      </c>
      <c r="AQ5" s="1290">
        <f>名目県内総支出!L63</f>
        <v>842332.85166737158</v>
      </c>
      <c r="AR5" s="1291">
        <f>AS5-AT5+AU5+AV5</f>
        <v>945134.46931903157</v>
      </c>
      <c r="AS5" s="1291">
        <f>名目県内総支出!L39</f>
        <v>16354293</v>
      </c>
      <c r="AT5" s="1291">
        <f>名目県内総支出!L40</f>
        <v>16589823</v>
      </c>
      <c r="AU5" s="1291">
        <f>名目県内総支出!L41</f>
        <v>-119822.04205329344</v>
      </c>
      <c r="AV5" s="1291">
        <f>名目県内総支出!L64</f>
        <v>1300486.511372325</v>
      </c>
      <c r="AW5" s="1291">
        <f>名目県内総支出!L43</f>
        <v>246617</v>
      </c>
      <c r="AX5" s="1292">
        <f>名目県内総支出!L62</f>
        <v>20904860.148332629</v>
      </c>
      <c r="AY5" s="1291">
        <f>名目県内総支出!L61</f>
        <v>2205142.1543817148</v>
      </c>
      <c r="AZ5" s="1293">
        <f>名目県内総支出!L44</f>
        <v>21747193</v>
      </c>
      <c r="BA5" s="1290">
        <f>名目県内総支出!M63</f>
        <v>216564</v>
      </c>
      <c r="BB5" s="1291">
        <f>BC5-BD5+BE5+BF5</f>
        <v>115732.65056151594</v>
      </c>
      <c r="BC5" s="1291">
        <f>名目県内総支出!M39</f>
        <v>15859697</v>
      </c>
      <c r="BD5" s="1291">
        <f>名目県内総支出!M40</f>
        <v>16970634</v>
      </c>
      <c r="BE5" s="1291">
        <f>名目県内総支出!M41</f>
        <v>-79606.755177299317</v>
      </c>
      <c r="BF5" s="1291">
        <f>名目県内総支出!M64</f>
        <v>1306276.4057388152</v>
      </c>
      <c r="BG5" s="1291">
        <f>名目県内総支出!M43</f>
        <v>197873</v>
      </c>
      <c r="BH5" s="1292">
        <f>名目県内総支出!M62</f>
        <v>19780559</v>
      </c>
      <c r="BI5" s="1291">
        <f>名目県内総支出!M61</f>
        <v>2291991</v>
      </c>
      <c r="BJ5" s="1293">
        <f>名目県内総支出!M44</f>
        <v>19997123</v>
      </c>
      <c r="BK5" s="1290">
        <f>名目県内総支出!N63</f>
        <v>142441</v>
      </c>
      <c r="BL5" s="1291">
        <f>BM5-BN5+BO5+BP5</f>
        <v>-204195.72380791721</v>
      </c>
      <c r="BM5" s="1291">
        <f>名目県内総支出!N39</f>
        <v>15484526</v>
      </c>
      <c r="BN5" s="1291">
        <f>名目県内総支出!N40</f>
        <v>16895177</v>
      </c>
      <c r="BO5" s="1291">
        <f>名目県内総支出!N41</f>
        <v>-64359.882379961433</v>
      </c>
      <c r="BP5" s="1291">
        <f>名目県内総支出!N64</f>
        <v>1270815.1585720442</v>
      </c>
      <c r="BQ5" s="1291">
        <f>名目県内総支出!N43</f>
        <v>329592</v>
      </c>
      <c r="BR5" s="1292">
        <f>名目県内総支出!N62</f>
        <v>19733065</v>
      </c>
      <c r="BS5" s="1291">
        <f>名目県内総支出!N61</f>
        <v>2321386</v>
      </c>
      <c r="BT5" s="1293">
        <f>名目県内総支出!N44</f>
        <v>19875506</v>
      </c>
      <c r="BU5" s="1290">
        <f>名目県内総支出!O63</f>
        <v>44371</v>
      </c>
      <c r="BV5" s="1291">
        <f>BW5-BX5+BY5+BZ5</f>
        <v>-323418.79504583869</v>
      </c>
      <c r="BW5" s="1291">
        <f>名目県内総支出!O39</f>
        <v>16052073</v>
      </c>
      <c r="BX5" s="1291">
        <f>名目県内総支出!O40</f>
        <v>17564241</v>
      </c>
      <c r="BY5" s="1291">
        <f>名目県内総支出!O41</f>
        <v>-66159.798270532046</v>
      </c>
      <c r="BZ5" s="1291">
        <f>名目県内総支出!O64</f>
        <v>1254909.0032246932</v>
      </c>
      <c r="CA5" s="1291">
        <f>名目県内総支出!O43</f>
        <v>288694</v>
      </c>
      <c r="CB5" s="1292">
        <f>名目県内総支出!O62</f>
        <v>20526772</v>
      </c>
      <c r="CC5" s="1291">
        <f>名目県内総支出!O61</f>
        <v>2384989</v>
      </c>
      <c r="CD5" s="1293">
        <f>名目県内総支出!O44</f>
        <v>20571143</v>
      </c>
      <c r="CE5" s="1290">
        <f>名目県内総支出!P63</f>
        <v>369850</v>
      </c>
      <c r="CF5" s="1291">
        <f>CG5-CH5+CI5+CJ5</f>
        <v>405439.14776408963</v>
      </c>
      <c r="CG5" s="1291">
        <f>名目県内総支出!P39</f>
        <v>16704569</v>
      </c>
      <c r="CH5" s="1291">
        <f>名目県内総支出!P40</f>
        <v>17510351</v>
      </c>
      <c r="CI5" s="1291">
        <f>名目県内総支出!P41</f>
        <v>-72647.674104726291</v>
      </c>
      <c r="CJ5" s="1291">
        <f>名目県内総支出!P64</f>
        <v>1283868.8218688159</v>
      </c>
      <c r="CK5" s="1291">
        <f>名目県内総支出!P43</f>
        <v>-225623</v>
      </c>
      <c r="CL5" s="1292">
        <f>名目県内総支出!P62</f>
        <v>20371295</v>
      </c>
      <c r="CM5" s="1291">
        <f>名目県内総支出!P61</f>
        <v>2450102</v>
      </c>
      <c r="CN5" s="1293">
        <f>名目県内総支出!P44</f>
        <v>20741145</v>
      </c>
      <c r="CO5" s="1290">
        <f>名目県内総支出!Q63</f>
        <v>857359</v>
      </c>
      <c r="CP5" s="1291">
        <f>CQ5-CR5+CS5+CT5</f>
        <v>698543.65372002544</v>
      </c>
      <c r="CQ5" s="1291">
        <f>名目県内総支出!Q39</f>
        <v>16860189</v>
      </c>
      <c r="CR5" s="1291">
        <f>名目県内総支出!Q40</f>
        <v>17366396</v>
      </c>
      <c r="CS5" s="1291">
        <f>名目県内総支出!Q41</f>
        <v>-75994.035752502677</v>
      </c>
      <c r="CT5" s="1291">
        <f>名目県内総支出!Q64</f>
        <v>1280744.6894725282</v>
      </c>
      <c r="CU5" s="1291">
        <f>名目県内総支出!Q43</f>
        <v>246617</v>
      </c>
      <c r="CV5" s="1292">
        <f>名目県内総支出!Q62</f>
        <v>20889834</v>
      </c>
      <c r="CW5" s="1291">
        <f>名目県内総支出!Q61</f>
        <v>2518395</v>
      </c>
      <c r="CX5" s="1293">
        <f>名目県内総支出!Q44</f>
        <v>21747193</v>
      </c>
      <c r="CY5" s="1290">
        <f>名目県内総支出!R63</f>
        <v>1295724</v>
      </c>
      <c r="CZ5" s="1291">
        <f>DA5-DB5+DC5+DD5</f>
        <v>938525.48521911097</v>
      </c>
      <c r="DA5" s="1291">
        <f>名目県内総支出!R39</f>
        <v>16419740</v>
      </c>
      <c r="DB5" s="1291">
        <f>名目県内総支出!R40</f>
        <v>16715635</v>
      </c>
      <c r="DC5" s="1291">
        <f>名目県内総支出!R41</f>
        <v>-69372.17622134625</v>
      </c>
      <c r="DD5" s="1291">
        <f>名目県内総支出!R64</f>
        <v>1303792.6614404572</v>
      </c>
      <c r="DE5" s="1291">
        <f>名目県内総支出!R43</f>
        <v>-18168</v>
      </c>
      <c r="DF5" s="1292">
        <f>名目県内総支出!R62</f>
        <v>20669698</v>
      </c>
      <c r="DG5" s="1291">
        <f>名目県内総支出!R61</f>
        <v>2535493</v>
      </c>
      <c r="DH5" s="1293">
        <f>名目県内総支出!R44</f>
        <v>21965422</v>
      </c>
      <c r="DI5" s="1290">
        <f>名目県内総支出!S63</f>
        <v>1098808</v>
      </c>
      <c r="DJ5" s="1291">
        <f>DK5-DL5+DM5+DN5</f>
        <v>973016.834262599</v>
      </c>
      <c r="DK5" s="1291">
        <f>名目県内総支出!S39</f>
        <v>17384114</v>
      </c>
      <c r="DL5" s="1291">
        <f>名目県内総支出!S40</f>
        <v>17583131</v>
      </c>
      <c r="DM5" s="1291">
        <f>名目県内総支出!S41</f>
        <v>-55459.418408300029</v>
      </c>
      <c r="DN5" s="1291">
        <f>名目県内総支出!S64</f>
        <v>1227493.252670899</v>
      </c>
      <c r="DO5" s="1291">
        <f>名目県内総支出!S43</f>
        <v>-801019</v>
      </c>
      <c r="DP5" s="1292">
        <f>名目県内総支出!S62</f>
        <v>21184465</v>
      </c>
      <c r="DQ5" s="1291">
        <f>名目県内総支出!S61</f>
        <v>2664104</v>
      </c>
      <c r="DR5" s="1293">
        <f>名目県内総支出!S44</f>
        <v>22283273</v>
      </c>
      <c r="DS5" s="1290">
        <f>名目県内総支出!T63</f>
        <v>1038043</v>
      </c>
      <c r="DT5" s="1291">
        <f>DU5-DV5+DW5+DX5</f>
        <v>716501.29187541059</v>
      </c>
      <c r="DU5" s="1291">
        <f>名目県内総支出!T39</f>
        <v>17568297</v>
      </c>
      <c r="DV5" s="1291">
        <f>名目県内総支出!T40</f>
        <v>18053636</v>
      </c>
      <c r="DW5" s="1291">
        <f>名目県内総支出!T41</f>
        <v>-57284.281785935338</v>
      </c>
      <c r="DX5" s="1291">
        <f>名目県内総支出!T64</f>
        <v>1259124.573661346</v>
      </c>
      <c r="DY5" s="1291">
        <f>名目県内総支出!T43</f>
        <v>-1222467</v>
      </c>
      <c r="DZ5" s="1292">
        <f>名目県内総支出!T62</f>
        <v>21199617</v>
      </c>
      <c r="EA5" s="1291">
        <f>名目県内総支出!T61</f>
        <v>2674566</v>
      </c>
      <c r="EB5" s="1293">
        <f>名目県内総支出!T44</f>
        <v>22237660</v>
      </c>
      <c r="EC5" s="1290">
        <f>名目県内総支出!U63</f>
        <v>842256</v>
      </c>
      <c r="ED5" s="1291">
        <f>EE5-EF5+EG5+EH5</f>
        <v>504954.94520617952</v>
      </c>
      <c r="EE5" s="1291">
        <f>名目県内総支出!U39</f>
        <v>17399579</v>
      </c>
      <c r="EF5" s="1291">
        <f>名目県内総支出!U40</f>
        <v>18117939</v>
      </c>
      <c r="EG5" s="1291">
        <f>名目県内総支出!U41</f>
        <v>-54356.431469457631</v>
      </c>
      <c r="EH5" s="1291">
        <f>名目県内総支出!U64</f>
        <v>1277671.3766756372</v>
      </c>
      <c r="EI5" s="1291">
        <f>名目県内総支出!U43</f>
        <v>-1744410</v>
      </c>
      <c r="EJ5" s="1292">
        <f>名目県内総支出!U62</f>
        <v>21630579</v>
      </c>
      <c r="EK5" s="1291">
        <f>名目県内総支出!U61</f>
        <v>2787989</v>
      </c>
      <c r="EL5" s="1293">
        <f>名目県内総支出!U44</f>
        <v>22472835</v>
      </c>
      <c r="EM5" s="1292">
        <f>名目県内総支出!V63</f>
        <v>1396117</v>
      </c>
      <c r="EN5" s="1291">
        <f>EO5-EP5+EQ5+ER5</f>
        <v>494775.68825399759</v>
      </c>
      <c r="EO5" s="1294">
        <f>名目県内総支出!V39</f>
        <v>15724669</v>
      </c>
      <c r="EP5" s="1294">
        <f>名目県内総支出!V40</f>
        <v>16447492</v>
      </c>
      <c r="EQ5" s="1295">
        <f>名目県内総支出!V41</f>
        <v>-41203.02322430606</v>
      </c>
      <c r="ER5" s="1295">
        <f>名目県内総支出!V64</f>
        <v>1258801.7114783037</v>
      </c>
      <c r="ES5" s="1296">
        <f>名目県内総支出!V43</f>
        <v>-400927</v>
      </c>
      <c r="ET5" s="1292">
        <f>名目県内総支出!V62</f>
        <v>20499884</v>
      </c>
      <c r="EU5" s="1291">
        <f>名目県内総支出!V61</f>
        <v>2777965</v>
      </c>
      <c r="EV5" s="1293">
        <f>名目県内総支出!V44</f>
        <v>21896001</v>
      </c>
      <c r="EW5" s="1391">
        <f>EX5+FC5</f>
        <v>-1246065</v>
      </c>
      <c r="EX5" s="1297">
        <f>EY5-EZ5</f>
        <v>-804879</v>
      </c>
      <c r="EY5" s="545">
        <f>名目県内総支出!W39</f>
        <v>17776477</v>
      </c>
      <c r="EZ5" s="545">
        <f>名目県内総支出!W40</f>
        <v>18581356</v>
      </c>
      <c r="FA5" s="1295">
        <f>名目県内総支出!W41</f>
        <v>-23407.335422951321</v>
      </c>
      <c r="FB5" s="1295">
        <f>名目県内総支出!W64</f>
        <v>1312123.0505864786</v>
      </c>
      <c r="FC5" s="1405">
        <f>名目県内総支出!W43</f>
        <v>-441186</v>
      </c>
      <c r="FD5" s="1126">
        <f>名目県内総支出!W62</f>
        <v>21480023</v>
      </c>
      <c r="FE5" s="545">
        <f>名目県内総支出!W61</f>
        <v>2978623</v>
      </c>
      <c r="FF5" s="1411">
        <f>名目県内総支出!W44</f>
        <v>22596893</v>
      </c>
      <c r="FG5" s="1416">
        <f>FH5+FM5</f>
        <v>-3120077</v>
      </c>
      <c r="FH5" s="1297">
        <f>FI5-FJ5</f>
        <v>-2399390</v>
      </c>
      <c r="FI5" s="545">
        <f>名目県内総支出!X39-FI1</f>
        <v>18956344</v>
      </c>
      <c r="FJ5" s="545">
        <f>名目県内総支出!X40</f>
        <v>21355734</v>
      </c>
      <c r="FK5" s="1295">
        <f>名目県内総支出!X41</f>
        <v>-42451.346241947438</v>
      </c>
      <c r="FL5" s="1295">
        <f>名目県内総支出!X64</f>
        <v>1375704.029524138</v>
      </c>
      <c r="FM5" s="1405">
        <f>名目県内総支出!X43</f>
        <v>-720687</v>
      </c>
      <c r="FN5" s="1126">
        <f>名目県内総支出!X62</f>
        <v>23017377</v>
      </c>
      <c r="FO5" s="545">
        <f>名目県内総支出!X61</f>
        <v>3013270</v>
      </c>
      <c r="FP5" s="1411">
        <f>名目県内総支出!X44</f>
        <v>23362116</v>
      </c>
      <c r="FQ5" s="1393"/>
      <c r="FR5" s="1416">
        <f>FS5+FX5</f>
        <v>-431796</v>
      </c>
      <c r="FS5" s="1297">
        <f>FT5-FU5</f>
        <v>294496</v>
      </c>
      <c r="FT5" s="1472">
        <f>名目県内総支出!Y39-FT1</f>
        <v>21594435</v>
      </c>
      <c r="FU5" s="545">
        <f>名目県内総支出!Y40</f>
        <v>21299939</v>
      </c>
      <c r="FV5" s="1295">
        <f>名目県内総支出!Y41</f>
        <v>-47580</v>
      </c>
      <c r="FW5" s="1295">
        <f>名目県内総支出!Y64</f>
        <v>1368537.029524138</v>
      </c>
      <c r="FX5" s="1405">
        <f>名目県内総支出!Y43</f>
        <v>-726292</v>
      </c>
      <c r="FY5" s="545">
        <f>名目県内総支出!Y62</f>
        <v>23321968</v>
      </c>
      <c r="FZ5" s="545">
        <f>名目県内総支出!Y61</f>
        <v>2996589</v>
      </c>
      <c r="GA5" s="1298">
        <f>名目県内総支出!Y44</f>
        <v>23989541</v>
      </c>
      <c r="GB5" s="1328">
        <f>GC5+GH5</f>
        <v>146193</v>
      </c>
      <c r="GC5" s="1297">
        <f>GD5-GE5</f>
        <v>872485</v>
      </c>
      <c r="GD5" s="1472">
        <f>名目県内総支出!Z39-GD1</f>
        <v>23082046</v>
      </c>
      <c r="GE5" s="545">
        <f>名目県内総支出!Z40</f>
        <v>22209561</v>
      </c>
      <c r="GF5" s="1295">
        <f>名目県内総支出!Z41</f>
        <v>-49762</v>
      </c>
      <c r="GG5" s="1295">
        <f>名目県内総支出!Z42</f>
        <v>703065.02952413796</v>
      </c>
      <c r="GH5" s="545">
        <f>名目県内総支出!Z43</f>
        <v>-726292</v>
      </c>
      <c r="GI5" s="1126">
        <f>名目県内総支出!Z62</f>
        <v>23965065</v>
      </c>
      <c r="GJ5" s="545">
        <f>名目県内総支出!Z61</f>
        <v>3137399</v>
      </c>
      <c r="GK5" s="1411">
        <f>名目県内総支出!Z44</f>
        <v>24764565</v>
      </c>
      <c r="GL5" s="1328">
        <f>GM5+GR5</f>
        <v>208909</v>
      </c>
      <c r="GM5" s="1297">
        <f>GN5-GO5</f>
        <v>935201</v>
      </c>
      <c r="GN5" s="1472">
        <f>名目県内総支出!AA39</f>
        <v>23705927</v>
      </c>
      <c r="GO5" s="545">
        <f>名目県内総支出!AA40</f>
        <v>22770726</v>
      </c>
      <c r="GP5" s="1295">
        <f>名目県内総支出!AA41</f>
        <v>-51203</v>
      </c>
      <c r="GQ5" s="1295">
        <f>名目県内総支出!AA42</f>
        <v>703065.02952413796</v>
      </c>
      <c r="GR5" s="545">
        <f>名目県内総支出!AA43</f>
        <v>-726292</v>
      </c>
      <c r="GS5" s="1126">
        <f>名目県内総支出!AA62</f>
        <v>24745335.28163933</v>
      </c>
      <c r="GT5" s="545">
        <f>名目県内総支出!AA61</f>
        <v>3277424</v>
      </c>
      <c r="GU5" s="1411">
        <f>名目県内総支出!AA44</f>
        <v>25682082.28163933</v>
      </c>
      <c r="GV5" s="1328">
        <f>GW5+HB5</f>
        <v>234763</v>
      </c>
      <c r="GW5" s="1297">
        <f>GX5-GY5</f>
        <v>961055</v>
      </c>
      <c r="GX5" s="1472">
        <f>名目県内総支出!AB39</f>
        <v>24124693</v>
      </c>
      <c r="GY5" s="545">
        <f>名目県内総支出!AB40</f>
        <v>23163638</v>
      </c>
      <c r="GZ5" s="1295">
        <f>名目県内総支出!AB41</f>
        <v>-52108</v>
      </c>
      <c r="HA5" s="1295">
        <f>名目県内総支出!AB42</f>
        <v>703065.02952413796</v>
      </c>
      <c r="HB5" s="545">
        <f>名目県内総支出!AB43</f>
        <v>-726292</v>
      </c>
      <c r="HC5" s="1126">
        <f>名目県内総支出!AB62</f>
        <v>25064730</v>
      </c>
      <c r="HD5" s="545">
        <f>名目県内総支出!AB61</f>
        <v>3300383</v>
      </c>
      <c r="HE5" s="1411">
        <f>名目県内総支出!AB44</f>
        <v>26032430</v>
      </c>
      <c r="HF5" s="1328">
        <f>HG5+HL5</f>
        <v>283203</v>
      </c>
      <c r="HG5" s="1297">
        <f>HH5-HI5</f>
        <v>1009495</v>
      </c>
      <c r="HH5" s="1472">
        <f>名目県内総支出!AC39</f>
        <v>24729380</v>
      </c>
      <c r="HI5" s="545">
        <f>名目県内総支出!AC40</f>
        <v>23719885</v>
      </c>
      <c r="HJ5" s="1295">
        <f>名目県内総支出!AC41</f>
        <v>-53414</v>
      </c>
      <c r="HK5" s="1295">
        <f>名目県内総支出!AC42</f>
        <v>703065.02952413796</v>
      </c>
      <c r="HL5" s="545">
        <f>名目県内総支出!AC43</f>
        <v>-726292</v>
      </c>
      <c r="HM5" s="1126">
        <f>名目県内総支出!AC62</f>
        <v>25419691</v>
      </c>
      <c r="HN5" s="545">
        <f>名目県内総支出!AC61</f>
        <v>3323342</v>
      </c>
      <c r="HO5" s="1411">
        <f>名目県内総支出!AC44</f>
        <v>26440930</v>
      </c>
      <c r="HP5" s="239" t="s">
        <v>11</v>
      </c>
      <c r="HQ5" s="1300" t="s">
        <v>1536</v>
      </c>
      <c r="HR5" s="1300" t="s">
        <v>1537</v>
      </c>
      <c r="HS5" s="1683" t="s">
        <v>1558</v>
      </c>
      <c r="HT5" s="1683" t="s">
        <v>1559</v>
      </c>
      <c r="HU5" s="1683" t="s">
        <v>1560</v>
      </c>
      <c r="HV5" s="1301" t="s">
        <v>1601</v>
      </c>
      <c r="HW5" s="1301" t="s">
        <v>1732</v>
      </c>
      <c r="HX5" s="1301" t="s">
        <v>1776</v>
      </c>
      <c r="HY5" s="1301" t="s">
        <v>1816</v>
      </c>
    </row>
    <row r="6" spans="1:233" ht="12.5">
      <c r="A6" s="1302" t="s">
        <v>170</v>
      </c>
      <c r="B6" s="1303" t="s">
        <v>166</v>
      </c>
      <c r="C6" s="1304">
        <f>SUM(C7:C16)</f>
        <v>-470306.5345189115</v>
      </c>
      <c r="D6" s="1305">
        <f t="shared" ref="D6:I6" si="5">SUM(D7:D16)</f>
        <v>-668179.5345189115</v>
      </c>
      <c r="E6" s="1305">
        <f t="shared" si="5"/>
        <v>17020830</v>
      </c>
      <c r="F6" s="1305">
        <f t="shared" si="5"/>
        <v>17465728</v>
      </c>
      <c r="G6" s="1305">
        <f t="shared" si="5"/>
        <v>-27156.520947235171</v>
      </c>
      <c r="H6" s="1305">
        <f t="shared" si="5"/>
        <v>1284984.5725911972</v>
      </c>
      <c r="I6" s="1306">
        <f t="shared" si="5"/>
        <v>197873</v>
      </c>
      <c r="J6" s="1307">
        <f>SUM(J7:J16)</f>
        <v>20467429.534518912</v>
      </c>
      <c r="K6" s="1305">
        <f>SUM(K7:K16)</f>
        <v>1976091.6379963746</v>
      </c>
      <c r="L6" s="1306">
        <f>SUM(L7:L16)</f>
        <v>19997123</v>
      </c>
      <c r="M6" s="1304">
        <f t="shared" ref="M6:S6" si="6">SUM(M7:M16)</f>
        <v>-527716.14049059059</v>
      </c>
      <c r="N6" s="1305">
        <f t="shared" si="6"/>
        <v>-857308.14049059059</v>
      </c>
      <c r="O6" s="1305">
        <f t="shared" si="6"/>
        <v>18186045</v>
      </c>
      <c r="P6" s="1305">
        <f t="shared" si="6"/>
        <v>18137965</v>
      </c>
      <c r="Q6" s="1305">
        <f t="shared" si="6"/>
        <v>-43570.998591894517</v>
      </c>
      <c r="R6" s="1305">
        <f t="shared" si="6"/>
        <v>1294957.7942038546</v>
      </c>
      <c r="S6" s="1306">
        <f t="shared" si="6"/>
        <v>329592</v>
      </c>
      <c r="T6" s="1307">
        <f>SUM(T7:T16)</f>
        <v>20403222.140490592</v>
      </c>
      <c r="U6" s="1305">
        <f>SUM(U7:U16)</f>
        <v>2008206.5496911928</v>
      </c>
      <c r="V6" s="1306">
        <f>SUM(V7:V16)</f>
        <v>19875506</v>
      </c>
      <c r="W6" s="1304">
        <f t="shared" ref="W6:AC6" si="7">SUM(W7:W16)</f>
        <v>229720.29513698537</v>
      </c>
      <c r="X6" s="1305">
        <f t="shared" si="7"/>
        <v>-58973.704863014631</v>
      </c>
      <c r="Y6" s="1305">
        <f t="shared" si="7"/>
        <v>17239515</v>
      </c>
      <c r="Z6" s="1305">
        <f t="shared" si="7"/>
        <v>17948628</v>
      </c>
      <c r="AA6" s="1305">
        <f t="shared" si="7"/>
        <v>-110942.40033578174</v>
      </c>
      <c r="AB6" s="1305">
        <f t="shared" si="7"/>
        <v>1265015.5341583181</v>
      </c>
      <c r="AC6" s="1306">
        <f t="shared" si="7"/>
        <v>288694</v>
      </c>
      <c r="AD6" s="1307">
        <f t="shared" ref="AD6:CI6" si="8">SUM(AD7:AD16)</f>
        <v>20341422.704863016</v>
      </c>
      <c r="AE6" s="1305">
        <f>SUM(AE7:AE16)</f>
        <v>2118619.8702144846</v>
      </c>
      <c r="AF6" s="1306">
        <f t="shared" si="8"/>
        <v>20571143</v>
      </c>
      <c r="AG6" s="1304">
        <f t="shared" si="8"/>
        <v>1372361.4692806853</v>
      </c>
      <c r="AH6" s="1305">
        <f t="shared" si="8"/>
        <v>1597984.4692806853</v>
      </c>
      <c r="AI6" s="1305">
        <f t="shared" si="8"/>
        <v>15125960</v>
      </c>
      <c r="AJ6" s="1305">
        <f t="shared" si="8"/>
        <v>15903578</v>
      </c>
      <c r="AK6" s="1305">
        <f t="shared" si="8"/>
        <v>14348.943705466052</v>
      </c>
      <c r="AL6" s="1305">
        <f t="shared" si="8"/>
        <v>1241639.3748386111</v>
      </c>
      <c r="AM6" s="1306">
        <f t="shared" si="8"/>
        <v>-225623</v>
      </c>
      <c r="AN6" s="1307">
        <f t="shared" si="8"/>
        <v>19368783.530719314</v>
      </c>
      <c r="AO6" s="1305">
        <f>SUM(AO7:AO16)</f>
        <v>2219145.343405799</v>
      </c>
      <c r="AP6" s="1306">
        <f t="shared" si="8"/>
        <v>20741145</v>
      </c>
      <c r="AQ6" s="1304">
        <f t="shared" si="8"/>
        <v>2012341.6292575914</v>
      </c>
      <c r="AR6" s="1305">
        <f t="shared" si="8"/>
        <v>1765724.6292575914</v>
      </c>
      <c r="AS6" s="1305">
        <f t="shared" si="8"/>
        <v>16354293</v>
      </c>
      <c r="AT6" s="1305">
        <f t="shared" si="8"/>
        <v>16589823</v>
      </c>
      <c r="AU6" s="1305">
        <f t="shared" si="8"/>
        <v>-119822.04205329344</v>
      </c>
      <c r="AV6" s="1305">
        <f t="shared" si="8"/>
        <v>1300486.511372325</v>
      </c>
      <c r="AW6" s="1306">
        <f t="shared" si="8"/>
        <v>246617</v>
      </c>
      <c r="AX6" s="1307">
        <f t="shared" si="8"/>
        <v>19734851.37074241</v>
      </c>
      <c r="AY6" s="1305">
        <f>SUM(AY7:AY16)</f>
        <v>2205142.1543817148</v>
      </c>
      <c r="AZ6" s="1306">
        <f t="shared" si="8"/>
        <v>21747193</v>
      </c>
      <c r="BA6" s="1304">
        <f t="shared" si="8"/>
        <v>216562</v>
      </c>
      <c r="BB6" s="1305">
        <f t="shared" si="8"/>
        <v>18689</v>
      </c>
      <c r="BC6" s="1305">
        <f t="shared" si="8"/>
        <v>15859697</v>
      </c>
      <c r="BD6" s="1305">
        <f t="shared" si="8"/>
        <v>16970634</v>
      </c>
      <c r="BE6" s="1305">
        <f t="shared" si="8"/>
        <v>-79606.755177299317</v>
      </c>
      <c r="BF6" s="1305">
        <f t="shared" si="8"/>
        <v>1306276.4057388152</v>
      </c>
      <c r="BG6" s="1306">
        <f t="shared" si="8"/>
        <v>197873</v>
      </c>
      <c r="BH6" s="1307">
        <f t="shared" si="8"/>
        <v>19780561</v>
      </c>
      <c r="BI6" s="1305">
        <f>SUM(BI7:BI16)</f>
        <v>2291991</v>
      </c>
      <c r="BJ6" s="1306">
        <f t="shared" si="8"/>
        <v>19997123</v>
      </c>
      <c r="BK6" s="1304">
        <f t="shared" si="8"/>
        <v>142442</v>
      </c>
      <c r="BL6" s="1305">
        <f t="shared" si="8"/>
        <v>-187150</v>
      </c>
      <c r="BM6" s="1305">
        <f t="shared" si="8"/>
        <v>15484526</v>
      </c>
      <c r="BN6" s="1305">
        <f t="shared" si="8"/>
        <v>16895177</v>
      </c>
      <c r="BO6" s="1305">
        <f t="shared" si="8"/>
        <v>-64359.882379961433</v>
      </c>
      <c r="BP6" s="1305">
        <f t="shared" si="8"/>
        <v>1270815.1585720442</v>
      </c>
      <c r="BQ6" s="1306">
        <f t="shared" si="8"/>
        <v>329592</v>
      </c>
      <c r="BR6" s="1307">
        <f t="shared" si="8"/>
        <v>19733064</v>
      </c>
      <c r="BS6" s="1305">
        <f>SUM(BS7:BS16)</f>
        <v>2321386</v>
      </c>
      <c r="BT6" s="1306">
        <f t="shared" si="8"/>
        <v>19875506</v>
      </c>
      <c r="BU6" s="1304">
        <f t="shared" si="8"/>
        <v>44373</v>
      </c>
      <c r="BV6" s="1305">
        <f t="shared" si="8"/>
        <v>-244321</v>
      </c>
      <c r="BW6" s="1305">
        <f t="shared" si="8"/>
        <v>16052073</v>
      </c>
      <c r="BX6" s="1305">
        <f t="shared" si="8"/>
        <v>17564241</v>
      </c>
      <c r="BY6" s="1305">
        <f t="shared" si="8"/>
        <v>-66159.798270532046</v>
      </c>
      <c r="BZ6" s="1305">
        <f t="shared" si="8"/>
        <v>1254909.0032246932</v>
      </c>
      <c r="CA6" s="1306">
        <f t="shared" si="8"/>
        <v>288694</v>
      </c>
      <c r="CB6" s="1307">
        <f t="shared" si="8"/>
        <v>20526770</v>
      </c>
      <c r="CC6" s="1305">
        <f>SUM(CC7:CC16)</f>
        <v>2384989</v>
      </c>
      <c r="CD6" s="1306">
        <f t="shared" si="8"/>
        <v>20571143</v>
      </c>
      <c r="CE6" s="1304">
        <f t="shared" si="8"/>
        <v>369849</v>
      </c>
      <c r="CF6" s="1305">
        <f t="shared" si="8"/>
        <v>595472</v>
      </c>
      <c r="CG6" s="1305">
        <f t="shared" si="8"/>
        <v>16704569</v>
      </c>
      <c r="CH6" s="1305">
        <f t="shared" si="8"/>
        <v>17510351</v>
      </c>
      <c r="CI6" s="1305">
        <f t="shared" si="8"/>
        <v>-72647.674104726291</v>
      </c>
      <c r="CJ6" s="1305">
        <f>SUM(CJ7:CJ16)</f>
        <v>1283868.8218688159</v>
      </c>
      <c r="CK6" s="1306">
        <f>SUM(CK7:CK16)</f>
        <v>-225623</v>
      </c>
      <c r="CL6" s="1307">
        <f t="shared" ref="CL6:CU6" si="9">SUM(CL7:CL16)</f>
        <v>20371296</v>
      </c>
      <c r="CM6" s="1305">
        <f>SUM(CM7:CM16)</f>
        <v>2450102</v>
      </c>
      <c r="CN6" s="1306">
        <f t="shared" si="9"/>
        <v>20741145</v>
      </c>
      <c r="CO6" s="1304">
        <f t="shared" si="9"/>
        <v>857359</v>
      </c>
      <c r="CP6" s="1305">
        <f t="shared" si="9"/>
        <v>610742</v>
      </c>
      <c r="CQ6" s="1305">
        <f t="shared" si="9"/>
        <v>16860189</v>
      </c>
      <c r="CR6" s="1305">
        <f t="shared" si="9"/>
        <v>17366396</v>
      </c>
      <c r="CS6" s="1305">
        <f t="shared" si="9"/>
        <v>-75994.035752502677</v>
      </c>
      <c r="CT6" s="1305">
        <f t="shared" si="9"/>
        <v>1280744.6894725282</v>
      </c>
      <c r="CU6" s="1306">
        <f t="shared" si="9"/>
        <v>246617</v>
      </c>
      <c r="CV6" s="1307">
        <f t="shared" ref="CV6:DE6" si="10">SUM(CV7:CV16)</f>
        <v>20889834</v>
      </c>
      <c r="CW6" s="1305">
        <f>SUM(CW7:CW16)</f>
        <v>2518395</v>
      </c>
      <c r="CX6" s="1306">
        <f t="shared" si="10"/>
        <v>21747193</v>
      </c>
      <c r="CY6" s="1304">
        <f t="shared" si="10"/>
        <v>1295724</v>
      </c>
      <c r="CZ6" s="1305">
        <f t="shared" si="10"/>
        <v>1313892</v>
      </c>
      <c r="DA6" s="1305">
        <f t="shared" si="10"/>
        <v>16419740</v>
      </c>
      <c r="DB6" s="1305">
        <f t="shared" si="10"/>
        <v>16715635</v>
      </c>
      <c r="DC6" s="1305">
        <f t="shared" si="10"/>
        <v>-69372.17622134625</v>
      </c>
      <c r="DD6" s="1305">
        <f t="shared" si="10"/>
        <v>1303792.6614404572</v>
      </c>
      <c r="DE6" s="1306">
        <f t="shared" si="10"/>
        <v>-18168</v>
      </c>
      <c r="DF6" s="1307">
        <f t="shared" ref="DF6:DO6" si="11">SUM(DF7:DF16)</f>
        <v>20669698</v>
      </c>
      <c r="DG6" s="1305">
        <f>SUM(DG7:DG16)</f>
        <v>2535493</v>
      </c>
      <c r="DH6" s="1306">
        <f t="shared" si="11"/>
        <v>21965422</v>
      </c>
      <c r="DI6" s="1304">
        <f t="shared" si="11"/>
        <v>1098809</v>
      </c>
      <c r="DJ6" s="1305">
        <f t="shared" si="11"/>
        <v>1899828</v>
      </c>
      <c r="DK6" s="1305">
        <f t="shared" si="11"/>
        <v>17384114</v>
      </c>
      <c r="DL6" s="1305">
        <f t="shared" si="11"/>
        <v>17583131</v>
      </c>
      <c r="DM6" s="1305">
        <f t="shared" si="11"/>
        <v>-55459.418408300029</v>
      </c>
      <c r="DN6" s="1305">
        <f t="shared" si="11"/>
        <v>1227493.252670899</v>
      </c>
      <c r="DO6" s="1306">
        <f t="shared" si="11"/>
        <v>-801019</v>
      </c>
      <c r="DP6" s="1307">
        <f t="shared" ref="DP6:DY6" si="12">SUM(DP7:DP16)</f>
        <v>21184464</v>
      </c>
      <c r="DQ6" s="1305">
        <f>SUM(DQ7:DQ16)</f>
        <v>2664104</v>
      </c>
      <c r="DR6" s="1306">
        <f t="shared" si="12"/>
        <v>22283273</v>
      </c>
      <c r="DS6" s="1304">
        <f t="shared" si="12"/>
        <v>1038043</v>
      </c>
      <c r="DT6" s="1305">
        <f t="shared" si="12"/>
        <v>2260510</v>
      </c>
      <c r="DU6" s="1305">
        <f t="shared" si="12"/>
        <v>17568297</v>
      </c>
      <c r="DV6" s="1305">
        <f t="shared" si="12"/>
        <v>18053636</v>
      </c>
      <c r="DW6" s="1305">
        <f t="shared" si="12"/>
        <v>-57284.281785935338</v>
      </c>
      <c r="DX6" s="1305">
        <f t="shared" si="12"/>
        <v>1259124.573661346</v>
      </c>
      <c r="DY6" s="1306">
        <f t="shared" si="12"/>
        <v>-1222467</v>
      </c>
      <c r="DZ6" s="1307">
        <f t="shared" ref="DZ6:EI6" si="13">SUM(DZ7:DZ16)</f>
        <v>21199617</v>
      </c>
      <c r="EA6" s="1305">
        <f>SUM(EA7:EA16)</f>
        <v>2674566</v>
      </c>
      <c r="EB6" s="1306">
        <f t="shared" si="13"/>
        <v>22237660</v>
      </c>
      <c r="EC6" s="1304">
        <f t="shared" si="13"/>
        <v>842256</v>
      </c>
      <c r="ED6" s="1305">
        <f t="shared" si="13"/>
        <v>2586666</v>
      </c>
      <c r="EE6" s="1305">
        <f t="shared" si="13"/>
        <v>17399579</v>
      </c>
      <c r="EF6" s="1305">
        <f t="shared" si="13"/>
        <v>18117939</v>
      </c>
      <c r="EG6" s="1305">
        <f t="shared" si="13"/>
        <v>-54356.431469457631</v>
      </c>
      <c r="EH6" s="1305">
        <f t="shared" si="13"/>
        <v>1277671.3766756372</v>
      </c>
      <c r="EI6" s="1306">
        <f t="shared" si="13"/>
        <v>-1744410</v>
      </c>
      <c r="EJ6" s="1307">
        <f t="shared" ref="EJ6:ER6" si="14">SUM(EJ7:EJ16)</f>
        <v>21630579</v>
      </c>
      <c r="EK6" s="1305">
        <f>SUM(EK7:EK16)</f>
        <v>2787989</v>
      </c>
      <c r="EL6" s="1306">
        <f t="shared" si="14"/>
        <v>22472835</v>
      </c>
      <c r="EM6" s="1307">
        <f>SUM(EM7:EM16)</f>
        <v>1396117</v>
      </c>
      <c r="EN6" s="1305">
        <f>SUM(EN7:EN16)</f>
        <v>1797044</v>
      </c>
      <c r="EO6" s="1305">
        <f t="shared" si="14"/>
        <v>15724669</v>
      </c>
      <c r="EP6" s="1305">
        <f t="shared" si="14"/>
        <v>16447492</v>
      </c>
      <c r="EQ6" s="1308">
        <f t="shared" si="14"/>
        <v>-41203.02322430606</v>
      </c>
      <c r="ER6" s="1308">
        <f t="shared" si="14"/>
        <v>1258801.7114783037</v>
      </c>
      <c r="ES6" s="875">
        <f>SUM(ES7:ES16)</f>
        <v>-400927</v>
      </c>
      <c r="ET6" s="1307">
        <f>SUM(ET7:ET16)</f>
        <v>20499884</v>
      </c>
      <c r="EU6" s="1305">
        <f>SUM(EU7:EU16)</f>
        <v>2777965</v>
      </c>
      <c r="EV6" s="1306">
        <f>SUM(EV7:EV16)</f>
        <v>21896001</v>
      </c>
      <c r="EW6" s="1414">
        <f>SUM(EW7:EW16)</f>
        <v>-1246065</v>
      </c>
      <c r="EX6" s="1310">
        <f t="shared" ref="EX6:FB6" si="15">SUM(EX7:EX16)</f>
        <v>-804879</v>
      </c>
      <c r="EY6" s="1310">
        <f t="shared" si="15"/>
        <v>17776477</v>
      </c>
      <c r="EZ6" s="1310">
        <f t="shared" si="15"/>
        <v>18581356</v>
      </c>
      <c r="FA6" s="1308">
        <f t="shared" si="15"/>
        <v>-23407.335422951321</v>
      </c>
      <c r="FB6" s="1308">
        <f t="shared" si="15"/>
        <v>1312123.0505864786</v>
      </c>
      <c r="FC6" s="1415">
        <f t="shared" ref="FC6:FF6" si="16">SUM(FC7:FC16)</f>
        <v>-441186</v>
      </c>
      <c r="FD6" s="1414">
        <f t="shared" si="16"/>
        <v>21480024</v>
      </c>
      <c r="FE6" s="1310">
        <f t="shared" si="16"/>
        <v>2978623</v>
      </c>
      <c r="FF6" s="1415">
        <f t="shared" si="16"/>
        <v>22596893</v>
      </c>
      <c r="FG6" s="1414">
        <f>SUM(FG7:FG16)</f>
        <v>-2840576</v>
      </c>
      <c r="FH6" s="1312">
        <f t="shared" ref="FH6:FM6" si="17">SUM(FH7:FH16)</f>
        <v>-2399390</v>
      </c>
      <c r="FI6" s="1312">
        <f t="shared" si="17"/>
        <v>18956344</v>
      </c>
      <c r="FJ6" s="1312">
        <f t="shared" si="17"/>
        <v>21355734</v>
      </c>
      <c r="FK6" s="1308">
        <f t="shared" si="17"/>
        <v>-42451.346241947438</v>
      </c>
      <c r="FL6" s="1308">
        <f t="shared" si="17"/>
        <v>1375704.029524138</v>
      </c>
      <c r="FM6" s="1413">
        <f t="shared" si="17"/>
        <v>-441186</v>
      </c>
      <c r="FN6" s="1412">
        <f t="shared" ref="FN6:FP6" si="18">SUM(FN7:FN16)</f>
        <v>23017376</v>
      </c>
      <c r="FO6" s="1312">
        <f t="shared" si="18"/>
        <v>3013270</v>
      </c>
      <c r="FP6" s="1413">
        <f t="shared" si="18"/>
        <v>23362116</v>
      </c>
      <c r="FQ6" s="1310"/>
      <c r="FR6" s="1414">
        <f>SUM(FR7:FR16)</f>
        <v>-146690</v>
      </c>
      <c r="FS6" s="1312">
        <f t="shared" ref="FS6:GA6" si="19">SUM(FS7:FS16)</f>
        <v>294496</v>
      </c>
      <c r="FT6" s="1312">
        <f t="shared" si="19"/>
        <v>21594435</v>
      </c>
      <c r="FU6" s="1312">
        <f t="shared" si="19"/>
        <v>21299939</v>
      </c>
      <c r="FV6" s="1308">
        <f t="shared" si="19"/>
        <v>-47580</v>
      </c>
      <c r="FW6" s="1308">
        <f t="shared" si="19"/>
        <v>1368537.029524138</v>
      </c>
      <c r="FX6" s="1413">
        <f t="shared" si="19"/>
        <v>-441186</v>
      </c>
      <c r="FY6" s="1312">
        <f t="shared" si="19"/>
        <v>23321968</v>
      </c>
      <c r="FZ6" s="1312">
        <f t="shared" si="19"/>
        <v>2996589</v>
      </c>
      <c r="GA6" s="1313">
        <f t="shared" si="19"/>
        <v>22469802</v>
      </c>
      <c r="GB6" s="1309">
        <f>SUM(GB7:GB16)</f>
        <v>431299</v>
      </c>
      <c r="GC6" s="1312">
        <f t="shared" ref="GC6:GK6" si="20">SUM(GC7:GC16)</f>
        <v>872485</v>
      </c>
      <c r="GD6" s="1312">
        <f t="shared" si="20"/>
        <v>23082046</v>
      </c>
      <c r="GE6" s="1312">
        <f t="shared" si="20"/>
        <v>22209561</v>
      </c>
      <c r="GF6" s="1308">
        <f t="shared" si="20"/>
        <v>-49762</v>
      </c>
      <c r="GG6" s="1308">
        <f t="shared" si="20"/>
        <v>703065.02952413796</v>
      </c>
      <c r="GH6" s="1312">
        <f t="shared" si="20"/>
        <v>-441186</v>
      </c>
      <c r="GI6" s="1412">
        <f t="shared" si="20"/>
        <v>23965065</v>
      </c>
      <c r="GJ6" s="1312">
        <f t="shared" si="20"/>
        <v>3137399</v>
      </c>
      <c r="GK6" s="1413">
        <f t="shared" si="20"/>
        <v>22469802</v>
      </c>
      <c r="GL6" s="1309">
        <f>SUM(GL7:GL16)</f>
        <v>494015</v>
      </c>
      <c r="GM6" s="1312">
        <f t="shared" ref="GM6:GU6" si="21">SUM(GM7:GM16)</f>
        <v>935201</v>
      </c>
      <c r="GN6" s="1312">
        <f t="shared" si="21"/>
        <v>23705927</v>
      </c>
      <c r="GO6" s="1312">
        <f t="shared" si="21"/>
        <v>22770726</v>
      </c>
      <c r="GP6" s="1308">
        <f t="shared" si="21"/>
        <v>-51203</v>
      </c>
      <c r="GQ6" s="1308">
        <f t="shared" si="21"/>
        <v>703065.02952413796</v>
      </c>
      <c r="GR6" s="1312">
        <f t="shared" si="21"/>
        <v>-441186</v>
      </c>
      <c r="GS6" s="1412">
        <f t="shared" si="21"/>
        <v>24745335.28163933</v>
      </c>
      <c r="GT6" s="1312">
        <f t="shared" si="21"/>
        <v>3277424</v>
      </c>
      <c r="GU6" s="1413">
        <f t="shared" si="21"/>
        <v>24745335.28163933</v>
      </c>
      <c r="GV6" s="1309">
        <f>SUM(GV7:GV16)</f>
        <v>519869</v>
      </c>
      <c r="GW6" s="1312">
        <f t="shared" ref="GW6:HE6" si="22">SUM(GW7:GW16)</f>
        <v>961055</v>
      </c>
      <c r="GX6" s="1312">
        <f t="shared" si="22"/>
        <v>24124693</v>
      </c>
      <c r="GY6" s="1312">
        <f t="shared" si="22"/>
        <v>23163638</v>
      </c>
      <c r="GZ6" s="1308">
        <f t="shared" si="22"/>
        <v>-52108</v>
      </c>
      <c r="HA6" s="1308">
        <f t="shared" si="22"/>
        <v>703065.02952413796</v>
      </c>
      <c r="HB6" s="1312">
        <f t="shared" si="22"/>
        <v>-441186</v>
      </c>
      <c r="HC6" s="1412">
        <f t="shared" si="22"/>
        <v>23463199</v>
      </c>
      <c r="HD6" s="1312">
        <f t="shared" si="22"/>
        <v>-726292</v>
      </c>
      <c r="HE6" s="1413">
        <f t="shared" si="22"/>
        <v>25064730</v>
      </c>
      <c r="HF6" s="1309">
        <f>SUM(HF7:HF16)</f>
        <v>568309</v>
      </c>
      <c r="HG6" s="1312">
        <f t="shared" ref="HG6:HO6" si="23">SUM(HG7:HG16)</f>
        <v>1009495</v>
      </c>
      <c r="HH6" s="1312">
        <f t="shared" si="23"/>
        <v>24729380</v>
      </c>
      <c r="HI6" s="1312">
        <f t="shared" si="23"/>
        <v>23719885</v>
      </c>
      <c r="HJ6" s="1308">
        <f t="shared" si="23"/>
        <v>-53414</v>
      </c>
      <c r="HK6" s="1308">
        <f t="shared" si="23"/>
        <v>703065.02952413796</v>
      </c>
      <c r="HL6" s="1312">
        <f t="shared" si="23"/>
        <v>-441186</v>
      </c>
      <c r="HM6" s="1412">
        <f t="shared" si="23"/>
        <v>23463199</v>
      </c>
      <c r="HN6" s="1312">
        <f t="shared" si="23"/>
        <v>-726292</v>
      </c>
      <c r="HO6" s="1413">
        <f t="shared" si="23"/>
        <v>25419691</v>
      </c>
      <c r="HP6" s="1314"/>
      <c r="HQ6" s="1310">
        <f>市町名目!J5</f>
        <v>22472835</v>
      </c>
      <c r="HR6" s="1310">
        <f>市町名目!K5</f>
        <v>21896001</v>
      </c>
      <c r="HS6" s="1310">
        <f>市町名目!L5</f>
        <v>22596893</v>
      </c>
      <c r="HT6" s="1310">
        <f>市町名目!M5</f>
        <v>23362116</v>
      </c>
      <c r="HU6" s="1310">
        <f t="shared" ref="HU6" si="24">SUM(HU7:HU16)</f>
        <v>23989541</v>
      </c>
      <c r="HV6" s="1310">
        <f t="shared" ref="HV6" si="25">SUM(HV7:HV16)</f>
        <v>23097517.898349099</v>
      </c>
      <c r="HW6" s="1406">
        <v>25695304.629877418</v>
      </c>
      <c r="HX6" s="1406">
        <v>25064730</v>
      </c>
      <c r="HY6" s="1406">
        <v>25419691</v>
      </c>
    </row>
    <row r="7" spans="1:233" ht="12.5">
      <c r="A7" s="1315">
        <v>100</v>
      </c>
      <c r="B7" s="1251" t="s">
        <v>172</v>
      </c>
      <c r="C7" s="1316">
        <f>C18</f>
        <v>178640.4654810885</v>
      </c>
      <c r="D7" s="1248">
        <f t="shared" ref="D7:I7" si="26">D18</f>
        <v>117674.4654810885</v>
      </c>
      <c r="E7" s="1248">
        <f t="shared" si="26"/>
        <v>5244431</v>
      </c>
      <c r="F7" s="1248">
        <f t="shared" si="26"/>
        <v>5105413</v>
      </c>
      <c r="G7" s="1248">
        <f t="shared" si="26"/>
        <v>-8367.5209472351708</v>
      </c>
      <c r="H7" s="1248">
        <f t="shared" si="26"/>
        <v>374245.57259119721</v>
      </c>
      <c r="I7" s="1317">
        <f t="shared" si="26"/>
        <v>60966</v>
      </c>
      <c r="J7" s="1318">
        <f t="shared" ref="J7:M8" si="27">J18</f>
        <v>5982839.5345189115</v>
      </c>
      <c r="K7" s="1248">
        <f t="shared" si="27"/>
        <v>575527.63799637463</v>
      </c>
      <c r="L7" s="1317">
        <f t="shared" si="27"/>
        <v>6161480</v>
      </c>
      <c r="M7" s="1316">
        <f t="shared" si="27"/>
        <v>195713.85950940941</v>
      </c>
      <c r="N7" s="1248">
        <f t="shared" ref="N7:S7" si="28">N18</f>
        <v>94408.859509409405</v>
      </c>
      <c r="O7" s="1248">
        <f t="shared" si="28"/>
        <v>5589593</v>
      </c>
      <c r="P7" s="1248">
        <f t="shared" si="28"/>
        <v>5256641</v>
      </c>
      <c r="Q7" s="1248">
        <f t="shared" si="28"/>
        <v>-13392.998591894517</v>
      </c>
      <c r="R7" s="1248">
        <f t="shared" si="28"/>
        <v>375429.79420385463</v>
      </c>
      <c r="S7" s="1317">
        <f t="shared" si="28"/>
        <v>101305</v>
      </c>
      <c r="T7" s="1318">
        <f t="shared" ref="T7:W8" si="29">T18</f>
        <v>5913146.1404905906</v>
      </c>
      <c r="U7" s="1248">
        <f t="shared" si="29"/>
        <v>582213.54969119281</v>
      </c>
      <c r="V7" s="1317">
        <f t="shared" si="29"/>
        <v>6108860</v>
      </c>
      <c r="W7" s="1316">
        <f t="shared" si="29"/>
        <v>478140.29513698537</v>
      </c>
      <c r="X7" s="1248">
        <f t="shared" ref="X7:AC7" si="30">X18</f>
        <v>388953.29513698537</v>
      </c>
      <c r="Y7" s="1248">
        <f t="shared" si="30"/>
        <v>5325498</v>
      </c>
      <c r="Z7" s="1248">
        <f t="shared" si="30"/>
        <v>5185270</v>
      </c>
      <c r="AA7" s="1248">
        <f t="shared" si="30"/>
        <v>-34273.400335781742</v>
      </c>
      <c r="AB7" s="1248">
        <f t="shared" si="30"/>
        <v>364093.53415831807</v>
      </c>
      <c r="AC7" s="1317">
        <f t="shared" si="30"/>
        <v>89187</v>
      </c>
      <c r="AD7" s="1318">
        <f t="shared" ref="AD7:AG8" si="31">AD18</f>
        <v>5876538.7048630146</v>
      </c>
      <c r="AE7" s="1248">
        <f t="shared" si="31"/>
        <v>609780.87021448463</v>
      </c>
      <c r="AF7" s="1317">
        <f t="shared" si="31"/>
        <v>6354679</v>
      </c>
      <c r="AG7" s="1316">
        <f t="shared" si="31"/>
        <v>1076648.4692806853</v>
      </c>
      <c r="AH7" s="1248">
        <f t="shared" ref="AH7:AM7" si="32">AH18</f>
        <v>1149013.4692806853</v>
      </c>
      <c r="AI7" s="1248">
        <f t="shared" si="32"/>
        <v>4851441</v>
      </c>
      <c r="AJ7" s="1248">
        <f t="shared" si="32"/>
        <v>4578241</v>
      </c>
      <c r="AK7" s="1248">
        <f t="shared" si="32"/>
        <v>4601.9437054660521</v>
      </c>
      <c r="AL7" s="1248">
        <f t="shared" si="32"/>
        <v>363208.37483861111</v>
      </c>
      <c r="AM7" s="1317">
        <f t="shared" si="32"/>
        <v>-72365</v>
      </c>
      <c r="AN7" s="1318">
        <f t="shared" ref="AN7:AQ8" si="33">AN18</f>
        <v>5575787.5307193147</v>
      </c>
      <c r="AO7" s="1248">
        <f t="shared" si="33"/>
        <v>649150.34340579901</v>
      </c>
      <c r="AP7" s="1317">
        <f t="shared" si="33"/>
        <v>6652436</v>
      </c>
      <c r="AQ7" s="1316">
        <f t="shared" si="33"/>
        <v>1181492.6292575914</v>
      </c>
      <c r="AR7" s="1248">
        <f t="shared" ref="AR7:AW7" si="34">AR18</f>
        <v>1102817.6292575914</v>
      </c>
      <c r="AS7" s="1248">
        <f t="shared" si="34"/>
        <v>5217065</v>
      </c>
      <c r="AT7" s="1248">
        <f t="shared" si="34"/>
        <v>4838635</v>
      </c>
      <c r="AU7" s="1248">
        <f t="shared" si="34"/>
        <v>-38222.042053293437</v>
      </c>
      <c r="AV7" s="1248">
        <f t="shared" si="34"/>
        <v>377759.51137232501</v>
      </c>
      <c r="AW7" s="1317">
        <f t="shared" si="34"/>
        <v>78675</v>
      </c>
      <c r="AX7" s="1318">
        <f t="shared" ref="AX7:BA8" si="35">AX18</f>
        <v>5755923.3707424086</v>
      </c>
      <c r="AY7" s="1248">
        <f t="shared" si="35"/>
        <v>640539.15438171476</v>
      </c>
      <c r="AZ7" s="1317">
        <f t="shared" si="35"/>
        <v>6937416</v>
      </c>
      <c r="BA7" s="1316">
        <f t="shared" si="35"/>
        <v>670525</v>
      </c>
      <c r="BB7" s="1248">
        <f t="shared" ref="BB7:BG7" si="36">BB18</f>
        <v>606875</v>
      </c>
      <c r="BC7" s="1248">
        <f t="shared" si="36"/>
        <v>5101521</v>
      </c>
      <c r="BD7" s="1248">
        <f t="shared" si="36"/>
        <v>4943367</v>
      </c>
      <c r="BE7" s="1248">
        <f t="shared" si="36"/>
        <v>-25607.755177299317</v>
      </c>
      <c r="BF7" s="1248">
        <f t="shared" si="36"/>
        <v>380225.4057388152</v>
      </c>
      <c r="BG7" s="1317">
        <f t="shared" si="36"/>
        <v>63650</v>
      </c>
      <c r="BH7" s="1318">
        <f t="shared" ref="BH7:BK8" si="37">BH18</f>
        <v>5761865</v>
      </c>
      <c r="BI7" s="1248">
        <f t="shared" si="37"/>
        <v>667146</v>
      </c>
      <c r="BJ7" s="1317">
        <f t="shared" si="37"/>
        <v>6432390</v>
      </c>
      <c r="BK7" s="1316">
        <f t="shared" si="37"/>
        <v>642866</v>
      </c>
      <c r="BL7" s="1248">
        <f t="shared" ref="BL7:BQ7" si="38">BL18</f>
        <v>537590</v>
      </c>
      <c r="BM7" s="1248">
        <f t="shared" si="38"/>
        <v>4946019</v>
      </c>
      <c r="BN7" s="1248">
        <f t="shared" si="38"/>
        <v>4885147</v>
      </c>
      <c r="BO7" s="1248">
        <f t="shared" si="38"/>
        <v>-20556.882379961433</v>
      </c>
      <c r="BP7" s="1248">
        <f t="shared" si="38"/>
        <v>369864.15857204422</v>
      </c>
      <c r="BQ7" s="1317">
        <f t="shared" si="38"/>
        <v>105276</v>
      </c>
      <c r="BR7" s="1318">
        <f t="shared" ref="BR7:BU8" si="39">BR18</f>
        <v>5705706</v>
      </c>
      <c r="BS7" s="1248">
        <f t="shared" si="39"/>
        <v>675624</v>
      </c>
      <c r="BT7" s="1317">
        <f t="shared" si="39"/>
        <v>6348572</v>
      </c>
      <c r="BU7" s="1316">
        <f t="shared" si="39"/>
        <v>364060</v>
      </c>
      <c r="BV7" s="1248">
        <f t="shared" ref="BV7:CA7" si="40">BV18</f>
        <v>273938</v>
      </c>
      <c r="BW7" s="1248">
        <f t="shared" si="40"/>
        <v>5010941</v>
      </c>
      <c r="BX7" s="1248">
        <f t="shared" si="40"/>
        <v>5183324</v>
      </c>
      <c r="BY7" s="1248">
        <f t="shared" si="40"/>
        <v>-20652.798270532046</v>
      </c>
      <c r="BZ7" s="1248">
        <f t="shared" si="40"/>
        <v>360566.00322469324</v>
      </c>
      <c r="CA7" s="1317">
        <f t="shared" si="40"/>
        <v>90122</v>
      </c>
      <c r="CB7" s="1318">
        <f t="shared" ref="CB7:CE8" si="41">CB18</f>
        <v>6057589</v>
      </c>
      <c r="CC7" s="1248">
        <f t="shared" si="41"/>
        <v>685267</v>
      </c>
      <c r="CD7" s="1317">
        <f t="shared" si="41"/>
        <v>6421649</v>
      </c>
      <c r="CE7" s="1316">
        <f t="shared" si="41"/>
        <v>625955</v>
      </c>
      <c r="CF7" s="1248">
        <f t="shared" ref="CF7:CK7" si="42">CF18</f>
        <v>697129</v>
      </c>
      <c r="CG7" s="1248">
        <f t="shared" si="42"/>
        <v>5269577</v>
      </c>
      <c r="CH7" s="1248">
        <f t="shared" si="42"/>
        <v>5086009</v>
      </c>
      <c r="CI7" s="1248">
        <f t="shared" si="42"/>
        <v>-22916.674104726291</v>
      </c>
      <c r="CJ7" s="1248">
        <f t="shared" si="42"/>
        <v>371132.82186881592</v>
      </c>
      <c r="CK7" s="1317">
        <f t="shared" si="42"/>
        <v>-71174</v>
      </c>
      <c r="CL7" s="1318">
        <f t="shared" ref="CL7:CO8" si="43">CL18</f>
        <v>5916993</v>
      </c>
      <c r="CM7" s="1248">
        <f t="shared" si="43"/>
        <v>708260</v>
      </c>
      <c r="CN7" s="1317">
        <f t="shared" si="43"/>
        <v>6542948</v>
      </c>
      <c r="CO7" s="1316">
        <f t="shared" si="43"/>
        <v>701263</v>
      </c>
      <c r="CP7" s="1248">
        <f t="shared" ref="CP7:CU7" si="44">CP18</f>
        <v>623450</v>
      </c>
      <c r="CQ7" s="1248">
        <f t="shared" si="44"/>
        <v>5319840</v>
      </c>
      <c r="CR7" s="1248">
        <f t="shared" si="44"/>
        <v>5121471</v>
      </c>
      <c r="CS7" s="1248">
        <f t="shared" si="44"/>
        <v>-23979.035752502677</v>
      </c>
      <c r="CT7" s="1248">
        <f t="shared" si="44"/>
        <v>366940.68947252817</v>
      </c>
      <c r="CU7" s="1317">
        <f t="shared" si="44"/>
        <v>77813</v>
      </c>
      <c r="CV7" s="1318">
        <f t="shared" ref="CV7:CY8" si="45">CV18</f>
        <v>6160558</v>
      </c>
      <c r="CW7" s="1248">
        <f t="shared" si="45"/>
        <v>721533</v>
      </c>
      <c r="CX7" s="1317">
        <f t="shared" si="45"/>
        <v>6861821</v>
      </c>
      <c r="CY7" s="1316">
        <f t="shared" si="45"/>
        <v>779869</v>
      </c>
      <c r="CZ7" s="1248">
        <f t="shared" ref="CZ7:DE7" si="46">CZ18</f>
        <v>785567</v>
      </c>
      <c r="DA7" s="1248">
        <f t="shared" si="46"/>
        <v>5146995</v>
      </c>
      <c r="DB7" s="1248">
        <f t="shared" si="46"/>
        <v>4937530</v>
      </c>
      <c r="DC7" s="1248">
        <f t="shared" si="46"/>
        <v>-21743.17622134625</v>
      </c>
      <c r="DD7" s="1248">
        <f t="shared" si="46"/>
        <v>369398.66144045722</v>
      </c>
      <c r="DE7" s="1317">
        <f t="shared" si="46"/>
        <v>-5698</v>
      </c>
      <c r="DF7" s="1318">
        <f t="shared" ref="DF7:DI8" si="47">DF18</f>
        <v>6105495</v>
      </c>
      <c r="DG7" s="1248">
        <f t="shared" si="47"/>
        <v>718365</v>
      </c>
      <c r="DH7" s="1317">
        <f t="shared" si="47"/>
        <v>6885364</v>
      </c>
      <c r="DI7" s="1316">
        <f t="shared" si="47"/>
        <v>494993</v>
      </c>
      <c r="DJ7" s="1248">
        <f t="shared" ref="DJ7:DO7" si="48">DJ18</f>
        <v>746027</v>
      </c>
      <c r="DK7" s="1248">
        <f t="shared" si="48"/>
        <v>5448175</v>
      </c>
      <c r="DL7" s="1248">
        <f t="shared" si="48"/>
        <v>5385525</v>
      </c>
      <c r="DM7" s="1248">
        <f t="shared" si="48"/>
        <v>-17378.418408300029</v>
      </c>
      <c r="DN7" s="1248">
        <f t="shared" si="48"/>
        <v>429743.25267089903</v>
      </c>
      <c r="DO7" s="1317">
        <f t="shared" si="48"/>
        <v>-251034</v>
      </c>
      <c r="DP7" s="1318">
        <f t="shared" ref="DP7:DS8" si="49">DP18</f>
        <v>6488576</v>
      </c>
      <c r="DQ7" s="1248">
        <f t="shared" si="49"/>
        <v>932698</v>
      </c>
      <c r="DR7" s="1317">
        <f t="shared" si="49"/>
        <v>6983569</v>
      </c>
      <c r="DS7" s="1316">
        <f t="shared" si="49"/>
        <v>561661</v>
      </c>
      <c r="DT7" s="1248">
        <f t="shared" ref="DT7:DY7" si="50">DT18</f>
        <v>943777</v>
      </c>
      <c r="DU7" s="1248">
        <f t="shared" si="50"/>
        <v>5491455</v>
      </c>
      <c r="DV7" s="1248">
        <f t="shared" si="50"/>
        <v>5441169</v>
      </c>
      <c r="DW7" s="1248">
        <f t="shared" si="50"/>
        <v>-17908.281785935338</v>
      </c>
      <c r="DX7" s="1248">
        <f t="shared" si="50"/>
        <v>443641.57366134599</v>
      </c>
      <c r="DY7" s="1317">
        <f t="shared" si="50"/>
        <v>-382116</v>
      </c>
      <c r="DZ7" s="1318">
        <f t="shared" ref="DZ7:EC8" si="51">DZ18</f>
        <v>6389329</v>
      </c>
      <c r="EA7" s="1248">
        <f t="shared" si="51"/>
        <v>942361</v>
      </c>
      <c r="EB7" s="1317">
        <f t="shared" si="51"/>
        <v>6950990</v>
      </c>
      <c r="EC7" s="1316">
        <f t="shared" si="51"/>
        <v>522408</v>
      </c>
      <c r="ED7" s="1248">
        <f t="shared" ref="ED7:EI7" si="52">ED18</f>
        <v>1072273</v>
      </c>
      <c r="EE7" s="1248">
        <f t="shared" si="52"/>
        <v>5484634</v>
      </c>
      <c r="EF7" s="1248">
        <f t="shared" si="52"/>
        <v>5495878</v>
      </c>
      <c r="EG7" s="1248">
        <f t="shared" si="52"/>
        <v>-17133.431469457631</v>
      </c>
      <c r="EH7" s="1248">
        <f t="shared" si="52"/>
        <v>450387.37667563721</v>
      </c>
      <c r="EI7" s="1317">
        <f t="shared" si="52"/>
        <v>-549865</v>
      </c>
      <c r="EJ7" s="1318">
        <f t="shared" ref="EJ7:EM8" si="53">EJ18</f>
        <v>6561398</v>
      </c>
      <c r="EK7" s="1248">
        <f t="shared" si="53"/>
        <v>982784</v>
      </c>
      <c r="EL7" s="1317">
        <f t="shared" si="53"/>
        <v>7083806</v>
      </c>
      <c r="EM7" s="1318">
        <f t="shared" si="53"/>
        <v>591850</v>
      </c>
      <c r="EN7" s="1248">
        <f>EN18</f>
        <v>716873</v>
      </c>
      <c r="EO7" s="1248">
        <f t="shared" ref="EO7:EV8" si="54">EO18</f>
        <v>4903379</v>
      </c>
      <c r="EP7" s="1248">
        <f t="shared" si="54"/>
        <v>5003210</v>
      </c>
      <c r="EQ7" s="1319">
        <f t="shared" si="54"/>
        <v>-12850.02322430606</v>
      </c>
      <c r="ER7" s="1319">
        <f t="shared" si="54"/>
        <v>434552.71147830365</v>
      </c>
      <c r="ES7" s="850">
        <f t="shared" si="54"/>
        <v>-125023</v>
      </c>
      <c r="ET7" s="1318">
        <f t="shared" si="54"/>
        <v>6235919</v>
      </c>
      <c r="EU7" s="1248">
        <f t="shared" si="54"/>
        <v>958986</v>
      </c>
      <c r="EV7" s="1317">
        <f t="shared" si="54"/>
        <v>6827769</v>
      </c>
      <c r="EW7" s="1414">
        <f>EW18</f>
        <v>-414144</v>
      </c>
      <c r="EX7" s="1310">
        <f t="shared" ref="EX7:FB8" si="55">EX18</f>
        <v>-278489</v>
      </c>
      <c r="EY7" s="1310">
        <f t="shared" si="55"/>
        <v>5465833</v>
      </c>
      <c r="EZ7" s="1310">
        <f t="shared" si="55"/>
        <v>5744322</v>
      </c>
      <c r="FA7" s="1319">
        <f t="shared" si="55"/>
        <v>-7198.3354229513207</v>
      </c>
      <c r="FB7" s="1319">
        <f t="shared" si="55"/>
        <v>464851.05058647855</v>
      </c>
      <c r="FC7" s="1415">
        <f t="shared" ref="FC7:FF7" si="56">FC18</f>
        <v>-135655</v>
      </c>
      <c r="FD7" s="1414">
        <f t="shared" si="56"/>
        <v>6640435</v>
      </c>
      <c r="FE7" s="1310">
        <f t="shared" si="56"/>
        <v>1055243</v>
      </c>
      <c r="FF7" s="1415">
        <f t="shared" si="56"/>
        <v>6947990</v>
      </c>
      <c r="FG7" s="1414">
        <f>FG18</f>
        <v>-787410</v>
      </c>
      <c r="FH7" s="1310">
        <f t="shared" ref="FH7:FM8" si="57">FH18</f>
        <v>-651755</v>
      </c>
      <c r="FI7" s="1310">
        <f t="shared" si="57"/>
        <v>5913117</v>
      </c>
      <c r="FJ7" s="1310">
        <f t="shared" si="57"/>
        <v>6564872</v>
      </c>
      <c r="FK7" s="1319">
        <f t="shared" si="57"/>
        <v>-13244.346241947438</v>
      </c>
      <c r="FL7" s="1319">
        <f t="shared" si="57"/>
        <v>485969.02952413796</v>
      </c>
      <c r="FM7" s="1415">
        <f t="shared" si="57"/>
        <v>-135655</v>
      </c>
      <c r="FN7" s="1414">
        <f t="shared" ref="FN7:FP7" si="58">FN18</f>
        <v>7075674</v>
      </c>
      <c r="FO7" s="1310">
        <f t="shared" si="58"/>
        <v>1064443</v>
      </c>
      <c r="FP7" s="1415">
        <f t="shared" si="58"/>
        <v>7287424</v>
      </c>
      <c r="FQ7" s="1310"/>
      <c r="FR7" s="1414">
        <f>FR18</f>
        <v>95424</v>
      </c>
      <c r="FS7" s="1310">
        <f t="shared" ref="FS7:GA7" si="59">FS18</f>
        <v>231079</v>
      </c>
      <c r="FT7" s="1310">
        <f t="shared" si="59"/>
        <v>6669719</v>
      </c>
      <c r="FU7" s="1310">
        <f t="shared" si="59"/>
        <v>6438640</v>
      </c>
      <c r="FV7" s="1319">
        <f t="shared" si="59"/>
        <v>-14695</v>
      </c>
      <c r="FW7" s="1319">
        <f t="shared" si="59"/>
        <v>460823.02952413796</v>
      </c>
      <c r="FX7" s="1415">
        <f t="shared" si="59"/>
        <v>-135655</v>
      </c>
      <c r="FY7" s="1310">
        <f t="shared" si="59"/>
        <v>7049872</v>
      </c>
      <c r="FZ7" s="1310">
        <f t="shared" si="59"/>
        <v>1009028</v>
      </c>
      <c r="GA7" s="1311">
        <f t="shared" si="59"/>
        <v>6940090</v>
      </c>
      <c r="GB7" s="1309">
        <f>GB18</f>
        <v>564543</v>
      </c>
      <c r="GC7" s="1310">
        <f t="shared" ref="GC7:GK7" si="60">GC18</f>
        <v>700198</v>
      </c>
      <c r="GD7" s="1310">
        <f t="shared" si="60"/>
        <v>7129191</v>
      </c>
      <c r="GE7" s="1310">
        <f t="shared" si="60"/>
        <v>6428993</v>
      </c>
      <c r="GF7" s="1319">
        <f t="shared" si="60"/>
        <v>-15370</v>
      </c>
      <c r="GG7" s="1319">
        <f t="shared" si="60"/>
        <v>239188.02952413796</v>
      </c>
      <c r="GH7" s="1310">
        <f t="shared" si="60"/>
        <v>-135655</v>
      </c>
      <c r="GI7" s="1414">
        <f t="shared" si="60"/>
        <v>6937158</v>
      </c>
      <c r="GJ7" s="1310">
        <f t="shared" si="60"/>
        <v>1067351</v>
      </c>
      <c r="GK7" s="1415">
        <f t="shared" si="60"/>
        <v>6940090</v>
      </c>
      <c r="GL7" s="1309">
        <f>GL18</f>
        <v>138065</v>
      </c>
      <c r="GM7" s="1310">
        <f t="shared" ref="GM7:GU7" si="61">GM18</f>
        <v>273720</v>
      </c>
      <c r="GN7" s="1310">
        <f t="shared" si="61"/>
        <v>6938400</v>
      </c>
      <c r="GO7" s="1310">
        <f t="shared" si="61"/>
        <v>6664680</v>
      </c>
      <c r="GP7" s="1319">
        <f t="shared" si="61"/>
        <v>-14986</v>
      </c>
      <c r="GQ7" s="1319">
        <f t="shared" si="61"/>
        <v>241500.02952413796</v>
      </c>
      <c r="GR7" s="1310">
        <f t="shared" si="61"/>
        <v>-135655</v>
      </c>
      <c r="GS7" s="1414">
        <f t="shared" si="61"/>
        <v>7242621.2816393301</v>
      </c>
      <c r="GT7" s="1310">
        <f t="shared" si="61"/>
        <v>1125791</v>
      </c>
      <c r="GU7" s="1415">
        <f t="shared" si="61"/>
        <v>7242621.2816393301</v>
      </c>
      <c r="GV7" s="1309">
        <f>GV18</f>
        <v>60799</v>
      </c>
      <c r="GW7" s="1310">
        <f t="shared" ref="GW7:HE7" si="62">GW18</f>
        <v>196454</v>
      </c>
      <c r="GX7" s="1310">
        <f t="shared" si="62"/>
        <v>7026783</v>
      </c>
      <c r="GY7" s="1310">
        <f t="shared" si="62"/>
        <v>6830329</v>
      </c>
      <c r="GZ7" s="1319">
        <f t="shared" si="62"/>
        <v>-15177</v>
      </c>
      <c r="HA7" s="1319">
        <f t="shared" si="62"/>
        <v>222100.02952413796</v>
      </c>
      <c r="HB7" s="1310">
        <f t="shared" si="62"/>
        <v>-135655</v>
      </c>
      <c r="HC7" s="1414">
        <f t="shared" si="62"/>
        <v>6918660</v>
      </c>
      <c r="HD7" s="1310">
        <f t="shared" si="62"/>
        <v>-229437</v>
      </c>
      <c r="HE7" s="1415">
        <f t="shared" si="62"/>
        <v>7300588</v>
      </c>
      <c r="HF7" s="1309">
        <f>HF18</f>
        <v>52028</v>
      </c>
      <c r="HG7" s="1310">
        <f t="shared" ref="HG7:HO7" si="63">HG18</f>
        <v>187683</v>
      </c>
      <c r="HH7" s="1310">
        <f t="shared" si="63"/>
        <v>7182032</v>
      </c>
      <c r="HI7" s="1310">
        <f t="shared" si="63"/>
        <v>6994349</v>
      </c>
      <c r="HJ7" s="1319">
        <f t="shared" si="63"/>
        <v>-15510</v>
      </c>
      <c r="HK7" s="1319">
        <f t="shared" si="63"/>
        <v>222100.02952413796</v>
      </c>
      <c r="HL7" s="1310">
        <f t="shared" si="63"/>
        <v>-135655</v>
      </c>
      <c r="HM7" s="1414">
        <f t="shared" si="63"/>
        <v>6918660</v>
      </c>
      <c r="HN7" s="1310">
        <f t="shared" si="63"/>
        <v>-229437</v>
      </c>
      <c r="HO7" s="1415">
        <f t="shared" si="63"/>
        <v>7382517</v>
      </c>
      <c r="HP7" s="1314"/>
      <c r="HQ7" s="1310">
        <f>市町名目!J6</f>
        <v>7083806</v>
      </c>
      <c r="HR7" s="1310">
        <f>市町名目!K6</f>
        <v>6827769</v>
      </c>
      <c r="HS7" s="1310">
        <f>市町名目!L6</f>
        <v>6947990</v>
      </c>
      <c r="HT7" s="1310">
        <f>市町名目!M6</f>
        <v>7287424</v>
      </c>
      <c r="HU7" s="1310">
        <f t="shared" ref="HU7" si="64">HU18</f>
        <v>7529880</v>
      </c>
      <c r="HV7" s="1310">
        <f t="shared" ref="HV7" si="65">HV18</f>
        <v>7214490.8983490979</v>
      </c>
      <c r="HW7" s="1406">
        <v>7940939.6298774192</v>
      </c>
      <c r="HX7" s="1406">
        <v>7300588</v>
      </c>
      <c r="HY7" s="1406">
        <v>7382517</v>
      </c>
    </row>
    <row r="8" spans="1:233" ht="12.5">
      <c r="A8" s="1320">
        <v>1</v>
      </c>
      <c r="B8" s="1251" t="s">
        <v>323</v>
      </c>
      <c r="C8" s="1316">
        <f>C19</f>
        <v>-942377</v>
      </c>
      <c r="D8" s="1248">
        <f t="shared" ref="D8:I8" si="66">D19</f>
        <v>-972783</v>
      </c>
      <c r="E8" s="1248">
        <f t="shared" si="66"/>
        <v>2615435</v>
      </c>
      <c r="F8" s="1248">
        <f t="shared" si="66"/>
        <v>3426300</v>
      </c>
      <c r="G8" s="1248">
        <f t="shared" si="66"/>
        <v>-4174</v>
      </c>
      <c r="H8" s="1248">
        <f t="shared" si="66"/>
        <v>226938</v>
      </c>
      <c r="I8" s="1317">
        <f t="shared" si="66"/>
        <v>30406</v>
      </c>
      <c r="J8" s="1318">
        <f t="shared" si="27"/>
        <v>4015152</v>
      </c>
      <c r="K8" s="1248">
        <f t="shared" si="27"/>
        <v>348992</v>
      </c>
      <c r="L8" s="1317">
        <f t="shared" si="27"/>
        <v>3072775</v>
      </c>
      <c r="M8" s="1316">
        <f t="shared" si="27"/>
        <v>-911645</v>
      </c>
      <c r="N8" s="1248">
        <f t="shared" ref="N8:S8" si="67">N19</f>
        <v>-962668</v>
      </c>
      <c r="O8" s="1248">
        <f t="shared" si="67"/>
        <v>2815362</v>
      </c>
      <c r="P8" s="1248">
        <f t="shared" si="67"/>
        <v>3545725</v>
      </c>
      <c r="Q8" s="1248">
        <f t="shared" si="67"/>
        <v>-6744</v>
      </c>
      <c r="R8" s="1248">
        <f t="shared" si="67"/>
        <v>229495</v>
      </c>
      <c r="S8" s="1317">
        <f t="shared" si="67"/>
        <v>51023</v>
      </c>
      <c r="T8" s="1318">
        <f t="shared" si="29"/>
        <v>3988551</v>
      </c>
      <c r="U8" s="1248">
        <f t="shared" si="29"/>
        <v>355898</v>
      </c>
      <c r="V8" s="1317">
        <f t="shared" si="29"/>
        <v>3076906</v>
      </c>
      <c r="W8" s="1316">
        <f t="shared" si="29"/>
        <v>-981451</v>
      </c>
      <c r="X8" s="1248">
        <f t="shared" ref="X8:AC8" si="68">X19</f>
        <v>-1025262</v>
      </c>
      <c r="Y8" s="1248">
        <f t="shared" si="68"/>
        <v>2616210</v>
      </c>
      <c r="Z8" s="1248">
        <f t="shared" si="68"/>
        <v>3620585</v>
      </c>
      <c r="AA8" s="1248">
        <f t="shared" si="68"/>
        <v>-16836</v>
      </c>
      <c r="AB8" s="1248">
        <f t="shared" si="68"/>
        <v>229350</v>
      </c>
      <c r="AC8" s="1317">
        <f t="shared" si="68"/>
        <v>43811</v>
      </c>
      <c r="AD8" s="1318">
        <f t="shared" si="31"/>
        <v>4103257</v>
      </c>
      <c r="AE8" s="1248">
        <f t="shared" si="31"/>
        <v>384109</v>
      </c>
      <c r="AF8" s="1317">
        <f t="shared" si="31"/>
        <v>3121806</v>
      </c>
      <c r="AG8" s="1316">
        <f t="shared" si="31"/>
        <v>-686249</v>
      </c>
      <c r="AH8" s="1248">
        <f t="shared" ref="AH8:AM8" si="69">AH19</f>
        <v>-651568</v>
      </c>
      <c r="AI8" s="1248">
        <f t="shared" si="69"/>
        <v>2324991</v>
      </c>
      <c r="AJ8" s="1248">
        <f t="shared" si="69"/>
        <v>3181196</v>
      </c>
      <c r="AK8" s="1248">
        <f t="shared" si="69"/>
        <v>2205</v>
      </c>
      <c r="AL8" s="1248">
        <f t="shared" si="69"/>
        <v>225060</v>
      </c>
      <c r="AM8" s="1317">
        <f t="shared" si="69"/>
        <v>-34681</v>
      </c>
      <c r="AN8" s="1318">
        <f t="shared" si="33"/>
        <v>3874343</v>
      </c>
      <c r="AO8" s="1248">
        <f t="shared" si="33"/>
        <v>402243</v>
      </c>
      <c r="AP8" s="1317">
        <f t="shared" si="33"/>
        <v>3188094</v>
      </c>
      <c r="AQ8" s="1316">
        <f t="shared" si="33"/>
        <v>-321390</v>
      </c>
      <c r="AR8" s="1248">
        <f t="shared" ref="AR8:AW8" si="70">AR19</f>
        <v>-360672</v>
      </c>
      <c r="AS8" s="1248">
        <f t="shared" si="70"/>
        <v>2605048</v>
      </c>
      <c r="AT8" s="1248">
        <f t="shared" si="70"/>
        <v>3182196</v>
      </c>
      <c r="AU8" s="1248">
        <f t="shared" si="70"/>
        <v>-19086</v>
      </c>
      <c r="AV8" s="1248">
        <f t="shared" si="70"/>
        <v>231507</v>
      </c>
      <c r="AW8" s="1317">
        <f t="shared" si="70"/>
        <v>39282</v>
      </c>
      <c r="AX8" s="1318">
        <f t="shared" si="35"/>
        <v>3785464</v>
      </c>
      <c r="AY8" s="1248">
        <f t="shared" si="35"/>
        <v>392549</v>
      </c>
      <c r="AZ8" s="1317">
        <f t="shared" si="35"/>
        <v>3464074</v>
      </c>
      <c r="BA8" s="1316">
        <f t="shared" si="35"/>
        <v>-477796</v>
      </c>
      <c r="BB8" s="1248">
        <f t="shared" ref="BB8:BG8" si="71">BB19</f>
        <v>-509912</v>
      </c>
      <c r="BC8" s="1248">
        <f t="shared" si="71"/>
        <v>2574177</v>
      </c>
      <c r="BD8" s="1248">
        <f t="shared" si="71"/>
        <v>3194571</v>
      </c>
      <c r="BE8" s="1248">
        <f t="shared" si="71"/>
        <v>-12921</v>
      </c>
      <c r="BF8" s="1248">
        <f t="shared" si="71"/>
        <v>228041</v>
      </c>
      <c r="BG8" s="1317">
        <f t="shared" si="71"/>
        <v>32116</v>
      </c>
      <c r="BH8" s="1318">
        <f t="shared" si="37"/>
        <v>3723516</v>
      </c>
      <c r="BI8" s="1248">
        <f t="shared" si="37"/>
        <v>400120</v>
      </c>
      <c r="BJ8" s="1317">
        <f t="shared" si="37"/>
        <v>3245720</v>
      </c>
      <c r="BK8" s="1316">
        <f t="shared" si="37"/>
        <v>-501460</v>
      </c>
      <c r="BL8" s="1248">
        <f t="shared" ref="BL8:BQ8" si="72">BL19</f>
        <v>-554017</v>
      </c>
      <c r="BM8" s="1248">
        <f t="shared" si="72"/>
        <v>2469166</v>
      </c>
      <c r="BN8" s="1248">
        <f t="shared" si="72"/>
        <v>3142900</v>
      </c>
      <c r="BO8" s="1248">
        <f t="shared" si="72"/>
        <v>-10263</v>
      </c>
      <c r="BP8" s="1248">
        <f t="shared" si="72"/>
        <v>222591</v>
      </c>
      <c r="BQ8" s="1317">
        <f t="shared" si="72"/>
        <v>52557</v>
      </c>
      <c r="BR8" s="1318">
        <f t="shared" si="39"/>
        <v>3670813</v>
      </c>
      <c r="BS8" s="1248">
        <f t="shared" si="39"/>
        <v>406607</v>
      </c>
      <c r="BT8" s="1317">
        <f t="shared" si="39"/>
        <v>3169353</v>
      </c>
      <c r="BU8" s="1316">
        <f t="shared" si="39"/>
        <v>-540722</v>
      </c>
      <c r="BV8" s="1248">
        <f t="shared" ref="BV8:CA8" si="73">BV19</f>
        <v>-587173</v>
      </c>
      <c r="BW8" s="1248">
        <f t="shared" si="73"/>
        <v>2582820</v>
      </c>
      <c r="BX8" s="1248">
        <f t="shared" si="73"/>
        <v>3294924</v>
      </c>
      <c r="BY8" s="1248">
        <f t="shared" si="73"/>
        <v>-10645</v>
      </c>
      <c r="BZ8" s="1248">
        <f t="shared" si="73"/>
        <v>226085</v>
      </c>
      <c r="CA8" s="1317">
        <f t="shared" si="73"/>
        <v>46451</v>
      </c>
      <c r="CB8" s="1318">
        <f t="shared" si="41"/>
        <v>3850672</v>
      </c>
      <c r="CC8" s="1248">
        <f t="shared" si="41"/>
        <v>429681</v>
      </c>
      <c r="CD8" s="1317">
        <f t="shared" si="41"/>
        <v>3309950</v>
      </c>
      <c r="CE8" s="1316">
        <f t="shared" si="41"/>
        <v>-470170</v>
      </c>
      <c r="CF8" s="1248">
        <f t="shared" ref="CF8:CK8" si="74">CF19</f>
        <v>-434174</v>
      </c>
      <c r="CG8" s="1248">
        <f t="shared" si="74"/>
        <v>2664985</v>
      </c>
      <c r="CH8" s="1248">
        <f t="shared" si="74"/>
        <v>3248393</v>
      </c>
      <c r="CI8" s="1248">
        <f t="shared" si="74"/>
        <v>-11590</v>
      </c>
      <c r="CJ8" s="1248">
        <f t="shared" si="74"/>
        <v>229062</v>
      </c>
      <c r="CK8" s="1317">
        <f t="shared" si="74"/>
        <v>-35996</v>
      </c>
      <c r="CL8" s="1318">
        <f t="shared" si="43"/>
        <v>3779135</v>
      </c>
      <c r="CM8" s="1248">
        <f t="shared" si="43"/>
        <v>437135</v>
      </c>
      <c r="CN8" s="1317">
        <f t="shared" si="43"/>
        <v>3308965</v>
      </c>
      <c r="CO8" s="1316">
        <f t="shared" si="43"/>
        <v>-451860</v>
      </c>
      <c r="CP8" s="1248">
        <f t="shared" ref="CP8:CU8" si="75">CP19</f>
        <v>-491987</v>
      </c>
      <c r="CQ8" s="1248">
        <f t="shared" si="75"/>
        <v>2743280</v>
      </c>
      <c r="CR8" s="1248">
        <f t="shared" si="75"/>
        <v>3317260</v>
      </c>
      <c r="CS8" s="1248">
        <f t="shared" si="75"/>
        <v>-12365</v>
      </c>
      <c r="CT8" s="1248">
        <f t="shared" si="75"/>
        <v>229384</v>
      </c>
      <c r="CU8" s="1317">
        <f t="shared" si="75"/>
        <v>40127</v>
      </c>
      <c r="CV8" s="1318">
        <f t="shared" si="45"/>
        <v>3990293</v>
      </c>
      <c r="CW8" s="1248">
        <f t="shared" si="45"/>
        <v>451050</v>
      </c>
      <c r="CX8" s="1317">
        <f t="shared" si="45"/>
        <v>3538433</v>
      </c>
      <c r="CY8" s="1316">
        <f t="shared" si="45"/>
        <v>-365360</v>
      </c>
      <c r="CZ8" s="1248">
        <f t="shared" ref="CZ8:DE8" si="76">CZ19</f>
        <v>-362417</v>
      </c>
      <c r="DA8" s="1248">
        <f t="shared" si="76"/>
        <v>2659991</v>
      </c>
      <c r="DB8" s="1248">
        <f t="shared" si="76"/>
        <v>3173144</v>
      </c>
      <c r="DC8" s="1248">
        <f t="shared" si="76"/>
        <v>-11238</v>
      </c>
      <c r="DD8" s="1248">
        <f t="shared" si="76"/>
        <v>234977</v>
      </c>
      <c r="DE8" s="1317">
        <f t="shared" si="76"/>
        <v>-2943</v>
      </c>
      <c r="DF8" s="1318">
        <f t="shared" si="47"/>
        <v>3923748</v>
      </c>
      <c r="DG8" s="1248">
        <f t="shared" si="47"/>
        <v>456960</v>
      </c>
      <c r="DH8" s="1317">
        <f t="shared" si="47"/>
        <v>3558388</v>
      </c>
      <c r="DI8" s="1316">
        <f t="shared" si="47"/>
        <v>-209293</v>
      </c>
      <c r="DJ8" s="1248">
        <f t="shared" ref="DJ8:DO8" si="77">DJ19</f>
        <v>-77357</v>
      </c>
      <c r="DK8" s="1248">
        <f t="shared" si="77"/>
        <v>2863333</v>
      </c>
      <c r="DL8" s="1248">
        <f t="shared" si="77"/>
        <v>3220044</v>
      </c>
      <c r="DM8" s="1248">
        <f t="shared" si="77"/>
        <v>-9135</v>
      </c>
      <c r="DN8" s="1248">
        <f t="shared" si="77"/>
        <v>201363</v>
      </c>
      <c r="DO8" s="1317">
        <f t="shared" si="77"/>
        <v>-131936</v>
      </c>
      <c r="DP8" s="1318">
        <f t="shared" si="49"/>
        <v>3879565</v>
      </c>
      <c r="DQ8" s="1248">
        <f t="shared" si="49"/>
        <v>437031</v>
      </c>
      <c r="DR8" s="1317">
        <f t="shared" si="49"/>
        <v>3670272</v>
      </c>
      <c r="DS8" s="1316">
        <f t="shared" si="49"/>
        <v>-277638</v>
      </c>
      <c r="DT8" s="1248">
        <f t="shared" ref="DT8:DY8" si="78">DT19</f>
        <v>-77422</v>
      </c>
      <c r="DU8" s="1248">
        <f t="shared" si="78"/>
        <v>2877339</v>
      </c>
      <c r="DV8" s="1248">
        <f t="shared" si="78"/>
        <v>3338046</v>
      </c>
      <c r="DW8" s="1248">
        <f t="shared" si="78"/>
        <v>-9381</v>
      </c>
      <c r="DX8" s="1248">
        <f t="shared" si="78"/>
        <v>206238</v>
      </c>
      <c r="DY8" s="1317">
        <f t="shared" si="78"/>
        <v>-200216</v>
      </c>
      <c r="DZ8" s="1318">
        <f t="shared" si="51"/>
        <v>3919725</v>
      </c>
      <c r="EA8" s="1248">
        <f t="shared" si="51"/>
        <v>438078</v>
      </c>
      <c r="EB8" s="1317">
        <f t="shared" si="51"/>
        <v>3642087</v>
      </c>
      <c r="EC8" s="1316">
        <f t="shared" si="51"/>
        <v>-237027</v>
      </c>
      <c r="ED8" s="1248">
        <f t="shared" ref="ED8:EI8" si="79">ED19</f>
        <v>49856</v>
      </c>
      <c r="EE8" s="1248">
        <f t="shared" si="79"/>
        <v>2861508</v>
      </c>
      <c r="EF8" s="1248">
        <f t="shared" si="79"/>
        <v>3294206</v>
      </c>
      <c r="EG8" s="1248">
        <f t="shared" si="79"/>
        <v>-8939</v>
      </c>
      <c r="EH8" s="1248">
        <f t="shared" si="79"/>
        <v>208519</v>
      </c>
      <c r="EI8" s="1317">
        <f t="shared" si="79"/>
        <v>-286883</v>
      </c>
      <c r="EJ8" s="1318">
        <f t="shared" si="53"/>
        <v>3932875</v>
      </c>
      <c r="EK8" s="1248">
        <f t="shared" si="53"/>
        <v>455008</v>
      </c>
      <c r="EL8" s="1317">
        <f t="shared" si="53"/>
        <v>3695848</v>
      </c>
      <c r="EM8" s="1318">
        <f t="shared" si="53"/>
        <v>-252621</v>
      </c>
      <c r="EN8" s="1248">
        <f>EN19</f>
        <v>-188104</v>
      </c>
      <c r="EO8" s="1248">
        <f t="shared" ref="EO8:ET8" si="80">EO19</f>
        <v>2530420</v>
      </c>
      <c r="EP8" s="1248">
        <f t="shared" si="80"/>
        <v>3029672</v>
      </c>
      <c r="EQ8" s="1319">
        <f t="shared" si="80"/>
        <v>-6630</v>
      </c>
      <c r="ER8" s="1319">
        <f t="shared" si="80"/>
        <v>203930</v>
      </c>
      <c r="ES8" s="850">
        <f t="shared" si="80"/>
        <v>-64517</v>
      </c>
      <c r="ET8" s="1318">
        <f t="shared" si="80"/>
        <v>3776133</v>
      </c>
      <c r="EU8" s="1248">
        <f t="shared" si="54"/>
        <v>450039</v>
      </c>
      <c r="EV8" s="1317">
        <f t="shared" si="54"/>
        <v>3523512</v>
      </c>
      <c r="EW8" s="1414">
        <f>EW19</f>
        <v>-598408</v>
      </c>
      <c r="EX8" s="1310">
        <f t="shared" si="55"/>
        <v>-526244</v>
      </c>
      <c r="EY8" s="1310">
        <f t="shared" si="55"/>
        <v>2907700</v>
      </c>
      <c r="EZ8" s="1310">
        <f t="shared" si="55"/>
        <v>3433944</v>
      </c>
      <c r="FA8" s="1319">
        <f t="shared" si="55"/>
        <v>-3829</v>
      </c>
      <c r="FB8" s="1319">
        <f t="shared" si="55"/>
        <v>209848</v>
      </c>
      <c r="FC8" s="1415">
        <f t="shared" ref="FC8:FF8" si="81">FC19</f>
        <v>-72164</v>
      </c>
      <c r="FD8" s="1414">
        <f t="shared" si="81"/>
        <v>3969635</v>
      </c>
      <c r="FE8" s="1310">
        <f t="shared" si="81"/>
        <v>476372</v>
      </c>
      <c r="FF8" s="1415">
        <f t="shared" si="81"/>
        <v>3696176</v>
      </c>
      <c r="FG8" s="1414">
        <f>FG19</f>
        <v>-879392</v>
      </c>
      <c r="FH8" s="1310">
        <f t="shared" si="57"/>
        <v>-807228</v>
      </c>
      <c r="FI8" s="1310">
        <f t="shared" si="57"/>
        <v>3055091</v>
      </c>
      <c r="FJ8" s="1310">
        <f t="shared" si="57"/>
        <v>3862319</v>
      </c>
      <c r="FK8" s="1319">
        <f t="shared" si="57"/>
        <v>-6842</v>
      </c>
      <c r="FL8" s="1319">
        <f t="shared" si="57"/>
        <v>220923</v>
      </c>
      <c r="FM8" s="1415">
        <f t="shared" si="57"/>
        <v>-72164</v>
      </c>
      <c r="FN8" s="1414">
        <f t="shared" ref="FN8:FP8" si="82">FN19</f>
        <v>4162837</v>
      </c>
      <c r="FO8" s="1310">
        <f t="shared" si="82"/>
        <v>483896</v>
      </c>
      <c r="FP8" s="1415">
        <f t="shared" si="82"/>
        <v>3765146</v>
      </c>
      <c r="FQ8" s="1310"/>
      <c r="FR8" s="1414">
        <f>FR19</f>
        <v>-270617</v>
      </c>
      <c r="FS8" s="1310">
        <f t="shared" ref="FS8:GA8" si="83">FS19</f>
        <v>-198453</v>
      </c>
      <c r="FT8" s="1310">
        <f t="shared" si="83"/>
        <v>3671855</v>
      </c>
      <c r="FU8" s="1310">
        <f t="shared" si="83"/>
        <v>3870308</v>
      </c>
      <c r="FV8" s="1319">
        <f t="shared" si="83"/>
        <v>-8091</v>
      </c>
      <c r="FW8" s="1319">
        <f t="shared" si="83"/>
        <v>224913</v>
      </c>
      <c r="FX8" s="1415">
        <f t="shared" si="83"/>
        <v>-72164</v>
      </c>
      <c r="FY8" s="1310">
        <f t="shared" si="83"/>
        <v>4237720</v>
      </c>
      <c r="FZ8" s="1310">
        <f t="shared" si="83"/>
        <v>492474</v>
      </c>
      <c r="GA8" s="1311">
        <f t="shared" si="83"/>
        <v>3820699</v>
      </c>
      <c r="GB8" s="1309">
        <f>GB19</f>
        <v>-99243</v>
      </c>
      <c r="GC8" s="1310">
        <f t="shared" ref="GC8:GK8" si="84">GC19</f>
        <v>-27079</v>
      </c>
      <c r="GD8" s="1310">
        <f t="shared" si="84"/>
        <v>3924803</v>
      </c>
      <c r="GE8" s="1310">
        <f t="shared" si="84"/>
        <v>3951882</v>
      </c>
      <c r="GF8" s="1319">
        <f t="shared" si="84"/>
        <v>-8461</v>
      </c>
      <c r="GG8" s="1319">
        <f t="shared" si="84"/>
        <v>113254</v>
      </c>
      <c r="GH8" s="1310">
        <f t="shared" si="84"/>
        <v>-72164</v>
      </c>
      <c r="GI8" s="1414">
        <f t="shared" si="84"/>
        <v>4264249</v>
      </c>
      <c r="GJ8" s="1310">
        <f t="shared" si="84"/>
        <v>505394</v>
      </c>
      <c r="GK8" s="1415">
        <f t="shared" si="84"/>
        <v>3820699</v>
      </c>
      <c r="GL8" s="1309">
        <f>GL19</f>
        <v>94291</v>
      </c>
      <c r="GM8" s="1310">
        <f t="shared" ref="GM8:GU8" si="85">GM19</f>
        <v>166455</v>
      </c>
      <c r="GN8" s="1310">
        <f t="shared" si="85"/>
        <v>4219371</v>
      </c>
      <c r="GO8" s="1310">
        <f t="shared" si="85"/>
        <v>4052916</v>
      </c>
      <c r="GP8" s="1319">
        <f t="shared" si="85"/>
        <v>-9113</v>
      </c>
      <c r="GQ8" s="1319">
        <f t="shared" si="85"/>
        <v>113869</v>
      </c>
      <c r="GR8" s="1310">
        <f t="shared" si="85"/>
        <v>-72164</v>
      </c>
      <c r="GS8" s="1414">
        <f t="shared" si="85"/>
        <v>4404373</v>
      </c>
      <c r="GT8" s="1310">
        <f t="shared" si="85"/>
        <v>530814</v>
      </c>
      <c r="GU8" s="1415">
        <f t="shared" si="85"/>
        <v>4404373</v>
      </c>
      <c r="GV8" s="1309">
        <f>GV19</f>
        <v>117522</v>
      </c>
      <c r="GW8" s="1310">
        <f t="shared" ref="GW8:HE8" si="86">GW19</f>
        <v>189686</v>
      </c>
      <c r="GX8" s="1310">
        <f t="shared" si="86"/>
        <v>4315691</v>
      </c>
      <c r="GY8" s="1310">
        <f t="shared" si="86"/>
        <v>4126005</v>
      </c>
      <c r="GZ8" s="1319">
        <f t="shared" si="86"/>
        <v>-9322</v>
      </c>
      <c r="HA8" s="1319">
        <f t="shared" si="86"/>
        <v>163656</v>
      </c>
      <c r="HB8" s="1310">
        <f t="shared" si="86"/>
        <v>-72164</v>
      </c>
      <c r="HC8" s="1414">
        <f t="shared" si="86"/>
        <v>4179364</v>
      </c>
      <c r="HD8" s="1310">
        <f t="shared" si="86"/>
        <v>-169063</v>
      </c>
      <c r="HE8" s="1415">
        <f t="shared" si="86"/>
        <v>4483855</v>
      </c>
      <c r="HF8" s="1309">
        <f>HF19</f>
        <v>140898</v>
      </c>
      <c r="HG8" s="1310">
        <f t="shared" ref="HG8:HO8" si="87">HG19</f>
        <v>213062</v>
      </c>
      <c r="HH8" s="1310">
        <f t="shared" si="87"/>
        <v>4438148</v>
      </c>
      <c r="HI8" s="1310">
        <f t="shared" si="87"/>
        <v>4225086</v>
      </c>
      <c r="HJ8" s="1319">
        <f t="shared" si="87"/>
        <v>-9586</v>
      </c>
      <c r="HK8" s="1319">
        <f t="shared" si="87"/>
        <v>163656</v>
      </c>
      <c r="HL8" s="1310">
        <f t="shared" si="87"/>
        <v>-72164</v>
      </c>
      <c r="HM8" s="1414">
        <f t="shared" si="87"/>
        <v>4179364</v>
      </c>
      <c r="HN8" s="1310">
        <f t="shared" si="87"/>
        <v>-169063</v>
      </c>
      <c r="HO8" s="1415">
        <f t="shared" si="87"/>
        <v>4562037</v>
      </c>
      <c r="HP8" s="1314"/>
      <c r="HQ8" s="1310">
        <f>市町名目!J7</f>
        <v>3695848</v>
      </c>
      <c r="HR8" s="1310">
        <f>市町名目!K7</f>
        <v>3523512</v>
      </c>
      <c r="HS8" s="1310">
        <f>市町名目!L7</f>
        <v>3696176</v>
      </c>
      <c r="HT8" s="1310">
        <f>市町名目!M7</f>
        <v>3765146</v>
      </c>
      <c r="HU8" s="1310">
        <f t="shared" ref="HU8" si="88">HU19</f>
        <v>3908745</v>
      </c>
      <c r="HV8" s="1310">
        <f t="shared" ref="HV8" si="89">HV19</f>
        <v>3817240</v>
      </c>
      <c r="HW8" s="1406">
        <v>4321634</v>
      </c>
      <c r="HX8" s="1406">
        <v>4483855</v>
      </c>
      <c r="HY8" s="1406">
        <v>4562037</v>
      </c>
    </row>
    <row r="9" spans="1:233" ht="12.5">
      <c r="A9" s="1320">
        <v>2</v>
      </c>
      <c r="B9" s="1251" t="s">
        <v>324</v>
      </c>
      <c r="C9" s="1316">
        <f>C23</f>
        <v>-509187</v>
      </c>
      <c r="D9" s="1248">
        <f t="shared" ref="D9:I9" si="90">D23</f>
        <v>-527580</v>
      </c>
      <c r="E9" s="1248">
        <f t="shared" si="90"/>
        <v>1582110</v>
      </c>
      <c r="F9" s="1248">
        <f t="shared" si="90"/>
        <v>2020670</v>
      </c>
      <c r="G9" s="1248">
        <f t="shared" si="90"/>
        <v>-2524</v>
      </c>
      <c r="H9" s="1248">
        <f t="shared" si="90"/>
        <v>152665</v>
      </c>
      <c r="I9" s="1317">
        <f t="shared" si="90"/>
        <v>18393</v>
      </c>
      <c r="J9" s="1318">
        <f>J23</f>
        <v>2367948</v>
      </c>
      <c r="K9" s="1248">
        <f>K23</f>
        <v>234773</v>
      </c>
      <c r="L9" s="1317">
        <f>L23</f>
        <v>1858761</v>
      </c>
      <c r="M9" s="1316">
        <f>M23</f>
        <v>-533464</v>
      </c>
      <c r="N9" s="1248">
        <f t="shared" ref="N9:S9" si="91">N23</f>
        <v>-563906</v>
      </c>
      <c r="O9" s="1248">
        <f t="shared" si="91"/>
        <v>1679711</v>
      </c>
      <c r="P9" s="1248">
        <f t="shared" si="91"/>
        <v>2106177</v>
      </c>
      <c r="Q9" s="1248">
        <f t="shared" si="91"/>
        <v>-4025</v>
      </c>
      <c r="R9" s="1248">
        <f t="shared" si="91"/>
        <v>156422</v>
      </c>
      <c r="S9" s="1317">
        <f t="shared" si="91"/>
        <v>30442</v>
      </c>
      <c r="T9" s="1318">
        <f>T23</f>
        <v>2369219</v>
      </c>
      <c r="U9" s="1248">
        <f>U23</f>
        <v>242577</v>
      </c>
      <c r="V9" s="1317">
        <f>V23</f>
        <v>1835755</v>
      </c>
      <c r="W9" s="1316">
        <f>W23</f>
        <v>-490673</v>
      </c>
      <c r="X9" s="1248">
        <f t="shared" ref="X9:AC9" si="92">X23</f>
        <v>-516639</v>
      </c>
      <c r="Y9" s="1248">
        <f t="shared" si="92"/>
        <v>1550606</v>
      </c>
      <c r="Z9" s="1248">
        <f t="shared" si="92"/>
        <v>2065574</v>
      </c>
      <c r="AA9" s="1248">
        <f t="shared" si="92"/>
        <v>-9979</v>
      </c>
      <c r="AB9" s="1248">
        <f t="shared" si="92"/>
        <v>150808</v>
      </c>
      <c r="AC9" s="1317">
        <f t="shared" si="92"/>
        <v>25966</v>
      </c>
      <c r="AD9" s="1318">
        <f>AD23</f>
        <v>2340942</v>
      </c>
      <c r="AE9" s="1248">
        <f>AE23</f>
        <v>252570</v>
      </c>
      <c r="AF9" s="1317">
        <f>AF23</f>
        <v>1850269</v>
      </c>
      <c r="AG9" s="1316">
        <f>AG23</f>
        <v>-324449</v>
      </c>
      <c r="AH9" s="1248">
        <f t="shared" ref="AH9:AM9" si="93">AH23</f>
        <v>-303814</v>
      </c>
      <c r="AI9" s="1248">
        <f t="shared" si="93"/>
        <v>1383377</v>
      </c>
      <c r="AJ9" s="1248">
        <f t="shared" si="93"/>
        <v>1823956</v>
      </c>
      <c r="AK9" s="1248">
        <f t="shared" si="93"/>
        <v>1312</v>
      </c>
      <c r="AL9" s="1248">
        <f t="shared" si="93"/>
        <v>142390</v>
      </c>
      <c r="AM9" s="1317">
        <f t="shared" si="93"/>
        <v>-20635</v>
      </c>
      <c r="AN9" s="1318">
        <f>AN23</f>
        <v>2221375</v>
      </c>
      <c r="AO9" s="1248">
        <f>AO23</f>
        <v>254490</v>
      </c>
      <c r="AP9" s="1317">
        <f>AP23</f>
        <v>1896926</v>
      </c>
      <c r="AQ9" s="1316">
        <f>AQ23</f>
        <v>-246290</v>
      </c>
      <c r="AR9" s="1248">
        <f t="shared" ref="AR9:AW9" si="94">AR23</f>
        <v>-268763</v>
      </c>
      <c r="AS9" s="1248">
        <f t="shared" si="94"/>
        <v>1490353</v>
      </c>
      <c r="AT9" s="1248">
        <f t="shared" si="94"/>
        <v>1873016</v>
      </c>
      <c r="AU9" s="1248">
        <f t="shared" si="94"/>
        <v>-10920</v>
      </c>
      <c r="AV9" s="1248">
        <f t="shared" si="94"/>
        <v>151196</v>
      </c>
      <c r="AW9" s="1317">
        <f t="shared" si="94"/>
        <v>22473</v>
      </c>
      <c r="AX9" s="1318">
        <f>AX23</f>
        <v>2228094</v>
      </c>
      <c r="AY9" s="1248">
        <f>AY23</f>
        <v>256372</v>
      </c>
      <c r="AZ9" s="1317">
        <f>AZ23</f>
        <v>1981804</v>
      </c>
      <c r="BA9" s="1316">
        <f>BA23</f>
        <v>-348053</v>
      </c>
      <c r="BB9" s="1248">
        <f t="shared" ref="BB9:BG9" si="95">BB23</f>
        <v>-367013</v>
      </c>
      <c r="BC9" s="1248">
        <f t="shared" si="95"/>
        <v>1519764</v>
      </c>
      <c r="BD9" s="1248">
        <f t="shared" si="95"/>
        <v>1942635</v>
      </c>
      <c r="BE9" s="1248">
        <f t="shared" si="95"/>
        <v>-7629</v>
      </c>
      <c r="BF9" s="1248">
        <f t="shared" si="95"/>
        <v>152246</v>
      </c>
      <c r="BG9" s="1317">
        <f t="shared" si="95"/>
        <v>18960</v>
      </c>
      <c r="BH9" s="1318">
        <f>BH23</f>
        <v>2264288</v>
      </c>
      <c r="BI9" s="1248">
        <f>BI23</f>
        <v>267129</v>
      </c>
      <c r="BJ9" s="1317">
        <f>BJ23</f>
        <v>1916235</v>
      </c>
      <c r="BK9" s="1316">
        <f>BK23</f>
        <v>-359270</v>
      </c>
      <c r="BL9" s="1248">
        <f t="shared" ref="BL9:BQ9" si="96">BL23</f>
        <v>-391638</v>
      </c>
      <c r="BM9" s="1248">
        <f t="shared" si="96"/>
        <v>1520631</v>
      </c>
      <c r="BN9" s="1248">
        <f t="shared" si="96"/>
        <v>1978741</v>
      </c>
      <c r="BO9" s="1248">
        <f t="shared" si="96"/>
        <v>-6320</v>
      </c>
      <c r="BP9" s="1248">
        <f t="shared" si="96"/>
        <v>149408</v>
      </c>
      <c r="BQ9" s="1317">
        <f t="shared" si="96"/>
        <v>32368</v>
      </c>
      <c r="BR9" s="1318">
        <f>BR23</f>
        <v>2311109</v>
      </c>
      <c r="BS9" s="1248">
        <f>BS23</f>
        <v>272920</v>
      </c>
      <c r="BT9" s="1317">
        <f>BT23</f>
        <v>1951839</v>
      </c>
      <c r="BU9" s="1316">
        <f>BU23</f>
        <v>-435168</v>
      </c>
      <c r="BV9" s="1248">
        <f t="shared" ref="BV9:CA9" si="97">BV23</f>
        <v>-462802</v>
      </c>
      <c r="BW9" s="1248">
        <f t="shared" si="97"/>
        <v>1536478</v>
      </c>
      <c r="BX9" s="1248">
        <f t="shared" si="97"/>
        <v>2057218</v>
      </c>
      <c r="BY9" s="1248">
        <f t="shared" si="97"/>
        <v>-6333</v>
      </c>
      <c r="BZ9" s="1248">
        <f t="shared" si="97"/>
        <v>148001</v>
      </c>
      <c r="CA9" s="1317">
        <f t="shared" si="97"/>
        <v>27634</v>
      </c>
      <c r="CB9" s="1318">
        <f>CB23</f>
        <v>2404204</v>
      </c>
      <c r="CC9" s="1248">
        <f>CC23</f>
        <v>281281</v>
      </c>
      <c r="CD9" s="1317">
        <f>CD23</f>
        <v>1969036</v>
      </c>
      <c r="CE9" s="1316">
        <f>CE23</f>
        <v>-479503</v>
      </c>
      <c r="CF9" s="1248">
        <f t="shared" ref="CF9:CK9" si="98">CF23</f>
        <v>-458290</v>
      </c>
      <c r="CG9" s="1248">
        <f t="shared" si="98"/>
        <v>1570630</v>
      </c>
      <c r="CH9" s="1248">
        <f t="shared" si="98"/>
        <v>2088446</v>
      </c>
      <c r="CI9" s="1248">
        <f t="shared" si="98"/>
        <v>-6832</v>
      </c>
      <c r="CJ9" s="1248">
        <f t="shared" si="98"/>
        <v>150612</v>
      </c>
      <c r="CK9" s="1317">
        <f t="shared" si="98"/>
        <v>-21213</v>
      </c>
      <c r="CL9" s="1318">
        <f>CL23</f>
        <v>2429668</v>
      </c>
      <c r="CM9" s="1248">
        <f>CM23</f>
        <v>287424</v>
      </c>
      <c r="CN9" s="1317">
        <f>CN23</f>
        <v>1950165</v>
      </c>
      <c r="CO9" s="1316">
        <f>CO23</f>
        <v>-418143</v>
      </c>
      <c r="CP9" s="1248">
        <f t="shared" ref="CP9:CU9" si="99">CP23</f>
        <v>-441430</v>
      </c>
      <c r="CQ9" s="1248">
        <f t="shared" si="99"/>
        <v>1592124</v>
      </c>
      <c r="CR9" s="1248">
        <f t="shared" si="99"/>
        <v>2054847</v>
      </c>
      <c r="CS9" s="1248">
        <f t="shared" si="99"/>
        <v>-7176</v>
      </c>
      <c r="CT9" s="1248">
        <f t="shared" si="99"/>
        <v>151832</v>
      </c>
      <c r="CU9" s="1317">
        <f t="shared" si="99"/>
        <v>23287</v>
      </c>
      <c r="CV9" s="1318">
        <f>CV23</f>
        <v>2471752</v>
      </c>
      <c r="CW9" s="1248">
        <f>CW23</f>
        <v>298556</v>
      </c>
      <c r="CX9" s="1317">
        <f>CX23</f>
        <v>2053609</v>
      </c>
      <c r="CY9" s="1316">
        <f>CY23</f>
        <v>-280053</v>
      </c>
      <c r="CZ9" s="1248">
        <f t="shared" ref="CZ9:DE9" si="100">CZ23</f>
        <v>-278280</v>
      </c>
      <c r="DA9" s="1248">
        <f t="shared" si="100"/>
        <v>1602249</v>
      </c>
      <c r="DB9" s="1248">
        <f t="shared" si="100"/>
        <v>1959854</v>
      </c>
      <c r="DC9" s="1248">
        <f t="shared" si="100"/>
        <v>-6770</v>
      </c>
      <c r="DD9" s="1248">
        <f t="shared" si="100"/>
        <v>157098</v>
      </c>
      <c r="DE9" s="1317">
        <f t="shared" si="100"/>
        <v>-1773</v>
      </c>
      <c r="DF9" s="1318">
        <f>DF23</f>
        <v>2423454</v>
      </c>
      <c r="DG9" s="1248">
        <f>DG23</f>
        <v>305510</v>
      </c>
      <c r="DH9" s="1317">
        <f>DH23</f>
        <v>2143401</v>
      </c>
      <c r="DI9" s="1316">
        <f>DI23</f>
        <v>-333091</v>
      </c>
      <c r="DJ9" s="1248">
        <f t="shared" ref="DJ9:DO9" si="101">DJ23</f>
        <v>-257053</v>
      </c>
      <c r="DK9" s="1248">
        <f t="shared" si="101"/>
        <v>1650208</v>
      </c>
      <c r="DL9" s="1248">
        <f t="shared" si="101"/>
        <v>2032141</v>
      </c>
      <c r="DM9" s="1248">
        <f t="shared" si="101"/>
        <v>-5265</v>
      </c>
      <c r="DN9" s="1248">
        <f t="shared" si="101"/>
        <v>133810</v>
      </c>
      <c r="DO9" s="1317">
        <f t="shared" si="101"/>
        <v>-76038</v>
      </c>
      <c r="DP9" s="1318">
        <f>DP23</f>
        <v>2448359</v>
      </c>
      <c r="DQ9" s="1248">
        <f>DQ23</f>
        <v>290415</v>
      </c>
      <c r="DR9" s="1317">
        <f>DR23</f>
        <v>2115268</v>
      </c>
      <c r="DS9" s="1316">
        <f>DS23</f>
        <v>-339078</v>
      </c>
      <c r="DT9" s="1248">
        <f t="shared" ref="DT9:DY9" si="102">DT23</f>
        <v>-223207</v>
      </c>
      <c r="DU9" s="1248">
        <f t="shared" si="102"/>
        <v>1665201</v>
      </c>
      <c r="DV9" s="1248">
        <f t="shared" si="102"/>
        <v>2083751</v>
      </c>
      <c r="DW9" s="1248">
        <f t="shared" si="102"/>
        <v>-5429</v>
      </c>
      <c r="DX9" s="1248">
        <f t="shared" si="102"/>
        <v>135526</v>
      </c>
      <c r="DY9" s="1317">
        <f t="shared" si="102"/>
        <v>-115871</v>
      </c>
      <c r="DZ9" s="1318">
        <f>DZ23</f>
        <v>2446861</v>
      </c>
      <c r="EA9" s="1248">
        <f>EA23</f>
        <v>287876</v>
      </c>
      <c r="EB9" s="1317">
        <f>EB23</f>
        <v>2107783</v>
      </c>
      <c r="EC9" s="1316">
        <f>EC23</f>
        <v>-433903</v>
      </c>
      <c r="ED9" s="1248">
        <f t="shared" ref="ED9:EI9" si="103">ED23</f>
        <v>-273040</v>
      </c>
      <c r="EE9" s="1248">
        <f t="shared" si="103"/>
        <v>1604527</v>
      </c>
      <c r="EF9" s="1248">
        <f t="shared" si="103"/>
        <v>2099268</v>
      </c>
      <c r="EG9" s="1248">
        <f t="shared" si="103"/>
        <v>-5013</v>
      </c>
      <c r="EH9" s="1248">
        <f t="shared" si="103"/>
        <v>138163</v>
      </c>
      <c r="EI9" s="1317">
        <f t="shared" si="103"/>
        <v>-160863</v>
      </c>
      <c r="EJ9" s="1318">
        <f>EJ23</f>
        <v>2506267</v>
      </c>
      <c r="EK9" s="1248">
        <f>EK23</f>
        <v>301484</v>
      </c>
      <c r="EL9" s="1317">
        <f>EL23</f>
        <v>2072364</v>
      </c>
      <c r="EM9" s="1318">
        <f>EM23</f>
        <v>-305765</v>
      </c>
      <c r="EN9" s="1248">
        <f>EN23</f>
        <v>-268280</v>
      </c>
      <c r="EO9" s="1248">
        <f t="shared" ref="EO9:EV9" si="104">EO23</f>
        <v>1470218</v>
      </c>
      <c r="EP9" s="1248">
        <f t="shared" si="104"/>
        <v>1887851</v>
      </c>
      <c r="EQ9" s="1319">
        <f t="shared" si="104"/>
        <v>-3851</v>
      </c>
      <c r="ER9" s="1319">
        <f t="shared" si="104"/>
        <v>136634</v>
      </c>
      <c r="ES9" s="850">
        <f t="shared" si="104"/>
        <v>-37485</v>
      </c>
      <c r="ET9" s="1318">
        <f t="shared" si="104"/>
        <v>2352987</v>
      </c>
      <c r="EU9" s="1248">
        <f t="shared" si="104"/>
        <v>301527</v>
      </c>
      <c r="EV9" s="1317">
        <f t="shared" si="104"/>
        <v>2047222</v>
      </c>
      <c r="EW9" s="1414">
        <f>EW23</f>
        <v>-446492</v>
      </c>
      <c r="EX9" s="1310">
        <f t="shared" ref="EX9:FB9" si="105">EX23</f>
        <v>-403421</v>
      </c>
      <c r="EY9" s="1310">
        <f t="shared" si="105"/>
        <v>1735442</v>
      </c>
      <c r="EZ9" s="1310">
        <f t="shared" si="105"/>
        <v>2138863</v>
      </c>
      <c r="FA9" s="1319">
        <f t="shared" si="105"/>
        <v>-2285</v>
      </c>
      <c r="FB9" s="1319">
        <f t="shared" si="105"/>
        <v>138874</v>
      </c>
      <c r="FC9" s="1415">
        <f t="shared" ref="FC9:FF9" si="106">FC23</f>
        <v>-43071</v>
      </c>
      <c r="FD9" s="1414">
        <f t="shared" si="106"/>
        <v>2472523</v>
      </c>
      <c r="FE9" s="1310">
        <f t="shared" si="106"/>
        <v>315253</v>
      </c>
      <c r="FF9" s="1415">
        <f t="shared" si="106"/>
        <v>2206039</v>
      </c>
      <c r="FG9" s="1414">
        <f>FG23</f>
        <v>-706606</v>
      </c>
      <c r="FH9" s="1310">
        <f t="shared" ref="FH9:FM9" si="107">FH23</f>
        <v>-663535</v>
      </c>
      <c r="FI9" s="1310">
        <f t="shared" si="107"/>
        <v>1839854</v>
      </c>
      <c r="FJ9" s="1310">
        <f t="shared" si="107"/>
        <v>2503389</v>
      </c>
      <c r="FK9" s="1319">
        <f t="shared" si="107"/>
        <v>-4120</v>
      </c>
      <c r="FL9" s="1319">
        <f t="shared" si="107"/>
        <v>145688</v>
      </c>
      <c r="FM9" s="1415">
        <f t="shared" si="107"/>
        <v>-43071</v>
      </c>
      <c r="FN9" s="1414">
        <f t="shared" ref="FN9:FP9" si="108">FN23</f>
        <v>2698171</v>
      </c>
      <c r="FO9" s="1310">
        <f t="shared" si="108"/>
        <v>319106</v>
      </c>
      <c r="FP9" s="1415">
        <f t="shared" si="108"/>
        <v>2267467</v>
      </c>
      <c r="FQ9" s="1310"/>
      <c r="FR9" s="1414">
        <f>FR23</f>
        <v>-111371</v>
      </c>
      <c r="FS9" s="1310">
        <f t="shared" ref="FS9:GA9" si="109">FS23</f>
        <v>-68300</v>
      </c>
      <c r="FT9" s="1310">
        <f t="shared" si="109"/>
        <v>2276580</v>
      </c>
      <c r="FU9" s="1310">
        <f t="shared" si="109"/>
        <v>2344880</v>
      </c>
      <c r="FV9" s="1319">
        <f t="shared" si="109"/>
        <v>-5016</v>
      </c>
      <c r="FW9" s="1319">
        <f t="shared" si="109"/>
        <v>150012</v>
      </c>
      <c r="FX9" s="1415">
        <f t="shared" si="109"/>
        <v>-43071</v>
      </c>
      <c r="FY9" s="1310">
        <f t="shared" si="109"/>
        <v>2567482</v>
      </c>
      <c r="FZ9" s="1310">
        <f t="shared" si="109"/>
        <v>328471</v>
      </c>
      <c r="GA9" s="1311">
        <f t="shared" si="109"/>
        <v>2368864</v>
      </c>
      <c r="GB9" s="1309">
        <f>GB23</f>
        <v>-483005</v>
      </c>
      <c r="GC9" s="1310">
        <f t="shared" ref="GC9:GK9" si="110">GC23</f>
        <v>-439934</v>
      </c>
      <c r="GD9" s="1310">
        <f t="shared" si="110"/>
        <v>2433409</v>
      </c>
      <c r="GE9" s="1310">
        <f t="shared" si="110"/>
        <v>2873343</v>
      </c>
      <c r="GF9" s="1319">
        <f t="shared" si="110"/>
        <v>-5247</v>
      </c>
      <c r="GG9" s="1319">
        <f t="shared" si="110"/>
        <v>76107</v>
      </c>
      <c r="GH9" s="1310">
        <f t="shared" si="110"/>
        <v>-43071</v>
      </c>
      <c r="GI9" s="1414">
        <f t="shared" si="110"/>
        <v>3100459</v>
      </c>
      <c r="GJ9" s="1310">
        <f t="shared" si="110"/>
        <v>339629</v>
      </c>
      <c r="GK9" s="1415">
        <f t="shared" si="110"/>
        <v>2368864</v>
      </c>
      <c r="GL9" s="1309">
        <f>GL23</f>
        <v>72527</v>
      </c>
      <c r="GM9" s="1310">
        <f t="shared" ref="GM9:GU9" si="111">GM23</f>
        <v>115598</v>
      </c>
      <c r="GN9" s="1310">
        <f t="shared" si="111"/>
        <v>2930239</v>
      </c>
      <c r="GO9" s="1310">
        <f t="shared" si="111"/>
        <v>2814641</v>
      </c>
      <c r="GP9" s="1319">
        <f t="shared" si="111"/>
        <v>-6329</v>
      </c>
      <c r="GQ9" s="1319">
        <f t="shared" si="111"/>
        <v>75857</v>
      </c>
      <c r="GR9" s="1310">
        <f t="shared" si="111"/>
        <v>-43071</v>
      </c>
      <c r="GS9" s="1414">
        <f t="shared" si="111"/>
        <v>3058719</v>
      </c>
      <c r="GT9" s="1310">
        <f t="shared" si="111"/>
        <v>353613</v>
      </c>
      <c r="GU9" s="1415">
        <f t="shared" si="111"/>
        <v>3058719</v>
      </c>
      <c r="GV9" s="1309">
        <f>GV23</f>
        <v>239797</v>
      </c>
      <c r="GW9" s="1310">
        <f t="shared" ref="GW9:HE9" si="112">GW23</f>
        <v>282868</v>
      </c>
      <c r="GX9" s="1310">
        <f t="shared" si="112"/>
        <v>3012482</v>
      </c>
      <c r="GY9" s="1310">
        <f t="shared" si="112"/>
        <v>2729614</v>
      </c>
      <c r="GZ9" s="1319">
        <f t="shared" si="112"/>
        <v>-6507</v>
      </c>
      <c r="HA9" s="1319">
        <f t="shared" si="112"/>
        <v>108697</v>
      </c>
      <c r="HB9" s="1310">
        <f t="shared" si="112"/>
        <v>-43071</v>
      </c>
      <c r="HC9" s="1414">
        <f t="shared" si="112"/>
        <v>2764914</v>
      </c>
      <c r="HD9" s="1310">
        <f t="shared" si="112"/>
        <v>-112288</v>
      </c>
      <c r="HE9" s="1415">
        <f t="shared" si="112"/>
        <v>3129866</v>
      </c>
      <c r="HF9" s="1309">
        <f>HF23</f>
        <v>289403</v>
      </c>
      <c r="HG9" s="1310">
        <f t="shared" ref="HG9:HO9" si="113">HG23</f>
        <v>332474</v>
      </c>
      <c r="HH9" s="1310">
        <f t="shared" si="113"/>
        <v>3127636</v>
      </c>
      <c r="HI9" s="1310">
        <f t="shared" si="113"/>
        <v>2795162</v>
      </c>
      <c r="HJ9" s="1319">
        <f t="shared" si="113"/>
        <v>-6756</v>
      </c>
      <c r="HK9" s="1319">
        <f t="shared" si="113"/>
        <v>108697</v>
      </c>
      <c r="HL9" s="1310">
        <f t="shared" si="113"/>
        <v>-43071</v>
      </c>
      <c r="HM9" s="1414">
        <f t="shared" si="113"/>
        <v>2764914</v>
      </c>
      <c r="HN9" s="1310">
        <f t="shared" si="113"/>
        <v>-112288</v>
      </c>
      <c r="HO9" s="1415">
        <f t="shared" si="113"/>
        <v>3214943</v>
      </c>
      <c r="HP9" s="1314"/>
      <c r="HQ9" s="1310">
        <f>市町名目!J8</f>
        <v>2072364</v>
      </c>
      <c r="HR9" s="1310">
        <f>市町名目!K8</f>
        <v>2047222</v>
      </c>
      <c r="HS9" s="1310">
        <f>市町名目!L8</f>
        <v>2206039</v>
      </c>
      <c r="HT9" s="1310">
        <f>市町名目!M8</f>
        <v>2267467</v>
      </c>
      <c r="HU9" s="1310">
        <f t="shared" ref="HU9" si="114">HU23</f>
        <v>2397898</v>
      </c>
      <c r="HV9" s="1310">
        <f t="shared" ref="HV9" si="115">HV23</f>
        <v>2291116</v>
      </c>
      <c r="HW9" s="1406">
        <v>2633402</v>
      </c>
      <c r="HX9" s="1406">
        <v>3129866</v>
      </c>
      <c r="HY9" s="1406">
        <v>3214943</v>
      </c>
    </row>
    <row r="10" spans="1:233" ht="12.5">
      <c r="A10" s="1320">
        <v>3</v>
      </c>
      <c r="B10" s="1251" t="s">
        <v>192</v>
      </c>
      <c r="C10" s="1316">
        <f>C29</f>
        <v>203816</v>
      </c>
      <c r="D10" s="1248">
        <f t="shared" ref="D10:I10" si="116">D29</f>
        <v>176581</v>
      </c>
      <c r="E10" s="1248">
        <f t="shared" si="116"/>
        <v>2342707</v>
      </c>
      <c r="F10" s="1248">
        <f t="shared" si="116"/>
        <v>2174777</v>
      </c>
      <c r="G10" s="1248">
        <f t="shared" si="116"/>
        <v>-3738</v>
      </c>
      <c r="H10" s="1248">
        <f t="shared" si="116"/>
        <v>137320</v>
      </c>
      <c r="I10" s="1317">
        <f t="shared" si="116"/>
        <v>27235</v>
      </c>
      <c r="J10" s="1318">
        <f>J29</f>
        <v>2548541</v>
      </c>
      <c r="K10" s="1248">
        <f>K29</f>
        <v>211175</v>
      </c>
      <c r="L10" s="1317">
        <f>L29</f>
        <v>2752357</v>
      </c>
      <c r="M10" s="1316">
        <f>M29</f>
        <v>229501</v>
      </c>
      <c r="N10" s="1248">
        <f t="shared" ref="N10:S10" si="117">N29</f>
        <v>182945</v>
      </c>
      <c r="O10" s="1248">
        <f t="shared" si="117"/>
        <v>2568798</v>
      </c>
      <c r="P10" s="1248">
        <f t="shared" si="117"/>
        <v>2291721</v>
      </c>
      <c r="Q10" s="1248">
        <f t="shared" si="117"/>
        <v>-6153</v>
      </c>
      <c r="R10" s="1248">
        <f t="shared" si="117"/>
        <v>138886</v>
      </c>
      <c r="S10" s="1317">
        <f t="shared" si="117"/>
        <v>46556</v>
      </c>
      <c r="T10" s="1318">
        <f>T29</f>
        <v>2577936</v>
      </c>
      <c r="U10" s="1248">
        <f>U29</f>
        <v>215383</v>
      </c>
      <c r="V10" s="1317">
        <f>V29</f>
        <v>2807437</v>
      </c>
      <c r="W10" s="1316">
        <f>W29</f>
        <v>308673</v>
      </c>
      <c r="X10" s="1248">
        <f t="shared" ref="X10:AC10" si="118">X29</f>
        <v>267143</v>
      </c>
      <c r="Y10" s="1248">
        <f t="shared" si="118"/>
        <v>2479994</v>
      </c>
      <c r="Z10" s="1248">
        <f t="shared" si="118"/>
        <v>2338800</v>
      </c>
      <c r="AA10" s="1248">
        <f t="shared" si="118"/>
        <v>-15959</v>
      </c>
      <c r="AB10" s="1248">
        <f t="shared" si="118"/>
        <v>138760</v>
      </c>
      <c r="AC10" s="1317">
        <f t="shared" si="118"/>
        <v>41530</v>
      </c>
      <c r="AD10" s="1318">
        <f>AD29</f>
        <v>2650593</v>
      </c>
      <c r="AE10" s="1248">
        <f>AE29</f>
        <v>232393</v>
      </c>
      <c r="AF10" s="1317">
        <f>AF29</f>
        <v>2959266</v>
      </c>
      <c r="AG10" s="1316">
        <f>AG29</f>
        <v>181437</v>
      </c>
      <c r="AH10" s="1248">
        <f t="shared" ref="AH10:AM10" si="119">AH29</f>
        <v>211417</v>
      </c>
      <c r="AI10" s="1248">
        <f t="shared" si="119"/>
        <v>2009925</v>
      </c>
      <c r="AJ10" s="1248">
        <f t="shared" si="119"/>
        <v>2114011</v>
      </c>
      <c r="AK10" s="1248">
        <f t="shared" si="119"/>
        <v>1907</v>
      </c>
      <c r="AL10" s="1248">
        <f t="shared" si="119"/>
        <v>135065</v>
      </c>
      <c r="AM10" s="1317">
        <f t="shared" si="119"/>
        <v>-29980</v>
      </c>
      <c r="AN10" s="1318">
        <f>AN29</f>
        <v>2574628</v>
      </c>
      <c r="AO10" s="1248">
        <f>AO29</f>
        <v>241396</v>
      </c>
      <c r="AP10" s="1317">
        <f>AP29</f>
        <v>2756065</v>
      </c>
      <c r="AQ10" s="1316">
        <f>AQ29</f>
        <v>389152</v>
      </c>
      <c r="AR10" s="1248">
        <f t="shared" ref="AR10:AW10" si="120">AR29</f>
        <v>356584</v>
      </c>
      <c r="AS10" s="1248">
        <f t="shared" si="120"/>
        <v>2159697</v>
      </c>
      <c r="AT10" s="1248">
        <f t="shared" si="120"/>
        <v>2087058</v>
      </c>
      <c r="AU10" s="1248">
        <f t="shared" si="120"/>
        <v>-15823</v>
      </c>
      <c r="AV10" s="1248">
        <f t="shared" si="120"/>
        <v>141653</v>
      </c>
      <c r="AW10" s="1317">
        <f t="shared" si="120"/>
        <v>32568</v>
      </c>
      <c r="AX10" s="1318">
        <f>AX29</f>
        <v>2482714</v>
      </c>
      <c r="AY10" s="1248">
        <f>AY29</f>
        <v>240191</v>
      </c>
      <c r="AZ10" s="1317">
        <f>AZ29</f>
        <v>2871866</v>
      </c>
      <c r="BA10" s="1316">
        <f>BA29</f>
        <v>-44621</v>
      </c>
      <c r="BB10" s="1248">
        <f t="shared" ref="BB10:BG10" si="121">BB29</f>
        <v>-70246</v>
      </c>
      <c r="BC10" s="1248">
        <f t="shared" si="121"/>
        <v>2053876</v>
      </c>
      <c r="BD10" s="1248">
        <f t="shared" si="121"/>
        <v>2260088</v>
      </c>
      <c r="BE10" s="1248">
        <f t="shared" si="121"/>
        <v>-10309</v>
      </c>
      <c r="BF10" s="1248">
        <f t="shared" si="121"/>
        <v>143379</v>
      </c>
      <c r="BG10" s="1317">
        <f t="shared" si="121"/>
        <v>25625</v>
      </c>
      <c r="BH10" s="1318">
        <f>BH29</f>
        <v>2634305</v>
      </c>
      <c r="BI10" s="1248">
        <f>BI29</f>
        <v>251571</v>
      </c>
      <c r="BJ10" s="1317">
        <f>BJ29</f>
        <v>2589684</v>
      </c>
      <c r="BK10" s="1316">
        <f>BK29</f>
        <v>145174</v>
      </c>
      <c r="BL10" s="1248">
        <f t="shared" ref="BL10:BQ10" si="122">BL29</f>
        <v>99703</v>
      </c>
      <c r="BM10" s="1248">
        <f t="shared" si="122"/>
        <v>2136252</v>
      </c>
      <c r="BN10" s="1248">
        <f t="shared" si="122"/>
        <v>2223394</v>
      </c>
      <c r="BO10" s="1248">
        <f t="shared" si="122"/>
        <v>-8880</v>
      </c>
      <c r="BP10" s="1248">
        <f t="shared" si="122"/>
        <v>140756</v>
      </c>
      <c r="BQ10" s="1317">
        <f t="shared" si="122"/>
        <v>45471</v>
      </c>
      <c r="BR10" s="1318">
        <f>BR29</f>
        <v>2596859</v>
      </c>
      <c r="BS10" s="1248">
        <f>BS29</f>
        <v>257117</v>
      </c>
      <c r="BT10" s="1317">
        <f>BT29</f>
        <v>2742033</v>
      </c>
      <c r="BU10" s="1316">
        <f>BU29</f>
        <v>118541</v>
      </c>
      <c r="BV10" s="1248">
        <f t="shared" ref="BV10:CA10" si="123">BV29</f>
        <v>79413</v>
      </c>
      <c r="BW10" s="1248">
        <f t="shared" si="123"/>
        <v>2175601</v>
      </c>
      <c r="BX10" s="1248">
        <f t="shared" si="123"/>
        <v>2284265</v>
      </c>
      <c r="BY10" s="1248">
        <f t="shared" si="123"/>
        <v>-8968</v>
      </c>
      <c r="BZ10" s="1248">
        <f t="shared" si="123"/>
        <v>141362</v>
      </c>
      <c r="CA10" s="1317">
        <f t="shared" si="123"/>
        <v>39128</v>
      </c>
      <c r="CB10" s="1318">
        <f>CB29</f>
        <v>2669548</v>
      </c>
      <c r="CC10" s="1248">
        <f>CC29</f>
        <v>268662</v>
      </c>
      <c r="CD10" s="1317">
        <f>CD29</f>
        <v>2788089</v>
      </c>
      <c r="CE10" s="1316">
        <f>CE29</f>
        <v>-3514</v>
      </c>
      <c r="CF10" s="1248">
        <f t="shared" ref="CF10:CK10" si="124">CF29</f>
        <v>27178</v>
      </c>
      <c r="CG10" s="1248">
        <f t="shared" si="124"/>
        <v>2272360</v>
      </c>
      <c r="CH10" s="1248">
        <f t="shared" si="124"/>
        <v>2428236</v>
      </c>
      <c r="CI10" s="1248">
        <f t="shared" si="124"/>
        <v>-9883</v>
      </c>
      <c r="CJ10" s="1248">
        <f t="shared" si="124"/>
        <v>142337</v>
      </c>
      <c r="CK10" s="1317">
        <f t="shared" si="124"/>
        <v>-30692</v>
      </c>
      <c r="CL10" s="1318">
        <f>CL29</f>
        <v>2824977</v>
      </c>
      <c r="CM10" s="1248">
        <f>CM29</f>
        <v>271632</v>
      </c>
      <c r="CN10" s="1317">
        <f>CN29</f>
        <v>2821463</v>
      </c>
      <c r="CO10" s="1316">
        <f>CO29</f>
        <v>280729</v>
      </c>
      <c r="CP10" s="1248">
        <f t="shared" ref="CP10:CU10" si="125">CP29</f>
        <v>247190</v>
      </c>
      <c r="CQ10" s="1248">
        <f t="shared" si="125"/>
        <v>2292896</v>
      </c>
      <c r="CR10" s="1248">
        <f t="shared" si="125"/>
        <v>2225289</v>
      </c>
      <c r="CS10" s="1248">
        <f t="shared" si="125"/>
        <v>-10335</v>
      </c>
      <c r="CT10" s="1248">
        <f t="shared" si="125"/>
        <v>140309</v>
      </c>
      <c r="CU10" s="1317">
        <f t="shared" si="125"/>
        <v>33539</v>
      </c>
      <c r="CV10" s="1318">
        <f>CV29</f>
        <v>2676773</v>
      </c>
      <c r="CW10" s="1248">
        <f>CW29</f>
        <v>275896</v>
      </c>
      <c r="CX10" s="1317">
        <f>CX29</f>
        <v>2957502</v>
      </c>
      <c r="CY10" s="1316">
        <f>CY29</f>
        <v>226134</v>
      </c>
      <c r="CZ10" s="1248">
        <f t="shared" ref="CZ10:DE10" si="126">CZ29</f>
        <v>228540</v>
      </c>
      <c r="DA10" s="1248">
        <f t="shared" si="126"/>
        <v>2174923</v>
      </c>
      <c r="DB10" s="1248">
        <f t="shared" si="126"/>
        <v>2170038</v>
      </c>
      <c r="DC10" s="1248">
        <f t="shared" si="126"/>
        <v>-9189</v>
      </c>
      <c r="DD10" s="1248">
        <f t="shared" si="126"/>
        <v>143475</v>
      </c>
      <c r="DE10" s="1317">
        <f t="shared" si="126"/>
        <v>-2406</v>
      </c>
      <c r="DF10" s="1318">
        <f>DF29</f>
        <v>2683357</v>
      </c>
      <c r="DG10" s="1248">
        <f>DG29</f>
        <v>279016</v>
      </c>
      <c r="DH10" s="1317">
        <f>DH29</f>
        <v>2909491</v>
      </c>
      <c r="DI10" s="1316">
        <f>DI29</f>
        <v>131142</v>
      </c>
      <c r="DJ10" s="1248">
        <f t="shared" ref="DJ10:DO10" si="127">DJ29</f>
        <v>236329</v>
      </c>
      <c r="DK10" s="1248">
        <f t="shared" si="127"/>
        <v>2282811</v>
      </c>
      <c r="DL10" s="1248">
        <f t="shared" si="127"/>
        <v>2319859</v>
      </c>
      <c r="DM10" s="1248">
        <f t="shared" si="127"/>
        <v>-7282</v>
      </c>
      <c r="DN10" s="1248">
        <f t="shared" si="127"/>
        <v>122531</v>
      </c>
      <c r="DO10" s="1317">
        <f t="shared" si="127"/>
        <v>-105187</v>
      </c>
      <c r="DP10" s="1318">
        <f>DP29</f>
        <v>2795007</v>
      </c>
      <c r="DQ10" s="1248">
        <f>DQ29</f>
        <v>265938</v>
      </c>
      <c r="DR10" s="1317">
        <f>DR29</f>
        <v>2926149</v>
      </c>
      <c r="DS10" s="1316">
        <f>DS29</f>
        <v>196955</v>
      </c>
      <c r="DT10" s="1248">
        <f t="shared" ref="DT10:DY10" si="128">DT29</f>
        <v>359974</v>
      </c>
      <c r="DU10" s="1248">
        <f t="shared" si="128"/>
        <v>2342772</v>
      </c>
      <c r="DV10" s="1248">
        <f t="shared" si="128"/>
        <v>2357648</v>
      </c>
      <c r="DW10" s="1248">
        <f t="shared" si="128"/>
        <v>-7639</v>
      </c>
      <c r="DX10" s="1248">
        <f t="shared" si="128"/>
        <v>127142</v>
      </c>
      <c r="DY10" s="1317">
        <f t="shared" si="128"/>
        <v>-163019</v>
      </c>
      <c r="DZ10" s="1318">
        <f>DZ29</f>
        <v>2768488</v>
      </c>
      <c r="EA10" s="1248">
        <f>EA29</f>
        <v>270067</v>
      </c>
      <c r="EB10" s="1317">
        <f>EB29</f>
        <v>2965443</v>
      </c>
      <c r="EC10" s="1316">
        <f>EC29</f>
        <v>147128</v>
      </c>
      <c r="ED10" s="1248">
        <f t="shared" ref="ED10:EI10" si="129">ED29</f>
        <v>380172</v>
      </c>
      <c r="EE10" s="1248">
        <f t="shared" si="129"/>
        <v>2324497</v>
      </c>
      <c r="EF10" s="1248">
        <f t="shared" si="129"/>
        <v>2391479</v>
      </c>
      <c r="EG10" s="1248">
        <f t="shared" si="129"/>
        <v>-7262</v>
      </c>
      <c r="EH10" s="1248">
        <f t="shared" si="129"/>
        <v>129724</v>
      </c>
      <c r="EI10" s="1317">
        <f t="shared" si="129"/>
        <v>-233044</v>
      </c>
      <c r="EJ10" s="1318">
        <f>EJ29</f>
        <v>2855131</v>
      </c>
      <c r="EK10" s="1248">
        <f>EK29</f>
        <v>283068</v>
      </c>
      <c r="EL10" s="1317">
        <f>EL29</f>
        <v>3002259</v>
      </c>
      <c r="EM10" s="1318">
        <f>EM29</f>
        <v>289742</v>
      </c>
      <c r="EN10" s="1248">
        <f>EN29</f>
        <v>344148</v>
      </c>
      <c r="EO10" s="1248">
        <f t="shared" ref="EO10:EV10" si="130">EO29</f>
        <v>2133892</v>
      </c>
      <c r="EP10" s="1248">
        <f t="shared" si="130"/>
        <v>2151521</v>
      </c>
      <c r="EQ10" s="1319">
        <f t="shared" si="130"/>
        <v>-5591</v>
      </c>
      <c r="ER10" s="1319">
        <f t="shared" si="130"/>
        <v>127959</v>
      </c>
      <c r="ES10" s="850">
        <f t="shared" si="130"/>
        <v>-54406</v>
      </c>
      <c r="ET10" s="1318">
        <f t="shared" si="130"/>
        <v>2681620</v>
      </c>
      <c r="EU10" s="1248">
        <f t="shared" si="130"/>
        <v>282384</v>
      </c>
      <c r="EV10" s="1317">
        <f t="shared" si="130"/>
        <v>2971362</v>
      </c>
      <c r="EW10" s="1414">
        <f>EW29</f>
        <v>-177549</v>
      </c>
      <c r="EX10" s="1310">
        <f t="shared" ref="EX10:FB10" si="131">EX29</f>
        <v>-119754</v>
      </c>
      <c r="EY10" s="1310">
        <f t="shared" si="131"/>
        <v>2328718</v>
      </c>
      <c r="EZ10" s="1310">
        <f t="shared" si="131"/>
        <v>2448472</v>
      </c>
      <c r="FA10" s="1319">
        <f t="shared" si="131"/>
        <v>-3065</v>
      </c>
      <c r="FB10" s="1319">
        <f t="shared" si="131"/>
        <v>136109</v>
      </c>
      <c r="FC10" s="1415">
        <f t="shared" ref="FC10:FF10" si="132">FC29</f>
        <v>-57795</v>
      </c>
      <c r="FD10" s="1414">
        <f t="shared" si="132"/>
        <v>2830429</v>
      </c>
      <c r="FE10" s="1310">
        <f t="shared" si="132"/>
        <v>308976</v>
      </c>
      <c r="FF10" s="1415">
        <f t="shared" si="132"/>
        <v>2960193</v>
      </c>
      <c r="FG10" s="1414">
        <f>FG29</f>
        <v>-210661</v>
      </c>
      <c r="FH10" s="1310">
        <f t="shared" ref="FH10:FM10" si="133">FH29</f>
        <v>-152866</v>
      </c>
      <c r="FI10" s="1310">
        <f t="shared" si="133"/>
        <v>2589631</v>
      </c>
      <c r="FJ10" s="1310">
        <f t="shared" si="133"/>
        <v>2742497</v>
      </c>
      <c r="FK10" s="1319">
        <f t="shared" si="133"/>
        <v>-5799</v>
      </c>
      <c r="FL10" s="1319">
        <f t="shared" si="133"/>
        <v>140391</v>
      </c>
      <c r="FM10" s="1415">
        <f t="shared" si="133"/>
        <v>-57795</v>
      </c>
      <c r="FN10" s="1414">
        <f t="shared" ref="FN10:FP10" si="134">FN29</f>
        <v>2955884</v>
      </c>
      <c r="FO10" s="1310">
        <f t="shared" si="134"/>
        <v>307507</v>
      </c>
      <c r="FP10" s="1415">
        <f t="shared" si="134"/>
        <v>3191504</v>
      </c>
      <c r="FQ10" s="1310"/>
      <c r="FR10" s="1414">
        <f>FR29</f>
        <v>-354400</v>
      </c>
      <c r="FS10" s="1310">
        <f t="shared" ref="FS10:GA10" si="135">FS29</f>
        <v>-296605</v>
      </c>
      <c r="FT10" s="1310">
        <f t="shared" si="135"/>
        <v>2821851</v>
      </c>
      <c r="FU10" s="1310">
        <f t="shared" si="135"/>
        <v>3118456</v>
      </c>
      <c r="FV10" s="1319">
        <f t="shared" si="135"/>
        <v>-6216</v>
      </c>
      <c r="FW10" s="1319">
        <f t="shared" si="135"/>
        <v>142470</v>
      </c>
      <c r="FX10" s="1415">
        <f t="shared" si="135"/>
        <v>-57795</v>
      </c>
      <c r="FY10" s="1310">
        <f t="shared" si="135"/>
        <v>3414495</v>
      </c>
      <c r="FZ10" s="1310">
        <f t="shared" si="135"/>
        <v>311956</v>
      </c>
      <c r="GA10" s="1311">
        <f t="shared" si="135"/>
        <v>2936240</v>
      </c>
      <c r="GB10" s="1309">
        <f>GB29</f>
        <v>-111830</v>
      </c>
      <c r="GC10" s="1310">
        <f t="shared" ref="GC10:GK10" si="136">GC29</f>
        <v>-54035</v>
      </c>
      <c r="GD10" s="1310">
        <f t="shared" si="136"/>
        <v>3016244</v>
      </c>
      <c r="GE10" s="1310">
        <f t="shared" si="136"/>
        <v>3070279</v>
      </c>
      <c r="GF10" s="1319">
        <f t="shared" si="136"/>
        <v>-6502</v>
      </c>
      <c r="GG10" s="1319">
        <f t="shared" si="136"/>
        <v>73719</v>
      </c>
      <c r="GH10" s="1310">
        <f t="shared" si="136"/>
        <v>-57795</v>
      </c>
      <c r="GI10" s="1414">
        <f t="shared" si="136"/>
        <v>3312962</v>
      </c>
      <c r="GJ10" s="1310">
        <f t="shared" si="136"/>
        <v>328970</v>
      </c>
      <c r="GK10" s="1415">
        <f t="shared" si="136"/>
        <v>2936240</v>
      </c>
      <c r="GL10" s="1309">
        <f>GL29</f>
        <v>71198</v>
      </c>
      <c r="GM10" s="1310">
        <f t="shared" ref="GM10:GU10" si="137">GM29</f>
        <v>128993</v>
      </c>
      <c r="GN10" s="1310">
        <f t="shared" si="137"/>
        <v>3269770</v>
      </c>
      <c r="GO10" s="1310">
        <f t="shared" si="137"/>
        <v>3140777</v>
      </c>
      <c r="GP10" s="1319">
        <f t="shared" si="137"/>
        <v>-7063</v>
      </c>
      <c r="GQ10" s="1319">
        <f t="shared" si="137"/>
        <v>72884</v>
      </c>
      <c r="GR10" s="1310">
        <f t="shared" si="137"/>
        <v>-57795</v>
      </c>
      <c r="GS10" s="1414">
        <f t="shared" si="137"/>
        <v>3413136</v>
      </c>
      <c r="GT10" s="1310">
        <f t="shared" si="137"/>
        <v>339761</v>
      </c>
      <c r="GU10" s="1415">
        <f t="shared" si="137"/>
        <v>3413136</v>
      </c>
      <c r="GV10" s="1309">
        <f>GV29</f>
        <v>125435</v>
      </c>
      <c r="GW10" s="1310">
        <f t="shared" ref="GW10:HE10" si="138">GW29</f>
        <v>183230</v>
      </c>
      <c r="GX10" s="1310">
        <f t="shared" si="138"/>
        <v>3343222</v>
      </c>
      <c r="GY10" s="1310">
        <f t="shared" si="138"/>
        <v>3159992</v>
      </c>
      <c r="GZ10" s="1319">
        <f t="shared" si="138"/>
        <v>-7221</v>
      </c>
      <c r="HA10" s="1319">
        <f t="shared" si="138"/>
        <v>93913</v>
      </c>
      <c r="HB10" s="1310">
        <f t="shared" si="138"/>
        <v>-57795</v>
      </c>
      <c r="HC10" s="1414">
        <f t="shared" si="138"/>
        <v>3200858</v>
      </c>
      <c r="HD10" s="1310">
        <f t="shared" si="138"/>
        <v>-97015</v>
      </c>
      <c r="HE10" s="1415">
        <f t="shared" si="138"/>
        <v>3473493</v>
      </c>
      <c r="HF10" s="1309">
        <f>HF29</f>
        <v>147926</v>
      </c>
      <c r="HG10" s="1310">
        <f t="shared" ref="HG10:HO10" si="139">HG29</f>
        <v>205721</v>
      </c>
      <c r="HH10" s="1310">
        <f t="shared" si="139"/>
        <v>3441597</v>
      </c>
      <c r="HI10" s="1310">
        <f t="shared" si="139"/>
        <v>3235876</v>
      </c>
      <c r="HJ10" s="1319">
        <f t="shared" si="139"/>
        <v>-7434</v>
      </c>
      <c r="HK10" s="1319">
        <f t="shared" si="139"/>
        <v>93913</v>
      </c>
      <c r="HL10" s="1310">
        <f t="shared" si="139"/>
        <v>-57795</v>
      </c>
      <c r="HM10" s="1414">
        <f t="shared" si="139"/>
        <v>3200858</v>
      </c>
      <c r="HN10" s="1310">
        <f t="shared" si="139"/>
        <v>-97015</v>
      </c>
      <c r="HO10" s="1415">
        <f t="shared" si="139"/>
        <v>3537668</v>
      </c>
      <c r="HP10" s="1314" t="s">
        <v>11</v>
      </c>
      <c r="HQ10" s="1310">
        <f>市町名目!J9</f>
        <v>3002259</v>
      </c>
      <c r="HR10" s="1310">
        <f>市町名目!K9</f>
        <v>2971362</v>
      </c>
      <c r="HS10" s="1310">
        <f>市町名目!L9</f>
        <v>2960193</v>
      </c>
      <c r="HT10" s="1310">
        <f>市町名目!M9</f>
        <v>3191504</v>
      </c>
      <c r="HU10" s="1310">
        <f t="shared" ref="HU10" si="140">HU29</f>
        <v>3149681</v>
      </c>
      <c r="HV10" s="1310">
        <f t="shared" ref="HV10" si="141">HV29</f>
        <v>3055855</v>
      </c>
      <c r="HW10" s="1406">
        <v>3337823</v>
      </c>
      <c r="HX10" s="1406">
        <v>3473493</v>
      </c>
      <c r="HY10" s="1406">
        <v>3537668</v>
      </c>
    </row>
    <row r="11" spans="1:233" ht="12.5">
      <c r="A11" s="1320">
        <v>4</v>
      </c>
      <c r="B11" s="1251" t="s">
        <v>325</v>
      </c>
      <c r="C11" s="1316">
        <f>C35</f>
        <v>248070</v>
      </c>
      <c r="D11" s="1248">
        <f t="shared" ref="D11:I11" si="142">D35</f>
        <v>236532</v>
      </c>
      <c r="E11" s="1248">
        <f t="shared" si="142"/>
        <v>992512</v>
      </c>
      <c r="F11" s="1248">
        <f t="shared" si="142"/>
        <v>783363</v>
      </c>
      <c r="G11" s="1248">
        <f t="shared" si="142"/>
        <v>-1582</v>
      </c>
      <c r="H11" s="1248">
        <f t="shared" si="142"/>
        <v>66919</v>
      </c>
      <c r="I11" s="1317">
        <f t="shared" si="142"/>
        <v>11538</v>
      </c>
      <c r="J11" s="1318">
        <f>J35</f>
        <v>917993</v>
      </c>
      <c r="K11" s="1248">
        <f>K35</f>
        <v>102911</v>
      </c>
      <c r="L11" s="1317">
        <f>L35</f>
        <v>1166063</v>
      </c>
      <c r="M11" s="1316">
        <f>M35</f>
        <v>181582</v>
      </c>
      <c r="N11" s="1248">
        <f t="shared" ref="N11:S11" si="143">N35</f>
        <v>162550</v>
      </c>
      <c r="O11" s="1248">
        <f t="shared" si="143"/>
        <v>1050201</v>
      </c>
      <c r="P11" s="1248">
        <f t="shared" si="143"/>
        <v>858911</v>
      </c>
      <c r="Q11" s="1248">
        <f t="shared" si="143"/>
        <v>-2516</v>
      </c>
      <c r="R11" s="1248">
        <f t="shared" si="143"/>
        <v>67374</v>
      </c>
      <c r="S11" s="1317">
        <f t="shared" si="143"/>
        <v>19032</v>
      </c>
      <c r="T11" s="1318">
        <f>T35</f>
        <v>966181</v>
      </c>
      <c r="U11" s="1248">
        <f>U35</f>
        <v>104482</v>
      </c>
      <c r="V11" s="1317">
        <f>V35</f>
        <v>1147763</v>
      </c>
      <c r="W11" s="1316">
        <f>W35</f>
        <v>288816</v>
      </c>
      <c r="X11" s="1248">
        <f t="shared" ref="X11:AC11" si="144">X35</f>
        <v>272169</v>
      </c>
      <c r="Y11" s="1248">
        <f t="shared" si="144"/>
        <v>994158</v>
      </c>
      <c r="Z11" s="1248">
        <f t="shared" si="144"/>
        <v>791898</v>
      </c>
      <c r="AA11" s="1248">
        <f t="shared" si="144"/>
        <v>-6397</v>
      </c>
      <c r="AB11" s="1248">
        <f t="shared" si="144"/>
        <v>64521</v>
      </c>
      <c r="AC11" s="1317">
        <f t="shared" si="144"/>
        <v>16647</v>
      </c>
      <c r="AD11" s="1318">
        <f>AD35</f>
        <v>897469</v>
      </c>
      <c r="AE11" s="1248">
        <f>AE35</f>
        <v>108058</v>
      </c>
      <c r="AF11" s="1317">
        <f>AF35</f>
        <v>1186285</v>
      </c>
      <c r="AG11" s="1316">
        <f>AG35</f>
        <v>387131</v>
      </c>
      <c r="AH11" s="1248">
        <f t="shared" ref="AH11:AM11" si="145">AH35</f>
        <v>400432</v>
      </c>
      <c r="AI11" s="1248">
        <f t="shared" si="145"/>
        <v>891688</v>
      </c>
      <c r="AJ11" s="1248">
        <f t="shared" si="145"/>
        <v>686087</v>
      </c>
      <c r="AK11" s="1248">
        <f t="shared" si="145"/>
        <v>847</v>
      </c>
      <c r="AL11" s="1248">
        <f t="shared" si="145"/>
        <v>62017</v>
      </c>
      <c r="AM11" s="1317">
        <f t="shared" si="145"/>
        <v>-13301</v>
      </c>
      <c r="AN11" s="1318">
        <f>AN35</f>
        <v>835577</v>
      </c>
      <c r="AO11" s="1248">
        <f>AO35</f>
        <v>110842</v>
      </c>
      <c r="AP11" s="1317">
        <f>AP35</f>
        <v>1222708</v>
      </c>
      <c r="AQ11" s="1316">
        <f>AQ35</f>
        <v>405687</v>
      </c>
      <c r="AR11" s="1248">
        <f t="shared" ref="AR11:AW11" si="146">AR35</f>
        <v>391618</v>
      </c>
      <c r="AS11" s="1248">
        <f t="shared" si="146"/>
        <v>933113</v>
      </c>
      <c r="AT11" s="1248">
        <f t="shared" si="146"/>
        <v>702035</v>
      </c>
      <c r="AU11" s="1248">
        <f t="shared" si="146"/>
        <v>-6837</v>
      </c>
      <c r="AV11" s="1248">
        <f t="shared" si="146"/>
        <v>66226</v>
      </c>
      <c r="AW11" s="1317">
        <f t="shared" si="146"/>
        <v>14069</v>
      </c>
      <c r="AX11" s="1318">
        <f>AX35</f>
        <v>835125</v>
      </c>
      <c r="AY11" s="1248">
        <f>AY35</f>
        <v>112295</v>
      </c>
      <c r="AZ11" s="1317">
        <f>AZ35</f>
        <v>1240812</v>
      </c>
      <c r="BA11" s="1316">
        <f>BA35</f>
        <v>149571</v>
      </c>
      <c r="BB11" s="1248">
        <f t="shared" ref="BB11:BG11" si="147">BB35</f>
        <v>138548</v>
      </c>
      <c r="BC11" s="1248">
        <f t="shared" si="147"/>
        <v>883481</v>
      </c>
      <c r="BD11" s="1248">
        <f t="shared" si="147"/>
        <v>827393</v>
      </c>
      <c r="BE11" s="1248">
        <f t="shared" si="147"/>
        <v>-4435</v>
      </c>
      <c r="BF11" s="1248">
        <f t="shared" si="147"/>
        <v>65131</v>
      </c>
      <c r="BG11" s="1317">
        <f t="shared" si="147"/>
        <v>11023</v>
      </c>
      <c r="BH11" s="1318">
        <f>BH35</f>
        <v>964389</v>
      </c>
      <c r="BI11" s="1248">
        <f>BI35</f>
        <v>114279</v>
      </c>
      <c r="BJ11" s="1317">
        <f>BJ35</f>
        <v>1113960</v>
      </c>
      <c r="BK11" s="1316">
        <f>BK35</f>
        <v>126521</v>
      </c>
      <c r="BL11" s="1248">
        <f t="shared" ref="BL11:BQ11" si="148">BL35</f>
        <v>108368</v>
      </c>
      <c r="BM11" s="1248">
        <f t="shared" si="148"/>
        <v>852820</v>
      </c>
      <c r="BN11" s="1248">
        <f t="shared" si="148"/>
        <v>828904</v>
      </c>
      <c r="BO11" s="1248">
        <f t="shared" si="148"/>
        <v>-3545</v>
      </c>
      <c r="BP11" s="1248">
        <f t="shared" si="148"/>
        <v>62911</v>
      </c>
      <c r="BQ11" s="1317">
        <f t="shared" si="148"/>
        <v>18153</v>
      </c>
      <c r="BR11" s="1318">
        <f>BR35</f>
        <v>968135</v>
      </c>
      <c r="BS11" s="1248">
        <f>BS35</f>
        <v>114918</v>
      </c>
      <c r="BT11" s="1317">
        <f>BT35</f>
        <v>1094656</v>
      </c>
      <c r="BU11" s="1316">
        <f>BU35</f>
        <v>149688</v>
      </c>
      <c r="BV11" s="1248">
        <f t="shared" ref="BV11:CA11" si="149">BV35</f>
        <v>133528</v>
      </c>
      <c r="BW11" s="1248">
        <f t="shared" si="149"/>
        <v>898582</v>
      </c>
      <c r="BX11" s="1248">
        <f t="shared" si="149"/>
        <v>857273</v>
      </c>
      <c r="BY11" s="1248">
        <f t="shared" si="149"/>
        <v>-3704</v>
      </c>
      <c r="BZ11" s="1248">
        <f t="shared" si="149"/>
        <v>62828</v>
      </c>
      <c r="CA11" s="1317">
        <f t="shared" si="149"/>
        <v>16160</v>
      </c>
      <c r="CB11" s="1318">
        <f>CB35</f>
        <v>1001869</v>
      </c>
      <c r="CC11" s="1248">
        <f>CC35</f>
        <v>119405</v>
      </c>
      <c r="CD11" s="1317">
        <f>CD35</f>
        <v>1151557</v>
      </c>
      <c r="CE11" s="1316">
        <f>CE35</f>
        <v>249273</v>
      </c>
      <c r="CF11" s="1248">
        <f t="shared" ref="CF11:CK11" si="150">CF35</f>
        <v>261797</v>
      </c>
      <c r="CG11" s="1248">
        <f t="shared" si="150"/>
        <v>927128</v>
      </c>
      <c r="CH11" s="1248">
        <f t="shared" si="150"/>
        <v>775229</v>
      </c>
      <c r="CI11" s="1248">
        <f t="shared" si="150"/>
        <v>-4031</v>
      </c>
      <c r="CJ11" s="1248">
        <f t="shared" si="150"/>
        <v>64946</v>
      </c>
      <c r="CK11" s="1317">
        <f t="shared" si="150"/>
        <v>-12524</v>
      </c>
      <c r="CL11" s="1318">
        <f>CL35</f>
        <v>901890</v>
      </c>
      <c r="CM11" s="1248">
        <f>CM35</f>
        <v>123940</v>
      </c>
      <c r="CN11" s="1317">
        <f>CN35</f>
        <v>1151163</v>
      </c>
      <c r="CO11" s="1316">
        <f>CO35</f>
        <v>263035</v>
      </c>
      <c r="CP11" s="1248">
        <f t="shared" ref="CP11:CU11" si="151">CP35</f>
        <v>249452</v>
      </c>
      <c r="CQ11" s="1248">
        <f t="shared" si="151"/>
        <v>928621</v>
      </c>
      <c r="CR11" s="1248">
        <f t="shared" si="151"/>
        <v>777088</v>
      </c>
      <c r="CS11" s="1248">
        <f t="shared" si="151"/>
        <v>-4186</v>
      </c>
      <c r="CT11" s="1248">
        <f t="shared" si="151"/>
        <v>64693</v>
      </c>
      <c r="CU11" s="1317">
        <f t="shared" si="151"/>
        <v>13583</v>
      </c>
      <c r="CV11" s="1318">
        <f>CV35</f>
        <v>934750</v>
      </c>
      <c r="CW11" s="1248">
        <f>CW35</f>
        <v>127210</v>
      </c>
      <c r="CX11" s="1317">
        <f>CX35</f>
        <v>1197785</v>
      </c>
      <c r="CY11" s="1316">
        <f>CY35</f>
        <v>310693</v>
      </c>
      <c r="CZ11" s="1248">
        <f t="shared" ref="CZ11:DE11" si="152">CZ35</f>
        <v>311734</v>
      </c>
      <c r="DA11" s="1248">
        <f t="shared" si="152"/>
        <v>941555</v>
      </c>
      <c r="DB11" s="1248">
        <f t="shared" si="152"/>
        <v>767352</v>
      </c>
      <c r="DC11" s="1248">
        <f t="shared" si="152"/>
        <v>-3979</v>
      </c>
      <c r="DD11" s="1248">
        <f t="shared" si="152"/>
        <v>66121</v>
      </c>
      <c r="DE11" s="1317">
        <f t="shared" si="152"/>
        <v>-1041</v>
      </c>
      <c r="DF11" s="1318">
        <f>DF35</f>
        <v>948868</v>
      </c>
      <c r="DG11" s="1248">
        <f>DG35</f>
        <v>128588</v>
      </c>
      <c r="DH11" s="1317">
        <f>DH35</f>
        <v>1259561</v>
      </c>
      <c r="DI11" s="1316">
        <f>DI35</f>
        <v>370434</v>
      </c>
      <c r="DJ11" s="1248">
        <f t="shared" ref="DJ11:DO11" si="153">DJ35</f>
        <v>417586</v>
      </c>
      <c r="DK11" s="1248">
        <f t="shared" si="153"/>
        <v>1023286</v>
      </c>
      <c r="DL11" s="1248">
        <f t="shared" si="153"/>
        <v>781223</v>
      </c>
      <c r="DM11" s="1248">
        <f t="shared" si="153"/>
        <v>-3265</v>
      </c>
      <c r="DN11" s="1248">
        <f t="shared" si="153"/>
        <v>56184</v>
      </c>
      <c r="DO11" s="1317">
        <f t="shared" si="153"/>
        <v>-47152</v>
      </c>
      <c r="DP11" s="1318">
        <f>DP35</f>
        <v>941232</v>
      </c>
      <c r="DQ11" s="1248">
        <f>DQ35</f>
        <v>121941</v>
      </c>
      <c r="DR11" s="1317">
        <f>DR35</f>
        <v>1311666</v>
      </c>
      <c r="DS11" s="1316">
        <f>DS35</f>
        <v>345498</v>
      </c>
      <c r="DT11" s="1248">
        <f t="shared" ref="DT11:DY11" si="154">DT35</f>
        <v>416771</v>
      </c>
      <c r="DU11" s="1248">
        <f t="shared" si="154"/>
        <v>1024272</v>
      </c>
      <c r="DV11" s="1248">
        <f t="shared" si="154"/>
        <v>809880</v>
      </c>
      <c r="DW11" s="1248">
        <f t="shared" si="154"/>
        <v>-3339</v>
      </c>
      <c r="DX11" s="1248">
        <f t="shared" si="154"/>
        <v>57427</v>
      </c>
      <c r="DY11" s="1317">
        <f t="shared" si="154"/>
        <v>-71273</v>
      </c>
      <c r="DZ11" s="1318">
        <f>DZ35</f>
        <v>951009</v>
      </c>
      <c r="EA11" s="1248">
        <f>EA35</f>
        <v>121985</v>
      </c>
      <c r="EB11" s="1317">
        <f>EB35</f>
        <v>1296507</v>
      </c>
      <c r="EC11" s="1316">
        <f>EC35</f>
        <v>298109</v>
      </c>
      <c r="ED11" s="1248">
        <f t="shared" ref="ED11:EI11" si="155">ED35</f>
        <v>399819</v>
      </c>
      <c r="EE11" s="1248">
        <f t="shared" si="155"/>
        <v>1014485</v>
      </c>
      <c r="EF11" s="1248">
        <f t="shared" si="155"/>
        <v>847805</v>
      </c>
      <c r="EG11" s="1248">
        <f t="shared" si="155"/>
        <v>-3168</v>
      </c>
      <c r="EH11" s="1248">
        <f t="shared" si="155"/>
        <v>58459</v>
      </c>
      <c r="EI11" s="1317">
        <f t="shared" si="155"/>
        <v>-101710</v>
      </c>
      <c r="EJ11" s="1318">
        <f>EJ35</f>
        <v>1012174</v>
      </c>
      <c r="EK11" s="1248">
        <f>EK35</f>
        <v>127560</v>
      </c>
      <c r="EL11" s="1317">
        <f>EL35</f>
        <v>1310283</v>
      </c>
      <c r="EM11" s="1318">
        <f>EM35</f>
        <v>386377</v>
      </c>
      <c r="EN11" s="1248">
        <f>EN35</f>
        <v>410172</v>
      </c>
      <c r="EO11" s="1248">
        <f t="shared" ref="EO11:EV11" si="156">EO35</f>
        <v>933254</v>
      </c>
      <c r="EP11" s="1248">
        <f t="shared" si="156"/>
        <v>732636</v>
      </c>
      <c r="EQ11" s="1319">
        <f t="shared" si="156"/>
        <v>-2446</v>
      </c>
      <c r="ER11" s="1319">
        <f t="shared" si="156"/>
        <v>62191</v>
      </c>
      <c r="ES11" s="850">
        <f t="shared" si="156"/>
        <v>-23795</v>
      </c>
      <c r="ET11" s="1318">
        <f t="shared" si="156"/>
        <v>913145</v>
      </c>
      <c r="EU11" s="1248">
        <f t="shared" si="156"/>
        <v>137246</v>
      </c>
      <c r="EV11" s="1317">
        <f t="shared" si="156"/>
        <v>1299522</v>
      </c>
      <c r="EW11" s="1414">
        <f>EW35</f>
        <v>194296</v>
      </c>
      <c r="EX11" s="1310">
        <f t="shared" ref="EX11:FB11" si="157">EX35</f>
        <v>220066</v>
      </c>
      <c r="EY11" s="1310">
        <f t="shared" si="157"/>
        <v>1038361</v>
      </c>
      <c r="EZ11" s="1310">
        <f t="shared" si="157"/>
        <v>818295</v>
      </c>
      <c r="FA11" s="1319">
        <f t="shared" si="157"/>
        <v>-1366</v>
      </c>
      <c r="FB11" s="1319">
        <f t="shared" si="157"/>
        <v>62415</v>
      </c>
      <c r="FC11" s="1415">
        <f t="shared" ref="FC11:FF11" si="158">FC35</f>
        <v>-25770</v>
      </c>
      <c r="FD11" s="1414">
        <f t="shared" si="158"/>
        <v>945947</v>
      </c>
      <c r="FE11" s="1310">
        <f t="shared" si="158"/>
        <v>141690</v>
      </c>
      <c r="FF11" s="1415">
        <f t="shared" si="158"/>
        <v>1319932</v>
      </c>
      <c r="FG11" s="1414">
        <f>FG35</f>
        <v>86135</v>
      </c>
      <c r="FH11" s="1310">
        <f t="shared" ref="FH11:FM11" si="159">FH35</f>
        <v>111905</v>
      </c>
      <c r="FI11" s="1310">
        <f t="shared" si="159"/>
        <v>1059137</v>
      </c>
      <c r="FJ11" s="1310">
        <f t="shared" si="159"/>
        <v>947232</v>
      </c>
      <c r="FK11" s="1319">
        <f t="shared" si="159"/>
        <v>-2371</v>
      </c>
      <c r="FL11" s="1319">
        <f t="shared" si="159"/>
        <v>65268</v>
      </c>
      <c r="FM11" s="1415">
        <f t="shared" si="159"/>
        <v>-25770</v>
      </c>
      <c r="FN11" s="1414">
        <f t="shared" ref="FN11:FP11" si="160">FN35</f>
        <v>1020934</v>
      </c>
      <c r="FO11" s="1310">
        <f t="shared" si="160"/>
        <v>142959</v>
      </c>
      <c r="FP11" s="1415">
        <f t="shared" si="160"/>
        <v>1305298</v>
      </c>
      <c r="FQ11" s="1310"/>
      <c r="FR11" s="1414">
        <f>FR35</f>
        <v>202413</v>
      </c>
      <c r="FS11" s="1310">
        <f t="shared" ref="FS11:GA11" si="161">FS35</f>
        <v>228183</v>
      </c>
      <c r="FT11" s="1310">
        <f t="shared" si="161"/>
        <v>1121130</v>
      </c>
      <c r="FU11" s="1310">
        <f t="shared" si="161"/>
        <v>892947</v>
      </c>
      <c r="FV11" s="1319">
        <f t="shared" si="161"/>
        <v>-2470</v>
      </c>
      <c r="FW11" s="1319">
        <f t="shared" si="161"/>
        <v>67059</v>
      </c>
      <c r="FX11" s="1415">
        <f t="shared" si="161"/>
        <v>-25770</v>
      </c>
      <c r="FY11" s="1310">
        <f t="shared" si="161"/>
        <v>977715</v>
      </c>
      <c r="FZ11" s="1310">
        <f t="shared" si="161"/>
        <v>146835</v>
      </c>
      <c r="GA11" s="1311">
        <f t="shared" si="161"/>
        <v>1166576</v>
      </c>
      <c r="GB11" s="1309">
        <f>GB35</f>
        <v>98978</v>
      </c>
      <c r="GC11" s="1310">
        <f t="shared" ref="GC11:GK11" si="162">GC35</f>
        <v>124748</v>
      </c>
      <c r="GD11" s="1310">
        <f t="shared" si="162"/>
        <v>1198363</v>
      </c>
      <c r="GE11" s="1310">
        <f t="shared" si="162"/>
        <v>1073615</v>
      </c>
      <c r="GF11" s="1319">
        <f t="shared" si="162"/>
        <v>-2583</v>
      </c>
      <c r="GG11" s="1319">
        <f t="shared" si="162"/>
        <v>34676</v>
      </c>
      <c r="GH11" s="1310">
        <f t="shared" si="162"/>
        <v>-25770</v>
      </c>
      <c r="GI11" s="1414">
        <f t="shared" si="162"/>
        <v>1158477</v>
      </c>
      <c r="GJ11" s="1310">
        <f t="shared" si="162"/>
        <v>154744</v>
      </c>
      <c r="GK11" s="1415">
        <f t="shared" si="162"/>
        <v>1166576</v>
      </c>
      <c r="GL11" s="1309">
        <f>GL35</f>
        <v>19415</v>
      </c>
      <c r="GM11" s="1310">
        <f t="shared" ref="GM11:GU11" si="163">GM35</f>
        <v>45185</v>
      </c>
      <c r="GN11" s="1310">
        <f t="shared" si="163"/>
        <v>1145381</v>
      </c>
      <c r="GO11" s="1310">
        <f t="shared" si="163"/>
        <v>1100196</v>
      </c>
      <c r="GP11" s="1319">
        <f t="shared" si="163"/>
        <v>-2475</v>
      </c>
      <c r="GQ11" s="1319">
        <f t="shared" si="163"/>
        <v>34159</v>
      </c>
      <c r="GR11" s="1310">
        <f t="shared" si="163"/>
        <v>-25770</v>
      </c>
      <c r="GS11" s="1414">
        <f t="shared" si="163"/>
        <v>1195601</v>
      </c>
      <c r="GT11" s="1310">
        <f t="shared" si="163"/>
        <v>159233</v>
      </c>
      <c r="GU11" s="1415">
        <f t="shared" si="163"/>
        <v>1195601</v>
      </c>
      <c r="GV11" s="1309">
        <f>GV35</f>
        <v>9857</v>
      </c>
      <c r="GW11" s="1310">
        <f t="shared" ref="GW11:HE11" si="164">GW35</f>
        <v>35627</v>
      </c>
      <c r="GX11" s="1310">
        <f t="shared" si="164"/>
        <v>1171078</v>
      </c>
      <c r="GY11" s="1310">
        <f t="shared" si="164"/>
        <v>1135451</v>
      </c>
      <c r="GZ11" s="1319">
        <f t="shared" si="164"/>
        <v>-2529</v>
      </c>
      <c r="HA11" s="1319">
        <f t="shared" si="164"/>
        <v>-7085</v>
      </c>
      <c r="HB11" s="1310">
        <f t="shared" si="164"/>
        <v>-25770</v>
      </c>
      <c r="HC11" s="1414">
        <f t="shared" si="164"/>
        <v>1150135</v>
      </c>
      <c r="HD11" s="1310">
        <f t="shared" si="164"/>
        <v>7319</v>
      </c>
      <c r="HE11" s="1415">
        <f t="shared" si="164"/>
        <v>1216710</v>
      </c>
      <c r="HF11" s="1309">
        <f>HF35</f>
        <v>14775</v>
      </c>
      <c r="HG11" s="1310">
        <f t="shared" ref="HG11:HO11" si="165">HG35</f>
        <v>40545</v>
      </c>
      <c r="HH11" s="1310">
        <f t="shared" si="165"/>
        <v>1203262</v>
      </c>
      <c r="HI11" s="1310">
        <f t="shared" si="165"/>
        <v>1162717</v>
      </c>
      <c r="HJ11" s="1319">
        <f t="shared" si="165"/>
        <v>-2599</v>
      </c>
      <c r="HK11" s="1319">
        <f t="shared" si="165"/>
        <v>-7085</v>
      </c>
      <c r="HL11" s="1310">
        <f t="shared" si="165"/>
        <v>-25770</v>
      </c>
      <c r="HM11" s="1414">
        <f t="shared" si="165"/>
        <v>1150135</v>
      </c>
      <c r="HN11" s="1310">
        <f t="shared" si="165"/>
        <v>7319</v>
      </c>
      <c r="HO11" s="1415">
        <f t="shared" si="165"/>
        <v>1236851</v>
      </c>
      <c r="HP11" s="1314"/>
      <c r="HQ11" s="1310">
        <f>市町名目!J10</f>
        <v>1310283</v>
      </c>
      <c r="HR11" s="1310">
        <f>市町名目!K10</f>
        <v>1299522</v>
      </c>
      <c r="HS11" s="1310">
        <f>市町名目!L10</f>
        <v>1319932</v>
      </c>
      <c r="HT11" s="1310">
        <f>市町名目!M10</f>
        <v>1305298</v>
      </c>
      <c r="HU11" s="1310">
        <f t="shared" ref="HU11" si="166">HU35</f>
        <v>1356148</v>
      </c>
      <c r="HV11" s="1310">
        <f t="shared" ref="HV11" si="167">HV35</f>
        <v>1246073</v>
      </c>
      <c r="HW11" s="1406">
        <v>1371310</v>
      </c>
      <c r="HX11" s="1406">
        <v>1216710</v>
      </c>
      <c r="HY11" s="1406">
        <v>1236851</v>
      </c>
    </row>
    <row r="12" spans="1:233" ht="12.5">
      <c r="A12" s="1320">
        <v>5</v>
      </c>
      <c r="B12" s="1251" t="s">
        <v>326</v>
      </c>
      <c r="C12" s="1316">
        <f>C42</f>
        <v>370396</v>
      </c>
      <c r="D12" s="1248">
        <f t="shared" ref="D12:I12" si="168">D42</f>
        <v>345500</v>
      </c>
      <c r="E12" s="1248">
        <f t="shared" si="168"/>
        <v>2141445</v>
      </c>
      <c r="F12" s="1248">
        <f t="shared" si="168"/>
        <v>1830852</v>
      </c>
      <c r="G12" s="1248">
        <f t="shared" si="168"/>
        <v>-3417</v>
      </c>
      <c r="H12" s="1248">
        <f t="shared" si="168"/>
        <v>116239</v>
      </c>
      <c r="I12" s="1317">
        <f t="shared" si="168"/>
        <v>24896</v>
      </c>
      <c r="J12" s="1318">
        <f>J42</f>
        <v>2145507</v>
      </c>
      <c r="K12" s="1248">
        <f>K42</f>
        <v>178756</v>
      </c>
      <c r="L12" s="1317">
        <f>L42</f>
        <v>2515903</v>
      </c>
      <c r="M12" s="1316">
        <f>M42</f>
        <v>306415</v>
      </c>
      <c r="N12" s="1248">
        <f t="shared" ref="N12:S12" si="169">N42</f>
        <v>265297</v>
      </c>
      <c r="O12" s="1248">
        <f t="shared" si="169"/>
        <v>2268801</v>
      </c>
      <c r="P12" s="1248">
        <f t="shared" si="169"/>
        <v>1931881</v>
      </c>
      <c r="Q12" s="1248">
        <f t="shared" si="169"/>
        <v>-5436</v>
      </c>
      <c r="R12" s="1248">
        <f t="shared" si="169"/>
        <v>118907</v>
      </c>
      <c r="S12" s="1317">
        <f t="shared" si="169"/>
        <v>41118</v>
      </c>
      <c r="T12" s="1318">
        <f>T42</f>
        <v>2173154</v>
      </c>
      <c r="U12" s="1248">
        <f>U42</f>
        <v>184400</v>
      </c>
      <c r="V12" s="1317">
        <f>V42</f>
        <v>2479569</v>
      </c>
      <c r="W12" s="1316">
        <f>W42</f>
        <v>573326</v>
      </c>
      <c r="X12" s="1248">
        <f t="shared" ref="X12:AC12" si="170">X42</f>
        <v>535701</v>
      </c>
      <c r="Y12" s="1248">
        <f t="shared" si="170"/>
        <v>2246850</v>
      </c>
      <c r="Z12" s="1248">
        <f t="shared" si="170"/>
        <v>1859803</v>
      </c>
      <c r="AA12" s="1248">
        <f t="shared" si="170"/>
        <v>-14459</v>
      </c>
      <c r="AB12" s="1248">
        <f t="shared" si="170"/>
        <v>115839</v>
      </c>
      <c r="AC12" s="1317">
        <f t="shared" si="170"/>
        <v>37625</v>
      </c>
      <c r="AD12" s="1318">
        <f>AD42</f>
        <v>2107739</v>
      </c>
      <c r="AE12" s="1248">
        <f>AE42</f>
        <v>194003</v>
      </c>
      <c r="AF12" s="1317">
        <f>AF42</f>
        <v>2681065</v>
      </c>
      <c r="AG12" s="1316">
        <f>AG42</f>
        <v>525133</v>
      </c>
      <c r="AH12" s="1248">
        <f t="shared" ref="AH12:AM12" si="171">AH42</f>
        <v>552651</v>
      </c>
      <c r="AI12" s="1248">
        <f t="shared" si="171"/>
        <v>1844732</v>
      </c>
      <c r="AJ12" s="1248">
        <f t="shared" si="171"/>
        <v>1645812</v>
      </c>
      <c r="AK12" s="1248">
        <f t="shared" si="171"/>
        <v>1749</v>
      </c>
      <c r="AL12" s="1248">
        <f t="shared" si="171"/>
        <v>111779</v>
      </c>
      <c r="AM12" s="1317">
        <f t="shared" si="171"/>
        <v>-27518</v>
      </c>
      <c r="AN12" s="1318">
        <f>AN42</f>
        <v>2004416</v>
      </c>
      <c r="AO12" s="1248">
        <f>AO42</f>
        <v>199780</v>
      </c>
      <c r="AP12" s="1317">
        <f>AP42</f>
        <v>2529549</v>
      </c>
      <c r="AQ12" s="1316">
        <f>AQ42</f>
        <v>323119</v>
      </c>
      <c r="AR12" s="1248">
        <f t="shared" ref="AR12:AW12" si="172">AR42</f>
        <v>292497</v>
      </c>
      <c r="AS12" s="1248">
        <f t="shared" si="172"/>
        <v>2030667</v>
      </c>
      <c r="AT12" s="1248">
        <f t="shared" si="172"/>
        <v>1998336</v>
      </c>
      <c r="AU12" s="1248">
        <f t="shared" si="172"/>
        <v>-14878</v>
      </c>
      <c r="AV12" s="1248">
        <f t="shared" si="172"/>
        <v>120962</v>
      </c>
      <c r="AW12" s="1317">
        <f t="shared" si="172"/>
        <v>30622</v>
      </c>
      <c r="AX12" s="1318">
        <f>AX42</f>
        <v>2377170</v>
      </c>
      <c r="AY12" s="1248">
        <f>AY42</f>
        <v>205107</v>
      </c>
      <c r="AZ12" s="1317">
        <f>AZ42</f>
        <v>2700289</v>
      </c>
      <c r="BA12" s="1316">
        <f>BA42</f>
        <v>307519</v>
      </c>
      <c r="BB12" s="1248">
        <f t="shared" ref="BB12:BG12" si="173">BB42</f>
        <v>283946</v>
      </c>
      <c r="BC12" s="1248">
        <f t="shared" si="173"/>
        <v>1889358</v>
      </c>
      <c r="BD12" s="1248">
        <f t="shared" si="173"/>
        <v>1780003</v>
      </c>
      <c r="BE12" s="1248">
        <f t="shared" si="173"/>
        <v>-9483</v>
      </c>
      <c r="BF12" s="1248">
        <f t="shared" si="173"/>
        <v>122144</v>
      </c>
      <c r="BG12" s="1317">
        <f t="shared" si="173"/>
        <v>23573</v>
      </c>
      <c r="BH12" s="1318">
        <f>BH42</f>
        <v>2074729</v>
      </c>
      <c r="BI12" s="1248">
        <f>BI42</f>
        <v>214315</v>
      </c>
      <c r="BJ12" s="1317">
        <f>BJ42</f>
        <v>2382248</v>
      </c>
      <c r="BK12" s="1316">
        <f>BK42</f>
        <v>227529</v>
      </c>
      <c r="BL12" s="1248">
        <f t="shared" ref="BL12:BQ12" si="174">BL42</f>
        <v>189086</v>
      </c>
      <c r="BM12" s="1248">
        <f t="shared" si="174"/>
        <v>1806117</v>
      </c>
      <c r="BN12" s="1248">
        <f t="shared" si="174"/>
        <v>1790072</v>
      </c>
      <c r="BO12" s="1248">
        <f t="shared" si="174"/>
        <v>-7507</v>
      </c>
      <c r="BP12" s="1248">
        <f t="shared" si="174"/>
        <v>118283</v>
      </c>
      <c r="BQ12" s="1317">
        <f t="shared" si="174"/>
        <v>38443</v>
      </c>
      <c r="BR12" s="1318">
        <f>BR42</f>
        <v>2090752</v>
      </c>
      <c r="BS12" s="1248">
        <f>BS42</f>
        <v>216067</v>
      </c>
      <c r="BT12" s="1317">
        <f>BT42</f>
        <v>2318281</v>
      </c>
      <c r="BU12" s="1316">
        <f>BU42</f>
        <v>351546</v>
      </c>
      <c r="BV12" s="1248">
        <f t="shared" ref="BV12:CA12" si="175">BV42</f>
        <v>316311</v>
      </c>
      <c r="BW12" s="1248">
        <f t="shared" si="175"/>
        <v>1959132</v>
      </c>
      <c r="BX12" s="1248">
        <f t="shared" si="175"/>
        <v>1847516</v>
      </c>
      <c r="BY12" s="1248">
        <f t="shared" si="175"/>
        <v>-8075</v>
      </c>
      <c r="BZ12" s="1248">
        <f t="shared" si="175"/>
        <v>116197</v>
      </c>
      <c r="CA12" s="1317">
        <f t="shared" si="175"/>
        <v>35235</v>
      </c>
      <c r="CB12" s="1318">
        <f>CB42</f>
        <v>2159132</v>
      </c>
      <c r="CC12" s="1248">
        <f>CC42</f>
        <v>220835</v>
      </c>
      <c r="CD12" s="1317">
        <f>CD42</f>
        <v>2510678</v>
      </c>
      <c r="CE12" s="1316">
        <f>CE42</f>
        <v>417455</v>
      </c>
      <c r="CF12" s="1248">
        <f t="shared" ref="CF12:CK12" si="176">CF42</f>
        <v>445023</v>
      </c>
      <c r="CG12" s="1248">
        <f t="shared" si="176"/>
        <v>2041085</v>
      </c>
      <c r="CH12" s="1248">
        <f t="shared" si="176"/>
        <v>1819558</v>
      </c>
      <c r="CI12" s="1248">
        <f t="shared" si="176"/>
        <v>-8876</v>
      </c>
      <c r="CJ12" s="1248">
        <f t="shared" si="176"/>
        <v>123139</v>
      </c>
      <c r="CK12" s="1317">
        <f t="shared" si="176"/>
        <v>-27568</v>
      </c>
      <c r="CL12" s="1318">
        <f>CL42</f>
        <v>2116847</v>
      </c>
      <c r="CM12" s="1248">
        <f>CM42</f>
        <v>234997</v>
      </c>
      <c r="CN12" s="1317">
        <f>CN42</f>
        <v>2534302</v>
      </c>
      <c r="CO12" s="1316">
        <f>CO42</f>
        <v>434701</v>
      </c>
      <c r="CP12" s="1248">
        <f t="shared" ref="CP12:CU12" si="177">CP42</f>
        <v>405120</v>
      </c>
      <c r="CQ12" s="1248">
        <f t="shared" si="177"/>
        <v>2022324</v>
      </c>
      <c r="CR12" s="1248">
        <f t="shared" si="177"/>
        <v>1807154</v>
      </c>
      <c r="CS12" s="1248">
        <f t="shared" si="177"/>
        <v>-9115</v>
      </c>
      <c r="CT12" s="1248">
        <f t="shared" si="177"/>
        <v>125820</v>
      </c>
      <c r="CU12" s="1317">
        <f t="shared" si="177"/>
        <v>29581</v>
      </c>
      <c r="CV12" s="1318">
        <f>CV42</f>
        <v>2173804</v>
      </c>
      <c r="CW12" s="1248">
        <f>CW42</f>
        <v>247406</v>
      </c>
      <c r="CX12" s="1317">
        <f>CX42</f>
        <v>2608505</v>
      </c>
      <c r="CY12" s="1316">
        <f>CY42</f>
        <v>464314</v>
      </c>
      <c r="CZ12" s="1248">
        <f t="shared" ref="CZ12:DE12" si="178">CZ42</f>
        <v>466523</v>
      </c>
      <c r="DA12" s="1248">
        <f t="shared" si="178"/>
        <v>1996621</v>
      </c>
      <c r="DB12" s="1248">
        <f t="shared" si="178"/>
        <v>1784526</v>
      </c>
      <c r="DC12" s="1248">
        <f t="shared" si="178"/>
        <v>-8436</v>
      </c>
      <c r="DD12" s="1248">
        <f t="shared" si="178"/>
        <v>128105</v>
      </c>
      <c r="DE12" s="1317">
        <f t="shared" si="178"/>
        <v>-2209</v>
      </c>
      <c r="DF12" s="1318">
        <f>DF42</f>
        <v>2206655</v>
      </c>
      <c r="DG12" s="1248">
        <f>DG42</f>
        <v>249127</v>
      </c>
      <c r="DH12" s="1317">
        <f>DH42</f>
        <v>2670969</v>
      </c>
      <c r="DI12" s="1316">
        <f>DI42</f>
        <v>441141</v>
      </c>
      <c r="DJ12" s="1248">
        <f t="shared" ref="DJ12:DO12" si="179">DJ42</f>
        <v>537442</v>
      </c>
      <c r="DK12" s="1248">
        <f t="shared" si="179"/>
        <v>2089947</v>
      </c>
      <c r="DL12" s="1248">
        <f t="shared" si="179"/>
        <v>1857369</v>
      </c>
      <c r="DM12" s="1248">
        <f t="shared" si="179"/>
        <v>-6667</v>
      </c>
      <c r="DN12" s="1248">
        <f t="shared" si="179"/>
        <v>110433</v>
      </c>
      <c r="DO12" s="1317">
        <f t="shared" si="179"/>
        <v>-96301</v>
      </c>
      <c r="DP12" s="1318">
        <f>DP42</f>
        <v>2237790</v>
      </c>
      <c r="DQ12" s="1248">
        <f>DQ42</f>
        <v>239676</v>
      </c>
      <c r="DR12" s="1317">
        <f>DR42</f>
        <v>2678931</v>
      </c>
      <c r="DS12" s="1316">
        <f>DS42</f>
        <v>319158</v>
      </c>
      <c r="DT12" s="1248">
        <f t="shared" ref="DT12:DY12" si="180">DT42</f>
        <v>466202</v>
      </c>
      <c r="DU12" s="1248">
        <f t="shared" si="180"/>
        <v>2113177</v>
      </c>
      <c r="DV12" s="1248">
        <f t="shared" si="180"/>
        <v>2006091</v>
      </c>
      <c r="DW12" s="1248">
        <f t="shared" si="180"/>
        <v>-6891</v>
      </c>
      <c r="DX12" s="1248">
        <f t="shared" si="180"/>
        <v>112592</v>
      </c>
      <c r="DY12" s="1317">
        <f t="shared" si="180"/>
        <v>-147044</v>
      </c>
      <c r="DZ12" s="1318">
        <f>DZ42</f>
        <v>2355667</v>
      </c>
      <c r="EA12" s="1248">
        <f>EA42</f>
        <v>239164</v>
      </c>
      <c r="EB12" s="1317">
        <f>EB42</f>
        <v>2674825</v>
      </c>
      <c r="EC12" s="1316">
        <f>EC42</f>
        <v>337467</v>
      </c>
      <c r="ED12" s="1248">
        <f t="shared" ref="ED12:EI12" si="181">ED42</f>
        <v>543027</v>
      </c>
      <c r="EE12" s="1248">
        <f t="shared" si="181"/>
        <v>2050359</v>
      </c>
      <c r="EF12" s="1248">
        <f t="shared" si="181"/>
        <v>1935478</v>
      </c>
      <c r="EG12" s="1248">
        <f t="shared" si="181"/>
        <v>-6406</v>
      </c>
      <c r="EH12" s="1248">
        <f t="shared" si="181"/>
        <v>114195</v>
      </c>
      <c r="EI12" s="1317">
        <f t="shared" si="181"/>
        <v>-205560</v>
      </c>
      <c r="EJ12" s="1318">
        <f>EJ42</f>
        <v>2310721</v>
      </c>
      <c r="EK12" s="1248">
        <f>EK42</f>
        <v>249183</v>
      </c>
      <c r="EL12" s="1317">
        <f>EL42</f>
        <v>2648188</v>
      </c>
      <c r="EM12" s="1318">
        <f>EM42</f>
        <v>309245</v>
      </c>
      <c r="EN12" s="1248">
        <f t="shared" ref="EN12:EV12" si="182">EN42</f>
        <v>356712</v>
      </c>
      <c r="EO12" s="1248">
        <f t="shared" si="182"/>
        <v>1861672</v>
      </c>
      <c r="EP12" s="1248">
        <f t="shared" si="182"/>
        <v>1831749</v>
      </c>
      <c r="EQ12" s="1319">
        <f t="shared" si="182"/>
        <v>-4878</v>
      </c>
      <c r="ER12" s="1319">
        <f t="shared" si="182"/>
        <v>108702</v>
      </c>
      <c r="ES12" s="850">
        <f t="shared" si="182"/>
        <v>-47467</v>
      </c>
      <c r="ET12" s="1318">
        <f t="shared" si="182"/>
        <v>2283062</v>
      </c>
      <c r="EU12" s="1248">
        <f t="shared" si="182"/>
        <v>239887</v>
      </c>
      <c r="EV12" s="1317">
        <f t="shared" si="182"/>
        <v>2592307</v>
      </c>
      <c r="EW12" s="1414">
        <f>EW42</f>
        <v>181406</v>
      </c>
      <c r="EX12" s="1310">
        <f t="shared" ref="EX12:FB12" si="183">EX42</f>
        <v>236516</v>
      </c>
      <c r="EY12" s="1310">
        <f t="shared" si="183"/>
        <v>2220516</v>
      </c>
      <c r="EZ12" s="1310">
        <f t="shared" si="183"/>
        <v>1984000</v>
      </c>
      <c r="FA12" s="1319">
        <f t="shared" si="183"/>
        <v>-2923</v>
      </c>
      <c r="FB12" s="1319">
        <f t="shared" si="183"/>
        <v>113241</v>
      </c>
      <c r="FC12" s="1415">
        <f t="shared" ref="FC12:FF12" si="184">FC42</f>
        <v>-55110</v>
      </c>
      <c r="FD12" s="1414">
        <f t="shared" si="184"/>
        <v>2293502</v>
      </c>
      <c r="FE12" s="1310">
        <f t="shared" si="184"/>
        <v>257067</v>
      </c>
      <c r="FF12" s="1415">
        <f t="shared" si="184"/>
        <v>2822650</v>
      </c>
      <c r="FG12" s="1414">
        <f>FG42</f>
        <v>-37589</v>
      </c>
      <c r="FH12" s="1310">
        <f t="shared" ref="FH12:FM12" si="185">FH42</f>
        <v>17521</v>
      </c>
      <c r="FI12" s="1310">
        <f t="shared" si="185"/>
        <v>2354303</v>
      </c>
      <c r="FJ12" s="1310">
        <f t="shared" si="185"/>
        <v>2336782</v>
      </c>
      <c r="FK12" s="1319">
        <f t="shared" si="185"/>
        <v>-5273</v>
      </c>
      <c r="FL12" s="1319">
        <f t="shared" si="185"/>
        <v>123091</v>
      </c>
      <c r="FM12" s="1415">
        <f t="shared" si="185"/>
        <v>-55110</v>
      </c>
      <c r="FN12" s="1414">
        <f t="shared" ref="FN12:FP12" si="186">FN42</f>
        <v>2518602</v>
      </c>
      <c r="FO12" s="1310">
        <f t="shared" si="186"/>
        <v>269614</v>
      </c>
      <c r="FP12" s="1415">
        <f t="shared" si="186"/>
        <v>2901482</v>
      </c>
      <c r="FQ12" s="1310"/>
      <c r="FR12" s="1414">
        <f>FR42</f>
        <v>-82139</v>
      </c>
      <c r="FS12" s="1310">
        <f t="shared" ref="FS12:GA12" si="187">FS42</f>
        <v>-27029</v>
      </c>
      <c r="FT12" s="1310">
        <f t="shared" si="187"/>
        <v>2387778</v>
      </c>
      <c r="FU12" s="1310">
        <f t="shared" si="187"/>
        <v>2414807</v>
      </c>
      <c r="FV12" s="1319">
        <f t="shared" si="187"/>
        <v>-5262</v>
      </c>
      <c r="FW12" s="1319">
        <f t="shared" si="187"/>
        <v>124567</v>
      </c>
      <c r="FX12" s="1415">
        <f t="shared" si="187"/>
        <v>-55110</v>
      </c>
      <c r="FY12" s="1310">
        <f t="shared" si="187"/>
        <v>2644047</v>
      </c>
      <c r="FZ12" s="1310">
        <f t="shared" si="187"/>
        <v>272757</v>
      </c>
      <c r="GA12" s="1311">
        <f t="shared" si="187"/>
        <v>2484571</v>
      </c>
      <c r="GB12" s="1309">
        <f>GB42</f>
        <v>214853</v>
      </c>
      <c r="GC12" s="1310">
        <f t="shared" ref="GC12:GK12" si="188">GC42</f>
        <v>269963</v>
      </c>
      <c r="GD12" s="1310">
        <f t="shared" si="188"/>
        <v>2552269</v>
      </c>
      <c r="GE12" s="1310">
        <f t="shared" si="188"/>
        <v>2282306</v>
      </c>
      <c r="GF12" s="1319">
        <f t="shared" si="188"/>
        <v>-5502</v>
      </c>
      <c r="GG12" s="1319">
        <f t="shared" si="188"/>
        <v>63961</v>
      </c>
      <c r="GH12" s="1310">
        <f t="shared" si="188"/>
        <v>-55110</v>
      </c>
      <c r="GI12" s="1414">
        <f t="shared" si="188"/>
        <v>2462706</v>
      </c>
      <c r="GJ12" s="1310">
        <f t="shared" si="188"/>
        <v>285419</v>
      </c>
      <c r="GK12" s="1415">
        <f t="shared" si="188"/>
        <v>2484571</v>
      </c>
      <c r="GL12" s="1309">
        <f>GL42</f>
        <v>42931</v>
      </c>
      <c r="GM12" s="1310">
        <f t="shared" ref="GM12:GU12" si="189">GM42</f>
        <v>98041</v>
      </c>
      <c r="GN12" s="1310">
        <f t="shared" si="189"/>
        <v>2485210</v>
      </c>
      <c r="GO12" s="1310">
        <f t="shared" si="189"/>
        <v>2387169</v>
      </c>
      <c r="GP12" s="1319">
        <f t="shared" si="189"/>
        <v>-5367</v>
      </c>
      <c r="GQ12" s="1319">
        <f t="shared" si="189"/>
        <v>63616</v>
      </c>
      <c r="GR12" s="1310">
        <f t="shared" si="189"/>
        <v>-55110</v>
      </c>
      <c r="GS12" s="1414">
        <f t="shared" si="189"/>
        <v>2594176</v>
      </c>
      <c r="GT12" s="1310">
        <f t="shared" si="189"/>
        <v>296552</v>
      </c>
      <c r="GU12" s="1415">
        <f t="shared" si="189"/>
        <v>2594176</v>
      </c>
      <c r="GV12" s="1309">
        <f>GV42</f>
        <v>42108</v>
      </c>
      <c r="GW12" s="1310">
        <f t="shared" ref="GW12:HE12" si="190">GW42</f>
        <v>97218</v>
      </c>
      <c r="GX12" s="1310">
        <f t="shared" si="190"/>
        <v>2536427</v>
      </c>
      <c r="GY12" s="1310">
        <f t="shared" si="190"/>
        <v>2439209</v>
      </c>
      <c r="GZ12" s="1319">
        <f t="shared" si="190"/>
        <v>-5479</v>
      </c>
      <c r="HA12" s="1319">
        <f t="shared" si="190"/>
        <v>22088</v>
      </c>
      <c r="HB12" s="1310">
        <f t="shared" si="190"/>
        <v>-55110</v>
      </c>
      <c r="HC12" s="1414">
        <f t="shared" si="190"/>
        <v>2470755</v>
      </c>
      <c r="HD12" s="1310">
        <f t="shared" si="190"/>
        <v>-22818</v>
      </c>
      <c r="HE12" s="1415">
        <f t="shared" si="190"/>
        <v>2635261</v>
      </c>
      <c r="HF12" s="1309">
        <f>HF42</f>
        <v>46358</v>
      </c>
      <c r="HG12" s="1310">
        <f t="shared" ref="HG12:HO12" si="191">HG42</f>
        <v>101468</v>
      </c>
      <c r="HH12" s="1310">
        <f t="shared" si="191"/>
        <v>2599253</v>
      </c>
      <c r="HI12" s="1310">
        <f t="shared" si="191"/>
        <v>2497785</v>
      </c>
      <c r="HJ12" s="1319">
        <f t="shared" si="191"/>
        <v>-5615</v>
      </c>
      <c r="HK12" s="1319">
        <f t="shared" si="191"/>
        <v>22088</v>
      </c>
      <c r="HL12" s="1310">
        <f t="shared" si="191"/>
        <v>-55110</v>
      </c>
      <c r="HM12" s="1414">
        <f t="shared" si="191"/>
        <v>2470755</v>
      </c>
      <c r="HN12" s="1310">
        <f t="shared" si="191"/>
        <v>-22818</v>
      </c>
      <c r="HO12" s="1415">
        <f t="shared" si="191"/>
        <v>2671810</v>
      </c>
      <c r="HP12" s="1314"/>
      <c r="HQ12" s="1310">
        <f>市町名目!J11</f>
        <v>2648188</v>
      </c>
      <c r="HR12" s="1310">
        <f>市町名目!K11</f>
        <v>2592307</v>
      </c>
      <c r="HS12" s="1310">
        <f>市町名目!L11</f>
        <v>2822650</v>
      </c>
      <c r="HT12" s="1310">
        <f>市町名目!M11</f>
        <v>2901482</v>
      </c>
      <c r="HU12" s="1310">
        <f t="shared" ref="HU12" si="192">HU42</f>
        <v>2930515</v>
      </c>
      <c r="HV12" s="1310">
        <f t="shared" ref="HV12" si="193">HV42</f>
        <v>2640401</v>
      </c>
      <c r="HW12" s="1406">
        <v>2971482</v>
      </c>
      <c r="HX12" s="1406">
        <v>2635261</v>
      </c>
      <c r="HY12" s="1406">
        <v>2671810</v>
      </c>
    </row>
    <row r="13" spans="1:233" ht="12.5">
      <c r="A13" s="1320">
        <v>6</v>
      </c>
      <c r="B13" s="1251" t="s">
        <v>327</v>
      </c>
      <c r="C13" s="1316">
        <f>C47</f>
        <v>13235</v>
      </c>
      <c r="D13" s="1248">
        <f t="shared" ref="D13:I13" si="194">D47</f>
        <v>3649</v>
      </c>
      <c r="E13" s="1248">
        <f t="shared" si="194"/>
        <v>824567</v>
      </c>
      <c r="F13" s="1248">
        <f t="shared" si="194"/>
        <v>815384</v>
      </c>
      <c r="G13" s="1248">
        <f t="shared" si="194"/>
        <v>-1316</v>
      </c>
      <c r="H13" s="1248">
        <f t="shared" si="194"/>
        <v>72015</v>
      </c>
      <c r="I13" s="1317">
        <f t="shared" si="194"/>
        <v>9586</v>
      </c>
      <c r="J13" s="1318">
        <f>J47</f>
        <v>955517</v>
      </c>
      <c r="K13" s="1248">
        <f>K47</f>
        <v>110748</v>
      </c>
      <c r="L13" s="1317">
        <f>L47</f>
        <v>968752</v>
      </c>
      <c r="M13" s="1316">
        <f>M47</f>
        <v>33375</v>
      </c>
      <c r="N13" s="1248">
        <f t="shared" ref="N13:S13" si="195">N47</f>
        <v>17541</v>
      </c>
      <c r="O13" s="1248">
        <f t="shared" si="195"/>
        <v>873711</v>
      </c>
      <c r="P13" s="1248">
        <f t="shared" si="195"/>
        <v>819193</v>
      </c>
      <c r="Q13" s="1248">
        <f t="shared" si="195"/>
        <v>-2093</v>
      </c>
      <c r="R13" s="1248">
        <f t="shared" si="195"/>
        <v>70967</v>
      </c>
      <c r="S13" s="1317">
        <f t="shared" si="195"/>
        <v>15834</v>
      </c>
      <c r="T13" s="1318">
        <f>T47</f>
        <v>921501</v>
      </c>
      <c r="U13" s="1248">
        <f>U47</f>
        <v>110055</v>
      </c>
      <c r="V13" s="1317">
        <f>V47</f>
        <v>954876</v>
      </c>
      <c r="W13" s="1316">
        <f>W47</f>
        <v>63018</v>
      </c>
      <c r="X13" s="1248">
        <f t="shared" ref="X13:AC13" si="196">X47</f>
        <v>49486</v>
      </c>
      <c r="Y13" s="1248">
        <f t="shared" si="196"/>
        <v>808105</v>
      </c>
      <c r="Z13" s="1248">
        <f t="shared" si="196"/>
        <v>795240</v>
      </c>
      <c r="AA13" s="1248">
        <f t="shared" si="196"/>
        <v>-5200</v>
      </c>
      <c r="AB13" s="1248">
        <f t="shared" si="196"/>
        <v>68772</v>
      </c>
      <c r="AC13" s="1317">
        <f t="shared" si="196"/>
        <v>13532</v>
      </c>
      <c r="AD13" s="1318">
        <f>AD47</f>
        <v>901258</v>
      </c>
      <c r="AE13" s="1248">
        <f>AE47</f>
        <v>115176</v>
      </c>
      <c r="AF13" s="1317">
        <f>AF47</f>
        <v>964276</v>
      </c>
      <c r="AG13" s="1316">
        <f>AG47</f>
        <v>139823</v>
      </c>
      <c r="AH13" s="1248">
        <f t="shared" ref="AH13:AM13" si="197">AH47</f>
        <v>150691</v>
      </c>
      <c r="AI13" s="1248">
        <f t="shared" si="197"/>
        <v>728605</v>
      </c>
      <c r="AJ13" s="1248">
        <f t="shared" si="197"/>
        <v>705532</v>
      </c>
      <c r="AK13" s="1248">
        <f t="shared" si="197"/>
        <v>692</v>
      </c>
      <c r="AL13" s="1248">
        <f t="shared" si="197"/>
        <v>69088</v>
      </c>
      <c r="AM13" s="1317">
        <f t="shared" si="197"/>
        <v>-10868</v>
      </c>
      <c r="AN13" s="1318">
        <f>AN47</f>
        <v>859260</v>
      </c>
      <c r="AO13" s="1248">
        <f>AO47</f>
        <v>123481</v>
      </c>
      <c r="AP13" s="1317">
        <f>AP47</f>
        <v>999083</v>
      </c>
      <c r="AQ13" s="1316">
        <f>AQ47</f>
        <v>173466</v>
      </c>
      <c r="AR13" s="1248">
        <f t="shared" ref="AR13:AW13" si="198">AR47</f>
        <v>161708</v>
      </c>
      <c r="AS13" s="1248">
        <f t="shared" si="198"/>
        <v>779841</v>
      </c>
      <c r="AT13" s="1248">
        <f t="shared" si="198"/>
        <v>725914</v>
      </c>
      <c r="AU13" s="1248">
        <f t="shared" si="198"/>
        <v>-5714</v>
      </c>
      <c r="AV13" s="1248">
        <f t="shared" si="198"/>
        <v>71729</v>
      </c>
      <c r="AW13" s="1317">
        <f t="shared" si="198"/>
        <v>11758</v>
      </c>
      <c r="AX13" s="1318">
        <f>AX47</f>
        <v>863529</v>
      </c>
      <c r="AY13" s="1248">
        <f>AY47</f>
        <v>121627</v>
      </c>
      <c r="AZ13" s="1317">
        <f>AZ47</f>
        <v>1036995</v>
      </c>
      <c r="BA13" s="1316">
        <f>BA47</f>
        <v>58462</v>
      </c>
      <c r="BB13" s="1248">
        <f t="shared" ref="BB13:BG13" si="199">BB47</f>
        <v>49011</v>
      </c>
      <c r="BC13" s="1248">
        <f t="shared" si="199"/>
        <v>757508</v>
      </c>
      <c r="BD13" s="1248">
        <f t="shared" si="199"/>
        <v>769286</v>
      </c>
      <c r="BE13" s="1248">
        <f t="shared" si="199"/>
        <v>-3802</v>
      </c>
      <c r="BF13" s="1248">
        <f t="shared" si="199"/>
        <v>73232</v>
      </c>
      <c r="BG13" s="1317">
        <f t="shared" si="199"/>
        <v>9451</v>
      </c>
      <c r="BH13" s="1318">
        <f>BH47</f>
        <v>896662</v>
      </c>
      <c r="BI13" s="1248">
        <f>BI47</f>
        <v>128492</v>
      </c>
      <c r="BJ13" s="1317">
        <f>BJ47</f>
        <v>955124</v>
      </c>
      <c r="BK13" s="1316">
        <f>BK47</f>
        <v>42282</v>
      </c>
      <c r="BL13" s="1248">
        <f t="shared" ref="BL13:BQ13" si="200">BL47</f>
        <v>26424</v>
      </c>
      <c r="BM13" s="1248">
        <f t="shared" si="200"/>
        <v>745066</v>
      </c>
      <c r="BN13" s="1248">
        <f t="shared" si="200"/>
        <v>782608</v>
      </c>
      <c r="BO13" s="1248">
        <f t="shared" si="200"/>
        <v>-3097</v>
      </c>
      <c r="BP13" s="1248">
        <f t="shared" si="200"/>
        <v>69967</v>
      </c>
      <c r="BQ13" s="1317">
        <f t="shared" si="200"/>
        <v>15858</v>
      </c>
      <c r="BR13" s="1318">
        <f>BR47</f>
        <v>914063</v>
      </c>
      <c r="BS13" s="1248">
        <f>BS47</f>
        <v>127810</v>
      </c>
      <c r="BT13" s="1317">
        <f>BT47</f>
        <v>956345</v>
      </c>
      <c r="BU13" s="1316">
        <f>BU47</f>
        <v>73722</v>
      </c>
      <c r="BV13" s="1248">
        <f t="shared" ref="BV13:CA13" si="201">BV47</f>
        <v>60200</v>
      </c>
      <c r="BW13" s="1248">
        <f t="shared" si="201"/>
        <v>751826</v>
      </c>
      <c r="BX13" s="1248">
        <f t="shared" si="201"/>
        <v>761347</v>
      </c>
      <c r="BY13" s="1248">
        <f t="shared" si="201"/>
        <v>-3098</v>
      </c>
      <c r="BZ13" s="1248">
        <f t="shared" si="201"/>
        <v>64539</v>
      </c>
      <c r="CA13" s="1317">
        <f t="shared" si="201"/>
        <v>13522</v>
      </c>
      <c r="CB13" s="1318">
        <f>CB47</f>
        <v>889761</v>
      </c>
      <c r="CC13" s="1248">
        <f>CC47</f>
        <v>122655</v>
      </c>
      <c r="CD13" s="1317">
        <f>CD47</f>
        <v>963483</v>
      </c>
      <c r="CE13" s="1316">
        <f>CE47</f>
        <v>101349</v>
      </c>
      <c r="CF13" s="1248">
        <f t="shared" ref="CF13:CK13" si="202">CF47</f>
        <v>112056</v>
      </c>
      <c r="CG13" s="1248">
        <f t="shared" si="202"/>
        <v>792660</v>
      </c>
      <c r="CH13" s="1248">
        <f t="shared" si="202"/>
        <v>758867</v>
      </c>
      <c r="CI13" s="1248">
        <f t="shared" si="202"/>
        <v>-3447</v>
      </c>
      <c r="CJ13" s="1248">
        <f t="shared" si="202"/>
        <v>65187</v>
      </c>
      <c r="CK13" s="1317">
        <f t="shared" si="202"/>
        <v>-10707</v>
      </c>
      <c r="CL13" s="1318">
        <f>CL47</f>
        <v>882854</v>
      </c>
      <c r="CM13" s="1248">
        <f>CM47</f>
        <v>124401</v>
      </c>
      <c r="CN13" s="1317">
        <f>CN47</f>
        <v>984203</v>
      </c>
      <c r="CO13" s="1316">
        <f>CO47</f>
        <v>86268</v>
      </c>
      <c r="CP13" s="1248">
        <f t="shared" ref="CP13:CU13" si="203">CP47</f>
        <v>74746</v>
      </c>
      <c r="CQ13" s="1248">
        <f t="shared" si="203"/>
        <v>787611</v>
      </c>
      <c r="CR13" s="1248">
        <f t="shared" si="203"/>
        <v>772836</v>
      </c>
      <c r="CS13" s="1248">
        <f t="shared" si="203"/>
        <v>-3550</v>
      </c>
      <c r="CT13" s="1248">
        <f t="shared" si="203"/>
        <v>64540</v>
      </c>
      <c r="CU13" s="1317">
        <f t="shared" si="203"/>
        <v>11522</v>
      </c>
      <c r="CV13" s="1318">
        <f>CV47</f>
        <v>929635</v>
      </c>
      <c r="CW13" s="1248">
        <f>CW47</f>
        <v>126909</v>
      </c>
      <c r="CX13" s="1317">
        <f>CX47</f>
        <v>1015903</v>
      </c>
      <c r="CY13" s="1316">
        <f>CY47</f>
        <v>125345</v>
      </c>
      <c r="CZ13" s="1248">
        <f t="shared" ref="CZ13:DE13" si="204">CZ47</f>
        <v>126190</v>
      </c>
      <c r="DA13" s="1248">
        <f t="shared" si="204"/>
        <v>764361</v>
      </c>
      <c r="DB13" s="1248">
        <f t="shared" si="204"/>
        <v>725547</v>
      </c>
      <c r="DC13" s="1248">
        <f t="shared" si="204"/>
        <v>-3230</v>
      </c>
      <c r="DD13" s="1248">
        <f t="shared" si="204"/>
        <v>65249</v>
      </c>
      <c r="DE13" s="1317">
        <f t="shared" si="204"/>
        <v>-845</v>
      </c>
      <c r="DF13" s="1318">
        <f>DF47</f>
        <v>897176</v>
      </c>
      <c r="DG13" s="1248">
        <f>DG47</f>
        <v>126892</v>
      </c>
      <c r="DH13" s="1317">
        <f>DH47</f>
        <v>1022521</v>
      </c>
      <c r="DI13" s="1316">
        <f>DI47</f>
        <v>198598</v>
      </c>
      <c r="DJ13" s="1248">
        <f t="shared" ref="DJ13:DO13" si="205">DJ47</f>
        <v>236910</v>
      </c>
      <c r="DK13" s="1248">
        <f t="shared" si="205"/>
        <v>831451</v>
      </c>
      <c r="DL13" s="1248">
        <f t="shared" si="205"/>
        <v>719755</v>
      </c>
      <c r="DM13" s="1248">
        <f t="shared" si="205"/>
        <v>-2653</v>
      </c>
      <c r="DN13" s="1248">
        <f t="shared" si="205"/>
        <v>54919</v>
      </c>
      <c r="DO13" s="1317">
        <f t="shared" si="205"/>
        <v>-38312</v>
      </c>
      <c r="DP13" s="1318">
        <f>DP47</f>
        <v>867172</v>
      </c>
      <c r="DQ13" s="1248">
        <f>DQ47</f>
        <v>119194</v>
      </c>
      <c r="DR13" s="1317">
        <f>DR47</f>
        <v>1065770</v>
      </c>
      <c r="DS13" s="1316">
        <f>DS47</f>
        <v>178310</v>
      </c>
      <c r="DT13" s="1248">
        <f t="shared" ref="DT13:DY13" si="206">DT47</f>
        <v>237196</v>
      </c>
      <c r="DU13" s="1248">
        <f t="shared" si="206"/>
        <v>846275</v>
      </c>
      <c r="DV13" s="1248">
        <f t="shared" si="206"/>
        <v>760389</v>
      </c>
      <c r="DW13" s="1248">
        <f t="shared" si="206"/>
        <v>-2759</v>
      </c>
      <c r="DX13" s="1248">
        <f t="shared" si="206"/>
        <v>56359</v>
      </c>
      <c r="DY13" s="1317">
        <f t="shared" si="206"/>
        <v>-58886</v>
      </c>
      <c r="DZ13" s="1318">
        <f>DZ47</f>
        <v>892893</v>
      </c>
      <c r="EA13" s="1248">
        <f>EA47</f>
        <v>119714</v>
      </c>
      <c r="EB13" s="1317">
        <f>EB47</f>
        <v>1071203</v>
      </c>
      <c r="EC13" s="1316">
        <f>EC47</f>
        <v>149723</v>
      </c>
      <c r="ED13" s="1248">
        <f t="shared" ref="ED13:EI13" si="207">ED47</f>
        <v>233560</v>
      </c>
      <c r="EE13" s="1248">
        <f t="shared" si="207"/>
        <v>836225</v>
      </c>
      <c r="EF13" s="1248">
        <f t="shared" si="207"/>
        <v>779247</v>
      </c>
      <c r="EG13" s="1248">
        <f t="shared" si="207"/>
        <v>-2612</v>
      </c>
      <c r="EH13" s="1248">
        <f t="shared" si="207"/>
        <v>55841</v>
      </c>
      <c r="EI13" s="1317">
        <f t="shared" si="207"/>
        <v>-83837</v>
      </c>
      <c r="EJ13" s="1318">
        <f>EJ47</f>
        <v>930324</v>
      </c>
      <c r="EK13" s="1248">
        <f>EK47</f>
        <v>121849</v>
      </c>
      <c r="EL13" s="1317">
        <f>EL47</f>
        <v>1080047</v>
      </c>
      <c r="EM13" s="1318">
        <f>EM47</f>
        <v>241903</v>
      </c>
      <c r="EN13" s="1248">
        <f t="shared" ref="EN13:EV13" si="208">EN47</f>
        <v>262052</v>
      </c>
      <c r="EO13" s="1248">
        <f t="shared" si="208"/>
        <v>790306</v>
      </c>
      <c r="EP13" s="1248">
        <f t="shared" si="208"/>
        <v>688847</v>
      </c>
      <c r="EQ13" s="1319">
        <f t="shared" si="208"/>
        <v>-2071</v>
      </c>
      <c r="ER13" s="1319">
        <f t="shared" si="208"/>
        <v>57276</v>
      </c>
      <c r="ES13" s="850">
        <f t="shared" si="208"/>
        <v>-20149</v>
      </c>
      <c r="ET13" s="1318">
        <f t="shared" si="208"/>
        <v>858568</v>
      </c>
      <c r="EU13" s="1248">
        <f t="shared" si="208"/>
        <v>126398</v>
      </c>
      <c r="EV13" s="1317">
        <f t="shared" si="208"/>
        <v>1100471</v>
      </c>
      <c r="EW13" s="1414">
        <f>EW47</f>
        <v>128544</v>
      </c>
      <c r="EX13" s="1310">
        <f t="shared" ref="EX13:FB13" si="209">EX47</f>
        <v>150553</v>
      </c>
      <c r="EY13" s="1310">
        <f t="shared" si="209"/>
        <v>886779</v>
      </c>
      <c r="EZ13" s="1310">
        <f t="shared" si="209"/>
        <v>736226</v>
      </c>
      <c r="FA13" s="1319">
        <f t="shared" si="209"/>
        <v>-1169</v>
      </c>
      <c r="FB13" s="1319">
        <f t="shared" si="209"/>
        <v>56046</v>
      </c>
      <c r="FC13" s="1415">
        <f t="shared" ref="FC13:FF13" si="210">FC47</f>
        <v>-22009</v>
      </c>
      <c r="FD13" s="1414">
        <f t="shared" si="210"/>
        <v>851074</v>
      </c>
      <c r="FE13" s="1310">
        <f t="shared" si="210"/>
        <v>127230</v>
      </c>
      <c r="FF13" s="1415">
        <f t="shared" si="210"/>
        <v>1127246</v>
      </c>
      <c r="FG13" s="1414">
        <f>FG47</f>
        <v>-46617</v>
      </c>
      <c r="FH13" s="1310">
        <f t="shared" ref="FH13:FM13" si="211">FH47</f>
        <v>-24608</v>
      </c>
      <c r="FI13" s="1310">
        <f t="shared" si="211"/>
        <v>900999</v>
      </c>
      <c r="FJ13" s="1310">
        <f t="shared" si="211"/>
        <v>925607</v>
      </c>
      <c r="FK13" s="1319">
        <f t="shared" si="211"/>
        <v>-2017</v>
      </c>
      <c r="FL13" s="1319">
        <f t="shared" si="211"/>
        <v>59895</v>
      </c>
      <c r="FM13" s="1415">
        <f t="shared" si="211"/>
        <v>-22009</v>
      </c>
      <c r="FN13" s="1414">
        <f t="shared" ref="FN13:FP13" si="212">FN47</f>
        <v>997626</v>
      </c>
      <c r="FO13" s="1310">
        <f t="shared" si="212"/>
        <v>131189</v>
      </c>
      <c r="FP13" s="1415">
        <f t="shared" si="212"/>
        <v>1110408</v>
      </c>
      <c r="FQ13" s="1310"/>
      <c r="FR13" s="1414">
        <f>FR47</f>
        <v>139852</v>
      </c>
      <c r="FS13" s="1310">
        <f t="shared" ref="FS13:GA13" si="213">FS47</f>
        <v>161861</v>
      </c>
      <c r="FT13" s="1310">
        <f t="shared" si="213"/>
        <v>1008604</v>
      </c>
      <c r="FU13" s="1310">
        <f t="shared" si="213"/>
        <v>846743</v>
      </c>
      <c r="FV13" s="1319">
        <f t="shared" si="213"/>
        <v>-2223</v>
      </c>
      <c r="FW13" s="1319">
        <f t="shared" si="213"/>
        <v>61331</v>
      </c>
      <c r="FX13" s="1415">
        <f t="shared" si="213"/>
        <v>-22009</v>
      </c>
      <c r="FY13" s="1310">
        <f t="shared" si="213"/>
        <v>927126</v>
      </c>
      <c r="FZ13" s="1310">
        <f t="shared" si="213"/>
        <v>134294</v>
      </c>
      <c r="GA13" s="1311">
        <f t="shared" si="213"/>
        <v>1049490</v>
      </c>
      <c r="GB13" s="1309">
        <f>GB47</f>
        <v>91689</v>
      </c>
      <c r="GC13" s="1310">
        <f t="shared" ref="GC13:GK13" si="214">GC47</f>
        <v>113698</v>
      </c>
      <c r="GD13" s="1310">
        <f t="shared" si="214"/>
        <v>1078085</v>
      </c>
      <c r="GE13" s="1310">
        <f t="shared" si="214"/>
        <v>964387</v>
      </c>
      <c r="GF13" s="1319">
        <f t="shared" si="214"/>
        <v>-2324</v>
      </c>
      <c r="GG13" s="1319">
        <f t="shared" si="214"/>
        <v>31475</v>
      </c>
      <c r="GH13" s="1310">
        <f t="shared" si="214"/>
        <v>-22009</v>
      </c>
      <c r="GI13" s="1414">
        <f t="shared" si="214"/>
        <v>1040615</v>
      </c>
      <c r="GJ13" s="1310">
        <f t="shared" si="214"/>
        <v>140457</v>
      </c>
      <c r="GK13" s="1415">
        <f t="shared" si="214"/>
        <v>1049490</v>
      </c>
      <c r="GL13" s="1309">
        <f>GL47</f>
        <v>18455</v>
      </c>
      <c r="GM13" s="1310">
        <f t="shared" ref="GM13:GU13" si="215">GM47</f>
        <v>40464</v>
      </c>
      <c r="GN13" s="1310">
        <f t="shared" si="215"/>
        <v>1025718</v>
      </c>
      <c r="GO13" s="1310">
        <f t="shared" si="215"/>
        <v>985254</v>
      </c>
      <c r="GP13" s="1319">
        <f t="shared" si="215"/>
        <v>-2216</v>
      </c>
      <c r="GQ13" s="1319">
        <f t="shared" si="215"/>
        <v>31193</v>
      </c>
      <c r="GR13" s="1310">
        <f t="shared" si="215"/>
        <v>-22009</v>
      </c>
      <c r="GS13" s="1414">
        <f t="shared" si="215"/>
        <v>1070692</v>
      </c>
      <c r="GT13" s="1310">
        <f t="shared" si="215"/>
        <v>145410</v>
      </c>
      <c r="GU13" s="1415">
        <f t="shared" si="215"/>
        <v>1070692</v>
      </c>
      <c r="GV13" s="1309">
        <f>GV47</f>
        <v>-11539</v>
      </c>
      <c r="GW13" s="1310">
        <f t="shared" ref="GW13:HE13" si="216">GW47</f>
        <v>10470</v>
      </c>
      <c r="GX13" s="1310">
        <f t="shared" si="216"/>
        <v>1034884</v>
      </c>
      <c r="GY13" s="1310">
        <f t="shared" si="216"/>
        <v>1024414</v>
      </c>
      <c r="GZ13" s="1319">
        <f t="shared" si="216"/>
        <v>-2235</v>
      </c>
      <c r="HA13" s="1319">
        <f t="shared" si="216"/>
        <v>11607</v>
      </c>
      <c r="HB13" s="1310">
        <f t="shared" si="216"/>
        <v>-22009</v>
      </c>
      <c r="HC13" s="1414">
        <f t="shared" si="216"/>
        <v>1037662</v>
      </c>
      <c r="HD13" s="1310">
        <f t="shared" si="216"/>
        <v>-11990</v>
      </c>
      <c r="HE13" s="1415">
        <f t="shared" si="216"/>
        <v>1075209</v>
      </c>
      <c r="HF13" s="1309">
        <f>HF47</f>
        <v>-19900</v>
      </c>
      <c r="HG13" s="1310">
        <f t="shared" ref="HG13:HO13" si="217">HG47</f>
        <v>2109</v>
      </c>
      <c r="HH13" s="1310">
        <f t="shared" si="217"/>
        <v>1051123</v>
      </c>
      <c r="HI13" s="1310">
        <f t="shared" si="217"/>
        <v>1049014</v>
      </c>
      <c r="HJ13" s="1319">
        <f t="shared" si="217"/>
        <v>-2271</v>
      </c>
      <c r="HK13" s="1319">
        <f t="shared" si="217"/>
        <v>11607</v>
      </c>
      <c r="HL13" s="1310">
        <f t="shared" si="217"/>
        <v>-22009</v>
      </c>
      <c r="HM13" s="1414">
        <f t="shared" si="217"/>
        <v>1037662</v>
      </c>
      <c r="HN13" s="1310">
        <f t="shared" si="217"/>
        <v>-11990</v>
      </c>
      <c r="HO13" s="1415">
        <f t="shared" si="217"/>
        <v>1080464</v>
      </c>
      <c r="HP13" s="1314"/>
      <c r="HQ13" s="1310">
        <f>市町名目!J12</f>
        <v>1080047</v>
      </c>
      <c r="HR13" s="1310">
        <f>市町名目!K12</f>
        <v>1100471</v>
      </c>
      <c r="HS13" s="1310">
        <f>市町名目!L12</f>
        <v>1127246</v>
      </c>
      <c r="HT13" s="1310">
        <f>市町名目!M12</f>
        <v>1110408</v>
      </c>
      <c r="HU13" s="1310">
        <f t="shared" ref="HU13" si="218">HU47</f>
        <v>1129678</v>
      </c>
      <c r="HV13" s="1310">
        <f t="shared" ref="HV13" si="219">HV47</f>
        <v>1114276</v>
      </c>
      <c r="HW13" s="1406">
        <v>1224232</v>
      </c>
      <c r="HX13" s="1406">
        <v>1075209</v>
      </c>
      <c r="HY13" s="1406">
        <v>1080464</v>
      </c>
    </row>
    <row r="14" spans="1:233" ht="12.5">
      <c r="A14" s="1320">
        <v>7</v>
      </c>
      <c r="B14" s="1251" t="s">
        <v>210</v>
      </c>
      <c r="C14" s="1316">
        <f>C55</f>
        <v>-43489</v>
      </c>
      <c r="D14" s="1248">
        <f t="shared" ref="D14:I14" si="220">D55</f>
        <v>-49674</v>
      </c>
      <c r="E14" s="1248">
        <f t="shared" si="220"/>
        <v>532056</v>
      </c>
      <c r="F14" s="1248">
        <f t="shared" si="220"/>
        <v>570529</v>
      </c>
      <c r="G14" s="1248">
        <f t="shared" si="220"/>
        <v>-848</v>
      </c>
      <c r="H14" s="1248">
        <f t="shared" si="220"/>
        <v>62263</v>
      </c>
      <c r="I14" s="1317">
        <f t="shared" si="220"/>
        <v>6185</v>
      </c>
      <c r="J14" s="1318">
        <f>J55</f>
        <v>668582</v>
      </c>
      <c r="K14" s="1248">
        <f>K55</f>
        <v>95750</v>
      </c>
      <c r="L14" s="1317">
        <f>L55</f>
        <v>625093</v>
      </c>
      <c r="M14" s="1316">
        <f>M55</f>
        <v>-38241</v>
      </c>
      <c r="N14" s="1248">
        <f t="shared" ref="N14:S14" si="221">N55</f>
        <v>-48362</v>
      </c>
      <c r="O14" s="1248">
        <f t="shared" si="221"/>
        <v>558463</v>
      </c>
      <c r="P14" s="1248">
        <f t="shared" si="221"/>
        <v>576575</v>
      </c>
      <c r="Q14" s="1248">
        <f t="shared" si="221"/>
        <v>-1339</v>
      </c>
      <c r="R14" s="1248">
        <f t="shared" si="221"/>
        <v>61937</v>
      </c>
      <c r="S14" s="1317">
        <f t="shared" si="221"/>
        <v>10121</v>
      </c>
      <c r="T14" s="1318">
        <f>T55</f>
        <v>648584</v>
      </c>
      <c r="U14" s="1248">
        <f>U55</f>
        <v>96050</v>
      </c>
      <c r="V14" s="1317">
        <f>V55</f>
        <v>610343</v>
      </c>
      <c r="W14" s="1316">
        <f>W55</f>
        <v>-27210</v>
      </c>
      <c r="X14" s="1248">
        <f t="shared" ref="X14:AC14" si="222">X55</f>
        <v>-35748</v>
      </c>
      <c r="Y14" s="1248">
        <f t="shared" si="222"/>
        <v>509926</v>
      </c>
      <c r="Z14" s="1248">
        <f t="shared" si="222"/>
        <v>560906</v>
      </c>
      <c r="AA14" s="1248">
        <f t="shared" si="222"/>
        <v>-3282</v>
      </c>
      <c r="AB14" s="1248">
        <f t="shared" si="222"/>
        <v>60536</v>
      </c>
      <c r="AC14" s="1317">
        <f t="shared" si="222"/>
        <v>8538</v>
      </c>
      <c r="AD14" s="1318">
        <f>AD55</f>
        <v>635682</v>
      </c>
      <c r="AE14" s="1248">
        <f>AE55</f>
        <v>101384</v>
      </c>
      <c r="AF14" s="1317">
        <f>AF55</f>
        <v>608472</v>
      </c>
      <c r="AG14" s="1316">
        <f>AG55</f>
        <v>10307</v>
      </c>
      <c r="AH14" s="1248">
        <f t="shared" ref="AH14:AM14" si="223">AH55</f>
        <v>17116</v>
      </c>
      <c r="AI14" s="1248">
        <f t="shared" si="223"/>
        <v>456552</v>
      </c>
      <c r="AJ14" s="1248">
        <f t="shared" si="223"/>
        <v>505573</v>
      </c>
      <c r="AK14" s="1248">
        <f t="shared" si="223"/>
        <v>433</v>
      </c>
      <c r="AL14" s="1248">
        <f t="shared" si="223"/>
        <v>60760</v>
      </c>
      <c r="AM14" s="1317">
        <f t="shared" si="223"/>
        <v>-6809</v>
      </c>
      <c r="AN14" s="1318">
        <f>AN55</f>
        <v>615730</v>
      </c>
      <c r="AO14" s="1248">
        <f>AO55</f>
        <v>108595</v>
      </c>
      <c r="AP14" s="1317">
        <f>AP55</f>
        <v>626037</v>
      </c>
      <c r="AQ14" s="1316">
        <f>AQ55</f>
        <v>27865</v>
      </c>
      <c r="AR14" s="1248">
        <f t="shared" ref="AR14:AW14" si="224">AR55</f>
        <v>20764</v>
      </c>
      <c r="AS14" s="1248">
        <f t="shared" si="224"/>
        <v>470887</v>
      </c>
      <c r="AT14" s="1248">
        <f t="shared" si="224"/>
        <v>502951</v>
      </c>
      <c r="AU14" s="1248">
        <f t="shared" si="224"/>
        <v>-3451</v>
      </c>
      <c r="AV14" s="1248">
        <f t="shared" si="224"/>
        <v>65020</v>
      </c>
      <c r="AW14" s="1317">
        <f t="shared" si="224"/>
        <v>7101</v>
      </c>
      <c r="AX14" s="1318">
        <f>AX55</f>
        <v>598298</v>
      </c>
      <c r="AY14" s="1248">
        <f>AY55</f>
        <v>110251</v>
      </c>
      <c r="AZ14" s="1317">
        <f>AZ55</f>
        <v>626163</v>
      </c>
      <c r="BA14" s="1316">
        <f>BA55</f>
        <v>-81978</v>
      </c>
      <c r="BB14" s="1248">
        <f t="shared" ref="BB14:BG14" si="225">BB55</f>
        <v>-87573</v>
      </c>
      <c r="BC14" s="1248">
        <f t="shared" si="225"/>
        <v>448426</v>
      </c>
      <c r="BD14" s="1248">
        <f t="shared" si="225"/>
        <v>555422</v>
      </c>
      <c r="BE14" s="1248">
        <f t="shared" si="225"/>
        <v>-2250</v>
      </c>
      <c r="BF14" s="1248">
        <f t="shared" si="225"/>
        <v>66258</v>
      </c>
      <c r="BG14" s="1317">
        <f t="shared" si="225"/>
        <v>5595</v>
      </c>
      <c r="BH14" s="1318">
        <f>BH55</f>
        <v>647388</v>
      </c>
      <c r="BI14" s="1248">
        <f>BI55</f>
        <v>116256</v>
      </c>
      <c r="BJ14" s="1317">
        <f>BJ55</f>
        <v>565410</v>
      </c>
      <c r="BK14" s="1316">
        <f>BK55</f>
        <v>-78757</v>
      </c>
      <c r="BL14" s="1248">
        <f t="shared" ref="BL14:BQ14" si="226">BL55</f>
        <v>-88224</v>
      </c>
      <c r="BM14" s="1248">
        <f t="shared" si="226"/>
        <v>444780</v>
      </c>
      <c r="BN14" s="1248">
        <f t="shared" si="226"/>
        <v>556235</v>
      </c>
      <c r="BO14" s="1248">
        <f t="shared" si="226"/>
        <v>-1849</v>
      </c>
      <c r="BP14" s="1248">
        <f t="shared" si="226"/>
        <v>64660</v>
      </c>
      <c r="BQ14" s="1317">
        <f t="shared" si="226"/>
        <v>9467</v>
      </c>
      <c r="BR14" s="1318">
        <f>BR55</f>
        <v>649666</v>
      </c>
      <c r="BS14" s="1248">
        <f>BS55</f>
        <v>118115</v>
      </c>
      <c r="BT14" s="1317">
        <f>BT55</f>
        <v>570909</v>
      </c>
      <c r="BU14" s="1316">
        <f>BU55</f>
        <v>-34995</v>
      </c>
      <c r="BV14" s="1248">
        <f t="shared" ref="BV14:CA14" si="227">BV55</f>
        <v>-43565</v>
      </c>
      <c r="BW14" s="1248">
        <f t="shared" si="227"/>
        <v>476535</v>
      </c>
      <c r="BX14" s="1248">
        <f t="shared" si="227"/>
        <v>552498</v>
      </c>
      <c r="BY14" s="1248">
        <f t="shared" si="227"/>
        <v>-1963</v>
      </c>
      <c r="BZ14" s="1248">
        <f t="shared" si="227"/>
        <v>61736</v>
      </c>
      <c r="CA14" s="1317">
        <f t="shared" si="227"/>
        <v>8570</v>
      </c>
      <c r="CB14" s="1318">
        <f>CB55</f>
        <v>645686</v>
      </c>
      <c r="CC14" s="1248">
        <f>CC55</f>
        <v>117333</v>
      </c>
      <c r="CD14" s="1317">
        <f>CD55</f>
        <v>610691</v>
      </c>
      <c r="CE14" s="1316">
        <f>CE55</f>
        <v>-29234</v>
      </c>
      <c r="CF14" s="1248">
        <f t="shared" ref="CF14:CK14" si="228">CF55</f>
        <v>-22572</v>
      </c>
      <c r="CG14" s="1248">
        <f t="shared" si="228"/>
        <v>493319</v>
      </c>
      <c r="CH14" s="1248">
        <f t="shared" si="228"/>
        <v>551632</v>
      </c>
      <c r="CI14" s="1248">
        <f t="shared" si="228"/>
        <v>-2146</v>
      </c>
      <c r="CJ14" s="1248">
        <f t="shared" si="228"/>
        <v>62171</v>
      </c>
      <c r="CK14" s="1317">
        <f t="shared" si="228"/>
        <v>-6662</v>
      </c>
      <c r="CL14" s="1318">
        <f>CL55</f>
        <v>641760</v>
      </c>
      <c r="CM14" s="1248">
        <f>CM55</f>
        <v>118645</v>
      </c>
      <c r="CN14" s="1317">
        <f>CN55</f>
        <v>612526</v>
      </c>
      <c r="CO14" s="1316">
        <f>CO55</f>
        <v>-15558</v>
      </c>
      <c r="CP14" s="1248">
        <f t="shared" ref="CP14:CU14" si="229">CP55</f>
        <v>-22703</v>
      </c>
      <c r="CQ14" s="1248">
        <f t="shared" si="229"/>
        <v>488455</v>
      </c>
      <c r="CR14" s="1248">
        <f t="shared" si="229"/>
        <v>536703</v>
      </c>
      <c r="CS14" s="1248">
        <f t="shared" si="229"/>
        <v>-2201</v>
      </c>
      <c r="CT14" s="1248">
        <f t="shared" si="229"/>
        <v>60505</v>
      </c>
      <c r="CU14" s="1317">
        <f t="shared" si="229"/>
        <v>7145</v>
      </c>
      <c r="CV14" s="1318">
        <f>CV55</f>
        <v>645594</v>
      </c>
      <c r="CW14" s="1248">
        <f>CW55</f>
        <v>118975</v>
      </c>
      <c r="CX14" s="1317">
        <f>CX55</f>
        <v>630036</v>
      </c>
      <c r="CY14" s="1316">
        <f>CY55</f>
        <v>-10292</v>
      </c>
      <c r="CZ14" s="1248">
        <f t="shared" ref="CZ14:DE14" si="230">CZ55</f>
        <v>-9777</v>
      </c>
      <c r="DA14" s="1248">
        <f t="shared" si="230"/>
        <v>465477</v>
      </c>
      <c r="DB14" s="1248">
        <f t="shared" si="230"/>
        <v>511894</v>
      </c>
      <c r="DC14" s="1248">
        <f t="shared" si="230"/>
        <v>-1966</v>
      </c>
      <c r="DD14" s="1248">
        <f t="shared" si="230"/>
        <v>62142</v>
      </c>
      <c r="DE14" s="1317">
        <f t="shared" si="230"/>
        <v>-515</v>
      </c>
      <c r="DF14" s="1318">
        <f>DF55</f>
        <v>632982</v>
      </c>
      <c r="DG14" s="1248">
        <f>DG55</f>
        <v>120849</v>
      </c>
      <c r="DH14" s="1317">
        <f>DH55</f>
        <v>622690</v>
      </c>
      <c r="DI14" s="1316">
        <f>DI55</f>
        <v>-51601</v>
      </c>
      <c r="DJ14" s="1248">
        <f t="shared" ref="DJ14:DO14" si="231">DJ55</f>
        <v>-28703</v>
      </c>
      <c r="DK14" s="1248">
        <f t="shared" si="231"/>
        <v>496959</v>
      </c>
      <c r="DL14" s="1248">
        <f t="shared" si="231"/>
        <v>571548</v>
      </c>
      <c r="DM14" s="1248">
        <f t="shared" si="231"/>
        <v>-1587</v>
      </c>
      <c r="DN14" s="1248">
        <f t="shared" si="231"/>
        <v>52416</v>
      </c>
      <c r="DO14" s="1317">
        <f t="shared" si="231"/>
        <v>-22898</v>
      </c>
      <c r="DP14" s="1318">
        <f>DP55</f>
        <v>688611</v>
      </c>
      <c r="DQ14" s="1248">
        <f>DQ55</f>
        <v>113762</v>
      </c>
      <c r="DR14" s="1317">
        <f>DR55</f>
        <v>637010</v>
      </c>
      <c r="DS14" s="1316">
        <f>DS55</f>
        <v>-308</v>
      </c>
      <c r="DT14" s="1248">
        <f t="shared" ref="DT14:DY14" si="232">DT55</f>
        <v>34066</v>
      </c>
      <c r="DU14" s="1248">
        <f t="shared" si="232"/>
        <v>494014</v>
      </c>
      <c r="DV14" s="1248">
        <f t="shared" si="232"/>
        <v>532781</v>
      </c>
      <c r="DW14" s="1248">
        <f t="shared" si="232"/>
        <v>-1610</v>
      </c>
      <c r="DX14" s="1248">
        <f t="shared" si="232"/>
        <v>51951</v>
      </c>
      <c r="DY14" s="1317">
        <f t="shared" si="232"/>
        <v>-34374</v>
      </c>
      <c r="DZ14" s="1318">
        <f>DZ55</f>
        <v>625623</v>
      </c>
      <c r="EA14" s="1248">
        <f>EA55</f>
        <v>110352</v>
      </c>
      <c r="EB14" s="1317">
        <f>EB55</f>
        <v>625315</v>
      </c>
      <c r="EC14" s="1316">
        <f>EC55</f>
        <v>-5314</v>
      </c>
      <c r="ED14" s="1248">
        <f t="shared" ref="ED14:EI14" si="233">ED55</f>
        <v>44080</v>
      </c>
      <c r="EE14" s="1248">
        <f t="shared" si="233"/>
        <v>492675</v>
      </c>
      <c r="EF14" s="1248">
        <f t="shared" si="233"/>
        <v>537444</v>
      </c>
      <c r="EG14" s="1248">
        <f t="shared" si="233"/>
        <v>-1540</v>
      </c>
      <c r="EH14" s="1248">
        <f t="shared" si="233"/>
        <v>52118</v>
      </c>
      <c r="EI14" s="1317">
        <f t="shared" si="233"/>
        <v>-49394</v>
      </c>
      <c r="EJ14" s="1318">
        <f>EJ55</f>
        <v>641641</v>
      </c>
      <c r="EK14" s="1248">
        <f>EK55</f>
        <v>113728</v>
      </c>
      <c r="EL14" s="1317">
        <f>EL55</f>
        <v>636327</v>
      </c>
      <c r="EM14" s="1318">
        <f>EM55</f>
        <v>52471</v>
      </c>
      <c r="EN14" s="1248">
        <f t="shared" ref="EN14:EV14" si="234">EN55</f>
        <v>64175</v>
      </c>
      <c r="EO14" s="1248">
        <f t="shared" si="234"/>
        <v>459016</v>
      </c>
      <c r="EP14" s="1248">
        <f t="shared" si="234"/>
        <v>470715</v>
      </c>
      <c r="EQ14" s="1319">
        <f t="shared" si="234"/>
        <v>-1203</v>
      </c>
      <c r="ER14" s="1319">
        <f t="shared" si="234"/>
        <v>54301</v>
      </c>
      <c r="ES14" s="850">
        <f t="shared" si="234"/>
        <v>-11704</v>
      </c>
      <c r="ET14" s="1318">
        <f t="shared" si="234"/>
        <v>586691</v>
      </c>
      <c r="EU14" s="1248">
        <f t="shared" si="234"/>
        <v>119833</v>
      </c>
      <c r="EV14" s="1317">
        <f t="shared" si="234"/>
        <v>639162</v>
      </c>
      <c r="EW14" s="1414">
        <f>EW55</f>
        <v>-59504</v>
      </c>
      <c r="EX14" s="1310">
        <f t="shared" ref="EX14:FB14" si="235">EX55</f>
        <v>-47703</v>
      </c>
      <c r="EY14" s="1310">
        <f t="shared" si="235"/>
        <v>475533</v>
      </c>
      <c r="EZ14" s="1310">
        <f t="shared" si="235"/>
        <v>523236</v>
      </c>
      <c r="FA14" s="1319">
        <f t="shared" si="235"/>
        <v>-627</v>
      </c>
      <c r="FB14" s="1319">
        <f t="shared" si="235"/>
        <v>54040</v>
      </c>
      <c r="FC14" s="1415">
        <f t="shared" ref="FC14:FF14" si="236">FC55</f>
        <v>-11801</v>
      </c>
      <c r="FD14" s="1414">
        <f t="shared" si="236"/>
        <v>604859</v>
      </c>
      <c r="FE14" s="1310">
        <f t="shared" si="236"/>
        <v>122677</v>
      </c>
      <c r="FF14" s="1415">
        <f t="shared" si="236"/>
        <v>604482</v>
      </c>
      <c r="FG14" s="1414">
        <f>FG55</f>
        <v>-138942</v>
      </c>
      <c r="FH14" s="1310">
        <f t="shared" ref="FH14:FM14" si="237">FH55</f>
        <v>-127141</v>
      </c>
      <c r="FI14" s="1310">
        <f t="shared" si="237"/>
        <v>481605</v>
      </c>
      <c r="FJ14" s="1310">
        <f t="shared" si="237"/>
        <v>608746</v>
      </c>
      <c r="FK14" s="1319">
        <f t="shared" si="237"/>
        <v>-1078</v>
      </c>
      <c r="FL14" s="1319">
        <f t="shared" si="237"/>
        <v>58240</v>
      </c>
      <c r="FM14" s="1415">
        <f t="shared" si="237"/>
        <v>-11801</v>
      </c>
      <c r="FN14" s="1414">
        <f t="shared" ref="FN14:FP14" si="238">FN55</f>
        <v>656109</v>
      </c>
      <c r="FO14" s="1310">
        <f t="shared" si="238"/>
        <v>127567</v>
      </c>
      <c r="FP14" s="1415">
        <f t="shared" si="238"/>
        <v>593538</v>
      </c>
      <c r="FQ14" s="1310"/>
      <c r="FR14" s="1414">
        <f>FR55</f>
        <v>112695</v>
      </c>
      <c r="FS14" s="1310">
        <f t="shared" ref="FS14:GA14" si="239">FS55</f>
        <v>124496</v>
      </c>
      <c r="FT14" s="1310">
        <f t="shared" si="239"/>
        <v>686616</v>
      </c>
      <c r="FU14" s="1310">
        <f t="shared" si="239"/>
        <v>562120</v>
      </c>
      <c r="FV14" s="1319">
        <f t="shared" si="239"/>
        <v>-1513</v>
      </c>
      <c r="FW14" s="1319">
        <f t="shared" si="239"/>
        <v>57562</v>
      </c>
      <c r="FX14" s="1415">
        <f t="shared" si="239"/>
        <v>-11801</v>
      </c>
      <c r="FY14" s="1310">
        <f t="shared" si="239"/>
        <v>615481</v>
      </c>
      <c r="FZ14" s="1310">
        <f t="shared" si="239"/>
        <v>126039</v>
      </c>
      <c r="GA14" s="1311">
        <f t="shared" si="239"/>
        <v>714449</v>
      </c>
      <c r="GB14" s="1309">
        <f>GB55</f>
        <v>64935</v>
      </c>
      <c r="GC14" s="1310">
        <f t="shared" ref="GC14:GK14" si="240">GC55</f>
        <v>76736</v>
      </c>
      <c r="GD14" s="1310">
        <f t="shared" si="240"/>
        <v>733915</v>
      </c>
      <c r="GE14" s="1310">
        <f t="shared" si="240"/>
        <v>657179</v>
      </c>
      <c r="GF14" s="1319">
        <f t="shared" si="240"/>
        <v>-1582</v>
      </c>
      <c r="GG14" s="1319">
        <f t="shared" si="240"/>
        <v>30336</v>
      </c>
      <c r="GH14" s="1310">
        <f t="shared" si="240"/>
        <v>-11801</v>
      </c>
      <c r="GI14" s="1414">
        <f t="shared" si="240"/>
        <v>709124</v>
      </c>
      <c r="GJ14" s="1310">
        <f t="shared" si="240"/>
        <v>135377</v>
      </c>
      <c r="GK14" s="1415">
        <f t="shared" si="240"/>
        <v>714449</v>
      </c>
      <c r="GL14" s="1309">
        <f>GL55</f>
        <v>16013</v>
      </c>
      <c r="GM14" s="1310">
        <f t="shared" ref="GM14:GU14" si="241">GM55</f>
        <v>27814</v>
      </c>
      <c r="GN14" s="1310">
        <f t="shared" si="241"/>
        <v>705013</v>
      </c>
      <c r="GO14" s="1310">
        <f t="shared" si="241"/>
        <v>677199</v>
      </c>
      <c r="GP14" s="1319">
        <f t="shared" si="241"/>
        <v>-1523</v>
      </c>
      <c r="GQ14" s="1319">
        <f t="shared" si="241"/>
        <v>29899</v>
      </c>
      <c r="GR14" s="1310">
        <f t="shared" si="241"/>
        <v>-11801</v>
      </c>
      <c r="GS14" s="1414">
        <f t="shared" si="241"/>
        <v>735924</v>
      </c>
      <c r="GT14" s="1310">
        <f t="shared" si="241"/>
        <v>139375</v>
      </c>
      <c r="GU14" s="1415">
        <f t="shared" si="241"/>
        <v>735924</v>
      </c>
      <c r="GV14" s="1309">
        <f>GV55</f>
        <v>-26985</v>
      </c>
      <c r="GW14" s="1310">
        <f t="shared" ref="GW14:HE14" si="242">GW55</f>
        <v>-15184</v>
      </c>
      <c r="GX14" s="1310">
        <f t="shared" si="242"/>
        <v>696777</v>
      </c>
      <c r="GY14" s="1310">
        <f t="shared" si="242"/>
        <v>711961</v>
      </c>
      <c r="GZ14" s="1319">
        <f t="shared" si="242"/>
        <v>-1505</v>
      </c>
      <c r="HA14" s="1319">
        <f t="shared" si="242"/>
        <v>43343</v>
      </c>
      <c r="HB14" s="1310">
        <f t="shared" si="242"/>
        <v>-11801</v>
      </c>
      <c r="HC14" s="1414">
        <f t="shared" si="242"/>
        <v>721168</v>
      </c>
      <c r="HD14" s="1310">
        <f t="shared" si="242"/>
        <v>-44775</v>
      </c>
      <c r="HE14" s="1415">
        <f t="shared" si="242"/>
        <v>723927</v>
      </c>
      <c r="HF14" s="1309">
        <f>HF55</f>
        <v>-48691</v>
      </c>
      <c r="HG14" s="1310">
        <f t="shared" ref="HG14:HO14" si="243">HG55</f>
        <v>-36890</v>
      </c>
      <c r="HH14" s="1310">
        <f t="shared" si="243"/>
        <v>692168</v>
      </c>
      <c r="HI14" s="1310">
        <f t="shared" si="243"/>
        <v>729058</v>
      </c>
      <c r="HJ14" s="1319">
        <f t="shared" si="243"/>
        <v>-1495</v>
      </c>
      <c r="HK14" s="1319">
        <f t="shared" si="243"/>
        <v>43343</v>
      </c>
      <c r="HL14" s="1310">
        <f t="shared" si="243"/>
        <v>-11801</v>
      </c>
      <c r="HM14" s="1414">
        <f t="shared" si="243"/>
        <v>721168</v>
      </c>
      <c r="HN14" s="1310">
        <f t="shared" si="243"/>
        <v>-44775</v>
      </c>
      <c r="HO14" s="1415">
        <f t="shared" si="243"/>
        <v>711488</v>
      </c>
      <c r="HP14" s="1314"/>
      <c r="HQ14" s="1310">
        <f>市町名目!J13</f>
        <v>636327</v>
      </c>
      <c r="HR14" s="1310">
        <f>市町名目!K13</f>
        <v>639162</v>
      </c>
      <c r="HS14" s="1310">
        <f>市町名目!L13</f>
        <v>604482</v>
      </c>
      <c r="HT14" s="1310">
        <f>市町名目!M13</f>
        <v>593538</v>
      </c>
      <c r="HU14" s="1310">
        <f t="shared" ref="HU14" si="244">HU55</f>
        <v>604135</v>
      </c>
      <c r="HV14" s="1310">
        <f t="shared" ref="HV14" si="245">HV55</f>
        <v>722532</v>
      </c>
      <c r="HW14" s="1406">
        <v>789590</v>
      </c>
      <c r="HX14" s="1406">
        <v>723927</v>
      </c>
      <c r="HY14" s="1406">
        <v>711488</v>
      </c>
    </row>
    <row r="15" spans="1:233" ht="12.5">
      <c r="A15" s="1320">
        <v>8</v>
      </c>
      <c r="B15" s="1251" t="s">
        <v>211</v>
      </c>
      <c r="C15" s="1316">
        <f>C61</f>
        <v>-1028</v>
      </c>
      <c r="D15" s="1248">
        <f t="shared" ref="D15:I15" si="246">D61</f>
        <v>-4844</v>
      </c>
      <c r="E15" s="1248">
        <f t="shared" si="246"/>
        <v>328251</v>
      </c>
      <c r="F15" s="1248">
        <f t="shared" si="246"/>
        <v>329968</v>
      </c>
      <c r="G15" s="1248">
        <f t="shared" si="246"/>
        <v>-524</v>
      </c>
      <c r="H15" s="1248">
        <f t="shared" si="246"/>
        <v>33097</v>
      </c>
      <c r="I15" s="1317">
        <f t="shared" si="246"/>
        <v>3816</v>
      </c>
      <c r="J15" s="1318">
        <f>J61</f>
        <v>386678</v>
      </c>
      <c r="K15" s="1248">
        <f>K61</f>
        <v>50898</v>
      </c>
      <c r="L15" s="1317">
        <f>L61</f>
        <v>385650</v>
      </c>
      <c r="M15" s="1316">
        <f>M61</f>
        <v>-2293</v>
      </c>
      <c r="N15" s="1248">
        <f t="shared" ref="N15:S15" si="247">N61</f>
        <v>-8692</v>
      </c>
      <c r="O15" s="1248">
        <f t="shared" si="247"/>
        <v>353079</v>
      </c>
      <c r="P15" s="1248">
        <f t="shared" si="247"/>
        <v>345076</v>
      </c>
      <c r="Q15" s="1248">
        <f t="shared" si="247"/>
        <v>-846</v>
      </c>
      <c r="R15" s="1248">
        <f t="shared" si="247"/>
        <v>33484</v>
      </c>
      <c r="S15" s="1317">
        <f t="shared" si="247"/>
        <v>6399</v>
      </c>
      <c r="T15" s="1318">
        <f>T61</f>
        <v>388172</v>
      </c>
      <c r="U15" s="1248">
        <f>U61</f>
        <v>51927</v>
      </c>
      <c r="V15" s="1317">
        <f>V61</f>
        <v>385879</v>
      </c>
      <c r="W15" s="1316">
        <f>W61</f>
        <v>-4683</v>
      </c>
      <c r="X15" s="1248">
        <f t="shared" ref="X15:AC15" si="248">X61</f>
        <v>-9922</v>
      </c>
      <c r="Y15" s="1248">
        <f t="shared" si="248"/>
        <v>312894</v>
      </c>
      <c r="Z15" s="1248">
        <f t="shared" si="248"/>
        <v>333576</v>
      </c>
      <c r="AA15" s="1248">
        <f t="shared" si="248"/>
        <v>-2014</v>
      </c>
      <c r="AB15" s="1248">
        <f t="shared" si="248"/>
        <v>32087</v>
      </c>
      <c r="AC15" s="1317">
        <f t="shared" si="248"/>
        <v>5239</v>
      </c>
      <c r="AD15" s="1318">
        <f>AD61</f>
        <v>378046</v>
      </c>
      <c r="AE15" s="1248">
        <f>AE61</f>
        <v>53738</v>
      </c>
      <c r="AF15" s="1317">
        <f>AF61</f>
        <v>373363</v>
      </c>
      <c r="AG15" s="1316">
        <f>AG61</f>
        <v>26845</v>
      </c>
      <c r="AH15" s="1248">
        <f t="shared" ref="AH15:AM15" si="249">AH61</f>
        <v>30990</v>
      </c>
      <c r="AI15" s="1248">
        <f t="shared" si="249"/>
        <v>277890</v>
      </c>
      <c r="AJ15" s="1248">
        <f t="shared" si="249"/>
        <v>290835</v>
      </c>
      <c r="AK15" s="1248">
        <f t="shared" si="249"/>
        <v>264</v>
      </c>
      <c r="AL15" s="1248">
        <f t="shared" si="249"/>
        <v>31308</v>
      </c>
      <c r="AM15" s="1317">
        <f t="shared" si="249"/>
        <v>-4145</v>
      </c>
      <c r="AN15" s="1318">
        <f>AN61</f>
        <v>354205</v>
      </c>
      <c r="AO15" s="1248">
        <f>AO61</f>
        <v>55955</v>
      </c>
      <c r="AP15" s="1317">
        <f>AP61</f>
        <v>381050</v>
      </c>
      <c r="AQ15" s="1316">
        <f>AQ61</f>
        <v>32920</v>
      </c>
      <c r="AR15" s="1248">
        <f t="shared" ref="AR15:AW15" si="250">AR61</f>
        <v>28501</v>
      </c>
      <c r="AS15" s="1248">
        <f t="shared" si="250"/>
        <v>293017</v>
      </c>
      <c r="AT15" s="1248">
        <f t="shared" si="250"/>
        <v>299872</v>
      </c>
      <c r="AU15" s="1248">
        <f t="shared" si="250"/>
        <v>-2147</v>
      </c>
      <c r="AV15" s="1248">
        <f t="shared" si="250"/>
        <v>32991</v>
      </c>
      <c r="AW15" s="1317">
        <f t="shared" si="250"/>
        <v>4419</v>
      </c>
      <c r="AX15" s="1318">
        <f>AX61</f>
        <v>356721</v>
      </c>
      <c r="AY15" s="1248">
        <f>AY61</f>
        <v>55940</v>
      </c>
      <c r="AZ15" s="1317">
        <f>AZ61</f>
        <v>389641</v>
      </c>
      <c r="BA15" s="1316">
        <f>BA61</f>
        <v>-6962</v>
      </c>
      <c r="BB15" s="1248">
        <f t="shared" ref="BB15:BG15" si="251">BB61</f>
        <v>-10478</v>
      </c>
      <c r="BC15" s="1248">
        <f t="shared" si="251"/>
        <v>281803</v>
      </c>
      <c r="BD15" s="1248">
        <f t="shared" si="251"/>
        <v>310817</v>
      </c>
      <c r="BE15" s="1248">
        <f t="shared" si="251"/>
        <v>-1415</v>
      </c>
      <c r="BF15" s="1248">
        <f t="shared" si="251"/>
        <v>33227</v>
      </c>
      <c r="BG15" s="1317">
        <f t="shared" si="251"/>
        <v>3516</v>
      </c>
      <c r="BH15" s="1318">
        <f>BH61</f>
        <v>362280</v>
      </c>
      <c r="BI15" s="1248">
        <f>BI61</f>
        <v>58301</v>
      </c>
      <c r="BJ15" s="1317">
        <f>BJ61</f>
        <v>355318</v>
      </c>
      <c r="BK15" s="1316">
        <f>BK61</f>
        <v>-79171</v>
      </c>
      <c r="BL15" s="1248">
        <f t="shared" ref="BL15:BQ15" si="252">BL61</f>
        <v>-83906</v>
      </c>
      <c r="BM15" s="1248">
        <f t="shared" si="252"/>
        <v>222428</v>
      </c>
      <c r="BN15" s="1248">
        <f t="shared" si="252"/>
        <v>312228</v>
      </c>
      <c r="BO15" s="1248">
        <f t="shared" si="252"/>
        <v>-924</v>
      </c>
      <c r="BP15" s="1248">
        <f t="shared" si="252"/>
        <v>31676</v>
      </c>
      <c r="BQ15" s="1317">
        <f t="shared" si="252"/>
        <v>4735</v>
      </c>
      <c r="BR15" s="1318">
        <f>BR61</f>
        <v>364673</v>
      </c>
      <c r="BS15" s="1248">
        <f>BS61</f>
        <v>57862</v>
      </c>
      <c r="BT15" s="1317">
        <f>BT61</f>
        <v>285502</v>
      </c>
      <c r="BU15" s="1316">
        <f>BU61</f>
        <v>22832</v>
      </c>
      <c r="BV15" s="1248">
        <f t="shared" ref="BV15:CA15" si="253">BV61</f>
        <v>17249</v>
      </c>
      <c r="BW15" s="1248">
        <f t="shared" si="253"/>
        <v>310446</v>
      </c>
      <c r="BX15" s="1248">
        <f t="shared" si="253"/>
        <v>320889</v>
      </c>
      <c r="BY15" s="1248">
        <f t="shared" si="253"/>
        <v>-1279</v>
      </c>
      <c r="BZ15" s="1248">
        <f t="shared" si="253"/>
        <v>31480</v>
      </c>
      <c r="CA15" s="1317">
        <f t="shared" si="253"/>
        <v>5583</v>
      </c>
      <c r="CB15" s="1318">
        <f>CB61</f>
        <v>375013</v>
      </c>
      <c r="CC15" s="1248">
        <f>CC61</f>
        <v>59829</v>
      </c>
      <c r="CD15" s="1317">
        <f>CD61</f>
        <v>397845</v>
      </c>
      <c r="CE15" s="1316">
        <f>CE61</f>
        <v>-26993</v>
      </c>
      <c r="CF15" s="1248">
        <f t="shared" ref="CF15:CK15" si="254">CF61</f>
        <v>-22735</v>
      </c>
      <c r="CG15" s="1248">
        <f t="shared" si="254"/>
        <v>315302</v>
      </c>
      <c r="CH15" s="1248">
        <f t="shared" si="254"/>
        <v>359713</v>
      </c>
      <c r="CI15" s="1248">
        <f t="shared" si="254"/>
        <v>-1371</v>
      </c>
      <c r="CJ15" s="1248">
        <f t="shared" si="254"/>
        <v>33160</v>
      </c>
      <c r="CK15" s="1317">
        <f t="shared" si="254"/>
        <v>-4258</v>
      </c>
      <c r="CL15" s="1318">
        <f>CL61</f>
        <v>418486</v>
      </c>
      <c r="CM15" s="1248">
        <f>CM61</f>
        <v>63283</v>
      </c>
      <c r="CN15" s="1317">
        <f>CN61</f>
        <v>391493</v>
      </c>
      <c r="CO15" s="1316">
        <f>CO61</f>
        <v>-8321</v>
      </c>
      <c r="CP15" s="1248">
        <f t="shared" ref="CP15:CU15" si="255">CP61</f>
        <v>-13065</v>
      </c>
      <c r="CQ15" s="1248">
        <f t="shared" si="255"/>
        <v>324369</v>
      </c>
      <c r="CR15" s="1248">
        <f t="shared" si="255"/>
        <v>354737</v>
      </c>
      <c r="CS15" s="1248">
        <f t="shared" si="255"/>
        <v>-1462</v>
      </c>
      <c r="CT15" s="1248">
        <f t="shared" si="255"/>
        <v>33189</v>
      </c>
      <c r="CU15" s="1317">
        <f t="shared" si="255"/>
        <v>4744</v>
      </c>
      <c r="CV15" s="1318">
        <f>CV61</f>
        <v>426709</v>
      </c>
      <c r="CW15" s="1248">
        <f>CW61</f>
        <v>65260</v>
      </c>
      <c r="CX15" s="1317">
        <f>CX61</f>
        <v>418388</v>
      </c>
      <c r="CY15" s="1316">
        <f>CY61</f>
        <v>39238</v>
      </c>
      <c r="CZ15" s="1248">
        <f t="shared" ref="CZ15:DE15" si="256">CZ61</f>
        <v>39587</v>
      </c>
      <c r="DA15" s="1248">
        <f t="shared" si="256"/>
        <v>315894</v>
      </c>
      <c r="DB15" s="1248">
        <f t="shared" si="256"/>
        <v>310014</v>
      </c>
      <c r="DC15" s="1248">
        <f t="shared" si="256"/>
        <v>-1335</v>
      </c>
      <c r="DD15" s="1248">
        <f t="shared" si="256"/>
        <v>33945</v>
      </c>
      <c r="DE15" s="1317">
        <f t="shared" si="256"/>
        <v>-349</v>
      </c>
      <c r="DF15" s="1318">
        <f>DF61</f>
        <v>383348</v>
      </c>
      <c r="DG15" s="1248">
        <f>DG61</f>
        <v>66014</v>
      </c>
      <c r="DH15" s="1317">
        <f>DH61</f>
        <v>422586</v>
      </c>
      <c r="DI15" s="1316">
        <f>DI61</f>
        <v>52058</v>
      </c>
      <c r="DJ15" s="1248">
        <f t="shared" ref="DJ15:DO15" si="257">DJ61</f>
        <v>67397</v>
      </c>
      <c r="DK15" s="1248">
        <f t="shared" si="257"/>
        <v>332881</v>
      </c>
      <c r="DL15" s="1248">
        <f t="shared" si="257"/>
        <v>310947</v>
      </c>
      <c r="DM15" s="1248">
        <f t="shared" si="257"/>
        <v>-1062</v>
      </c>
      <c r="DN15" s="1248">
        <f t="shared" si="257"/>
        <v>28926</v>
      </c>
      <c r="DO15" s="1317">
        <f t="shared" si="257"/>
        <v>-15339</v>
      </c>
      <c r="DP15" s="1318">
        <f>DP61</f>
        <v>374635</v>
      </c>
      <c r="DQ15" s="1248">
        <f>DQ61</f>
        <v>62781</v>
      </c>
      <c r="DR15" s="1317">
        <f>DR61</f>
        <v>426693</v>
      </c>
      <c r="DS15" s="1316">
        <f>DS61</f>
        <v>34914</v>
      </c>
      <c r="DT15" s="1248">
        <f t="shared" ref="DT15:DY15" si="258">DT61</f>
        <v>59018</v>
      </c>
      <c r="DU15" s="1248">
        <f t="shared" si="258"/>
        <v>346404</v>
      </c>
      <c r="DV15" s="1248">
        <f t="shared" si="258"/>
        <v>343672</v>
      </c>
      <c r="DW15" s="1248">
        <f t="shared" si="258"/>
        <v>-1130</v>
      </c>
      <c r="DX15" s="1248">
        <f t="shared" si="258"/>
        <v>29543</v>
      </c>
      <c r="DY15" s="1317">
        <f t="shared" si="258"/>
        <v>-24104</v>
      </c>
      <c r="DZ15" s="1318">
        <f>DZ61</f>
        <v>403559</v>
      </c>
      <c r="EA15" s="1248">
        <f>EA61</f>
        <v>62754</v>
      </c>
      <c r="EB15" s="1317">
        <f>EB61</f>
        <v>438473</v>
      </c>
      <c r="EC15" s="1316">
        <f>EC61</f>
        <v>67620</v>
      </c>
      <c r="ED15" s="1248">
        <f t="shared" ref="ED15:EI15" si="259">ED61</f>
        <v>104469</v>
      </c>
      <c r="EE15" s="1248">
        <f t="shared" si="259"/>
        <v>367550</v>
      </c>
      <c r="EF15" s="1248">
        <f t="shared" si="259"/>
        <v>340988</v>
      </c>
      <c r="EG15" s="1248">
        <f t="shared" si="259"/>
        <v>-1149</v>
      </c>
      <c r="EH15" s="1248">
        <f t="shared" si="259"/>
        <v>29901</v>
      </c>
      <c r="EI15" s="1317">
        <f t="shared" si="259"/>
        <v>-36849</v>
      </c>
      <c r="EJ15" s="1318">
        <f>EJ61</f>
        <v>407098</v>
      </c>
      <c r="EK15" s="1248">
        <f>EK61</f>
        <v>65246</v>
      </c>
      <c r="EL15" s="1317">
        <f>EL61</f>
        <v>474718</v>
      </c>
      <c r="EM15" s="1318">
        <f>EM61</f>
        <v>77062</v>
      </c>
      <c r="EN15" s="1248">
        <f t="shared" ref="EN15:EV15" si="260">EN61</f>
        <v>85358</v>
      </c>
      <c r="EO15" s="1248">
        <f t="shared" si="260"/>
        <v>325380</v>
      </c>
      <c r="EP15" s="1248">
        <f t="shared" si="260"/>
        <v>301687</v>
      </c>
      <c r="EQ15" s="1319">
        <f t="shared" si="260"/>
        <v>-852</v>
      </c>
      <c r="ER15" s="1319">
        <f t="shared" si="260"/>
        <v>29933</v>
      </c>
      <c r="ES15" s="850">
        <f t="shared" si="260"/>
        <v>-8296</v>
      </c>
      <c r="ET15" s="1318">
        <f t="shared" si="260"/>
        <v>376018</v>
      </c>
      <c r="EU15" s="1248">
        <f t="shared" si="260"/>
        <v>66058</v>
      </c>
      <c r="EV15" s="1317">
        <f t="shared" si="260"/>
        <v>453080</v>
      </c>
      <c r="EW15" s="1414">
        <f>EW61</f>
        <v>19677</v>
      </c>
      <c r="EX15" s="1310">
        <f t="shared" ref="EX15:FB15" si="261">EX61</f>
        <v>28660</v>
      </c>
      <c r="EY15" s="1310">
        <f t="shared" si="261"/>
        <v>361914</v>
      </c>
      <c r="EZ15" s="1310">
        <f t="shared" si="261"/>
        <v>333254</v>
      </c>
      <c r="FA15" s="1319">
        <f t="shared" si="261"/>
        <v>-476</v>
      </c>
      <c r="FB15" s="1319">
        <f t="shared" si="261"/>
        <v>29815</v>
      </c>
      <c r="FC15" s="1415">
        <f t="shared" ref="FC15:FF15" si="262">FC61</f>
        <v>-8983</v>
      </c>
      <c r="FD15" s="1414">
        <f t="shared" si="262"/>
        <v>385241</v>
      </c>
      <c r="FE15" s="1310">
        <f t="shared" si="262"/>
        <v>67683</v>
      </c>
      <c r="FF15" s="1415">
        <f t="shared" si="262"/>
        <v>460054</v>
      </c>
      <c r="FG15" s="1414">
        <f>FG61</f>
        <v>-26266</v>
      </c>
      <c r="FH15" s="1310">
        <f t="shared" ref="FH15:FM15" si="263">FH61</f>
        <v>-17283</v>
      </c>
      <c r="FI15" s="1310">
        <f t="shared" si="263"/>
        <v>376847</v>
      </c>
      <c r="FJ15" s="1310">
        <f t="shared" si="263"/>
        <v>394130</v>
      </c>
      <c r="FK15" s="1319">
        <f t="shared" si="263"/>
        <v>-844</v>
      </c>
      <c r="FL15" s="1319">
        <f t="shared" si="263"/>
        <v>31315</v>
      </c>
      <c r="FM15" s="1415">
        <f t="shared" si="263"/>
        <v>-8983</v>
      </c>
      <c r="FN15" s="1414">
        <f t="shared" ref="FN15:FP15" si="264">FN61</f>
        <v>424796</v>
      </c>
      <c r="FO15" s="1310">
        <f t="shared" si="264"/>
        <v>68592</v>
      </c>
      <c r="FP15" s="1415">
        <f t="shared" si="264"/>
        <v>464432</v>
      </c>
      <c r="FQ15" s="1310"/>
      <c r="FR15" s="1414">
        <f>FR61</f>
        <v>77444</v>
      </c>
      <c r="FS15" s="1310">
        <f t="shared" ref="FS15:GA15" si="265">FS61</f>
        <v>86427</v>
      </c>
      <c r="FT15" s="1310">
        <f t="shared" si="265"/>
        <v>441468</v>
      </c>
      <c r="FU15" s="1310">
        <f t="shared" si="265"/>
        <v>355041</v>
      </c>
      <c r="FV15" s="1319">
        <f t="shared" si="265"/>
        <v>-973</v>
      </c>
      <c r="FW15" s="1319">
        <f t="shared" si="265"/>
        <v>33450</v>
      </c>
      <c r="FX15" s="1415">
        <f t="shared" si="265"/>
        <v>-8983</v>
      </c>
      <c r="FY15" s="1310">
        <f t="shared" si="265"/>
        <v>388745</v>
      </c>
      <c r="FZ15" s="1310">
        <f t="shared" si="265"/>
        <v>73245</v>
      </c>
      <c r="GA15" s="1311">
        <f t="shared" si="265"/>
        <v>459363</v>
      </c>
      <c r="GB15" s="1309">
        <f>GB61</f>
        <v>51578</v>
      </c>
      <c r="GC15" s="1310">
        <f t="shared" ref="GC15:GK15" si="266">GC61</f>
        <v>60561</v>
      </c>
      <c r="GD15" s="1310">
        <f t="shared" si="266"/>
        <v>471880</v>
      </c>
      <c r="GE15" s="1310">
        <f t="shared" si="266"/>
        <v>411319</v>
      </c>
      <c r="GF15" s="1319">
        <f t="shared" si="266"/>
        <v>-1018</v>
      </c>
      <c r="GG15" s="1319">
        <f t="shared" si="266"/>
        <v>17241</v>
      </c>
      <c r="GH15" s="1310">
        <f t="shared" si="266"/>
        <v>-8983</v>
      </c>
      <c r="GI15" s="1414">
        <f t="shared" si="266"/>
        <v>443831</v>
      </c>
      <c r="GJ15" s="1310">
        <f t="shared" si="266"/>
        <v>76937</v>
      </c>
      <c r="GK15" s="1415">
        <f t="shared" si="266"/>
        <v>459363</v>
      </c>
      <c r="GL15" s="1309">
        <f>GL61</f>
        <v>8470</v>
      </c>
      <c r="GM15" s="1310">
        <f t="shared" ref="GM15:GU15" si="267">GM61</f>
        <v>17453</v>
      </c>
      <c r="GN15" s="1310">
        <f t="shared" si="267"/>
        <v>442397</v>
      </c>
      <c r="GO15" s="1310">
        <f t="shared" si="267"/>
        <v>424944</v>
      </c>
      <c r="GP15" s="1319">
        <f t="shared" si="267"/>
        <v>-955</v>
      </c>
      <c r="GQ15" s="1319">
        <f t="shared" si="267"/>
        <v>16805</v>
      </c>
      <c r="GR15" s="1310">
        <f t="shared" si="267"/>
        <v>-8983</v>
      </c>
      <c r="GS15" s="1414">
        <f t="shared" si="267"/>
        <v>461794</v>
      </c>
      <c r="GT15" s="1310">
        <f t="shared" si="267"/>
        <v>78339</v>
      </c>
      <c r="GU15" s="1415">
        <f t="shared" si="267"/>
        <v>461794</v>
      </c>
      <c r="GV15" s="1309">
        <f>GV61</f>
        <v>-10952</v>
      </c>
      <c r="GW15" s="1310">
        <f t="shared" ref="GW15:HE15" si="268">GW61</f>
        <v>-1969</v>
      </c>
      <c r="GX15" s="1310">
        <f t="shared" si="268"/>
        <v>444894</v>
      </c>
      <c r="GY15" s="1310">
        <f t="shared" si="268"/>
        <v>446863</v>
      </c>
      <c r="GZ15" s="1319">
        <f t="shared" si="268"/>
        <v>-961</v>
      </c>
      <c r="HA15" s="1319">
        <f t="shared" si="268"/>
        <v>11376</v>
      </c>
      <c r="HB15" s="1310">
        <f t="shared" si="268"/>
        <v>-8983</v>
      </c>
      <c r="HC15" s="1414">
        <f t="shared" si="268"/>
        <v>452642</v>
      </c>
      <c r="HD15" s="1310">
        <f t="shared" si="268"/>
        <v>-11752</v>
      </c>
      <c r="HE15" s="1415">
        <f t="shared" si="268"/>
        <v>462229</v>
      </c>
      <c r="HF15" s="1309">
        <f>HF61</f>
        <v>-14932</v>
      </c>
      <c r="HG15" s="1310">
        <f t="shared" ref="HG15:HO15" si="269">HG61</f>
        <v>-5949</v>
      </c>
      <c r="HH15" s="1310">
        <f t="shared" si="269"/>
        <v>451645</v>
      </c>
      <c r="HI15" s="1310">
        <f t="shared" si="269"/>
        <v>457594</v>
      </c>
      <c r="HJ15" s="1319">
        <f t="shared" si="269"/>
        <v>-976</v>
      </c>
      <c r="HK15" s="1319">
        <f t="shared" si="269"/>
        <v>11376</v>
      </c>
      <c r="HL15" s="1310">
        <f t="shared" si="269"/>
        <v>-8983</v>
      </c>
      <c r="HM15" s="1414">
        <f t="shared" si="269"/>
        <v>452642</v>
      </c>
      <c r="HN15" s="1310">
        <f t="shared" si="269"/>
        <v>-11752</v>
      </c>
      <c r="HO15" s="1415">
        <f t="shared" si="269"/>
        <v>464253</v>
      </c>
      <c r="HP15" s="1314"/>
      <c r="HQ15" s="1310">
        <f>市町名目!J14</f>
        <v>474718</v>
      </c>
      <c r="HR15" s="1310">
        <f>市町名目!K14</f>
        <v>453080</v>
      </c>
      <c r="HS15" s="1310">
        <f>市町名目!L14</f>
        <v>460054</v>
      </c>
      <c r="HT15" s="1310">
        <f>市町名目!M14</f>
        <v>464432</v>
      </c>
      <c r="HU15" s="1310">
        <f t="shared" ref="HU15" si="270">HU61</f>
        <v>481731</v>
      </c>
      <c r="HV15" s="1310">
        <f t="shared" ref="HV15" si="271">HV61</f>
        <v>475660</v>
      </c>
      <c r="HW15" s="1406">
        <v>525863</v>
      </c>
      <c r="HX15" s="1406">
        <v>462229</v>
      </c>
      <c r="HY15" s="1406">
        <v>464253</v>
      </c>
    </row>
    <row r="16" spans="1:233" ht="12.5">
      <c r="A16" s="1320">
        <v>9</v>
      </c>
      <c r="B16" s="1251" t="s">
        <v>212</v>
      </c>
      <c r="C16" s="1316">
        <f>C64</f>
        <v>11617</v>
      </c>
      <c r="D16" s="1248">
        <f t="shared" ref="D16:I16" si="272">D64</f>
        <v>6765</v>
      </c>
      <c r="E16" s="1248">
        <f t="shared" si="272"/>
        <v>417316</v>
      </c>
      <c r="F16" s="1248">
        <f t="shared" si="272"/>
        <v>408472</v>
      </c>
      <c r="G16" s="1248">
        <f t="shared" si="272"/>
        <v>-666</v>
      </c>
      <c r="H16" s="1248">
        <f t="shared" si="272"/>
        <v>43283</v>
      </c>
      <c r="I16" s="1317">
        <f t="shared" si="272"/>
        <v>4852</v>
      </c>
      <c r="J16" s="1318">
        <f>J64</f>
        <v>478672</v>
      </c>
      <c r="K16" s="1248">
        <f>K64</f>
        <v>66561</v>
      </c>
      <c r="L16" s="1317">
        <f>L64</f>
        <v>490289</v>
      </c>
      <c r="M16" s="1316">
        <f>M64</f>
        <v>11340</v>
      </c>
      <c r="N16" s="1248">
        <f t="shared" ref="N16:S16" si="273">N64</f>
        <v>3578</v>
      </c>
      <c r="O16" s="1248">
        <f t="shared" si="273"/>
        <v>428326</v>
      </c>
      <c r="P16" s="1248">
        <f t="shared" si="273"/>
        <v>406065</v>
      </c>
      <c r="Q16" s="1248">
        <f t="shared" si="273"/>
        <v>-1026</v>
      </c>
      <c r="R16" s="1248">
        <f t="shared" si="273"/>
        <v>42056</v>
      </c>
      <c r="S16" s="1317">
        <f t="shared" si="273"/>
        <v>7762</v>
      </c>
      <c r="T16" s="1318">
        <f>T64</f>
        <v>456778</v>
      </c>
      <c r="U16" s="1248">
        <f>U64</f>
        <v>65221</v>
      </c>
      <c r="V16" s="1317">
        <f>V64</f>
        <v>468118</v>
      </c>
      <c r="W16" s="1316">
        <f>W64</f>
        <v>21764</v>
      </c>
      <c r="X16" s="1248">
        <f t="shared" ref="X16:AC16" si="274">X64</f>
        <v>15145</v>
      </c>
      <c r="Y16" s="1248">
        <f t="shared" si="274"/>
        <v>395274</v>
      </c>
      <c r="Z16" s="1248">
        <f t="shared" si="274"/>
        <v>396976</v>
      </c>
      <c r="AA16" s="1248">
        <f t="shared" si="274"/>
        <v>-2543</v>
      </c>
      <c r="AB16" s="1248">
        <f t="shared" si="274"/>
        <v>40249</v>
      </c>
      <c r="AC16" s="1317">
        <f t="shared" si="274"/>
        <v>6619</v>
      </c>
      <c r="AD16" s="1318">
        <f>AD64</f>
        <v>449898</v>
      </c>
      <c r="AE16" s="1248">
        <f>AE64</f>
        <v>67408</v>
      </c>
      <c r="AF16" s="1317">
        <f>AF64</f>
        <v>471662</v>
      </c>
      <c r="AG16" s="1316">
        <f>AG64</f>
        <v>35735</v>
      </c>
      <c r="AH16" s="1248">
        <f t="shared" ref="AH16:AM16" si="275">AH64</f>
        <v>41056</v>
      </c>
      <c r="AI16" s="1248">
        <f t="shared" si="275"/>
        <v>356759</v>
      </c>
      <c r="AJ16" s="1248">
        <f t="shared" si="275"/>
        <v>372335</v>
      </c>
      <c r="AK16" s="1248">
        <f t="shared" si="275"/>
        <v>338</v>
      </c>
      <c r="AL16" s="1248">
        <f t="shared" si="275"/>
        <v>40964</v>
      </c>
      <c r="AM16" s="1317">
        <f t="shared" si="275"/>
        <v>-5321</v>
      </c>
      <c r="AN16" s="1318">
        <f>AN64</f>
        <v>453462</v>
      </c>
      <c r="AO16" s="1248">
        <f>AO64</f>
        <v>73213</v>
      </c>
      <c r="AP16" s="1317">
        <f>AP64</f>
        <v>489197</v>
      </c>
      <c r="AQ16" s="1316">
        <f>AQ64</f>
        <v>46320</v>
      </c>
      <c r="AR16" s="1248">
        <f t="shared" ref="AR16:AW16" si="276">AR64</f>
        <v>40670</v>
      </c>
      <c r="AS16" s="1248">
        <f t="shared" si="276"/>
        <v>374605</v>
      </c>
      <c r="AT16" s="1248">
        <f t="shared" si="276"/>
        <v>379810</v>
      </c>
      <c r="AU16" s="1248">
        <f t="shared" si="276"/>
        <v>-2744</v>
      </c>
      <c r="AV16" s="1248">
        <f t="shared" si="276"/>
        <v>41443</v>
      </c>
      <c r="AW16" s="1317">
        <f t="shared" si="276"/>
        <v>5650</v>
      </c>
      <c r="AX16" s="1318">
        <f>AX64</f>
        <v>451813</v>
      </c>
      <c r="AY16" s="1248">
        <f>AY64</f>
        <v>70271</v>
      </c>
      <c r="AZ16" s="1317">
        <f>AZ64</f>
        <v>498133</v>
      </c>
      <c r="BA16" s="1316">
        <f>BA64</f>
        <v>-10105</v>
      </c>
      <c r="BB16" s="1248">
        <f t="shared" ref="BB16:BG16" si="277">BB64</f>
        <v>-14469</v>
      </c>
      <c r="BC16" s="1248">
        <f t="shared" si="277"/>
        <v>349783</v>
      </c>
      <c r="BD16" s="1248">
        <f t="shared" si="277"/>
        <v>387052</v>
      </c>
      <c r="BE16" s="1248">
        <f t="shared" si="277"/>
        <v>-1755</v>
      </c>
      <c r="BF16" s="1248">
        <f t="shared" si="277"/>
        <v>42393</v>
      </c>
      <c r="BG16" s="1317">
        <f t="shared" si="277"/>
        <v>4364</v>
      </c>
      <c r="BH16" s="1318">
        <f>BH64</f>
        <v>451139</v>
      </c>
      <c r="BI16" s="1248">
        <f>BI64</f>
        <v>74382</v>
      </c>
      <c r="BJ16" s="1317">
        <f>BJ64</f>
        <v>441034</v>
      </c>
      <c r="BK16" s="1316">
        <f>BK64</f>
        <v>-23272</v>
      </c>
      <c r="BL16" s="1248">
        <f t="shared" ref="BL16:BQ16" si="278">BL64</f>
        <v>-30536</v>
      </c>
      <c r="BM16" s="1248">
        <f t="shared" si="278"/>
        <v>341247</v>
      </c>
      <c r="BN16" s="1248">
        <f t="shared" si="278"/>
        <v>394948</v>
      </c>
      <c r="BO16" s="1248">
        <f t="shared" si="278"/>
        <v>-1418</v>
      </c>
      <c r="BP16" s="1248">
        <f t="shared" si="278"/>
        <v>40699</v>
      </c>
      <c r="BQ16" s="1317">
        <f t="shared" si="278"/>
        <v>7264</v>
      </c>
      <c r="BR16" s="1318">
        <f>BR64</f>
        <v>461288</v>
      </c>
      <c r="BS16" s="1248">
        <f>BS64</f>
        <v>74346</v>
      </c>
      <c r="BT16" s="1317">
        <f>BT64</f>
        <v>438016</v>
      </c>
      <c r="BU16" s="1316">
        <f>BU64</f>
        <v>-25131</v>
      </c>
      <c r="BV16" s="1248">
        <f t="shared" ref="BV16:CA16" si="279">BV64</f>
        <v>-31420</v>
      </c>
      <c r="BW16" s="1248">
        <f t="shared" si="279"/>
        <v>349712</v>
      </c>
      <c r="BX16" s="1248">
        <f t="shared" si="279"/>
        <v>404987</v>
      </c>
      <c r="BY16" s="1248">
        <f t="shared" si="279"/>
        <v>-1442</v>
      </c>
      <c r="BZ16" s="1248">
        <f t="shared" si="279"/>
        <v>42115</v>
      </c>
      <c r="CA16" s="1317">
        <f t="shared" si="279"/>
        <v>6289</v>
      </c>
      <c r="CB16" s="1318">
        <f>CB64</f>
        <v>473296</v>
      </c>
      <c r="CC16" s="1248">
        <f>CC64</f>
        <v>80041</v>
      </c>
      <c r="CD16" s="1317">
        <f>CD64</f>
        <v>448165</v>
      </c>
      <c r="CE16" s="1316">
        <f>CE64</f>
        <v>-14769</v>
      </c>
      <c r="CF16" s="1248">
        <f t="shared" ref="CF16:CK16" si="280">CF64</f>
        <v>-9940</v>
      </c>
      <c r="CG16" s="1248">
        <f t="shared" si="280"/>
        <v>357523</v>
      </c>
      <c r="CH16" s="1248">
        <f t="shared" si="280"/>
        <v>394268</v>
      </c>
      <c r="CI16" s="1248">
        <f t="shared" si="280"/>
        <v>-1555</v>
      </c>
      <c r="CJ16" s="1248">
        <f t="shared" si="280"/>
        <v>42122</v>
      </c>
      <c r="CK16" s="1317">
        <f t="shared" si="280"/>
        <v>-4829</v>
      </c>
      <c r="CL16" s="1318">
        <f>CL64</f>
        <v>458686</v>
      </c>
      <c r="CM16" s="1248">
        <f>CM64</f>
        <v>80385</v>
      </c>
      <c r="CN16" s="1317">
        <f>CN64</f>
        <v>443917</v>
      </c>
      <c r="CO16" s="1316">
        <f>CO64</f>
        <v>-14755</v>
      </c>
      <c r="CP16" s="1248">
        <f t="shared" ref="CP16:CU16" si="281">CP64</f>
        <v>-20031</v>
      </c>
      <c r="CQ16" s="1248">
        <f t="shared" si="281"/>
        <v>360669</v>
      </c>
      <c r="CR16" s="1248">
        <f t="shared" si="281"/>
        <v>399011</v>
      </c>
      <c r="CS16" s="1248">
        <f t="shared" si="281"/>
        <v>-1625</v>
      </c>
      <c r="CT16" s="1248">
        <f t="shared" si="281"/>
        <v>43532</v>
      </c>
      <c r="CU16" s="1317">
        <f t="shared" si="281"/>
        <v>5276</v>
      </c>
      <c r="CV16" s="1318">
        <f>CV64</f>
        <v>479966</v>
      </c>
      <c r="CW16" s="1248">
        <f>CW64</f>
        <v>85600</v>
      </c>
      <c r="CX16" s="1317">
        <f>CX64</f>
        <v>465211</v>
      </c>
      <c r="CY16" s="1316">
        <f>CY64</f>
        <v>5836</v>
      </c>
      <c r="CZ16" s="1248">
        <f t="shared" ref="CZ16:DE16" si="282">CZ64</f>
        <v>6225</v>
      </c>
      <c r="DA16" s="1248">
        <f t="shared" si="282"/>
        <v>351674</v>
      </c>
      <c r="DB16" s="1248">
        <f t="shared" si="282"/>
        <v>375736</v>
      </c>
      <c r="DC16" s="1248">
        <f t="shared" si="282"/>
        <v>-1486</v>
      </c>
      <c r="DD16" s="1248">
        <f t="shared" si="282"/>
        <v>43282</v>
      </c>
      <c r="DE16" s="1317">
        <f t="shared" si="282"/>
        <v>-389</v>
      </c>
      <c r="DF16" s="1318">
        <f>DF64</f>
        <v>464615</v>
      </c>
      <c r="DG16" s="1248">
        <f>DG64</f>
        <v>84172</v>
      </c>
      <c r="DH16" s="1317">
        <f>DH64</f>
        <v>470451</v>
      </c>
      <c r="DI16" s="1316">
        <f>DI64</f>
        <v>4428</v>
      </c>
      <c r="DJ16" s="1248">
        <f t="shared" ref="DJ16:DO16" si="283">DJ64</f>
        <v>21250</v>
      </c>
      <c r="DK16" s="1248">
        <f t="shared" si="283"/>
        <v>365063</v>
      </c>
      <c r="DL16" s="1248">
        <f t="shared" si="283"/>
        <v>384720</v>
      </c>
      <c r="DM16" s="1248">
        <f t="shared" si="283"/>
        <v>-1165</v>
      </c>
      <c r="DN16" s="1248">
        <f t="shared" si="283"/>
        <v>37168</v>
      </c>
      <c r="DO16" s="1317">
        <f t="shared" si="283"/>
        <v>-16822</v>
      </c>
      <c r="DP16" s="1318">
        <f>DP64</f>
        <v>463517</v>
      </c>
      <c r="DQ16" s="1248">
        <f>DQ64</f>
        <v>80668</v>
      </c>
      <c r="DR16" s="1317">
        <f>DR64</f>
        <v>467945</v>
      </c>
      <c r="DS16" s="1316">
        <f>DS64</f>
        <v>18571</v>
      </c>
      <c r="DT16" s="1248">
        <f t="shared" ref="DT16:DY16" si="284">DT64</f>
        <v>44135</v>
      </c>
      <c r="DU16" s="1248">
        <f t="shared" si="284"/>
        <v>367388</v>
      </c>
      <c r="DV16" s="1248">
        <f t="shared" si="284"/>
        <v>380209</v>
      </c>
      <c r="DW16" s="1248">
        <f t="shared" si="284"/>
        <v>-1198</v>
      </c>
      <c r="DX16" s="1248">
        <f t="shared" si="284"/>
        <v>38705</v>
      </c>
      <c r="DY16" s="1317">
        <f t="shared" si="284"/>
        <v>-25564</v>
      </c>
      <c r="DZ16" s="1318">
        <f>DZ64</f>
        <v>446463</v>
      </c>
      <c r="EA16" s="1248">
        <f>EA64</f>
        <v>82215</v>
      </c>
      <c r="EB16" s="1317">
        <f>EB64</f>
        <v>465034</v>
      </c>
      <c r="EC16" s="1316">
        <f>EC64</f>
        <v>-3955</v>
      </c>
      <c r="ED16" s="1248">
        <f t="shared" ref="ED16:EI16" si="285">ED64</f>
        <v>32450</v>
      </c>
      <c r="EE16" s="1248">
        <f t="shared" si="285"/>
        <v>363119</v>
      </c>
      <c r="EF16" s="1248">
        <f t="shared" si="285"/>
        <v>396146</v>
      </c>
      <c r="EG16" s="1248">
        <f t="shared" si="285"/>
        <v>-1134</v>
      </c>
      <c r="EH16" s="1248">
        <f t="shared" si="285"/>
        <v>40364</v>
      </c>
      <c r="EI16" s="1317">
        <f t="shared" si="285"/>
        <v>-36405</v>
      </c>
      <c r="EJ16" s="1318">
        <f>EJ64</f>
        <v>472950</v>
      </c>
      <c r="EK16" s="1248">
        <f>EK64</f>
        <v>88079</v>
      </c>
      <c r="EL16" s="1317">
        <f>EL64</f>
        <v>468995</v>
      </c>
      <c r="EM16" s="1318">
        <f>EM64</f>
        <v>5853</v>
      </c>
      <c r="EN16" s="1248">
        <f t="shared" ref="EN16:EV16" si="286">EN64</f>
        <v>13938</v>
      </c>
      <c r="EO16" s="1248">
        <f t="shared" si="286"/>
        <v>317132</v>
      </c>
      <c r="EP16" s="1248">
        <f t="shared" si="286"/>
        <v>349604</v>
      </c>
      <c r="EQ16" s="1319">
        <f t="shared" si="286"/>
        <v>-831</v>
      </c>
      <c r="ER16" s="1319">
        <f t="shared" si="286"/>
        <v>43323</v>
      </c>
      <c r="ES16" s="850">
        <f t="shared" si="286"/>
        <v>-8085</v>
      </c>
      <c r="ET16" s="1318">
        <f t="shared" si="286"/>
        <v>435741</v>
      </c>
      <c r="EU16" s="1248">
        <f t="shared" si="286"/>
        <v>95607</v>
      </c>
      <c r="EV16" s="1317">
        <f t="shared" si="286"/>
        <v>441594</v>
      </c>
      <c r="EW16" s="1414">
        <f>EW64</f>
        <v>-73891</v>
      </c>
      <c r="EX16" s="1310">
        <f t="shared" ref="EX16:FB16" si="287">EX64</f>
        <v>-65063</v>
      </c>
      <c r="EY16" s="1310">
        <f t="shared" si="287"/>
        <v>355681</v>
      </c>
      <c r="EZ16" s="1310">
        <f t="shared" si="287"/>
        <v>420744</v>
      </c>
      <c r="FA16" s="1319">
        <f t="shared" si="287"/>
        <v>-469</v>
      </c>
      <c r="FB16" s="1319">
        <f t="shared" si="287"/>
        <v>46884</v>
      </c>
      <c r="FC16" s="1415">
        <f t="shared" ref="FC16:FF16" si="288">FC64</f>
        <v>-8828</v>
      </c>
      <c r="FD16" s="1414">
        <f t="shared" si="288"/>
        <v>486379</v>
      </c>
      <c r="FE16" s="1310">
        <f t="shared" si="288"/>
        <v>106432</v>
      </c>
      <c r="FF16" s="1415">
        <f t="shared" si="288"/>
        <v>452131</v>
      </c>
      <c r="FG16" s="1414">
        <f>FG64</f>
        <v>-93228</v>
      </c>
      <c r="FH16" s="1310">
        <f t="shared" ref="FH16:FM16" si="289">FH64</f>
        <v>-84400</v>
      </c>
      <c r="FI16" s="1310">
        <f t="shared" si="289"/>
        <v>385760</v>
      </c>
      <c r="FJ16" s="1310">
        <f t="shared" si="289"/>
        <v>470160</v>
      </c>
      <c r="FK16" s="1319">
        <f t="shared" si="289"/>
        <v>-863</v>
      </c>
      <c r="FL16" s="1319">
        <f t="shared" si="289"/>
        <v>44924</v>
      </c>
      <c r="FM16" s="1415">
        <f t="shared" si="289"/>
        <v>-8828</v>
      </c>
      <c r="FN16" s="1414">
        <f t="shared" ref="FN16:FP16" si="290">FN64</f>
        <v>506743</v>
      </c>
      <c r="FO16" s="1310">
        <f t="shared" si="290"/>
        <v>98397</v>
      </c>
      <c r="FP16" s="1415">
        <f t="shared" si="290"/>
        <v>475417</v>
      </c>
      <c r="FQ16" s="1310"/>
      <c r="FR16" s="1414">
        <f>FR64</f>
        <v>44009</v>
      </c>
      <c r="FS16" s="1310">
        <f t="shared" ref="FS16:GA16" si="291">FS64</f>
        <v>52837</v>
      </c>
      <c r="FT16" s="1310">
        <f t="shared" si="291"/>
        <v>508834</v>
      </c>
      <c r="FU16" s="1310">
        <f t="shared" si="291"/>
        <v>455997</v>
      </c>
      <c r="FV16" s="1319">
        <f t="shared" si="291"/>
        <v>-1121</v>
      </c>
      <c r="FW16" s="1319">
        <f t="shared" si="291"/>
        <v>46350</v>
      </c>
      <c r="FX16" s="1415">
        <f t="shared" si="291"/>
        <v>-8828</v>
      </c>
      <c r="FY16" s="1310">
        <f t="shared" si="291"/>
        <v>499285</v>
      </c>
      <c r="FZ16" s="1310">
        <f t="shared" si="291"/>
        <v>101490</v>
      </c>
      <c r="GA16" s="1311">
        <f t="shared" si="291"/>
        <v>529460</v>
      </c>
      <c r="GB16" s="1309">
        <f>GB64</f>
        <v>38801</v>
      </c>
      <c r="GC16" s="1310">
        <f t="shared" ref="GC16:GK16" si="292">GC64</f>
        <v>47629</v>
      </c>
      <c r="GD16" s="1310">
        <f t="shared" si="292"/>
        <v>543887</v>
      </c>
      <c r="GE16" s="1310">
        <f t="shared" si="292"/>
        <v>496258</v>
      </c>
      <c r="GF16" s="1319">
        <f t="shared" si="292"/>
        <v>-1173</v>
      </c>
      <c r="GG16" s="1319">
        <f t="shared" si="292"/>
        <v>23108</v>
      </c>
      <c r="GH16" s="1310">
        <f t="shared" si="292"/>
        <v>-8828</v>
      </c>
      <c r="GI16" s="1414">
        <f t="shared" si="292"/>
        <v>535484</v>
      </c>
      <c r="GJ16" s="1310">
        <f t="shared" si="292"/>
        <v>103121</v>
      </c>
      <c r="GK16" s="1415">
        <f t="shared" si="292"/>
        <v>529460</v>
      </c>
      <c r="GL16" s="1309">
        <f>GL64</f>
        <v>12650</v>
      </c>
      <c r="GM16" s="1310">
        <f t="shared" ref="GM16:GU16" si="293">GM64</f>
        <v>21478</v>
      </c>
      <c r="GN16" s="1310">
        <f t="shared" si="293"/>
        <v>544428</v>
      </c>
      <c r="GO16" s="1310">
        <f t="shared" si="293"/>
        <v>522950</v>
      </c>
      <c r="GP16" s="1319">
        <f t="shared" si="293"/>
        <v>-1176</v>
      </c>
      <c r="GQ16" s="1319">
        <f t="shared" si="293"/>
        <v>23283</v>
      </c>
      <c r="GR16" s="1310">
        <f t="shared" si="293"/>
        <v>-8828</v>
      </c>
      <c r="GS16" s="1414">
        <f t="shared" si="293"/>
        <v>568299</v>
      </c>
      <c r="GT16" s="1310">
        <f t="shared" si="293"/>
        <v>108536</v>
      </c>
      <c r="GU16" s="1415">
        <f t="shared" si="293"/>
        <v>568299</v>
      </c>
      <c r="GV16" s="1309">
        <f>GV64</f>
        <v>-26173</v>
      </c>
      <c r="GW16" s="1310">
        <f t="shared" ref="GW16:HE16" si="294">GW64</f>
        <v>-17345</v>
      </c>
      <c r="GX16" s="1310">
        <f t="shared" si="294"/>
        <v>542455</v>
      </c>
      <c r="GY16" s="1310">
        <f t="shared" si="294"/>
        <v>559800</v>
      </c>
      <c r="GZ16" s="1319">
        <f t="shared" si="294"/>
        <v>-1172</v>
      </c>
      <c r="HA16" s="1319">
        <f t="shared" si="294"/>
        <v>33370</v>
      </c>
      <c r="HB16" s="1310">
        <f t="shared" si="294"/>
        <v>-8828</v>
      </c>
      <c r="HC16" s="1414">
        <f t="shared" si="294"/>
        <v>567041</v>
      </c>
      <c r="HD16" s="1310">
        <f t="shared" si="294"/>
        <v>-34473</v>
      </c>
      <c r="HE16" s="1415">
        <f t="shared" si="294"/>
        <v>563592</v>
      </c>
      <c r="HF16" s="1309">
        <f>HF64</f>
        <v>-39556</v>
      </c>
      <c r="HG16" s="1310">
        <f t="shared" ref="HG16:HO16" si="295">HG64</f>
        <v>-30728</v>
      </c>
      <c r="HH16" s="1310">
        <f t="shared" si="295"/>
        <v>542516</v>
      </c>
      <c r="HI16" s="1310">
        <f t="shared" si="295"/>
        <v>573244</v>
      </c>
      <c r="HJ16" s="1319">
        <f t="shared" si="295"/>
        <v>-1172</v>
      </c>
      <c r="HK16" s="1319">
        <f t="shared" si="295"/>
        <v>33370</v>
      </c>
      <c r="HL16" s="1310">
        <f t="shared" si="295"/>
        <v>-8828</v>
      </c>
      <c r="HM16" s="1414">
        <f t="shared" si="295"/>
        <v>567041</v>
      </c>
      <c r="HN16" s="1310">
        <f t="shared" si="295"/>
        <v>-34473</v>
      </c>
      <c r="HO16" s="1415">
        <f t="shared" si="295"/>
        <v>557660</v>
      </c>
      <c r="HP16" s="1314"/>
      <c r="HQ16" s="1310">
        <f>市町名目!J15</f>
        <v>468995</v>
      </c>
      <c r="HR16" s="1310">
        <f>市町名目!K15</f>
        <v>441594</v>
      </c>
      <c r="HS16" s="1310">
        <f>市町名目!L15</f>
        <v>452131</v>
      </c>
      <c r="HT16" s="1310">
        <f>市町名目!M15</f>
        <v>475417</v>
      </c>
      <c r="HU16" s="1310">
        <f t="shared" ref="HU16" si="296">HU64</f>
        <v>501130</v>
      </c>
      <c r="HV16" s="1310">
        <f t="shared" ref="HV16" si="297">HV64</f>
        <v>519874</v>
      </c>
      <c r="HW16" s="1406">
        <v>579029</v>
      </c>
      <c r="HX16" s="1406">
        <v>563592</v>
      </c>
      <c r="HY16" s="1406">
        <v>557660</v>
      </c>
    </row>
    <row r="17" spans="1:233" ht="13">
      <c r="A17" s="816" t="s">
        <v>1352</v>
      </c>
      <c r="B17" s="1321"/>
      <c r="C17" s="1322"/>
      <c r="D17" s="1323"/>
      <c r="E17" s="1324">
        <f>ROUND(E$5*L18/L$6,0)-E18</f>
        <v>-1</v>
      </c>
      <c r="F17" s="1324">
        <f>ROUND(F$5*J18/J$6,0)-F18</f>
        <v>-2</v>
      </c>
      <c r="G17" s="1324">
        <f>ROUND(G$5*L18/L$6,0)-G18</f>
        <v>0.52094723517075181</v>
      </c>
      <c r="H17" s="1324">
        <f>ROUND(H$5*K18/K$6,0)-H18</f>
        <v>0.42740880278870463</v>
      </c>
      <c r="I17" s="1324">
        <f>ROUND(I$5*L18/L$6,0)-I18</f>
        <v>2</v>
      </c>
      <c r="J17" s="1325" t="s">
        <v>933</v>
      </c>
      <c r="K17" s="1323"/>
      <c r="L17" s="1326"/>
      <c r="M17" s="1322"/>
      <c r="N17" s="1323"/>
      <c r="O17" s="1324">
        <f>ROUND(O$5*V18/V$6,0)-O18</f>
        <v>1</v>
      </c>
      <c r="P17" s="1324">
        <f>ROUND(P$5*T18/T$6,0)-P18</f>
        <v>1</v>
      </c>
      <c r="Q17" s="1324">
        <f>ROUND(Q$5*V18/V$6,0)-Q18</f>
        <v>0.99859189451672137</v>
      </c>
      <c r="R17" s="1324">
        <f>ROUND(R$5*U18/U$6,0)-R18</f>
        <v>0.20579614536836743</v>
      </c>
      <c r="S17" s="1324">
        <f>ROUND(S$5*V18/V$6,0)-S18</f>
        <v>-3</v>
      </c>
      <c r="T17" s="1325"/>
      <c r="U17" s="1323"/>
      <c r="V17" s="1326"/>
      <c r="W17" s="1322"/>
      <c r="X17" s="1323"/>
      <c r="Y17" s="1324">
        <f>ROUND(Y$5*AF18/AF$6,0)-Y18</f>
        <v>0</v>
      </c>
      <c r="Z17" s="1324">
        <f>ROUND(Z$5*AD18/AD$6,0)-Z18</f>
        <v>2</v>
      </c>
      <c r="AA17" s="1324">
        <f>ROUND(AA$5*AF18/AF$6,0)-AA18</f>
        <v>2.4003357817418873</v>
      </c>
      <c r="AB17" s="1324">
        <f>ROUND(AB$5*AE18/AE$6,0)-AB18</f>
        <v>3.4658416819293052</v>
      </c>
      <c r="AC17" s="1324">
        <f>ROUND(AC$5*AF18/AF$6,0)-AC18</f>
        <v>-6</v>
      </c>
      <c r="AD17" s="1325"/>
      <c r="AE17" s="1323"/>
      <c r="AF17" s="1326"/>
      <c r="AG17" s="1322"/>
      <c r="AH17" s="1323"/>
      <c r="AI17" s="1324">
        <f>ROUND(AI$5*AP18/AP$6,0)-AI18</f>
        <v>2</v>
      </c>
      <c r="AJ17" s="1324">
        <f>ROUND(AJ$5*AN18/AN$6,0)-AJ18</f>
        <v>1</v>
      </c>
      <c r="AK17" s="1324">
        <f>ROUND(AK$5*AP18/AP$6,0)-AK18</f>
        <v>5.6294533947948366E-2</v>
      </c>
      <c r="AL17" s="1324">
        <f>ROUND(AL$5*AO18/AO$6,0)-AL18</f>
        <v>-0.37483861111104488</v>
      </c>
      <c r="AM17" s="1324">
        <f>ROUND(AM$5*AP18/AP$6,0)-AM18</f>
        <v>0</v>
      </c>
      <c r="AN17" s="1325"/>
      <c r="AO17" s="1323"/>
      <c r="AP17" s="1326"/>
      <c r="AQ17" s="1322"/>
      <c r="AR17" s="1323"/>
      <c r="AS17" s="1324">
        <f>ROUND(AS$5*AZ18/AZ$6,0)-AS18</f>
        <v>1</v>
      </c>
      <c r="AT17" s="1324">
        <f>ROUND(AT$5*AX18/AX$6,0)-AT18</f>
        <v>0</v>
      </c>
      <c r="AU17" s="1324">
        <f>ROUND(AU$5*AZ18/AZ$6,0)-AU18</f>
        <v>-1.9579467065632343</v>
      </c>
      <c r="AV17" s="1324">
        <f>ROUND(AV$5*AY18/AY$6,0)-AV18</f>
        <v>-0.51137232501059771</v>
      </c>
      <c r="AW17" s="1324">
        <f>ROUND(AW$5*AZ18/AZ$6,0)-AW18</f>
        <v>-3</v>
      </c>
      <c r="AX17" s="1325"/>
      <c r="AY17" s="1323"/>
      <c r="AZ17" s="1326"/>
      <c r="BA17" s="1322"/>
      <c r="BB17" s="1323"/>
      <c r="BC17" s="1324">
        <f>ROUND(BC$5*BJ18/BJ$6,0)-BC18</f>
        <v>1</v>
      </c>
      <c r="BD17" s="1324">
        <f>ROUND(BD$5*BH18/BH$6,0)-BD18</f>
        <v>-4</v>
      </c>
      <c r="BE17" s="1324">
        <f>ROUND(BE$5*BJ18/BJ$6,0)-BE18</f>
        <v>0.75517729931743816</v>
      </c>
      <c r="BF17" s="1324">
        <f>ROUND(BF$5*BI18/BI$6,0)-BF18</f>
        <v>1.5942611848004162</v>
      </c>
      <c r="BG17" s="1324">
        <f>ROUND(BG$5*BJ18/BJ$6,0)-BG18</f>
        <v>-1</v>
      </c>
      <c r="BH17" s="1325"/>
      <c r="BI17" s="1323"/>
      <c r="BJ17" s="1326"/>
      <c r="BK17" s="1322"/>
      <c r="BL17" s="1323"/>
      <c r="BM17" s="1324">
        <f>ROUND(BM$5*BT18/BT$6,0)-BM18</f>
        <v>0</v>
      </c>
      <c r="BN17" s="1324">
        <f>ROUND(BN$5*BR18/BR$6,0)-BN18</f>
        <v>0</v>
      </c>
      <c r="BO17" s="1324">
        <f>ROUND(BO$5*BT18/BT$6,0)-BO18</f>
        <v>-1.1176200385671109</v>
      </c>
      <c r="BP17" s="1324">
        <f>ROUND(BP$5*BS18/BS$6,0)-BP18</f>
        <v>-2.158572044223547</v>
      </c>
      <c r="BQ17" s="1324">
        <f>ROUND(BQ$5*BT18/BT$6,0)-BQ18</f>
        <v>1</v>
      </c>
      <c r="BR17" s="1325"/>
      <c r="BS17" s="1323"/>
      <c r="BT17" s="1326"/>
      <c r="BU17" s="1322"/>
      <c r="BV17" s="1323"/>
      <c r="BW17" s="1324">
        <f>ROUND(BW$5*CD18/CD$6,0)-BW18</f>
        <v>0</v>
      </c>
      <c r="BX17" s="1324">
        <f>ROUND(BX$5*CB18/CB$6,0)-BX18</f>
        <v>3</v>
      </c>
      <c r="BY17" s="1324">
        <f>ROUND(BY$5*CD18/CD$6,0)-BY18</f>
        <v>-0.20172946795355529</v>
      </c>
      <c r="BZ17" s="1324">
        <f>ROUND(BZ$5*CC18/CC$6,0)-BZ18</f>
        <v>0.9967753067612648</v>
      </c>
      <c r="CA17" s="1324">
        <f>ROUND(CA$5*CD18/CD$6,0)-CA18</f>
        <v>-1</v>
      </c>
      <c r="CB17" s="1325"/>
      <c r="CC17" s="1323"/>
      <c r="CD17" s="1326"/>
      <c r="CE17" s="1322"/>
      <c r="CF17" s="1323"/>
      <c r="CG17" s="1324">
        <f>ROUND(CG$5*CN18/CN$6,0)-CG18</f>
        <v>3</v>
      </c>
      <c r="CH17" s="1324">
        <f>ROUND(CH$5*CL18/CL$6,0)-CH18</f>
        <v>1</v>
      </c>
      <c r="CI17" s="1324">
        <f>ROUND(CI$5*CN18/CN$6,0)-CI18</f>
        <v>-0.32589527370873839</v>
      </c>
      <c r="CJ17" s="1324">
        <f>ROUND(CJ$5*CM18/CM$6,0)-CJ18</f>
        <v>0.1781311840750277</v>
      </c>
      <c r="CK17" s="1324">
        <f>ROUND(CK$5*CN18/CN$6,0)-CK18</f>
        <v>0</v>
      </c>
      <c r="CL17" s="1325"/>
      <c r="CM17" s="1323"/>
      <c r="CN17" s="1326"/>
      <c r="CO17" s="1322"/>
      <c r="CP17" s="1323"/>
      <c r="CQ17" s="1324">
        <f>ROUND(CQ$5*CX18/CX$6,0)-CQ18</f>
        <v>1</v>
      </c>
      <c r="CR17" s="1324">
        <f>ROUND(CR$5*CV18/CV$6,0)-CR18</f>
        <v>1</v>
      </c>
      <c r="CS17" s="1324">
        <f>ROUND(CS$5*CX18/CX$6,0)-CS18</f>
        <v>1.0357525026774965</v>
      </c>
      <c r="CT17" s="1324">
        <f>ROUND(CT$5*CW18/CW$6,0)-CT18</f>
        <v>-0.68947252817451954</v>
      </c>
      <c r="CU17" s="1324">
        <f>ROUND(CU$5*CX18/CX$6,0)-CU18</f>
        <v>1</v>
      </c>
      <c r="CV17" s="1325"/>
      <c r="CW17" s="1323"/>
      <c r="CX17" s="1326"/>
      <c r="CY17" s="1322"/>
      <c r="CZ17" s="1323"/>
      <c r="DA17" s="1324">
        <f>ROUND(DA$5*DH18/DH$6,0)-DA18</f>
        <v>-1</v>
      </c>
      <c r="DB17" s="1324">
        <f>ROUND(DB$5*DF18/DF$6,0)-DB18</f>
        <v>-1</v>
      </c>
      <c r="DC17" s="1324">
        <f>ROUND(DC$5*DH18/DH$6,0)-DC18</f>
        <v>-2.8237786537501961</v>
      </c>
      <c r="DD17" s="1324">
        <f>ROUND(DD$5*DG18/DG$6,0)-DD18</f>
        <v>-3.6614404572173953</v>
      </c>
      <c r="DE17" s="1324">
        <f>ROUND(DE$5*DH18/DH$6,0)-DE18</f>
        <v>3</v>
      </c>
      <c r="DF17" s="1325"/>
      <c r="DG17" s="1323"/>
      <c r="DH17" s="1326"/>
      <c r="DI17" s="1322"/>
      <c r="DJ17" s="1323"/>
      <c r="DK17" s="1324">
        <f>ROUND(DK$5*DR18/DR$6,0)-DK18</f>
        <v>-1</v>
      </c>
      <c r="DL17" s="1324">
        <f>ROUND(DL$5*DP18/DP$6,0)-DL18</f>
        <v>1</v>
      </c>
      <c r="DM17" s="1324">
        <f>ROUND(DM$5*DR18/DR$6,0)-DM18</f>
        <v>-2.5815916999708861</v>
      </c>
      <c r="DN17" s="1324">
        <f>ROUND(DN$5*DQ18/DQ$6,0)-DN18</f>
        <v>-0.25267089903354645</v>
      </c>
      <c r="DO17" s="1324">
        <f>ROUND(DO$5*DR18/DR$6,0)-DO18</f>
        <v>-5</v>
      </c>
      <c r="DP17" s="1325"/>
      <c r="DQ17" s="1323"/>
      <c r="DR17" s="1326"/>
      <c r="DS17" s="1322"/>
      <c r="DT17" s="1323"/>
      <c r="DU17" s="1324">
        <f>ROUND(DU$5*EB18/EB$6,0)-DU18</f>
        <v>-2</v>
      </c>
      <c r="DV17" s="1324">
        <f>ROUND(DV$5*DZ18/DZ$6,0)-DV18</f>
        <v>-4</v>
      </c>
      <c r="DW17" s="1324">
        <f>ROUND(DW$5*EB18/EB$6,0)-DW18</f>
        <v>2.2817859353381209</v>
      </c>
      <c r="DX17" s="1324">
        <f>ROUND(DX$5*EA18/EA$6,0)-DX18</f>
        <v>0.42633865401148796</v>
      </c>
      <c r="DY17" s="1324">
        <f>ROUND(DY$5*EB18/EB$6,0)-DY18</f>
        <v>0</v>
      </c>
      <c r="DZ17" s="1325"/>
      <c r="EA17" s="1323"/>
      <c r="EB17" s="1326"/>
      <c r="EC17" s="1322"/>
      <c r="ED17" s="1323"/>
      <c r="EE17" s="1324">
        <f>ROUND(EE$5*EL18/EL$6,0)-EE18</f>
        <v>-1</v>
      </c>
      <c r="EF17" s="1324">
        <f>ROUND(EF$5*EJ18/EJ$6,0)-EF18</f>
        <v>-1</v>
      </c>
      <c r="EG17" s="1324">
        <f>ROUND(EG$5*EL18/EL$6,0)+1-EG18</f>
        <v>0.43146945763146505</v>
      </c>
      <c r="EH17" s="1324">
        <f>ROUND(EH$5*EK18/EK$6,0)-EH18</f>
        <v>-0.37667563720606267</v>
      </c>
      <c r="EI17" s="1324">
        <f>ROUND(EI$5*EL18/EL$6,0)-EI18</f>
        <v>-2</v>
      </c>
      <c r="EJ17" s="1325"/>
      <c r="EK17" s="1323"/>
      <c r="EL17" s="1326"/>
      <c r="EM17" s="1325"/>
      <c r="EN17" s="1323"/>
      <c r="EO17" s="1324">
        <f>ROUND(EO$5*EV18/EV$6,0)-EO18</f>
        <v>1</v>
      </c>
      <c r="EP17" s="1324">
        <f>ROUND(EP$5*ET18/ET$6,0)-EP18</f>
        <v>0</v>
      </c>
      <c r="EQ17" s="1327">
        <f>ROUND(EQ$5*EV18/EV$6,0)+1-EQ18</f>
        <v>3.0232243060600013</v>
      </c>
      <c r="ER17" s="1327">
        <f>ROUND(ER$5*EU18/EU$6,0)-ER18</f>
        <v>0.28852169634774327</v>
      </c>
      <c r="ES17" s="1324">
        <f>ROUND(ES$5*EV18/EV$6,0)-ES18</f>
        <v>3</v>
      </c>
      <c r="ET17" s="1325"/>
      <c r="EU17" s="1323"/>
      <c r="EV17" s="1326"/>
      <c r="EW17" s="1391"/>
      <c r="EX17" s="1297" t="s">
        <v>11</v>
      </c>
      <c r="EY17" s="1297"/>
      <c r="EZ17" s="1297"/>
      <c r="FA17" s="1110" t="s">
        <v>1586</v>
      </c>
      <c r="FB17" s="1110" t="s">
        <v>1586</v>
      </c>
      <c r="FC17" s="1411"/>
      <c r="FD17" s="1416"/>
      <c r="FE17" s="1299"/>
      <c r="FF17" s="1417"/>
      <c r="FG17" s="1416"/>
      <c r="FH17" s="1299" t="s">
        <v>11</v>
      </c>
      <c r="FI17" s="1299"/>
      <c r="FJ17" s="1299"/>
      <c r="FK17" s="1327" t="s">
        <v>1535</v>
      </c>
      <c r="FL17" s="1327" t="s">
        <v>1535</v>
      </c>
      <c r="FM17" s="1417"/>
      <c r="FN17" s="1416"/>
      <c r="FO17" s="1299"/>
      <c r="FP17" s="1417"/>
      <c r="FQ17" s="1393"/>
      <c r="FR17" s="1391"/>
      <c r="FS17" s="1297" t="s">
        <v>11</v>
      </c>
      <c r="FT17" s="1297"/>
      <c r="FU17" s="1297"/>
      <c r="FV17" s="1728" t="s">
        <v>117</v>
      </c>
      <c r="FW17" s="1728" t="s">
        <v>117</v>
      </c>
      <c r="FX17" s="1411"/>
      <c r="FY17" s="1299"/>
      <c r="FZ17" s="1299"/>
      <c r="GA17" s="1329"/>
      <c r="GB17" s="1727"/>
      <c r="GC17" s="1297" t="s">
        <v>11</v>
      </c>
      <c r="GD17" s="1297"/>
      <c r="GE17" s="1297"/>
      <c r="GF17" s="1728" t="s">
        <v>117</v>
      </c>
      <c r="GG17" s="1728" t="s">
        <v>117</v>
      </c>
      <c r="GH17" s="1297"/>
      <c r="GI17" s="1416"/>
      <c r="GJ17" s="1299"/>
      <c r="GK17" s="1417"/>
      <c r="GL17" s="1727"/>
      <c r="GM17" s="1297" t="s">
        <v>11</v>
      </c>
      <c r="GN17" s="1297"/>
      <c r="GO17" s="1297"/>
      <c r="GP17" s="1728" t="s">
        <v>117</v>
      </c>
      <c r="GQ17" s="1728" t="s">
        <v>117</v>
      </c>
      <c r="GR17" s="1297"/>
      <c r="GS17" s="1391"/>
      <c r="GT17" s="1297"/>
      <c r="GU17" s="1411"/>
      <c r="GV17" s="1727"/>
      <c r="GW17" s="1297" t="s">
        <v>11</v>
      </c>
      <c r="GX17" s="1297"/>
      <c r="GY17" s="1297"/>
      <c r="GZ17" s="1728" t="s">
        <v>117</v>
      </c>
      <c r="HA17" s="1728" t="s">
        <v>117</v>
      </c>
      <c r="HB17" s="1297"/>
      <c r="HC17" s="1391"/>
      <c r="HD17" s="1297"/>
      <c r="HE17" s="1411"/>
      <c r="HF17" s="1727"/>
      <c r="HG17" s="1297" t="s">
        <v>11</v>
      </c>
      <c r="HH17" s="1297"/>
      <c r="HI17" s="1297"/>
      <c r="HJ17" s="1728" t="s">
        <v>117</v>
      </c>
      <c r="HK17" s="1728" t="s">
        <v>117</v>
      </c>
      <c r="HL17" s="1297"/>
      <c r="HM17" s="1391"/>
      <c r="HN17" s="1297"/>
      <c r="HO17" s="1411"/>
      <c r="HQ17" s="1310"/>
      <c r="HR17" s="1310"/>
      <c r="HS17" s="1310"/>
      <c r="HT17" s="1310"/>
      <c r="HW17" s="1030"/>
      <c r="HX17" s="1030" t="s">
        <v>106</v>
      </c>
      <c r="HY17" s="1030" t="s">
        <v>106</v>
      </c>
    </row>
    <row r="18" spans="1:233" ht="12.5">
      <c r="A18" s="1330">
        <v>100</v>
      </c>
      <c r="B18" s="1303" t="s">
        <v>172</v>
      </c>
      <c r="C18" s="1316">
        <f>+L18-J18</f>
        <v>178640.4654810885</v>
      </c>
      <c r="D18" s="1248">
        <f>C18-I18</f>
        <v>117674.4654810885</v>
      </c>
      <c r="E18" s="850">
        <f>+E5-SUM(E8:E16)</f>
        <v>5244431</v>
      </c>
      <c r="F18" s="1248">
        <f>+F5-SUM(F8:F16)</f>
        <v>5105413</v>
      </c>
      <c r="G18" s="1248">
        <f>+G5-SUM(G8:G16)</f>
        <v>-8367.5209472351708</v>
      </c>
      <c r="H18" s="1248">
        <f>+H5-SUM(H8:H16)</f>
        <v>374245.57259119721</v>
      </c>
      <c r="I18" s="1317">
        <f>+I5-SUM(I8:I16)</f>
        <v>60966</v>
      </c>
      <c r="J18" s="1318">
        <f>'7H18'!K16</f>
        <v>5982839.5345189115</v>
      </c>
      <c r="K18" s="1248">
        <f>+'7H18'!E16</f>
        <v>575527.63799637463</v>
      </c>
      <c r="L18" s="1317">
        <f>'7H18'!C16</f>
        <v>6161480</v>
      </c>
      <c r="M18" s="1316">
        <f>+V18-T18</f>
        <v>195713.85950940941</v>
      </c>
      <c r="N18" s="1248">
        <f>M18-S18</f>
        <v>94408.859509409405</v>
      </c>
      <c r="O18" s="850">
        <f>+O5-SUM(O8:O16)</f>
        <v>5589593</v>
      </c>
      <c r="P18" s="1248">
        <f>+P5-SUM(P8:P16)</f>
        <v>5256641</v>
      </c>
      <c r="Q18" s="1248">
        <f>+Q5-SUM(Q8:Q16)</f>
        <v>-13392.998591894517</v>
      </c>
      <c r="R18" s="1248">
        <f>+R5-SUM(R8:R16)</f>
        <v>375429.79420385463</v>
      </c>
      <c r="S18" s="1317">
        <f>+S5-SUM(S8:S16)</f>
        <v>101305</v>
      </c>
      <c r="T18" s="1318">
        <f>+'8H19'!K16</f>
        <v>5913146.1404905906</v>
      </c>
      <c r="U18" s="1248">
        <f>+'8H19'!E16</f>
        <v>582213.54969119281</v>
      </c>
      <c r="V18" s="1317">
        <f>'8H19'!C16</f>
        <v>6108860</v>
      </c>
      <c r="W18" s="1316">
        <f>+AF18-AD18</f>
        <v>478140.29513698537</v>
      </c>
      <c r="X18" s="1248">
        <f>W18-AC18</f>
        <v>388953.29513698537</v>
      </c>
      <c r="Y18" s="850">
        <f>+Y5-SUM(Y8:Y16)</f>
        <v>5325498</v>
      </c>
      <c r="Z18" s="1248">
        <f>+Z5-SUM(Z8:Z16)</f>
        <v>5185270</v>
      </c>
      <c r="AA18" s="1248">
        <f>+AA5-SUM(AA8:AA16)</f>
        <v>-34273.400335781742</v>
      </c>
      <c r="AB18" s="1248">
        <f>+AB5-SUM(AB8:AB16)</f>
        <v>364093.53415831807</v>
      </c>
      <c r="AC18" s="1317">
        <f>+AC5-SUM(AC8:AC16)</f>
        <v>89187</v>
      </c>
      <c r="AD18" s="1318">
        <f>+'9H20'!K16</f>
        <v>5876538.7048630146</v>
      </c>
      <c r="AE18" s="1248">
        <f>+'9H20'!E16</f>
        <v>609780.87021448463</v>
      </c>
      <c r="AF18" s="1317">
        <f>'9H20'!C16</f>
        <v>6354679</v>
      </c>
      <c r="AG18" s="1316">
        <f>+AP18-AN18</f>
        <v>1076648.4692806853</v>
      </c>
      <c r="AH18" s="1248">
        <f>AG18-AM18</f>
        <v>1149013.4692806853</v>
      </c>
      <c r="AI18" s="850">
        <f>+AI5-SUM(AI8:AI16)</f>
        <v>4851441</v>
      </c>
      <c r="AJ18" s="1248">
        <f>+AJ5-SUM(AJ8:AJ16)</f>
        <v>4578241</v>
      </c>
      <c r="AK18" s="1248">
        <f>+AK5-SUM(AK8:AK16)</f>
        <v>4601.9437054660521</v>
      </c>
      <c r="AL18" s="1248">
        <f>+AL5-SUM(AL8:AL16)</f>
        <v>363208.37483861111</v>
      </c>
      <c r="AM18" s="1317">
        <f>+AM5-SUM(AM8:AM16)</f>
        <v>-72365</v>
      </c>
      <c r="AN18" s="1318">
        <f>+'10H21'!K16</f>
        <v>5575787.5307193147</v>
      </c>
      <c r="AO18" s="1248">
        <f>+'10H21'!E16</f>
        <v>649150.34340579901</v>
      </c>
      <c r="AP18" s="1317">
        <f>'10H21'!C16</f>
        <v>6652436</v>
      </c>
      <c r="AQ18" s="1316">
        <f>+AZ18-AX18</f>
        <v>1181492.6292575914</v>
      </c>
      <c r="AR18" s="1248">
        <f>AQ18-AW18</f>
        <v>1102817.6292575914</v>
      </c>
      <c r="AS18" s="850">
        <f>+AS5-SUM(AS8:AS16)</f>
        <v>5217065</v>
      </c>
      <c r="AT18" s="1248">
        <f>+AT5-SUM(AT8:AT16)</f>
        <v>4838635</v>
      </c>
      <c r="AU18" s="1248">
        <f>+AU5-SUM(AU8:AU16)</f>
        <v>-38222.042053293437</v>
      </c>
      <c r="AV18" s="1248">
        <f>+AV5-SUM(AV8:AV16)</f>
        <v>377759.51137232501</v>
      </c>
      <c r="AW18" s="1317">
        <f>+AW5-SUM(AW8:AW16)</f>
        <v>78675</v>
      </c>
      <c r="AX18" s="1318">
        <f>+'11H22'!K16</f>
        <v>5755923.3707424086</v>
      </c>
      <c r="AY18" s="1248">
        <f>+'11H22'!E16</f>
        <v>640539.15438171476</v>
      </c>
      <c r="AZ18" s="1317">
        <f>'11H22'!C16</f>
        <v>6937416</v>
      </c>
      <c r="BA18" s="1316">
        <f>+BJ18-BH18</f>
        <v>670525</v>
      </c>
      <c r="BB18" s="1248">
        <f>BA18-BG18</f>
        <v>606875</v>
      </c>
      <c r="BC18" s="850">
        <f>+BC5-SUM(BC8:BC16)</f>
        <v>5101521</v>
      </c>
      <c r="BD18" s="1248">
        <f>+BD5-SUM(BD8:BD16)</f>
        <v>4943367</v>
      </c>
      <c r="BE18" s="1248">
        <f>+BE5-SUM(BE8:BE16)</f>
        <v>-25607.755177299317</v>
      </c>
      <c r="BF18" s="1248">
        <f>+BF5-SUM(BF8:BF16)</f>
        <v>380225.4057388152</v>
      </c>
      <c r="BG18" s="1317">
        <f>+BG5-SUM(BG8:BG16)</f>
        <v>63650</v>
      </c>
      <c r="BH18" s="1318">
        <f>+'12H23'!K16</f>
        <v>5761865</v>
      </c>
      <c r="BI18" s="1248">
        <f>+'12H23'!E16</f>
        <v>667146</v>
      </c>
      <c r="BJ18" s="1317">
        <f>'12H23'!C16</f>
        <v>6432390</v>
      </c>
      <c r="BK18" s="1316">
        <f>+BT18-BR18</f>
        <v>642866</v>
      </c>
      <c r="BL18" s="1248">
        <f>BK18-BQ18</f>
        <v>537590</v>
      </c>
      <c r="BM18" s="850">
        <f>+BM5-SUM(BM8:BM16)</f>
        <v>4946019</v>
      </c>
      <c r="BN18" s="1248">
        <f>+BN5-SUM(BN8:BN16)</f>
        <v>4885147</v>
      </c>
      <c r="BO18" s="1248">
        <f>+BO5-SUM(BO8:BO16)</f>
        <v>-20556.882379961433</v>
      </c>
      <c r="BP18" s="1248">
        <f>+BP5-SUM(BP8:BP16)</f>
        <v>369864.15857204422</v>
      </c>
      <c r="BQ18" s="1317">
        <f>+BQ5-SUM(BQ8:BQ16)</f>
        <v>105276</v>
      </c>
      <c r="BR18" s="1318">
        <f>+'13H24'!K16</f>
        <v>5705706</v>
      </c>
      <c r="BS18" s="1248">
        <f>+'13H24'!E16</f>
        <v>675624</v>
      </c>
      <c r="BT18" s="1317">
        <f>'13H24'!C16</f>
        <v>6348572</v>
      </c>
      <c r="BU18" s="1316">
        <f>+CD18-CB18</f>
        <v>364060</v>
      </c>
      <c r="BV18" s="1248">
        <f>BU18-CA18</f>
        <v>273938</v>
      </c>
      <c r="BW18" s="850">
        <f>+BW5-SUM(BW8:BW16)</f>
        <v>5010941</v>
      </c>
      <c r="BX18" s="1248">
        <f>+BX5-SUM(BX8:BX16)</f>
        <v>5183324</v>
      </c>
      <c r="BY18" s="1248">
        <f>+BY5-SUM(BY8:BY16)</f>
        <v>-20652.798270532046</v>
      </c>
      <c r="BZ18" s="1248">
        <f>+BZ5-SUM(BZ8:BZ16)</f>
        <v>360566.00322469324</v>
      </c>
      <c r="CA18" s="1317">
        <f>+CA5-SUM(CA8:CA16)</f>
        <v>90122</v>
      </c>
      <c r="CB18" s="1318">
        <f>+'14H25'!K16</f>
        <v>6057589</v>
      </c>
      <c r="CC18" s="1248">
        <f>+'14H25'!E16</f>
        <v>685267</v>
      </c>
      <c r="CD18" s="1317">
        <f>'14H25'!C16</f>
        <v>6421649</v>
      </c>
      <c r="CE18" s="1316">
        <f>+CN18-CL18</f>
        <v>625955</v>
      </c>
      <c r="CF18" s="1248">
        <f>CE18-CK18</f>
        <v>697129</v>
      </c>
      <c r="CG18" s="850">
        <f>+CG5-SUM(CG8:CG16)</f>
        <v>5269577</v>
      </c>
      <c r="CH18" s="1248">
        <f>+CH5-SUM(CH8:CH16)</f>
        <v>5086009</v>
      </c>
      <c r="CI18" s="1248">
        <f>+CI5-SUM(CI8:CI16)</f>
        <v>-22916.674104726291</v>
      </c>
      <c r="CJ18" s="1248">
        <f>+CJ5-SUM(CJ8:CJ16)</f>
        <v>371132.82186881592</v>
      </c>
      <c r="CK18" s="1317">
        <f>+CK5-SUM(CK8:CK16)</f>
        <v>-71174</v>
      </c>
      <c r="CL18" s="1318">
        <f>+'15H26'!K16</f>
        <v>5916993</v>
      </c>
      <c r="CM18" s="1248">
        <f>+'15H26'!E16</f>
        <v>708260</v>
      </c>
      <c r="CN18" s="1317">
        <f>'15H26'!C16</f>
        <v>6542948</v>
      </c>
      <c r="CO18" s="1316">
        <f>+CX18-CV18</f>
        <v>701263</v>
      </c>
      <c r="CP18" s="1248">
        <f>CO18-CU18</f>
        <v>623450</v>
      </c>
      <c r="CQ18" s="850">
        <f>+CQ5-SUM(CQ8:CQ16)</f>
        <v>5319840</v>
      </c>
      <c r="CR18" s="1248">
        <f>+CR5-SUM(CR8:CR16)</f>
        <v>5121471</v>
      </c>
      <c r="CS18" s="1248">
        <f>+CS5-SUM(CS8:CS16)</f>
        <v>-23979.035752502677</v>
      </c>
      <c r="CT18" s="1248">
        <f>+CT5-SUM(CT8:CT16)</f>
        <v>366940.68947252817</v>
      </c>
      <c r="CU18" s="1317">
        <f>+CU5-SUM(CU8:CU16)</f>
        <v>77813</v>
      </c>
      <c r="CV18" s="1318">
        <f>+'16H27'!K16</f>
        <v>6160558</v>
      </c>
      <c r="CW18" s="1248">
        <f>+'16H27'!E16</f>
        <v>721533</v>
      </c>
      <c r="CX18" s="1317">
        <f>'16H27'!C16</f>
        <v>6861821</v>
      </c>
      <c r="CY18" s="1316">
        <f>+DH18-DF18</f>
        <v>779869</v>
      </c>
      <c r="CZ18" s="1248">
        <f>CY18-DE18</f>
        <v>785567</v>
      </c>
      <c r="DA18" s="850">
        <f>+DA5-SUM(DA8:DA16)</f>
        <v>5146995</v>
      </c>
      <c r="DB18" s="1248">
        <f>+DB5-SUM(DB8:DB16)</f>
        <v>4937530</v>
      </c>
      <c r="DC18" s="1248">
        <f>+DC5-SUM(DC8:DC16)</f>
        <v>-21743.17622134625</v>
      </c>
      <c r="DD18" s="1248">
        <f>+DD5-SUM(DD8:DD16)</f>
        <v>369398.66144045722</v>
      </c>
      <c r="DE18" s="1317">
        <f>+DE5-SUM(DE8:DE16)</f>
        <v>-5698</v>
      </c>
      <c r="DF18" s="1318">
        <f>+'17H28'!K16</f>
        <v>6105495</v>
      </c>
      <c r="DG18" s="1248">
        <f>+'17H28'!E16</f>
        <v>718365</v>
      </c>
      <c r="DH18" s="1317">
        <f>'17H28'!C16</f>
        <v>6885364</v>
      </c>
      <c r="DI18" s="1316">
        <f>+DR18-DP18</f>
        <v>494993</v>
      </c>
      <c r="DJ18" s="1248">
        <f>DI18-DO18</f>
        <v>746027</v>
      </c>
      <c r="DK18" s="850">
        <f>+DK5-SUM(DK8:DK16)</f>
        <v>5448175</v>
      </c>
      <c r="DL18" s="1248">
        <f>+DL5-SUM(DL8:DL16)</f>
        <v>5385525</v>
      </c>
      <c r="DM18" s="1248">
        <f>+DM5-SUM(DM8:DM16)</f>
        <v>-17378.418408300029</v>
      </c>
      <c r="DN18" s="1248">
        <f>+DN5-SUM(DN8:DN16)</f>
        <v>429743.25267089903</v>
      </c>
      <c r="DO18" s="1317">
        <f>+DO5-SUM(DO8:DO16)</f>
        <v>-251034</v>
      </c>
      <c r="DP18" s="1318">
        <f>+'18H29'!K16</f>
        <v>6488576</v>
      </c>
      <c r="DQ18" s="1248">
        <f>+'18H29'!E16</f>
        <v>932698</v>
      </c>
      <c r="DR18" s="1317">
        <f>+'18H29'!C16</f>
        <v>6983569</v>
      </c>
      <c r="DS18" s="1316">
        <f>+EB18-DZ18</f>
        <v>561661</v>
      </c>
      <c r="DT18" s="1248">
        <f>DS18-DY18</f>
        <v>943777</v>
      </c>
      <c r="DU18" s="850">
        <f>+DU5-SUM(DU8:DU16)</f>
        <v>5491455</v>
      </c>
      <c r="DV18" s="1248">
        <f>+DV5-SUM(DV8:DV16)</f>
        <v>5441169</v>
      </c>
      <c r="DW18" s="1248">
        <f>+DW5-SUM(DW8:DW16)</f>
        <v>-17908.281785935338</v>
      </c>
      <c r="DX18" s="1248">
        <f>+DX5-SUM(DX8:DX16)</f>
        <v>443641.57366134599</v>
      </c>
      <c r="DY18" s="1317">
        <f>+DY5-SUM(DY8:DY16)</f>
        <v>-382116</v>
      </c>
      <c r="DZ18" s="1318">
        <f>+'19H30'!K16</f>
        <v>6389329</v>
      </c>
      <c r="EA18" s="1248">
        <f>+'19H30'!E16</f>
        <v>942361</v>
      </c>
      <c r="EB18" s="1317">
        <f>+'19H30'!C16</f>
        <v>6950990</v>
      </c>
      <c r="EC18" s="1316">
        <f>+EL18-EJ18</f>
        <v>522408</v>
      </c>
      <c r="ED18" s="1248">
        <f>EC18-EI18</f>
        <v>1072273</v>
      </c>
      <c r="EE18" s="850">
        <f>+EE5-SUM(EE8:EE16)</f>
        <v>5484634</v>
      </c>
      <c r="EF18" s="1248">
        <f>+EF5-SUM(EF8:EF16)</f>
        <v>5495878</v>
      </c>
      <c r="EG18" s="1248">
        <f>+EG5-SUM(EG8:EG16)</f>
        <v>-17133.431469457631</v>
      </c>
      <c r="EH18" s="1248">
        <f>+EH5-SUM(EH8:EH16)</f>
        <v>450387.37667563721</v>
      </c>
      <c r="EI18" s="1317">
        <f>+EI5-SUM(EI8:EI16)</f>
        <v>-549865</v>
      </c>
      <c r="EJ18" s="1318">
        <f>+'20R1'!K16</f>
        <v>6561398</v>
      </c>
      <c r="EK18" s="1248">
        <f>+'20R1'!E16</f>
        <v>982784</v>
      </c>
      <c r="EL18" s="1317">
        <f>+'20R1'!C16</f>
        <v>7083806</v>
      </c>
      <c r="EM18" s="1316">
        <f>+EV18-ET18</f>
        <v>591850</v>
      </c>
      <c r="EN18" s="1248">
        <f>EM18-ES18</f>
        <v>716873</v>
      </c>
      <c r="EO18" s="850">
        <f>+EO5-SUM(EO8:EO16)</f>
        <v>4903379</v>
      </c>
      <c r="EP18" s="1248">
        <f>+EP5-SUM(EP8:EP16)</f>
        <v>5003210</v>
      </c>
      <c r="EQ18" s="1319">
        <f>+EQ5-SUM(EQ8:EQ16)</f>
        <v>-12850.02322430606</v>
      </c>
      <c r="ER18" s="1319">
        <f>+ER5-SUM(ER8:ER16)</f>
        <v>434552.71147830365</v>
      </c>
      <c r="ES18" s="850">
        <f>+ES5-SUM(ES8:ES16)</f>
        <v>-125023</v>
      </c>
      <c r="ET18" s="1331">
        <f>'21R2'!K16</f>
        <v>6235919</v>
      </c>
      <c r="EU18" s="1248">
        <f>'21R2'!E16</f>
        <v>958986</v>
      </c>
      <c r="EV18" s="1317">
        <f>+'21R2'!C16</f>
        <v>6827769</v>
      </c>
      <c r="EW18" s="1391">
        <f t="shared" ref="EW18:EW49" si="298">EX18+FC18</f>
        <v>-414144</v>
      </c>
      <c r="EX18" s="1312">
        <f t="shared" ref="EX18" si="299">EX5-SUM(EX8:EX16)</f>
        <v>-278489</v>
      </c>
      <c r="EY18" s="875">
        <f>+EY5-SUM(EY8:EY16)</f>
        <v>5465833</v>
      </c>
      <c r="EZ18" s="1305">
        <f>+EZ5-SUM(EZ8:EZ16)</f>
        <v>5744322</v>
      </c>
      <c r="FA18" s="1308">
        <f>+FA5-SUM(FA8:FA16)</f>
        <v>-7198.3354229513207</v>
      </c>
      <c r="FB18" s="1308">
        <f>+FB5-SUM(FB8:FB16)</f>
        <v>464851.05058647855</v>
      </c>
      <c r="FC18" s="1692">
        <f>+FC5-SUM(FC8:FC16)</f>
        <v>-135655</v>
      </c>
      <c r="FD18" s="1414">
        <f>'22R3'!K16</f>
        <v>6640435</v>
      </c>
      <c r="FE18" s="1310">
        <f>'22R3'!E16</f>
        <v>1055243</v>
      </c>
      <c r="FF18" s="1690">
        <f>'22R3'!C16</f>
        <v>6947990</v>
      </c>
      <c r="FG18" s="1391">
        <f t="shared" ref="FG18:FG49" si="300">FH18+FM18</f>
        <v>-787410</v>
      </c>
      <c r="FH18" s="1312">
        <f t="shared" ref="FH18" si="301">FH5-SUM(FH8:FH16)</f>
        <v>-651755</v>
      </c>
      <c r="FI18" s="875">
        <f>+FI5-SUM(FI8:FI16)</f>
        <v>5913117</v>
      </c>
      <c r="FJ18" s="1305">
        <f>+FJ5-SUM(FJ8:FJ16)</f>
        <v>6564872</v>
      </c>
      <c r="FK18" s="1308">
        <f>+FK5-SUM(FK8:FK16)</f>
        <v>-13244.346241947438</v>
      </c>
      <c r="FL18" s="1308">
        <f>+FL5-SUM(FL8:FL16)</f>
        <v>485969.02952413796</v>
      </c>
      <c r="FM18" s="1397">
        <f t="shared" ref="FM18:FM49" si="302">FC18</f>
        <v>-135655</v>
      </c>
      <c r="FN18" s="1747">
        <f>'23R4'!K16</f>
        <v>7075674</v>
      </c>
      <c r="FO18" s="1419">
        <f>'23R4'!E16</f>
        <v>1064443</v>
      </c>
      <c r="FP18" s="1850">
        <f>'23R4'!C16</f>
        <v>7287424</v>
      </c>
      <c r="FQ18" s="1310"/>
      <c r="FR18" s="1391">
        <f t="shared" ref="FR18:FR67" si="303">FS18+FX18</f>
        <v>95424</v>
      </c>
      <c r="FS18" s="1312">
        <f t="shared" ref="FS18" si="304">FS5-SUM(FS8:FS16)</f>
        <v>231079</v>
      </c>
      <c r="FT18" s="864">
        <f>+FT5-SUM(FT8:FT16)</f>
        <v>6669719</v>
      </c>
      <c r="FU18" s="1305">
        <f>+FU5-SUM(FU8:FU16)</f>
        <v>6438640</v>
      </c>
      <c r="FV18" s="1308">
        <f>+FV5-SUM(FV8:FV16)</f>
        <v>-14695</v>
      </c>
      <c r="FW18" s="1308">
        <f>+FW5-SUM(FW8:FW16)</f>
        <v>460823.02952413796</v>
      </c>
      <c r="FX18" s="1397">
        <f>FM18</f>
        <v>-135655</v>
      </c>
      <c r="FY18" s="1332">
        <f>'24R5'!K16</f>
        <v>7049872</v>
      </c>
      <c r="FZ18" s="1332">
        <f>'24R5'!E16</f>
        <v>1009028</v>
      </c>
      <c r="GA18" s="1319">
        <v>6940090</v>
      </c>
      <c r="GB18" s="1391">
        <f t="shared" ref="GB18:GB67" si="305">GC18+GH18</f>
        <v>564543</v>
      </c>
      <c r="GC18" s="1312">
        <f t="shared" ref="GC18" si="306">GC5-SUM(GC8:GC16)</f>
        <v>700198</v>
      </c>
      <c r="GD18" s="864">
        <f>+GD5-SUM(GD8:GD16)</f>
        <v>7129191</v>
      </c>
      <c r="GE18" s="1305">
        <f>+GE5-SUM(GE8:GE16)</f>
        <v>6428993</v>
      </c>
      <c r="GF18" s="1308">
        <f>+GF5-SUM(GF8:GF16)</f>
        <v>-15370</v>
      </c>
      <c r="GG18" s="1308">
        <f>+GG5-SUM(GG8:GG16)</f>
        <v>239188.02952413796</v>
      </c>
      <c r="GH18" s="1397">
        <f>FM18</f>
        <v>-135655</v>
      </c>
      <c r="GI18" s="1419">
        <f>'25R6'!K16</f>
        <v>6937158</v>
      </c>
      <c r="GJ18" s="1419">
        <f>'25R6'!E16</f>
        <v>1067351</v>
      </c>
      <c r="GK18" s="1308">
        <v>6940090</v>
      </c>
      <c r="GL18" s="1391">
        <f t="shared" ref="GL18:GL67" si="307">GM18+GR18</f>
        <v>138065</v>
      </c>
      <c r="GM18" s="1312">
        <f t="shared" ref="GM18" si="308">GM5-SUM(GM8:GM16)</f>
        <v>273720</v>
      </c>
      <c r="GN18" s="864">
        <f>+GN5-SUM(GN8:GN16)</f>
        <v>6938400</v>
      </c>
      <c r="GO18" s="1305">
        <f>+GO5-SUM(GO8:GO16)</f>
        <v>6664680</v>
      </c>
      <c r="GP18" s="1308">
        <f>+GP5-SUM(GP8:GP16)</f>
        <v>-14986</v>
      </c>
      <c r="GQ18" s="1308">
        <f>+GQ5-SUM(GQ8:GQ16)</f>
        <v>241500.02952413796</v>
      </c>
      <c r="GR18" s="1745">
        <f>FX18</f>
        <v>-135655</v>
      </c>
      <c r="GS18" s="1747">
        <f>'26R7'!K16</f>
        <v>7242621.2816393301</v>
      </c>
      <c r="GT18" s="1419">
        <f>'26R7'!E16</f>
        <v>1125791</v>
      </c>
      <c r="GU18" s="1397">
        <v>7242621.2816393301</v>
      </c>
      <c r="GV18" s="1391">
        <f t="shared" ref="GV18:GV67" si="309">GW18+HB18</f>
        <v>60799</v>
      </c>
      <c r="GW18" s="1312">
        <f t="shared" ref="GW18" si="310">GW5-SUM(GW8:GW16)</f>
        <v>196454</v>
      </c>
      <c r="GX18" s="864">
        <f>+GX5-SUM(GX8:GX16)</f>
        <v>7026783</v>
      </c>
      <c r="GY18" s="1305">
        <f>+GY5-SUM(GY8:GY16)</f>
        <v>6830329</v>
      </c>
      <c r="GZ18" s="1308">
        <f>+GZ5-SUM(GZ8:GZ16)</f>
        <v>-15177</v>
      </c>
      <c r="HA18" s="1308">
        <f>+HA5-SUM(HA8:HA16)</f>
        <v>222100.02952413796</v>
      </c>
      <c r="HB18" s="1745">
        <f>GH18</f>
        <v>-135655</v>
      </c>
      <c r="HC18" s="1747">
        <f>'27R8'!U16</f>
        <v>6918660</v>
      </c>
      <c r="HD18" s="1850">
        <f>'27R8'!O16</f>
        <v>-229437</v>
      </c>
      <c r="HE18" s="1397">
        <v>7300588</v>
      </c>
      <c r="HF18" s="1391">
        <f t="shared" ref="HF18:HF67" si="311">HG18+HL18</f>
        <v>52028</v>
      </c>
      <c r="HG18" s="1312">
        <f t="shared" ref="HG18" si="312">HG5-SUM(HG8:HG16)</f>
        <v>187683</v>
      </c>
      <c r="HH18" s="864">
        <f>+HH5-SUM(HH8:HH16)</f>
        <v>7182032</v>
      </c>
      <c r="HI18" s="1305">
        <f>+HI5-SUM(HI8:HI16)</f>
        <v>6994349</v>
      </c>
      <c r="HJ18" s="1308">
        <f>+HJ5-SUM(HJ8:HJ16)</f>
        <v>-15510</v>
      </c>
      <c r="HK18" s="1308">
        <f>+HK5-SUM(HK8:HK16)</f>
        <v>222100.02952413796</v>
      </c>
      <c r="HL18" s="1745">
        <f>GR18</f>
        <v>-135655</v>
      </c>
      <c r="HM18" s="1747">
        <f>'28R9'!U16</f>
        <v>6918660</v>
      </c>
      <c r="HN18" s="1419">
        <f>'28R9'!O16</f>
        <v>-229437</v>
      </c>
      <c r="HO18" s="1397">
        <v>7382517</v>
      </c>
      <c r="HQ18" s="1310">
        <f>市町名目!J17</f>
        <v>7083806</v>
      </c>
      <c r="HR18" s="1310">
        <f>市町名目!K17</f>
        <v>6827769</v>
      </c>
      <c r="HS18" s="1310">
        <f>市町名目!L17</f>
        <v>6947990</v>
      </c>
      <c r="HT18" s="1310">
        <f>市町名目!M17</f>
        <v>7287424</v>
      </c>
      <c r="HU18" s="1310">
        <f>市町名目!N17</f>
        <v>7529880</v>
      </c>
      <c r="HV18" s="1054">
        <v>7214490.8983490979</v>
      </c>
      <c r="HW18" s="1030">
        <v>7940939.6298774192</v>
      </c>
      <c r="HX18" s="1030">
        <v>7300588</v>
      </c>
      <c r="HY18" s="1030">
        <v>7382517</v>
      </c>
    </row>
    <row r="19" spans="1:233" ht="12.5">
      <c r="A19" s="1302"/>
      <c r="B19" s="1247" t="s">
        <v>182</v>
      </c>
      <c r="C19" s="1316">
        <f>SUM(C20:C22)</f>
        <v>-942377</v>
      </c>
      <c r="D19" s="1248">
        <f t="shared" ref="D19:I19" si="313">SUM(D20:D22)</f>
        <v>-972783</v>
      </c>
      <c r="E19" s="1248">
        <f>SUM(E20:E22)</f>
        <v>2615435</v>
      </c>
      <c r="F19" s="1248">
        <f t="shared" si="313"/>
        <v>3426300</v>
      </c>
      <c r="G19" s="1248">
        <f t="shared" si="313"/>
        <v>-4174</v>
      </c>
      <c r="H19" s="1248">
        <f t="shared" si="313"/>
        <v>226938</v>
      </c>
      <c r="I19" s="1317">
        <f t="shared" si="313"/>
        <v>30406</v>
      </c>
      <c r="J19" s="1318">
        <f>SUM(J20:J22)</f>
        <v>4015152</v>
      </c>
      <c r="K19" s="1248">
        <f>+'7H18'!E17</f>
        <v>348992</v>
      </c>
      <c r="L19" s="1317">
        <f t="shared" ref="L19:S19" si="314">SUM(L20:L22)</f>
        <v>3072775</v>
      </c>
      <c r="M19" s="1316">
        <f t="shared" si="314"/>
        <v>-911645</v>
      </c>
      <c r="N19" s="1248">
        <f t="shared" si="314"/>
        <v>-962668</v>
      </c>
      <c r="O19" s="1248">
        <f>SUM(O20:O22)</f>
        <v>2815362</v>
      </c>
      <c r="P19" s="1248">
        <f t="shared" si="314"/>
        <v>3545725</v>
      </c>
      <c r="Q19" s="1248">
        <f t="shared" si="314"/>
        <v>-6744</v>
      </c>
      <c r="R19" s="1248">
        <f t="shared" si="314"/>
        <v>229495</v>
      </c>
      <c r="S19" s="1317">
        <f t="shared" si="314"/>
        <v>51023</v>
      </c>
      <c r="T19" s="1318">
        <f>+'8H19'!K17</f>
        <v>3988551</v>
      </c>
      <c r="U19" s="1248">
        <f>+'8H19'!E17</f>
        <v>355898</v>
      </c>
      <c r="V19" s="1317">
        <f t="shared" ref="V19:AC19" si="315">SUM(V20:V22)</f>
        <v>3076906</v>
      </c>
      <c r="W19" s="1316">
        <f t="shared" si="315"/>
        <v>-981451</v>
      </c>
      <c r="X19" s="1248">
        <f t="shared" si="315"/>
        <v>-1025262</v>
      </c>
      <c r="Y19" s="1248">
        <f>SUM(Y20:Y22)</f>
        <v>2616210</v>
      </c>
      <c r="Z19" s="1248">
        <f t="shared" si="315"/>
        <v>3620585</v>
      </c>
      <c r="AA19" s="1248">
        <f t="shared" si="315"/>
        <v>-16836</v>
      </c>
      <c r="AB19" s="1248">
        <f t="shared" si="315"/>
        <v>229350</v>
      </c>
      <c r="AC19" s="1317">
        <f t="shared" si="315"/>
        <v>43811</v>
      </c>
      <c r="AD19" s="1318">
        <f>+'9H20'!K17</f>
        <v>4103257</v>
      </c>
      <c r="AE19" s="1248">
        <f>+'9H20'!E17</f>
        <v>384109</v>
      </c>
      <c r="AF19" s="1317">
        <f t="shared" ref="AF19:AM19" si="316">SUM(AF20:AF22)</f>
        <v>3121806</v>
      </c>
      <c r="AG19" s="1316">
        <f t="shared" si="316"/>
        <v>-686249</v>
      </c>
      <c r="AH19" s="1248">
        <f t="shared" si="316"/>
        <v>-651568</v>
      </c>
      <c r="AI19" s="1248">
        <f>SUM(AI20:AI22)</f>
        <v>2324991</v>
      </c>
      <c r="AJ19" s="1248">
        <f t="shared" si="316"/>
        <v>3181196</v>
      </c>
      <c r="AK19" s="1248">
        <f t="shared" si="316"/>
        <v>2205</v>
      </c>
      <c r="AL19" s="1248">
        <f t="shared" si="316"/>
        <v>225060</v>
      </c>
      <c r="AM19" s="1317">
        <f t="shared" si="316"/>
        <v>-34681</v>
      </c>
      <c r="AN19" s="1318">
        <f>+'10H21'!K17</f>
        <v>3874343</v>
      </c>
      <c r="AO19" s="1248">
        <f>+'10H21'!E17</f>
        <v>402243</v>
      </c>
      <c r="AP19" s="1317">
        <f>'10H21'!C17</f>
        <v>3188094</v>
      </c>
      <c r="AQ19" s="1316">
        <f t="shared" ref="AQ19:AW19" si="317">SUM(AQ20:AQ22)</f>
        <v>-321390</v>
      </c>
      <c r="AR19" s="1248">
        <f t="shared" si="317"/>
        <v>-360672</v>
      </c>
      <c r="AS19" s="1248">
        <f>SUM(AS20:AS22)</f>
        <v>2605048</v>
      </c>
      <c r="AT19" s="1248">
        <f t="shared" si="317"/>
        <v>3182196</v>
      </c>
      <c r="AU19" s="1248">
        <f t="shared" si="317"/>
        <v>-19086</v>
      </c>
      <c r="AV19" s="1248">
        <f t="shared" si="317"/>
        <v>231507</v>
      </c>
      <c r="AW19" s="1317">
        <f t="shared" si="317"/>
        <v>39282</v>
      </c>
      <c r="AX19" s="1318">
        <f>+'11H22'!K17</f>
        <v>3785464</v>
      </c>
      <c r="AY19" s="1248">
        <f>+'11H22'!E17</f>
        <v>392549</v>
      </c>
      <c r="AZ19" s="1317">
        <f>'11H22'!C17</f>
        <v>3464074</v>
      </c>
      <c r="BA19" s="1316">
        <f t="shared" ref="BA19:BG19" si="318">SUM(BA20:BA22)</f>
        <v>-477796</v>
      </c>
      <c r="BB19" s="1248">
        <f t="shared" si="318"/>
        <v>-509912</v>
      </c>
      <c r="BC19" s="1248">
        <f>SUM(BC20:BC22)</f>
        <v>2574177</v>
      </c>
      <c r="BD19" s="1248">
        <f t="shared" si="318"/>
        <v>3194571</v>
      </c>
      <c r="BE19" s="1248">
        <f t="shared" si="318"/>
        <v>-12921</v>
      </c>
      <c r="BF19" s="1248">
        <f t="shared" si="318"/>
        <v>228041</v>
      </c>
      <c r="BG19" s="1317">
        <f t="shared" si="318"/>
        <v>32116</v>
      </c>
      <c r="BH19" s="1318">
        <f>+'12H23'!K17</f>
        <v>3723516</v>
      </c>
      <c r="BI19" s="1248">
        <f>+'12H23'!E17</f>
        <v>400120</v>
      </c>
      <c r="BJ19" s="1317">
        <f>'12H23'!C17</f>
        <v>3245720</v>
      </c>
      <c r="BK19" s="1316">
        <f t="shared" ref="BK19:BQ19" si="319">SUM(BK20:BK22)</f>
        <v>-501460</v>
      </c>
      <c r="BL19" s="1248">
        <f t="shared" si="319"/>
        <v>-554017</v>
      </c>
      <c r="BM19" s="1248">
        <f>SUM(BM20:BM22)</f>
        <v>2469166</v>
      </c>
      <c r="BN19" s="1248">
        <f t="shared" si="319"/>
        <v>3142900</v>
      </c>
      <c r="BO19" s="1248">
        <f t="shared" si="319"/>
        <v>-10263</v>
      </c>
      <c r="BP19" s="1248">
        <f t="shared" si="319"/>
        <v>222591</v>
      </c>
      <c r="BQ19" s="1317">
        <f t="shared" si="319"/>
        <v>52557</v>
      </c>
      <c r="BR19" s="1318">
        <f>+'13H24'!K17</f>
        <v>3670813</v>
      </c>
      <c r="BS19" s="1248">
        <f>+'13H24'!E17</f>
        <v>406607</v>
      </c>
      <c r="BT19" s="1317">
        <f>'13H24'!C17</f>
        <v>3169353</v>
      </c>
      <c r="BU19" s="1316">
        <f t="shared" ref="BU19:CA19" si="320">SUM(BU20:BU22)</f>
        <v>-540722</v>
      </c>
      <c r="BV19" s="1248">
        <f t="shared" si="320"/>
        <v>-587173</v>
      </c>
      <c r="BW19" s="1248">
        <f>SUM(BW20:BW22)</f>
        <v>2582820</v>
      </c>
      <c r="BX19" s="1248">
        <f t="shared" si="320"/>
        <v>3294924</v>
      </c>
      <c r="BY19" s="1248">
        <f t="shared" si="320"/>
        <v>-10645</v>
      </c>
      <c r="BZ19" s="1248">
        <f t="shared" si="320"/>
        <v>226085</v>
      </c>
      <c r="CA19" s="1317">
        <f t="shared" si="320"/>
        <v>46451</v>
      </c>
      <c r="CB19" s="1318">
        <f>+'14H25'!K17</f>
        <v>3850672</v>
      </c>
      <c r="CC19" s="1248">
        <f>+'14H25'!E17</f>
        <v>429681</v>
      </c>
      <c r="CD19" s="1317">
        <f>'14H25'!C17</f>
        <v>3309950</v>
      </c>
      <c r="CE19" s="1316">
        <f t="shared" ref="CE19:CK19" si="321">SUM(CE20:CE22)</f>
        <v>-470170</v>
      </c>
      <c r="CF19" s="1248">
        <f t="shared" si="321"/>
        <v>-434174</v>
      </c>
      <c r="CG19" s="1248">
        <f>SUM(CG20:CG22)</f>
        <v>2664985</v>
      </c>
      <c r="CH19" s="1248">
        <f t="shared" si="321"/>
        <v>3248393</v>
      </c>
      <c r="CI19" s="1248">
        <f t="shared" si="321"/>
        <v>-11590</v>
      </c>
      <c r="CJ19" s="1248">
        <f t="shared" si="321"/>
        <v>229062</v>
      </c>
      <c r="CK19" s="1317">
        <f t="shared" si="321"/>
        <v>-35996</v>
      </c>
      <c r="CL19" s="1318">
        <f>+'15H26'!K17</f>
        <v>3779135</v>
      </c>
      <c r="CM19" s="1248">
        <f>+'15H26'!E17</f>
        <v>437135</v>
      </c>
      <c r="CN19" s="1317">
        <f>'15H26'!C17</f>
        <v>3308965</v>
      </c>
      <c r="CO19" s="1316">
        <f t="shared" ref="CO19:CU19" si="322">SUM(CO20:CO22)</f>
        <v>-451860</v>
      </c>
      <c r="CP19" s="1248">
        <f t="shared" si="322"/>
        <v>-491987</v>
      </c>
      <c r="CQ19" s="1248">
        <f>SUM(CQ20:CQ22)</f>
        <v>2743280</v>
      </c>
      <c r="CR19" s="1248">
        <f t="shared" si="322"/>
        <v>3317260</v>
      </c>
      <c r="CS19" s="1248">
        <f t="shared" si="322"/>
        <v>-12365</v>
      </c>
      <c r="CT19" s="1248">
        <f t="shared" si="322"/>
        <v>229384</v>
      </c>
      <c r="CU19" s="1317">
        <f t="shared" si="322"/>
        <v>40127</v>
      </c>
      <c r="CV19" s="1318">
        <f>+'16H27'!K17</f>
        <v>3990293</v>
      </c>
      <c r="CW19" s="1248">
        <f>+'16H27'!E17</f>
        <v>451050</v>
      </c>
      <c r="CX19" s="1317">
        <f>'16H27'!C17</f>
        <v>3538433</v>
      </c>
      <c r="CY19" s="1316">
        <f t="shared" ref="CY19:DE19" si="323">SUM(CY20:CY22)</f>
        <v>-365360</v>
      </c>
      <c r="CZ19" s="1248">
        <f t="shared" si="323"/>
        <v>-362417</v>
      </c>
      <c r="DA19" s="1248">
        <f>SUM(DA20:DA22)</f>
        <v>2659991</v>
      </c>
      <c r="DB19" s="1248">
        <f t="shared" si="323"/>
        <v>3173144</v>
      </c>
      <c r="DC19" s="1248">
        <f t="shared" si="323"/>
        <v>-11238</v>
      </c>
      <c r="DD19" s="1248">
        <f t="shared" si="323"/>
        <v>234977</v>
      </c>
      <c r="DE19" s="1317">
        <f t="shared" si="323"/>
        <v>-2943</v>
      </c>
      <c r="DF19" s="1318">
        <f>+'17H28'!K17</f>
        <v>3923748</v>
      </c>
      <c r="DG19" s="1248">
        <f>+'17H28'!E17</f>
        <v>456960</v>
      </c>
      <c r="DH19" s="1317">
        <f>'17H28'!C17</f>
        <v>3558388</v>
      </c>
      <c r="DI19" s="1316">
        <f t="shared" ref="DI19:DO19" si="324">SUM(DI20:DI22)</f>
        <v>-209293</v>
      </c>
      <c r="DJ19" s="1248">
        <f t="shared" si="324"/>
        <v>-77357</v>
      </c>
      <c r="DK19" s="1248">
        <f>SUM(DK20:DK22)</f>
        <v>2863333</v>
      </c>
      <c r="DL19" s="1248">
        <f t="shared" si="324"/>
        <v>3220044</v>
      </c>
      <c r="DM19" s="1248">
        <f t="shared" si="324"/>
        <v>-9135</v>
      </c>
      <c r="DN19" s="1248">
        <f t="shared" si="324"/>
        <v>201363</v>
      </c>
      <c r="DO19" s="1317">
        <f t="shared" si="324"/>
        <v>-131936</v>
      </c>
      <c r="DP19" s="1318">
        <f>+'18H29'!K17</f>
        <v>3879565</v>
      </c>
      <c r="DQ19" s="1248">
        <f>+'18H29'!E17</f>
        <v>437031</v>
      </c>
      <c r="DR19" s="1317">
        <f>+'18H29'!C17</f>
        <v>3670272</v>
      </c>
      <c r="DS19" s="1316">
        <f t="shared" ref="DS19:DY19" si="325">SUM(DS20:DS22)</f>
        <v>-277638</v>
      </c>
      <c r="DT19" s="1248">
        <f t="shared" si="325"/>
        <v>-77422</v>
      </c>
      <c r="DU19" s="1248">
        <f>SUM(DU20:DU22)</f>
        <v>2877339</v>
      </c>
      <c r="DV19" s="1248">
        <f t="shared" si="325"/>
        <v>3338046</v>
      </c>
      <c r="DW19" s="1248">
        <f t="shared" si="325"/>
        <v>-9381</v>
      </c>
      <c r="DX19" s="1248">
        <f t="shared" si="325"/>
        <v>206238</v>
      </c>
      <c r="DY19" s="1317">
        <f t="shared" si="325"/>
        <v>-200216</v>
      </c>
      <c r="DZ19" s="1318">
        <f>+'19H30'!K17</f>
        <v>3919725</v>
      </c>
      <c r="EA19" s="1248">
        <f>+'19H30'!E17</f>
        <v>438078</v>
      </c>
      <c r="EB19" s="1317">
        <f>+'19H30'!C17</f>
        <v>3642087</v>
      </c>
      <c r="EC19" s="1316">
        <f t="shared" ref="EC19:EI19" si="326">SUM(EC20:EC22)</f>
        <v>-237027</v>
      </c>
      <c r="ED19" s="1248">
        <f t="shared" si="326"/>
        <v>49856</v>
      </c>
      <c r="EE19" s="1248">
        <f>SUM(EE20:EE22)</f>
        <v>2861508</v>
      </c>
      <c r="EF19" s="1248">
        <f t="shared" si="326"/>
        <v>3294206</v>
      </c>
      <c r="EG19" s="1248">
        <f t="shared" si="326"/>
        <v>-8939</v>
      </c>
      <c r="EH19" s="1248">
        <f t="shared" si="326"/>
        <v>208519</v>
      </c>
      <c r="EI19" s="1317">
        <f t="shared" si="326"/>
        <v>-286883</v>
      </c>
      <c r="EJ19" s="1318">
        <f>+'20R1'!K17</f>
        <v>3932875</v>
      </c>
      <c r="EK19" s="1248">
        <f>+'20R1'!E17</f>
        <v>455008</v>
      </c>
      <c r="EL19" s="1317">
        <f>+'20R1'!C17</f>
        <v>3695848</v>
      </c>
      <c r="EM19" s="1316">
        <f t="shared" ref="EM19" si="327">SUM(EM20:EM22)</f>
        <v>-252621</v>
      </c>
      <c r="EN19" s="1248">
        <f t="shared" ref="EN19" si="328">SUM(EN20:EN22)</f>
        <v>-188104</v>
      </c>
      <c r="EO19" s="1248">
        <f>SUM(EO20:EO22)</f>
        <v>2530420</v>
      </c>
      <c r="EP19" s="1248">
        <f t="shared" ref="EP19:EU19" si="329">SUM(EP20:EP22)</f>
        <v>3029672</v>
      </c>
      <c r="EQ19" s="1319">
        <f t="shared" si="329"/>
        <v>-6630</v>
      </c>
      <c r="ER19" s="1319">
        <f t="shared" si="329"/>
        <v>203930</v>
      </c>
      <c r="ES19" s="850">
        <f t="shared" si="329"/>
        <v>-64517</v>
      </c>
      <c r="ET19" s="1318">
        <f t="shared" si="329"/>
        <v>3776133</v>
      </c>
      <c r="EU19" s="1248">
        <f t="shared" si="329"/>
        <v>450039</v>
      </c>
      <c r="EV19" s="1317">
        <f>+'21R2'!C17</f>
        <v>3523512</v>
      </c>
      <c r="EW19" s="1392">
        <f t="shared" si="298"/>
        <v>-598408</v>
      </c>
      <c r="EX19" s="1310">
        <f t="shared" ref="EX19:FC19" si="330">SUM(EX20:EX22)</f>
        <v>-526244</v>
      </c>
      <c r="EY19" s="1310">
        <f t="shared" si="330"/>
        <v>2907700</v>
      </c>
      <c r="EZ19" s="1310">
        <f t="shared" si="330"/>
        <v>3433944</v>
      </c>
      <c r="FA19" s="1310">
        <f t="shared" si="330"/>
        <v>-3829</v>
      </c>
      <c r="FB19" s="1310">
        <f t="shared" si="330"/>
        <v>209848</v>
      </c>
      <c r="FC19" s="1415">
        <f t="shared" si="330"/>
        <v>-72164</v>
      </c>
      <c r="FD19" s="1414">
        <f>'22R3'!K17</f>
        <v>3969635</v>
      </c>
      <c r="FE19" s="1310">
        <f>'22R3'!E17</f>
        <v>476372</v>
      </c>
      <c r="FF19" s="1690">
        <f>'22R3'!C17</f>
        <v>3696176</v>
      </c>
      <c r="FG19" s="1392">
        <f t="shared" si="300"/>
        <v>-879392</v>
      </c>
      <c r="FH19" s="1310">
        <f t="shared" ref="FH19" si="331">SUM(FH20:FH22)</f>
        <v>-807228</v>
      </c>
      <c r="FI19" s="1248">
        <f>SUM(FI20:FI22)</f>
        <v>3055091</v>
      </c>
      <c r="FJ19" s="1248">
        <f t="shared" ref="FJ19:FL19" si="332">SUM(FJ20:FJ22)</f>
        <v>3862319</v>
      </c>
      <c r="FK19" s="1319">
        <f t="shared" si="332"/>
        <v>-6842</v>
      </c>
      <c r="FL19" s="1319">
        <f t="shared" si="332"/>
        <v>220923</v>
      </c>
      <c r="FM19" s="1398">
        <f t="shared" si="302"/>
        <v>-72164</v>
      </c>
      <c r="FN19" s="1748">
        <f>'23R4'!K17</f>
        <v>4162837</v>
      </c>
      <c r="FO19" s="1332">
        <f>'23R4'!E17</f>
        <v>483896</v>
      </c>
      <c r="FP19" s="1690">
        <f>'23R4'!C17</f>
        <v>3765146</v>
      </c>
      <c r="FQ19" s="1310"/>
      <c r="FR19" s="1392">
        <f t="shared" si="303"/>
        <v>-270617</v>
      </c>
      <c r="FS19" s="1310">
        <f t="shared" ref="FS19" si="333">SUM(FS20:FS22)</f>
        <v>-198453</v>
      </c>
      <c r="FT19" s="1248">
        <f>SUM(FT20:FT22)</f>
        <v>3671855</v>
      </c>
      <c r="FU19" s="1248">
        <f t="shared" ref="FU19:FW19" si="334">SUM(FU20:FU22)</f>
        <v>3870308</v>
      </c>
      <c r="FV19" s="1319">
        <f t="shared" si="334"/>
        <v>-8091</v>
      </c>
      <c r="FW19" s="1319">
        <f t="shared" si="334"/>
        <v>224913</v>
      </c>
      <c r="FX19" s="1398">
        <f t="shared" ref="FX19:FX67" si="335">FM19</f>
        <v>-72164</v>
      </c>
      <c r="FY19" s="1332">
        <f>'24R5'!K17</f>
        <v>4237720</v>
      </c>
      <c r="FZ19" s="1332">
        <f>'24R5'!E17</f>
        <v>492474</v>
      </c>
      <c r="GA19" s="1319">
        <v>3820699</v>
      </c>
      <c r="GB19" s="1392">
        <f t="shared" si="305"/>
        <v>-99243</v>
      </c>
      <c r="GC19" s="1310">
        <f t="shared" ref="GC19" si="336">SUM(GC20:GC22)</f>
        <v>-27079</v>
      </c>
      <c r="GD19" s="1248">
        <f>SUM(GD20:GD22)</f>
        <v>3924803</v>
      </c>
      <c r="GE19" s="1248">
        <f t="shared" ref="GE19:GG19" si="337">SUM(GE20:GE22)</f>
        <v>3951882</v>
      </c>
      <c r="GF19" s="1319">
        <f t="shared" si="337"/>
        <v>-8461</v>
      </c>
      <c r="GG19" s="1319">
        <f t="shared" si="337"/>
        <v>113254</v>
      </c>
      <c r="GH19" s="1398">
        <f t="shared" ref="GH19:GH67" si="338">FM19</f>
        <v>-72164</v>
      </c>
      <c r="GI19" s="1332">
        <f>'25R6'!K17</f>
        <v>4264249</v>
      </c>
      <c r="GJ19" s="1332">
        <f>'25R6'!E17</f>
        <v>505394</v>
      </c>
      <c r="GK19" s="1319">
        <v>3820699</v>
      </c>
      <c r="GL19" s="1392">
        <f t="shared" si="307"/>
        <v>94291</v>
      </c>
      <c r="GM19" s="1310">
        <f t="shared" ref="GM19" si="339">SUM(GM20:GM22)</f>
        <v>166455</v>
      </c>
      <c r="GN19" s="1248">
        <f>SUM(GN20:GN22)</f>
        <v>4219371</v>
      </c>
      <c r="GO19" s="1248">
        <f t="shared" ref="GO19:GQ19" si="340">SUM(GO20:GO22)</f>
        <v>4052916</v>
      </c>
      <c r="GP19" s="1319">
        <f t="shared" si="340"/>
        <v>-9113</v>
      </c>
      <c r="GQ19" s="1319">
        <f t="shared" si="340"/>
        <v>113869</v>
      </c>
      <c r="GR19" s="1406">
        <f t="shared" ref="GR19:GR67" si="341">FX19</f>
        <v>-72164</v>
      </c>
      <c r="GS19" s="1748">
        <f>'26R7'!K17</f>
        <v>4404373</v>
      </c>
      <c r="GT19" s="1332">
        <f>'26R7'!E17</f>
        <v>530814</v>
      </c>
      <c r="GU19" s="1398">
        <v>4404373</v>
      </c>
      <c r="GV19" s="1392">
        <f t="shared" si="309"/>
        <v>117522</v>
      </c>
      <c r="GW19" s="1310">
        <f t="shared" ref="GW19" si="342">SUM(GW20:GW22)</f>
        <v>189686</v>
      </c>
      <c r="GX19" s="1248">
        <f>SUM(GX20:GX22)</f>
        <v>4315691</v>
      </c>
      <c r="GY19" s="1248">
        <f t="shared" ref="GY19:HA19" si="343">SUM(GY20:GY22)</f>
        <v>4126005</v>
      </c>
      <c r="GZ19" s="1319">
        <f t="shared" si="343"/>
        <v>-9322</v>
      </c>
      <c r="HA19" s="1319">
        <f t="shared" si="343"/>
        <v>163656</v>
      </c>
      <c r="HB19" s="1406">
        <f t="shared" ref="HB19:HB67" si="344">GH19</f>
        <v>-72164</v>
      </c>
      <c r="HC19" s="1748">
        <f>'27R8'!U17</f>
        <v>4179364</v>
      </c>
      <c r="HD19" s="1690">
        <f>'27R8'!O17</f>
        <v>-169063</v>
      </c>
      <c r="HE19" s="1398">
        <v>4483855</v>
      </c>
      <c r="HF19" s="1392">
        <f t="shared" si="311"/>
        <v>140898</v>
      </c>
      <c r="HG19" s="1310">
        <f t="shared" ref="HG19" si="345">SUM(HG20:HG22)</f>
        <v>213062</v>
      </c>
      <c r="HH19" s="1248">
        <f>SUM(HH20:HH22)</f>
        <v>4438148</v>
      </c>
      <c r="HI19" s="1248">
        <f t="shared" ref="HI19:HK19" si="346">SUM(HI20:HI22)</f>
        <v>4225086</v>
      </c>
      <c r="HJ19" s="1319">
        <f t="shared" si="346"/>
        <v>-9586</v>
      </c>
      <c r="HK19" s="1319">
        <f t="shared" si="346"/>
        <v>163656</v>
      </c>
      <c r="HL19" s="1406">
        <f t="shared" ref="HL19:HL67" si="347">GR19</f>
        <v>-72164</v>
      </c>
      <c r="HM19" s="1748">
        <f>'28R9'!U17</f>
        <v>4179364</v>
      </c>
      <c r="HN19" s="1332">
        <f>'28R9'!O17</f>
        <v>-169063</v>
      </c>
      <c r="HO19" s="1398">
        <v>4562037</v>
      </c>
      <c r="HP19" s="1314"/>
      <c r="HQ19" s="1310">
        <f>市町名目!J18</f>
        <v>3695848</v>
      </c>
      <c r="HR19" s="1310">
        <f>市町名目!K18</f>
        <v>3523512</v>
      </c>
      <c r="HS19" s="1310">
        <f>市町名目!L18</f>
        <v>3696176</v>
      </c>
      <c r="HT19" s="1310">
        <f>市町名目!M18</f>
        <v>3765146</v>
      </c>
      <c r="HU19" s="1310">
        <f>市町名目!N18</f>
        <v>3908745</v>
      </c>
      <c r="HV19" s="1333">
        <v>3817240</v>
      </c>
      <c r="HW19" s="1725">
        <v>4321634</v>
      </c>
      <c r="HX19" s="1725">
        <v>4483855</v>
      </c>
      <c r="HY19" s="1725">
        <v>4562037</v>
      </c>
    </row>
    <row r="20" spans="1:233" ht="12.5">
      <c r="A20" s="1334">
        <v>202</v>
      </c>
      <c r="B20" s="1335" t="s">
        <v>183</v>
      </c>
      <c r="C20" s="1316">
        <f>+L20-J20</f>
        <v>-304105</v>
      </c>
      <c r="D20" s="1248">
        <f>C20-I20</f>
        <v>-321218</v>
      </c>
      <c r="E20" s="850">
        <f>ROUND(E$5*L20/L$6,0)</f>
        <v>1472029</v>
      </c>
      <c r="F20" s="1248">
        <f>ROUND(F$5*J20/J$6,0)</f>
        <v>1735303</v>
      </c>
      <c r="G20" s="830">
        <f>ROUND(G$5*L20/L$6,0)</f>
        <v>-2349</v>
      </c>
      <c r="H20" s="830">
        <f t="shared" ref="H20:I22" si="348">ROUND(H$5*K20/K$6,0)</f>
        <v>104072</v>
      </c>
      <c r="I20" s="1317">
        <f t="shared" si="348"/>
        <v>17113</v>
      </c>
      <c r="J20" s="1318">
        <f>'7H18'!K18</f>
        <v>2033536</v>
      </c>
      <c r="K20" s="1248">
        <f>+'7H18'!E18</f>
        <v>160046</v>
      </c>
      <c r="L20" s="1317">
        <f>'7H18'!C18</f>
        <v>1729431</v>
      </c>
      <c r="M20" s="1316">
        <f>+V20-T20</f>
        <v>-243833</v>
      </c>
      <c r="N20" s="1248">
        <f>M20-S20</f>
        <v>-272777</v>
      </c>
      <c r="O20" s="850">
        <f>ROUND(O$5*V20/V$6,0)</f>
        <v>1597081</v>
      </c>
      <c r="P20" s="1248">
        <f>ROUND(P$5*T20/T$6,0)</f>
        <v>1768422</v>
      </c>
      <c r="Q20" s="830">
        <f>ROUND(Q$5*V20/V$6,0)</f>
        <v>-3826</v>
      </c>
      <c r="R20" s="830">
        <f t="shared" ref="R20:S22" si="349">ROUND(R$5*U20/U$6,0)</f>
        <v>105139</v>
      </c>
      <c r="S20" s="1317">
        <f t="shared" si="349"/>
        <v>28944</v>
      </c>
      <c r="T20" s="1318">
        <f>+'8H19'!K18</f>
        <v>1989281</v>
      </c>
      <c r="U20" s="1248">
        <f>+'8H19'!E18</f>
        <v>163048</v>
      </c>
      <c r="V20" s="1317">
        <f>'8H19'!C18</f>
        <v>1745448</v>
      </c>
      <c r="W20" s="1316">
        <f>+AF20-AD20</f>
        <v>-353349</v>
      </c>
      <c r="X20" s="1248">
        <f>W20-AC20</f>
        <v>-377542</v>
      </c>
      <c r="Y20" s="850">
        <f>ROUND(Y$5*AF20/AF$6,0)</f>
        <v>1444682</v>
      </c>
      <c r="Z20" s="1248">
        <f>ROUND(Z$5*AD20/AD$6,0)</f>
        <v>1832876</v>
      </c>
      <c r="AA20" s="830">
        <f>ROUND(AA$5*AF20/AF$6,0)</f>
        <v>-9297</v>
      </c>
      <c r="AB20" s="830">
        <f t="shared" ref="AB20:AC22" si="350">ROUND(AB$5*AE20/AE$6,0)</f>
        <v>100274</v>
      </c>
      <c r="AC20" s="1317">
        <f t="shared" si="350"/>
        <v>24193</v>
      </c>
      <c r="AD20" s="1318">
        <f>+'9H20'!K18</f>
        <v>2077223</v>
      </c>
      <c r="AE20" s="1248">
        <f>+'9H20'!E18</f>
        <v>167936</v>
      </c>
      <c r="AF20" s="1317">
        <f>'9H20'!C18</f>
        <v>1723874</v>
      </c>
      <c r="AG20" s="1316">
        <f>+AP20-AN20</f>
        <v>-246002</v>
      </c>
      <c r="AH20" s="1248">
        <f>AG20-AM20</f>
        <v>-227010</v>
      </c>
      <c r="AI20" s="850">
        <f>ROUND(AI$5*AP20/AP$6,0)</f>
        <v>1273234</v>
      </c>
      <c r="AJ20" s="1248">
        <f>ROUND(AJ$5*AN20/AN$6,0)</f>
        <v>1635532</v>
      </c>
      <c r="AK20" s="830">
        <f>ROUND(AK$5*AP20/AP$6,0)</f>
        <v>1208</v>
      </c>
      <c r="AL20" s="830">
        <f t="shared" ref="AL20:AM22" si="351">ROUND(AL$5*AO20/AO$6,0)</f>
        <v>96019</v>
      </c>
      <c r="AM20" s="1317">
        <f t="shared" si="351"/>
        <v>-18992</v>
      </c>
      <c r="AN20" s="1318">
        <f>+'10H21'!K18</f>
        <v>1991896</v>
      </c>
      <c r="AO20" s="1248">
        <f>+'10H21'!E18</f>
        <v>171612</v>
      </c>
      <c r="AP20" s="1317">
        <f>'10H21'!C18</f>
        <v>1745894</v>
      </c>
      <c r="AQ20" s="1316">
        <f>+AZ20-AX20</f>
        <v>74594</v>
      </c>
      <c r="AR20" s="1248">
        <f>AQ20-AW20</f>
        <v>52587</v>
      </c>
      <c r="AS20" s="850">
        <f>ROUND(AS$5*AZ20/AZ$6,0)</f>
        <v>1459411</v>
      </c>
      <c r="AT20" s="1248">
        <f>ROUND(AT$5*AX20/AX$6,0)</f>
        <v>1568680</v>
      </c>
      <c r="AU20" s="830">
        <f>ROUND(AU$5*AZ20/AZ$6,0)</f>
        <v>-10693</v>
      </c>
      <c r="AV20" s="830">
        <f t="shared" ref="AV20:AW22" si="352">ROUND(AV$5*AY20/AY$6,0)</f>
        <v>96258</v>
      </c>
      <c r="AW20" s="1317">
        <f t="shared" si="352"/>
        <v>22007</v>
      </c>
      <c r="AX20" s="1318">
        <f>+'11H22'!K18</f>
        <v>1866064</v>
      </c>
      <c r="AY20" s="1248">
        <f>+'11H22'!E18</f>
        <v>163218</v>
      </c>
      <c r="AZ20" s="1317">
        <f>'11H22'!C18</f>
        <v>1940658</v>
      </c>
      <c r="BA20" s="1316">
        <f>+BJ20-BH20</f>
        <v>-18335</v>
      </c>
      <c r="BB20" s="1248">
        <f>BA20-BG20</f>
        <v>-35677</v>
      </c>
      <c r="BC20" s="850">
        <f>ROUND(BC$5*BJ20/BJ$6,0)</f>
        <v>1389976</v>
      </c>
      <c r="BD20" s="1248">
        <f>ROUND(BD$5*BH20/BH$6,0)</f>
        <v>1519355</v>
      </c>
      <c r="BE20" s="830">
        <f>ROUND(BE$5*BJ20/BJ$6,0)</f>
        <v>-6977</v>
      </c>
      <c r="BF20" s="830">
        <f t="shared" ref="BF20:BG22" si="353">ROUND(BF$5*BI20/BI$6,0)</f>
        <v>93477</v>
      </c>
      <c r="BG20" s="1317">
        <f t="shared" si="353"/>
        <v>17342</v>
      </c>
      <c r="BH20" s="1318">
        <f>+'12H23'!K18</f>
        <v>1770924</v>
      </c>
      <c r="BI20" s="1248">
        <f>+'12H23'!E18</f>
        <v>164015</v>
      </c>
      <c r="BJ20" s="1317">
        <f>'12H23'!C18</f>
        <v>1752589</v>
      </c>
      <c r="BK20" s="1316">
        <f>+BT20-BR20</f>
        <v>-17840</v>
      </c>
      <c r="BL20" s="1248">
        <f>BK20-BQ20</f>
        <v>-45904</v>
      </c>
      <c r="BM20" s="850">
        <f>ROUND(BM$5*BT20/BT$6,0)</f>
        <v>1318488</v>
      </c>
      <c r="BN20" s="1248">
        <f>ROUND(BN$5*BR20/BR$6,0)</f>
        <v>1464262</v>
      </c>
      <c r="BO20" s="830">
        <f>ROUND(BO$5*BT20/BT$6,0)</f>
        <v>-5480</v>
      </c>
      <c r="BP20" s="830">
        <f t="shared" ref="BP20:BQ22" si="354">ROUND(BP$5*BS20/BS$6,0)</f>
        <v>89261</v>
      </c>
      <c r="BQ20" s="1317">
        <f t="shared" si="354"/>
        <v>28064</v>
      </c>
      <c r="BR20" s="1318">
        <f>+'13H24'!K18</f>
        <v>1710214</v>
      </c>
      <c r="BS20" s="1248">
        <f>+'13H24'!E18</f>
        <v>163053</v>
      </c>
      <c r="BT20" s="1317">
        <f>'13H24'!C18</f>
        <v>1692374</v>
      </c>
      <c r="BU20" s="1316">
        <f>+CD20-CB20</f>
        <v>-33022</v>
      </c>
      <c r="BV20" s="1248">
        <f>BU20-CA20</f>
        <v>-57629</v>
      </c>
      <c r="BW20" s="850">
        <f>ROUND(BW$5*CD20/CD$6,0)</f>
        <v>1368222</v>
      </c>
      <c r="BX20" s="1248">
        <f>ROUND(BX$5*CB20/CB$6,0)</f>
        <v>1528606</v>
      </c>
      <c r="BY20" s="830">
        <f>ROUND(BY$5*CD20/CD$6,0)</f>
        <v>-5639</v>
      </c>
      <c r="BZ20" s="830">
        <f t="shared" ref="BZ20:CA22" si="355">ROUND(BZ$5*CC20/CC$6,0)</f>
        <v>87942</v>
      </c>
      <c r="CA20" s="1317">
        <f t="shared" si="355"/>
        <v>24607</v>
      </c>
      <c r="CB20" s="1318">
        <f>+'14H25'!K18</f>
        <v>1786433</v>
      </c>
      <c r="CC20" s="1248">
        <f>+'14H25'!E18</f>
        <v>167136</v>
      </c>
      <c r="CD20" s="1317">
        <f>'14H25'!C18</f>
        <v>1753411</v>
      </c>
      <c r="CE20" s="1316">
        <f>+CN20-CL20</f>
        <v>8067</v>
      </c>
      <c r="CF20" s="1248">
        <f>CE20-CK20</f>
        <v>27380</v>
      </c>
      <c r="CG20" s="850">
        <f>ROUND(CG$5*CN20/CN$6,0)</f>
        <v>1429859</v>
      </c>
      <c r="CH20" s="1248">
        <f>ROUND(CH$5*CL20/CL$6,0)</f>
        <v>1519109</v>
      </c>
      <c r="CI20" s="830">
        <f>ROUND(CI$5*CN20/CN$6,0)</f>
        <v>-6218</v>
      </c>
      <c r="CJ20" s="830">
        <f t="shared" ref="CJ20:CK22" si="356">ROUND(CJ$5*CM20/CM$6,0)</f>
        <v>89484</v>
      </c>
      <c r="CK20" s="1317">
        <f t="shared" si="356"/>
        <v>-19313</v>
      </c>
      <c r="CL20" s="1318">
        <f>+'15H26'!K18</f>
        <v>1767310</v>
      </c>
      <c r="CM20" s="1248">
        <f>+'15H26'!E18</f>
        <v>170768</v>
      </c>
      <c r="CN20" s="1317">
        <f>'15H26'!C18</f>
        <v>1775377</v>
      </c>
      <c r="CO20" s="1316">
        <f>+CX20-CV20</f>
        <v>39719</v>
      </c>
      <c r="CP20" s="1248">
        <f>CO20-CU20</f>
        <v>18268</v>
      </c>
      <c r="CQ20" s="850">
        <f>ROUND(CQ$5*CX20/CX$6,0)</f>
        <v>1466490</v>
      </c>
      <c r="CR20" s="1248">
        <f>ROUND(CR$5*CV20/CV$6,0)</f>
        <v>1539495</v>
      </c>
      <c r="CS20" s="830">
        <f>ROUND(CS$5*CX20/CX$6,0)</f>
        <v>-6610</v>
      </c>
      <c r="CT20" s="830">
        <f t="shared" ref="CT20:CU22" si="357">ROUND(CT$5*CW20/CW$6,0)</f>
        <v>89026</v>
      </c>
      <c r="CU20" s="1317">
        <f t="shared" si="357"/>
        <v>21451</v>
      </c>
      <c r="CV20" s="1318">
        <f>+'16H27'!K18</f>
        <v>1851840</v>
      </c>
      <c r="CW20" s="1248">
        <f>+'16H27'!E18</f>
        <v>175056</v>
      </c>
      <c r="CX20" s="1317">
        <f>'16H27'!C18</f>
        <v>1891559</v>
      </c>
      <c r="CY20" s="1316">
        <f>+DH20-DF20</f>
        <v>105055</v>
      </c>
      <c r="CZ20" s="1248">
        <f>CY20-DE20</f>
        <v>106653</v>
      </c>
      <c r="DA20" s="850">
        <f>ROUND(DA$5*DH20/DH$6,0)</f>
        <v>1444486</v>
      </c>
      <c r="DB20" s="1248">
        <f>ROUND(DB$5*DF20/DF$6,0)</f>
        <v>1477740</v>
      </c>
      <c r="DC20" s="830">
        <f>ROUND(DC$5*DH20/DH$6,0)</f>
        <v>-6103</v>
      </c>
      <c r="DD20" s="830">
        <f t="shared" ref="DD20:DE22" si="358">ROUND(DD$5*DG20/DG$6,0)</f>
        <v>91506</v>
      </c>
      <c r="DE20" s="1317">
        <f t="shared" si="358"/>
        <v>-1598</v>
      </c>
      <c r="DF20" s="1318">
        <f>+'17H28'!K18</f>
        <v>1827298</v>
      </c>
      <c r="DG20" s="1248">
        <f>+'17H28'!E18</f>
        <v>177952</v>
      </c>
      <c r="DH20" s="1317">
        <f>'17H28'!C18</f>
        <v>1932353</v>
      </c>
      <c r="DI20" s="1316">
        <f>+DR20-DP20</f>
        <v>214209</v>
      </c>
      <c r="DJ20" s="1248">
        <f>DI20-DO20</f>
        <v>285958</v>
      </c>
      <c r="DK20" s="850">
        <f>ROUND(DK$5*DR20/DR$6,0)</f>
        <v>1557127</v>
      </c>
      <c r="DL20" s="1248">
        <f>ROUND(DL$5*DP20/DP$6,0)</f>
        <v>1478851</v>
      </c>
      <c r="DM20" s="830">
        <f>ROUND(DM$5*DR20/DR$6,0)</f>
        <v>-4968</v>
      </c>
      <c r="DN20" s="830">
        <f t="shared" ref="DN20:DO22" si="359">ROUND(DN$5*DQ20/DQ$6,0)</f>
        <v>76403</v>
      </c>
      <c r="DO20" s="1317">
        <f t="shared" si="359"/>
        <v>-71749</v>
      </c>
      <c r="DP20" s="1318">
        <f>+'18H29'!K18</f>
        <v>1781745</v>
      </c>
      <c r="DQ20" s="1248">
        <f>+'18H29'!E18</f>
        <v>165823</v>
      </c>
      <c r="DR20" s="1317">
        <f>+'18H29'!C18</f>
        <v>1995954</v>
      </c>
      <c r="DS20" s="1316">
        <f>+EB20-DZ20</f>
        <v>164956</v>
      </c>
      <c r="DT20" s="1248">
        <f>DS20-DY20</f>
        <v>273351</v>
      </c>
      <c r="DU20" s="850">
        <f>ROUND(DU$5*EB20/EB$6,0)</f>
        <v>1557759</v>
      </c>
      <c r="DV20" s="1248">
        <f>ROUND(DV$5*DZ20/DZ$6,0)</f>
        <v>1538699</v>
      </c>
      <c r="DW20" s="830">
        <f>ROUND(DW$5*EB20/EB$6,0)</f>
        <v>-5079</v>
      </c>
      <c r="DX20" s="830">
        <f t="shared" ref="DX20:DY22" si="360">ROUND(DX$5*EA20/EA$6,0)</f>
        <v>79500</v>
      </c>
      <c r="DY20" s="1317">
        <f t="shared" si="360"/>
        <v>-108395</v>
      </c>
      <c r="DZ20" s="1318">
        <f>+'19H30'!K18</f>
        <v>1806829</v>
      </c>
      <c r="EA20" s="1248">
        <f>+'19H30'!E18</f>
        <v>168869</v>
      </c>
      <c r="EB20" s="1317">
        <f>+'19H30'!C18</f>
        <v>1971785</v>
      </c>
      <c r="EC20" s="1316">
        <f>+EL20-EJ20</f>
        <v>188428</v>
      </c>
      <c r="ED20" s="1248">
        <f>EC20-EI20</f>
        <v>344561</v>
      </c>
      <c r="EE20" s="850">
        <f>ROUND(EE$5*EL20/EL$6,0)</f>
        <v>1557346</v>
      </c>
      <c r="EF20" s="1248">
        <f>ROUND(EF$5*EJ20/EJ$6,0)</f>
        <v>1526958</v>
      </c>
      <c r="EG20" s="830">
        <f>ROUND(EG$5*EL20/EL$6,0)</f>
        <v>-4865</v>
      </c>
      <c r="EH20" s="830">
        <f t="shared" ref="EH20:EI22" si="361">ROUND(EH$5*EK20/EK$6,0)</f>
        <v>80507</v>
      </c>
      <c r="EI20" s="1317">
        <f>ROUND(EI$5*EL20/EL$6,0)</f>
        <v>-156133</v>
      </c>
      <c r="EJ20" s="1318">
        <f>+'20R1'!K18</f>
        <v>1822999</v>
      </c>
      <c r="EK20" s="1248">
        <f>+'20R1'!E18</f>
        <v>175674</v>
      </c>
      <c r="EL20" s="1317">
        <f>+'20R1'!C18</f>
        <v>2011427</v>
      </c>
      <c r="EM20" s="1316">
        <f>+EV20-ET20</f>
        <v>143747</v>
      </c>
      <c r="EN20" s="1248">
        <f>EM20-ES20</f>
        <v>178148</v>
      </c>
      <c r="EO20" s="850">
        <f>ROUND(EO$5*EV20/EV$6,0)</f>
        <v>1349247</v>
      </c>
      <c r="EP20" s="1248">
        <f>ROUND(EP$5*ET20/ET$6,0)</f>
        <v>1392050</v>
      </c>
      <c r="EQ20" s="1336">
        <f>ROUND(EQ$5*EV20/EV$6,0)</f>
        <v>-3535</v>
      </c>
      <c r="ER20" s="1336">
        <f>ROUND(ER$5*EU20/EU$6,0)</f>
        <v>80216</v>
      </c>
      <c r="ES20" s="850">
        <f>ROUND(ES$5*EV20/EV$6,0)</f>
        <v>-34401</v>
      </c>
      <c r="ET20" s="1331">
        <f>'21R2'!K18</f>
        <v>1735028</v>
      </c>
      <c r="EU20" s="1248">
        <f>'21R2'!E18</f>
        <v>177023</v>
      </c>
      <c r="EV20" s="1317">
        <f>+'21R2'!C18</f>
        <v>1878775</v>
      </c>
      <c r="EW20" s="1392">
        <f t="shared" si="298"/>
        <v>-55598</v>
      </c>
      <c r="EX20" s="1310">
        <f>EY20-EZ20</f>
        <v>-16321</v>
      </c>
      <c r="EY20" s="850">
        <f>ROUND(EY$5*FF20/FF$6,0)</f>
        <v>1582587</v>
      </c>
      <c r="EZ20" s="1248">
        <f>ROUND(EZ$5*FD20/FD$6,0)</f>
        <v>1598908</v>
      </c>
      <c r="FA20" s="1336">
        <f>ROUND(FA$5*FF20/FF$6,0)</f>
        <v>-2084</v>
      </c>
      <c r="FB20" s="1336">
        <f t="shared" ref="FB20:FB22" si="362">ROUND(FB$5*FE20/FE$6,0)</f>
        <v>81069</v>
      </c>
      <c r="FC20" s="1689">
        <f t="shared" ref="FC20:FC66" si="363">ROUND(FC$5*FF20/FF$6,0)</f>
        <v>-39277</v>
      </c>
      <c r="FD20" s="1414">
        <f>'22R3'!K18</f>
        <v>1848336</v>
      </c>
      <c r="FE20" s="1310">
        <f>'22R3'!E18</f>
        <v>184034</v>
      </c>
      <c r="FF20" s="1690">
        <f>'22R3'!C18</f>
        <v>2011734</v>
      </c>
      <c r="FG20" s="1392">
        <f t="shared" si="300"/>
        <v>-160261</v>
      </c>
      <c r="FH20" s="1310">
        <f>FI20-FJ20</f>
        <v>-120984</v>
      </c>
      <c r="FI20" s="850">
        <f>ROUND(FI$5*FP20/FP$6,0)</f>
        <v>1669082</v>
      </c>
      <c r="FJ20" s="1248">
        <f>ROUND(FJ$5*FN20/FN$6,0)</f>
        <v>1790066</v>
      </c>
      <c r="FK20" s="1336">
        <f>ROUND(FK$5*FP20/FP$6,0)</f>
        <v>-3738</v>
      </c>
      <c r="FL20" s="1336">
        <f t="shared" ref="FL20:FL22" si="364">ROUND(FL$5*FO20/FO$6,0)</f>
        <v>86309</v>
      </c>
      <c r="FM20" s="1398">
        <f t="shared" si="302"/>
        <v>-39277</v>
      </c>
      <c r="FN20" s="1748">
        <f>'23R4'!K18</f>
        <v>1929347</v>
      </c>
      <c r="FO20" s="1332">
        <f>'23R4'!E18</f>
        <v>189046</v>
      </c>
      <c r="FP20" s="1690">
        <f>'23R4'!C18</f>
        <v>2057005</v>
      </c>
      <c r="FQ20" s="1310"/>
      <c r="FR20" s="1392">
        <f t="shared" si="303"/>
        <v>-64682</v>
      </c>
      <c r="FS20" s="1310">
        <f>FT20-FU20</f>
        <v>-25405</v>
      </c>
      <c r="FT20" s="868">
        <f>ROUND(FT$5*GA20/GA$6,0)</f>
        <v>1795568</v>
      </c>
      <c r="FU20" s="1248">
        <f>ROUND(FU$5*FY20/FY$6,0)</f>
        <v>1820973</v>
      </c>
      <c r="FV20" s="1336">
        <f>ROUND(FV$5*GA20/GA$6,0)</f>
        <v>-3956</v>
      </c>
      <c r="FW20" s="1336">
        <f t="shared" ref="FW20:FW22" si="365">ROUND(FW$5*FZ20/FZ$6,0)</f>
        <v>87288</v>
      </c>
      <c r="FX20" s="1398">
        <f t="shared" si="335"/>
        <v>-39277</v>
      </c>
      <c r="FY20" s="1332">
        <f>'24R5'!K18</f>
        <v>1993840</v>
      </c>
      <c r="FZ20" s="1332">
        <f>'24R5'!E18</f>
        <v>191128</v>
      </c>
      <c r="GA20" s="1319">
        <v>1868354</v>
      </c>
      <c r="GB20" s="1392">
        <f t="shared" si="305"/>
        <v>44031</v>
      </c>
      <c r="GC20" s="1310">
        <f>GD20-GE20</f>
        <v>83308</v>
      </c>
      <c r="GD20" s="868">
        <f>ROUND(GD$5*GK20/GK$6,0)</f>
        <v>1919262</v>
      </c>
      <c r="GE20" s="1248">
        <f>ROUND(GE$5*GI20/GI$6,0)</f>
        <v>1835954</v>
      </c>
      <c r="GF20" s="1336">
        <f>ROUND(GF$5*GK20/GK$6,0)</f>
        <v>-4138</v>
      </c>
      <c r="GG20" s="1336">
        <f t="shared" ref="GG20:GG22" si="366">ROUND(GG$5*GJ20/GJ$6,0)</f>
        <v>44482</v>
      </c>
      <c r="GH20" s="1398">
        <f t="shared" si="338"/>
        <v>-39277</v>
      </c>
      <c r="GI20" s="1332">
        <f>'25R6'!K18</f>
        <v>1981073</v>
      </c>
      <c r="GJ20" s="1332">
        <f>'25R6'!E18</f>
        <v>198500</v>
      </c>
      <c r="GK20" s="1319">
        <v>1868354</v>
      </c>
      <c r="GL20" s="1392">
        <f t="shared" si="307"/>
        <v>38004</v>
      </c>
      <c r="GM20" s="1310">
        <f>GN20-GO20</f>
        <v>77281</v>
      </c>
      <c r="GN20" s="868">
        <f>ROUND(GN$5*GU20/GU$6,0)</f>
        <v>1958953</v>
      </c>
      <c r="GO20" s="1248">
        <f>ROUND(GO$5*GS20/GS$6,0)</f>
        <v>1881672</v>
      </c>
      <c r="GP20" s="1336">
        <f>ROUND(GP$5*GU20/GU$6,0)</f>
        <v>-4231</v>
      </c>
      <c r="GQ20" s="1336">
        <f t="shared" ref="GQ20:GQ22" si="367">ROUND(GQ$5*GT20/GT$6,0)</f>
        <v>44471</v>
      </c>
      <c r="GR20" s="1406">
        <f t="shared" si="341"/>
        <v>-39277</v>
      </c>
      <c r="GS20" s="1748">
        <f>'26R7'!K18</f>
        <v>2044845</v>
      </c>
      <c r="GT20" s="1332">
        <f>'26R7'!E18</f>
        <v>207308</v>
      </c>
      <c r="GU20" s="1398">
        <v>2044845</v>
      </c>
      <c r="GV20" s="1392">
        <f t="shared" si="309"/>
        <v>82916</v>
      </c>
      <c r="GW20" s="1310">
        <f>GX20-GY20</f>
        <v>122193</v>
      </c>
      <c r="GX20" s="868">
        <f>ROUND(GX$5*HE20/HE$6,0)</f>
        <v>2020460</v>
      </c>
      <c r="GY20" s="1248">
        <f>ROUND(GY$5*HC20/HC$6,0)</f>
        <v>1898267</v>
      </c>
      <c r="GZ20" s="1336">
        <f>ROUND(GZ$5*HE20/HE$6,0)</f>
        <v>-4364</v>
      </c>
      <c r="HA20" s="1336">
        <f t="shared" ref="HA20:HA22" si="368">ROUND(HA$5*HD20/HD$6,0)</f>
        <v>19781</v>
      </c>
      <c r="HB20" s="1406">
        <f t="shared" si="344"/>
        <v>-39277</v>
      </c>
      <c r="HC20" s="1748">
        <f>'27R8'!U18</f>
        <v>1922816</v>
      </c>
      <c r="HD20" s="1690">
        <f>'27R8'!O18</f>
        <v>-20435</v>
      </c>
      <c r="HE20" s="1398">
        <v>2099189</v>
      </c>
      <c r="HF20" s="1392">
        <f t="shared" si="311"/>
        <v>109233</v>
      </c>
      <c r="HG20" s="1310">
        <f>HH20-HI20</f>
        <v>148510</v>
      </c>
      <c r="HH20" s="868">
        <f>ROUND(HH$5*HO20/HO$6,0)</f>
        <v>2092361</v>
      </c>
      <c r="HI20" s="1248">
        <f>ROUND(HI$5*HM20/HM$6,0)</f>
        <v>1943851</v>
      </c>
      <c r="HJ20" s="1336">
        <f>ROUND(HJ$5*HO20/HO$6,0)</f>
        <v>-4519</v>
      </c>
      <c r="HK20" s="1336">
        <f t="shared" ref="HK20:HK22" si="369">ROUND(HK$5*HN20/HN$6,0)</f>
        <v>19781</v>
      </c>
      <c r="HL20" s="1406">
        <f t="shared" si="347"/>
        <v>-39277</v>
      </c>
      <c r="HM20" s="1748">
        <f>'28R9'!U18</f>
        <v>1922816</v>
      </c>
      <c r="HN20" s="1332">
        <f>'28R9'!O18</f>
        <v>-20435</v>
      </c>
      <c r="HO20" s="1398">
        <v>2150768</v>
      </c>
      <c r="HQ20" s="1310">
        <f>市町名目!J19</f>
        <v>2011427</v>
      </c>
      <c r="HR20" s="1310">
        <f>市町名目!K19</f>
        <v>1878775</v>
      </c>
      <c r="HS20" s="1310">
        <f>市町名目!L19</f>
        <v>2011734</v>
      </c>
      <c r="HT20" s="1310">
        <f>市町名目!M19</f>
        <v>2057005</v>
      </c>
      <c r="HU20" s="1310">
        <f>市町名目!N19</f>
        <v>2136572</v>
      </c>
      <c r="HV20" s="1054">
        <v>1940673</v>
      </c>
      <c r="HW20" s="1030">
        <v>2178564</v>
      </c>
      <c r="HX20" s="1030">
        <v>2099189</v>
      </c>
      <c r="HY20" s="1030">
        <v>2150768</v>
      </c>
    </row>
    <row r="21" spans="1:233" ht="12.5">
      <c r="A21" s="1334">
        <v>204</v>
      </c>
      <c r="B21" s="1335" t="s">
        <v>184</v>
      </c>
      <c r="C21" s="1316">
        <f>+L21-J21</f>
        <v>-499270</v>
      </c>
      <c r="D21" s="1248">
        <f>C21-I21</f>
        <v>-510634</v>
      </c>
      <c r="E21" s="850">
        <f>ROUND(E$5*L21/L$6,0)</f>
        <v>977497</v>
      </c>
      <c r="F21" s="1248">
        <f>ROUND(F$5*J21/J$6,0)</f>
        <v>1406047</v>
      </c>
      <c r="G21" s="830">
        <f>ROUND(G$5*L21/L$6,0)</f>
        <v>-1560</v>
      </c>
      <c r="H21" s="830">
        <f t="shared" si="348"/>
        <v>98978</v>
      </c>
      <c r="I21" s="1317">
        <f t="shared" si="348"/>
        <v>11364</v>
      </c>
      <c r="J21" s="1318">
        <f>'7H18'!K19</f>
        <v>1647694</v>
      </c>
      <c r="K21" s="1248">
        <f>+'7H18'!E19</f>
        <v>152211</v>
      </c>
      <c r="L21" s="1317">
        <f>'7H18'!C19</f>
        <v>1148424</v>
      </c>
      <c r="M21" s="1316">
        <f>+V21-T21</f>
        <v>-521561</v>
      </c>
      <c r="N21" s="1248">
        <f>M21-S21</f>
        <v>-540490</v>
      </c>
      <c r="O21" s="850">
        <f>ROUND(O$5*V21/V$6,0)</f>
        <v>1044462</v>
      </c>
      <c r="P21" s="1248">
        <f>ROUND(P$5*T21/T$6,0)</f>
        <v>1478413</v>
      </c>
      <c r="Q21" s="830">
        <f>ROUND(Q$5*V21/V$6,0)</f>
        <v>-2502</v>
      </c>
      <c r="R21" s="830">
        <f t="shared" si="349"/>
        <v>100301</v>
      </c>
      <c r="S21" s="1317">
        <f t="shared" si="349"/>
        <v>18929</v>
      </c>
      <c r="T21" s="1318">
        <f>+'8H19'!K19</f>
        <v>1663052</v>
      </c>
      <c r="U21" s="1248">
        <f>+'8H19'!E19</f>
        <v>155545</v>
      </c>
      <c r="V21" s="1317">
        <f>'8H19'!C19</f>
        <v>1141491</v>
      </c>
      <c r="W21" s="1316">
        <f>+AF21-AD21</f>
        <v>-493806</v>
      </c>
      <c r="X21" s="1248">
        <f>W21-AC21</f>
        <v>-510664</v>
      </c>
      <c r="Y21" s="850">
        <f>ROUND(Y$5*AF21/AF$6,0)</f>
        <v>1006700</v>
      </c>
      <c r="Z21" s="1248">
        <f>ROUND(Z$5*AD21/AD$6,0)</f>
        <v>1495664</v>
      </c>
      <c r="AA21" s="830">
        <f>ROUND(AA$5*AF21/AF$6,0)</f>
        <v>-6478</v>
      </c>
      <c r="AB21" s="830">
        <f t="shared" si="350"/>
        <v>104889</v>
      </c>
      <c r="AC21" s="1317">
        <f t="shared" si="350"/>
        <v>16858</v>
      </c>
      <c r="AD21" s="1318">
        <f>+'9H20'!K19</f>
        <v>1695056</v>
      </c>
      <c r="AE21" s="1248">
        <f>+'9H20'!E19</f>
        <v>175665</v>
      </c>
      <c r="AF21" s="1317">
        <f>'9H20'!C19</f>
        <v>1201250</v>
      </c>
      <c r="AG21" s="1316">
        <f>+AP21-AN21</f>
        <v>-331345</v>
      </c>
      <c r="AH21" s="1248">
        <f>AG21-AM21</f>
        <v>-317943</v>
      </c>
      <c r="AI21" s="850">
        <f>ROUND(AI$5*AP21/AP$6,0)</f>
        <v>898451</v>
      </c>
      <c r="AJ21" s="1248">
        <f>ROUND(AJ$5*AN21/AN$6,0)</f>
        <v>1283637</v>
      </c>
      <c r="AK21" s="830">
        <f>ROUND(AK$5*AP21/AP$6,0)</f>
        <v>852</v>
      </c>
      <c r="AL21" s="830">
        <f t="shared" si="351"/>
        <v>105005</v>
      </c>
      <c r="AM21" s="1317">
        <f t="shared" si="351"/>
        <v>-13402</v>
      </c>
      <c r="AN21" s="1318">
        <f>+'10H21'!K19</f>
        <v>1563327</v>
      </c>
      <c r="AO21" s="1248">
        <f>+'10H21'!E19</f>
        <v>187673</v>
      </c>
      <c r="AP21" s="1317">
        <f>'10H21'!C19</f>
        <v>1231982</v>
      </c>
      <c r="AQ21" s="1316">
        <f>+AZ21-AX21</f>
        <v>-310371</v>
      </c>
      <c r="AR21" s="1248">
        <f>AQ21-AW21</f>
        <v>-325108</v>
      </c>
      <c r="AS21" s="850">
        <f>ROUND(AS$5*AZ21/AZ$6,0)</f>
        <v>977306</v>
      </c>
      <c r="AT21" s="1248">
        <f>ROUND(AT$5*AX21/AX$6,0)</f>
        <v>1353380</v>
      </c>
      <c r="AU21" s="830">
        <f>ROUND(AU$5*AZ21/AZ$6,0)</f>
        <v>-7160</v>
      </c>
      <c r="AV21" s="830">
        <f t="shared" si="352"/>
        <v>109648</v>
      </c>
      <c r="AW21" s="1317">
        <f t="shared" si="352"/>
        <v>14737</v>
      </c>
      <c r="AX21" s="1318">
        <f>+'11H22'!K19</f>
        <v>1609948</v>
      </c>
      <c r="AY21" s="1248">
        <f>+'11H22'!E19</f>
        <v>185922</v>
      </c>
      <c r="AZ21" s="1317">
        <f>'11H22'!C19</f>
        <v>1299577</v>
      </c>
      <c r="BA21" s="1316">
        <f>+BJ21-BH21</f>
        <v>-344064</v>
      </c>
      <c r="BB21" s="1248">
        <f>BA21-BG21</f>
        <v>-356800</v>
      </c>
      <c r="BC21" s="850">
        <f>ROUND(BC$5*BJ21/BJ$6,0)</f>
        <v>1020814</v>
      </c>
      <c r="BD21" s="1248">
        <f>ROUND(BD$5*BH21/BH$6,0)</f>
        <v>1399466</v>
      </c>
      <c r="BE21" s="830">
        <f>ROUND(BE$5*BJ21/BJ$6,0)</f>
        <v>-5124</v>
      </c>
      <c r="BF21" s="830">
        <f t="shared" si="353"/>
        <v>108009</v>
      </c>
      <c r="BG21" s="1317">
        <f t="shared" si="353"/>
        <v>12736</v>
      </c>
      <c r="BH21" s="1318">
        <f>+'12H23'!K19</f>
        <v>1631184</v>
      </c>
      <c r="BI21" s="1248">
        <f>+'12H23'!E19</f>
        <v>189512</v>
      </c>
      <c r="BJ21" s="1317">
        <f>'12H23'!C19</f>
        <v>1287120</v>
      </c>
      <c r="BK21" s="1316">
        <f>+BT21-BR21</f>
        <v>-362479</v>
      </c>
      <c r="BL21" s="1248">
        <f>BK21-BQ21</f>
        <v>-383548</v>
      </c>
      <c r="BM21" s="850">
        <f>ROUND(BM$5*BT21/BT$6,0)</f>
        <v>989820</v>
      </c>
      <c r="BN21" s="1248">
        <f>ROUND(BN$5*BR21/BR$6,0)</f>
        <v>1398139</v>
      </c>
      <c r="BO21" s="830">
        <f>ROUND(BO$5*BT21/BT$6,0)</f>
        <v>-4114</v>
      </c>
      <c r="BP21" s="830">
        <f t="shared" si="354"/>
        <v>106825</v>
      </c>
      <c r="BQ21" s="1317">
        <f t="shared" si="354"/>
        <v>21069</v>
      </c>
      <c r="BR21" s="1318">
        <f>+'13H24'!K19</f>
        <v>1632985</v>
      </c>
      <c r="BS21" s="1248">
        <f>+'13H24'!E19</f>
        <v>195137</v>
      </c>
      <c r="BT21" s="1317">
        <f>'13H24'!C19</f>
        <v>1270506</v>
      </c>
      <c r="BU21" s="1316">
        <f>+CD21-CB21</f>
        <v>-368197</v>
      </c>
      <c r="BV21" s="1248">
        <f>BU21-CA21</f>
        <v>-386939</v>
      </c>
      <c r="BW21" s="850">
        <f>ROUND(BW$5*CD21/CD$6,0)</f>
        <v>1042127</v>
      </c>
      <c r="BX21" s="1248">
        <f>ROUND(BX$5*CB21/CB$6,0)</f>
        <v>1457822</v>
      </c>
      <c r="BY21" s="830">
        <f>ROUND(BY$5*CD21/CD$6,0)</f>
        <v>-4295</v>
      </c>
      <c r="BZ21" s="830">
        <f t="shared" si="355"/>
        <v>110744</v>
      </c>
      <c r="CA21" s="1317">
        <f t="shared" si="355"/>
        <v>18742</v>
      </c>
      <c r="CB21" s="1318">
        <f>+'14H25'!K19</f>
        <v>1703710</v>
      </c>
      <c r="CC21" s="1248">
        <f>+'14H25'!E19</f>
        <v>210472</v>
      </c>
      <c r="CD21" s="1317">
        <f>'14H25'!C19</f>
        <v>1335513</v>
      </c>
      <c r="CE21" s="1316">
        <f>+CN21-CL21</f>
        <v>-339737</v>
      </c>
      <c r="CF21" s="1248">
        <f>CE21-CK21</f>
        <v>-325327</v>
      </c>
      <c r="CG21" s="850">
        <f>ROUND(CG$5*CN21/CN$6,0)</f>
        <v>1066875</v>
      </c>
      <c r="CH21" s="1248">
        <f>ROUND(CH$5*CL21/CL$6,0)</f>
        <v>1430666</v>
      </c>
      <c r="CI21" s="830">
        <f>ROUND(CI$5*CN21/CN$6,0)</f>
        <v>-4640</v>
      </c>
      <c r="CJ21" s="830">
        <f t="shared" si="356"/>
        <v>113204</v>
      </c>
      <c r="CK21" s="1317">
        <f t="shared" si="356"/>
        <v>-14410</v>
      </c>
      <c r="CL21" s="1318">
        <f>+'15H26'!K19</f>
        <v>1664417</v>
      </c>
      <c r="CM21" s="1248">
        <f>+'15H26'!E19</f>
        <v>216036</v>
      </c>
      <c r="CN21" s="1317">
        <f>'15H26'!C19</f>
        <v>1324680</v>
      </c>
      <c r="CO21" s="1316">
        <f>+CX21-CV21</f>
        <v>-352621</v>
      </c>
      <c r="CP21" s="1248">
        <f>CO21-CU21</f>
        <v>-368624</v>
      </c>
      <c r="CQ21" s="850">
        <f>ROUND(CQ$5*CX21/CX$6,0)</f>
        <v>1094054</v>
      </c>
      <c r="CR21" s="1248">
        <f>ROUND(CR$5*CV21/CV$6,0)</f>
        <v>1466297</v>
      </c>
      <c r="CS21" s="830">
        <f>ROUND(CS$5*CX21/CX$6,0)</f>
        <v>-4931</v>
      </c>
      <c r="CT21" s="830">
        <f t="shared" si="357"/>
        <v>113149</v>
      </c>
      <c r="CU21" s="1317">
        <f t="shared" si="357"/>
        <v>16003</v>
      </c>
      <c r="CV21" s="1318">
        <f>+'16H27'!K19</f>
        <v>1763792</v>
      </c>
      <c r="CW21" s="1248">
        <f>+'16H27'!E19</f>
        <v>222491</v>
      </c>
      <c r="CX21" s="1317">
        <f>'16H27'!C19</f>
        <v>1411171</v>
      </c>
      <c r="CY21" s="1316">
        <f>+DH21-DF21</f>
        <v>-320538</v>
      </c>
      <c r="CZ21" s="1248">
        <f>CY21-DE21</f>
        <v>-319377</v>
      </c>
      <c r="DA21" s="850">
        <f>ROUND(DA$5*DH21/DH$6,0)</f>
        <v>1049352</v>
      </c>
      <c r="DB21" s="1248">
        <f>ROUND(DB$5*DF21/DF$6,0)</f>
        <v>1394448</v>
      </c>
      <c r="DC21" s="830">
        <f>ROUND(DC$5*DH21/DH$6,0)</f>
        <v>-4433</v>
      </c>
      <c r="DD21" s="830">
        <f t="shared" si="358"/>
        <v>115524</v>
      </c>
      <c r="DE21" s="1317">
        <f t="shared" si="358"/>
        <v>-1161</v>
      </c>
      <c r="DF21" s="1318">
        <f>+'17H28'!K19</f>
        <v>1724303</v>
      </c>
      <c r="DG21" s="1248">
        <f>+'17H28'!E19</f>
        <v>224660</v>
      </c>
      <c r="DH21" s="1317">
        <f>'17H28'!C19</f>
        <v>1403765</v>
      </c>
      <c r="DI21" s="1316">
        <f>+DR21-DP21</f>
        <v>-299423</v>
      </c>
      <c r="DJ21" s="1248">
        <f>DI21-DO21</f>
        <v>-247577</v>
      </c>
      <c r="DK21" s="850">
        <f>ROUND(DK$5*DR21/DR$6,0)</f>
        <v>1125190</v>
      </c>
      <c r="DL21" s="1248">
        <f>ROUND(DL$5*DP21/DP$6,0)</f>
        <v>1445623</v>
      </c>
      <c r="DM21" s="830">
        <f>ROUND(DM$5*DR21/DR$6,0)</f>
        <v>-3590</v>
      </c>
      <c r="DN21" s="830">
        <f t="shared" si="359"/>
        <v>100856</v>
      </c>
      <c r="DO21" s="1317">
        <f t="shared" si="359"/>
        <v>-51846</v>
      </c>
      <c r="DP21" s="1318">
        <f>+'18H29'!K19</f>
        <v>1741712</v>
      </c>
      <c r="DQ21" s="1248">
        <f>+'18H29'!E19</f>
        <v>218894</v>
      </c>
      <c r="DR21" s="1317">
        <f>+'18H29'!C19</f>
        <v>1442289</v>
      </c>
      <c r="DS21" s="1316">
        <f>+EB21-DZ21</f>
        <v>-302960</v>
      </c>
      <c r="DT21" s="1248">
        <f>DS21-DY21</f>
        <v>-223459</v>
      </c>
      <c r="DU21" s="850">
        <f>ROUND(DU$5*EB21/EB$6,0)</f>
        <v>1142520</v>
      </c>
      <c r="DV21" s="1248">
        <f>ROUND(DV$5*DZ21/DZ$6,0)</f>
        <v>1489574</v>
      </c>
      <c r="DW21" s="830">
        <f>ROUND(DW$5*EB21/EB$6,0)</f>
        <v>-3725</v>
      </c>
      <c r="DX21" s="830">
        <f t="shared" si="360"/>
        <v>102170</v>
      </c>
      <c r="DY21" s="1317">
        <f t="shared" si="360"/>
        <v>-79501</v>
      </c>
      <c r="DZ21" s="1318">
        <f>+'19H30'!K19</f>
        <v>1749143</v>
      </c>
      <c r="EA21" s="1248">
        <f>+'19H30'!E19</f>
        <v>217024</v>
      </c>
      <c r="EB21" s="1317">
        <f>+'19H30'!C19</f>
        <v>1446183</v>
      </c>
      <c r="EC21" s="1316">
        <f>+EL21-EJ21</f>
        <v>-297451</v>
      </c>
      <c r="ED21" s="1248">
        <f>EC21-EI21</f>
        <v>-184780</v>
      </c>
      <c r="EE21" s="850">
        <f>ROUND(EE$5*EL21/EL$6,0)</f>
        <v>1123837</v>
      </c>
      <c r="EF21" s="1248">
        <f>ROUND(EF$5*EJ21/EJ$6,0)</f>
        <v>1464950</v>
      </c>
      <c r="EG21" s="830">
        <f>ROUND(EG$5*EL21/EL$6,0)</f>
        <v>-3511</v>
      </c>
      <c r="EH21" s="830">
        <f t="shared" si="361"/>
        <v>103630</v>
      </c>
      <c r="EI21" s="1317">
        <f t="shared" si="361"/>
        <v>-112671</v>
      </c>
      <c r="EJ21" s="1318">
        <f>+'20R1'!K19</f>
        <v>1748969</v>
      </c>
      <c r="EK21" s="1248">
        <f>+'20R1'!E19</f>
        <v>226130</v>
      </c>
      <c r="EL21" s="1317">
        <f>+'20R1'!C19</f>
        <v>1451518</v>
      </c>
      <c r="EM21" s="1316">
        <f>+EV21-ET21</f>
        <v>-281928</v>
      </c>
      <c r="EN21" s="1248">
        <f>EM21-ES21</f>
        <v>-255990</v>
      </c>
      <c r="EO21" s="850">
        <f>ROUND(EO$5*EV21/EV$6,0)</f>
        <v>1017321</v>
      </c>
      <c r="EP21" s="1248">
        <f>ROUND(EP$5*ET21/ET$6,0)</f>
        <v>1362749</v>
      </c>
      <c r="EQ21" s="1336">
        <f>ROUND(EQ$5*EV21/EV$6,0)</f>
        <v>-2666</v>
      </c>
      <c r="ER21" s="1336">
        <f t="shared" ref="ER21:ER22" si="370">ROUND(ER$5*EU21/EU$6,0)</f>
        <v>100157</v>
      </c>
      <c r="ES21" s="850">
        <f t="shared" ref="ES21:ES22" si="371">ROUND(ES$5*EV21/EV$6,0)</f>
        <v>-25938</v>
      </c>
      <c r="ET21" s="1331">
        <f>'21R2'!K19</f>
        <v>1698508</v>
      </c>
      <c r="EU21" s="1248">
        <f>'21R2'!E19</f>
        <v>221030</v>
      </c>
      <c r="EV21" s="1317">
        <f>+'21R2'!C19</f>
        <v>1416580</v>
      </c>
      <c r="EW21" s="1392">
        <f t="shared" si="298"/>
        <v>-421567</v>
      </c>
      <c r="EX21" s="1310">
        <f>EY21-EZ21</f>
        <v>-393233</v>
      </c>
      <c r="EY21" s="850">
        <f>ROUND(EY$5*FF21/FF$6,0)</f>
        <v>1141657</v>
      </c>
      <c r="EZ21" s="1248">
        <f>ROUND(EZ$5*FD21/FD$6,0)</f>
        <v>1534890</v>
      </c>
      <c r="FA21" s="1336">
        <f>ROUND(FA$5*FF21/FF$6,0)</f>
        <v>-1503</v>
      </c>
      <c r="FB21" s="1336">
        <f t="shared" si="362"/>
        <v>105008</v>
      </c>
      <c r="FC21" s="1689">
        <f t="shared" si="363"/>
        <v>-28334</v>
      </c>
      <c r="FD21" s="1414">
        <f>'22R3'!K19</f>
        <v>1774331</v>
      </c>
      <c r="FE21" s="1310">
        <f>'22R3'!E19</f>
        <v>238377</v>
      </c>
      <c r="FF21" s="1690">
        <f>'22R3'!C19</f>
        <v>1451238</v>
      </c>
      <c r="FG21" s="1392">
        <f t="shared" si="300"/>
        <v>-566383</v>
      </c>
      <c r="FH21" s="1310">
        <f>FI21-FJ21</f>
        <v>-538049</v>
      </c>
      <c r="FI21" s="850">
        <f>ROUND(FI$5*FP21/FP$6,0)</f>
        <v>1193082</v>
      </c>
      <c r="FJ21" s="1248">
        <f>ROUND(FJ$5*FN21/FN$6,0)</f>
        <v>1731131</v>
      </c>
      <c r="FK21" s="1336">
        <f>ROUND(FK$5*FP21/FP$6,0)</f>
        <v>-2672</v>
      </c>
      <c r="FL21" s="1336">
        <f t="shared" si="364"/>
        <v>109650</v>
      </c>
      <c r="FM21" s="1398">
        <f t="shared" si="302"/>
        <v>-28334</v>
      </c>
      <c r="FN21" s="1748">
        <f>'23R4'!K19</f>
        <v>1865826</v>
      </c>
      <c r="FO21" s="1332">
        <f>'23R4'!E19</f>
        <v>240171</v>
      </c>
      <c r="FP21" s="1690">
        <f>'23R4'!C19</f>
        <v>1470374</v>
      </c>
      <c r="FQ21" s="1310"/>
      <c r="FR21" s="1392">
        <f t="shared" si="303"/>
        <v>-203590</v>
      </c>
      <c r="FS21" s="1310">
        <f>FT21-FU21</f>
        <v>-175256</v>
      </c>
      <c r="FT21" s="868">
        <f>ROUND(FT$5*GA21/GA$6,0)</f>
        <v>1561944</v>
      </c>
      <c r="FU21" s="1248">
        <f>ROUND(FU$5*FY21/FY$6,0)</f>
        <v>1737200</v>
      </c>
      <c r="FV21" s="1336">
        <f>ROUND(FV$5*GA21/GA$6,0)</f>
        <v>-3442</v>
      </c>
      <c r="FW21" s="1336">
        <f t="shared" si="365"/>
        <v>112783</v>
      </c>
      <c r="FX21" s="1398">
        <f t="shared" si="335"/>
        <v>-28334</v>
      </c>
      <c r="FY21" s="1332">
        <f>'24R5'!K19</f>
        <v>1902114</v>
      </c>
      <c r="FZ21" s="1332">
        <f>'24R5'!E19</f>
        <v>246952</v>
      </c>
      <c r="GA21" s="1319">
        <v>1625260</v>
      </c>
      <c r="GB21" s="1392">
        <f t="shared" si="305"/>
        <v>-89784</v>
      </c>
      <c r="GC21" s="1310">
        <f>GD21-GE21</f>
        <v>-61450</v>
      </c>
      <c r="GD21" s="868">
        <f>ROUND(GD$5*GK21/GK$6,0)</f>
        <v>1669544</v>
      </c>
      <c r="GE21" s="1248">
        <f>ROUND(GE$5*GI21/GI$6,0)</f>
        <v>1730994</v>
      </c>
      <c r="GF21" s="1336">
        <f>ROUND(GF$5*GK21/GK$6,0)</f>
        <v>-3599</v>
      </c>
      <c r="GG21" s="1336">
        <f t="shared" si="366"/>
        <v>55393</v>
      </c>
      <c r="GH21" s="1398">
        <f t="shared" si="338"/>
        <v>-28334</v>
      </c>
      <c r="GI21" s="1332">
        <f>'25R6'!K19</f>
        <v>1867816</v>
      </c>
      <c r="GJ21" s="1332">
        <f>'25R6'!E19</f>
        <v>247191</v>
      </c>
      <c r="GK21" s="1319">
        <v>1625260</v>
      </c>
      <c r="GL21" s="1392">
        <f t="shared" si="307"/>
        <v>45080</v>
      </c>
      <c r="GM21" s="1310">
        <f>GN21-GO21</f>
        <v>73414</v>
      </c>
      <c r="GN21" s="868">
        <f>ROUND(GN$5*GU21/GU$6,0)</f>
        <v>1860932</v>
      </c>
      <c r="GO21" s="1248">
        <f>ROUND(GO$5*GS21/GS$6,0)</f>
        <v>1787518</v>
      </c>
      <c r="GP21" s="1336">
        <f>ROUND(GP$5*GU21/GU$6,0)</f>
        <v>-4019</v>
      </c>
      <c r="GQ21" s="1336">
        <f t="shared" si="367"/>
        <v>56426</v>
      </c>
      <c r="GR21" s="1406">
        <f t="shared" si="341"/>
        <v>-28334</v>
      </c>
      <c r="GS21" s="1748">
        <f>'26R7'!K19</f>
        <v>1942526</v>
      </c>
      <c r="GT21" s="1332">
        <f>'26R7'!E19</f>
        <v>263036</v>
      </c>
      <c r="GU21" s="1398">
        <v>1942526</v>
      </c>
      <c r="GV21" s="1392">
        <f t="shared" si="309"/>
        <v>35233</v>
      </c>
      <c r="GW21" s="1310">
        <f>GX21-GY21</f>
        <v>63567</v>
      </c>
      <c r="GX21" s="868">
        <f>ROUND(GX$5*HE21/HE$6,0)</f>
        <v>1890566</v>
      </c>
      <c r="GY21" s="1248">
        <f>ROUND(GY$5*HC21/HC$6,0)</f>
        <v>1826999</v>
      </c>
      <c r="GZ21" s="1336">
        <f>ROUND(GZ$5*HE21/HE$6,0)</f>
        <v>-4084</v>
      </c>
      <c r="HA21" s="1336">
        <f t="shared" si="368"/>
        <v>115842</v>
      </c>
      <c r="HB21" s="1406">
        <f t="shared" si="344"/>
        <v>-28334</v>
      </c>
      <c r="HC21" s="1748">
        <f>'27R8'!U19</f>
        <v>1850626</v>
      </c>
      <c r="HD21" s="1690">
        <f>'27R8'!O19</f>
        <v>-119669</v>
      </c>
      <c r="HE21" s="1398">
        <v>1964233</v>
      </c>
      <c r="HF21" s="1392">
        <f t="shared" si="311"/>
        <v>32813</v>
      </c>
      <c r="HG21" s="1310">
        <f>HH21-HI21</f>
        <v>61147</v>
      </c>
      <c r="HH21" s="868">
        <f>ROUND(HH$5*HO21/HO$6,0)</f>
        <v>1932019</v>
      </c>
      <c r="HI21" s="1248">
        <f>ROUND(HI$5*HM21/HM$6,0)</f>
        <v>1870872</v>
      </c>
      <c r="HJ21" s="1336">
        <f>ROUND(HJ$5*HO21/HO$6,0)</f>
        <v>-4173</v>
      </c>
      <c r="HK21" s="1336">
        <f t="shared" si="369"/>
        <v>115842</v>
      </c>
      <c r="HL21" s="1406">
        <f t="shared" si="347"/>
        <v>-28334</v>
      </c>
      <c r="HM21" s="1748">
        <f>'28R9'!U19</f>
        <v>1850626</v>
      </c>
      <c r="HN21" s="1332">
        <f>'28R9'!O19</f>
        <v>-119669</v>
      </c>
      <c r="HO21" s="1398">
        <v>1985951</v>
      </c>
      <c r="HQ21" s="1310">
        <f>市町名目!J20</f>
        <v>1451518</v>
      </c>
      <c r="HR21" s="1310">
        <f>市町名目!K20</f>
        <v>1416580</v>
      </c>
      <c r="HS21" s="1310">
        <f>市町名目!L20</f>
        <v>1451238</v>
      </c>
      <c r="HT21" s="1310">
        <f>市町名目!M20</f>
        <v>1470374</v>
      </c>
      <c r="HU21" s="1310">
        <f>市町名目!N20</f>
        <v>1519935</v>
      </c>
      <c r="HV21" s="1054">
        <v>1586431</v>
      </c>
      <c r="HW21" s="1030">
        <v>1799416</v>
      </c>
      <c r="HX21" s="1030">
        <v>1964233</v>
      </c>
      <c r="HY21" s="1030">
        <v>1985951</v>
      </c>
    </row>
    <row r="22" spans="1:233" ht="12.5">
      <c r="A22" s="1334">
        <v>206</v>
      </c>
      <c r="B22" s="1335" t="s">
        <v>185</v>
      </c>
      <c r="C22" s="1316">
        <f>+L22-J22</f>
        <v>-139002</v>
      </c>
      <c r="D22" s="1248">
        <f>C22-I22</f>
        <v>-140931</v>
      </c>
      <c r="E22" s="850">
        <f>ROUND(E$5*L22/L$6,0)</f>
        <v>165909</v>
      </c>
      <c r="F22" s="1248">
        <f>ROUND(F$5*J22/J$6,0)</f>
        <v>284950</v>
      </c>
      <c r="G22" s="830">
        <f>ROUND(G$5*L22/L$6,0)</f>
        <v>-265</v>
      </c>
      <c r="H22" s="830">
        <f t="shared" si="348"/>
        <v>23888</v>
      </c>
      <c r="I22" s="1317">
        <f t="shared" si="348"/>
        <v>1929</v>
      </c>
      <c r="J22" s="1318">
        <f>'7H18'!K20</f>
        <v>333922</v>
      </c>
      <c r="K22" s="1248">
        <f>+'7H18'!E20</f>
        <v>36735</v>
      </c>
      <c r="L22" s="1317">
        <f>'7H18'!C20</f>
        <v>194920</v>
      </c>
      <c r="M22" s="1316">
        <f>+V22-T22</f>
        <v>-146251</v>
      </c>
      <c r="N22" s="1248">
        <f>M22-S22</f>
        <v>-149401</v>
      </c>
      <c r="O22" s="850">
        <f>ROUND(O$5*V22/V$6,0)</f>
        <v>173819</v>
      </c>
      <c r="P22" s="1248">
        <f>ROUND(P$5*T22/T$6,0)</f>
        <v>298890</v>
      </c>
      <c r="Q22" s="830">
        <f>ROUND(Q$5*V22/V$6,0)</f>
        <v>-416</v>
      </c>
      <c r="R22" s="830">
        <f t="shared" si="349"/>
        <v>24055</v>
      </c>
      <c r="S22" s="1317">
        <f t="shared" si="349"/>
        <v>3150</v>
      </c>
      <c r="T22" s="1318">
        <f>+'8H19'!K20</f>
        <v>336218</v>
      </c>
      <c r="U22" s="1248">
        <f>+'8H19'!E20</f>
        <v>37305</v>
      </c>
      <c r="V22" s="1317">
        <f>'8H19'!C20</f>
        <v>189967</v>
      </c>
      <c r="W22" s="1316">
        <f>+AF22-AD22</f>
        <v>-134296</v>
      </c>
      <c r="X22" s="1248">
        <f>W22-AC22</f>
        <v>-137056</v>
      </c>
      <c r="Y22" s="850">
        <f>ROUND(Y$5*AF22/AF$6,0)</f>
        <v>164828</v>
      </c>
      <c r="Z22" s="1248">
        <f>ROUND(Z$5*AD22/AD$6,0)</f>
        <v>292045</v>
      </c>
      <c r="AA22" s="830">
        <f>ROUND(AA$5*AF22/AF$6,0)</f>
        <v>-1061</v>
      </c>
      <c r="AB22" s="830">
        <f t="shared" si="350"/>
        <v>24187</v>
      </c>
      <c r="AC22" s="1317">
        <f t="shared" si="350"/>
        <v>2760</v>
      </c>
      <c r="AD22" s="1318">
        <f>+'9H20'!K20</f>
        <v>330978</v>
      </c>
      <c r="AE22" s="1248">
        <f>+'9H20'!E20</f>
        <v>40508</v>
      </c>
      <c r="AF22" s="1317">
        <f>'9H20'!C20</f>
        <v>196682</v>
      </c>
      <c r="AG22" s="1316">
        <f>+AP22-AN22</f>
        <v>-108902</v>
      </c>
      <c r="AH22" s="1248">
        <f>AG22-AM22</f>
        <v>-106615</v>
      </c>
      <c r="AI22" s="850">
        <f>ROUND(AI$5*AP22/AP$6,0)</f>
        <v>153306</v>
      </c>
      <c r="AJ22" s="1248">
        <f>ROUND(AJ$5*AN22/AN$6,0)</f>
        <v>262027</v>
      </c>
      <c r="AK22" s="830">
        <f>ROUND(AK$5*AP22/AP$6,0)</f>
        <v>145</v>
      </c>
      <c r="AL22" s="830">
        <f t="shared" si="351"/>
        <v>24036</v>
      </c>
      <c r="AM22" s="1317">
        <f t="shared" si="351"/>
        <v>-2287</v>
      </c>
      <c r="AN22" s="1318">
        <f>+'10H21'!K20</f>
        <v>319120</v>
      </c>
      <c r="AO22" s="1248">
        <f>+'10H21'!E20</f>
        <v>42958</v>
      </c>
      <c r="AP22" s="1317">
        <f>'10H21'!C20</f>
        <v>210218</v>
      </c>
      <c r="AQ22" s="1316">
        <f>+AZ22-AX22</f>
        <v>-85613</v>
      </c>
      <c r="AR22" s="1248">
        <f>AQ22-AW22</f>
        <v>-88151</v>
      </c>
      <c r="AS22" s="850">
        <f>ROUND(AS$5*AZ22/AZ$6,0)</f>
        <v>168331</v>
      </c>
      <c r="AT22" s="1248">
        <f>ROUND(AT$5*AX22/AX$6,0)</f>
        <v>260136</v>
      </c>
      <c r="AU22" s="830">
        <f>ROUND(AU$5*AZ22/AZ$6,0)</f>
        <v>-1233</v>
      </c>
      <c r="AV22" s="830">
        <f t="shared" si="352"/>
        <v>25601</v>
      </c>
      <c r="AW22" s="1317">
        <f t="shared" si="352"/>
        <v>2538</v>
      </c>
      <c r="AX22" s="1318">
        <f>+'11H22'!K20</f>
        <v>309452</v>
      </c>
      <c r="AY22" s="1248">
        <f>+'11H22'!E20</f>
        <v>43409</v>
      </c>
      <c r="AZ22" s="1317">
        <f>'11H22'!C20</f>
        <v>223839</v>
      </c>
      <c r="BA22" s="1316">
        <f>+BJ22-BH22</f>
        <v>-115397</v>
      </c>
      <c r="BB22" s="1248">
        <f>BA22-BG22</f>
        <v>-117435</v>
      </c>
      <c r="BC22" s="850">
        <f>ROUND(BC$5*BJ22/BJ$6,0)</f>
        <v>163387</v>
      </c>
      <c r="BD22" s="1248">
        <f>ROUND(BD$5*BH22/BH$6,0)</f>
        <v>275750</v>
      </c>
      <c r="BE22" s="830">
        <f>ROUND(BE$5*BJ22/BJ$6,0)</f>
        <v>-820</v>
      </c>
      <c r="BF22" s="830">
        <f t="shared" si="353"/>
        <v>26555</v>
      </c>
      <c r="BG22" s="1317">
        <f t="shared" si="353"/>
        <v>2038</v>
      </c>
      <c r="BH22" s="1318">
        <f>+'12H23'!K20</f>
        <v>321408</v>
      </c>
      <c r="BI22" s="1248">
        <f>+'12H23'!E20</f>
        <v>46593</v>
      </c>
      <c r="BJ22" s="1317">
        <f>'12H23'!C20</f>
        <v>206011</v>
      </c>
      <c r="BK22" s="1316">
        <f>+BT22-BR22</f>
        <v>-121141</v>
      </c>
      <c r="BL22" s="1248">
        <f>BK22-BQ22</f>
        <v>-124565</v>
      </c>
      <c r="BM22" s="850">
        <f>ROUND(BM$5*BT22/BT$6,0)</f>
        <v>160858</v>
      </c>
      <c r="BN22" s="1248">
        <f>ROUND(BN$5*BR22/BR$6,0)</f>
        <v>280499</v>
      </c>
      <c r="BO22" s="830">
        <f>ROUND(BO$5*BT22/BT$6,0)</f>
        <v>-669</v>
      </c>
      <c r="BP22" s="830">
        <f t="shared" si="354"/>
        <v>26505</v>
      </c>
      <c r="BQ22" s="1317">
        <f t="shared" si="354"/>
        <v>3424</v>
      </c>
      <c r="BR22" s="1318">
        <f>+'13H24'!K20</f>
        <v>327614</v>
      </c>
      <c r="BS22" s="1248">
        <f>+'13H24'!E20</f>
        <v>48417</v>
      </c>
      <c r="BT22" s="1317">
        <f>'13H24'!C20</f>
        <v>206473</v>
      </c>
      <c r="BU22" s="1316">
        <f>+CD22-CB22</f>
        <v>-139503</v>
      </c>
      <c r="BV22" s="1248">
        <f>BU22-CA22</f>
        <v>-142605</v>
      </c>
      <c r="BW22" s="850">
        <f>ROUND(BW$5*CD22/CD$6,0)</f>
        <v>172471</v>
      </c>
      <c r="BX22" s="1248">
        <f>ROUND(BX$5*CB22/CB$6,0)</f>
        <v>308496</v>
      </c>
      <c r="BY22" s="830">
        <f>ROUND(BY$5*CD22/CD$6,0)</f>
        <v>-711</v>
      </c>
      <c r="BZ22" s="830">
        <f t="shared" si="355"/>
        <v>27399</v>
      </c>
      <c r="CA22" s="1317">
        <f t="shared" si="355"/>
        <v>3102</v>
      </c>
      <c r="CB22" s="1318">
        <f>+'14H25'!K20</f>
        <v>360529</v>
      </c>
      <c r="CC22" s="1248">
        <f>+'14H25'!E20</f>
        <v>52073</v>
      </c>
      <c r="CD22" s="1317">
        <f>'14H25'!C20</f>
        <v>221026</v>
      </c>
      <c r="CE22" s="1316">
        <f>+CN22-CL22</f>
        <v>-138500</v>
      </c>
      <c r="CF22" s="1248">
        <f>CE22-CK22</f>
        <v>-136227</v>
      </c>
      <c r="CG22" s="850">
        <f>ROUND(CG$5*CN22/CN$6,0)</f>
        <v>168251</v>
      </c>
      <c r="CH22" s="1248">
        <f>ROUND(CH$5*CL22/CL$6,0)</f>
        <v>298618</v>
      </c>
      <c r="CI22" s="830">
        <f>ROUND(CI$5*CN22/CN$6,0)</f>
        <v>-732</v>
      </c>
      <c r="CJ22" s="830">
        <f t="shared" si="356"/>
        <v>26374</v>
      </c>
      <c r="CK22" s="1317">
        <f t="shared" si="356"/>
        <v>-2273</v>
      </c>
      <c r="CL22" s="1318">
        <f>+'15H26'!K20</f>
        <v>347408</v>
      </c>
      <c r="CM22" s="1248">
        <f>+'15H26'!E20</f>
        <v>50331</v>
      </c>
      <c r="CN22" s="1317">
        <f>'15H26'!C20</f>
        <v>208908</v>
      </c>
      <c r="CO22" s="1316">
        <f>+CX22-CV22</f>
        <v>-138958</v>
      </c>
      <c r="CP22" s="1248">
        <f>CO22-CU22</f>
        <v>-141631</v>
      </c>
      <c r="CQ22" s="850">
        <f>ROUND(CQ$5*CX22/CX$6,0)</f>
        <v>182736</v>
      </c>
      <c r="CR22" s="1248">
        <f>ROUND(CR$5*CV22/CV$6,0)</f>
        <v>311468</v>
      </c>
      <c r="CS22" s="830">
        <f>ROUND(CS$5*CX22/CX$6,0)</f>
        <v>-824</v>
      </c>
      <c r="CT22" s="830">
        <f t="shared" si="357"/>
        <v>27209</v>
      </c>
      <c r="CU22" s="1317">
        <f t="shared" si="357"/>
        <v>2673</v>
      </c>
      <c r="CV22" s="1318">
        <f>+'16H27'!K20</f>
        <v>374661</v>
      </c>
      <c r="CW22" s="1248">
        <f>+'16H27'!E20</f>
        <v>53503</v>
      </c>
      <c r="CX22" s="1317">
        <f>'16H27'!C20</f>
        <v>235703</v>
      </c>
      <c r="CY22" s="1316">
        <f>+DH22-DF22</f>
        <v>-149877</v>
      </c>
      <c r="CZ22" s="1248">
        <f>CY22-DE22</f>
        <v>-149693</v>
      </c>
      <c r="DA22" s="850">
        <f>ROUND(DA$5*DH22/DH$6,0)</f>
        <v>166153</v>
      </c>
      <c r="DB22" s="1248">
        <f>ROUND(DB$5*DF22/DF$6,0)</f>
        <v>300956</v>
      </c>
      <c r="DC22" s="830">
        <f>ROUND(DC$5*DH22/DH$6,0)</f>
        <v>-702</v>
      </c>
      <c r="DD22" s="830">
        <f t="shared" si="358"/>
        <v>27947</v>
      </c>
      <c r="DE22" s="1317">
        <f t="shared" si="358"/>
        <v>-184</v>
      </c>
      <c r="DF22" s="1318">
        <f>+'17H28'!K20</f>
        <v>372147</v>
      </c>
      <c r="DG22" s="1248">
        <f>+'17H28'!E20</f>
        <v>54348</v>
      </c>
      <c r="DH22" s="1317">
        <f>'17H28'!C20</f>
        <v>222270</v>
      </c>
      <c r="DI22" s="1316">
        <f>+DR22-DP22</f>
        <v>-124079</v>
      </c>
      <c r="DJ22" s="1248">
        <f>DI22-DO22</f>
        <v>-115738</v>
      </c>
      <c r="DK22" s="850">
        <f>ROUND(DK$5*DR22/DR$6,0)</f>
        <v>181016</v>
      </c>
      <c r="DL22" s="1248">
        <f>ROUND(DL$5*DP22/DP$6,0)</f>
        <v>295570</v>
      </c>
      <c r="DM22" s="830">
        <f>ROUND(DM$5*DR22/DR$6,0)</f>
        <v>-577</v>
      </c>
      <c r="DN22" s="830">
        <f t="shared" si="359"/>
        <v>24104</v>
      </c>
      <c r="DO22" s="1317">
        <f t="shared" si="359"/>
        <v>-8341</v>
      </c>
      <c r="DP22" s="1318">
        <f>+'18H29'!K20</f>
        <v>356108</v>
      </c>
      <c r="DQ22" s="1248">
        <f>+'18H29'!E20</f>
        <v>52314</v>
      </c>
      <c r="DR22" s="1317">
        <f>+'18H29'!C20</f>
        <v>232029</v>
      </c>
      <c r="DS22" s="1316">
        <f>+EB22-DZ22</f>
        <v>-139634</v>
      </c>
      <c r="DT22" s="1248">
        <f>DS22-DY22</f>
        <v>-127314</v>
      </c>
      <c r="DU22" s="850">
        <f>ROUND(DU$5*EB22/EB$6,0)</f>
        <v>177060</v>
      </c>
      <c r="DV22" s="1248">
        <f>ROUND(DV$5*DZ22/DZ$6,0)</f>
        <v>309773</v>
      </c>
      <c r="DW22" s="830">
        <f>ROUND(DW$5*EB22/EB$6,0)</f>
        <v>-577</v>
      </c>
      <c r="DX22" s="830">
        <f t="shared" si="360"/>
        <v>24568</v>
      </c>
      <c r="DY22" s="1317">
        <f t="shared" si="360"/>
        <v>-12320</v>
      </c>
      <c r="DZ22" s="1318">
        <f>+'19H30'!K20</f>
        <v>363753</v>
      </c>
      <c r="EA22" s="1248">
        <f>+'19H30'!E20</f>
        <v>52185</v>
      </c>
      <c r="EB22" s="1317">
        <f>+'19H30'!C20</f>
        <v>224119</v>
      </c>
      <c r="EC22" s="1316">
        <f>+EL22-EJ22</f>
        <v>-128004</v>
      </c>
      <c r="ED22" s="1248">
        <f>EC22-EI22</f>
        <v>-109925</v>
      </c>
      <c r="EE22" s="850">
        <f>ROUND(EE$5*EL22/EL$6,0)</f>
        <v>180325</v>
      </c>
      <c r="EF22" s="1248">
        <f>ROUND(EF$5*EJ22/EJ$6,0)</f>
        <v>302298</v>
      </c>
      <c r="EG22" s="830">
        <f>ROUND(EG$5*EL22/EL$6,0)</f>
        <v>-563</v>
      </c>
      <c r="EH22" s="830">
        <f t="shared" si="361"/>
        <v>24382</v>
      </c>
      <c r="EI22" s="1317">
        <f t="shared" si="361"/>
        <v>-18079</v>
      </c>
      <c r="EJ22" s="1318">
        <f>+'20R1'!K20</f>
        <v>360907</v>
      </c>
      <c r="EK22" s="1248">
        <f>+'20R1'!E20</f>
        <v>53204</v>
      </c>
      <c r="EL22" s="1317">
        <f>+'20R1'!C20</f>
        <v>232903</v>
      </c>
      <c r="EM22" s="1316">
        <f>+EV22-ET22</f>
        <v>-114440</v>
      </c>
      <c r="EN22" s="1248">
        <f>EM22-ES22</f>
        <v>-110262</v>
      </c>
      <c r="EO22" s="850">
        <f>ROUND(EO$5*EV22/EV$6,0)</f>
        <v>163852</v>
      </c>
      <c r="EP22" s="1248">
        <f>ROUND(EP$5*ET22/ET$6,0)</f>
        <v>274873</v>
      </c>
      <c r="EQ22" s="1336">
        <f>ROUND(EQ$5*EV22/EV$6,0)</f>
        <v>-429</v>
      </c>
      <c r="ER22" s="1336">
        <f t="shared" si="370"/>
        <v>23557</v>
      </c>
      <c r="ES22" s="850">
        <f t="shared" si="371"/>
        <v>-4178</v>
      </c>
      <c r="ET22" s="1331">
        <f>'21R2'!K20</f>
        <v>342597</v>
      </c>
      <c r="EU22" s="1248">
        <f>'21R2'!E20</f>
        <v>51986</v>
      </c>
      <c r="EV22" s="1317">
        <f>+'21R2'!C20</f>
        <v>228157</v>
      </c>
      <c r="EW22" s="1392">
        <f t="shared" si="298"/>
        <v>-121243</v>
      </c>
      <c r="EX22" s="1310">
        <f>EY22-EZ22</f>
        <v>-116690</v>
      </c>
      <c r="EY22" s="850">
        <f>ROUND(EY$5*FF22/FF$6,0)</f>
        <v>183456</v>
      </c>
      <c r="EZ22" s="1248">
        <f>ROUND(EZ$5*FD22/FD$6,0)</f>
        <v>300146</v>
      </c>
      <c r="FA22" s="1336">
        <f>ROUND(FA$5*FF22/FF$6,0)</f>
        <v>-242</v>
      </c>
      <c r="FB22" s="1336">
        <f t="shared" si="362"/>
        <v>23771</v>
      </c>
      <c r="FC22" s="1689">
        <f t="shared" si="363"/>
        <v>-4553</v>
      </c>
      <c r="FD22" s="1414">
        <f>'22R3'!K20</f>
        <v>346968</v>
      </c>
      <c r="FE22" s="1310">
        <f>'22R3'!E20</f>
        <v>53961</v>
      </c>
      <c r="FF22" s="1690">
        <f>'22R3'!C20</f>
        <v>233204</v>
      </c>
      <c r="FG22" s="1392">
        <f t="shared" si="300"/>
        <v>-152748</v>
      </c>
      <c r="FH22" s="1310">
        <f>FI22-FJ22</f>
        <v>-148195</v>
      </c>
      <c r="FI22" s="850">
        <f>ROUND(FI$5*FP22/FP$6,0)</f>
        <v>192927</v>
      </c>
      <c r="FJ22" s="1248">
        <f>ROUND(FJ$5*FN22/FN$6,0)</f>
        <v>341122</v>
      </c>
      <c r="FK22" s="1336">
        <f>ROUND(FK$5*FP22/FP$6,0)</f>
        <v>-432</v>
      </c>
      <c r="FL22" s="1336">
        <f t="shared" si="364"/>
        <v>24964</v>
      </c>
      <c r="FM22" s="1398">
        <f t="shared" si="302"/>
        <v>-4553</v>
      </c>
      <c r="FN22" s="1748">
        <f>'23R4'!K20</f>
        <v>367664</v>
      </c>
      <c r="FO22" s="1332">
        <f>'23R4'!E20</f>
        <v>54679</v>
      </c>
      <c r="FP22" s="1690">
        <f>'23R4'!C20</f>
        <v>237767</v>
      </c>
      <c r="FQ22" s="1310"/>
      <c r="FR22" s="1392">
        <f t="shared" si="303"/>
        <v>-2345</v>
      </c>
      <c r="FS22" s="1310">
        <f>FT22-FU22</f>
        <v>2208</v>
      </c>
      <c r="FT22" s="868">
        <f>ROUND(FT$5*GA22/GA$6,0)</f>
        <v>314343</v>
      </c>
      <c r="FU22" s="1248">
        <f>ROUND(FU$5*FY22/FY$6,0)</f>
        <v>312135</v>
      </c>
      <c r="FV22" s="1336">
        <f>ROUND(FV$5*GA22/GA$6,0)</f>
        <v>-693</v>
      </c>
      <c r="FW22" s="1336">
        <f t="shared" si="365"/>
        <v>24842</v>
      </c>
      <c r="FX22" s="1398">
        <f t="shared" si="335"/>
        <v>-4553</v>
      </c>
      <c r="FY22" s="1332">
        <f>'24R5'!K20</f>
        <v>341766</v>
      </c>
      <c r="FZ22" s="1332">
        <f>'24R5'!E20</f>
        <v>54394</v>
      </c>
      <c r="GA22" s="1319">
        <v>327085</v>
      </c>
      <c r="GB22" s="1392">
        <f t="shared" si="305"/>
        <v>-53490</v>
      </c>
      <c r="GC22" s="1310">
        <f>GD22-GE22</f>
        <v>-48937</v>
      </c>
      <c r="GD22" s="868">
        <f>ROUND(GD$5*GK22/GK$6,0)</f>
        <v>335997</v>
      </c>
      <c r="GE22" s="1248">
        <f>ROUND(GE$5*GI22/GI$6,0)</f>
        <v>384934</v>
      </c>
      <c r="GF22" s="1336">
        <f>ROUND(GF$5*GK22/GK$6,0)</f>
        <v>-724</v>
      </c>
      <c r="GG22" s="1336">
        <f t="shared" si="366"/>
        <v>13379</v>
      </c>
      <c r="GH22" s="1398">
        <f t="shared" si="338"/>
        <v>-4553</v>
      </c>
      <c r="GI22" s="1332">
        <f>'25R6'!K20</f>
        <v>415360</v>
      </c>
      <c r="GJ22" s="1332">
        <f>'25R6'!E20</f>
        <v>59703</v>
      </c>
      <c r="GK22" s="1319">
        <v>327085</v>
      </c>
      <c r="GL22" s="1392">
        <f t="shared" si="307"/>
        <v>11207</v>
      </c>
      <c r="GM22" s="1310">
        <f>GN22-GO22</f>
        <v>15760</v>
      </c>
      <c r="GN22" s="868">
        <f>ROUND(GN$5*GU22/GU$6,0)</f>
        <v>399486</v>
      </c>
      <c r="GO22" s="1248">
        <f>ROUND(GO$5*GS22/GS$6,0)</f>
        <v>383726</v>
      </c>
      <c r="GP22" s="1336">
        <f>ROUND(GP$5*GU22/GU$6,0)</f>
        <v>-863</v>
      </c>
      <c r="GQ22" s="1336">
        <f t="shared" si="367"/>
        <v>12972</v>
      </c>
      <c r="GR22" s="1406">
        <f t="shared" si="341"/>
        <v>-4553</v>
      </c>
      <c r="GS22" s="1748">
        <f>'26R7'!K20</f>
        <v>417002</v>
      </c>
      <c r="GT22" s="1332">
        <f>'26R7'!E20</f>
        <v>60470</v>
      </c>
      <c r="GU22" s="1398">
        <v>417002</v>
      </c>
      <c r="GV22" s="1392">
        <f t="shared" si="309"/>
        <v>-627</v>
      </c>
      <c r="GW22" s="1310">
        <f>GX22-GY22</f>
        <v>3926</v>
      </c>
      <c r="GX22" s="868">
        <f>ROUND(GX$5*HE22/HE$6,0)</f>
        <v>404665</v>
      </c>
      <c r="GY22" s="1248">
        <f>ROUND(GY$5*HC22/HC$6,0)</f>
        <v>400739</v>
      </c>
      <c r="GZ22" s="1336">
        <f>ROUND(GZ$5*HE22/HE$6,0)</f>
        <v>-874</v>
      </c>
      <c r="HA22" s="1336">
        <f t="shared" si="368"/>
        <v>28033</v>
      </c>
      <c r="HB22" s="1406">
        <f t="shared" si="344"/>
        <v>-4553</v>
      </c>
      <c r="HC22" s="1748">
        <f>'27R8'!U20</f>
        <v>405922</v>
      </c>
      <c r="HD22" s="1690">
        <f>'27R8'!O20</f>
        <v>-28959</v>
      </c>
      <c r="HE22" s="1398">
        <v>420433</v>
      </c>
      <c r="HF22" s="1392">
        <f t="shared" si="311"/>
        <v>-1148</v>
      </c>
      <c r="HG22" s="1310">
        <f>HH22-HI22</f>
        <v>3405</v>
      </c>
      <c r="HH22" s="868">
        <f>ROUND(HH$5*HO22/HO$6,0)</f>
        <v>413768</v>
      </c>
      <c r="HI22" s="1248">
        <f>ROUND(HI$5*HM22/HM$6,0)</f>
        <v>410363</v>
      </c>
      <c r="HJ22" s="1336">
        <f>ROUND(HJ$5*HO22/HO$6,0)</f>
        <v>-894</v>
      </c>
      <c r="HK22" s="1336">
        <f t="shared" si="369"/>
        <v>28033</v>
      </c>
      <c r="HL22" s="1406">
        <f t="shared" si="347"/>
        <v>-4553</v>
      </c>
      <c r="HM22" s="1748">
        <f>'28R9'!U20</f>
        <v>405922</v>
      </c>
      <c r="HN22" s="1332">
        <f>'28R9'!O20</f>
        <v>-28959</v>
      </c>
      <c r="HO22" s="1398">
        <v>425318</v>
      </c>
      <c r="HQ22" s="1310">
        <f>市町名目!J21</f>
        <v>232903</v>
      </c>
      <c r="HR22" s="1310">
        <f>市町名目!K21</f>
        <v>228157</v>
      </c>
      <c r="HS22" s="1310">
        <f>市町名目!L21</f>
        <v>233204</v>
      </c>
      <c r="HT22" s="1310">
        <f>市町名目!M21</f>
        <v>237767</v>
      </c>
      <c r="HU22" s="1310">
        <f>市町名目!N21</f>
        <v>252238</v>
      </c>
      <c r="HV22" s="1054">
        <v>290136</v>
      </c>
      <c r="HW22" s="1030">
        <v>343654</v>
      </c>
      <c r="HX22" s="1030">
        <v>420433</v>
      </c>
      <c r="HY22" s="1030">
        <v>425318</v>
      </c>
    </row>
    <row r="23" spans="1:233" ht="12.5">
      <c r="A23" s="1302"/>
      <c r="B23" s="1247" t="s">
        <v>186</v>
      </c>
      <c r="C23" s="856">
        <f>SUM(C24:C28)</f>
        <v>-509187</v>
      </c>
      <c r="D23" s="830">
        <f t="shared" ref="D23:I23" si="372">SUM(D24:D28)</f>
        <v>-527580</v>
      </c>
      <c r="E23" s="830">
        <f>SUM(E24:E28)</f>
        <v>1582110</v>
      </c>
      <c r="F23" s="830">
        <f t="shared" si="372"/>
        <v>2020670</v>
      </c>
      <c r="G23" s="830">
        <f t="shared" si="372"/>
        <v>-2524</v>
      </c>
      <c r="H23" s="830">
        <f t="shared" si="372"/>
        <v>152665</v>
      </c>
      <c r="I23" s="1337">
        <f t="shared" si="372"/>
        <v>18393</v>
      </c>
      <c r="J23" s="1338">
        <f>SUM(J24:J28)</f>
        <v>2367948</v>
      </c>
      <c r="K23" s="1248">
        <f>+'7H18'!E21</f>
        <v>234773</v>
      </c>
      <c r="L23" s="1337">
        <f t="shared" ref="L23:S23" si="373">SUM(L24:L28)</f>
        <v>1858761</v>
      </c>
      <c r="M23" s="856">
        <f t="shared" si="373"/>
        <v>-533464</v>
      </c>
      <c r="N23" s="830">
        <f t="shared" si="373"/>
        <v>-563906</v>
      </c>
      <c r="O23" s="830">
        <f>SUM(O24:O28)</f>
        <v>1679711</v>
      </c>
      <c r="P23" s="830">
        <f t="shared" si="373"/>
        <v>2106177</v>
      </c>
      <c r="Q23" s="830">
        <f t="shared" si="373"/>
        <v>-4025</v>
      </c>
      <c r="R23" s="830">
        <f t="shared" si="373"/>
        <v>156422</v>
      </c>
      <c r="S23" s="1337">
        <f t="shared" si="373"/>
        <v>30442</v>
      </c>
      <c r="T23" s="1338">
        <f>+'8H19'!K21</f>
        <v>2369219</v>
      </c>
      <c r="U23" s="1248">
        <f>+'8H19'!E21</f>
        <v>242577</v>
      </c>
      <c r="V23" s="1337">
        <f t="shared" ref="V23:AC23" si="374">SUM(V24:V28)</f>
        <v>1835755</v>
      </c>
      <c r="W23" s="856">
        <f t="shared" si="374"/>
        <v>-490673</v>
      </c>
      <c r="X23" s="830">
        <f t="shared" si="374"/>
        <v>-516639</v>
      </c>
      <c r="Y23" s="830">
        <f>SUM(Y24:Y28)</f>
        <v>1550606</v>
      </c>
      <c r="Z23" s="830">
        <f t="shared" si="374"/>
        <v>2065574</v>
      </c>
      <c r="AA23" s="830">
        <f t="shared" si="374"/>
        <v>-9979</v>
      </c>
      <c r="AB23" s="830">
        <f t="shared" si="374"/>
        <v>150808</v>
      </c>
      <c r="AC23" s="1337">
        <f t="shared" si="374"/>
        <v>25966</v>
      </c>
      <c r="AD23" s="1338">
        <f>+'9H20'!K21</f>
        <v>2340942</v>
      </c>
      <c r="AE23" s="1248">
        <f>+'9H20'!E21</f>
        <v>252570</v>
      </c>
      <c r="AF23" s="1337">
        <f t="shared" ref="AF23:AM23" si="375">SUM(AF24:AF28)</f>
        <v>1850269</v>
      </c>
      <c r="AG23" s="856">
        <f t="shared" si="375"/>
        <v>-324449</v>
      </c>
      <c r="AH23" s="830">
        <f t="shared" si="375"/>
        <v>-303814</v>
      </c>
      <c r="AI23" s="830">
        <f>SUM(AI24:AI28)</f>
        <v>1383377</v>
      </c>
      <c r="AJ23" s="830">
        <f t="shared" si="375"/>
        <v>1823956</v>
      </c>
      <c r="AK23" s="830">
        <f t="shared" si="375"/>
        <v>1312</v>
      </c>
      <c r="AL23" s="830">
        <f t="shared" si="375"/>
        <v>142390</v>
      </c>
      <c r="AM23" s="1337">
        <f t="shared" si="375"/>
        <v>-20635</v>
      </c>
      <c r="AN23" s="1338">
        <f>+'10H21'!K21</f>
        <v>2221375</v>
      </c>
      <c r="AO23" s="1248">
        <f>+'10H21'!E21</f>
        <v>254490</v>
      </c>
      <c r="AP23" s="1337">
        <f>'10H21'!C21</f>
        <v>1896926</v>
      </c>
      <c r="AQ23" s="856">
        <f t="shared" ref="AQ23:AW23" si="376">SUM(AQ24:AQ28)</f>
        <v>-246290</v>
      </c>
      <c r="AR23" s="830">
        <f t="shared" si="376"/>
        <v>-268763</v>
      </c>
      <c r="AS23" s="830">
        <f>SUM(AS24:AS28)</f>
        <v>1490353</v>
      </c>
      <c r="AT23" s="830">
        <f t="shared" si="376"/>
        <v>1873016</v>
      </c>
      <c r="AU23" s="830">
        <f t="shared" si="376"/>
        <v>-10920</v>
      </c>
      <c r="AV23" s="830">
        <f t="shared" si="376"/>
        <v>151196</v>
      </c>
      <c r="AW23" s="1337">
        <f t="shared" si="376"/>
        <v>22473</v>
      </c>
      <c r="AX23" s="1338">
        <f>+'11H22'!K21</f>
        <v>2228094</v>
      </c>
      <c r="AY23" s="1248">
        <f>+'11H22'!E21</f>
        <v>256372</v>
      </c>
      <c r="AZ23" s="1337">
        <f>'11H22'!C21</f>
        <v>1981804</v>
      </c>
      <c r="BA23" s="856">
        <f t="shared" ref="BA23:BG23" si="377">SUM(BA24:BA28)</f>
        <v>-348053</v>
      </c>
      <c r="BB23" s="830">
        <f t="shared" si="377"/>
        <v>-367013</v>
      </c>
      <c r="BC23" s="830">
        <f>SUM(BC24:BC28)</f>
        <v>1519764</v>
      </c>
      <c r="BD23" s="830">
        <f t="shared" si="377"/>
        <v>1942635</v>
      </c>
      <c r="BE23" s="830">
        <f t="shared" si="377"/>
        <v>-7629</v>
      </c>
      <c r="BF23" s="830">
        <f t="shared" si="377"/>
        <v>152246</v>
      </c>
      <c r="BG23" s="1337">
        <f t="shared" si="377"/>
        <v>18960</v>
      </c>
      <c r="BH23" s="1338">
        <f>+'12H23'!K21</f>
        <v>2264288</v>
      </c>
      <c r="BI23" s="1248">
        <f>+'12H23'!E21</f>
        <v>267129</v>
      </c>
      <c r="BJ23" s="1337">
        <f>'12H23'!C21</f>
        <v>1916235</v>
      </c>
      <c r="BK23" s="856">
        <f t="shared" ref="BK23:BQ23" si="378">SUM(BK24:BK28)</f>
        <v>-359270</v>
      </c>
      <c r="BL23" s="830">
        <f t="shared" si="378"/>
        <v>-391638</v>
      </c>
      <c r="BM23" s="830">
        <f>SUM(BM24:BM28)</f>
        <v>1520631</v>
      </c>
      <c r="BN23" s="830">
        <f t="shared" si="378"/>
        <v>1978741</v>
      </c>
      <c r="BO23" s="830">
        <f t="shared" si="378"/>
        <v>-6320</v>
      </c>
      <c r="BP23" s="830">
        <f t="shared" si="378"/>
        <v>149408</v>
      </c>
      <c r="BQ23" s="1337">
        <f t="shared" si="378"/>
        <v>32368</v>
      </c>
      <c r="BR23" s="1338">
        <f>+'13H24'!K21</f>
        <v>2311109</v>
      </c>
      <c r="BS23" s="1248">
        <f>+'13H24'!E21</f>
        <v>272920</v>
      </c>
      <c r="BT23" s="1337">
        <f>'13H24'!C21</f>
        <v>1951839</v>
      </c>
      <c r="BU23" s="856">
        <f t="shared" ref="BU23:CA23" si="379">SUM(BU24:BU28)</f>
        <v>-435168</v>
      </c>
      <c r="BV23" s="830">
        <f t="shared" si="379"/>
        <v>-462802</v>
      </c>
      <c r="BW23" s="830">
        <f>SUM(BW24:BW28)</f>
        <v>1536478</v>
      </c>
      <c r="BX23" s="830">
        <f t="shared" si="379"/>
        <v>2057218</v>
      </c>
      <c r="BY23" s="830">
        <f t="shared" si="379"/>
        <v>-6333</v>
      </c>
      <c r="BZ23" s="830">
        <f t="shared" si="379"/>
        <v>148001</v>
      </c>
      <c r="CA23" s="1337">
        <f t="shared" si="379"/>
        <v>27634</v>
      </c>
      <c r="CB23" s="1338">
        <f>+'14H25'!K21</f>
        <v>2404204</v>
      </c>
      <c r="CC23" s="1248">
        <f>+'14H25'!E21</f>
        <v>281281</v>
      </c>
      <c r="CD23" s="1337">
        <f>'14H25'!C21</f>
        <v>1969036</v>
      </c>
      <c r="CE23" s="856">
        <f t="shared" ref="CE23:CK23" si="380">SUM(CE24:CE28)</f>
        <v>-479503</v>
      </c>
      <c r="CF23" s="830">
        <f t="shared" si="380"/>
        <v>-458290</v>
      </c>
      <c r="CG23" s="830">
        <f>SUM(CG24:CG28)</f>
        <v>1570630</v>
      </c>
      <c r="CH23" s="830">
        <f t="shared" si="380"/>
        <v>2088446</v>
      </c>
      <c r="CI23" s="830">
        <f t="shared" si="380"/>
        <v>-6832</v>
      </c>
      <c r="CJ23" s="830">
        <f t="shared" si="380"/>
        <v>150612</v>
      </c>
      <c r="CK23" s="1337">
        <f t="shared" si="380"/>
        <v>-21213</v>
      </c>
      <c r="CL23" s="1338">
        <f>+'15H26'!K21</f>
        <v>2429668</v>
      </c>
      <c r="CM23" s="1248">
        <f>+'15H26'!E21</f>
        <v>287424</v>
      </c>
      <c r="CN23" s="1337">
        <f>'15H26'!C21</f>
        <v>1950165</v>
      </c>
      <c r="CO23" s="856">
        <f t="shared" ref="CO23:CU23" si="381">SUM(CO24:CO28)</f>
        <v>-418143</v>
      </c>
      <c r="CP23" s="830">
        <f t="shared" si="381"/>
        <v>-441430</v>
      </c>
      <c r="CQ23" s="830">
        <f>SUM(CQ24:CQ28)</f>
        <v>1592124</v>
      </c>
      <c r="CR23" s="830">
        <f t="shared" si="381"/>
        <v>2054847</v>
      </c>
      <c r="CS23" s="830">
        <f t="shared" si="381"/>
        <v>-7176</v>
      </c>
      <c r="CT23" s="830">
        <f t="shared" si="381"/>
        <v>151832</v>
      </c>
      <c r="CU23" s="1337">
        <f t="shared" si="381"/>
        <v>23287</v>
      </c>
      <c r="CV23" s="1338">
        <f>+'16H27'!K21</f>
        <v>2471752</v>
      </c>
      <c r="CW23" s="1248">
        <f>+'16H27'!E21</f>
        <v>298556</v>
      </c>
      <c r="CX23" s="1337">
        <f>'16H27'!C21</f>
        <v>2053609</v>
      </c>
      <c r="CY23" s="856">
        <f t="shared" ref="CY23:DE23" si="382">SUM(CY24:CY28)</f>
        <v>-280053</v>
      </c>
      <c r="CZ23" s="830">
        <f t="shared" si="382"/>
        <v>-278280</v>
      </c>
      <c r="DA23" s="830">
        <f>SUM(DA24:DA28)</f>
        <v>1602249</v>
      </c>
      <c r="DB23" s="830">
        <f t="shared" si="382"/>
        <v>1959854</v>
      </c>
      <c r="DC23" s="830">
        <f t="shared" si="382"/>
        <v>-6770</v>
      </c>
      <c r="DD23" s="830">
        <f t="shared" si="382"/>
        <v>157098</v>
      </c>
      <c r="DE23" s="1337">
        <f t="shared" si="382"/>
        <v>-1773</v>
      </c>
      <c r="DF23" s="1338">
        <f>+'17H28'!K21</f>
        <v>2423454</v>
      </c>
      <c r="DG23" s="1248">
        <f>+'17H28'!E21</f>
        <v>305510</v>
      </c>
      <c r="DH23" s="1337">
        <f>'17H28'!C21</f>
        <v>2143401</v>
      </c>
      <c r="DI23" s="856">
        <f t="shared" ref="DI23:DO23" si="383">SUM(DI24:DI28)</f>
        <v>-333091</v>
      </c>
      <c r="DJ23" s="830">
        <f t="shared" si="383"/>
        <v>-257053</v>
      </c>
      <c r="DK23" s="830">
        <f>SUM(DK24:DK28)</f>
        <v>1650208</v>
      </c>
      <c r="DL23" s="830">
        <f t="shared" si="383"/>
        <v>2032141</v>
      </c>
      <c r="DM23" s="830">
        <f t="shared" si="383"/>
        <v>-5265</v>
      </c>
      <c r="DN23" s="830">
        <f t="shared" si="383"/>
        <v>133810</v>
      </c>
      <c r="DO23" s="1337">
        <f t="shared" si="383"/>
        <v>-76038</v>
      </c>
      <c r="DP23" s="1338">
        <f>+'18H29'!K21</f>
        <v>2448359</v>
      </c>
      <c r="DQ23" s="1248">
        <f>+'18H29'!E21</f>
        <v>290415</v>
      </c>
      <c r="DR23" s="1337">
        <f>+'18H29'!C21</f>
        <v>2115268</v>
      </c>
      <c r="DS23" s="856">
        <f t="shared" ref="DS23:DY23" si="384">SUM(DS24:DS28)</f>
        <v>-339078</v>
      </c>
      <c r="DT23" s="830">
        <f t="shared" si="384"/>
        <v>-223207</v>
      </c>
      <c r="DU23" s="830">
        <f>SUM(DU24:DU28)</f>
        <v>1665201</v>
      </c>
      <c r="DV23" s="830">
        <f t="shared" si="384"/>
        <v>2083751</v>
      </c>
      <c r="DW23" s="830">
        <f t="shared" si="384"/>
        <v>-5429</v>
      </c>
      <c r="DX23" s="830">
        <f t="shared" si="384"/>
        <v>135526</v>
      </c>
      <c r="DY23" s="1337">
        <f t="shared" si="384"/>
        <v>-115871</v>
      </c>
      <c r="DZ23" s="1338">
        <f>+'19H30'!K21</f>
        <v>2446861</v>
      </c>
      <c r="EA23" s="1248">
        <f>+'19H30'!E21</f>
        <v>287876</v>
      </c>
      <c r="EB23" s="1337">
        <f>+'19H30'!C21</f>
        <v>2107783</v>
      </c>
      <c r="EC23" s="856">
        <f t="shared" ref="EC23:EI23" si="385">SUM(EC24:EC28)</f>
        <v>-433903</v>
      </c>
      <c r="ED23" s="830">
        <f t="shared" si="385"/>
        <v>-273040</v>
      </c>
      <c r="EE23" s="830">
        <f>SUM(EE24:EE28)</f>
        <v>1604527</v>
      </c>
      <c r="EF23" s="830">
        <f t="shared" si="385"/>
        <v>2099268</v>
      </c>
      <c r="EG23" s="830">
        <f t="shared" si="385"/>
        <v>-5013</v>
      </c>
      <c r="EH23" s="830">
        <f t="shared" si="385"/>
        <v>138163</v>
      </c>
      <c r="EI23" s="1337">
        <f t="shared" si="385"/>
        <v>-160863</v>
      </c>
      <c r="EJ23" s="1338">
        <f>+'20R1'!K21</f>
        <v>2506267</v>
      </c>
      <c r="EK23" s="1248">
        <f>+'20R1'!E21</f>
        <v>301484</v>
      </c>
      <c r="EL23" s="1337">
        <f>+'20R1'!C21</f>
        <v>2072364</v>
      </c>
      <c r="EM23" s="856">
        <f t="shared" ref="EM23" si="386">SUM(EM24:EM28)</f>
        <v>-305765</v>
      </c>
      <c r="EN23" s="830">
        <f t="shared" ref="EN23" si="387">SUM(EN24:EN28)</f>
        <v>-268280</v>
      </c>
      <c r="EO23" s="830">
        <f>SUM(EO24:EO28)</f>
        <v>1470218</v>
      </c>
      <c r="EP23" s="830">
        <f t="shared" ref="EP23:EU23" si="388">SUM(EP24:EP28)</f>
        <v>1887851</v>
      </c>
      <c r="EQ23" s="1336">
        <f t="shared" si="388"/>
        <v>-3851</v>
      </c>
      <c r="ER23" s="1336">
        <f t="shared" si="388"/>
        <v>136634</v>
      </c>
      <c r="ES23" s="850">
        <f t="shared" si="388"/>
        <v>-37485</v>
      </c>
      <c r="ET23" s="1338">
        <f t="shared" si="388"/>
        <v>2352987</v>
      </c>
      <c r="EU23" s="830">
        <f t="shared" si="388"/>
        <v>301527</v>
      </c>
      <c r="EV23" s="1317">
        <f>+'21R2'!C21</f>
        <v>2047222</v>
      </c>
      <c r="EW23" s="1392">
        <f t="shared" si="298"/>
        <v>-446492</v>
      </c>
      <c r="EX23" s="1393">
        <f t="shared" ref="EX23:FC23" si="389">SUM(EX24:EX28)</f>
        <v>-403421</v>
      </c>
      <c r="EY23" s="1393">
        <f t="shared" si="389"/>
        <v>1735442</v>
      </c>
      <c r="EZ23" s="1393">
        <f t="shared" si="389"/>
        <v>2138863</v>
      </c>
      <c r="FA23" s="1393">
        <f t="shared" si="389"/>
        <v>-2285</v>
      </c>
      <c r="FB23" s="1393">
        <f t="shared" si="389"/>
        <v>138874</v>
      </c>
      <c r="FC23" s="1693">
        <f t="shared" si="389"/>
        <v>-43071</v>
      </c>
      <c r="FD23" s="1414">
        <f>'22R3'!K21</f>
        <v>2472523</v>
      </c>
      <c r="FE23" s="1310">
        <f>'22R3'!E21</f>
        <v>315253</v>
      </c>
      <c r="FF23" s="1690">
        <f>'22R3'!C21</f>
        <v>2206039</v>
      </c>
      <c r="FG23" s="1392">
        <f t="shared" si="300"/>
        <v>-706606</v>
      </c>
      <c r="FH23" s="1393">
        <f t="shared" ref="FH23" si="390">SUM(FH24:FH28)</f>
        <v>-663535</v>
      </c>
      <c r="FI23" s="830">
        <f>SUM(FI24:FI28)</f>
        <v>1839854</v>
      </c>
      <c r="FJ23" s="830">
        <f t="shared" ref="FJ23:FL23" si="391">SUM(FJ24:FJ28)</f>
        <v>2503389</v>
      </c>
      <c r="FK23" s="1336">
        <f t="shared" si="391"/>
        <v>-4120</v>
      </c>
      <c r="FL23" s="1336">
        <f t="shared" si="391"/>
        <v>145688</v>
      </c>
      <c r="FM23" s="1398">
        <f t="shared" si="302"/>
        <v>-43071</v>
      </c>
      <c r="FN23" s="1748">
        <f>'23R4'!K21</f>
        <v>2698171</v>
      </c>
      <c r="FO23" s="1332">
        <f>'23R4'!E21</f>
        <v>319106</v>
      </c>
      <c r="FP23" s="1690">
        <f>'23R4'!C21</f>
        <v>2267467</v>
      </c>
      <c r="FQ23" s="1310"/>
      <c r="FR23" s="1392">
        <f t="shared" si="303"/>
        <v>-111371</v>
      </c>
      <c r="FS23" s="1393">
        <f t="shared" ref="FS23" si="392">SUM(FS24:FS28)</f>
        <v>-68300</v>
      </c>
      <c r="FT23" s="830">
        <f>SUM(FT24:FT28)</f>
        <v>2276580</v>
      </c>
      <c r="FU23" s="830">
        <f t="shared" ref="FU23:FW23" si="393">SUM(FU24:FU28)</f>
        <v>2344880</v>
      </c>
      <c r="FV23" s="1336">
        <f t="shared" si="393"/>
        <v>-5016</v>
      </c>
      <c r="FW23" s="1336">
        <f t="shared" si="393"/>
        <v>150012</v>
      </c>
      <c r="FX23" s="1398">
        <f t="shared" si="335"/>
        <v>-43071</v>
      </c>
      <c r="FY23" s="1332">
        <f>'24R5'!K21</f>
        <v>2567482</v>
      </c>
      <c r="FZ23" s="1332">
        <f>'24R5'!E21</f>
        <v>328471</v>
      </c>
      <c r="GA23" s="1319">
        <v>2368864</v>
      </c>
      <c r="GB23" s="1392">
        <f t="shared" si="305"/>
        <v>-483005</v>
      </c>
      <c r="GC23" s="1393">
        <f t="shared" ref="GC23" si="394">SUM(GC24:GC28)</f>
        <v>-439934</v>
      </c>
      <c r="GD23" s="830">
        <f>SUM(GD24:GD28)</f>
        <v>2433409</v>
      </c>
      <c r="GE23" s="830">
        <f t="shared" ref="GE23:GG23" si="395">SUM(GE24:GE28)</f>
        <v>2873343</v>
      </c>
      <c r="GF23" s="1336">
        <f t="shared" si="395"/>
        <v>-5247</v>
      </c>
      <c r="GG23" s="1336">
        <f t="shared" si="395"/>
        <v>76107</v>
      </c>
      <c r="GH23" s="1398">
        <f t="shared" si="338"/>
        <v>-43071</v>
      </c>
      <c r="GI23" s="1332">
        <f>'25R6'!K21</f>
        <v>3100459</v>
      </c>
      <c r="GJ23" s="1332">
        <f>'25R6'!E21</f>
        <v>339629</v>
      </c>
      <c r="GK23" s="1319">
        <v>2368864</v>
      </c>
      <c r="GL23" s="1392">
        <f t="shared" si="307"/>
        <v>72527</v>
      </c>
      <c r="GM23" s="1393">
        <f t="shared" ref="GM23" si="396">SUM(GM24:GM28)</f>
        <v>115598</v>
      </c>
      <c r="GN23" s="830">
        <f>SUM(GN24:GN28)</f>
        <v>2930239</v>
      </c>
      <c r="GO23" s="830">
        <f t="shared" ref="GO23:GQ23" si="397">SUM(GO24:GO28)</f>
        <v>2814641</v>
      </c>
      <c r="GP23" s="1336">
        <f t="shared" si="397"/>
        <v>-6329</v>
      </c>
      <c r="GQ23" s="1336">
        <f t="shared" si="397"/>
        <v>75857</v>
      </c>
      <c r="GR23" s="1406">
        <f t="shared" si="341"/>
        <v>-43071</v>
      </c>
      <c r="GS23" s="1748">
        <f>'26R7'!K21</f>
        <v>3058719</v>
      </c>
      <c r="GT23" s="1332">
        <f>'26R7'!E21</f>
        <v>353613</v>
      </c>
      <c r="GU23" s="1398">
        <v>3058719</v>
      </c>
      <c r="GV23" s="1392">
        <f t="shared" si="309"/>
        <v>239797</v>
      </c>
      <c r="GW23" s="1393">
        <f t="shared" ref="GW23" si="398">SUM(GW24:GW28)</f>
        <v>282868</v>
      </c>
      <c r="GX23" s="830">
        <f>SUM(GX24:GX28)</f>
        <v>3012482</v>
      </c>
      <c r="GY23" s="830">
        <f t="shared" ref="GY23:HA23" si="399">SUM(GY24:GY28)</f>
        <v>2729614</v>
      </c>
      <c r="GZ23" s="1336">
        <f t="shared" si="399"/>
        <v>-6507</v>
      </c>
      <c r="HA23" s="1336">
        <f t="shared" si="399"/>
        <v>108697</v>
      </c>
      <c r="HB23" s="1406">
        <f t="shared" si="344"/>
        <v>-43071</v>
      </c>
      <c r="HC23" s="1748">
        <f>'27R8'!U21</f>
        <v>2764914</v>
      </c>
      <c r="HD23" s="1690">
        <f>'27R8'!O21</f>
        <v>-112288</v>
      </c>
      <c r="HE23" s="1398">
        <v>3129866</v>
      </c>
      <c r="HF23" s="1392">
        <f t="shared" si="311"/>
        <v>289403</v>
      </c>
      <c r="HG23" s="1393">
        <f t="shared" ref="HG23" si="400">SUM(HG24:HG28)</f>
        <v>332474</v>
      </c>
      <c r="HH23" s="830">
        <f>SUM(HH24:HH28)</f>
        <v>3127636</v>
      </c>
      <c r="HI23" s="830">
        <f t="shared" ref="HI23:HK23" si="401">SUM(HI24:HI28)</f>
        <v>2795162</v>
      </c>
      <c r="HJ23" s="1336">
        <f t="shared" si="401"/>
        <v>-6756</v>
      </c>
      <c r="HK23" s="1336">
        <f t="shared" si="401"/>
        <v>108697</v>
      </c>
      <c r="HL23" s="1406">
        <f t="shared" si="347"/>
        <v>-43071</v>
      </c>
      <c r="HM23" s="1748">
        <f>'28R9'!U21</f>
        <v>2764914</v>
      </c>
      <c r="HN23" s="1332">
        <f>'28R9'!O21</f>
        <v>-112288</v>
      </c>
      <c r="HO23" s="1398">
        <v>3214943</v>
      </c>
      <c r="HP23" s="830"/>
      <c r="HQ23" s="1310">
        <f>市町名目!J22</f>
        <v>2072364</v>
      </c>
      <c r="HR23" s="1310">
        <f>市町名目!K22</f>
        <v>2047222</v>
      </c>
      <c r="HS23" s="1310">
        <f>市町名目!L22</f>
        <v>2206039</v>
      </c>
      <c r="HT23" s="1310">
        <f>市町名目!M22</f>
        <v>2267467</v>
      </c>
      <c r="HU23" s="1310">
        <f>市町名目!N22</f>
        <v>2397898</v>
      </c>
      <c r="HV23" s="1333">
        <v>2291116</v>
      </c>
      <c r="HW23" s="1725">
        <v>2633402</v>
      </c>
      <c r="HX23" s="1725">
        <v>3129866</v>
      </c>
      <c r="HY23" s="1725">
        <v>3214943</v>
      </c>
    </row>
    <row r="24" spans="1:233" ht="12.5">
      <c r="A24" s="1334">
        <v>207</v>
      </c>
      <c r="B24" s="1335" t="s">
        <v>187</v>
      </c>
      <c r="C24" s="1316">
        <f>+L24-J24</f>
        <v>-47865</v>
      </c>
      <c r="D24" s="1248">
        <f>C24-I24</f>
        <v>-54268</v>
      </c>
      <c r="E24" s="850">
        <f>ROUND(E$5*L24/L$6,0)</f>
        <v>550785</v>
      </c>
      <c r="F24" s="1248">
        <f>ROUND(F$5*J24/J$6,0)</f>
        <v>593040</v>
      </c>
      <c r="G24" s="830">
        <f>ROUND(G$5*L24/L$6,0)</f>
        <v>-879</v>
      </c>
      <c r="H24" s="830">
        <f t="shared" ref="H24:I28" si="402">ROUND(H$5*K24/K$6,0)</f>
        <v>40988</v>
      </c>
      <c r="I24" s="1317">
        <f t="shared" si="402"/>
        <v>6403</v>
      </c>
      <c r="J24" s="1318">
        <f>'7H18'!K22</f>
        <v>694961</v>
      </c>
      <c r="K24" s="1248">
        <f>+'7H18'!E22</f>
        <v>63033</v>
      </c>
      <c r="L24" s="1317">
        <f>'7H18'!C22</f>
        <v>647096</v>
      </c>
      <c r="M24" s="1316">
        <f>+V24-T24</f>
        <v>-40620</v>
      </c>
      <c r="N24" s="1248">
        <f>M24-S24</f>
        <v>-51358</v>
      </c>
      <c r="O24" s="850">
        <f>ROUND(O$5*V24/V$6,0)</f>
        <v>592484</v>
      </c>
      <c r="P24" s="1248">
        <f>ROUND(P$5*T24/T$6,0)</f>
        <v>611744</v>
      </c>
      <c r="Q24" s="830">
        <f>ROUND(Q$5*V24/V$6,0)</f>
        <v>-1420</v>
      </c>
      <c r="R24" s="830">
        <f t="shared" ref="R24:S28" si="403">ROUND(R$5*U24/U$6,0)</f>
        <v>43071</v>
      </c>
      <c r="S24" s="1317">
        <f t="shared" si="403"/>
        <v>10738</v>
      </c>
      <c r="T24" s="1318">
        <f>+'8H19'!K22</f>
        <v>688145</v>
      </c>
      <c r="U24" s="1248">
        <f>+'8H19'!E22</f>
        <v>66794</v>
      </c>
      <c r="V24" s="1317">
        <f>'8H19'!C22</f>
        <v>647525</v>
      </c>
      <c r="W24" s="1316">
        <f>+AF24-AD24</f>
        <v>-43652</v>
      </c>
      <c r="X24" s="1248">
        <f>W24-AC24</f>
        <v>-52430</v>
      </c>
      <c r="Y24" s="850">
        <f>ROUND(Y$5*AF24/AF$6,0)</f>
        <v>524195</v>
      </c>
      <c r="Z24" s="1248">
        <f>ROUND(Z$5*AD24/AD$6,0)</f>
        <v>590437</v>
      </c>
      <c r="AA24" s="830">
        <f>ROUND(AA$5*AF24/AF$6,0)</f>
        <v>-3373</v>
      </c>
      <c r="AB24" s="830">
        <f t="shared" ref="AB24:AC28" si="404">ROUND(AB$5*AE24/AE$6,0)</f>
        <v>40930</v>
      </c>
      <c r="AC24" s="1317">
        <f t="shared" si="404"/>
        <v>8778</v>
      </c>
      <c r="AD24" s="1318">
        <f>+'9H20'!K22</f>
        <v>669150</v>
      </c>
      <c r="AE24" s="1248">
        <f>+'9H20'!E22</f>
        <v>68548</v>
      </c>
      <c r="AF24" s="1317">
        <f>'9H20'!C22</f>
        <v>625498</v>
      </c>
      <c r="AG24" s="1316">
        <f>+AP24-AN24</f>
        <v>-25238</v>
      </c>
      <c r="AH24" s="1248">
        <f>AG24-AM24</f>
        <v>-18614</v>
      </c>
      <c r="AI24" s="850">
        <f>ROUND(AI$5*AP24/AP$6,0)</f>
        <v>444067</v>
      </c>
      <c r="AJ24" s="1248">
        <f>ROUND(AJ$5*AN24/AN$6,0)</f>
        <v>520700</v>
      </c>
      <c r="AK24" s="830">
        <f>ROUND(AK$5*AP24/AP$6,0)</f>
        <v>421</v>
      </c>
      <c r="AL24" s="830">
        <f t="shared" ref="AL24:AM28" si="405">ROUND(AL$5*AO24/AO$6,0)</f>
        <v>38050</v>
      </c>
      <c r="AM24" s="1317">
        <f t="shared" si="405"/>
        <v>-6624</v>
      </c>
      <c r="AN24" s="1318">
        <f>+'10H21'!K22</f>
        <v>634155</v>
      </c>
      <c r="AO24" s="1248">
        <f>+'10H21'!E22</f>
        <v>68006</v>
      </c>
      <c r="AP24" s="1317">
        <f>'10H21'!C22</f>
        <v>608917</v>
      </c>
      <c r="AQ24" s="1316">
        <f>+AZ24-AX24</f>
        <v>21757</v>
      </c>
      <c r="AR24" s="1248">
        <f>AQ24-AW24</f>
        <v>14395</v>
      </c>
      <c r="AS24" s="850">
        <f>ROUND(AS$5*AZ24/AZ$6,0)</f>
        <v>488235</v>
      </c>
      <c r="AT24" s="1248">
        <f>ROUND(AT$5*AX24/AX$6,0)</f>
        <v>527479</v>
      </c>
      <c r="AU24" s="830">
        <f>ROUND(AU$5*AZ24/AZ$6,0)</f>
        <v>-3577</v>
      </c>
      <c r="AV24" s="830">
        <f t="shared" ref="AV24:AW28" si="406">ROUND(AV$5*AY24/AY$6,0)</f>
        <v>40555</v>
      </c>
      <c r="AW24" s="1317">
        <f t="shared" si="406"/>
        <v>7362</v>
      </c>
      <c r="AX24" s="1318">
        <f>+'11H22'!K22</f>
        <v>627476</v>
      </c>
      <c r="AY24" s="1248">
        <f>+'11H22'!E22</f>
        <v>68766</v>
      </c>
      <c r="AZ24" s="1317">
        <f>'11H22'!C22</f>
        <v>649233</v>
      </c>
      <c r="BA24" s="1316">
        <f>+BJ24-BH24</f>
        <v>-17489</v>
      </c>
      <c r="BB24" s="1248">
        <f>BA24-BG24</f>
        <v>-23816</v>
      </c>
      <c r="BC24" s="850">
        <f>ROUND(BC$5*BJ24/BJ$6,0)</f>
        <v>507147</v>
      </c>
      <c r="BD24" s="1248">
        <f>ROUND(BD$5*BH24/BH$6,0)</f>
        <v>563618</v>
      </c>
      <c r="BE24" s="830">
        <f>ROUND(BE$5*BJ24/BJ$6,0)</f>
        <v>-2546</v>
      </c>
      <c r="BF24" s="830">
        <f t="shared" ref="BF24:BG28" si="407">ROUND(BF$5*BI24/BI$6,0)</f>
        <v>40140</v>
      </c>
      <c r="BG24" s="1317">
        <f t="shared" si="407"/>
        <v>6327</v>
      </c>
      <c r="BH24" s="1318">
        <f>+'12H23'!K22</f>
        <v>656939</v>
      </c>
      <c r="BI24" s="1248">
        <f>+'12H23'!E22</f>
        <v>70429</v>
      </c>
      <c r="BJ24" s="1317">
        <f>'12H23'!C22</f>
        <v>639450</v>
      </c>
      <c r="BK24" s="1316">
        <f>+BT24-BR24</f>
        <v>-10625</v>
      </c>
      <c r="BL24" s="1248">
        <f>BK24-BQ24</f>
        <v>-21182</v>
      </c>
      <c r="BM24" s="850">
        <f>ROUND(BM$5*BT24/BT$6,0)</f>
        <v>495977</v>
      </c>
      <c r="BN24" s="1248">
        <f>ROUND(BN$5*BR24/BR$6,0)</f>
        <v>554164</v>
      </c>
      <c r="BO24" s="830">
        <f>ROUND(BO$5*BT24/BT$6,0)</f>
        <v>-2061</v>
      </c>
      <c r="BP24" s="830">
        <f t="shared" ref="BP24:BQ28" si="408">ROUND(BP$5*BS24/BS$6,0)</f>
        <v>38880</v>
      </c>
      <c r="BQ24" s="1317">
        <f t="shared" si="408"/>
        <v>10557</v>
      </c>
      <c r="BR24" s="1318">
        <f>+'13H24'!K22</f>
        <v>647247</v>
      </c>
      <c r="BS24" s="1248">
        <f>+'13H24'!E22</f>
        <v>71021</v>
      </c>
      <c r="BT24" s="1317">
        <f>'13H24'!C22</f>
        <v>636622</v>
      </c>
      <c r="BU24" s="1316">
        <f>+CD24-CB24</f>
        <v>-26065</v>
      </c>
      <c r="BV24" s="1248">
        <f>BU24-CA24</f>
        <v>-35480</v>
      </c>
      <c r="BW24" s="850">
        <f>ROUND(BW$5*CD24/CD$6,0)</f>
        <v>523477</v>
      </c>
      <c r="BX24" s="1248">
        <f>ROUND(BX$5*CB24/CB$6,0)</f>
        <v>596332</v>
      </c>
      <c r="BY24" s="830">
        <f>ROUND(BY$5*CD24/CD$6,0)</f>
        <v>-2158</v>
      </c>
      <c r="BZ24" s="830">
        <f t="shared" ref="BZ24:CA28" si="409">ROUND(BZ$5*CC24/CC$6,0)</f>
        <v>38601</v>
      </c>
      <c r="CA24" s="1317">
        <f t="shared" si="409"/>
        <v>9415</v>
      </c>
      <c r="CB24" s="1318">
        <f>+'14H25'!K22</f>
        <v>696914</v>
      </c>
      <c r="CC24" s="1248">
        <f>+'14H25'!E22</f>
        <v>73363</v>
      </c>
      <c r="CD24" s="1317">
        <f>'14H25'!C22</f>
        <v>670849</v>
      </c>
      <c r="CE24" s="1316">
        <f>+CN24-CL24</f>
        <v>-4258</v>
      </c>
      <c r="CF24" s="1248">
        <f>CE24-CK24</f>
        <v>3105</v>
      </c>
      <c r="CG24" s="850">
        <f>ROUND(CG$5*CN24/CN$6,0)</f>
        <v>545154</v>
      </c>
      <c r="CH24" s="1248">
        <f>ROUND(CH$5*CL24/CL$6,0)</f>
        <v>585486</v>
      </c>
      <c r="CI24" s="830">
        <f>ROUND(CI$5*CN24/CN$6,0)</f>
        <v>-2371</v>
      </c>
      <c r="CJ24" s="830">
        <f t="shared" ref="CJ24:CK28" si="410">ROUND(CJ$5*CM24/CM$6,0)</f>
        <v>38564</v>
      </c>
      <c r="CK24" s="1317">
        <f t="shared" si="410"/>
        <v>-7363</v>
      </c>
      <c r="CL24" s="1318">
        <f>+'15H26'!K22</f>
        <v>681146</v>
      </c>
      <c r="CM24" s="1248">
        <f>+'15H26'!E22</f>
        <v>73595</v>
      </c>
      <c r="CN24" s="1317">
        <f>'15H26'!C22</f>
        <v>676888</v>
      </c>
      <c r="CO24" s="1316">
        <f>+CX24-CV24</f>
        <v>-17646</v>
      </c>
      <c r="CP24" s="1248">
        <f>CO24-CU24</f>
        <v>-25525</v>
      </c>
      <c r="CQ24" s="850">
        <f>ROUND(CQ$5*CX24/CX$6,0)</f>
        <v>538662</v>
      </c>
      <c r="CR24" s="1248">
        <f>ROUND(CR$5*CV24/CV$6,0)</f>
        <v>592276</v>
      </c>
      <c r="CS24" s="830">
        <f>ROUND(CS$5*CX24/CX$6,0)</f>
        <v>-2428</v>
      </c>
      <c r="CT24" s="830">
        <f t="shared" ref="CT24:CU28" si="411">ROUND(CT$5*CW24/CW$6,0)</f>
        <v>39181</v>
      </c>
      <c r="CU24" s="1317">
        <f t="shared" si="411"/>
        <v>7879</v>
      </c>
      <c r="CV24" s="1318">
        <f>+'16H27'!K22</f>
        <v>712442</v>
      </c>
      <c r="CW24" s="1248">
        <f>+'16H27'!E22</f>
        <v>77044</v>
      </c>
      <c r="CX24" s="1317">
        <f>'16H27'!C22</f>
        <v>694796</v>
      </c>
      <c r="CY24" s="1316">
        <f>+DH24-DF24</f>
        <v>23375</v>
      </c>
      <c r="CZ24" s="1248">
        <f>CY24-DE24</f>
        <v>23979</v>
      </c>
      <c r="DA24" s="850">
        <f>ROUND(DA$5*DH24/DH$6,0)</f>
        <v>546087</v>
      </c>
      <c r="DB24" s="1248">
        <f>ROUND(DB$5*DF24/DF$6,0)</f>
        <v>571874</v>
      </c>
      <c r="DC24" s="830">
        <f>ROUND(DC$5*DH24/DH$6,0)</f>
        <v>-2307</v>
      </c>
      <c r="DD24" s="830">
        <f t="shared" ref="DD24:DE28" si="412">ROUND(DD$5*DG24/DG$6,0)</f>
        <v>40236</v>
      </c>
      <c r="DE24" s="1317">
        <f t="shared" si="412"/>
        <v>-604</v>
      </c>
      <c r="DF24" s="1318">
        <f>+'17H28'!K22</f>
        <v>707150</v>
      </c>
      <c r="DG24" s="1248">
        <f>+'17H28'!E22</f>
        <v>78247</v>
      </c>
      <c r="DH24" s="1317">
        <f>'17H28'!C22</f>
        <v>730525</v>
      </c>
      <c r="DI24" s="1316">
        <f>+DR24-DP24</f>
        <v>5396</v>
      </c>
      <c r="DJ24" s="1248">
        <f>DI24-DO24</f>
        <v>30950</v>
      </c>
      <c r="DK24" s="850">
        <f>ROUND(DK$5*DR24/DR$6,0)</f>
        <v>554587</v>
      </c>
      <c r="DL24" s="1248">
        <f>ROUND(DL$5*DP24/DP$6,0)</f>
        <v>585553</v>
      </c>
      <c r="DM24" s="830">
        <f>ROUND(DM$5*DR24/DR$6,0)</f>
        <v>-1769</v>
      </c>
      <c r="DN24" s="830">
        <f t="shared" ref="DN24:DO28" si="413">ROUND(DN$5*DQ24/DQ$6,0)</f>
        <v>35222</v>
      </c>
      <c r="DO24" s="1317">
        <f t="shared" si="413"/>
        <v>-25554</v>
      </c>
      <c r="DP24" s="1318">
        <f>+'18H29'!K22</f>
        <v>705484</v>
      </c>
      <c r="DQ24" s="1248">
        <f>+'18H29'!E22</f>
        <v>76445</v>
      </c>
      <c r="DR24" s="1317">
        <f>+'18H29'!C22</f>
        <v>710880</v>
      </c>
      <c r="DS24" s="1316">
        <f>+EB24-DZ24</f>
        <v>318</v>
      </c>
      <c r="DT24" s="1248">
        <f>DS24-DY24</f>
        <v>39153</v>
      </c>
      <c r="DU24" s="850">
        <f>ROUND(DU$5*EB24/EB$6,0)</f>
        <v>558105</v>
      </c>
      <c r="DV24" s="1248">
        <f>ROUND(DV$5*DZ24/DZ$6,0)</f>
        <v>601335</v>
      </c>
      <c r="DW24" s="830">
        <f>ROUND(DW$5*EB24/EB$6,0)</f>
        <v>-1820</v>
      </c>
      <c r="DX24" s="830">
        <f t="shared" ref="DX24:DY28" si="414">ROUND(DX$5*EA24/EA$6,0)</f>
        <v>35731</v>
      </c>
      <c r="DY24" s="1317">
        <f t="shared" si="414"/>
        <v>-38835</v>
      </c>
      <c r="DZ24" s="1318">
        <f>+'19H30'!K22</f>
        <v>706122</v>
      </c>
      <c r="EA24" s="1248">
        <f>+'19H30'!E22</f>
        <v>75898</v>
      </c>
      <c r="EB24" s="1317">
        <f>+'19H30'!C22</f>
        <v>706440</v>
      </c>
      <c r="EC24" s="1316">
        <f>+EL24-EJ24</f>
        <v>-32436</v>
      </c>
      <c r="ED24" s="1248">
        <f>EC24-EI24</f>
        <v>21863</v>
      </c>
      <c r="EE24" s="850">
        <f>ROUND(EE$5*EL24/EL$6,0)</f>
        <v>541608</v>
      </c>
      <c r="EF24" s="1248">
        <f>ROUND(EF$5*EJ24/EJ$6,0)</f>
        <v>613097</v>
      </c>
      <c r="EG24" s="830">
        <f>ROUND(EG$5*EL24/EL$6,0)</f>
        <v>-1692</v>
      </c>
      <c r="EH24" s="830">
        <f t="shared" ref="EH24:EI28" si="415">ROUND(EH$5*EK24/EK$6,0)</f>
        <v>36831</v>
      </c>
      <c r="EI24" s="1317">
        <f t="shared" si="415"/>
        <v>-54299</v>
      </c>
      <c r="EJ24" s="1318">
        <f>+'20R1'!K22</f>
        <v>731962</v>
      </c>
      <c r="EK24" s="1248">
        <f>+'20R1'!E22</f>
        <v>80368</v>
      </c>
      <c r="EL24" s="1317">
        <f>+'20R1'!C22</f>
        <v>699526</v>
      </c>
      <c r="EM24" s="1316">
        <f>+EV24-ET24</f>
        <v>21910</v>
      </c>
      <c r="EN24" s="1248">
        <f>EM24-ES24</f>
        <v>34884</v>
      </c>
      <c r="EO24" s="850">
        <f>ROUND(EO$5*EV24/EV$6,0)</f>
        <v>508870</v>
      </c>
      <c r="EP24" s="1248">
        <f>ROUND(EP$5*ET24/ET$6,0)</f>
        <v>550932</v>
      </c>
      <c r="EQ24" s="1336">
        <f>ROUND(EQ$5*EV24/EV$6,0)</f>
        <v>-1333</v>
      </c>
      <c r="ER24" s="1336">
        <f t="shared" ref="ER24:ER25" si="416">ROUND(ER$5*EU24/EU$6,0)</f>
        <v>36653</v>
      </c>
      <c r="ES24" s="850">
        <f t="shared" ref="ES24:ES25" si="417">ROUND(ES$5*EV24/EV$6,0)</f>
        <v>-12974</v>
      </c>
      <c r="ET24" s="1331">
        <f>'21R2'!K22</f>
        <v>686672</v>
      </c>
      <c r="EU24" s="1248">
        <f>'21R2'!E22</f>
        <v>80886</v>
      </c>
      <c r="EV24" s="1317">
        <f>+'21R2'!C22</f>
        <v>708582</v>
      </c>
      <c r="EW24" s="1392">
        <f t="shared" si="298"/>
        <v>-40944</v>
      </c>
      <c r="EX24" s="1310">
        <f>EY24-EZ24</f>
        <v>-25716</v>
      </c>
      <c r="EY24" s="850">
        <f>ROUND(EY$5*FF24/FF$6,0)</f>
        <v>613567</v>
      </c>
      <c r="EZ24" s="1248">
        <f>ROUND(EZ$5*FD24/FD$6,0)</f>
        <v>639283</v>
      </c>
      <c r="FA24" s="1336">
        <f>ROUND(FA$5*FF24/FF$6,0)</f>
        <v>-808</v>
      </c>
      <c r="FB24" s="1336">
        <f t="shared" ref="FB24:FB25" si="418">ROUND(FB$5*FE24/FE$6,0)</f>
        <v>36974</v>
      </c>
      <c r="FC24" s="1689">
        <f t="shared" si="363"/>
        <v>-15228</v>
      </c>
      <c r="FD24" s="1414">
        <f>'22R3'!K22</f>
        <v>739010</v>
      </c>
      <c r="FE24" s="1310">
        <f>'22R3'!E22</f>
        <v>83934</v>
      </c>
      <c r="FF24" s="1690">
        <f>'22R3'!C22</f>
        <v>779947</v>
      </c>
      <c r="FG24" s="1392">
        <f t="shared" si="300"/>
        <v>-128005</v>
      </c>
      <c r="FH24" s="1310">
        <f>FI24-FJ24</f>
        <v>-112777</v>
      </c>
      <c r="FI24" s="850">
        <f>ROUND(FI$5*FP24/FP$6,0)</f>
        <v>636047</v>
      </c>
      <c r="FJ24" s="1248">
        <f>ROUND(FJ$5*FN24/FN$6,0)</f>
        <v>748824</v>
      </c>
      <c r="FK24" s="1336">
        <f>ROUND(FK$5*FP24/FP$6,0)</f>
        <v>-1424</v>
      </c>
      <c r="FL24" s="1336">
        <f t="shared" ref="FL24:FL25" si="419">ROUND(FL$5*FO24/FO$6,0)</f>
        <v>39125</v>
      </c>
      <c r="FM24" s="1398">
        <f t="shared" si="302"/>
        <v>-15228</v>
      </c>
      <c r="FN24" s="1748">
        <f>'23R4'!K22</f>
        <v>807088</v>
      </c>
      <c r="FO24" s="1332">
        <f>'23R4'!E22</f>
        <v>85697</v>
      </c>
      <c r="FP24" s="1690">
        <f>'23R4'!C22</f>
        <v>783875</v>
      </c>
      <c r="FQ24" s="1310"/>
      <c r="FR24" s="1392">
        <f t="shared" si="303"/>
        <v>-19402</v>
      </c>
      <c r="FS24" s="1310">
        <f>FT24-FU24</f>
        <v>-4174</v>
      </c>
      <c r="FT24" s="868">
        <f>ROUND(FT$5*GA24/GA$6,0)</f>
        <v>683713</v>
      </c>
      <c r="FU24" s="1248">
        <f>ROUND(FU$5*FY24/FY$6,0)</f>
        <v>687887</v>
      </c>
      <c r="FV24" s="1336">
        <f>ROUND(FV$5*GA24/GA$6,0)</f>
        <v>-1506</v>
      </c>
      <c r="FW24" s="1336">
        <f t="shared" ref="FW24:FW25" si="420">ROUND(FW$5*FZ24/FZ$6,0)</f>
        <v>38793</v>
      </c>
      <c r="FX24" s="1398">
        <f t="shared" si="335"/>
        <v>-15228</v>
      </c>
      <c r="FY24" s="1332">
        <f>'24R5'!K22</f>
        <v>753189</v>
      </c>
      <c r="FZ24" s="1332">
        <f>'24R5'!E22</f>
        <v>84943</v>
      </c>
      <c r="GA24" s="1319">
        <v>711428</v>
      </c>
      <c r="GB24" s="1392">
        <f t="shared" si="305"/>
        <v>-68753</v>
      </c>
      <c r="GC24" s="1310">
        <f>GD24-GE24</f>
        <v>-53525</v>
      </c>
      <c r="GD24" s="868">
        <f>ROUND(GD$5*GK24/GK$6,0)</f>
        <v>730813</v>
      </c>
      <c r="GE24" s="1248">
        <f>ROUND(GE$5*GI24/GI$6,0)</f>
        <v>784338</v>
      </c>
      <c r="GF24" s="1336">
        <f>ROUND(GF$5*GK24/GK$6,0)</f>
        <v>-1576</v>
      </c>
      <c r="GG24" s="1336">
        <f t="shared" ref="GG24:GG25" si="421">ROUND(GG$5*GJ24/GJ$6,0)</f>
        <v>20208</v>
      </c>
      <c r="GH24" s="1398">
        <f t="shared" si="338"/>
        <v>-15228</v>
      </c>
      <c r="GI24" s="1332">
        <f>'25R6'!K22</f>
        <v>846334</v>
      </c>
      <c r="GJ24" s="1332">
        <f>'25R6'!E22</f>
        <v>90179</v>
      </c>
      <c r="GK24" s="1319">
        <v>711428</v>
      </c>
      <c r="GL24" s="1392">
        <f t="shared" si="307"/>
        <v>17977</v>
      </c>
      <c r="GM24" s="1310">
        <f>GN24-GO24</f>
        <v>33205</v>
      </c>
      <c r="GN24" s="868">
        <f>ROUND(GN$5*GU24/GU$6,0)</f>
        <v>841698</v>
      </c>
      <c r="GO24" s="1248">
        <f>ROUND(GO$5*GS24/GS$6,0)</f>
        <v>808493</v>
      </c>
      <c r="GP24" s="1336">
        <f>ROUND(GP$5*GU24/GU$6,0)</f>
        <v>-1818</v>
      </c>
      <c r="GQ24" s="1336">
        <f t="shared" ref="GQ24:GQ25" si="422">ROUND(GQ$5*GT24/GT$6,0)</f>
        <v>20047</v>
      </c>
      <c r="GR24" s="1406">
        <f t="shared" si="341"/>
        <v>-15228</v>
      </c>
      <c r="GS24" s="1748">
        <f>'26R7'!K22</f>
        <v>878603</v>
      </c>
      <c r="GT24" s="1332">
        <f>'26R7'!E22</f>
        <v>93452</v>
      </c>
      <c r="GU24" s="1398">
        <v>878603</v>
      </c>
      <c r="GV24" s="1392">
        <f t="shared" si="309"/>
        <v>43441</v>
      </c>
      <c r="GW24" s="1310">
        <f>GX24-GY24</f>
        <v>58669</v>
      </c>
      <c r="GX24" s="868">
        <f>ROUND(GX$5*HE24/HE$6,0)</f>
        <v>866577</v>
      </c>
      <c r="GY24" s="1248">
        <f>ROUND(GY$5*HC24/HC$6,0)</f>
        <v>807908</v>
      </c>
      <c r="GZ24" s="1336">
        <f>ROUND(GZ$5*HE24/HE$6,0)</f>
        <v>-1872</v>
      </c>
      <c r="HA24" s="1336">
        <f t="shared" ref="HA24:HA25" si="423">ROUND(HA$5*HD24/HD$6,0)</f>
        <v>13035</v>
      </c>
      <c r="HB24" s="1406">
        <f t="shared" si="344"/>
        <v>-15228</v>
      </c>
      <c r="HC24" s="1748">
        <f>'27R8'!U22</f>
        <v>818356</v>
      </c>
      <c r="HD24" s="1690">
        <f>'27R8'!O22</f>
        <v>-13466</v>
      </c>
      <c r="HE24" s="1398">
        <v>900344</v>
      </c>
      <c r="HF24" s="1392">
        <f t="shared" si="311"/>
        <v>60630</v>
      </c>
      <c r="HG24" s="1310">
        <f>HH24-HI24</f>
        <v>75858</v>
      </c>
      <c r="HH24" s="868">
        <f>ROUND(HH$5*HO24/HO$6,0)</f>
        <v>903167</v>
      </c>
      <c r="HI24" s="1248">
        <f>ROUND(HI$5*HM24/HM$6,0)</f>
        <v>827309</v>
      </c>
      <c r="HJ24" s="1336">
        <f>ROUND(HJ$5*HO24/HO$6,0)</f>
        <v>-1951</v>
      </c>
      <c r="HK24" s="1336">
        <f t="shared" ref="HK24:HK25" si="424">ROUND(HK$5*HN24/HN$6,0)</f>
        <v>13035</v>
      </c>
      <c r="HL24" s="1406">
        <f t="shared" si="347"/>
        <v>-15228</v>
      </c>
      <c r="HM24" s="1748">
        <f>'28R9'!U22</f>
        <v>818356</v>
      </c>
      <c r="HN24" s="1332">
        <f>'28R9'!O22</f>
        <v>-13466</v>
      </c>
      <c r="HO24" s="1398">
        <v>928379</v>
      </c>
      <c r="HQ24" s="1310">
        <f>市町名目!J23</f>
        <v>699526</v>
      </c>
      <c r="HR24" s="1310">
        <f>市町名目!K23</f>
        <v>708582</v>
      </c>
      <c r="HS24" s="1310">
        <f>市町名目!L23</f>
        <v>779947</v>
      </c>
      <c r="HT24" s="1310">
        <f>市町名目!M23</f>
        <v>783875</v>
      </c>
      <c r="HU24" s="1310">
        <f>市町名目!N23</f>
        <v>808108</v>
      </c>
      <c r="HV24" s="1054">
        <v>711560</v>
      </c>
      <c r="HW24" s="1030">
        <v>822238</v>
      </c>
      <c r="HX24" s="1030">
        <v>900344</v>
      </c>
      <c r="HY24" s="1030">
        <v>928379</v>
      </c>
    </row>
    <row r="25" spans="1:233" ht="12.5">
      <c r="A25" s="1334">
        <v>214</v>
      </c>
      <c r="B25" s="1335" t="s">
        <v>188</v>
      </c>
      <c r="C25" s="1316">
        <f>+L25-J25</f>
        <v>-279089</v>
      </c>
      <c r="D25" s="1248">
        <f>C25-I25</f>
        <v>-283606</v>
      </c>
      <c r="E25" s="850">
        <f>ROUND(E$5*L25/L$6,0)</f>
        <v>388533</v>
      </c>
      <c r="F25" s="1248">
        <f>ROUND(F$5*J25/J$6,0)</f>
        <v>627686</v>
      </c>
      <c r="G25" s="830">
        <f>ROUND(G$5*L25/L$6,0)</f>
        <v>-620</v>
      </c>
      <c r="H25" s="830">
        <f t="shared" si="402"/>
        <v>46441</v>
      </c>
      <c r="I25" s="1317">
        <f t="shared" si="402"/>
        <v>4517</v>
      </c>
      <c r="J25" s="1318">
        <f>'7H18'!K23</f>
        <v>735562</v>
      </c>
      <c r="K25" s="1248">
        <f>+'7H18'!E23</f>
        <v>71418</v>
      </c>
      <c r="L25" s="1317">
        <f>'7H18'!C23</f>
        <v>456473</v>
      </c>
      <c r="M25" s="1316">
        <f>+V25-T25</f>
        <v>-301904</v>
      </c>
      <c r="N25" s="1248">
        <f>M25-S25</f>
        <v>-309001</v>
      </c>
      <c r="O25" s="850">
        <f>ROUND(O$5*V25/V$6,0)</f>
        <v>391574</v>
      </c>
      <c r="P25" s="1248">
        <f>ROUND(P$5*T25/T$6,0)</f>
        <v>648823</v>
      </c>
      <c r="Q25" s="830">
        <f>ROUND(Q$5*V25/V$6,0)</f>
        <v>-938</v>
      </c>
      <c r="R25" s="830">
        <f t="shared" si="403"/>
        <v>46743</v>
      </c>
      <c r="S25" s="1317">
        <f t="shared" si="403"/>
        <v>7097</v>
      </c>
      <c r="T25" s="1318">
        <f>+'8H19'!K23</f>
        <v>729855</v>
      </c>
      <c r="U25" s="1248">
        <f>+'8H19'!E23</f>
        <v>72489</v>
      </c>
      <c r="V25" s="1317">
        <f>'8H19'!C23</f>
        <v>427951</v>
      </c>
      <c r="W25" s="1316">
        <f>+AF25-AD25</f>
        <v>-281183</v>
      </c>
      <c r="X25" s="1248">
        <f>W25-AC25</f>
        <v>-287427</v>
      </c>
      <c r="Y25" s="850">
        <f>ROUND(Y$5*AF25/AF$6,0)</f>
        <v>372881</v>
      </c>
      <c r="Z25" s="1248">
        <f>ROUND(Z$5*AD25/AD$6,0)</f>
        <v>640710</v>
      </c>
      <c r="AA25" s="830">
        <f>ROUND(AA$5*AF25/AF$6,0)</f>
        <v>-2400</v>
      </c>
      <c r="AB25" s="830">
        <f t="shared" si="404"/>
        <v>45109</v>
      </c>
      <c r="AC25" s="1317">
        <f t="shared" si="404"/>
        <v>6244</v>
      </c>
      <c r="AD25" s="1318">
        <f>+'9H20'!K23</f>
        <v>726125</v>
      </c>
      <c r="AE25" s="1248">
        <f>+'9H20'!E23</f>
        <v>75548</v>
      </c>
      <c r="AF25" s="1317">
        <f>'9H20'!C23</f>
        <v>444942</v>
      </c>
      <c r="AG25" s="1316">
        <f>+AP25-AN25</f>
        <v>-213196</v>
      </c>
      <c r="AH25" s="1248">
        <f>AG25-AM25</f>
        <v>-207930</v>
      </c>
      <c r="AI25" s="850">
        <f>ROUND(AI$5*AP25/AP$6,0)</f>
        <v>353032</v>
      </c>
      <c r="AJ25" s="1248">
        <f>ROUND(AJ$5*AN25/AN$6,0)</f>
        <v>572535</v>
      </c>
      <c r="AK25" s="830">
        <f>ROUND(AK$5*AP25/AP$6,0)</f>
        <v>335</v>
      </c>
      <c r="AL25" s="830">
        <f t="shared" si="405"/>
        <v>43280</v>
      </c>
      <c r="AM25" s="1317">
        <f t="shared" si="405"/>
        <v>-5266</v>
      </c>
      <c r="AN25" s="1318">
        <f>+'10H21'!K23</f>
        <v>697284</v>
      </c>
      <c r="AO25" s="1248">
        <f>+'10H21'!E23</f>
        <v>77353</v>
      </c>
      <c r="AP25" s="1317">
        <f>'10H21'!C23</f>
        <v>484088</v>
      </c>
      <c r="AQ25" s="1316">
        <f>+AZ25-AX25</f>
        <v>-234805</v>
      </c>
      <c r="AR25" s="1248">
        <f>AQ25-AW25</f>
        <v>-240248</v>
      </c>
      <c r="AS25" s="850">
        <f>ROUND(AS$5*AZ25/AZ$6,0)</f>
        <v>360958</v>
      </c>
      <c r="AT25" s="1248">
        <f>ROUND(AT$5*AX25/AX$6,0)</f>
        <v>600878</v>
      </c>
      <c r="AU25" s="830">
        <f>ROUND(AU$5*AZ25/AZ$6,0)</f>
        <v>-2645</v>
      </c>
      <c r="AV25" s="830">
        <f t="shared" si="406"/>
        <v>45374</v>
      </c>
      <c r="AW25" s="1317">
        <f t="shared" si="406"/>
        <v>5443</v>
      </c>
      <c r="AX25" s="1318">
        <f>+'11H22'!K23</f>
        <v>714790</v>
      </c>
      <c r="AY25" s="1248">
        <f>+'11H22'!E23</f>
        <v>76938</v>
      </c>
      <c r="AZ25" s="1317">
        <f>'11H22'!C23</f>
        <v>479985</v>
      </c>
      <c r="BA25" s="1316">
        <f>+BJ25-BH25</f>
        <v>-256853</v>
      </c>
      <c r="BB25" s="1248">
        <f>BA25-BG25</f>
        <v>-261314</v>
      </c>
      <c r="BC25" s="850">
        <f>ROUND(BC$5*BJ25/BJ$6,0)</f>
        <v>357577</v>
      </c>
      <c r="BD25" s="1248">
        <f>ROUND(BD$5*BH25/BH$6,0)</f>
        <v>607179</v>
      </c>
      <c r="BE25" s="830">
        <f>ROUND(BE$5*BJ25/BJ$6,0)</f>
        <v>-1795</v>
      </c>
      <c r="BF25" s="830">
        <f t="shared" si="407"/>
        <v>46623</v>
      </c>
      <c r="BG25" s="1317">
        <f t="shared" si="407"/>
        <v>4461</v>
      </c>
      <c r="BH25" s="1318">
        <f>+'12H23'!K23</f>
        <v>707713</v>
      </c>
      <c r="BI25" s="1248">
        <f>+'12H23'!E23</f>
        <v>81805</v>
      </c>
      <c r="BJ25" s="1317">
        <f>'12H23'!C23</f>
        <v>450860</v>
      </c>
      <c r="BK25" s="1316">
        <f>+BT25-BR25</f>
        <v>-268638</v>
      </c>
      <c r="BL25" s="1248">
        <f>BK25-BQ25</f>
        <v>-276159</v>
      </c>
      <c r="BM25" s="850">
        <f>ROUND(BM$5*BT25/BT$6,0)</f>
        <v>353326</v>
      </c>
      <c r="BN25" s="1248">
        <f>ROUND(BN$5*BR25/BR$6,0)</f>
        <v>618301</v>
      </c>
      <c r="BO25" s="830">
        <f>ROUND(BO$5*BT25/BT$6,0)</f>
        <v>-1469</v>
      </c>
      <c r="BP25" s="830">
        <f t="shared" si="408"/>
        <v>46162</v>
      </c>
      <c r="BQ25" s="1317">
        <f t="shared" si="408"/>
        <v>7521</v>
      </c>
      <c r="BR25" s="1318">
        <f>+'13H24'!K23</f>
        <v>722157</v>
      </c>
      <c r="BS25" s="1248">
        <f>+'13H24'!E23</f>
        <v>84323</v>
      </c>
      <c r="BT25" s="1317">
        <f>'13H24'!C23</f>
        <v>453519</v>
      </c>
      <c r="BU25" s="1316">
        <f>+CD25-CB25</f>
        <v>-292423</v>
      </c>
      <c r="BV25" s="1248">
        <f>BU25-CA25</f>
        <v>-298997</v>
      </c>
      <c r="BW25" s="850">
        <f>ROUND(BW$5*CD25/CD$6,0)</f>
        <v>365526</v>
      </c>
      <c r="BX25" s="1248">
        <f>ROUND(BX$5*CB25/CB$6,0)</f>
        <v>651044</v>
      </c>
      <c r="BY25" s="830">
        <f>ROUND(BY$5*CD25/CD$6,0)</f>
        <v>-1507</v>
      </c>
      <c r="BZ25" s="830">
        <f t="shared" si="409"/>
        <v>46099</v>
      </c>
      <c r="CA25" s="1317">
        <f t="shared" si="409"/>
        <v>6574</v>
      </c>
      <c r="CB25" s="1318">
        <f>+'14H25'!K23</f>
        <v>760854</v>
      </c>
      <c r="CC25" s="1248">
        <f>+'14H25'!E23</f>
        <v>87613</v>
      </c>
      <c r="CD25" s="1317">
        <f>'14H25'!C23</f>
        <v>468431</v>
      </c>
      <c r="CE25" s="1316">
        <f>+CN25-CL25</f>
        <v>-295684</v>
      </c>
      <c r="CF25" s="1248">
        <f>CE25-CK25</f>
        <v>-290614</v>
      </c>
      <c r="CG25" s="850">
        <f>ROUND(CG$5*CN25/CN$6,0)</f>
        <v>375384</v>
      </c>
      <c r="CH25" s="1248">
        <f>ROUND(CH$5*CL25/CL$6,0)</f>
        <v>654794</v>
      </c>
      <c r="CI25" s="830">
        <f>ROUND(CI$5*CN25/CN$6,0)</f>
        <v>-1633</v>
      </c>
      <c r="CJ25" s="830">
        <f t="shared" si="410"/>
        <v>47092</v>
      </c>
      <c r="CK25" s="1317">
        <f t="shared" si="410"/>
        <v>-5070</v>
      </c>
      <c r="CL25" s="1318">
        <f>+'15H26'!K23</f>
        <v>761778</v>
      </c>
      <c r="CM25" s="1248">
        <f>+'15H26'!E23</f>
        <v>89869</v>
      </c>
      <c r="CN25" s="1317">
        <f>'15H26'!C23</f>
        <v>466094</v>
      </c>
      <c r="CO25" s="1316">
        <f>+CX25-CV25</f>
        <v>-280807</v>
      </c>
      <c r="CP25" s="1248">
        <f>CO25-CU25</f>
        <v>-286348</v>
      </c>
      <c r="CQ25" s="850">
        <f>ROUND(CQ$5*CX25/CX$6,0)</f>
        <v>378843</v>
      </c>
      <c r="CR25" s="1248">
        <f>ROUND(CR$5*CV25/CV$6,0)</f>
        <v>639676</v>
      </c>
      <c r="CS25" s="830">
        <f>ROUND(CS$5*CX25/CX$6,0)</f>
        <v>-1708</v>
      </c>
      <c r="CT25" s="830">
        <f t="shared" si="411"/>
        <v>47140</v>
      </c>
      <c r="CU25" s="1317">
        <f t="shared" si="411"/>
        <v>5541</v>
      </c>
      <c r="CV25" s="1318">
        <f>+'16H27'!K23</f>
        <v>769459</v>
      </c>
      <c r="CW25" s="1248">
        <f>+'16H27'!E23</f>
        <v>92694</v>
      </c>
      <c r="CX25" s="1317">
        <f>'16H27'!C23</f>
        <v>488652</v>
      </c>
      <c r="CY25" s="1316">
        <f>+DH25-DF25</f>
        <v>-249142</v>
      </c>
      <c r="CZ25" s="1248">
        <f>CY25-DE25</f>
        <v>-248736</v>
      </c>
      <c r="DA25" s="850">
        <f>ROUND(DA$5*DH25/DH$6,0)</f>
        <v>366682</v>
      </c>
      <c r="DB25" s="1248">
        <f>ROUND(DB$5*DF25/DF$6,0)</f>
        <v>598172</v>
      </c>
      <c r="DC25" s="830">
        <f>ROUND(DC$5*DH25/DH$6,0)</f>
        <v>-1549</v>
      </c>
      <c r="DD25" s="830">
        <f t="shared" si="412"/>
        <v>49455</v>
      </c>
      <c r="DE25" s="1317">
        <f t="shared" si="412"/>
        <v>-406</v>
      </c>
      <c r="DF25" s="1318">
        <f>+'17H28'!K23</f>
        <v>739669</v>
      </c>
      <c r="DG25" s="1248">
        <f>+'17H28'!E23</f>
        <v>96176</v>
      </c>
      <c r="DH25" s="1317">
        <f>'17H28'!C23</f>
        <v>490527</v>
      </c>
      <c r="DI25" s="1316">
        <f>+DR25-DP25</f>
        <v>-266870</v>
      </c>
      <c r="DJ25" s="1248">
        <f>DI25-DO25</f>
        <v>-249109</v>
      </c>
      <c r="DK25" s="850">
        <f>ROUND(DK$5*DR25/DR$6,0)</f>
        <v>385454</v>
      </c>
      <c r="DL25" s="1248">
        <f>ROUND(DL$5*DP25/DP$6,0)</f>
        <v>631591</v>
      </c>
      <c r="DM25" s="830">
        <f>ROUND(DM$5*DR25/DR$6,0)</f>
        <v>-1230</v>
      </c>
      <c r="DN25" s="830">
        <f t="shared" si="413"/>
        <v>42243</v>
      </c>
      <c r="DO25" s="1317">
        <f t="shared" si="413"/>
        <v>-17761</v>
      </c>
      <c r="DP25" s="1318">
        <f>+'18H29'!K23</f>
        <v>760952</v>
      </c>
      <c r="DQ25" s="1248">
        <f>+'18H29'!E23</f>
        <v>91683</v>
      </c>
      <c r="DR25" s="1317">
        <f>+'18H29'!C23</f>
        <v>494082</v>
      </c>
      <c r="DS25" s="1316">
        <f>+EB25-DZ25</f>
        <v>-254257</v>
      </c>
      <c r="DT25" s="1248">
        <f>DS25-DY25</f>
        <v>-226727</v>
      </c>
      <c r="DU25" s="850">
        <f>ROUND(DU$5*EB25/EB$6,0)</f>
        <v>395642</v>
      </c>
      <c r="DV25" s="1248">
        <f>ROUND(DV$5*DZ25/DZ$6,0)</f>
        <v>643005</v>
      </c>
      <c r="DW25" s="830">
        <f>ROUND(DW$5*EB25/EB$6,0)</f>
        <v>-1290</v>
      </c>
      <c r="DX25" s="830">
        <f t="shared" si="414"/>
        <v>43593</v>
      </c>
      <c r="DY25" s="1317">
        <f t="shared" si="414"/>
        <v>-27530</v>
      </c>
      <c r="DZ25" s="1318">
        <f>+'19H30'!K23</f>
        <v>755054</v>
      </c>
      <c r="EA25" s="1248">
        <f>+'19H30'!E23</f>
        <v>92598</v>
      </c>
      <c r="EB25" s="1317">
        <f>+'19H30'!C23</f>
        <v>500797</v>
      </c>
      <c r="EC25" s="1316">
        <f>+EL25-EJ25</f>
        <v>-275354</v>
      </c>
      <c r="ED25" s="1248">
        <f>EC25-EI25</f>
        <v>-236842</v>
      </c>
      <c r="EE25" s="850">
        <f>ROUND(EE$5*EL25/EL$6,0)</f>
        <v>384137</v>
      </c>
      <c r="EF25" s="1248">
        <f>ROUND(EF$5*EJ25/EJ$6,0)</f>
        <v>646210</v>
      </c>
      <c r="EG25" s="830">
        <f>ROUND(EG$5*EL25/EL$6,0)</f>
        <v>-1200</v>
      </c>
      <c r="EH25" s="830">
        <f t="shared" si="415"/>
        <v>44664</v>
      </c>
      <c r="EI25" s="1317">
        <f t="shared" si="415"/>
        <v>-38512</v>
      </c>
      <c r="EJ25" s="1318">
        <f>+'20R1'!K23</f>
        <v>771495</v>
      </c>
      <c r="EK25" s="1248">
        <f>+'20R1'!E23</f>
        <v>97461</v>
      </c>
      <c r="EL25" s="1317">
        <f>+'20R1'!C23</f>
        <v>496141</v>
      </c>
      <c r="EM25" s="1316">
        <f>+EV25-ET25</f>
        <v>-228567</v>
      </c>
      <c r="EN25" s="1248">
        <f>EM25-ES25</f>
        <v>-219778</v>
      </c>
      <c r="EO25" s="850">
        <f>ROUND(EO$5*EV25/EV$6,0)</f>
        <v>344695</v>
      </c>
      <c r="EP25" s="1248">
        <f>ROUND(EP$5*ET25/ET$6,0)</f>
        <v>568477</v>
      </c>
      <c r="EQ25" s="1336">
        <f>ROUND(EQ$5*EV25/EV$6,0)</f>
        <v>-903</v>
      </c>
      <c r="ER25" s="1336">
        <f t="shared" si="416"/>
        <v>43164</v>
      </c>
      <c r="ES25" s="850">
        <f t="shared" si="417"/>
        <v>-8789</v>
      </c>
      <c r="ET25" s="1331">
        <f>'21R2'!K23</f>
        <v>708541</v>
      </c>
      <c r="EU25" s="1248">
        <f>'21R2'!E23</f>
        <v>95256</v>
      </c>
      <c r="EV25" s="1317">
        <f>+'21R2'!C23</f>
        <v>479974</v>
      </c>
      <c r="EW25" s="1392">
        <f t="shared" si="298"/>
        <v>-287168</v>
      </c>
      <c r="EX25" s="1310">
        <f>EY25-EZ25</f>
        <v>-277460</v>
      </c>
      <c r="EY25" s="850">
        <f>ROUND(EY$5*FF25/FF$6,0)</f>
        <v>391158</v>
      </c>
      <c r="EZ25" s="1248">
        <f>ROUND(EZ$5*FD25/FD$6,0)</f>
        <v>668618</v>
      </c>
      <c r="FA25" s="1336">
        <f>ROUND(FA$5*FF25/FF$6,0)</f>
        <v>-515</v>
      </c>
      <c r="FB25" s="1336">
        <f t="shared" si="418"/>
        <v>44106</v>
      </c>
      <c r="FC25" s="1689">
        <f t="shared" si="363"/>
        <v>-9708</v>
      </c>
      <c r="FD25" s="1414">
        <f>'22R3'!K23</f>
        <v>772922</v>
      </c>
      <c r="FE25" s="1310">
        <f>'22R3'!E23</f>
        <v>100123</v>
      </c>
      <c r="FF25" s="1690">
        <f>'22R3'!C23</f>
        <v>497227</v>
      </c>
      <c r="FG25" s="1392">
        <f t="shared" si="300"/>
        <v>-374945</v>
      </c>
      <c r="FH25" s="1310">
        <f>FI25-FJ25</f>
        <v>-365237</v>
      </c>
      <c r="FI25" s="850">
        <f>ROUND(FI$5*FP25/FP$6,0)</f>
        <v>411501</v>
      </c>
      <c r="FJ25" s="1248">
        <f>ROUND(FJ$5*FN25/FN$6,0)</f>
        <v>776738</v>
      </c>
      <c r="FK25" s="1336">
        <f>ROUND(FK$5*FP25/FP$6,0)</f>
        <v>-922</v>
      </c>
      <c r="FL25" s="1336">
        <f t="shared" si="419"/>
        <v>44849</v>
      </c>
      <c r="FM25" s="1398">
        <f t="shared" si="302"/>
        <v>-9708</v>
      </c>
      <c r="FN25" s="1748">
        <f>'23R4'!K23</f>
        <v>837174</v>
      </c>
      <c r="FO25" s="1332">
        <f>'23R4'!E23</f>
        <v>98235</v>
      </c>
      <c r="FP25" s="1690">
        <f>'23R4'!C23</f>
        <v>507141</v>
      </c>
      <c r="FQ25" s="1310"/>
      <c r="FR25" s="1392">
        <f t="shared" si="303"/>
        <v>-98466</v>
      </c>
      <c r="FS25" s="1310">
        <f>FT25-FU25</f>
        <v>-88758</v>
      </c>
      <c r="FT25" s="868">
        <f>ROUND(FT$5*GA25/GA$6,0)</f>
        <v>643595</v>
      </c>
      <c r="FU25" s="1248">
        <f>ROUND(FU$5*FY25/FY$6,0)</f>
        <v>732353</v>
      </c>
      <c r="FV25" s="1336">
        <f>ROUND(FV$5*GA25/GA$6,0)</f>
        <v>-1418</v>
      </c>
      <c r="FW25" s="1336">
        <f t="shared" si="420"/>
        <v>46209</v>
      </c>
      <c r="FX25" s="1398">
        <f t="shared" si="335"/>
        <v>-9708</v>
      </c>
      <c r="FY25" s="1332">
        <f>'24R5'!K23</f>
        <v>801876</v>
      </c>
      <c r="FZ25" s="1332">
        <f>'24R5'!E23</f>
        <v>101181</v>
      </c>
      <c r="GA25" s="1319">
        <v>669684</v>
      </c>
      <c r="GB25" s="1392">
        <f t="shared" si="305"/>
        <v>-121826</v>
      </c>
      <c r="GC25" s="1310">
        <f>GD25-GE25</f>
        <v>-112118</v>
      </c>
      <c r="GD25" s="868">
        <f>ROUND(GD$5*GK25/GK$6,0)</f>
        <v>687931</v>
      </c>
      <c r="GE25" s="1248">
        <f>ROUND(GE$5*GI25/GI$6,0)</f>
        <v>800049</v>
      </c>
      <c r="GF25" s="1336">
        <f>ROUND(GF$5*GK25/GK$6,0)</f>
        <v>-1483</v>
      </c>
      <c r="GG25" s="1336">
        <f t="shared" si="421"/>
        <v>23517</v>
      </c>
      <c r="GH25" s="1398">
        <f t="shared" si="338"/>
        <v>-9708</v>
      </c>
      <c r="GI25" s="1332">
        <f>'25R6'!K23</f>
        <v>863287</v>
      </c>
      <c r="GJ25" s="1332">
        <f>'25R6'!E23</f>
        <v>104945</v>
      </c>
      <c r="GK25" s="1319">
        <v>669684</v>
      </c>
      <c r="GL25" s="1392">
        <f t="shared" si="307"/>
        <v>24149</v>
      </c>
      <c r="GM25" s="1310">
        <f>GN25-GO25</f>
        <v>33857</v>
      </c>
      <c r="GN25" s="868">
        <f>ROUND(GN$5*GU25/GU$6,0)</f>
        <v>858224</v>
      </c>
      <c r="GO25" s="1248">
        <f>ROUND(GO$5*GS25/GS$6,0)</f>
        <v>824367</v>
      </c>
      <c r="GP25" s="1336">
        <f>ROUND(GP$5*GU25/GU$6,0)</f>
        <v>-1854</v>
      </c>
      <c r="GQ25" s="1336">
        <f t="shared" si="422"/>
        <v>23387</v>
      </c>
      <c r="GR25" s="1406">
        <f t="shared" si="341"/>
        <v>-9708</v>
      </c>
      <c r="GS25" s="1748">
        <f>'26R7'!K23</f>
        <v>895854</v>
      </c>
      <c r="GT25" s="1332">
        <f>'26R7'!E23</f>
        <v>109020</v>
      </c>
      <c r="GU25" s="1398">
        <v>895854</v>
      </c>
      <c r="GV25" s="1392">
        <f t="shared" si="309"/>
        <v>31774</v>
      </c>
      <c r="GW25" s="1310">
        <f>GX25-GY25</f>
        <v>41482</v>
      </c>
      <c r="GX25" s="868">
        <f>ROUND(GX$5*HE25/HE$6,0)</f>
        <v>867711</v>
      </c>
      <c r="GY25" s="1248">
        <f>ROUND(GY$5*HC25/HC$6,0)</f>
        <v>826229</v>
      </c>
      <c r="GZ25" s="1336">
        <f>ROUND(GZ$5*HE25/HE$6,0)</f>
        <v>-1874</v>
      </c>
      <c r="HA25" s="1336">
        <f t="shared" si="423"/>
        <v>62798</v>
      </c>
      <c r="HB25" s="1406">
        <f t="shared" si="344"/>
        <v>-9708</v>
      </c>
      <c r="HC25" s="1748">
        <f>'27R8'!U23</f>
        <v>836914</v>
      </c>
      <c r="HD25" s="1690">
        <f>'27R8'!O23</f>
        <v>-64873</v>
      </c>
      <c r="HE25" s="1398">
        <v>901522</v>
      </c>
      <c r="HF25" s="1392">
        <f t="shared" si="311"/>
        <v>29084</v>
      </c>
      <c r="HG25" s="1310">
        <f>HH25-HI25</f>
        <v>38792</v>
      </c>
      <c r="HH25" s="868">
        <f>ROUND(HH$5*HO25/HO$6,0)</f>
        <v>884862</v>
      </c>
      <c r="HI25" s="1248">
        <f>ROUND(HI$5*HM25/HM$6,0)</f>
        <v>846070</v>
      </c>
      <c r="HJ25" s="1336">
        <f>ROUND(HJ$5*HO25/HO$6,0)</f>
        <v>-1911</v>
      </c>
      <c r="HK25" s="1336">
        <f t="shared" si="424"/>
        <v>62798</v>
      </c>
      <c r="HL25" s="1406">
        <f t="shared" si="347"/>
        <v>-9708</v>
      </c>
      <c r="HM25" s="1748">
        <f>'28R9'!U23</f>
        <v>836914</v>
      </c>
      <c r="HN25" s="1332">
        <f>'28R9'!O23</f>
        <v>-64873</v>
      </c>
      <c r="HO25" s="1398">
        <v>909563</v>
      </c>
      <c r="HQ25" s="1310">
        <f>市町名目!J24</f>
        <v>496141</v>
      </c>
      <c r="HR25" s="1310">
        <f>市町名目!K24</f>
        <v>479974</v>
      </c>
      <c r="HS25" s="1310">
        <f>市町名目!L24</f>
        <v>497227</v>
      </c>
      <c r="HT25" s="1310">
        <f>市町名目!M24</f>
        <v>507141</v>
      </c>
      <c r="HU25" s="1310">
        <f>市町名目!N24</f>
        <v>524511</v>
      </c>
      <c r="HV25" s="1054">
        <v>614118</v>
      </c>
      <c r="HW25" s="1030">
        <v>708965</v>
      </c>
      <c r="HX25" s="1030">
        <v>901522</v>
      </c>
      <c r="HY25" s="1030">
        <v>909563</v>
      </c>
    </row>
    <row r="26" spans="1:233" ht="12.5">
      <c r="A26" s="1334">
        <v>217</v>
      </c>
      <c r="B26" s="1335" t="s">
        <v>189</v>
      </c>
      <c r="C26" s="1316">
        <f>+L26-J26</f>
        <v>-190755</v>
      </c>
      <c r="D26" s="1248">
        <f>C26-I26</f>
        <v>-193739</v>
      </c>
      <c r="E26" s="850">
        <f>ROUND(E$5*L26/L$6,0)</f>
        <v>256661</v>
      </c>
      <c r="F26" s="1248">
        <f>ROUND(F$5*J26/J$6,0)</f>
        <v>420097</v>
      </c>
      <c r="G26" s="830">
        <f>ROUND(G$5*L26/L$6,0)</f>
        <v>-409</v>
      </c>
      <c r="H26" s="830">
        <f t="shared" si="402"/>
        <v>33145</v>
      </c>
      <c r="I26" s="1317">
        <f t="shared" si="402"/>
        <v>2984</v>
      </c>
      <c r="J26" s="1318">
        <f>'7H18'!K24</f>
        <v>492296</v>
      </c>
      <c r="K26" s="1248">
        <f>+'7H18'!E24</f>
        <v>50972</v>
      </c>
      <c r="L26" s="1317">
        <f>'7H18'!C24</f>
        <v>301541</v>
      </c>
      <c r="M26" s="1316">
        <f>+V26-T26</f>
        <v>-211198</v>
      </c>
      <c r="N26" s="1248">
        <f>M26-S26</f>
        <v>-216156</v>
      </c>
      <c r="O26" s="850">
        <f>ROUND(O$5*V26/V$6,0)</f>
        <v>273561</v>
      </c>
      <c r="P26" s="1248">
        <f>ROUND(P$5*T26/T$6,0)</f>
        <v>453531</v>
      </c>
      <c r="Q26" s="830">
        <f>ROUND(Q$5*V26/V$6,0)</f>
        <v>-655</v>
      </c>
      <c r="R26" s="830">
        <f t="shared" si="403"/>
        <v>33759</v>
      </c>
      <c r="S26" s="1317">
        <f t="shared" si="403"/>
        <v>4958</v>
      </c>
      <c r="T26" s="1318">
        <f>+'8H19'!K24</f>
        <v>510173</v>
      </c>
      <c r="U26" s="1248">
        <f>+'8H19'!E24</f>
        <v>52353</v>
      </c>
      <c r="V26" s="1317">
        <f>'8H19'!C24</f>
        <v>298975</v>
      </c>
      <c r="W26" s="1316">
        <f>+AF26-AD26</f>
        <v>-197215</v>
      </c>
      <c r="X26" s="1248">
        <f>W26-AC26</f>
        <v>-201492</v>
      </c>
      <c r="Y26" s="850">
        <f>ROUND(Y$5*AF26/AF$6,0)</f>
        <v>255395</v>
      </c>
      <c r="Z26" s="1248">
        <f>ROUND(Z$5*AD26/AD$6,0)</f>
        <v>442920</v>
      </c>
      <c r="AA26" s="830">
        <f>ROUND(AA$5*AF26/AF$6,0)</f>
        <v>-1644</v>
      </c>
      <c r="AB26" s="830">
        <f t="shared" si="404"/>
        <v>32817</v>
      </c>
      <c r="AC26" s="1317">
        <f t="shared" si="404"/>
        <v>4277</v>
      </c>
      <c r="AD26" s="1318">
        <f>+'9H20'!K24</f>
        <v>501967</v>
      </c>
      <c r="AE26" s="1248">
        <f>+'9H20'!E24</f>
        <v>54961</v>
      </c>
      <c r="AF26" s="1317">
        <f>'9H20'!C24</f>
        <v>304752</v>
      </c>
      <c r="AG26" s="1316">
        <f>+AP26-AN26</f>
        <v>-151422</v>
      </c>
      <c r="AH26" s="1248">
        <f>AG26-AM26</f>
        <v>-147963</v>
      </c>
      <c r="AI26" s="850">
        <f>ROUND(AI$5*AP26/AP$6,0)</f>
        <v>231894</v>
      </c>
      <c r="AJ26" s="1248">
        <f>ROUND(AJ$5*AN26/AN$6,0)</f>
        <v>385422</v>
      </c>
      <c r="AK26" s="830">
        <f>ROUND(AK$5*AP26/AP$6,0)</f>
        <v>220</v>
      </c>
      <c r="AL26" s="830">
        <f t="shared" si="405"/>
        <v>30271</v>
      </c>
      <c r="AM26" s="1317">
        <f t="shared" si="405"/>
        <v>-3459</v>
      </c>
      <c r="AN26" s="1318">
        <f>+'10H21'!K24</f>
        <v>469401</v>
      </c>
      <c r="AO26" s="1248">
        <f>+'10H21'!E24</f>
        <v>54102</v>
      </c>
      <c r="AP26" s="1317">
        <f>'10H21'!C24</f>
        <v>317979</v>
      </c>
      <c r="AQ26" s="1316">
        <f>+AZ26-AX26</f>
        <v>-136833</v>
      </c>
      <c r="AR26" s="1248">
        <f>AQ26-AW26</f>
        <v>-140607</v>
      </c>
      <c r="AS26" s="850">
        <f>ROUND(AS$5*AZ26/AZ$6,0)</f>
        <v>250294</v>
      </c>
      <c r="AT26" s="1248">
        <f>ROUND(AT$5*AX26/AX$6,0)</f>
        <v>394816</v>
      </c>
      <c r="AU26" s="830">
        <f>ROUND(AU$5*AZ26/AZ$6,0)</f>
        <v>-1834</v>
      </c>
      <c r="AV26" s="830">
        <f t="shared" si="406"/>
        <v>31940</v>
      </c>
      <c r="AW26" s="1317">
        <f t="shared" si="406"/>
        <v>3774</v>
      </c>
      <c r="AX26" s="1318">
        <f>+'11H22'!K24</f>
        <v>469663</v>
      </c>
      <c r="AY26" s="1248">
        <f>+'11H22'!E24</f>
        <v>54158</v>
      </c>
      <c r="AZ26" s="1317">
        <f>'11H22'!C24</f>
        <v>332830</v>
      </c>
      <c r="BA26" s="1316">
        <f>+BJ26-BH26</f>
        <v>-145305</v>
      </c>
      <c r="BB26" s="1248">
        <f>BA26-BG26</f>
        <v>-148494</v>
      </c>
      <c r="BC26" s="850">
        <f>ROUND(BC$5*BJ26/BJ$6,0)</f>
        <v>255605</v>
      </c>
      <c r="BD26" s="1248">
        <f>ROUND(BD$5*BH26/BH$6,0)</f>
        <v>401168</v>
      </c>
      <c r="BE26" s="830">
        <f>ROUND(BE$5*BJ26/BJ$6,0)</f>
        <v>-1283</v>
      </c>
      <c r="BF26" s="830">
        <f t="shared" si="407"/>
        <v>31664</v>
      </c>
      <c r="BG26" s="1317">
        <f t="shared" si="407"/>
        <v>3189</v>
      </c>
      <c r="BH26" s="1318">
        <f>+'12H23'!K24</f>
        <v>467592</v>
      </c>
      <c r="BI26" s="1248">
        <f>+'12H23'!E24</f>
        <v>55557</v>
      </c>
      <c r="BJ26" s="1317">
        <f>'12H23'!C24</f>
        <v>322287</v>
      </c>
      <c r="BK26" s="1316">
        <f>+BT26-BR26</f>
        <v>-147941</v>
      </c>
      <c r="BL26" s="1248">
        <f>BK26-BQ26</f>
        <v>-153492</v>
      </c>
      <c r="BM26" s="850">
        <f>ROUND(BM$5*BT26/BT$6,0)</f>
        <v>260773</v>
      </c>
      <c r="BN26" s="1248">
        <f>ROUND(BN$5*BR26/BR$6,0)</f>
        <v>413249</v>
      </c>
      <c r="BO26" s="830">
        <f>ROUND(BO$5*BT26/BT$6,0)</f>
        <v>-1084</v>
      </c>
      <c r="BP26" s="830">
        <f t="shared" si="408"/>
        <v>30474</v>
      </c>
      <c r="BQ26" s="1317">
        <f t="shared" si="408"/>
        <v>5551</v>
      </c>
      <c r="BR26" s="1318">
        <f>+'13H24'!K24</f>
        <v>482662</v>
      </c>
      <c r="BS26" s="1248">
        <f>+'13H24'!E24</f>
        <v>55666</v>
      </c>
      <c r="BT26" s="1317">
        <f>'13H24'!C24</f>
        <v>334721</v>
      </c>
      <c r="BU26" s="1316">
        <f>+CD26-CB26</f>
        <v>-175526</v>
      </c>
      <c r="BV26" s="1248">
        <f>BU26-CA26</f>
        <v>-180082</v>
      </c>
      <c r="BW26" s="850">
        <f>ROUND(BW$5*CD26/CD$6,0)</f>
        <v>253333</v>
      </c>
      <c r="BX26" s="1248">
        <f>ROUND(BX$5*CB26/CB$6,0)</f>
        <v>427991</v>
      </c>
      <c r="BY26" s="830">
        <f>ROUND(BY$5*CD26/CD$6,0)</f>
        <v>-1044</v>
      </c>
      <c r="BZ26" s="830">
        <f t="shared" si="409"/>
        <v>30061</v>
      </c>
      <c r="CA26" s="1317">
        <f t="shared" si="409"/>
        <v>4556</v>
      </c>
      <c r="CB26" s="1318">
        <f>+'14H25'!K24</f>
        <v>500179</v>
      </c>
      <c r="CC26" s="1248">
        <f>+'14H25'!E24</f>
        <v>57132</v>
      </c>
      <c r="CD26" s="1317">
        <f>'14H25'!C24</f>
        <v>324653</v>
      </c>
      <c r="CE26" s="1316">
        <f>+CN26-CL26</f>
        <v>-175489</v>
      </c>
      <c r="CF26" s="1248">
        <f>CE26-CK26</f>
        <v>-171908</v>
      </c>
      <c r="CG26" s="850">
        <f>ROUND(CG$5*CN26/CN$6,0)</f>
        <v>265160</v>
      </c>
      <c r="CH26" s="1248">
        <f>ROUND(CH$5*CL26/CL$6,0)</f>
        <v>433840</v>
      </c>
      <c r="CI26" s="830">
        <f>ROUND(CI$5*CN26/CN$6,0)</f>
        <v>-1153</v>
      </c>
      <c r="CJ26" s="830">
        <f t="shared" si="410"/>
        <v>30190</v>
      </c>
      <c r="CK26" s="1317">
        <f t="shared" si="410"/>
        <v>-3581</v>
      </c>
      <c r="CL26" s="1318">
        <f>+'15H26'!K24</f>
        <v>504723</v>
      </c>
      <c r="CM26" s="1248">
        <f>+'15H26'!E24</f>
        <v>57613</v>
      </c>
      <c r="CN26" s="1317">
        <f>'15H26'!C24</f>
        <v>329234</v>
      </c>
      <c r="CO26" s="1316">
        <f>+CX26-CV26</f>
        <v>-175916</v>
      </c>
      <c r="CP26" s="1248">
        <f>CO26-CU26</f>
        <v>-179711</v>
      </c>
      <c r="CQ26" s="850">
        <f>ROUND(CQ$5*CX26/CX$6,0)</f>
        <v>259457</v>
      </c>
      <c r="CR26" s="1248">
        <f>ROUND(CR$5*CV26/CV$6,0)</f>
        <v>424460</v>
      </c>
      <c r="CS26" s="830">
        <f>ROUND(CS$5*CX26/CX$6,0)</f>
        <v>-1169</v>
      </c>
      <c r="CT26" s="830">
        <f t="shared" si="411"/>
        <v>30535</v>
      </c>
      <c r="CU26" s="1317">
        <f t="shared" si="411"/>
        <v>3795</v>
      </c>
      <c r="CV26" s="1318">
        <f>+'16H27'!K24</f>
        <v>510578</v>
      </c>
      <c r="CW26" s="1248">
        <f>+'16H27'!E24</f>
        <v>60042</v>
      </c>
      <c r="CX26" s="1317">
        <f>'16H27'!C24</f>
        <v>334662</v>
      </c>
      <c r="CY26" s="1316">
        <f>+DH26-DF26</f>
        <v>-152341</v>
      </c>
      <c r="CZ26" s="1248">
        <f>CY26-DE26</f>
        <v>-152058</v>
      </c>
      <c r="DA26" s="850">
        <f>ROUND(DA$5*DH26/DH$6,0)</f>
        <v>255552</v>
      </c>
      <c r="DB26" s="1248">
        <f>ROUND(DB$5*DF26/DF$6,0)</f>
        <v>399665</v>
      </c>
      <c r="DC26" s="830">
        <f>ROUND(DC$5*DH26/DH$6,0)</f>
        <v>-1080</v>
      </c>
      <c r="DD26" s="830">
        <f t="shared" si="412"/>
        <v>31785</v>
      </c>
      <c r="DE26" s="1317">
        <f t="shared" si="412"/>
        <v>-283</v>
      </c>
      <c r="DF26" s="1318">
        <f>+'17H28'!K24</f>
        <v>494205</v>
      </c>
      <c r="DG26" s="1248">
        <f>+'17H28'!E24</f>
        <v>61812</v>
      </c>
      <c r="DH26" s="1317">
        <f>'17H28'!C24</f>
        <v>341864</v>
      </c>
      <c r="DI26" s="1316">
        <f>+DR26-DP26</f>
        <v>-170860</v>
      </c>
      <c r="DJ26" s="1248">
        <f>DI26-DO26</f>
        <v>-158300</v>
      </c>
      <c r="DK26" s="850">
        <f>ROUND(DK$5*DR26/DR$6,0)</f>
        <v>272583</v>
      </c>
      <c r="DL26" s="1248">
        <f>ROUND(DL$5*DP26/DP$6,0)</f>
        <v>431818</v>
      </c>
      <c r="DM26" s="830">
        <f>ROUND(DM$5*DR26/DR$6,0)</f>
        <v>-870</v>
      </c>
      <c r="DN26" s="830">
        <f t="shared" si="413"/>
        <v>27088</v>
      </c>
      <c r="DO26" s="1317">
        <f t="shared" si="413"/>
        <v>-12560</v>
      </c>
      <c r="DP26" s="1318">
        <f>+'18H29'!K24</f>
        <v>520262</v>
      </c>
      <c r="DQ26" s="1248">
        <f>+'18H29'!E24</f>
        <v>58790</v>
      </c>
      <c r="DR26" s="1317">
        <f>+'18H29'!C24</f>
        <v>349402</v>
      </c>
      <c r="DS26" s="1316">
        <f>+EB26-DZ26</f>
        <v>-146012</v>
      </c>
      <c r="DT26" s="1248">
        <f>DS26-DY26</f>
        <v>-126246</v>
      </c>
      <c r="DU26" s="850">
        <f>ROUND(DU$5*EB26/EB$6,0)</f>
        <v>284057</v>
      </c>
      <c r="DV26" s="1248">
        <f>ROUND(DV$5*DZ26/DZ$6,0)</f>
        <v>430542</v>
      </c>
      <c r="DW26" s="830">
        <f>ROUND(DW$5*EB26/EB$6,0)</f>
        <v>-926</v>
      </c>
      <c r="DX26" s="830">
        <f t="shared" si="414"/>
        <v>27012</v>
      </c>
      <c r="DY26" s="1317">
        <f t="shared" si="414"/>
        <v>-19766</v>
      </c>
      <c r="DZ26" s="1318">
        <f>+'19H30'!K24</f>
        <v>505567</v>
      </c>
      <c r="EA26" s="1248">
        <f>+'19H30'!E24</f>
        <v>57377</v>
      </c>
      <c r="EB26" s="1317">
        <f>+'19H30'!C24</f>
        <v>359555</v>
      </c>
      <c r="EC26" s="1316">
        <f>+EL26-EJ26</f>
        <v>-159444</v>
      </c>
      <c r="ED26" s="1248">
        <f>EC26-EI26</f>
        <v>-131726</v>
      </c>
      <c r="EE26" s="850">
        <f>ROUND(EE$5*EL26/EL$6,0)</f>
        <v>276472</v>
      </c>
      <c r="EF26" s="1248">
        <f>ROUND(EF$5*EJ26/EJ$6,0)</f>
        <v>432648</v>
      </c>
      <c r="EG26" s="830">
        <f>ROUND(EG$5*EL26/EL$6,0)</f>
        <v>-864</v>
      </c>
      <c r="EH26" s="830">
        <f>ROUND(EH$5*EK26/EK$6,0)</f>
        <v>27281</v>
      </c>
      <c r="EI26" s="1317">
        <f>ROUND(EI$5*EL26/EL$6,0)</f>
        <v>-27718</v>
      </c>
      <c r="EJ26" s="1318">
        <f>+'20R1'!K24</f>
        <v>516528</v>
      </c>
      <c r="EK26" s="1248">
        <f>+'20R1'!E24</f>
        <v>59530</v>
      </c>
      <c r="EL26" s="1317">
        <f>+'20R1'!C24</f>
        <v>357084</v>
      </c>
      <c r="EM26" s="1316">
        <f>+EV26-ET26</f>
        <v>-151804</v>
      </c>
      <c r="EN26" s="1248">
        <f>EM26-ES26</f>
        <v>-145475</v>
      </c>
      <c r="EO26" s="850">
        <f>ROUND(EO$5*EV26/EV$6,0)</f>
        <v>248233</v>
      </c>
      <c r="EP26" s="1248">
        <f>ROUND(EP$5*ET26/ET$6,0)</f>
        <v>399122</v>
      </c>
      <c r="EQ26" s="1336">
        <f>ROUND(EQ$5*EV26/EV$6,0)</f>
        <v>-650</v>
      </c>
      <c r="ER26" s="1336">
        <f>ROUND(ER$5*EU26/EU$6,0)</f>
        <v>27580</v>
      </c>
      <c r="ES26" s="850">
        <f>ROUND(ES$5*EV26/EV$6,0)</f>
        <v>-6329</v>
      </c>
      <c r="ET26" s="1331">
        <f>'21R2'!K24</f>
        <v>497459</v>
      </c>
      <c r="EU26" s="1248">
        <f>'21R2'!E24</f>
        <v>60865</v>
      </c>
      <c r="EV26" s="1317">
        <f>+'21R2'!C24</f>
        <v>345655</v>
      </c>
      <c r="EW26" s="1392">
        <f t="shared" si="298"/>
        <v>-171220</v>
      </c>
      <c r="EX26" s="1310">
        <f>EY26-EZ26</f>
        <v>-164316</v>
      </c>
      <c r="EY26" s="850">
        <f>ROUND(EY$5*FF26/FF$6,0)</f>
        <v>278194</v>
      </c>
      <c r="EZ26" s="1248">
        <f>ROUND(EZ$5*FD26/FD$6,0)</f>
        <v>442510</v>
      </c>
      <c r="FA26" s="1336">
        <f>ROUND(FA$5*FF26/FF$6,0)</f>
        <v>-366</v>
      </c>
      <c r="FB26" s="1336">
        <f>ROUND(FB$5*FE26/FE$6,0)</f>
        <v>27713</v>
      </c>
      <c r="FC26" s="1689">
        <f t="shared" si="363"/>
        <v>-6904</v>
      </c>
      <c r="FD26" s="1414">
        <f>'22R3'!K24</f>
        <v>511541</v>
      </c>
      <c r="FE26" s="1310">
        <f>'22R3'!E24</f>
        <v>62910</v>
      </c>
      <c r="FF26" s="1690">
        <f>'22R3'!C24</f>
        <v>353632</v>
      </c>
      <c r="FG26" s="1392">
        <f t="shared" si="300"/>
        <v>-235650</v>
      </c>
      <c r="FH26" s="1310">
        <f>FI26-FJ26</f>
        <v>-228746</v>
      </c>
      <c r="FI26" s="850">
        <f>ROUND(FI$5*FP26/FP$6,0)</f>
        <v>293508</v>
      </c>
      <c r="FJ26" s="1248">
        <f>ROUND(FJ$5*FN26/FN$6,0)</f>
        <v>522254</v>
      </c>
      <c r="FK26" s="1336">
        <f>ROUND(FK$5*FP26/FP$6,0)</f>
        <v>-657</v>
      </c>
      <c r="FL26" s="1336">
        <f>ROUND(FL$5*FO26/FO$6,0)</f>
        <v>29453</v>
      </c>
      <c r="FM26" s="1398">
        <f t="shared" si="302"/>
        <v>-6904</v>
      </c>
      <c r="FN26" s="1748">
        <f>'23R4'!K24</f>
        <v>562889</v>
      </c>
      <c r="FO26" s="1332">
        <f>'23R4'!E24</f>
        <v>64512</v>
      </c>
      <c r="FP26" s="1690">
        <f>'23R4'!C24</f>
        <v>361724</v>
      </c>
      <c r="FQ26" s="1310"/>
      <c r="FR26" s="1392">
        <f t="shared" si="303"/>
        <v>-52006</v>
      </c>
      <c r="FS26" s="1310">
        <f>FT26-FU26</f>
        <v>-45102</v>
      </c>
      <c r="FT26" s="868">
        <f>ROUND(FT$5*GA26/GA$6,0)</f>
        <v>437330</v>
      </c>
      <c r="FU26" s="1248">
        <f>ROUND(FU$5*FY26/FY$6,0)</f>
        <v>482432</v>
      </c>
      <c r="FV26" s="1336">
        <f>ROUND(FV$5*GA26/GA$6,0)</f>
        <v>-964</v>
      </c>
      <c r="FW26" s="1336">
        <f>ROUND(FW$5*FZ26/FZ$6,0)</f>
        <v>31478</v>
      </c>
      <c r="FX26" s="1398">
        <f t="shared" si="335"/>
        <v>-6904</v>
      </c>
      <c r="FY26" s="1332">
        <f>'24R5'!K24</f>
        <v>528230</v>
      </c>
      <c r="FZ26" s="1332">
        <f>'24R5'!E24</f>
        <v>68925</v>
      </c>
      <c r="GA26" s="1319">
        <v>455058</v>
      </c>
      <c r="GB26" s="1392">
        <f t="shared" si="305"/>
        <v>-72368</v>
      </c>
      <c r="GC26" s="1310">
        <f>GD26-GE26</f>
        <v>-65464</v>
      </c>
      <c r="GD26" s="868">
        <f>ROUND(GD$5*GK26/GK$6,0)</f>
        <v>467457</v>
      </c>
      <c r="GE26" s="1248">
        <f>ROUND(GE$5*GI26/GI$6,0)</f>
        <v>532921</v>
      </c>
      <c r="GF26" s="1336">
        <f>ROUND(GF$5*GK26/GK$6,0)</f>
        <v>-1008</v>
      </c>
      <c r="GG26" s="1336">
        <f>ROUND(GG$5*GJ26/GJ$6,0)</f>
        <v>15562</v>
      </c>
      <c r="GH26" s="1398">
        <f t="shared" si="338"/>
        <v>-6904</v>
      </c>
      <c r="GI26" s="1332">
        <f>'25R6'!K24</f>
        <v>575044</v>
      </c>
      <c r="GJ26" s="1332">
        <f>'25R6'!E24</f>
        <v>69445</v>
      </c>
      <c r="GK26" s="1319">
        <v>455058</v>
      </c>
      <c r="GL26" s="1392">
        <f t="shared" si="307"/>
        <v>15636</v>
      </c>
      <c r="GM26" s="1310">
        <f>GN26-GO26</f>
        <v>22540</v>
      </c>
      <c r="GN26" s="868">
        <f>ROUND(GN$5*GU26/GU$6,0)</f>
        <v>571356</v>
      </c>
      <c r="GO26" s="1248">
        <f>ROUND(GO$5*GS26/GS$6,0)</f>
        <v>548816</v>
      </c>
      <c r="GP26" s="1336">
        <f>ROUND(GP$5*GU26/GU$6,0)</f>
        <v>-1234</v>
      </c>
      <c r="GQ26" s="1336">
        <f>ROUND(GQ$5*GT26/GT$6,0)</f>
        <v>15585</v>
      </c>
      <c r="GR26" s="1406">
        <f t="shared" si="341"/>
        <v>-6904</v>
      </c>
      <c r="GS26" s="1748">
        <f>'26R7'!K24</f>
        <v>596408</v>
      </c>
      <c r="GT26" s="1332">
        <f>'26R7'!E24</f>
        <v>72650</v>
      </c>
      <c r="GU26" s="1398">
        <v>596408</v>
      </c>
      <c r="GV26" s="1392">
        <f t="shared" si="309"/>
        <v>21455</v>
      </c>
      <c r="GW26" s="1310">
        <f>GX26-GY26</f>
        <v>28359</v>
      </c>
      <c r="GX26" s="868">
        <f>ROUND(GX$5*HE26/HE$6,0)</f>
        <v>581864</v>
      </c>
      <c r="GY26" s="1248">
        <f>ROUND(GY$5*HC26/HC$6,0)</f>
        <v>553505</v>
      </c>
      <c r="GZ26" s="1336">
        <f>ROUND(GZ$5*HE26/HE$6,0)</f>
        <v>-1257</v>
      </c>
      <c r="HA26" s="1336">
        <f>ROUND(HA$5*HD26/HD$6,0)</f>
        <v>38346</v>
      </c>
      <c r="HB26" s="1406">
        <f t="shared" si="344"/>
        <v>-6904</v>
      </c>
      <c r="HC26" s="1748">
        <f>'27R8'!U24</f>
        <v>560663</v>
      </c>
      <c r="HD26" s="1690">
        <f>'27R8'!O24</f>
        <v>-39613</v>
      </c>
      <c r="HE26" s="1398">
        <v>604537</v>
      </c>
      <c r="HF26" s="1392">
        <f t="shared" si="311"/>
        <v>24127</v>
      </c>
      <c r="HG26" s="1310">
        <f>HH26-HI26</f>
        <v>31031</v>
      </c>
      <c r="HH26" s="868">
        <f>ROUND(HH$5*HO26/HO$6,0)</f>
        <v>597828</v>
      </c>
      <c r="HI26" s="1248">
        <f>ROUND(HI$5*HM26/HM$6,0)</f>
        <v>566797</v>
      </c>
      <c r="HJ26" s="1336">
        <f>ROUND(HJ$5*HO26/HO$6,0)</f>
        <v>-1291</v>
      </c>
      <c r="HK26" s="1336">
        <f>ROUND(HK$5*HN26/HN$6,0)</f>
        <v>38346</v>
      </c>
      <c r="HL26" s="1406">
        <f t="shared" si="347"/>
        <v>-6904</v>
      </c>
      <c r="HM26" s="1748">
        <f>'28R9'!U24</f>
        <v>560663</v>
      </c>
      <c r="HN26" s="1332">
        <f>'28R9'!O24</f>
        <v>-39613</v>
      </c>
      <c r="HO26" s="1398">
        <v>614516</v>
      </c>
      <c r="HQ26" s="1310">
        <f>市町名目!J25</f>
        <v>357084</v>
      </c>
      <c r="HR26" s="1310">
        <f>市町名目!K25</f>
        <v>345655</v>
      </c>
      <c r="HS26" s="1310">
        <f>市町名目!L25</f>
        <v>353632</v>
      </c>
      <c r="HT26" s="1310">
        <f>市町名目!M25</f>
        <v>361724</v>
      </c>
      <c r="HU26" s="1310">
        <f>市町名目!N25</f>
        <v>376258</v>
      </c>
      <c r="HV26" s="1054">
        <v>420433</v>
      </c>
      <c r="HW26" s="1030">
        <v>487078</v>
      </c>
      <c r="HX26" s="1030">
        <v>604537</v>
      </c>
      <c r="HY26" s="1030">
        <v>614516</v>
      </c>
    </row>
    <row r="27" spans="1:233" ht="12.5">
      <c r="A27" s="1334">
        <v>219</v>
      </c>
      <c r="B27" s="1335" t="s">
        <v>190</v>
      </c>
      <c r="C27" s="1316">
        <f>+L27-J27</f>
        <v>36951</v>
      </c>
      <c r="D27" s="1248">
        <f>C27-I27</f>
        <v>33082</v>
      </c>
      <c r="E27" s="850">
        <f>ROUND(E$5*L27/L$6,0)</f>
        <v>332805</v>
      </c>
      <c r="F27" s="1248">
        <f>ROUND(F$5*J27/J$6,0)</f>
        <v>302125</v>
      </c>
      <c r="G27" s="830">
        <f>ROUND(G$5*L27/L$6,0)</f>
        <v>-531</v>
      </c>
      <c r="H27" s="830">
        <f t="shared" si="402"/>
        <v>23959</v>
      </c>
      <c r="I27" s="1317">
        <f t="shared" si="402"/>
        <v>3869</v>
      </c>
      <c r="J27" s="1318">
        <f>'7H18'!K25</f>
        <v>354049</v>
      </c>
      <c r="K27" s="1248">
        <f>+'7H18'!E25</f>
        <v>36845</v>
      </c>
      <c r="L27" s="1317">
        <f>'7H18'!C25</f>
        <v>391000</v>
      </c>
      <c r="M27" s="1316">
        <f>+V27-T27</f>
        <v>53509</v>
      </c>
      <c r="N27" s="1248">
        <f>M27-S27</f>
        <v>46817</v>
      </c>
      <c r="O27" s="850">
        <f>ROUND(O$5*V27/V$6,0)</f>
        <v>369266</v>
      </c>
      <c r="P27" s="1248">
        <f>ROUND(P$5*T27/T$6,0)</f>
        <v>311196</v>
      </c>
      <c r="Q27" s="830">
        <f>ROUND(Q$5*V27/V$6,0)</f>
        <v>-885</v>
      </c>
      <c r="R27" s="830">
        <f t="shared" si="403"/>
        <v>24683</v>
      </c>
      <c r="S27" s="1317">
        <f t="shared" si="403"/>
        <v>6692</v>
      </c>
      <c r="T27" s="1318">
        <f>+'8H19'!K25</f>
        <v>350061</v>
      </c>
      <c r="U27" s="1248">
        <f>+'8H19'!E25</f>
        <v>38278</v>
      </c>
      <c r="V27" s="1317">
        <f>'8H19'!C25</f>
        <v>403570</v>
      </c>
      <c r="W27" s="1316">
        <f>+AF27-AD27</f>
        <v>62142</v>
      </c>
      <c r="X27" s="1248">
        <f>W27-AC27</f>
        <v>56312</v>
      </c>
      <c r="Y27" s="850">
        <f>ROUND(Y$5*AF27/AF$6,0)</f>
        <v>348145</v>
      </c>
      <c r="Z27" s="1248">
        <f>ROUND(Z$5*AD27/AD$6,0)</f>
        <v>311727</v>
      </c>
      <c r="AA27" s="830">
        <f>ROUND(AA$5*AF27/AF$6,0)</f>
        <v>-2240</v>
      </c>
      <c r="AB27" s="830">
        <f t="shared" si="404"/>
        <v>23825</v>
      </c>
      <c r="AC27" s="1317">
        <f t="shared" si="404"/>
        <v>5830</v>
      </c>
      <c r="AD27" s="1318">
        <f>+'9H20'!K25</f>
        <v>353284</v>
      </c>
      <c r="AE27" s="1248">
        <f>+'9H20'!E25</f>
        <v>39902</v>
      </c>
      <c r="AF27" s="1317">
        <f>'9H20'!C25</f>
        <v>415426</v>
      </c>
      <c r="AG27" s="1316">
        <f>+AP27-AN27</f>
        <v>87849</v>
      </c>
      <c r="AH27" s="1248">
        <f>AG27-AM27</f>
        <v>92452</v>
      </c>
      <c r="AI27" s="850">
        <f>ROUND(AI$5*AP27/AP$6,0)</f>
        <v>308578</v>
      </c>
      <c r="AJ27" s="1248">
        <f>ROUND(AJ$5*AN27/AN$6,0)</f>
        <v>275298</v>
      </c>
      <c r="AK27" s="830">
        <f>ROUND(AK$5*AP27/AP$6,0)</f>
        <v>293</v>
      </c>
      <c r="AL27" s="830">
        <f t="shared" si="405"/>
        <v>22871</v>
      </c>
      <c r="AM27" s="1317">
        <f t="shared" si="405"/>
        <v>-4603</v>
      </c>
      <c r="AN27" s="1318">
        <f>+'10H21'!K25</f>
        <v>335282</v>
      </c>
      <c r="AO27" s="1248">
        <f>+'10H21'!E25</f>
        <v>40877</v>
      </c>
      <c r="AP27" s="1317">
        <f>'10H21'!C25</f>
        <v>423131</v>
      </c>
      <c r="AQ27" s="1316">
        <f>+AZ27-AX27</f>
        <v>125216</v>
      </c>
      <c r="AR27" s="1248">
        <f>AQ27-AW27</f>
        <v>120043</v>
      </c>
      <c r="AS27" s="850">
        <f>ROUND(AS$5*AZ27/AZ$6,0)</f>
        <v>343023</v>
      </c>
      <c r="AT27" s="1248">
        <f>ROUND(AT$5*AX27/AX$6,0)</f>
        <v>278183</v>
      </c>
      <c r="AU27" s="830">
        <f>ROUND(AU$5*AZ27/AZ$6,0)</f>
        <v>-2513</v>
      </c>
      <c r="AV27" s="830">
        <f t="shared" si="406"/>
        <v>24896</v>
      </c>
      <c r="AW27" s="1317">
        <f t="shared" si="406"/>
        <v>5173</v>
      </c>
      <c r="AX27" s="1318">
        <f>+'11H22'!K25</f>
        <v>330920</v>
      </c>
      <c r="AY27" s="1248">
        <f>+'11H22'!E25</f>
        <v>42215</v>
      </c>
      <c r="AZ27" s="1317">
        <f>'11H22'!C25</f>
        <v>456136</v>
      </c>
      <c r="BA27" s="1316">
        <f>+BJ27-BH27</f>
        <v>100049</v>
      </c>
      <c r="BB27" s="1248">
        <f>BA27-BG27</f>
        <v>95669</v>
      </c>
      <c r="BC27" s="850">
        <f>ROUND(BC$5*BJ27/BJ$6,0)</f>
        <v>351087</v>
      </c>
      <c r="BD27" s="1248">
        <f>ROUND(BD$5*BH27/BH$6,0)</f>
        <v>293956</v>
      </c>
      <c r="BE27" s="830">
        <f>ROUND(BE$5*BJ27/BJ$6,0)</f>
        <v>-1762</v>
      </c>
      <c r="BF27" s="830">
        <f t="shared" si="407"/>
        <v>25273</v>
      </c>
      <c r="BG27" s="1317">
        <f t="shared" si="407"/>
        <v>4380</v>
      </c>
      <c r="BH27" s="1318">
        <f>+'12H23'!K25</f>
        <v>342628</v>
      </c>
      <c r="BI27" s="1248">
        <f>+'12H23'!E25</f>
        <v>44344</v>
      </c>
      <c r="BJ27" s="1317">
        <f>'12H23'!C25</f>
        <v>442677</v>
      </c>
      <c r="BK27" s="1316">
        <f>+BT27-BR27</f>
        <v>97083</v>
      </c>
      <c r="BL27" s="1248">
        <f>BK27-BQ27</f>
        <v>89349</v>
      </c>
      <c r="BM27" s="850">
        <f>ROUND(BM$5*BT27/BT$6,0)</f>
        <v>363348</v>
      </c>
      <c r="BN27" s="1248">
        <f>ROUND(BN$5*BR27/BR$6,0)</f>
        <v>316190</v>
      </c>
      <c r="BO27" s="830">
        <f>ROUND(BO$5*BT27/BT$6,0)</f>
        <v>-1510</v>
      </c>
      <c r="BP27" s="830">
        <f t="shared" si="408"/>
        <v>25574</v>
      </c>
      <c r="BQ27" s="1317">
        <f t="shared" si="408"/>
        <v>7734</v>
      </c>
      <c r="BR27" s="1318">
        <f>+'13H24'!K25</f>
        <v>369300</v>
      </c>
      <c r="BS27" s="1248">
        <f>+'13H24'!E25</f>
        <v>46716</v>
      </c>
      <c r="BT27" s="1317">
        <f>'13H24'!C25</f>
        <v>466383</v>
      </c>
      <c r="BU27" s="1316">
        <f>+CD27-CB27</f>
        <v>87382</v>
      </c>
      <c r="BV27" s="1248">
        <f>BU27-CA27</f>
        <v>81166</v>
      </c>
      <c r="BW27" s="850">
        <f>ROUND(BW$5*CD27/CD$6,0)</f>
        <v>345604</v>
      </c>
      <c r="BX27" s="1248">
        <f>ROUND(BX$5*CB27/CB$6,0)</f>
        <v>304208</v>
      </c>
      <c r="BY27" s="830">
        <f>ROUND(BY$5*CD27/CD$6,0)</f>
        <v>-1424</v>
      </c>
      <c r="BZ27" s="830">
        <f t="shared" si="409"/>
        <v>25117</v>
      </c>
      <c r="CA27" s="1317">
        <f t="shared" si="409"/>
        <v>6216</v>
      </c>
      <c r="CB27" s="1318">
        <f>+'14H25'!K25</f>
        <v>355518</v>
      </c>
      <c r="CC27" s="1248">
        <f>+'14H25'!E25</f>
        <v>47735</v>
      </c>
      <c r="CD27" s="1317">
        <f>'14H25'!C25</f>
        <v>442900</v>
      </c>
      <c r="CE27" s="1316">
        <f>+CN27-CL27</f>
        <v>27288</v>
      </c>
      <c r="CF27" s="1248">
        <f>CE27-CK27</f>
        <v>31808</v>
      </c>
      <c r="CG27" s="850">
        <f>ROUND(CG$5*CN27/CN$6,0)</f>
        <v>334684</v>
      </c>
      <c r="CH27" s="1248">
        <f>ROUND(CH$5*CL27/CL$6,0)</f>
        <v>333742</v>
      </c>
      <c r="CI27" s="830">
        <f>ROUND(CI$5*CN27/CN$6,0)</f>
        <v>-1456</v>
      </c>
      <c r="CJ27" s="830">
        <f t="shared" si="410"/>
        <v>26442</v>
      </c>
      <c r="CK27" s="1317">
        <f t="shared" si="410"/>
        <v>-4520</v>
      </c>
      <c r="CL27" s="1318">
        <f>+'15H26'!K25</f>
        <v>388271</v>
      </c>
      <c r="CM27" s="1248">
        <f>+'15H26'!E25</f>
        <v>50461</v>
      </c>
      <c r="CN27" s="1317">
        <f>'15H26'!C25</f>
        <v>415559</v>
      </c>
      <c r="CO27" s="1316">
        <f>+CX27-CV27</f>
        <v>85966</v>
      </c>
      <c r="CP27" s="1248">
        <f>CO27-CU27</f>
        <v>80632</v>
      </c>
      <c r="CQ27" s="850">
        <f>ROUND(CQ$5*CX27/CX$6,0)</f>
        <v>364694</v>
      </c>
      <c r="CR27" s="1248">
        <f>ROUND(CR$5*CV27/CV$6,0)</f>
        <v>319594</v>
      </c>
      <c r="CS27" s="830">
        <f>ROUND(CS$5*CX27/CX$6,0)</f>
        <v>-1644</v>
      </c>
      <c r="CT27" s="830">
        <f t="shared" si="411"/>
        <v>26559</v>
      </c>
      <c r="CU27" s="1317">
        <f t="shared" si="411"/>
        <v>5334</v>
      </c>
      <c r="CV27" s="1318">
        <f>+'16H27'!K25</f>
        <v>384436</v>
      </c>
      <c r="CW27" s="1248">
        <f>+'16H27'!E25</f>
        <v>52225</v>
      </c>
      <c r="CX27" s="1317">
        <f>'16H27'!C25</f>
        <v>470402</v>
      </c>
      <c r="CY27" s="1316">
        <f>+DH27-DF27</f>
        <v>124305</v>
      </c>
      <c r="CZ27" s="1248">
        <f>CY27-DE27</f>
        <v>124732</v>
      </c>
      <c r="DA27" s="850">
        <f>ROUND(DA$5*DH27/DH$6,0)</f>
        <v>385950</v>
      </c>
      <c r="DB27" s="1248">
        <f>ROUND(DB$5*DF27/DF$6,0)</f>
        <v>317010</v>
      </c>
      <c r="DC27" s="830">
        <f>ROUND(DC$5*DH27/DH$6,0)</f>
        <v>-1631</v>
      </c>
      <c r="DD27" s="830">
        <f t="shared" si="412"/>
        <v>27064</v>
      </c>
      <c r="DE27" s="1317">
        <f t="shared" si="412"/>
        <v>-427</v>
      </c>
      <c r="DF27" s="1318">
        <f>+'17H28'!K25</f>
        <v>391998</v>
      </c>
      <c r="DG27" s="1248">
        <f>+'17H28'!E25</f>
        <v>52632</v>
      </c>
      <c r="DH27" s="1317">
        <f>'17H28'!C25</f>
        <v>516303</v>
      </c>
      <c r="DI27" s="1316">
        <f>+DR27-DP27</f>
        <v>125476</v>
      </c>
      <c r="DJ27" s="1248">
        <f>DI27-DO27</f>
        <v>143246</v>
      </c>
      <c r="DK27" s="850">
        <f>ROUND(DK$5*DR27/DR$6,0)</f>
        <v>385652</v>
      </c>
      <c r="DL27" s="1248">
        <f>ROUND(DL$5*DP27/DP$6,0)</f>
        <v>306154</v>
      </c>
      <c r="DM27" s="830">
        <f>ROUND(DM$5*DR27/DR$6,0)</f>
        <v>-1230</v>
      </c>
      <c r="DN27" s="830">
        <f t="shared" si="413"/>
        <v>22159</v>
      </c>
      <c r="DO27" s="1317">
        <f t="shared" si="413"/>
        <v>-17770</v>
      </c>
      <c r="DP27" s="1318">
        <f>+'18H29'!K25</f>
        <v>368860</v>
      </c>
      <c r="DQ27" s="1248">
        <f>+'18H29'!E25</f>
        <v>48092</v>
      </c>
      <c r="DR27" s="1317">
        <f>+'18H29'!C25</f>
        <v>494336</v>
      </c>
      <c r="DS27" s="1316">
        <f>+EB27-DZ27</f>
        <v>88770</v>
      </c>
      <c r="DT27" s="1248">
        <f>DS27-DY27</f>
        <v>115048</v>
      </c>
      <c r="DU27" s="850">
        <f>ROUND(DU$5*EB27/EB$6,0)</f>
        <v>377648</v>
      </c>
      <c r="DV27" s="1248">
        <f>ROUND(DV$5*DZ27/DZ$6,0)</f>
        <v>331486</v>
      </c>
      <c r="DW27" s="830">
        <f>ROUND(DW$5*EB27/EB$6,0)</f>
        <v>-1231</v>
      </c>
      <c r="DX27" s="830">
        <f t="shared" si="414"/>
        <v>22007</v>
      </c>
      <c r="DY27" s="1317">
        <f t="shared" si="414"/>
        <v>-26278</v>
      </c>
      <c r="DZ27" s="1318">
        <f>+'19H30'!K25</f>
        <v>389250</v>
      </c>
      <c r="EA27" s="1248">
        <f>+'19H30'!E25</f>
        <v>46746</v>
      </c>
      <c r="EB27" s="1317">
        <f>+'19H30'!C25</f>
        <v>478020</v>
      </c>
      <c r="EC27" s="1316">
        <f>+EL27-EJ27</f>
        <v>66565</v>
      </c>
      <c r="ED27" s="1248">
        <f>EC27-EI27</f>
        <v>101980</v>
      </c>
      <c r="EE27" s="850">
        <f>ROUND(EE$5*EL27/EL$6,0)</f>
        <v>353242</v>
      </c>
      <c r="EF27" s="1248">
        <f>ROUND(EF$5*EJ27/EJ$6,0)</f>
        <v>326393</v>
      </c>
      <c r="EG27" s="830">
        <f>ROUND(EG$5*EL27/EL$6,0)</f>
        <v>-1104</v>
      </c>
      <c r="EH27" s="830">
        <f t="shared" si="415"/>
        <v>22117</v>
      </c>
      <c r="EI27" s="1317">
        <f t="shared" si="415"/>
        <v>-35415</v>
      </c>
      <c r="EJ27" s="1318">
        <f>+'20R1'!K25</f>
        <v>389673</v>
      </c>
      <c r="EK27" s="1248">
        <f>+'20R1'!E25</f>
        <v>48262</v>
      </c>
      <c r="EL27" s="1317">
        <f>+'20R1'!C25</f>
        <v>456238</v>
      </c>
      <c r="EM27" s="1316">
        <f>+EV27-ET27</f>
        <v>78634</v>
      </c>
      <c r="EN27" s="1248">
        <f>EM27-ES27</f>
        <v>86878</v>
      </c>
      <c r="EO27" s="850">
        <f>ROUND(EO$5*EV27/EV$6,0)</f>
        <v>323341</v>
      </c>
      <c r="EP27" s="1248">
        <f>ROUND(EP$5*ET27/ET$6,0)</f>
        <v>298147</v>
      </c>
      <c r="EQ27" s="1336">
        <f>ROUND(EQ$5*EV27/EV$6,0)</f>
        <v>-847</v>
      </c>
      <c r="ER27" s="1336">
        <f t="shared" ref="ER27:ER28" si="425">ROUND(ER$5*EU27/EU$6,0)</f>
        <v>21916</v>
      </c>
      <c r="ES27" s="850">
        <f t="shared" ref="ES27:ES28" si="426">ROUND(ES$5*EV27/EV$6,0)</f>
        <v>-8244</v>
      </c>
      <c r="ET27" s="1331">
        <f>'21R2'!K25</f>
        <v>371606</v>
      </c>
      <c r="EU27" s="1248">
        <f>'21R2'!E25</f>
        <v>48364</v>
      </c>
      <c r="EV27" s="1317">
        <f>+'21R2'!C25</f>
        <v>450240</v>
      </c>
      <c r="EW27" s="1392">
        <f t="shared" si="298"/>
        <v>81702</v>
      </c>
      <c r="EX27" s="1310">
        <f>EY27-EZ27</f>
        <v>91678</v>
      </c>
      <c r="EY27" s="850">
        <f>ROUND(EY$5*FF27/FF$6,0)</f>
        <v>401966</v>
      </c>
      <c r="EZ27" s="1248">
        <f>ROUND(EZ$5*FD27/FD$6,0)</f>
        <v>310288</v>
      </c>
      <c r="FA27" s="1336">
        <f>ROUND(FA$5*FF27/FF$6,0)</f>
        <v>-529</v>
      </c>
      <c r="FB27" s="1336">
        <f t="shared" ref="FB27:FB28" si="427">ROUND(FB$5*FE27/FE$6,0)</f>
        <v>22258</v>
      </c>
      <c r="FC27" s="1689">
        <f t="shared" si="363"/>
        <v>-9976</v>
      </c>
      <c r="FD27" s="1414">
        <f>'22R3'!K25</f>
        <v>358692</v>
      </c>
      <c r="FE27" s="1310">
        <f>'22R3'!E25</f>
        <v>50528</v>
      </c>
      <c r="FF27" s="1690">
        <f>'22R3'!C25</f>
        <v>510967</v>
      </c>
      <c r="FG27" s="1392">
        <f t="shared" si="300"/>
        <v>69828</v>
      </c>
      <c r="FH27" s="1310">
        <f>FI27-FJ27</f>
        <v>79804</v>
      </c>
      <c r="FI27" s="850">
        <f>ROUND(FI$5*FP27/FP$6,0)</f>
        <v>446554</v>
      </c>
      <c r="FJ27" s="1248">
        <f>ROUND(FJ$5*FN27/FN$6,0)</f>
        <v>366750</v>
      </c>
      <c r="FK27" s="1336">
        <f>ROUND(FK$5*FP27/FP$6,0)</f>
        <v>-1000</v>
      </c>
      <c r="FL27" s="1336">
        <f t="shared" ref="FL27:FL28" si="428">ROUND(FL$5*FO27/FO$6,0)</f>
        <v>23925</v>
      </c>
      <c r="FM27" s="1398">
        <f t="shared" si="302"/>
        <v>-9976</v>
      </c>
      <c r="FN27" s="1748">
        <f>'23R4'!K25</f>
        <v>395286</v>
      </c>
      <c r="FO27" s="1332">
        <f>'23R4'!E25</f>
        <v>52404</v>
      </c>
      <c r="FP27" s="1690">
        <f>'23R4'!C25</f>
        <v>550341</v>
      </c>
      <c r="FQ27" s="1310"/>
      <c r="FR27" s="1392">
        <f t="shared" si="303"/>
        <v>55326</v>
      </c>
      <c r="FS27" s="1310">
        <f>FT27-FU27</f>
        <v>65302</v>
      </c>
      <c r="FT27" s="868">
        <f>ROUND(FT$5*GA27/GA$6,0)</f>
        <v>423551</v>
      </c>
      <c r="FU27" s="1248">
        <f>ROUND(FU$5*FY27/FY$6,0)</f>
        <v>358249</v>
      </c>
      <c r="FV27" s="1336">
        <f>ROUND(FV$5*GA27/GA$6,0)</f>
        <v>-933</v>
      </c>
      <c r="FW27" s="1336">
        <f t="shared" ref="FW27:FW28" si="429">ROUND(FW$5*FZ27/FZ$6,0)</f>
        <v>25235</v>
      </c>
      <c r="FX27" s="1398">
        <f t="shared" si="335"/>
        <v>-9976</v>
      </c>
      <c r="FY27" s="1332">
        <f>'24R5'!K25</f>
        <v>392258</v>
      </c>
      <c r="FZ27" s="1332">
        <f>'24R5'!E25</f>
        <v>55255</v>
      </c>
      <c r="GA27" s="1319">
        <v>440720</v>
      </c>
      <c r="GB27" s="1392">
        <f t="shared" si="305"/>
        <v>7222</v>
      </c>
      <c r="GC27" s="1310">
        <f>GD27-GE27</f>
        <v>17198</v>
      </c>
      <c r="GD27" s="868">
        <f>ROUND(GD$5*GK27/GK$6,0)</f>
        <v>452728</v>
      </c>
      <c r="GE27" s="1248">
        <f>ROUND(GE$5*GI27/GI$6,0)</f>
        <v>435530</v>
      </c>
      <c r="GF27" s="1336">
        <f>ROUND(GF$5*GK27/GK$6,0)</f>
        <v>-976</v>
      </c>
      <c r="GG27" s="1336">
        <f t="shared" ref="GG27:GG28" si="430">ROUND(GG$5*GJ27/GJ$6,0)</f>
        <v>12587</v>
      </c>
      <c r="GH27" s="1398">
        <f t="shared" si="338"/>
        <v>-9976</v>
      </c>
      <c r="GI27" s="1332">
        <f>'25R6'!K25</f>
        <v>469955</v>
      </c>
      <c r="GJ27" s="1332">
        <f>'25R6'!E25</f>
        <v>56171</v>
      </c>
      <c r="GK27" s="1319">
        <v>440720</v>
      </c>
      <c r="GL27" s="1392">
        <f t="shared" si="307"/>
        <v>7957</v>
      </c>
      <c r="GM27" s="1310">
        <f>GN27-GO27</f>
        <v>17933</v>
      </c>
      <c r="GN27" s="868">
        <f>ROUND(GN$5*GU27/GU$6,0)</f>
        <v>454570</v>
      </c>
      <c r="GO27" s="1248">
        <f>ROUND(GO$5*GS27/GS$6,0)</f>
        <v>436637</v>
      </c>
      <c r="GP27" s="1336">
        <f>ROUND(GP$5*GU27/GU$6,0)</f>
        <v>-982</v>
      </c>
      <c r="GQ27" s="1336">
        <f t="shared" ref="GQ27:GQ28" si="431">ROUND(GQ$5*GT27/GT$6,0)</f>
        <v>12586</v>
      </c>
      <c r="GR27" s="1406">
        <f t="shared" si="341"/>
        <v>-9976</v>
      </c>
      <c r="GS27" s="1748">
        <f>'26R7'!K25</f>
        <v>474501</v>
      </c>
      <c r="GT27" s="1332">
        <f>'26R7'!E25</f>
        <v>58672</v>
      </c>
      <c r="GU27" s="1398">
        <v>474501</v>
      </c>
      <c r="GV27" s="1392">
        <f t="shared" si="309"/>
        <v>20784</v>
      </c>
      <c r="GW27" s="1310">
        <f>GX27-GY27</f>
        <v>30760</v>
      </c>
      <c r="GX27" s="868">
        <f>ROUND(GX$5*HE27/HE$6,0)</f>
        <v>466940</v>
      </c>
      <c r="GY27" s="1248">
        <f>ROUND(GY$5*HC27/HC$6,0)</f>
        <v>436180</v>
      </c>
      <c r="GZ27" s="1336">
        <f>ROUND(GZ$5*HE27/HE$6,0)</f>
        <v>-1009</v>
      </c>
      <c r="HA27" s="1336">
        <f t="shared" ref="HA27:HA28" si="432">ROUND(HA$5*HD27/HD$6,0)</f>
        <v>-14699</v>
      </c>
      <c r="HB27" s="1406">
        <f t="shared" si="344"/>
        <v>-9976</v>
      </c>
      <c r="HC27" s="1748">
        <f>'27R8'!U25</f>
        <v>441821</v>
      </c>
      <c r="HD27" s="1690">
        <f>'27R8'!O25</f>
        <v>15185</v>
      </c>
      <c r="HE27" s="1398">
        <v>485135</v>
      </c>
      <c r="HF27" s="1392">
        <f t="shared" si="311"/>
        <v>24229</v>
      </c>
      <c r="HG27" s="1310">
        <f>HH27-HI27</f>
        <v>34205</v>
      </c>
      <c r="HH27" s="868">
        <f>ROUND(HH$5*HO27/HO$6,0)</f>
        <v>480859</v>
      </c>
      <c r="HI27" s="1248">
        <f>ROUND(HI$5*HM27/HM$6,0)</f>
        <v>446654</v>
      </c>
      <c r="HJ27" s="1336">
        <f>ROUND(HJ$5*HO27/HO$6,0)</f>
        <v>-1039</v>
      </c>
      <c r="HK27" s="1336">
        <f t="shared" ref="HK27:HK28" si="433">ROUND(HK$5*HN27/HN$6,0)</f>
        <v>-14699</v>
      </c>
      <c r="HL27" s="1406">
        <f t="shared" si="347"/>
        <v>-9976</v>
      </c>
      <c r="HM27" s="1748">
        <f>'28R9'!U25</f>
        <v>441821</v>
      </c>
      <c r="HN27" s="1332">
        <f>'28R9'!O25</f>
        <v>15185</v>
      </c>
      <c r="HO27" s="1398">
        <v>494282</v>
      </c>
      <c r="HQ27" s="1310">
        <f>市町名目!J26</f>
        <v>456238</v>
      </c>
      <c r="HR27" s="1310">
        <f>市町名目!K26</f>
        <v>450240</v>
      </c>
      <c r="HS27" s="1310">
        <f>市町名目!L26</f>
        <v>510967</v>
      </c>
      <c r="HT27" s="1310">
        <f>市町名目!M26</f>
        <v>550341</v>
      </c>
      <c r="HU27" s="1310">
        <f>市町名目!N26</f>
        <v>621907</v>
      </c>
      <c r="HV27" s="1054">
        <v>461028</v>
      </c>
      <c r="HW27" s="1030">
        <v>518775</v>
      </c>
      <c r="HX27" s="1030">
        <v>485135</v>
      </c>
      <c r="HY27" s="1030">
        <v>494282</v>
      </c>
    </row>
    <row r="28" spans="1:233" ht="12.5">
      <c r="A28" s="1334">
        <v>301</v>
      </c>
      <c r="B28" s="1335" t="s">
        <v>191</v>
      </c>
      <c r="C28" s="1316">
        <f>+L28-J28</f>
        <v>-28429</v>
      </c>
      <c r="D28" s="1248">
        <f>C28-I28</f>
        <v>-29049</v>
      </c>
      <c r="E28" s="850">
        <f>ROUND(E$5*L28/L$6,0)</f>
        <v>53326</v>
      </c>
      <c r="F28" s="1248">
        <f>ROUND(F$5*J28/J$6,0)</f>
        <v>77722</v>
      </c>
      <c r="G28" s="830">
        <f>ROUND(G$5*L28/L$6,0)</f>
        <v>-85</v>
      </c>
      <c r="H28" s="830">
        <f t="shared" si="402"/>
        <v>8132</v>
      </c>
      <c r="I28" s="1317">
        <f t="shared" si="402"/>
        <v>620</v>
      </c>
      <c r="J28" s="1318">
        <f>'7H18'!K26</f>
        <v>91080</v>
      </c>
      <c r="K28" s="1248">
        <f>+'7H18'!E26</f>
        <v>12505</v>
      </c>
      <c r="L28" s="1317">
        <f>'7H18'!C26</f>
        <v>62651</v>
      </c>
      <c r="M28" s="1316">
        <f>+V28-T28</f>
        <v>-33251</v>
      </c>
      <c r="N28" s="1248">
        <f>M28-S28</f>
        <v>-34208</v>
      </c>
      <c r="O28" s="850">
        <f>ROUND(O$5*V28/V$6,0)</f>
        <v>52826</v>
      </c>
      <c r="P28" s="1248">
        <f>ROUND(P$5*T28/T$6,0)</f>
        <v>80883</v>
      </c>
      <c r="Q28" s="830">
        <f>ROUND(Q$5*V28/V$6,0)</f>
        <v>-127</v>
      </c>
      <c r="R28" s="830">
        <f t="shared" si="403"/>
        <v>8166</v>
      </c>
      <c r="S28" s="1317">
        <f t="shared" si="403"/>
        <v>957</v>
      </c>
      <c r="T28" s="1318">
        <f>+'8H19'!K26</f>
        <v>90985</v>
      </c>
      <c r="U28" s="1248">
        <f>+'8H19'!E26</f>
        <v>12663</v>
      </c>
      <c r="V28" s="1317">
        <f>'8H19'!C26</f>
        <v>57734</v>
      </c>
      <c r="W28" s="1316">
        <f>+AF28-AD28</f>
        <v>-30765</v>
      </c>
      <c r="X28" s="1248">
        <f>W28-AC28</f>
        <v>-31602</v>
      </c>
      <c r="Y28" s="850">
        <f>ROUND(Y$5*AF28/AF$6,0)</f>
        <v>49990</v>
      </c>
      <c r="Z28" s="1248">
        <f>ROUND(Z$5*AD28/AD$6,0)</f>
        <v>79780</v>
      </c>
      <c r="AA28" s="830">
        <f>ROUND(AA$5*AF28/AF$6,0)</f>
        <v>-322</v>
      </c>
      <c r="AB28" s="830">
        <f t="shared" si="404"/>
        <v>8127</v>
      </c>
      <c r="AC28" s="1317">
        <f t="shared" si="404"/>
        <v>837</v>
      </c>
      <c r="AD28" s="1318">
        <f>+'9H20'!K26</f>
        <v>90416</v>
      </c>
      <c r="AE28" s="1248">
        <f>+'9H20'!E26</f>
        <v>13611</v>
      </c>
      <c r="AF28" s="1317">
        <f>'9H20'!C26</f>
        <v>59651</v>
      </c>
      <c r="AG28" s="1316">
        <f>+AP28-AN28</f>
        <v>-22442</v>
      </c>
      <c r="AH28" s="1248">
        <f>AG28-AM28</f>
        <v>-21759</v>
      </c>
      <c r="AI28" s="850">
        <f>ROUND(AI$5*AP28/AP$6,0)</f>
        <v>45806</v>
      </c>
      <c r="AJ28" s="1248">
        <f>ROUND(AJ$5*AN28/AN$6,0)</f>
        <v>70001</v>
      </c>
      <c r="AK28" s="830">
        <f>ROUND(AK$5*AP28/AP$6,0)</f>
        <v>43</v>
      </c>
      <c r="AL28" s="830">
        <f t="shared" si="405"/>
        <v>7918</v>
      </c>
      <c r="AM28" s="1317">
        <f t="shared" si="405"/>
        <v>-683</v>
      </c>
      <c r="AN28" s="1318">
        <f>+'10H21'!K26</f>
        <v>85253</v>
      </c>
      <c r="AO28" s="1248">
        <f>+'10H21'!E26</f>
        <v>14152</v>
      </c>
      <c r="AP28" s="1317">
        <f>'10H21'!C26</f>
        <v>62811</v>
      </c>
      <c r="AQ28" s="1316">
        <f>+AZ28-AX28</f>
        <v>-21625</v>
      </c>
      <c r="AR28" s="1248">
        <f>AQ28-AW28</f>
        <v>-22346</v>
      </c>
      <c r="AS28" s="850">
        <f>ROUND(AS$5*AZ28/AZ$6,0)</f>
        <v>47843</v>
      </c>
      <c r="AT28" s="1248">
        <f>ROUND(AT$5*AX28/AX$6,0)</f>
        <v>71660</v>
      </c>
      <c r="AU28" s="830">
        <f>ROUND(AU$5*AZ28/AZ$6,0)</f>
        <v>-351</v>
      </c>
      <c r="AV28" s="830">
        <f t="shared" si="406"/>
        <v>8431</v>
      </c>
      <c r="AW28" s="1317">
        <f t="shared" si="406"/>
        <v>721</v>
      </c>
      <c r="AX28" s="1318">
        <f>+'11H22'!K26</f>
        <v>85245</v>
      </c>
      <c r="AY28" s="1248">
        <f>+'11H22'!E26</f>
        <v>14295</v>
      </c>
      <c r="AZ28" s="1317">
        <f>'11H22'!C26</f>
        <v>63620</v>
      </c>
      <c r="BA28" s="1316">
        <f>+BJ28-BH28</f>
        <v>-28455</v>
      </c>
      <c r="BB28" s="1248">
        <f>BA28-BG28</f>
        <v>-29058</v>
      </c>
      <c r="BC28" s="850">
        <f>ROUND(BC$5*BJ28/BJ$6,0)</f>
        <v>48348</v>
      </c>
      <c r="BD28" s="1248">
        <f>ROUND(BD$5*BH28/BH$6,0)</f>
        <v>76714</v>
      </c>
      <c r="BE28" s="830">
        <f>ROUND(BE$5*BJ28/BJ$6,0)</f>
        <v>-243</v>
      </c>
      <c r="BF28" s="830">
        <f t="shared" si="407"/>
        <v>8546</v>
      </c>
      <c r="BG28" s="1317">
        <f t="shared" si="407"/>
        <v>603</v>
      </c>
      <c r="BH28" s="1318">
        <f>+'12H23'!K26</f>
        <v>89416</v>
      </c>
      <c r="BI28" s="1248">
        <f>+'12H23'!E26</f>
        <v>14994</v>
      </c>
      <c r="BJ28" s="1317">
        <f>'12H23'!C26</f>
        <v>60961</v>
      </c>
      <c r="BK28" s="1316">
        <f>+BT28-BR28</f>
        <v>-29149</v>
      </c>
      <c r="BL28" s="1248">
        <f>BK28-BQ28</f>
        <v>-30154</v>
      </c>
      <c r="BM28" s="850">
        <f>ROUND(BM$5*BT28/BT$6,0)</f>
        <v>47207</v>
      </c>
      <c r="BN28" s="1248">
        <f>ROUND(BN$5*BR28/BR$6,0)</f>
        <v>76837</v>
      </c>
      <c r="BO28" s="830">
        <f>ROUND(BO$5*BT28/BT$6,0)</f>
        <v>-196</v>
      </c>
      <c r="BP28" s="830">
        <f t="shared" si="408"/>
        <v>8318</v>
      </c>
      <c r="BQ28" s="1317">
        <f t="shared" si="408"/>
        <v>1005</v>
      </c>
      <c r="BR28" s="1318">
        <f>+'13H24'!K26</f>
        <v>89743</v>
      </c>
      <c r="BS28" s="1248">
        <f>+'13H24'!E26</f>
        <v>15194</v>
      </c>
      <c r="BT28" s="1317">
        <f>'13H24'!C26</f>
        <v>60594</v>
      </c>
      <c r="BU28" s="1316">
        <f>+CD28-CB28</f>
        <v>-28536</v>
      </c>
      <c r="BV28" s="1248">
        <f>BU28-CA28</f>
        <v>-29409</v>
      </c>
      <c r="BW28" s="850">
        <f>ROUND(BW$5*CD28/CD$6,0)</f>
        <v>48538</v>
      </c>
      <c r="BX28" s="1248">
        <f>ROUND(BX$5*CB28/CB$6,0)</f>
        <v>77643</v>
      </c>
      <c r="BY28" s="830">
        <f>ROUND(BY$5*CD28/CD$6,0)</f>
        <v>-200</v>
      </c>
      <c r="BZ28" s="830">
        <f t="shared" si="409"/>
        <v>8123</v>
      </c>
      <c r="CA28" s="1317">
        <f t="shared" si="409"/>
        <v>873</v>
      </c>
      <c r="CB28" s="1318">
        <f>+'14H25'!K26</f>
        <v>90739</v>
      </c>
      <c r="CC28" s="1248">
        <f>+'14H25'!E26</f>
        <v>15438</v>
      </c>
      <c r="CD28" s="1317">
        <f>'14H25'!C26</f>
        <v>62203</v>
      </c>
      <c r="CE28" s="1316">
        <f>+CN28-CL28</f>
        <v>-31360</v>
      </c>
      <c r="CF28" s="1248">
        <f>CE28-CK28</f>
        <v>-30681</v>
      </c>
      <c r="CG28" s="850">
        <f>ROUND(CG$5*CN28/CN$6,0)</f>
        <v>50248</v>
      </c>
      <c r="CH28" s="1248">
        <f>ROUND(CH$5*CL28/CL$6,0)</f>
        <v>80584</v>
      </c>
      <c r="CI28" s="830">
        <f>ROUND(CI$5*CN28/CN$6,0)</f>
        <v>-219</v>
      </c>
      <c r="CJ28" s="830">
        <f t="shared" si="410"/>
        <v>8324</v>
      </c>
      <c r="CK28" s="1317">
        <f t="shared" si="410"/>
        <v>-679</v>
      </c>
      <c r="CL28" s="1318">
        <f>+'15H26'!K26</f>
        <v>93750</v>
      </c>
      <c r="CM28" s="1248">
        <f>+'15H26'!E26</f>
        <v>15886</v>
      </c>
      <c r="CN28" s="1317">
        <f>'15H26'!C26</f>
        <v>62390</v>
      </c>
      <c r="CO28" s="1316">
        <f>+CX28-CV28</f>
        <v>-29740</v>
      </c>
      <c r="CP28" s="1248">
        <f>CO28-CU28</f>
        <v>-30478</v>
      </c>
      <c r="CQ28" s="850">
        <f>ROUND(CQ$5*CX28/CX$6,0)</f>
        <v>50468</v>
      </c>
      <c r="CR28" s="1248">
        <f>ROUND(CR$5*CV28/CV$6,0)</f>
        <v>78841</v>
      </c>
      <c r="CS28" s="830">
        <f>ROUND(CS$5*CX28/CX$6,0)</f>
        <v>-227</v>
      </c>
      <c r="CT28" s="830">
        <f t="shared" si="411"/>
        <v>8417</v>
      </c>
      <c r="CU28" s="1317">
        <f t="shared" si="411"/>
        <v>738</v>
      </c>
      <c r="CV28" s="1318">
        <f>+'16H27'!K26</f>
        <v>94837</v>
      </c>
      <c r="CW28" s="1248">
        <f>+'16H27'!E26</f>
        <v>16551</v>
      </c>
      <c r="CX28" s="1317">
        <f>'16H27'!C26</f>
        <v>65097</v>
      </c>
      <c r="CY28" s="1316">
        <f>+DH28-DF28</f>
        <v>-26250</v>
      </c>
      <c r="CZ28" s="1248">
        <f>CY28-DE28</f>
        <v>-26197</v>
      </c>
      <c r="DA28" s="850">
        <f>ROUND(DA$5*DH28/DH$6,0)</f>
        <v>47978</v>
      </c>
      <c r="DB28" s="1248">
        <f>ROUND(DB$5*DF28/DF$6,0)</f>
        <v>73133</v>
      </c>
      <c r="DC28" s="830">
        <f>ROUND(DC$5*DH28/DH$6,0)</f>
        <v>-203</v>
      </c>
      <c r="DD28" s="830">
        <f t="shared" si="412"/>
        <v>8558</v>
      </c>
      <c r="DE28" s="1317">
        <f t="shared" si="412"/>
        <v>-53</v>
      </c>
      <c r="DF28" s="1318">
        <f>+'17H28'!K26</f>
        <v>90432</v>
      </c>
      <c r="DG28" s="1248">
        <f>+'17H28'!E26</f>
        <v>16643</v>
      </c>
      <c r="DH28" s="1317">
        <f>'17H28'!C26</f>
        <v>64182</v>
      </c>
      <c r="DI28" s="1316">
        <f>+DR28-DP28</f>
        <v>-26233</v>
      </c>
      <c r="DJ28" s="1248">
        <f>DI28-DO28</f>
        <v>-23840</v>
      </c>
      <c r="DK28" s="850">
        <f>ROUND(DK$5*DR28/DR$6,0)</f>
        <v>51932</v>
      </c>
      <c r="DL28" s="1248">
        <f>ROUND(DL$5*DP28/DP$6,0)</f>
        <v>77025</v>
      </c>
      <c r="DM28" s="830">
        <f>ROUND(DM$5*DR28/DR$6,0)</f>
        <v>-166</v>
      </c>
      <c r="DN28" s="830">
        <f t="shared" si="413"/>
        <v>7098</v>
      </c>
      <c r="DO28" s="1317">
        <f t="shared" si="413"/>
        <v>-2393</v>
      </c>
      <c r="DP28" s="1318">
        <f>+'18H29'!K26</f>
        <v>92801</v>
      </c>
      <c r="DQ28" s="1248">
        <f>+'18H29'!E26</f>
        <v>15405</v>
      </c>
      <c r="DR28" s="1317">
        <f>+'18H29'!C26</f>
        <v>66568</v>
      </c>
      <c r="DS28" s="1316">
        <f>+EB28-DZ28</f>
        <v>-27897</v>
      </c>
      <c r="DT28" s="1248">
        <f>DS28-DY28</f>
        <v>-24435</v>
      </c>
      <c r="DU28" s="850">
        <f>ROUND(DU$5*EB28/EB$6,0)</f>
        <v>49749</v>
      </c>
      <c r="DV28" s="1248">
        <f>ROUND(DV$5*DZ28/DZ$6,0)</f>
        <v>77383</v>
      </c>
      <c r="DW28" s="830">
        <f>ROUND(DW$5*EB28/EB$6,0)</f>
        <v>-162</v>
      </c>
      <c r="DX28" s="830">
        <f t="shared" si="414"/>
        <v>7183</v>
      </c>
      <c r="DY28" s="1317">
        <f t="shared" si="414"/>
        <v>-3462</v>
      </c>
      <c r="DZ28" s="1318">
        <f>+'19H30'!K26</f>
        <v>90868</v>
      </c>
      <c r="EA28" s="1248">
        <f>+'19H30'!E26</f>
        <v>15257</v>
      </c>
      <c r="EB28" s="1317">
        <f>+'19H30'!C26</f>
        <v>62971</v>
      </c>
      <c r="EC28" s="1316">
        <f>+EL28-EJ28</f>
        <v>-33234</v>
      </c>
      <c r="ED28" s="1248">
        <f>EC28-EI28</f>
        <v>-28315</v>
      </c>
      <c r="EE28" s="850">
        <f>ROUND(EE$5*EL28/EL$6,0)</f>
        <v>49068</v>
      </c>
      <c r="EF28" s="1248">
        <f>ROUND(EF$5*EJ28/EJ$6,0)</f>
        <v>80920</v>
      </c>
      <c r="EG28" s="830">
        <f>ROUND(EG$5*EL28/EL$6,0)</f>
        <v>-153</v>
      </c>
      <c r="EH28" s="830">
        <f t="shared" si="415"/>
        <v>7270</v>
      </c>
      <c r="EI28" s="1317">
        <f t="shared" si="415"/>
        <v>-4919</v>
      </c>
      <c r="EJ28" s="1318">
        <f>+'20R1'!K26</f>
        <v>96609</v>
      </c>
      <c r="EK28" s="1248">
        <f>+'20R1'!E26</f>
        <v>15863</v>
      </c>
      <c r="EL28" s="1317">
        <f>+'20R1'!C26</f>
        <v>63375</v>
      </c>
      <c r="EM28" s="1316">
        <f>+EV28-ET28</f>
        <v>-25938</v>
      </c>
      <c r="EN28" s="1248">
        <f>EM28-ES28</f>
        <v>-24789</v>
      </c>
      <c r="EO28" s="850">
        <f>ROUND(EO$5*EV28/EV$6,0)</f>
        <v>45079</v>
      </c>
      <c r="EP28" s="1248">
        <f>ROUND(EP$5*ET28/ET$6,0)</f>
        <v>71173</v>
      </c>
      <c r="EQ28" s="1336">
        <f>ROUND(EQ$5*EV28/EV$6,0)</f>
        <v>-118</v>
      </c>
      <c r="ER28" s="1336">
        <f t="shared" si="425"/>
        <v>7321</v>
      </c>
      <c r="ES28" s="850">
        <f t="shared" si="426"/>
        <v>-1149</v>
      </c>
      <c r="ET28" s="1331">
        <f>'21R2'!K26</f>
        <v>88709</v>
      </c>
      <c r="EU28" s="1248">
        <f>'21R2'!E26</f>
        <v>16156</v>
      </c>
      <c r="EV28" s="1317">
        <f>+'21R2'!C26</f>
        <v>62771</v>
      </c>
      <c r="EW28" s="1392">
        <f t="shared" si="298"/>
        <v>-28862</v>
      </c>
      <c r="EX28" s="1310">
        <f>EY28-EZ28</f>
        <v>-27607</v>
      </c>
      <c r="EY28" s="850">
        <f>ROUND(EY$5*FF28/FF$6,0)</f>
        <v>50557</v>
      </c>
      <c r="EZ28" s="1248">
        <f>ROUND(EZ$5*FD28/FD$6,0)</f>
        <v>78164</v>
      </c>
      <c r="FA28" s="1336">
        <f>ROUND(FA$5*FF28/FF$6,0)</f>
        <v>-67</v>
      </c>
      <c r="FB28" s="1336">
        <f t="shared" si="427"/>
        <v>7823</v>
      </c>
      <c r="FC28" s="1689">
        <f t="shared" si="363"/>
        <v>-1255</v>
      </c>
      <c r="FD28" s="1414">
        <f>'22R3'!K26</f>
        <v>90358</v>
      </c>
      <c r="FE28" s="1310">
        <f>'22R3'!E26</f>
        <v>17758</v>
      </c>
      <c r="FF28" s="1690">
        <f>'22R3'!C26</f>
        <v>64266</v>
      </c>
      <c r="FG28" s="1392">
        <f t="shared" si="300"/>
        <v>-37834</v>
      </c>
      <c r="FH28" s="1310">
        <f>FI28-FJ28</f>
        <v>-36579</v>
      </c>
      <c r="FI28" s="850">
        <f>ROUND(FI$5*FP28/FP$6,0)</f>
        <v>52244</v>
      </c>
      <c r="FJ28" s="1248">
        <f>ROUND(FJ$5*FN28/FN$6,0)</f>
        <v>88823</v>
      </c>
      <c r="FK28" s="1336">
        <f>ROUND(FK$5*FP28/FP$6,0)</f>
        <v>-117</v>
      </c>
      <c r="FL28" s="1336">
        <f t="shared" si="428"/>
        <v>8336</v>
      </c>
      <c r="FM28" s="1398">
        <f t="shared" si="302"/>
        <v>-1255</v>
      </c>
      <c r="FN28" s="1748">
        <f>'23R4'!K26</f>
        <v>95734</v>
      </c>
      <c r="FO28" s="1332">
        <f>'23R4'!E26</f>
        <v>18258</v>
      </c>
      <c r="FP28" s="1690">
        <f>'23R4'!C26</f>
        <v>64386</v>
      </c>
      <c r="FQ28" s="1310"/>
      <c r="FR28" s="1392">
        <f t="shared" si="303"/>
        <v>3177</v>
      </c>
      <c r="FS28" s="1310">
        <f>FT28-FU28</f>
        <v>4432</v>
      </c>
      <c r="FT28" s="868">
        <f>ROUND(FT$5*GA28/GA$6,0)</f>
        <v>88391</v>
      </c>
      <c r="FU28" s="1248">
        <f>ROUND(FU$5*FY28/FY$6,0)</f>
        <v>83959</v>
      </c>
      <c r="FV28" s="1336">
        <f>ROUND(FV$5*GA28/GA$6,0)</f>
        <v>-195</v>
      </c>
      <c r="FW28" s="1336">
        <f t="shared" si="429"/>
        <v>8297</v>
      </c>
      <c r="FX28" s="1398">
        <f t="shared" si="335"/>
        <v>-1255</v>
      </c>
      <c r="FY28" s="1332">
        <f>'24R5'!K26</f>
        <v>91929</v>
      </c>
      <c r="FZ28" s="1332">
        <f>'24R5'!E26</f>
        <v>18167</v>
      </c>
      <c r="GA28" s="1319">
        <v>91974</v>
      </c>
      <c r="GB28" s="1392">
        <f t="shared" si="305"/>
        <v>-227280</v>
      </c>
      <c r="GC28" s="1310">
        <f>GD28-GE28</f>
        <v>-226025</v>
      </c>
      <c r="GD28" s="868">
        <f>ROUND(GD$5*GK28/GK$6,0)</f>
        <v>94480</v>
      </c>
      <c r="GE28" s="1248">
        <f>ROUND(GE$5*GI28/GI$6,0)</f>
        <v>320505</v>
      </c>
      <c r="GF28" s="1336">
        <f>ROUND(GF$5*GK28/GK$6,0)</f>
        <v>-204</v>
      </c>
      <c r="GG28" s="1336">
        <f t="shared" si="430"/>
        <v>4233</v>
      </c>
      <c r="GH28" s="1398">
        <f t="shared" si="338"/>
        <v>-1255</v>
      </c>
      <c r="GI28" s="1332">
        <f>'25R6'!K26</f>
        <v>345839</v>
      </c>
      <c r="GJ28" s="1332">
        <f>'25R6'!E26</f>
        <v>18889</v>
      </c>
      <c r="GK28" s="1319">
        <v>91974</v>
      </c>
      <c r="GL28" s="1392">
        <f t="shared" si="307"/>
        <v>6808</v>
      </c>
      <c r="GM28" s="1310">
        <f>GN28-GO28</f>
        <v>8063</v>
      </c>
      <c r="GN28" s="868">
        <f>ROUND(GN$5*GU28/GU$6,0)</f>
        <v>204391</v>
      </c>
      <c r="GO28" s="1248">
        <f>ROUND(GO$5*GS28/GS$6,0)</f>
        <v>196328</v>
      </c>
      <c r="GP28" s="1336">
        <f>ROUND(GP$5*GU28/GU$6,0)</f>
        <v>-441</v>
      </c>
      <c r="GQ28" s="1336">
        <f t="shared" si="431"/>
        <v>4252</v>
      </c>
      <c r="GR28" s="1406">
        <f t="shared" si="341"/>
        <v>-1255</v>
      </c>
      <c r="GS28" s="1748">
        <f>'26R7'!K26</f>
        <v>213353</v>
      </c>
      <c r="GT28" s="1332">
        <f>'26R7'!E26</f>
        <v>19819</v>
      </c>
      <c r="GU28" s="1398">
        <v>213353</v>
      </c>
      <c r="GV28" s="1392">
        <f t="shared" si="309"/>
        <v>122343</v>
      </c>
      <c r="GW28" s="1310">
        <f>GX28-GY28</f>
        <v>123598</v>
      </c>
      <c r="GX28" s="868">
        <f>ROUND(GX$5*HE28/HE$6,0)</f>
        <v>229390</v>
      </c>
      <c r="GY28" s="1248">
        <f>ROUND(GY$5*HC28/HC$6,0)</f>
        <v>105792</v>
      </c>
      <c r="GZ28" s="1336">
        <f>ROUND(GZ$5*HE28/HE$6,0)</f>
        <v>-495</v>
      </c>
      <c r="HA28" s="1336">
        <f t="shared" si="432"/>
        <v>9217</v>
      </c>
      <c r="HB28" s="1406">
        <f t="shared" si="344"/>
        <v>-1255</v>
      </c>
      <c r="HC28" s="1748">
        <f>'27R8'!U26</f>
        <v>107160</v>
      </c>
      <c r="HD28" s="1690">
        <f>'27R8'!O26</f>
        <v>-9521</v>
      </c>
      <c r="HE28" s="1398">
        <v>238328</v>
      </c>
      <c r="HF28" s="1392">
        <f t="shared" si="311"/>
        <v>151333</v>
      </c>
      <c r="HG28" s="1310">
        <f>HH28-HI28</f>
        <v>152588</v>
      </c>
      <c r="HH28" s="868">
        <f>ROUND(HH$5*HO28/HO$6,0)</f>
        <v>260920</v>
      </c>
      <c r="HI28" s="1248">
        <f>ROUND(HI$5*HM28/HM$6,0)</f>
        <v>108332</v>
      </c>
      <c r="HJ28" s="1336">
        <f>ROUND(HJ$5*HO28/HO$6,0)</f>
        <v>-564</v>
      </c>
      <c r="HK28" s="1336">
        <f t="shared" si="433"/>
        <v>9217</v>
      </c>
      <c r="HL28" s="1406">
        <f t="shared" si="347"/>
        <v>-1255</v>
      </c>
      <c r="HM28" s="1748">
        <f>'28R9'!U26</f>
        <v>107160</v>
      </c>
      <c r="HN28" s="1332">
        <f>'28R9'!O26</f>
        <v>-9521</v>
      </c>
      <c r="HO28" s="1398">
        <v>268203</v>
      </c>
      <c r="HQ28" s="1310">
        <f>市町名目!J27</f>
        <v>63375</v>
      </c>
      <c r="HR28" s="1310">
        <f>市町名目!K27</f>
        <v>62771</v>
      </c>
      <c r="HS28" s="1310">
        <f>市町名目!L27</f>
        <v>64266</v>
      </c>
      <c r="HT28" s="1310">
        <f>市町名目!M27</f>
        <v>64386</v>
      </c>
      <c r="HU28" s="1310">
        <f>市町名目!N27</f>
        <v>67114</v>
      </c>
      <c r="HV28" s="1054">
        <v>83977</v>
      </c>
      <c r="HW28" s="1030">
        <v>96346</v>
      </c>
      <c r="HX28" s="1030">
        <v>238328</v>
      </c>
      <c r="HY28" s="1030">
        <v>268203</v>
      </c>
    </row>
    <row r="29" spans="1:233" ht="12.5">
      <c r="A29" s="1302"/>
      <c r="B29" s="1247" t="s">
        <v>192</v>
      </c>
      <c r="C29" s="856">
        <f t="shared" ref="C29:J29" si="434">SUM(C30:C34)</f>
        <v>203816</v>
      </c>
      <c r="D29" s="830">
        <f t="shared" si="434"/>
        <v>176581</v>
      </c>
      <c r="E29" s="830">
        <f t="shared" si="434"/>
        <v>2342707</v>
      </c>
      <c r="F29" s="830">
        <f t="shared" si="434"/>
        <v>2174777</v>
      </c>
      <c r="G29" s="830">
        <f t="shared" si="434"/>
        <v>-3738</v>
      </c>
      <c r="H29" s="830">
        <f t="shared" si="434"/>
        <v>137320</v>
      </c>
      <c r="I29" s="1337">
        <f t="shared" si="434"/>
        <v>27235</v>
      </c>
      <c r="J29" s="1338">
        <f t="shared" si="434"/>
        <v>2548541</v>
      </c>
      <c r="K29" s="1248">
        <f>+'7H18'!E27</f>
        <v>211175</v>
      </c>
      <c r="L29" s="1337">
        <f t="shared" ref="L29:S29" si="435">SUM(L30:L34)</f>
        <v>2752357</v>
      </c>
      <c r="M29" s="856">
        <f t="shared" si="435"/>
        <v>229501</v>
      </c>
      <c r="N29" s="830">
        <f t="shared" si="435"/>
        <v>182945</v>
      </c>
      <c r="O29" s="830">
        <f t="shared" ref="O29" si="436">SUM(O30:O34)</f>
        <v>2568798</v>
      </c>
      <c r="P29" s="830">
        <f t="shared" si="435"/>
        <v>2291721</v>
      </c>
      <c r="Q29" s="830">
        <f t="shared" si="435"/>
        <v>-6153</v>
      </c>
      <c r="R29" s="830">
        <f t="shared" si="435"/>
        <v>138886</v>
      </c>
      <c r="S29" s="1337">
        <f t="shared" si="435"/>
        <v>46556</v>
      </c>
      <c r="T29" s="1338">
        <f>+'8H19'!K27</f>
        <v>2577936</v>
      </c>
      <c r="U29" s="1248">
        <f>+'8H19'!E27</f>
        <v>215383</v>
      </c>
      <c r="V29" s="1337">
        <f t="shared" ref="V29:AC29" si="437">SUM(V30:V34)</f>
        <v>2807437</v>
      </c>
      <c r="W29" s="856">
        <f t="shared" si="437"/>
        <v>308673</v>
      </c>
      <c r="X29" s="830">
        <f t="shared" si="437"/>
        <v>267143</v>
      </c>
      <c r="Y29" s="830">
        <f t="shared" ref="Y29" si="438">SUM(Y30:Y34)</f>
        <v>2479994</v>
      </c>
      <c r="Z29" s="830">
        <f t="shared" si="437"/>
        <v>2338800</v>
      </c>
      <c r="AA29" s="830">
        <f t="shared" si="437"/>
        <v>-15959</v>
      </c>
      <c r="AB29" s="830">
        <f t="shared" si="437"/>
        <v>138760</v>
      </c>
      <c r="AC29" s="1337">
        <f t="shared" si="437"/>
        <v>41530</v>
      </c>
      <c r="AD29" s="1338">
        <f>+'9H20'!K27</f>
        <v>2650593</v>
      </c>
      <c r="AE29" s="1248">
        <f>+'9H20'!E27</f>
        <v>232393</v>
      </c>
      <c r="AF29" s="1337">
        <f t="shared" ref="AF29:AM29" si="439">SUM(AF30:AF34)</f>
        <v>2959266</v>
      </c>
      <c r="AG29" s="856">
        <f t="shared" si="439"/>
        <v>181437</v>
      </c>
      <c r="AH29" s="830">
        <f t="shared" si="439"/>
        <v>211417</v>
      </c>
      <c r="AI29" s="830">
        <f t="shared" ref="AI29" si="440">SUM(AI30:AI34)</f>
        <v>2009925</v>
      </c>
      <c r="AJ29" s="830">
        <f t="shared" si="439"/>
        <v>2114011</v>
      </c>
      <c r="AK29" s="830">
        <f t="shared" si="439"/>
        <v>1907</v>
      </c>
      <c r="AL29" s="830">
        <f t="shared" si="439"/>
        <v>135065</v>
      </c>
      <c r="AM29" s="1337">
        <f t="shared" si="439"/>
        <v>-29980</v>
      </c>
      <c r="AN29" s="1338">
        <f>+'10H21'!K27</f>
        <v>2574628</v>
      </c>
      <c r="AO29" s="1248">
        <f>+'10H21'!E27</f>
        <v>241396</v>
      </c>
      <c r="AP29" s="1337">
        <f>'10H21'!C27</f>
        <v>2756065</v>
      </c>
      <c r="AQ29" s="856">
        <f t="shared" ref="AQ29:AW29" si="441">SUM(AQ30:AQ34)</f>
        <v>389152</v>
      </c>
      <c r="AR29" s="830">
        <f t="shared" si="441"/>
        <v>356584</v>
      </c>
      <c r="AS29" s="830">
        <f t="shared" ref="AS29" si="442">SUM(AS30:AS34)</f>
        <v>2159697</v>
      </c>
      <c r="AT29" s="830">
        <f t="shared" si="441"/>
        <v>2087058</v>
      </c>
      <c r="AU29" s="830">
        <f t="shared" si="441"/>
        <v>-15823</v>
      </c>
      <c r="AV29" s="830">
        <f t="shared" si="441"/>
        <v>141653</v>
      </c>
      <c r="AW29" s="1337">
        <f t="shared" si="441"/>
        <v>32568</v>
      </c>
      <c r="AX29" s="1338">
        <f>+'11H22'!K27</f>
        <v>2482714</v>
      </c>
      <c r="AY29" s="1248">
        <f>+'11H22'!E27</f>
        <v>240191</v>
      </c>
      <c r="AZ29" s="1337">
        <f>'11H22'!C27</f>
        <v>2871866</v>
      </c>
      <c r="BA29" s="856">
        <f t="shared" ref="BA29:BG29" si="443">SUM(BA30:BA34)</f>
        <v>-44621</v>
      </c>
      <c r="BB29" s="830">
        <f t="shared" si="443"/>
        <v>-70246</v>
      </c>
      <c r="BC29" s="830">
        <f t="shared" ref="BC29" si="444">SUM(BC30:BC34)</f>
        <v>2053876</v>
      </c>
      <c r="BD29" s="830">
        <f t="shared" si="443"/>
        <v>2260088</v>
      </c>
      <c r="BE29" s="830">
        <f t="shared" si="443"/>
        <v>-10309</v>
      </c>
      <c r="BF29" s="830">
        <f t="shared" si="443"/>
        <v>143379</v>
      </c>
      <c r="BG29" s="1337">
        <f t="shared" si="443"/>
        <v>25625</v>
      </c>
      <c r="BH29" s="1338">
        <f>+'12H23'!K27</f>
        <v>2634305</v>
      </c>
      <c r="BI29" s="1248">
        <f>+'12H23'!E27</f>
        <v>251571</v>
      </c>
      <c r="BJ29" s="1337">
        <f>'12H23'!C27</f>
        <v>2589684</v>
      </c>
      <c r="BK29" s="856">
        <f t="shared" ref="BK29:BQ29" si="445">SUM(BK30:BK34)</f>
        <v>145174</v>
      </c>
      <c r="BL29" s="830">
        <f t="shared" si="445"/>
        <v>99703</v>
      </c>
      <c r="BM29" s="830">
        <f t="shared" ref="BM29" si="446">SUM(BM30:BM34)</f>
        <v>2136252</v>
      </c>
      <c r="BN29" s="830">
        <f t="shared" si="445"/>
        <v>2223394</v>
      </c>
      <c r="BO29" s="830">
        <f t="shared" si="445"/>
        <v>-8880</v>
      </c>
      <c r="BP29" s="830">
        <f t="shared" si="445"/>
        <v>140756</v>
      </c>
      <c r="BQ29" s="1337">
        <f t="shared" si="445"/>
        <v>45471</v>
      </c>
      <c r="BR29" s="1338">
        <f>+'13H24'!K27</f>
        <v>2596859</v>
      </c>
      <c r="BS29" s="1248">
        <f>+'13H24'!E27</f>
        <v>257117</v>
      </c>
      <c r="BT29" s="1337">
        <f>'13H24'!C27</f>
        <v>2742033</v>
      </c>
      <c r="BU29" s="856">
        <f t="shared" ref="BU29:CA29" si="447">SUM(BU30:BU34)</f>
        <v>118541</v>
      </c>
      <c r="BV29" s="830">
        <f t="shared" si="447"/>
        <v>79413</v>
      </c>
      <c r="BW29" s="830">
        <f t="shared" ref="BW29" si="448">SUM(BW30:BW34)</f>
        <v>2175601</v>
      </c>
      <c r="BX29" s="830">
        <f t="shared" si="447"/>
        <v>2284265</v>
      </c>
      <c r="BY29" s="830">
        <f t="shared" si="447"/>
        <v>-8968</v>
      </c>
      <c r="BZ29" s="830">
        <f t="shared" si="447"/>
        <v>141362</v>
      </c>
      <c r="CA29" s="1337">
        <f t="shared" si="447"/>
        <v>39128</v>
      </c>
      <c r="CB29" s="1338">
        <f>+'14H25'!K27</f>
        <v>2669548</v>
      </c>
      <c r="CC29" s="1248">
        <f>+'14H25'!E27</f>
        <v>268662</v>
      </c>
      <c r="CD29" s="1337">
        <f>'14H25'!C27</f>
        <v>2788089</v>
      </c>
      <c r="CE29" s="856">
        <f t="shared" ref="CE29:CK29" si="449">SUM(CE30:CE34)</f>
        <v>-3514</v>
      </c>
      <c r="CF29" s="830">
        <f t="shared" si="449"/>
        <v>27178</v>
      </c>
      <c r="CG29" s="830">
        <f t="shared" ref="CG29" si="450">SUM(CG30:CG34)</f>
        <v>2272360</v>
      </c>
      <c r="CH29" s="830">
        <f t="shared" si="449"/>
        <v>2428236</v>
      </c>
      <c r="CI29" s="830">
        <f t="shared" si="449"/>
        <v>-9883</v>
      </c>
      <c r="CJ29" s="830">
        <f t="shared" si="449"/>
        <v>142337</v>
      </c>
      <c r="CK29" s="1337">
        <f t="shared" si="449"/>
        <v>-30692</v>
      </c>
      <c r="CL29" s="1338">
        <f>+'15H26'!K27</f>
        <v>2824977</v>
      </c>
      <c r="CM29" s="1248">
        <f>+'15H26'!E27</f>
        <v>271632</v>
      </c>
      <c r="CN29" s="1337">
        <f>'15H26'!C27</f>
        <v>2821463</v>
      </c>
      <c r="CO29" s="856">
        <f t="shared" ref="CO29:CU29" si="451">SUM(CO30:CO34)</f>
        <v>280729</v>
      </c>
      <c r="CP29" s="830">
        <f t="shared" si="451"/>
        <v>247190</v>
      </c>
      <c r="CQ29" s="830">
        <f t="shared" ref="CQ29" si="452">SUM(CQ30:CQ34)</f>
        <v>2292896</v>
      </c>
      <c r="CR29" s="830">
        <f t="shared" si="451"/>
        <v>2225289</v>
      </c>
      <c r="CS29" s="830">
        <f t="shared" si="451"/>
        <v>-10335</v>
      </c>
      <c r="CT29" s="830">
        <f t="shared" si="451"/>
        <v>140309</v>
      </c>
      <c r="CU29" s="1337">
        <f t="shared" si="451"/>
        <v>33539</v>
      </c>
      <c r="CV29" s="1338">
        <f>+'16H27'!K27</f>
        <v>2676773</v>
      </c>
      <c r="CW29" s="1248">
        <f>+'16H27'!E27</f>
        <v>275896</v>
      </c>
      <c r="CX29" s="1337">
        <f>'16H27'!C27</f>
        <v>2957502</v>
      </c>
      <c r="CY29" s="856">
        <f t="shared" ref="CY29:DE29" si="453">SUM(CY30:CY34)</f>
        <v>226134</v>
      </c>
      <c r="CZ29" s="830">
        <f t="shared" si="453"/>
        <v>228540</v>
      </c>
      <c r="DA29" s="830">
        <f t="shared" ref="DA29" si="454">SUM(DA30:DA34)</f>
        <v>2174923</v>
      </c>
      <c r="DB29" s="830">
        <f t="shared" si="453"/>
        <v>2170038</v>
      </c>
      <c r="DC29" s="830">
        <f t="shared" si="453"/>
        <v>-9189</v>
      </c>
      <c r="DD29" s="830">
        <f t="shared" si="453"/>
        <v>143475</v>
      </c>
      <c r="DE29" s="1337">
        <f t="shared" si="453"/>
        <v>-2406</v>
      </c>
      <c r="DF29" s="1338">
        <f>+'17H28'!K27</f>
        <v>2683357</v>
      </c>
      <c r="DG29" s="1248">
        <f>+'17H28'!E27</f>
        <v>279016</v>
      </c>
      <c r="DH29" s="1337">
        <f>'17H28'!C27</f>
        <v>2909491</v>
      </c>
      <c r="DI29" s="856">
        <f t="shared" ref="DI29:DO29" si="455">SUM(DI30:DI34)</f>
        <v>131142</v>
      </c>
      <c r="DJ29" s="830">
        <f t="shared" si="455"/>
        <v>236329</v>
      </c>
      <c r="DK29" s="830">
        <f t="shared" ref="DK29" si="456">SUM(DK30:DK34)</f>
        <v>2282811</v>
      </c>
      <c r="DL29" s="830">
        <f t="shared" si="455"/>
        <v>2319859</v>
      </c>
      <c r="DM29" s="830">
        <f t="shared" si="455"/>
        <v>-7282</v>
      </c>
      <c r="DN29" s="830">
        <f t="shared" si="455"/>
        <v>122531</v>
      </c>
      <c r="DO29" s="1337">
        <f t="shared" si="455"/>
        <v>-105187</v>
      </c>
      <c r="DP29" s="1338">
        <f>+'18H29'!K27</f>
        <v>2795007</v>
      </c>
      <c r="DQ29" s="1248">
        <f>+'18H29'!E27</f>
        <v>265938</v>
      </c>
      <c r="DR29" s="1337">
        <f>+'18H29'!C27</f>
        <v>2926149</v>
      </c>
      <c r="DS29" s="856">
        <f t="shared" ref="DS29:DY29" si="457">SUM(DS30:DS34)</f>
        <v>196955</v>
      </c>
      <c r="DT29" s="830">
        <f t="shared" si="457"/>
        <v>359974</v>
      </c>
      <c r="DU29" s="830">
        <f t="shared" ref="DU29" si="458">SUM(DU30:DU34)</f>
        <v>2342772</v>
      </c>
      <c r="DV29" s="830">
        <f t="shared" si="457"/>
        <v>2357648</v>
      </c>
      <c r="DW29" s="830">
        <f t="shared" si="457"/>
        <v>-7639</v>
      </c>
      <c r="DX29" s="830">
        <f t="shared" si="457"/>
        <v>127142</v>
      </c>
      <c r="DY29" s="1337">
        <f t="shared" si="457"/>
        <v>-163019</v>
      </c>
      <c r="DZ29" s="1338">
        <f>+'19H30'!K27</f>
        <v>2768488</v>
      </c>
      <c r="EA29" s="1248">
        <f>+'19H30'!E27</f>
        <v>270067</v>
      </c>
      <c r="EB29" s="1337">
        <f>+'19H30'!C27</f>
        <v>2965443</v>
      </c>
      <c r="EC29" s="856">
        <f t="shared" ref="EC29:EI29" si="459">SUM(EC30:EC34)</f>
        <v>147128</v>
      </c>
      <c r="ED29" s="830">
        <f t="shared" si="459"/>
        <v>380172</v>
      </c>
      <c r="EE29" s="830">
        <f t="shared" ref="EE29" si="460">SUM(EE30:EE34)</f>
        <v>2324497</v>
      </c>
      <c r="EF29" s="830">
        <f t="shared" si="459"/>
        <v>2391479</v>
      </c>
      <c r="EG29" s="830">
        <f t="shared" si="459"/>
        <v>-7262</v>
      </c>
      <c r="EH29" s="830">
        <f t="shared" si="459"/>
        <v>129724</v>
      </c>
      <c r="EI29" s="1337">
        <f t="shared" si="459"/>
        <v>-233044</v>
      </c>
      <c r="EJ29" s="1338">
        <f>+'20R1'!K27</f>
        <v>2855131</v>
      </c>
      <c r="EK29" s="1248">
        <f>+'20R1'!E27</f>
        <v>283068</v>
      </c>
      <c r="EL29" s="1337">
        <f>+'20R1'!C27</f>
        <v>3002259</v>
      </c>
      <c r="EM29" s="856">
        <f t="shared" ref="EM29" si="461">SUM(EM30:EM34)</f>
        <v>289742</v>
      </c>
      <c r="EN29" s="830">
        <f t="shared" ref="EN29:EU29" si="462">SUM(EN30:EN34)</f>
        <v>344148</v>
      </c>
      <c r="EO29" s="830">
        <f t="shared" si="462"/>
        <v>2133892</v>
      </c>
      <c r="EP29" s="830">
        <f t="shared" si="462"/>
        <v>2151521</v>
      </c>
      <c r="EQ29" s="1336">
        <f t="shared" si="462"/>
        <v>-5591</v>
      </c>
      <c r="ER29" s="1336">
        <f t="shared" si="462"/>
        <v>127959</v>
      </c>
      <c r="ES29" s="850">
        <f t="shared" si="462"/>
        <v>-54406</v>
      </c>
      <c r="ET29" s="1338">
        <f t="shared" si="462"/>
        <v>2681620</v>
      </c>
      <c r="EU29" s="830">
        <f t="shared" si="462"/>
        <v>282384</v>
      </c>
      <c r="EV29" s="1317">
        <f>+'21R2'!C27</f>
        <v>2971362</v>
      </c>
      <c r="EW29" s="1392">
        <f t="shared" si="298"/>
        <v>-177549</v>
      </c>
      <c r="EX29" s="1393">
        <f t="shared" ref="EX29:FC29" si="463">SUM(EX30:EX34)</f>
        <v>-119754</v>
      </c>
      <c r="EY29" s="1393">
        <f t="shared" si="463"/>
        <v>2328718</v>
      </c>
      <c r="EZ29" s="1393">
        <f t="shared" si="463"/>
        <v>2448472</v>
      </c>
      <c r="FA29" s="1393">
        <f t="shared" si="463"/>
        <v>-3065</v>
      </c>
      <c r="FB29" s="1393">
        <f t="shared" si="463"/>
        <v>136109</v>
      </c>
      <c r="FC29" s="1693">
        <f t="shared" si="463"/>
        <v>-57795</v>
      </c>
      <c r="FD29" s="1414">
        <f>'22R3'!K27</f>
        <v>2830429</v>
      </c>
      <c r="FE29" s="1310">
        <f>'22R3'!E27</f>
        <v>308976</v>
      </c>
      <c r="FF29" s="1690">
        <f>'22R3'!C27</f>
        <v>2960193</v>
      </c>
      <c r="FG29" s="1392">
        <f t="shared" si="300"/>
        <v>-210661</v>
      </c>
      <c r="FH29" s="1393">
        <f t="shared" ref="FH29:FL29" si="464">SUM(FH30:FH34)</f>
        <v>-152866</v>
      </c>
      <c r="FI29" s="830">
        <f t="shared" si="464"/>
        <v>2589631</v>
      </c>
      <c r="FJ29" s="830">
        <f t="shared" si="464"/>
        <v>2742497</v>
      </c>
      <c r="FK29" s="1336">
        <f t="shared" si="464"/>
        <v>-5799</v>
      </c>
      <c r="FL29" s="1336">
        <f t="shared" si="464"/>
        <v>140391</v>
      </c>
      <c r="FM29" s="1398">
        <f t="shared" si="302"/>
        <v>-57795</v>
      </c>
      <c r="FN29" s="1748">
        <f>'23R4'!K27</f>
        <v>2955884</v>
      </c>
      <c r="FO29" s="1332">
        <f>'23R4'!E27</f>
        <v>307507</v>
      </c>
      <c r="FP29" s="1690">
        <f>'23R4'!C27</f>
        <v>3191504</v>
      </c>
      <c r="FQ29" s="1310"/>
      <c r="FR29" s="1392">
        <f t="shared" si="303"/>
        <v>-354400</v>
      </c>
      <c r="FS29" s="1393">
        <f t="shared" ref="FS29:FW29" si="465">SUM(FS30:FS34)</f>
        <v>-296605</v>
      </c>
      <c r="FT29" s="830">
        <f t="shared" si="465"/>
        <v>2821851</v>
      </c>
      <c r="FU29" s="830">
        <f t="shared" si="465"/>
        <v>3118456</v>
      </c>
      <c r="FV29" s="1336">
        <f t="shared" si="465"/>
        <v>-6216</v>
      </c>
      <c r="FW29" s="1336">
        <f t="shared" si="465"/>
        <v>142470</v>
      </c>
      <c r="FX29" s="1398">
        <f t="shared" si="335"/>
        <v>-57795</v>
      </c>
      <c r="FY29" s="1332">
        <f>'24R5'!K27</f>
        <v>3414495</v>
      </c>
      <c r="FZ29" s="1332">
        <f>'24R5'!E27</f>
        <v>311956</v>
      </c>
      <c r="GA29" s="1319">
        <v>2936240</v>
      </c>
      <c r="GB29" s="1392">
        <f t="shared" si="305"/>
        <v>-111830</v>
      </c>
      <c r="GC29" s="1393">
        <f t="shared" ref="GC29:GG29" si="466">SUM(GC30:GC34)</f>
        <v>-54035</v>
      </c>
      <c r="GD29" s="830">
        <f t="shared" si="466"/>
        <v>3016244</v>
      </c>
      <c r="GE29" s="830">
        <f t="shared" si="466"/>
        <v>3070279</v>
      </c>
      <c r="GF29" s="1336">
        <f t="shared" si="466"/>
        <v>-6502</v>
      </c>
      <c r="GG29" s="1336">
        <f t="shared" si="466"/>
        <v>73719</v>
      </c>
      <c r="GH29" s="1398">
        <f t="shared" si="338"/>
        <v>-57795</v>
      </c>
      <c r="GI29" s="1332">
        <f>'25R6'!K27</f>
        <v>3312962</v>
      </c>
      <c r="GJ29" s="1332">
        <f>'25R6'!E27</f>
        <v>328970</v>
      </c>
      <c r="GK29" s="1319">
        <v>2936240</v>
      </c>
      <c r="GL29" s="1392">
        <f t="shared" si="307"/>
        <v>71198</v>
      </c>
      <c r="GM29" s="1393">
        <f t="shared" ref="GM29:GQ29" si="467">SUM(GM30:GM34)</f>
        <v>128993</v>
      </c>
      <c r="GN29" s="830">
        <f t="shared" si="467"/>
        <v>3269770</v>
      </c>
      <c r="GO29" s="830">
        <f t="shared" si="467"/>
        <v>3140777</v>
      </c>
      <c r="GP29" s="1336">
        <f t="shared" si="467"/>
        <v>-7063</v>
      </c>
      <c r="GQ29" s="1336">
        <f t="shared" si="467"/>
        <v>72884</v>
      </c>
      <c r="GR29" s="1406">
        <f t="shared" si="341"/>
        <v>-57795</v>
      </c>
      <c r="GS29" s="1748">
        <f>'26R7'!K27</f>
        <v>3413136</v>
      </c>
      <c r="GT29" s="1332">
        <f>'26R7'!E27</f>
        <v>339761</v>
      </c>
      <c r="GU29" s="1398">
        <v>3413136</v>
      </c>
      <c r="GV29" s="1392">
        <f t="shared" si="309"/>
        <v>125435</v>
      </c>
      <c r="GW29" s="1393">
        <f t="shared" ref="GW29:HA29" si="468">SUM(GW30:GW34)</f>
        <v>183230</v>
      </c>
      <c r="GX29" s="830">
        <f t="shared" si="468"/>
        <v>3343222</v>
      </c>
      <c r="GY29" s="830">
        <f t="shared" si="468"/>
        <v>3159992</v>
      </c>
      <c r="GZ29" s="1336">
        <f t="shared" si="468"/>
        <v>-7221</v>
      </c>
      <c r="HA29" s="1336">
        <f t="shared" si="468"/>
        <v>93913</v>
      </c>
      <c r="HB29" s="1406">
        <f t="shared" si="344"/>
        <v>-57795</v>
      </c>
      <c r="HC29" s="1748">
        <f>'27R8'!U27</f>
        <v>3200858</v>
      </c>
      <c r="HD29" s="1690">
        <f>'27R8'!O27</f>
        <v>-97015</v>
      </c>
      <c r="HE29" s="1398">
        <v>3473493</v>
      </c>
      <c r="HF29" s="1392">
        <f t="shared" si="311"/>
        <v>147926</v>
      </c>
      <c r="HG29" s="1393">
        <f t="shared" ref="HG29:HK29" si="469">SUM(HG30:HG34)</f>
        <v>205721</v>
      </c>
      <c r="HH29" s="830">
        <f t="shared" si="469"/>
        <v>3441597</v>
      </c>
      <c r="HI29" s="830">
        <f t="shared" si="469"/>
        <v>3235876</v>
      </c>
      <c r="HJ29" s="1336">
        <f t="shared" si="469"/>
        <v>-7434</v>
      </c>
      <c r="HK29" s="1336">
        <f t="shared" si="469"/>
        <v>93913</v>
      </c>
      <c r="HL29" s="1406">
        <f t="shared" si="347"/>
        <v>-57795</v>
      </c>
      <c r="HM29" s="1748">
        <f>'28R9'!U27</f>
        <v>3200858</v>
      </c>
      <c r="HN29" s="1332">
        <f>'28R9'!O27</f>
        <v>-97015</v>
      </c>
      <c r="HO29" s="1398">
        <v>3537668</v>
      </c>
      <c r="HP29" s="830"/>
      <c r="HQ29" s="1310">
        <f>市町名目!J28</f>
        <v>3002259</v>
      </c>
      <c r="HR29" s="1310">
        <f>市町名目!K28</f>
        <v>2971362</v>
      </c>
      <c r="HS29" s="1310">
        <f>市町名目!L28</f>
        <v>2960193</v>
      </c>
      <c r="HT29" s="1310">
        <f>市町名目!M28</f>
        <v>3191504</v>
      </c>
      <c r="HU29" s="1310">
        <f>市町名目!N28</f>
        <v>3149681</v>
      </c>
      <c r="HV29" s="1333">
        <v>3055855</v>
      </c>
      <c r="HW29" s="1725">
        <v>3337823</v>
      </c>
      <c r="HX29" s="1725">
        <v>3473493</v>
      </c>
      <c r="HY29" s="1725">
        <v>3537668</v>
      </c>
    </row>
    <row r="30" spans="1:233" ht="12.5">
      <c r="A30" s="1334">
        <v>203</v>
      </c>
      <c r="B30" s="1335" t="s">
        <v>193</v>
      </c>
      <c r="C30" s="1316">
        <f>+L30-J30</f>
        <v>67800</v>
      </c>
      <c r="D30" s="1248">
        <f>C30-I30</f>
        <v>57169</v>
      </c>
      <c r="E30" s="850">
        <f>ROUND(E$5*L30/L$6,0)</f>
        <v>914510</v>
      </c>
      <c r="F30" s="1248">
        <f>ROUND(F$5*J30/J$6,0)</f>
        <v>858994</v>
      </c>
      <c r="G30" s="830">
        <f>ROUND(G$5*L30/L$6,0)</f>
        <v>-1459</v>
      </c>
      <c r="H30" s="830">
        <f t="shared" ref="H30:I34" si="470">ROUND(H$5*K30/K$6,0)</f>
        <v>54999</v>
      </c>
      <c r="I30" s="1317">
        <f t="shared" si="470"/>
        <v>10631</v>
      </c>
      <c r="J30" s="1318">
        <f>'7H18'!K28</f>
        <v>1006623</v>
      </c>
      <c r="K30" s="1248">
        <f>+'7H18'!E28</f>
        <v>84580</v>
      </c>
      <c r="L30" s="1317">
        <f>'7H18'!C28</f>
        <v>1074423</v>
      </c>
      <c r="M30" s="1316">
        <f>+V30-T30</f>
        <v>76964</v>
      </c>
      <c r="N30" s="1248">
        <f>M30-S30</f>
        <v>58883</v>
      </c>
      <c r="O30" s="850">
        <f>ROUND(O$5*V30/V$6,0)</f>
        <v>997678</v>
      </c>
      <c r="P30" s="1248">
        <f>ROUND(P$5*T30/T$6,0)</f>
        <v>900885</v>
      </c>
      <c r="Q30" s="830">
        <f>ROUND(Q$5*V30/V$6,0)</f>
        <v>-2390</v>
      </c>
      <c r="R30" s="830">
        <f t="shared" ref="R30:S34" si="471">ROUND(R$5*U30/U$6,0)</f>
        <v>54815</v>
      </c>
      <c r="S30" s="1317">
        <f t="shared" si="471"/>
        <v>18081</v>
      </c>
      <c r="T30" s="1318">
        <f>+'8H19'!K28</f>
        <v>1013397</v>
      </c>
      <c r="U30" s="1248">
        <f>+'8H19'!E28</f>
        <v>85007</v>
      </c>
      <c r="V30" s="1317">
        <f>'8H19'!C28</f>
        <v>1090361</v>
      </c>
      <c r="W30" s="1316">
        <f>+AF30-AD30</f>
        <v>75606</v>
      </c>
      <c r="X30" s="1248">
        <f>W30-AC30</f>
        <v>59925</v>
      </c>
      <c r="Y30" s="850">
        <f>ROUND(Y$5*AF30/AF$6,0)</f>
        <v>936390</v>
      </c>
      <c r="Z30" s="1248">
        <f>ROUND(Z$5*AD30/AD$6,0)</f>
        <v>919204</v>
      </c>
      <c r="AA30" s="830">
        <f>ROUND(AA$5*AF30/AF$6,0)</f>
        <v>-6026</v>
      </c>
      <c r="AB30" s="830">
        <f t="shared" ref="AB30:AC34" si="472">ROUND(AB$5*AE30/AE$6,0)</f>
        <v>56586</v>
      </c>
      <c r="AC30" s="1317">
        <f t="shared" si="472"/>
        <v>15681</v>
      </c>
      <c r="AD30" s="1318">
        <f>+'9H20'!K28</f>
        <v>1041746</v>
      </c>
      <c r="AE30" s="1248">
        <f>+'9H20'!E28</f>
        <v>94769</v>
      </c>
      <c r="AF30" s="1317">
        <f>'9H20'!C28</f>
        <v>1117352</v>
      </c>
      <c r="AG30" s="1316">
        <f>+AP30-AN30</f>
        <v>98279</v>
      </c>
      <c r="AH30" s="1248">
        <f>AG30-AM30</f>
        <v>109922</v>
      </c>
      <c r="AI30" s="850">
        <f>ROUND(AI$5*AP30/AP$6,0)</f>
        <v>780583</v>
      </c>
      <c r="AJ30" s="1248">
        <f>ROUND(AJ$5*AN30/AN$6,0)</f>
        <v>798167</v>
      </c>
      <c r="AK30" s="830">
        <f>ROUND(AK$5*AP30/AP$6,0)</f>
        <v>740</v>
      </c>
      <c r="AL30" s="830">
        <f t="shared" ref="AL30:AM34" si="473">ROUND(AL$5*AO30/AO$6,0)</f>
        <v>57064</v>
      </c>
      <c r="AM30" s="1317">
        <f t="shared" si="473"/>
        <v>-11643</v>
      </c>
      <c r="AN30" s="1318">
        <f>+'10H21'!K28</f>
        <v>972078</v>
      </c>
      <c r="AO30" s="1248">
        <f>+'10H21'!E28</f>
        <v>101988</v>
      </c>
      <c r="AP30" s="1317">
        <f>'10H21'!C28</f>
        <v>1070357</v>
      </c>
      <c r="AQ30" s="1316">
        <f>+AZ30-AX30</f>
        <v>110845</v>
      </c>
      <c r="AR30" s="1248">
        <f>AQ30-AW30</f>
        <v>98480</v>
      </c>
      <c r="AS30" s="850">
        <f>ROUND(AS$5*AZ30/AZ$6,0)</f>
        <v>819952</v>
      </c>
      <c r="AT30" s="1248">
        <f>ROUND(AT$5*AX30/AX$6,0)</f>
        <v>823394</v>
      </c>
      <c r="AU30" s="830">
        <f>ROUND(AU$5*AZ30/AZ$6,0)</f>
        <v>-6007</v>
      </c>
      <c r="AV30" s="830">
        <f t="shared" ref="AV30:AW34" si="474">ROUND(AV$5*AY30/AY$6,0)</f>
        <v>59761</v>
      </c>
      <c r="AW30" s="1317">
        <f t="shared" si="474"/>
        <v>12365</v>
      </c>
      <c r="AX30" s="1318">
        <f>+'11H22'!K28</f>
        <v>979490</v>
      </c>
      <c r="AY30" s="1248">
        <f>+'11H22'!E28</f>
        <v>101333</v>
      </c>
      <c r="AZ30" s="1317">
        <f>'11H22'!C28</f>
        <v>1090335</v>
      </c>
      <c r="BA30" s="1316">
        <f>+BJ30-BH30</f>
        <v>2753</v>
      </c>
      <c r="BB30" s="1248">
        <f>BA30-BG30</f>
        <v>-7136</v>
      </c>
      <c r="BC30" s="850">
        <f>ROUND(BC$5*BJ30/BJ$6,0)</f>
        <v>792652</v>
      </c>
      <c r="BD30" s="1248">
        <f>ROUND(BD$5*BH30/BH$6,0)</f>
        <v>855099</v>
      </c>
      <c r="BE30" s="830">
        <f>ROUND(BE$5*BJ30/BJ$6,0)</f>
        <v>-3979</v>
      </c>
      <c r="BF30" s="830">
        <f t="shared" ref="BF30:BG34" si="475">ROUND(BF$5*BI30/BI$6,0)</f>
        <v>60625</v>
      </c>
      <c r="BG30" s="1317">
        <f t="shared" si="475"/>
        <v>9889</v>
      </c>
      <c r="BH30" s="1318">
        <f>+'12H23'!K28</f>
        <v>996683</v>
      </c>
      <c r="BI30" s="1248">
        <f>+'12H23'!E28</f>
        <v>106372</v>
      </c>
      <c r="BJ30" s="1317">
        <f>'12H23'!C28</f>
        <v>999436</v>
      </c>
      <c r="BK30" s="1316">
        <f>+BT30-BR30</f>
        <v>95262</v>
      </c>
      <c r="BL30" s="1248">
        <f>BK30-BQ30</f>
        <v>77063</v>
      </c>
      <c r="BM30" s="850">
        <f>ROUND(BM$5*BT30/BT$6,0)</f>
        <v>855005</v>
      </c>
      <c r="BN30" s="1248">
        <f>ROUND(BN$5*BR30/BR$6,0)</f>
        <v>858068</v>
      </c>
      <c r="BO30" s="830">
        <f>ROUND(BO$5*BT30/BT$6,0)</f>
        <v>-3554</v>
      </c>
      <c r="BP30" s="830">
        <f t="shared" ref="BP30:BQ34" si="476">ROUND(BP$5*BS30/BS$6,0)</f>
        <v>59814</v>
      </c>
      <c r="BQ30" s="1317">
        <f t="shared" si="476"/>
        <v>18199</v>
      </c>
      <c r="BR30" s="1318">
        <f>+'13H24'!K28</f>
        <v>1002198</v>
      </c>
      <c r="BS30" s="1248">
        <f>+'13H24'!E28</f>
        <v>109262</v>
      </c>
      <c r="BT30" s="1317">
        <f>'13H24'!C28</f>
        <v>1097460</v>
      </c>
      <c r="BU30" s="1316">
        <f>+CD30-CB30</f>
        <v>-3887</v>
      </c>
      <c r="BV30" s="1248">
        <f>BU30-CA30</f>
        <v>-18943</v>
      </c>
      <c r="BW30" s="850">
        <f>ROUND(BW$5*CD30/CD$6,0)</f>
        <v>837123</v>
      </c>
      <c r="BX30" s="1248">
        <f>ROUND(BX$5*CB30/CB$6,0)</f>
        <v>921289</v>
      </c>
      <c r="BY30" s="830">
        <f>ROUND(BY$5*CD30/CD$6,0)</f>
        <v>-3450</v>
      </c>
      <c r="BZ30" s="830">
        <f t="shared" ref="BZ30:CA34" si="477">ROUND(BZ$5*CC30/CC$6,0)</f>
        <v>60491</v>
      </c>
      <c r="CA30" s="1317">
        <f t="shared" si="477"/>
        <v>15056</v>
      </c>
      <c r="CB30" s="1318">
        <f>+'14H25'!K28</f>
        <v>1076681</v>
      </c>
      <c r="CC30" s="1248">
        <f>+'14H25'!E28</f>
        <v>114964</v>
      </c>
      <c r="CD30" s="1317">
        <f>'14H25'!C28</f>
        <v>1072794</v>
      </c>
      <c r="CE30" s="1316">
        <f>+CN30-CL30</f>
        <v>67024</v>
      </c>
      <c r="CF30" s="1248">
        <f>CE30-CK30</f>
        <v>79453</v>
      </c>
      <c r="CG30" s="850">
        <f>ROUND(CG$5*CN30/CN$6,0)</f>
        <v>920195</v>
      </c>
      <c r="CH30" s="1248">
        <f>ROUND(CH$5*CL30/CL$6,0)</f>
        <v>924483</v>
      </c>
      <c r="CI30" s="830">
        <f>ROUND(CI$5*CN30/CN$6,0)</f>
        <v>-4002</v>
      </c>
      <c r="CJ30" s="830">
        <f t="shared" ref="CJ30:CK34" si="478">ROUND(CJ$5*CM30/CM$6,0)</f>
        <v>60402</v>
      </c>
      <c r="CK30" s="1317">
        <f t="shared" si="478"/>
        <v>-12429</v>
      </c>
      <c r="CL30" s="1318">
        <f>+'15H26'!K28</f>
        <v>1075531</v>
      </c>
      <c r="CM30" s="1248">
        <f>+'15H26'!E28</f>
        <v>115270</v>
      </c>
      <c r="CN30" s="1317">
        <f>'15H26'!C28</f>
        <v>1142555</v>
      </c>
      <c r="CO30" s="1316">
        <f>+CX30-CV30</f>
        <v>107081</v>
      </c>
      <c r="CP30" s="1248">
        <f>CO30-CU30</f>
        <v>93563</v>
      </c>
      <c r="CQ30" s="850">
        <f>ROUND(CQ$5*CX30/CX$6,0)</f>
        <v>924178</v>
      </c>
      <c r="CR30" s="1248">
        <f>ROUND(CR$5*CV30/CV$6,0)</f>
        <v>901974</v>
      </c>
      <c r="CS30" s="830">
        <f>ROUND(CS$5*CX30/CX$6,0)</f>
        <v>-4166</v>
      </c>
      <c r="CT30" s="830">
        <f t="shared" ref="CT30:CU34" si="479">ROUND(CT$5*CW30/CW$6,0)</f>
        <v>60110</v>
      </c>
      <c r="CU30" s="1317">
        <f t="shared" si="479"/>
        <v>13518</v>
      </c>
      <c r="CV30" s="1318">
        <f>+'16H27'!K28</f>
        <v>1084974</v>
      </c>
      <c r="CW30" s="1248">
        <f>+'16H27'!E28</f>
        <v>118198</v>
      </c>
      <c r="CX30" s="1317">
        <f>'16H27'!C28</f>
        <v>1192055</v>
      </c>
      <c r="CY30" s="1316">
        <f>+DH30-DF30</f>
        <v>77650</v>
      </c>
      <c r="CZ30" s="1248">
        <f>CY30-DE30</f>
        <v>78615</v>
      </c>
      <c r="DA30" s="850">
        <f>ROUND(DA$5*DH30/DH$6,0)</f>
        <v>872524</v>
      </c>
      <c r="DB30" s="1248">
        <f>ROUND(DB$5*DF30/DF$6,0)</f>
        <v>881133</v>
      </c>
      <c r="DC30" s="830">
        <f>ROUND(DC$5*DH30/DH$6,0)</f>
        <v>-3686</v>
      </c>
      <c r="DD30" s="830">
        <f t="shared" ref="DD30:DE34" si="480">ROUND(DD$5*DG30/DG$6,0)</f>
        <v>61144</v>
      </c>
      <c r="DE30" s="1317">
        <f t="shared" si="480"/>
        <v>-965</v>
      </c>
      <c r="DF30" s="1318">
        <f>+'17H28'!K28</f>
        <v>1089564</v>
      </c>
      <c r="DG30" s="1248">
        <f>+'17H28'!E28</f>
        <v>118907</v>
      </c>
      <c r="DH30" s="1317">
        <f>'17H28'!C28</f>
        <v>1167214</v>
      </c>
      <c r="DI30" s="1316">
        <f>+DR30-DP30</f>
        <v>27745</v>
      </c>
      <c r="DJ30" s="1248">
        <f>DI30-DO30</f>
        <v>69389</v>
      </c>
      <c r="DK30" s="850">
        <f>ROUND(DK$5*DR30/DR$6,0)</f>
        <v>903775</v>
      </c>
      <c r="DL30" s="1248">
        <f>ROUND(DL$5*DP30/DP$6,0)</f>
        <v>938507</v>
      </c>
      <c r="DM30" s="830">
        <f>ROUND(DM$5*DR30/DR$6,0)</f>
        <v>-2883</v>
      </c>
      <c r="DN30" s="830">
        <f t="shared" ref="DN30:DO34" si="481">ROUND(DN$5*DQ30/DQ$6,0)</f>
        <v>52624</v>
      </c>
      <c r="DO30" s="1317">
        <f t="shared" si="481"/>
        <v>-41644</v>
      </c>
      <c r="DP30" s="1318">
        <f>+'18H29'!K28</f>
        <v>1130730</v>
      </c>
      <c r="DQ30" s="1248">
        <f>+'18H29'!E28</f>
        <v>114213</v>
      </c>
      <c r="DR30" s="1317">
        <f>+'18H29'!C28</f>
        <v>1158475</v>
      </c>
      <c r="DS30" s="1316">
        <f>+EB30-DZ30</f>
        <v>53046</v>
      </c>
      <c r="DT30" s="1248">
        <f>DS30-DY30</f>
        <v>118763</v>
      </c>
      <c r="DU30" s="850">
        <f>ROUND(DU$5*EB30/EB$6,0)</f>
        <v>944430</v>
      </c>
      <c r="DV30" s="1248">
        <f>ROUND(DV$5*DZ30/DZ$6,0)</f>
        <v>972868</v>
      </c>
      <c r="DW30" s="830">
        <f>ROUND(DW$5*EB30/EB$6,0)</f>
        <v>-3079</v>
      </c>
      <c r="DX30" s="830">
        <f t="shared" ref="DX30:DY34" si="482">ROUND(DX$5*EA30/EA$6,0)</f>
        <v>55452</v>
      </c>
      <c r="DY30" s="1317">
        <f t="shared" si="482"/>
        <v>-65717</v>
      </c>
      <c r="DZ30" s="1318">
        <f>+'19H30'!K28</f>
        <v>1142398</v>
      </c>
      <c r="EA30" s="1248">
        <f>+'19H30'!E28</f>
        <v>117789</v>
      </c>
      <c r="EB30" s="1317">
        <f>+'19H30'!C28</f>
        <v>1195444</v>
      </c>
      <c r="EC30" s="1316">
        <f>+EL30-EJ30</f>
        <v>66592</v>
      </c>
      <c r="ED30" s="1248">
        <f>EC30-EI30</f>
        <v>160930</v>
      </c>
      <c r="EE30" s="850">
        <f>ROUND(EE$5*EL30/EL$6,0)</f>
        <v>940977</v>
      </c>
      <c r="EF30" s="1248">
        <f>ROUND(EF$5*EJ30/EJ$6,0)</f>
        <v>962201</v>
      </c>
      <c r="EG30" s="830">
        <f>ROUND(EG$5*EL30/EL$6,0)</f>
        <v>-2940</v>
      </c>
      <c r="EH30" s="830">
        <f t="shared" ref="EH30:EI34" si="483">ROUND(EH$5*EK30/EK$6,0)</f>
        <v>56511</v>
      </c>
      <c r="EI30" s="1317">
        <f t="shared" si="483"/>
        <v>-94338</v>
      </c>
      <c r="EJ30" s="1318">
        <f>+'20R1'!K28</f>
        <v>1148749</v>
      </c>
      <c r="EK30" s="1248">
        <f>+'20R1'!E28</f>
        <v>123312</v>
      </c>
      <c r="EL30" s="1317">
        <f>+'20R1'!C28</f>
        <v>1215341</v>
      </c>
      <c r="EM30" s="1316">
        <f>+EV30-ET30</f>
        <v>98573</v>
      </c>
      <c r="EN30" s="1248">
        <f>EM30-ES30</f>
        <v>119948</v>
      </c>
      <c r="EO30" s="850">
        <f>ROUND(EO$5*EV30/EV$6,0)</f>
        <v>838348</v>
      </c>
      <c r="EP30" s="1248">
        <f>ROUND(EP$5*ET30/ET$6,0)</f>
        <v>857516</v>
      </c>
      <c r="EQ30" s="1336">
        <f>ROUND(EQ$5*EV30/EV$6,0)</f>
        <v>-2197</v>
      </c>
      <c r="ER30" s="1336">
        <f t="shared" ref="ER30:ER34" si="484">ROUND(ER$5*EU30/EU$6,0)</f>
        <v>55960</v>
      </c>
      <c r="ES30" s="850">
        <f t="shared" ref="ES30:ES34" si="485">ROUND(ES$5*EV30/EV$6,0)</f>
        <v>-21375</v>
      </c>
      <c r="ET30" s="1331">
        <f>'21R2'!K28</f>
        <v>1068794</v>
      </c>
      <c r="EU30" s="1248">
        <f>'21R2'!E28</f>
        <v>123495</v>
      </c>
      <c r="EV30" s="1317">
        <f>+'21R2'!C28</f>
        <v>1167367</v>
      </c>
      <c r="EW30" s="1392">
        <f t="shared" si="298"/>
        <v>-132144</v>
      </c>
      <c r="EX30" s="1310">
        <f>EY30-EZ30</f>
        <v>-109782</v>
      </c>
      <c r="EY30" s="850">
        <f>ROUND(EY$5*FF30/FF$6,0)</f>
        <v>901023</v>
      </c>
      <c r="EZ30" s="1248">
        <f>ROUND(EZ$5*FD30/FD$6,0)</f>
        <v>1010805</v>
      </c>
      <c r="FA30" s="1336">
        <f>ROUND(FA$5*FF30/FF$6,0)</f>
        <v>-1186</v>
      </c>
      <c r="FB30" s="1336">
        <f t="shared" ref="FB30:FB34" si="486">ROUND(FB$5*FE30/FE$6,0)</f>
        <v>59586</v>
      </c>
      <c r="FC30" s="1689">
        <f t="shared" si="363"/>
        <v>-22362</v>
      </c>
      <c r="FD30" s="1414">
        <f>'22R3'!K28</f>
        <v>1168489</v>
      </c>
      <c r="FE30" s="1310">
        <f>'22R3'!E28</f>
        <v>135264</v>
      </c>
      <c r="FF30" s="1690">
        <f>'22R3'!C28</f>
        <v>1145352</v>
      </c>
      <c r="FG30" s="1392">
        <f t="shared" si="300"/>
        <v>-140462</v>
      </c>
      <c r="FH30" s="1310">
        <f>FI30-FJ30</f>
        <v>-118100</v>
      </c>
      <c r="FI30" s="850">
        <f>ROUND(FI$5*FP30/FP$6,0)</f>
        <v>1031380</v>
      </c>
      <c r="FJ30" s="1248">
        <f>ROUND(FJ$5*FN30/FN$6,0)</f>
        <v>1149480</v>
      </c>
      <c r="FK30" s="1336">
        <f>ROUND(FK$5*FP30/FP$6,0)</f>
        <v>-2310</v>
      </c>
      <c r="FL30" s="1336">
        <f t="shared" ref="FL30:FL34" si="487">ROUND(FL$5*FO30/FO$6,0)</f>
        <v>62377</v>
      </c>
      <c r="FM30" s="1398">
        <f t="shared" si="302"/>
        <v>-22362</v>
      </c>
      <c r="FN30" s="1748">
        <f>'23R4'!K28</f>
        <v>1238918</v>
      </c>
      <c r="FO30" s="1332">
        <f>'23R4'!E28</f>
        <v>136628</v>
      </c>
      <c r="FP30" s="1690">
        <f>'23R4'!C28</f>
        <v>1271090</v>
      </c>
      <c r="FQ30" s="1310"/>
      <c r="FR30" s="1392">
        <f t="shared" si="303"/>
        <v>-467928</v>
      </c>
      <c r="FS30" s="1310">
        <f>FT30-FU30</f>
        <v>-445566</v>
      </c>
      <c r="FT30" s="868">
        <f>ROUND(FT$5*GA30/GA$6,0)</f>
        <v>1145749</v>
      </c>
      <c r="FU30" s="1248">
        <f>ROUND(FU$5*FY30/FY$6,0)</f>
        <v>1591315</v>
      </c>
      <c r="FV30" s="1336">
        <f>ROUND(FV$5*GA30/GA$6,0)</f>
        <v>-2524</v>
      </c>
      <c r="FW30" s="1336">
        <f t="shared" ref="FW30:FW34" si="488">ROUND(FW$5*FZ30/FZ$6,0)</f>
        <v>61811</v>
      </c>
      <c r="FX30" s="1398">
        <f t="shared" si="335"/>
        <v>-22362</v>
      </c>
      <c r="FY30" s="1332">
        <f>'24R5'!K28</f>
        <v>1742381</v>
      </c>
      <c r="FZ30" s="1332">
        <f>'24R5'!E28</f>
        <v>135344</v>
      </c>
      <c r="GA30" s="1319">
        <v>1192194</v>
      </c>
      <c r="GB30" s="1392">
        <f t="shared" si="305"/>
        <v>-57052</v>
      </c>
      <c r="GC30" s="1310">
        <f>GD30-GE30</f>
        <v>-34690</v>
      </c>
      <c r="GD30" s="868">
        <f>ROUND(GD$5*GK30/GK$6,0)</f>
        <v>1224678</v>
      </c>
      <c r="GE30" s="1248">
        <f>ROUND(GE$5*GI30/GI$6,0)</f>
        <v>1259368</v>
      </c>
      <c r="GF30" s="1336">
        <f>ROUND(GF$5*GK30/GK$6,0)</f>
        <v>-2640</v>
      </c>
      <c r="GG30" s="1336">
        <f t="shared" ref="GG30:GG34" si="489">ROUND(GG$5*GJ30/GJ$6,0)</f>
        <v>31327</v>
      </c>
      <c r="GH30" s="1398">
        <f t="shared" si="338"/>
        <v>-22362</v>
      </c>
      <c r="GI30" s="1332">
        <f>'25R6'!K28</f>
        <v>1358912</v>
      </c>
      <c r="GJ30" s="1332">
        <f>'25R6'!E28</f>
        <v>139794</v>
      </c>
      <c r="GK30" s="1319">
        <v>1192194</v>
      </c>
      <c r="GL30" s="1392">
        <f t="shared" si="307"/>
        <v>30381</v>
      </c>
      <c r="GM30" s="1310">
        <f>GN30-GO30</f>
        <v>52743</v>
      </c>
      <c r="GN30" s="868">
        <f>ROUND(GN$5*GU30/GU$6,0)</f>
        <v>1336955</v>
      </c>
      <c r="GO30" s="1248">
        <f>ROUND(GO$5*GS30/GS$6,0)</f>
        <v>1284212</v>
      </c>
      <c r="GP30" s="1336">
        <f>ROUND(GP$5*GU30/GU$6,0)</f>
        <v>-2888</v>
      </c>
      <c r="GQ30" s="1336">
        <f t="shared" ref="GQ30:GQ34" si="490">ROUND(GQ$5*GT30/GT$6,0)</f>
        <v>31650</v>
      </c>
      <c r="GR30" s="1406">
        <f t="shared" si="341"/>
        <v>-22362</v>
      </c>
      <c r="GS30" s="1748">
        <f>'26R7'!K28</f>
        <v>1395575</v>
      </c>
      <c r="GT30" s="1332">
        <f>'26R7'!E28</f>
        <v>147540</v>
      </c>
      <c r="GU30" s="1398">
        <v>1395575</v>
      </c>
      <c r="GV30" s="1392">
        <f t="shared" si="309"/>
        <v>70787</v>
      </c>
      <c r="GW30" s="1310">
        <f>GX30-GY30</f>
        <v>93149</v>
      </c>
      <c r="GX30" s="868">
        <f>ROUND(GX$5*HE30/HE$6,0)</f>
        <v>1368335</v>
      </c>
      <c r="GY30" s="1248">
        <f>ROUND(GY$5*HC30/HC$6,0)</f>
        <v>1275186</v>
      </c>
      <c r="GZ30" s="1336">
        <f>ROUND(GZ$5*HE30/HE$6,0)</f>
        <v>-2956</v>
      </c>
      <c r="HA30" s="1336">
        <f t="shared" ref="HA30:HA34" si="491">ROUND(HA$5*HD30/HD$6,0)</f>
        <v>76894</v>
      </c>
      <c r="HB30" s="1406">
        <f t="shared" si="344"/>
        <v>-22362</v>
      </c>
      <c r="HC30" s="1748">
        <f>'27R8'!U28</f>
        <v>1291677</v>
      </c>
      <c r="HD30" s="1690">
        <f>'27R8'!O28</f>
        <v>-79434</v>
      </c>
      <c r="HE30" s="1398">
        <v>1421653</v>
      </c>
      <c r="HF30" s="1392">
        <f t="shared" si="311"/>
        <v>81177</v>
      </c>
      <c r="HG30" s="1310">
        <f>HH30-HI30</f>
        <v>103539</v>
      </c>
      <c r="HH30" s="868">
        <f>ROUND(HH$5*HO30/HO$6,0)</f>
        <v>1409347</v>
      </c>
      <c r="HI30" s="1248">
        <f>ROUND(HI$5*HM30/HM$6,0)</f>
        <v>1305808</v>
      </c>
      <c r="HJ30" s="1336">
        <f>ROUND(HJ$5*HO30/HO$6,0)</f>
        <v>-3044</v>
      </c>
      <c r="HK30" s="1336">
        <f t="shared" ref="HK30:HK34" si="492">ROUND(HK$5*HN30/HN$6,0)</f>
        <v>76894</v>
      </c>
      <c r="HL30" s="1406">
        <f t="shared" si="347"/>
        <v>-22362</v>
      </c>
      <c r="HM30" s="1748">
        <f>'28R9'!U28</f>
        <v>1291677</v>
      </c>
      <c r="HN30" s="1332">
        <f>'28R9'!O28</f>
        <v>-79434</v>
      </c>
      <c r="HO30" s="1398">
        <v>1448688</v>
      </c>
      <c r="HQ30" s="1310">
        <f>市町名目!J29</f>
        <v>1215341</v>
      </c>
      <c r="HR30" s="1310">
        <f>市町名目!K29</f>
        <v>1167367</v>
      </c>
      <c r="HS30" s="1310">
        <f>市町名目!L29</f>
        <v>1145352</v>
      </c>
      <c r="HT30" s="1310">
        <f>市町名目!M29</f>
        <v>1271090</v>
      </c>
      <c r="HU30" s="1310">
        <f>市町名目!N29</f>
        <v>1305615</v>
      </c>
      <c r="HV30" s="1054">
        <v>1230275</v>
      </c>
      <c r="HW30" s="1030">
        <v>1340030</v>
      </c>
      <c r="HX30" s="1030">
        <v>1421653</v>
      </c>
      <c r="HY30" s="1030">
        <v>1448688</v>
      </c>
    </row>
    <row r="31" spans="1:233" ht="12.5">
      <c r="A31" s="1334">
        <v>210</v>
      </c>
      <c r="B31" s="1335" t="s">
        <v>194</v>
      </c>
      <c r="C31" s="1316">
        <f>+L31-J31</f>
        <v>-57978</v>
      </c>
      <c r="D31" s="1248">
        <f>C31-I31</f>
        <v>-66439</v>
      </c>
      <c r="E31" s="850">
        <f>ROUND(E$5*L31/L$6,0)</f>
        <v>727778</v>
      </c>
      <c r="F31" s="1248">
        <f>ROUND(F$5*J31/J$6,0)</f>
        <v>779115</v>
      </c>
      <c r="G31" s="830">
        <f>ROUND(G$5*L31/L$6,0)</f>
        <v>-1161</v>
      </c>
      <c r="H31" s="830">
        <f t="shared" si="470"/>
        <v>50144</v>
      </c>
      <c r="I31" s="1317">
        <f t="shared" si="470"/>
        <v>8461</v>
      </c>
      <c r="J31" s="1318">
        <f>'7H18'!K29</f>
        <v>913016</v>
      </c>
      <c r="K31" s="1248">
        <f>+'7H18'!E29</f>
        <v>77113</v>
      </c>
      <c r="L31" s="1317">
        <f>'7H18'!C29</f>
        <v>855038</v>
      </c>
      <c r="M31" s="1316">
        <f>+V31-T31</f>
        <v>-55049</v>
      </c>
      <c r="N31" s="1248">
        <f>M31-S31</f>
        <v>-69675</v>
      </c>
      <c r="O31" s="850">
        <f>ROUND(O$5*V31/V$6,0)</f>
        <v>807002</v>
      </c>
      <c r="P31" s="1248">
        <f>ROUND(P$5*T31/T$6,0)</f>
        <v>832988</v>
      </c>
      <c r="Q31" s="830">
        <f>ROUND(Q$5*V31/V$6,0)</f>
        <v>-1933</v>
      </c>
      <c r="R31" s="830">
        <f t="shared" si="471"/>
        <v>52090</v>
      </c>
      <c r="S31" s="1317">
        <f t="shared" si="471"/>
        <v>14626</v>
      </c>
      <c r="T31" s="1318">
        <f>+'8H19'!K29</f>
        <v>937020</v>
      </c>
      <c r="U31" s="1248">
        <f>+'8H19'!E29</f>
        <v>80780</v>
      </c>
      <c r="V31" s="1317">
        <f>'8H19'!C29</f>
        <v>881971</v>
      </c>
      <c r="W31" s="1316">
        <f>+AF31-AD31</f>
        <v>-14848</v>
      </c>
      <c r="X31" s="1248">
        <f>W31-AC31</f>
        <v>-27976</v>
      </c>
      <c r="Y31" s="850">
        <f>ROUND(Y$5*AF31/AF$6,0)</f>
        <v>783942</v>
      </c>
      <c r="Z31" s="1248">
        <f>ROUND(Z$5*AD31/AD$6,0)</f>
        <v>838507</v>
      </c>
      <c r="AA31" s="830">
        <f>ROUND(AA$5*AF31/AF$6,0)</f>
        <v>-5045</v>
      </c>
      <c r="AB31" s="830">
        <f t="shared" si="472"/>
        <v>51361</v>
      </c>
      <c r="AC31" s="1317">
        <f t="shared" si="472"/>
        <v>13128</v>
      </c>
      <c r="AD31" s="1318">
        <f>+'9H20'!K29</f>
        <v>950291</v>
      </c>
      <c r="AE31" s="1248">
        <f>+'9H20'!E29</f>
        <v>86019</v>
      </c>
      <c r="AF31" s="1317">
        <f>'9H20'!C29</f>
        <v>935443</v>
      </c>
      <c r="AG31" s="1316">
        <f>+AP31-AN31</f>
        <v>-148700</v>
      </c>
      <c r="AH31" s="1248">
        <f>AG31-AM31</f>
        <v>-140110</v>
      </c>
      <c r="AI31" s="850">
        <f>ROUND(AI$5*AP31/AP$6,0)</f>
        <v>575895</v>
      </c>
      <c r="AJ31" s="1248">
        <f>ROUND(AJ$5*AN31/AN$6,0)</f>
        <v>770500</v>
      </c>
      <c r="AK31" s="830">
        <f>ROUND(AK$5*AP31/AP$6,0)</f>
        <v>546</v>
      </c>
      <c r="AL31" s="830">
        <f t="shared" si="473"/>
        <v>48869</v>
      </c>
      <c r="AM31" s="1317">
        <f t="shared" si="473"/>
        <v>-8590</v>
      </c>
      <c r="AN31" s="1318">
        <f>+'10H21'!K29</f>
        <v>938383</v>
      </c>
      <c r="AO31" s="1248">
        <f>+'10H21'!E29</f>
        <v>87343</v>
      </c>
      <c r="AP31" s="1317">
        <f>'10H21'!C29</f>
        <v>789683</v>
      </c>
      <c r="AQ31" s="1316">
        <f>+AZ31-AX31</f>
        <v>-66606</v>
      </c>
      <c r="AR31" s="1248">
        <f>AQ31-AW31</f>
        <v>-76333</v>
      </c>
      <c r="AS31" s="850">
        <f>ROUND(AS$5*AZ31/AZ$6,0)</f>
        <v>645030</v>
      </c>
      <c r="AT31" s="1248">
        <f>ROUND(AT$5*AX31/AX$6,0)</f>
        <v>777031</v>
      </c>
      <c r="AU31" s="830">
        <f>ROUND(AU$5*AZ31/AZ$6,0)</f>
        <v>-4726</v>
      </c>
      <c r="AV31" s="830">
        <f t="shared" si="474"/>
        <v>50949</v>
      </c>
      <c r="AW31" s="1317">
        <f t="shared" si="474"/>
        <v>9727</v>
      </c>
      <c r="AX31" s="1318">
        <f>+'11H22'!K29</f>
        <v>924337</v>
      </c>
      <c r="AY31" s="1248">
        <f>+'11H22'!E29</f>
        <v>86391</v>
      </c>
      <c r="AZ31" s="1317">
        <f>'11H22'!C29</f>
        <v>857731</v>
      </c>
      <c r="BA31" s="1316">
        <f>+BJ31-BH31</f>
        <v>-299164</v>
      </c>
      <c r="BB31" s="1248">
        <f>BA31-BG31</f>
        <v>-306483</v>
      </c>
      <c r="BC31" s="850">
        <f>ROUND(BC$5*BJ31/BJ$6,0)</f>
        <v>586616</v>
      </c>
      <c r="BD31" s="1248">
        <f>ROUND(BD$5*BH31/BH$6,0)</f>
        <v>891245</v>
      </c>
      <c r="BE31" s="830">
        <f>ROUND(BE$5*BJ31/BJ$6,0)</f>
        <v>-2944</v>
      </c>
      <c r="BF31" s="830">
        <f t="shared" si="475"/>
        <v>50555</v>
      </c>
      <c r="BG31" s="1317">
        <f t="shared" si="475"/>
        <v>7319</v>
      </c>
      <c r="BH31" s="1318">
        <f>+'12H23'!K29</f>
        <v>1038814</v>
      </c>
      <c r="BI31" s="1248">
        <f>+'12H23'!E29</f>
        <v>88703</v>
      </c>
      <c r="BJ31" s="1317">
        <f>'12H23'!C29</f>
        <v>739650</v>
      </c>
      <c r="BK31" s="1316">
        <f>+BT31-BR31</f>
        <v>-242974</v>
      </c>
      <c r="BL31" s="1248">
        <f>BK31-BQ31</f>
        <v>-255195</v>
      </c>
      <c r="BM31" s="850">
        <f>ROUND(BM$5*BT31/BT$6,0)</f>
        <v>574131</v>
      </c>
      <c r="BN31" s="1248">
        <f>ROUND(BN$5*BR31/BR$6,0)</f>
        <v>838988</v>
      </c>
      <c r="BO31" s="830">
        <f>ROUND(BO$5*BT31/BT$6,0)</f>
        <v>-2386</v>
      </c>
      <c r="BP31" s="830">
        <f t="shared" si="476"/>
        <v>48766</v>
      </c>
      <c r="BQ31" s="1317">
        <f t="shared" si="476"/>
        <v>12221</v>
      </c>
      <c r="BR31" s="1318">
        <f>+'13H24'!K29</f>
        <v>979913</v>
      </c>
      <c r="BS31" s="1248">
        <f>+'13H24'!E29</f>
        <v>89080</v>
      </c>
      <c r="BT31" s="1317">
        <f>'13H24'!C29</f>
        <v>736939</v>
      </c>
      <c r="BU31" s="1316">
        <f>+CD31-CB31</f>
        <v>-165101</v>
      </c>
      <c r="BV31" s="1248">
        <f>BU31-CA31</f>
        <v>-176367</v>
      </c>
      <c r="BW31" s="850">
        <f>ROUND(BW$5*CD31/CD$6,0)</f>
        <v>626414</v>
      </c>
      <c r="BX31" s="1248">
        <f>ROUND(BX$5*CB31/CB$6,0)</f>
        <v>828179</v>
      </c>
      <c r="BY31" s="830">
        <f>ROUND(BY$5*CD31/CD$6,0)</f>
        <v>-2582</v>
      </c>
      <c r="BZ31" s="830">
        <f t="shared" si="477"/>
        <v>49393</v>
      </c>
      <c r="CA31" s="1317">
        <f t="shared" si="477"/>
        <v>11266</v>
      </c>
      <c r="CB31" s="1318">
        <f>+'14H25'!K29</f>
        <v>967867</v>
      </c>
      <c r="CC31" s="1248">
        <f>+'14H25'!E29</f>
        <v>93872</v>
      </c>
      <c r="CD31" s="1317">
        <f>'14H25'!C29</f>
        <v>802766</v>
      </c>
      <c r="CE31" s="1316">
        <f>+CN31-CL31</f>
        <v>-203885</v>
      </c>
      <c r="CF31" s="1248">
        <f>CE31-CK31</f>
        <v>-195118</v>
      </c>
      <c r="CG31" s="850">
        <f>ROUND(CG$5*CN31/CN$6,0)</f>
        <v>649054</v>
      </c>
      <c r="CH31" s="1248">
        <f>ROUND(CH$5*CL31/CL$6,0)</f>
        <v>867966</v>
      </c>
      <c r="CI31" s="830">
        <f>ROUND(CI$5*CN31/CN$6,0)</f>
        <v>-2823</v>
      </c>
      <c r="CJ31" s="830">
        <f t="shared" si="478"/>
        <v>49472</v>
      </c>
      <c r="CK31" s="1317">
        <f t="shared" si="478"/>
        <v>-8767</v>
      </c>
      <c r="CL31" s="1318">
        <f>+'15H26'!K29</f>
        <v>1009780</v>
      </c>
      <c r="CM31" s="1248">
        <f>+'15H26'!E29</f>
        <v>94411</v>
      </c>
      <c r="CN31" s="1317">
        <f>'15H26'!C29</f>
        <v>805895</v>
      </c>
      <c r="CO31" s="1316">
        <f>+CX31-CV31</f>
        <v>-128637</v>
      </c>
      <c r="CP31" s="1248">
        <f>CO31-CU31</f>
        <v>-137970</v>
      </c>
      <c r="CQ31" s="850">
        <f>ROUND(CQ$5*CX31/CX$6,0)</f>
        <v>638057</v>
      </c>
      <c r="CR31" s="1248">
        <f>ROUND(CR$5*CV31/CV$6,0)</f>
        <v>791128</v>
      </c>
      <c r="CS31" s="830">
        <f>ROUND(CS$5*CX31/CX$6,0)</f>
        <v>-2876</v>
      </c>
      <c r="CT31" s="830">
        <f t="shared" si="479"/>
        <v>48388</v>
      </c>
      <c r="CU31" s="1317">
        <f t="shared" si="479"/>
        <v>9333</v>
      </c>
      <c r="CV31" s="1318">
        <f>+'16H27'!K29</f>
        <v>951638</v>
      </c>
      <c r="CW31" s="1248">
        <f>+'16H27'!E29</f>
        <v>95147</v>
      </c>
      <c r="CX31" s="1317">
        <f>'16H27'!C29</f>
        <v>823001</v>
      </c>
      <c r="CY31" s="1316">
        <f>+DH31-DF31</f>
        <v>-125164</v>
      </c>
      <c r="CZ31" s="1248">
        <f>CY31-DE31</f>
        <v>-124455</v>
      </c>
      <c r="DA31" s="850">
        <f>ROUND(DA$5*DH31/DH$6,0)</f>
        <v>641122</v>
      </c>
      <c r="DB31" s="1248">
        <f>ROUND(DB$5*DF31/DF$6,0)</f>
        <v>794810</v>
      </c>
      <c r="DC31" s="830">
        <f>ROUND(DC$5*DH31/DH$6,0)</f>
        <v>-2709</v>
      </c>
      <c r="DD31" s="830">
        <f t="shared" si="480"/>
        <v>50112</v>
      </c>
      <c r="DE31" s="1317">
        <f t="shared" si="480"/>
        <v>-709</v>
      </c>
      <c r="DF31" s="1318">
        <f>+'17H28'!K29</f>
        <v>982821</v>
      </c>
      <c r="DG31" s="1248">
        <f>+'17H28'!E29</f>
        <v>97454</v>
      </c>
      <c r="DH31" s="1317">
        <f>'17H28'!C29</f>
        <v>857657</v>
      </c>
      <c r="DI31" s="1316">
        <f>+DR31-DP31</f>
        <v>-139011</v>
      </c>
      <c r="DJ31" s="1248">
        <f>DI31-DO31</f>
        <v>-107498</v>
      </c>
      <c r="DK31" s="850">
        <f>ROUND(DK$5*DR31/DR$6,0)</f>
        <v>683911</v>
      </c>
      <c r="DL31" s="1248">
        <f>ROUND(DL$5*DP31/DP$6,0)</f>
        <v>843000</v>
      </c>
      <c r="DM31" s="830">
        <f>ROUND(DM$5*DR31/DR$6,0)</f>
        <v>-2182</v>
      </c>
      <c r="DN31" s="830">
        <f t="shared" si="481"/>
        <v>43344</v>
      </c>
      <c r="DO31" s="1317">
        <f t="shared" si="481"/>
        <v>-31513</v>
      </c>
      <c r="DP31" s="1318">
        <f>+'18H29'!K29</f>
        <v>1015661</v>
      </c>
      <c r="DQ31" s="1248">
        <f>+'18H29'!E29</f>
        <v>94073</v>
      </c>
      <c r="DR31" s="1317">
        <f>+'18H29'!C29</f>
        <v>876650</v>
      </c>
      <c r="DS31" s="1316">
        <f>+EB31-DZ31</f>
        <v>-72989</v>
      </c>
      <c r="DT31" s="1248">
        <f>DS31-DY31</f>
        <v>-23845</v>
      </c>
      <c r="DU31" s="850">
        <f>ROUND(DU$5*EB31/EB$6,0)</f>
        <v>706252</v>
      </c>
      <c r="DV31" s="1248">
        <f>ROUND(DV$5*DZ31/DZ$6,0)</f>
        <v>823457</v>
      </c>
      <c r="DW31" s="830">
        <f>ROUND(DW$5*EB31/EB$6,0)</f>
        <v>-2303</v>
      </c>
      <c r="DX31" s="830">
        <f t="shared" si="482"/>
        <v>44791</v>
      </c>
      <c r="DY31" s="1317">
        <f t="shared" si="482"/>
        <v>-49144</v>
      </c>
      <c r="DZ31" s="1318">
        <f>+'19H30'!K29</f>
        <v>966951</v>
      </c>
      <c r="EA31" s="1248">
        <f>+'19H30'!E29</f>
        <v>95143</v>
      </c>
      <c r="EB31" s="1317">
        <f>+'19H30'!C29</f>
        <v>893962</v>
      </c>
      <c r="EC31" s="1316">
        <f>+EL31-EJ31</f>
        <v>-80470</v>
      </c>
      <c r="ED31" s="1248">
        <f>EC31-EI31</f>
        <v>-10942</v>
      </c>
      <c r="EE31" s="850">
        <f>ROUND(EE$5*EL31/EL$6,0)</f>
        <v>693510</v>
      </c>
      <c r="EF31" s="1248">
        <f>ROUND(EF$5*EJ31/EJ$6,0)</f>
        <v>817663</v>
      </c>
      <c r="EG31" s="830">
        <f>ROUND(EG$5*EL31/EL$6,0)</f>
        <v>-2167</v>
      </c>
      <c r="EH31" s="830">
        <f t="shared" si="483"/>
        <v>45641</v>
      </c>
      <c r="EI31" s="1317">
        <f t="shared" si="483"/>
        <v>-69528</v>
      </c>
      <c r="EJ31" s="1318">
        <f>+'20R1'!K29</f>
        <v>976189</v>
      </c>
      <c r="EK31" s="1248">
        <f>+'20R1'!E29</f>
        <v>99592</v>
      </c>
      <c r="EL31" s="1317">
        <f>+'20R1'!C29</f>
        <v>895719</v>
      </c>
      <c r="EM31" s="1316">
        <f>+EV31-ET31</f>
        <v>-125563</v>
      </c>
      <c r="EN31" s="1248">
        <f>EM31-ES31</f>
        <v>-109884</v>
      </c>
      <c r="EO31" s="850">
        <f>ROUND(EO$5*EV31/EV$6,0)</f>
        <v>614960</v>
      </c>
      <c r="EP31" s="1248">
        <f>ROUND(EP$5*ET31/ET$6,0)</f>
        <v>787776</v>
      </c>
      <c r="EQ31" s="1336">
        <f>ROUND(EQ$5*EV31/EV$6,0)</f>
        <v>-1611</v>
      </c>
      <c r="ER31" s="1336">
        <f t="shared" si="484"/>
        <v>44607</v>
      </c>
      <c r="ES31" s="850">
        <f t="shared" si="485"/>
        <v>-15679</v>
      </c>
      <c r="ET31" s="1331">
        <f>'21R2'!K29</f>
        <v>981871</v>
      </c>
      <c r="EU31" s="1248">
        <f>'21R2'!E29</f>
        <v>98440</v>
      </c>
      <c r="EV31" s="1317">
        <f>+'21R2'!C29</f>
        <v>856308</v>
      </c>
      <c r="EW31" s="1392">
        <f t="shared" si="298"/>
        <v>-155565</v>
      </c>
      <c r="EX31" s="1310">
        <f>EY31-EZ31</f>
        <v>-139072</v>
      </c>
      <c r="EY31" s="850">
        <f>ROUND(EY$5*FF31/FF$6,0)</f>
        <v>664545</v>
      </c>
      <c r="EZ31" s="1248">
        <f>ROUND(EZ$5*FD31/FD$6,0)</f>
        <v>803617</v>
      </c>
      <c r="FA31" s="1336">
        <f>ROUND(FA$5*FF31/FF$6,0)</f>
        <v>-875</v>
      </c>
      <c r="FB31" s="1336">
        <f t="shared" si="486"/>
        <v>47404</v>
      </c>
      <c r="FC31" s="1689">
        <f t="shared" si="363"/>
        <v>-16493</v>
      </c>
      <c r="FD31" s="1414">
        <f>'22R3'!K29</f>
        <v>928980</v>
      </c>
      <c r="FE31" s="1310">
        <f>'22R3'!E29</f>
        <v>107611</v>
      </c>
      <c r="FF31" s="1690">
        <f>'22R3'!C29</f>
        <v>844748</v>
      </c>
      <c r="FG31" s="1392">
        <f t="shared" si="300"/>
        <v>-274455</v>
      </c>
      <c r="FH31" s="1310">
        <f>FI31-FJ31</f>
        <v>-257962</v>
      </c>
      <c r="FI31" s="850">
        <f>ROUND(FI$5*FP31/FP$6,0)</f>
        <v>693786</v>
      </c>
      <c r="FJ31" s="1248">
        <f>ROUND(FJ$5*FN31/FN$6,0)</f>
        <v>951748</v>
      </c>
      <c r="FK31" s="1336">
        <f>ROUND(FK$5*FP31/FP$6,0)</f>
        <v>-1554</v>
      </c>
      <c r="FL31" s="1336">
        <f t="shared" si="487"/>
        <v>47454</v>
      </c>
      <c r="FM31" s="1398">
        <f t="shared" si="302"/>
        <v>-16493</v>
      </c>
      <c r="FN31" s="1748">
        <f>'23R4'!K29</f>
        <v>1025801</v>
      </c>
      <c r="FO31" s="1332">
        <f>'23R4'!E29</f>
        <v>103941</v>
      </c>
      <c r="FP31" s="1690">
        <f>'23R4'!C29</f>
        <v>855033</v>
      </c>
      <c r="FQ31" s="1310"/>
      <c r="FR31" s="1392">
        <f t="shared" si="303"/>
        <v>7783</v>
      </c>
      <c r="FS31" s="1310">
        <f>FT31-FU31</f>
        <v>24276</v>
      </c>
      <c r="FT31" s="868">
        <f>ROUND(FT$5*GA31/GA$6,0)</f>
        <v>931021</v>
      </c>
      <c r="FU31" s="1248">
        <f>ROUND(FU$5*FY31/FY$6,0)</f>
        <v>906745</v>
      </c>
      <c r="FV31" s="1336">
        <f>ROUND(FV$5*GA31/GA$6,0)</f>
        <v>-2051</v>
      </c>
      <c r="FW31" s="1336">
        <f t="shared" si="488"/>
        <v>48112</v>
      </c>
      <c r="FX31" s="1398">
        <f t="shared" si="335"/>
        <v>-16493</v>
      </c>
      <c r="FY31" s="1332">
        <f>'24R5'!K29</f>
        <v>992823</v>
      </c>
      <c r="FZ31" s="1332">
        <f>'24R5'!E29</f>
        <v>105347</v>
      </c>
      <c r="GA31" s="1319">
        <v>968762</v>
      </c>
      <c r="GB31" s="1392">
        <f t="shared" si="305"/>
        <v>-50236</v>
      </c>
      <c r="GC31" s="1310">
        <f>GD31-GE31</f>
        <v>-33743</v>
      </c>
      <c r="GD31" s="868">
        <f>ROUND(GD$5*GK31/GK$6,0)</f>
        <v>995158</v>
      </c>
      <c r="GE31" s="1248">
        <f>ROUND(GE$5*GI31/GI$6,0)</f>
        <v>1028901</v>
      </c>
      <c r="GF31" s="1336">
        <f>ROUND(GF$5*GK31/GK$6,0)</f>
        <v>-2145</v>
      </c>
      <c r="GG31" s="1336">
        <f t="shared" si="489"/>
        <v>25470</v>
      </c>
      <c r="GH31" s="1398">
        <f t="shared" si="338"/>
        <v>-16493</v>
      </c>
      <c r="GI31" s="1332">
        <f>'25R6'!K29</f>
        <v>1110228</v>
      </c>
      <c r="GJ31" s="1332">
        <f>'25R6'!E29</f>
        <v>113661</v>
      </c>
      <c r="GK31" s="1319">
        <v>968762</v>
      </c>
      <c r="GL31" s="1392">
        <f t="shared" si="307"/>
        <v>27308</v>
      </c>
      <c r="GM31" s="1310">
        <f>GN31-GO31</f>
        <v>43801</v>
      </c>
      <c r="GN31" s="868">
        <f>ROUND(GN$5*GU31/GU$6,0)</f>
        <v>1110282</v>
      </c>
      <c r="GO31" s="1248">
        <f>ROUND(GO$5*GS31/GS$6,0)</f>
        <v>1066481</v>
      </c>
      <c r="GP31" s="1336">
        <f>ROUND(GP$5*GU31/GU$6,0)</f>
        <v>-2398</v>
      </c>
      <c r="GQ31" s="1336">
        <f t="shared" si="490"/>
        <v>24818</v>
      </c>
      <c r="GR31" s="1406">
        <f t="shared" si="341"/>
        <v>-16493</v>
      </c>
      <c r="GS31" s="1748">
        <f>'26R7'!K29</f>
        <v>1158963</v>
      </c>
      <c r="GT31" s="1332">
        <f>'26R7'!E29</f>
        <v>115690</v>
      </c>
      <c r="GU31" s="1398">
        <v>1158963</v>
      </c>
      <c r="GV31" s="1392">
        <f t="shared" si="309"/>
        <v>42915</v>
      </c>
      <c r="GW31" s="1310">
        <f>GX31-GY31</f>
        <v>59408</v>
      </c>
      <c r="GX31" s="868">
        <f>ROUND(GX$5*HE31/HE$6,0)</f>
        <v>1132885</v>
      </c>
      <c r="GY31" s="1248">
        <f>ROUND(GY$5*HC31/HC$6,0)</f>
        <v>1073477</v>
      </c>
      <c r="GZ31" s="1336">
        <f>ROUND(GZ$5*HE31/HE$6,0)</f>
        <v>-2447</v>
      </c>
      <c r="HA31" s="1336">
        <f t="shared" si="491"/>
        <v>39665</v>
      </c>
      <c r="HB31" s="1406">
        <f t="shared" si="344"/>
        <v>-16493</v>
      </c>
      <c r="HC31" s="1748">
        <f>'27R8'!U29</f>
        <v>1087360</v>
      </c>
      <c r="HD31" s="1690">
        <f>'27R8'!O29</f>
        <v>-40975</v>
      </c>
      <c r="HE31" s="1398">
        <v>1177029</v>
      </c>
      <c r="HF31" s="1392">
        <f t="shared" si="311"/>
        <v>44870</v>
      </c>
      <c r="HG31" s="1310">
        <f>HH31-HI31</f>
        <v>61363</v>
      </c>
      <c r="HH31" s="868">
        <f>ROUND(HH$5*HO31/HO$6,0)</f>
        <v>1160619</v>
      </c>
      <c r="HI31" s="1248">
        <f>ROUND(HI$5*HM31/HM$6,0)</f>
        <v>1099256</v>
      </c>
      <c r="HJ31" s="1336">
        <f>ROUND(HJ$5*HO31/HO$6,0)</f>
        <v>-2507</v>
      </c>
      <c r="HK31" s="1336">
        <f t="shared" si="492"/>
        <v>39665</v>
      </c>
      <c r="HL31" s="1406">
        <f t="shared" si="347"/>
        <v>-16493</v>
      </c>
      <c r="HM31" s="1748">
        <f>'28R9'!U29</f>
        <v>1087360</v>
      </c>
      <c r="HN31" s="1332">
        <f>'28R9'!O29</f>
        <v>-40975</v>
      </c>
      <c r="HO31" s="1398">
        <v>1193017</v>
      </c>
      <c r="HQ31" s="1310">
        <f>市町名目!J30</f>
        <v>895719</v>
      </c>
      <c r="HR31" s="1310">
        <f>市町名目!K30</f>
        <v>856308</v>
      </c>
      <c r="HS31" s="1310">
        <f>市町名目!L30</f>
        <v>844748</v>
      </c>
      <c r="HT31" s="1310">
        <f>市町名目!M30</f>
        <v>855033</v>
      </c>
      <c r="HU31" s="1310">
        <f>市町名目!N30</f>
        <v>871548</v>
      </c>
      <c r="HV31" s="1054">
        <v>965487</v>
      </c>
      <c r="HW31" s="1030">
        <v>1071893</v>
      </c>
      <c r="HX31" s="1030">
        <v>1177029</v>
      </c>
      <c r="HY31" s="1030">
        <v>1193017</v>
      </c>
    </row>
    <row r="32" spans="1:233" ht="12.5">
      <c r="A32" s="1334">
        <v>216</v>
      </c>
      <c r="B32" s="1335" t="s">
        <v>195</v>
      </c>
      <c r="C32" s="1316">
        <f>+L32-J32</f>
        <v>136787</v>
      </c>
      <c r="D32" s="1248">
        <f>C32-I32</f>
        <v>131349</v>
      </c>
      <c r="E32" s="850">
        <f>ROUND(E$5*L32/L$6,0)</f>
        <v>467732</v>
      </c>
      <c r="F32" s="1248">
        <f>ROUND(F$5*J32/J$6,0)</f>
        <v>352203</v>
      </c>
      <c r="G32" s="830">
        <f>ROUND(G$5*L32/L$6,0)</f>
        <v>-746</v>
      </c>
      <c r="H32" s="830">
        <f t="shared" si="470"/>
        <v>20545</v>
      </c>
      <c r="I32" s="1317">
        <f t="shared" si="470"/>
        <v>5438</v>
      </c>
      <c r="J32" s="1318">
        <f>'7H18'!K30</f>
        <v>412734</v>
      </c>
      <c r="K32" s="1248">
        <f>+'7H18'!E30</f>
        <v>31595</v>
      </c>
      <c r="L32" s="1317">
        <f>'7H18'!C30</f>
        <v>549521</v>
      </c>
      <c r="M32" s="1316">
        <f>+V32-T32</f>
        <v>161826</v>
      </c>
      <c r="N32" s="1248">
        <f>M32-S32</f>
        <v>152473</v>
      </c>
      <c r="O32" s="850">
        <f>ROUND(O$5*V32/V$6,0)</f>
        <v>516062</v>
      </c>
      <c r="P32" s="1248">
        <f>ROUND(P$5*T32/T$6,0)</f>
        <v>357526</v>
      </c>
      <c r="Q32" s="830">
        <f>ROUND(Q$5*V32/V$6,0)</f>
        <v>-1236</v>
      </c>
      <c r="R32" s="830">
        <f t="shared" si="471"/>
        <v>19997</v>
      </c>
      <c r="S32" s="1317">
        <f t="shared" si="471"/>
        <v>9353</v>
      </c>
      <c r="T32" s="1318">
        <f>+'8H19'!K30</f>
        <v>402178</v>
      </c>
      <c r="U32" s="1248">
        <f>+'8H19'!E30</f>
        <v>31011</v>
      </c>
      <c r="V32" s="1317">
        <f>'8H19'!C30</f>
        <v>564004</v>
      </c>
      <c r="W32" s="1316">
        <f>+AF32-AD32</f>
        <v>186219</v>
      </c>
      <c r="X32" s="1248">
        <f>W32-AC32</f>
        <v>177484</v>
      </c>
      <c r="Y32" s="850">
        <f>ROUND(Y$5*AF32/AF$6,0)</f>
        <v>521624</v>
      </c>
      <c r="Z32" s="1248">
        <f>ROUND(Z$5*AD32/AD$6,0)</f>
        <v>384900</v>
      </c>
      <c r="AA32" s="830">
        <f>ROUND(AA$5*AF32/AF$6,0)</f>
        <v>-3357</v>
      </c>
      <c r="AB32" s="830">
        <f t="shared" si="472"/>
        <v>19714</v>
      </c>
      <c r="AC32" s="1317">
        <f t="shared" si="472"/>
        <v>8735</v>
      </c>
      <c r="AD32" s="1318">
        <f>+'9H20'!K30</f>
        <v>436212</v>
      </c>
      <c r="AE32" s="1248">
        <f>+'9H20'!E30</f>
        <v>33017</v>
      </c>
      <c r="AF32" s="1317">
        <f>'9H20'!C30</f>
        <v>622431</v>
      </c>
      <c r="AG32" s="1316">
        <f>+AP32-AN32</f>
        <v>166817</v>
      </c>
      <c r="AH32" s="1248">
        <f>AG32-AM32</f>
        <v>173572</v>
      </c>
      <c r="AI32" s="850">
        <f>ROUND(AI$5*AP32/AP$6,0)</f>
        <v>452862</v>
      </c>
      <c r="AJ32" s="1248">
        <f>ROUND(AJ$5*AN32/AN$6,0)</f>
        <v>372908</v>
      </c>
      <c r="AK32" s="830">
        <f>ROUND(AK$5*AP32/AP$6,0)</f>
        <v>430</v>
      </c>
      <c r="AL32" s="830">
        <f t="shared" si="473"/>
        <v>18301</v>
      </c>
      <c r="AM32" s="1317">
        <f t="shared" si="473"/>
        <v>-6755</v>
      </c>
      <c r="AN32" s="1318">
        <f>+'10H21'!K30</f>
        <v>454160</v>
      </c>
      <c r="AO32" s="1248">
        <f>+'10H21'!E30</f>
        <v>32708</v>
      </c>
      <c r="AP32" s="1317">
        <f>'10H21'!C30</f>
        <v>620977</v>
      </c>
      <c r="AQ32" s="1316">
        <f>+AZ32-AX32</f>
        <v>285360</v>
      </c>
      <c r="AR32" s="1248">
        <f>AQ32-AW32</f>
        <v>277879</v>
      </c>
      <c r="AS32" s="850">
        <f>ROUND(AS$5*AZ32/AZ$6,0)</f>
        <v>496090</v>
      </c>
      <c r="AT32" s="1248">
        <f>ROUND(AT$5*AX32/AX$6,0)</f>
        <v>314665</v>
      </c>
      <c r="AU32" s="830">
        <f>ROUND(AU$5*AZ32/AZ$6,0)</f>
        <v>-3635</v>
      </c>
      <c r="AV32" s="830">
        <f t="shared" si="474"/>
        <v>19652</v>
      </c>
      <c r="AW32" s="1317">
        <f t="shared" si="474"/>
        <v>7481</v>
      </c>
      <c r="AX32" s="1318">
        <f>+'11H22'!K30</f>
        <v>374318</v>
      </c>
      <c r="AY32" s="1248">
        <f>+'11H22'!E30</f>
        <v>33322</v>
      </c>
      <c r="AZ32" s="1317">
        <f>'11H22'!C30</f>
        <v>659678</v>
      </c>
      <c r="BA32" s="1316">
        <f>+BJ32-BH32</f>
        <v>194221</v>
      </c>
      <c r="BB32" s="1248">
        <f>BA32-BG32</f>
        <v>188464</v>
      </c>
      <c r="BC32" s="850">
        <f>ROUND(BC$5*BJ32/BJ$6,0)</f>
        <v>461466</v>
      </c>
      <c r="BD32" s="1248">
        <f>ROUND(BD$5*BH32/BH$6,0)</f>
        <v>332566</v>
      </c>
      <c r="BE32" s="830">
        <f>ROUND(BE$5*BJ32/BJ$6,0)</f>
        <v>-2316</v>
      </c>
      <c r="BF32" s="830">
        <f t="shared" si="475"/>
        <v>20573</v>
      </c>
      <c r="BG32" s="1317">
        <f t="shared" si="475"/>
        <v>5757</v>
      </c>
      <c r="BH32" s="1318">
        <f>+'12H23'!K30</f>
        <v>387631</v>
      </c>
      <c r="BI32" s="1248">
        <f>+'12H23'!E30</f>
        <v>36097</v>
      </c>
      <c r="BJ32" s="1317">
        <f>'12H23'!C30</f>
        <v>581852</v>
      </c>
      <c r="BK32" s="1316">
        <f>+BT32-BR32</f>
        <v>211020</v>
      </c>
      <c r="BL32" s="1248">
        <f>BK32-BQ32</f>
        <v>200872</v>
      </c>
      <c r="BM32" s="850">
        <f>ROUND(BM$5*BT32/BT$6,0)</f>
        <v>476749</v>
      </c>
      <c r="BN32" s="1248">
        <f>ROUND(BN$5*BR32/BR$6,0)</f>
        <v>343264</v>
      </c>
      <c r="BO32" s="830">
        <f>ROUND(BO$5*BT32/BT$6,0)</f>
        <v>-1982</v>
      </c>
      <c r="BP32" s="830">
        <f t="shared" si="476"/>
        <v>20708</v>
      </c>
      <c r="BQ32" s="1317">
        <f t="shared" si="476"/>
        <v>10148</v>
      </c>
      <c r="BR32" s="1318">
        <f>+'13H24'!K30</f>
        <v>400922</v>
      </c>
      <c r="BS32" s="1248">
        <f>+'13H24'!E30</f>
        <v>37828</v>
      </c>
      <c r="BT32" s="1317">
        <f>'13H24'!C30</f>
        <v>611942</v>
      </c>
      <c r="BU32" s="1316">
        <f>+CD32-CB32</f>
        <v>216452</v>
      </c>
      <c r="BV32" s="1248">
        <f>BU32-CA32</f>
        <v>207875</v>
      </c>
      <c r="BW32" s="850">
        <f>ROUND(BW$5*CD32/CD$6,0)</f>
        <v>476882</v>
      </c>
      <c r="BX32" s="1248">
        <f>ROUND(BX$5*CB32/CB$6,0)</f>
        <v>337722</v>
      </c>
      <c r="BY32" s="830">
        <f>ROUND(BY$5*CD32/CD$6,0)</f>
        <v>-1966</v>
      </c>
      <c r="BZ32" s="830">
        <f t="shared" si="477"/>
        <v>20071</v>
      </c>
      <c r="CA32" s="1317">
        <f t="shared" si="477"/>
        <v>8577</v>
      </c>
      <c r="CB32" s="1318">
        <f>+'14H25'!K30</f>
        <v>394685</v>
      </c>
      <c r="CC32" s="1248">
        <f>+'14H25'!E30</f>
        <v>38146</v>
      </c>
      <c r="CD32" s="1317">
        <f>'14H25'!C30</f>
        <v>611137</v>
      </c>
      <c r="CE32" s="1316">
        <f>+CN32-CL32</f>
        <v>26987</v>
      </c>
      <c r="CF32" s="1248">
        <f>CE32-CK32</f>
        <v>32924</v>
      </c>
      <c r="CG32" s="850">
        <f>ROUND(CG$5*CN32/CN$6,0)</f>
        <v>439552</v>
      </c>
      <c r="CH32" s="1248">
        <f>ROUND(CH$5*CL32/CL$6,0)</f>
        <v>445923</v>
      </c>
      <c r="CI32" s="830">
        <f>ROUND(CI$5*CN32/CN$6,0)</f>
        <v>-1912</v>
      </c>
      <c r="CJ32" s="830">
        <f t="shared" si="478"/>
        <v>20859</v>
      </c>
      <c r="CK32" s="1317">
        <f t="shared" si="478"/>
        <v>-5937</v>
      </c>
      <c r="CL32" s="1318">
        <f>+'15H26'!K30</f>
        <v>518780</v>
      </c>
      <c r="CM32" s="1248">
        <f>+'15H26'!E30</f>
        <v>39807</v>
      </c>
      <c r="CN32" s="1317">
        <f>'15H26'!C30</f>
        <v>545767</v>
      </c>
      <c r="CO32" s="1316">
        <f>+CX32-CV32</f>
        <v>179737</v>
      </c>
      <c r="CP32" s="1248">
        <f>CO32-CU32</f>
        <v>173025</v>
      </c>
      <c r="CQ32" s="850">
        <f>ROUND(CQ$5*CX32/CX$6,0)</f>
        <v>458865</v>
      </c>
      <c r="CR32" s="1248">
        <f>ROUND(CR$5*CV32/CV$6,0)</f>
        <v>342619</v>
      </c>
      <c r="CS32" s="830">
        <f>ROUND(CS$5*CX32/CX$6,0)</f>
        <v>-2068</v>
      </c>
      <c r="CT32" s="830">
        <f t="shared" si="479"/>
        <v>20010</v>
      </c>
      <c r="CU32" s="1317">
        <f t="shared" si="479"/>
        <v>6712</v>
      </c>
      <c r="CV32" s="1318">
        <f>+'16H27'!K30</f>
        <v>412132</v>
      </c>
      <c r="CW32" s="1248">
        <f>+'16H27'!E30</f>
        <v>39346</v>
      </c>
      <c r="CX32" s="1317">
        <f>'16H27'!C30</f>
        <v>591869</v>
      </c>
      <c r="CY32" s="1316">
        <f>+DH32-DF32</f>
        <v>155948</v>
      </c>
      <c r="CZ32" s="1248">
        <f>CY32-DE32</f>
        <v>156401</v>
      </c>
      <c r="DA32" s="850">
        <f>ROUND(DA$5*DH32/DH$6,0)</f>
        <v>409052</v>
      </c>
      <c r="DB32" s="1248">
        <f>ROUND(DB$5*DF32/DF$6,0)</f>
        <v>316412</v>
      </c>
      <c r="DC32" s="830">
        <f>ROUND(DC$5*DH32/DH$6,0)</f>
        <v>-1728</v>
      </c>
      <c r="DD32" s="830">
        <f t="shared" si="480"/>
        <v>20279</v>
      </c>
      <c r="DE32" s="1317">
        <f t="shared" si="480"/>
        <v>-453</v>
      </c>
      <c r="DF32" s="1318">
        <f>+'17H28'!K30</f>
        <v>391259</v>
      </c>
      <c r="DG32" s="1248">
        <f>+'17H28'!E30</f>
        <v>39437</v>
      </c>
      <c r="DH32" s="1317">
        <f>'17H28'!C30</f>
        <v>547207</v>
      </c>
      <c r="DI32" s="1316">
        <f>+DR32-DP32</f>
        <v>140319</v>
      </c>
      <c r="DJ32" s="1248">
        <f>DI32-DO32</f>
        <v>159700</v>
      </c>
      <c r="DK32" s="850">
        <f>ROUND(DK$5*DR32/DR$6,0)</f>
        <v>420620</v>
      </c>
      <c r="DL32" s="1248">
        <f>ROUND(DL$5*DP32/DP$6,0)</f>
        <v>331037</v>
      </c>
      <c r="DM32" s="830">
        <f>ROUND(DM$5*DR32/DR$6,0)</f>
        <v>-1342</v>
      </c>
      <c r="DN32" s="830">
        <f t="shared" si="481"/>
        <v>16381</v>
      </c>
      <c r="DO32" s="1317">
        <f t="shared" si="481"/>
        <v>-19381</v>
      </c>
      <c r="DP32" s="1318">
        <f>+'18H29'!K30</f>
        <v>398839</v>
      </c>
      <c r="DQ32" s="1248">
        <f>+'18H29'!E30</f>
        <v>35552</v>
      </c>
      <c r="DR32" s="1317">
        <f>+'18H29'!C30</f>
        <v>539158</v>
      </c>
      <c r="DS32" s="1316">
        <f>+EB32-DZ32</f>
        <v>108251</v>
      </c>
      <c r="DT32" s="1248">
        <f>DS32-DY32</f>
        <v>136740</v>
      </c>
      <c r="DU32" s="850">
        <f>ROUND(DU$5*EB32/EB$6,0)</f>
        <v>409422</v>
      </c>
      <c r="DV32" s="1248">
        <f>ROUND(DV$5*DZ32/DZ$6,0)</f>
        <v>349147</v>
      </c>
      <c r="DW32" s="830">
        <f>ROUND(DW$5*EB32/EB$6,0)</f>
        <v>-1335</v>
      </c>
      <c r="DX32" s="830">
        <f t="shared" si="482"/>
        <v>16261</v>
      </c>
      <c r="DY32" s="1317">
        <f t="shared" si="482"/>
        <v>-28489</v>
      </c>
      <c r="DZ32" s="1318">
        <f>+'19H30'!K30</f>
        <v>409989</v>
      </c>
      <c r="EA32" s="1248">
        <f>+'19H30'!E30</f>
        <v>34540</v>
      </c>
      <c r="EB32" s="1317">
        <f>+'19H30'!C30</f>
        <v>518240</v>
      </c>
      <c r="EC32" s="1316">
        <f>+EL32-EJ32</f>
        <v>46794</v>
      </c>
      <c r="ED32" s="1248">
        <f>EC32-EI32</f>
        <v>88106</v>
      </c>
      <c r="EE32" s="850">
        <f>ROUND(EE$5*EL32/EL$6,0)</f>
        <v>412066</v>
      </c>
      <c r="EF32" s="1248">
        <f>ROUND(EF$5*EJ32/EJ$6,0)</f>
        <v>406592</v>
      </c>
      <c r="EG32" s="830">
        <f>ROUND(EG$5*EL32/EL$6,0)</f>
        <v>-1287</v>
      </c>
      <c r="EH32" s="830">
        <f t="shared" si="483"/>
        <v>16475</v>
      </c>
      <c r="EI32" s="1317">
        <f t="shared" si="483"/>
        <v>-41312</v>
      </c>
      <c r="EJ32" s="1318">
        <f>+'20R1'!K30</f>
        <v>485420</v>
      </c>
      <c r="EK32" s="1248">
        <f>+'20R1'!E30</f>
        <v>35949</v>
      </c>
      <c r="EL32" s="1317">
        <f>+'20R1'!C30</f>
        <v>532214</v>
      </c>
      <c r="EM32" s="1316">
        <f>+EV32-ET32</f>
        <v>176759</v>
      </c>
      <c r="EN32" s="1248">
        <f>EM32-ES32</f>
        <v>187524</v>
      </c>
      <c r="EO32" s="850">
        <f>ROUND(EO$5*EV32/EV$6,0)</f>
        <v>422221</v>
      </c>
      <c r="EP32" s="1248">
        <f>ROUND(EP$5*ET32/ET$6,0)</f>
        <v>329888</v>
      </c>
      <c r="EQ32" s="1336">
        <f>ROUND(EQ$5*EV32/EV$6,0)</f>
        <v>-1106</v>
      </c>
      <c r="ER32" s="1336">
        <f t="shared" si="484"/>
        <v>16487</v>
      </c>
      <c r="ES32" s="850">
        <f t="shared" si="485"/>
        <v>-10765</v>
      </c>
      <c r="ET32" s="1331">
        <f>'21R2'!K30</f>
        <v>411167</v>
      </c>
      <c r="EU32" s="1248">
        <f>'21R2'!E30</f>
        <v>36383</v>
      </c>
      <c r="EV32" s="1317">
        <f>+'21R2'!C30</f>
        <v>587926</v>
      </c>
      <c r="EW32" s="1392">
        <f t="shared" si="298"/>
        <v>41244</v>
      </c>
      <c r="EX32" s="1310">
        <f>EY32-EZ32</f>
        <v>52013</v>
      </c>
      <c r="EY32" s="850">
        <f>ROUND(EY$5*FF32/FF$6,0)</f>
        <v>433928</v>
      </c>
      <c r="EZ32" s="1248">
        <f>ROUND(EZ$5*FD32/FD$6,0)</f>
        <v>381915</v>
      </c>
      <c r="FA32" s="1336">
        <f>ROUND(FA$5*FF32/FF$6,0)</f>
        <v>-571</v>
      </c>
      <c r="FB32" s="1336">
        <f t="shared" si="486"/>
        <v>17126</v>
      </c>
      <c r="FC32" s="1689">
        <f t="shared" si="363"/>
        <v>-10769</v>
      </c>
      <c r="FD32" s="1414">
        <f>'22R3'!K30</f>
        <v>441493</v>
      </c>
      <c r="FE32" s="1310">
        <f>'22R3'!E30</f>
        <v>38877</v>
      </c>
      <c r="FF32" s="1690">
        <f>'22R3'!C30</f>
        <v>551596</v>
      </c>
      <c r="FG32" s="1392">
        <f t="shared" si="300"/>
        <v>83622</v>
      </c>
      <c r="FH32" s="1310">
        <f>FI32-FJ32</f>
        <v>94391</v>
      </c>
      <c r="FI32" s="850">
        <f>ROUND(FI$5*FP32/FP$6,0)</f>
        <v>494479</v>
      </c>
      <c r="FJ32" s="1248">
        <f>ROUND(FJ$5*FN32/FN$6,0)</f>
        <v>400088</v>
      </c>
      <c r="FK32" s="1336">
        <f>ROUND(FK$5*FP32/FP$6,0)</f>
        <v>-1107</v>
      </c>
      <c r="FL32" s="1336">
        <f t="shared" si="487"/>
        <v>18594</v>
      </c>
      <c r="FM32" s="1398">
        <f t="shared" si="302"/>
        <v>-10769</v>
      </c>
      <c r="FN32" s="1748">
        <f>'23R4'!K30</f>
        <v>431218</v>
      </c>
      <c r="FO32" s="1332">
        <f>'23R4'!E30</f>
        <v>40728</v>
      </c>
      <c r="FP32" s="1690">
        <f>'23R4'!C30</f>
        <v>609404</v>
      </c>
      <c r="FQ32" s="1310"/>
      <c r="FR32" s="1392">
        <f t="shared" si="303"/>
        <v>51628</v>
      </c>
      <c r="FS32" s="1310">
        <f>FT32-FU32</f>
        <v>62397</v>
      </c>
      <c r="FT32" s="868">
        <f>ROUND(FT$5*GA32/GA$6,0)</f>
        <v>451730</v>
      </c>
      <c r="FU32" s="1248">
        <f>ROUND(FU$5*FY32/FY$6,0)</f>
        <v>389333</v>
      </c>
      <c r="FV32" s="1336">
        <f>ROUND(FV$5*GA32/GA$6,0)</f>
        <v>-995</v>
      </c>
      <c r="FW32" s="1336">
        <f t="shared" si="488"/>
        <v>20022</v>
      </c>
      <c r="FX32" s="1398">
        <f t="shared" si="335"/>
        <v>-10769</v>
      </c>
      <c r="FY32" s="1332">
        <f>'24R5'!K30</f>
        <v>426293</v>
      </c>
      <c r="FZ32" s="1332">
        <f>'24R5'!E30</f>
        <v>43840</v>
      </c>
      <c r="GA32" s="1319">
        <v>470042</v>
      </c>
      <c r="GB32" s="1392">
        <f t="shared" si="305"/>
        <v>-28185</v>
      </c>
      <c r="GC32" s="1310">
        <f>GD32-GE32</f>
        <v>-17416</v>
      </c>
      <c r="GD32" s="868">
        <f>ROUND(GD$5*GK32/GK$6,0)</f>
        <v>482849</v>
      </c>
      <c r="GE32" s="1248">
        <f>ROUND(GE$5*GI32/GI$6,0)</f>
        <v>500265</v>
      </c>
      <c r="GF32" s="1336">
        <f>ROUND(GF$5*GK32/GK$6,0)</f>
        <v>-1041</v>
      </c>
      <c r="GG32" s="1336">
        <f t="shared" si="489"/>
        <v>10356</v>
      </c>
      <c r="GH32" s="1398">
        <f t="shared" si="338"/>
        <v>-10769</v>
      </c>
      <c r="GI32" s="1332">
        <f>'25R6'!K30</f>
        <v>539807</v>
      </c>
      <c r="GJ32" s="1332">
        <f>'25R6'!E30</f>
        <v>46214</v>
      </c>
      <c r="GK32" s="1319">
        <v>470042</v>
      </c>
      <c r="GL32" s="1392">
        <f t="shared" si="307"/>
        <v>9921</v>
      </c>
      <c r="GM32" s="1310">
        <f>GN32-GO32</f>
        <v>20690</v>
      </c>
      <c r="GN32" s="868">
        <f>ROUND(GN$5*GU32/GU$6,0)</f>
        <v>524469</v>
      </c>
      <c r="GO32" s="1248">
        <f>ROUND(GO$5*GS32/GS$6,0)</f>
        <v>503779</v>
      </c>
      <c r="GP32" s="1336">
        <f>ROUND(GP$5*GU32/GU$6,0)</f>
        <v>-1133</v>
      </c>
      <c r="GQ32" s="1336">
        <f t="shared" si="490"/>
        <v>10045</v>
      </c>
      <c r="GR32" s="1406">
        <f t="shared" si="341"/>
        <v>-10769</v>
      </c>
      <c r="GS32" s="1748">
        <f>'26R7'!K30</f>
        <v>547465</v>
      </c>
      <c r="GT32" s="1332">
        <f>'26R7'!E30</f>
        <v>46828</v>
      </c>
      <c r="GU32" s="1398">
        <v>547465</v>
      </c>
      <c r="GV32" s="1392">
        <f t="shared" si="309"/>
        <v>13878</v>
      </c>
      <c r="GW32" s="1310">
        <f>GX32-GY32</f>
        <v>24647</v>
      </c>
      <c r="GX32" s="868">
        <f>ROUND(GX$5*HE32/HE$6,0)</f>
        <v>536647</v>
      </c>
      <c r="GY32" s="1248">
        <f>ROUND(GY$5*HC32/HC$6,0)</f>
        <v>512000</v>
      </c>
      <c r="GZ32" s="1336">
        <f>ROUND(GZ$5*HE32/HE$6,0)</f>
        <v>-1159</v>
      </c>
      <c r="HA32" s="1336">
        <f t="shared" si="491"/>
        <v>-3632</v>
      </c>
      <c r="HB32" s="1406">
        <f t="shared" si="344"/>
        <v>-10769</v>
      </c>
      <c r="HC32" s="1748">
        <f>'27R8'!U30</f>
        <v>518621</v>
      </c>
      <c r="HD32" s="1690">
        <f>'27R8'!O30</f>
        <v>3752</v>
      </c>
      <c r="HE32" s="1398">
        <v>557558</v>
      </c>
      <c r="HF32" s="1392">
        <f t="shared" si="311"/>
        <v>21085</v>
      </c>
      <c r="HG32" s="1310">
        <f>HH32-HI32</f>
        <v>31854</v>
      </c>
      <c r="HH32" s="868">
        <f>ROUND(HH$5*HO32/HO$6,0)</f>
        <v>556149</v>
      </c>
      <c r="HI32" s="1248">
        <f>ROUND(HI$5*HM32/HM$6,0)</f>
        <v>524295</v>
      </c>
      <c r="HJ32" s="1336">
        <f>ROUND(HJ$5*HO32/HO$6,0)</f>
        <v>-1201</v>
      </c>
      <c r="HK32" s="1336">
        <f t="shared" si="492"/>
        <v>-3632</v>
      </c>
      <c r="HL32" s="1406">
        <f t="shared" si="347"/>
        <v>-10769</v>
      </c>
      <c r="HM32" s="1748">
        <f>'28R9'!U30</f>
        <v>518621</v>
      </c>
      <c r="HN32" s="1332">
        <f>'28R9'!O30</f>
        <v>3752</v>
      </c>
      <c r="HO32" s="1398">
        <v>571674</v>
      </c>
      <c r="HQ32" s="1310">
        <f>市町名目!J31</f>
        <v>532214</v>
      </c>
      <c r="HR32" s="1310">
        <f>市町名目!K31</f>
        <v>587926</v>
      </c>
      <c r="HS32" s="1310">
        <f>市町名目!L31</f>
        <v>551596</v>
      </c>
      <c r="HT32" s="1310">
        <f>市町名目!M31</f>
        <v>609404</v>
      </c>
      <c r="HU32" s="1310">
        <f>市町名目!N31</f>
        <v>526778</v>
      </c>
      <c r="HV32" s="1054">
        <v>531426</v>
      </c>
      <c r="HW32" s="1030">
        <v>551528</v>
      </c>
      <c r="HX32" s="1030">
        <v>557558</v>
      </c>
      <c r="HY32" s="1030">
        <v>571674</v>
      </c>
    </row>
    <row r="33" spans="1:233" ht="12.5">
      <c r="A33" s="1334">
        <v>381</v>
      </c>
      <c r="B33" s="1335" t="s">
        <v>196</v>
      </c>
      <c r="C33" s="1316">
        <f>+L33-J33</f>
        <v>45135</v>
      </c>
      <c r="D33" s="1248">
        <f>C33-I33</f>
        <v>43746</v>
      </c>
      <c r="E33" s="850">
        <f>ROUND(E$5*L33/L$6,0)</f>
        <v>119502</v>
      </c>
      <c r="F33" s="1248">
        <f>ROUND(F$5*J33/J$6,0)</f>
        <v>81292</v>
      </c>
      <c r="G33" s="830">
        <f>ROUND(G$5*L33/L$6,0)</f>
        <v>-191</v>
      </c>
      <c r="H33" s="830">
        <f t="shared" si="470"/>
        <v>5648</v>
      </c>
      <c r="I33" s="1317">
        <f t="shared" si="470"/>
        <v>1389</v>
      </c>
      <c r="J33" s="1318">
        <f>'7H18'!K31</f>
        <v>95263</v>
      </c>
      <c r="K33" s="1248">
        <f>+'7H18'!E31</f>
        <v>8685</v>
      </c>
      <c r="L33" s="1317">
        <f>'7H18'!C31</f>
        <v>140398</v>
      </c>
      <c r="M33" s="1316">
        <f>+V33-T33</f>
        <v>42635</v>
      </c>
      <c r="N33" s="1248">
        <f>M33-S33</f>
        <v>40283</v>
      </c>
      <c r="O33" s="850">
        <f>ROUND(O$5*V33/V$6,0)</f>
        <v>129770</v>
      </c>
      <c r="P33" s="1248">
        <f>ROUND(P$5*T33/T$6,0)</f>
        <v>88178</v>
      </c>
      <c r="Q33" s="830">
        <f>ROUND(Q$5*V33/V$6,0)</f>
        <v>-311</v>
      </c>
      <c r="R33" s="830">
        <f t="shared" si="471"/>
        <v>5631</v>
      </c>
      <c r="S33" s="1317">
        <f t="shared" si="471"/>
        <v>2352</v>
      </c>
      <c r="T33" s="1318">
        <f>+'8H19'!K31</f>
        <v>99191</v>
      </c>
      <c r="U33" s="1248">
        <f>+'8H19'!E31</f>
        <v>8733</v>
      </c>
      <c r="V33" s="1317">
        <f>'8H19'!C31</f>
        <v>141826</v>
      </c>
      <c r="W33" s="1316">
        <f>+AF33-AD33</f>
        <v>49687</v>
      </c>
      <c r="X33" s="1248">
        <f>W33-AC33</f>
        <v>47690</v>
      </c>
      <c r="Y33" s="850">
        <f>ROUND(Y$5*AF33/AF$6,0)</f>
        <v>119257</v>
      </c>
      <c r="Z33" s="1248">
        <f>ROUND(Z$5*AD33/AD$6,0)</f>
        <v>81722</v>
      </c>
      <c r="AA33" s="830">
        <f>ROUND(AA$5*AF33/AF$6,0)</f>
        <v>-767</v>
      </c>
      <c r="AB33" s="830">
        <f t="shared" si="472"/>
        <v>5181</v>
      </c>
      <c r="AC33" s="1317">
        <f t="shared" si="472"/>
        <v>1997</v>
      </c>
      <c r="AD33" s="1318">
        <f>+'9H20'!K31</f>
        <v>92617</v>
      </c>
      <c r="AE33" s="1248">
        <f>+'9H20'!E31</f>
        <v>8677</v>
      </c>
      <c r="AF33" s="1317">
        <f>'9H20'!C31</f>
        <v>142304</v>
      </c>
      <c r="AG33" s="1316">
        <f>+AP33-AN33</f>
        <v>43717</v>
      </c>
      <c r="AH33" s="1248">
        <f>AG33-AM33</f>
        <v>45144</v>
      </c>
      <c r="AI33" s="850">
        <f>ROUND(AI$5*AP33/AP$6,0)</f>
        <v>95697</v>
      </c>
      <c r="AJ33" s="1248">
        <f>ROUND(AJ$5*AN33/AN$6,0)</f>
        <v>71850</v>
      </c>
      <c r="AK33" s="830">
        <f>ROUND(AK$5*AP33/AP$6,0)</f>
        <v>91</v>
      </c>
      <c r="AL33" s="830">
        <f t="shared" si="473"/>
        <v>4981</v>
      </c>
      <c r="AM33" s="1317">
        <f t="shared" si="473"/>
        <v>-1427</v>
      </c>
      <c r="AN33" s="1318">
        <f>+'10H21'!K31</f>
        <v>87505</v>
      </c>
      <c r="AO33" s="1248">
        <f>+'10H21'!E31</f>
        <v>8902</v>
      </c>
      <c r="AP33" s="1317">
        <f>'10H21'!C31</f>
        <v>131222</v>
      </c>
      <c r="AQ33" s="1316">
        <f>+AZ33-AX33</f>
        <v>53924</v>
      </c>
      <c r="AR33" s="1248">
        <f>AQ33-AW33</f>
        <v>52322</v>
      </c>
      <c r="AS33" s="850">
        <f>ROUND(AS$5*AZ33/AZ$6,0)</f>
        <v>106219</v>
      </c>
      <c r="AT33" s="1248">
        <f>ROUND(AT$5*AX33/AX$6,0)</f>
        <v>73405</v>
      </c>
      <c r="AU33" s="830">
        <f>ROUND(AU$5*AZ33/AZ$6,0)</f>
        <v>-778</v>
      </c>
      <c r="AV33" s="830">
        <f t="shared" si="474"/>
        <v>5280</v>
      </c>
      <c r="AW33" s="1317">
        <f t="shared" si="474"/>
        <v>1602</v>
      </c>
      <c r="AX33" s="1318">
        <f>+'11H22'!K31</f>
        <v>87321</v>
      </c>
      <c r="AY33" s="1248">
        <f>+'11H22'!E31</f>
        <v>8953</v>
      </c>
      <c r="AZ33" s="1317">
        <f>'11H22'!C31</f>
        <v>141245</v>
      </c>
      <c r="BA33" s="1316">
        <f>+BJ33-BH33</f>
        <v>58736</v>
      </c>
      <c r="BB33" s="1248">
        <f>BA33-BG33</f>
        <v>57256</v>
      </c>
      <c r="BC33" s="850">
        <f>ROUND(BC$5*BJ33/BJ$6,0)</f>
        <v>118594</v>
      </c>
      <c r="BD33" s="1248">
        <f>ROUND(BD$5*BH33/BH$6,0)</f>
        <v>77898</v>
      </c>
      <c r="BE33" s="830">
        <f>ROUND(BE$5*BJ33/BJ$6,0)</f>
        <v>-595</v>
      </c>
      <c r="BF33" s="830">
        <f t="shared" si="475"/>
        <v>5466</v>
      </c>
      <c r="BG33" s="1317">
        <f t="shared" si="475"/>
        <v>1480</v>
      </c>
      <c r="BH33" s="1318">
        <f>+'12H23'!K31</f>
        <v>90796</v>
      </c>
      <c r="BI33" s="1248">
        <f>+'12H23'!E31</f>
        <v>9590</v>
      </c>
      <c r="BJ33" s="1317">
        <f>'12H23'!C31</f>
        <v>149532</v>
      </c>
      <c r="BK33" s="1316">
        <f>+BT33-BR33</f>
        <v>66287</v>
      </c>
      <c r="BL33" s="1248">
        <f>BK33-BQ33</f>
        <v>63642</v>
      </c>
      <c r="BM33" s="850">
        <f>ROUND(BM$5*BT33/BT$6,0)</f>
        <v>124270</v>
      </c>
      <c r="BN33" s="1248">
        <f>ROUND(BN$5*BR33/BR$6,0)</f>
        <v>79815</v>
      </c>
      <c r="BO33" s="830">
        <f>ROUND(BO$5*BT33/BT$6,0)</f>
        <v>-517</v>
      </c>
      <c r="BP33" s="830">
        <f t="shared" si="476"/>
        <v>5293</v>
      </c>
      <c r="BQ33" s="1317">
        <f t="shared" si="476"/>
        <v>2645</v>
      </c>
      <c r="BR33" s="1318">
        <f>+'13H24'!K31</f>
        <v>93222</v>
      </c>
      <c r="BS33" s="1248">
        <f>+'13H24'!E31</f>
        <v>9668</v>
      </c>
      <c r="BT33" s="1317">
        <f>'13H24'!C31</f>
        <v>159509</v>
      </c>
      <c r="BU33" s="1316">
        <f>+CD33-CB33</f>
        <v>71812</v>
      </c>
      <c r="BV33" s="1248">
        <f>BU33-CA33</f>
        <v>69493</v>
      </c>
      <c r="BW33" s="850">
        <f>ROUND(BW$5*CD33/CD$6,0)</f>
        <v>128967</v>
      </c>
      <c r="BX33" s="1248">
        <f>ROUND(BX$5*CB33/CB$6,0)</f>
        <v>79974</v>
      </c>
      <c r="BY33" s="830">
        <f>ROUND(BY$5*CD33/CD$6,0)</f>
        <v>-532</v>
      </c>
      <c r="BZ33" s="830">
        <f t="shared" si="477"/>
        <v>5344</v>
      </c>
      <c r="CA33" s="1317">
        <f t="shared" si="477"/>
        <v>2319</v>
      </c>
      <c r="CB33" s="1318">
        <f>+'14H25'!K31</f>
        <v>93463</v>
      </c>
      <c r="CC33" s="1248">
        <f>+'14H25'!E31</f>
        <v>10157</v>
      </c>
      <c r="CD33" s="1317">
        <f>'14H25'!C31</f>
        <v>165275</v>
      </c>
      <c r="CE33" s="1316">
        <f>+CN33-CL33</f>
        <v>77971</v>
      </c>
      <c r="CF33" s="1248">
        <f>CE33-CK33</f>
        <v>79832</v>
      </c>
      <c r="CG33" s="850">
        <f>ROUND(CG$5*CN33/CN$6,0)</f>
        <v>137811</v>
      </c>
      <c r="CH33" s="1248">
        <f>ROUND(CH$5*CL33/CL$6,0)</f>
        <v>80060</v>
      </c>
      <c r="CI33" s="830">
        <f>ROUND(CI$5*CN33/CN$6,0)</f>
        <v>-599</v>
      </c>
      <c r="CJ33" s="830">
        <f t="shared" si="478"/>
        <v>5445</v>
      </c>
      <c r="CK33" s="1317">
        <f t="shared" si="478"/>
        <v>-1861</v>
      </c>
      <c r="CL33" s="1318">
        <f>+'15H26'!K31</f>
        <v>93141</v>
      </c>
      <c r="CM33" s="1248">
        <f>+'15H26'!E31</f>
        <v>10391</v>
      </c>
      <c r="CN33" s="1317">
        <f>'15H26'!C31</f>
        <v>171112</v>
      </c>
      <c r="CO33" s="1316">
        <f>+CX33-CV33</f>
        <v>90583</v>
      </c>
      <c r="CP33" s="1248">
        <f>CO33-CU33</f>
        <v>88419</v>
      </c>
      <c r="CQ33" s="850">
        <f>ROUND(CQ$5*CX33/CX$6,0)</f>
        <v>147912</v>
      </c>
      <c r="CR33" s="1248">
        <f>ROUND(CR$5*CV33/CV$6,0)</f>
        <v>83301</v>
      </c>
      <c r="CS33" s="830">
        <f>ROUND(CS$5*CX33/CX$6,0)</f>
        <v>-667</v>
      </c>
      <c r="CT33" s="830">
        <f t="shared" si="479"/>
        <v>5479</v>
      </c>
      <c r="CU33" s="1317">
        <f t="shared" si="479"/>
        <v>2164</v>
      </c>
      <c r="CV33" s="1318">
        <f>+'16H27'!K31</f>
        <v>100202</v>
      </c>
      <c r="CW33" s="1248">
        <f>+'16H27'!E31</f>
        <v>10773</v>
      </c>
      <c r="CX33" s="1317">
        <f>'16H27'!C31</f>
        <v>190785</v>
      </c>
      <c r="CY33" s="1316">
        <f>+DH33-DF33</f>
        <v>87678</v>
      </c>
      <c r="CZ33" s="1248">
        <f>CY33-DE33</f>
        <v>87825</v>
      </c>
      <c r="DA33" s="850">
        <f>ROUND(DA$5*DH33/DH$6,0)</f>
        <v>132931</v>
      </c>
      <c r="DB33" s="1248">
        <f>ROUND(DB$5*DF33/DF$6,0)</f>
        <v>72905</v>
      </c>
      <c r="DC33" s="830">
        <f>ROUND(DC$5*DH33/DH$6,0)</f>
        <v>-562</v>
      </c>
      <c r="DD33" s="830">
        <f t="shared" si="480"/>
        <v>5465</v>
      </c>
      <c r="DE33" s="1317">
        <f t="shared" si="480"/>
        <v>-147</v>
      </c>
      <c r="DF33" s="1318">
        <f>+'17H28'!K31</f>
        <v>90150</v>
      </c>
      <c r="DG33" s="1248">
        <f>+'17H28'!E31</f>
        <v>10627</v>
      </c>
      <c r="DH33" s="1317">
        <f>'17H28'!C31</f>
        <v>177828</v>
      </c>
      <c r="DI33" s="1316">
        <f>+DR33-DP33</f>
        <v>86405</v>
      </c>
      <c r="DJ33" s="1248">
        <f>DI33-DO33</f>
        <v>93012</v>
      </c>
      <c r="DK33" s="850">
        <f>ROUND(DK$5*DR33/DR$6,0)</f>
        <v>143389</v>
      </c>
      <c r="DL33" s="1248">
        <f>ROUND(DL$5*DP33/DP$6,0)</f>
        <v>80837</v>
      </c>
      <c r="DM33" s="830">
        <f>ROUND(DM$5*DR33/DR$6,0)</f>
        <v>-457</v>
      </c>
      <c r="DN33" s="830">
        <f t="shared" si="481"/>
        <v>4705</v>
      </c>
      <c r="DO33" s="1317">
        <f t="shared" si="481"/>
        <v>-6607</v>
      </c>
      <c r="DP33" s="1318">
        <f>+'18H29'!K31</f>
        <v>97394</v>
      </c>
      <c r="DQ33" s="1248">
        <f>+'18H29'!E31</f>
        <v>10212</v>
      </c>
      <c r="DR33" s="1317">
        <f>+'18H29'!C31</f>
        <v>183799</v>
      </c>
      <c r="DS33" s="1316">
        <f>+EB33-DZ33</f>
        <v>76832</v>
      </c>
      <c r="DT33" s="1248">
        <f>DS33-DY33</f>
        <v>86876</v>
      </c>
      <c r="DU33" s="850">
        <f>ROUND(DU$5*EB33/EB$6,0)</f>
        <v>144349</v>
      </c>
      <c r="DV33" s="1248">
        <f>ROUND(DV$5*DZ33/DZ$6,0)</f>
        <v>90170</v>
      </c>
      <c r="DW33" s="830">
        <f>ROUND(DW$5*EB33/EB$6,0)</f>
        <v>-471</v>
      </c>
      <c r="DX33" s="830">
        <f t="shared" si="482"/>
        <v>4785</v>
      </c>
      <c r="DY33" s="1317">
        <f t="shared" si="482"/>
        <v>-10044</v>
      </c>
      <c r="DZ33" s="1318">
        <f>+'19H30'!K31</f>
        <v>105883</v>
      </c>
      <c r="EA33" s="1248">
        <f>+'19H30'!E31</f>
        <v>10163</v>
      </c>
      <c r="EB33" s="1317">
        <f>+'19H30'!C31</f>
        <v>182715</v>
      </c>
      <c r="EC33" s="1316">
        <f>+EL33-EJ33</f>
        <v>68411</v>
      </c>
      <c r="ED33" s="1248">
        <f>EC33-EI33</f>
        <v>82053</v>
      </c>
      <c r="EE33" s="850">
        <f>ROUND(EE$5*EL33/EL$6,0)</f>
        <v>136068</v>
      </c>
      <c r="EF33" s="1248">
        <f>ROUND(EF$5*EJ33/EJ$6,0)</f>
        <v>89901</v>
      </c>
      <c r="EG33" s="830">
        <f>ROUND(EG$5*EL33/EL$6,0)</f>
        <v>-425</v>
      </c>
      <c r="EH33" s="830">
        <f t="shared" si="483"/>
        <v>4880</v>
      </c>
      <c r="EI33" s="1317">
        <f t="shared" si="483"/>
        <v>-13642</v>
      </c>
      <c r="EJ33" s="1318">
        <f>+'20R1'!K31</f>
        <v>107331</v>
      </c>
      <c r="EK33" s="1248">
        <f>+'20R1'!E31</f>
        <v>10649</v>
      </c>
      <c r="EL33" s="1317">
        <f>+'20R1'!C31</f>
        <v>175742</v>
      </c>
      <c r="EM33" s="1316">
        <f>+EV33-ET33</f>
        <v>56631</v>
      </c>
      <c r="EN33" s="1248">
        <f>EM33-ES33</f>
        <v>59397</v>
      </c>
      <c r="EO33" s="850">
        <f>ROUND(EO$5*EV33/EV$6,0)</f>
        <v>108490</v>
      </c>
      <c r="EP33" s="1248">
        <f>ROUND(EP$5*ET33/ET$6,0)</f>
        <v>75769</v>
      </c>
      <c r="EQ33" s="1336">
        <f>ROUND(EQ$5*EV33/EV$6,0)</f>
        <v>-284</v>
      </c>
      <c r="ER33" s="1336">
        <f t="shared" si="484"/>
        <v>4801</v>
      </c>
      <c r="ES33" s="850">
        <f t="shared" si="485"/>
        <v>-2766</v>
      </c>
      <c r="ET33" s="1331">
        <f>'21R2'!K31</f>
        <v>94437</v>
      </c>
      <c r="EU33" s="1248">
        <f>'21R2'!E31</f>
        <v>10595</v>
      </c>
      <c r="EV33" s="1317">
        <f>+'21R2'!C31</f>
        <v>151068</v>
      </c>
      <c r="EW33" s="1392">
        <f t="shared" si="298"/>
        <v>-634</v>
      </c>
      <c r="EX33" s="1310">
        <f>EY33-EZ33</f>
        <v>2671</v>
      </c>
      <c r="EY33" s="850">
        <f>ROUND(EY$5*FF33/FF$6,0)</f>
        <v>133155</v>
      </c>
      <c r="EZ33" s="1248">
        <f>ROUND(EZ$5*FD33/FD$6,0)</f>
        <v>130484</v>
      </c>
      <c r="FA33" s="1336">
        <f>ROUND(FA$5*FF33/FF$6,0)</f>
        <v>-175</v>
      </c>
      <c r="FB33" s="1336">
        <f t="shared" si="486"/>
        <v>5328</v>
      </c>
      <c r="FC33" s="1689">
        <f t="shared" si="363"/>
        <v>-3305</v>
      </c>
      <c r="FD33" s="1414">
        <f>'22R3'!K31</f>
        <v>150839</v>
      </c>
      <c r="FE33" s="1310">
        <f>'22R3'!E31</f>
        <v>12095</v>
      </c>
      <c r="FF33" s="1690">
        <f>'22R3'!C31</f>
        <v>169263</v>
      </c>
      <c r="FG33" s="1392">
        <f t="shared" si="300"/>
        <v>24768</v>
      </c>
      <c r="FH33" s="1310">
        <f>FI33-FJ33</f>
        <v>28073</v>
      </c>
      <c r="FI33" s="850">
        <f>ROUND(FI$5*FP33/FP$6,0)</f>
        <v>139011</v>
      </c>
      <c r="FJ33" s="1248">
        <f>ROUND(FJ$5*FN33/FN$6,0)</f>
        <v>110938</v>
      </c>
      <c r="FK33" s="1336">
        <f>ROUND(FK$5*FP33/FP$6,0)</f>
        <v>-311</v>
      </c>
      <c r="FL33" s="1336">
        <f t="shared" si="487"/>
        <v>5518</v>
      </c>
      <c r="FM33" s="1398">
        <f t="shared" si="302"/>
        <v>-3305</v>
      </c>
      <c r="FN33" s="1748">
        <f>'23R4'!K31</f>
        <v>119570</v>
      </c>
      <c r="FO33" s="1332">
        <f>'23R4'!E31</f>
        <v>12087</v>
      </c>
      <c r="FP33" s="1690">
        <f>'23R4'!C31</f>
        <v>171319</v>
      </c>
      <c r="FQ33" s="1310"/>
      <c r="FR33" s="1392">
        <f t="shared" si="303"/>
        <v>25177</v>
      </c>
      <c r="FS33" s="1310">
        <f>FT33-FU33</f>
        <v>28482</v>
      </c>
      <c r="FT33" s="868">
        <f>ROUND(FT$5*GA33/GA$6,0)</f>
        <v>131345</v>
      </c>
      <c r="FU33" s="1248">
        <f>ROUND(FU$5*FY33/FY$6,0)</f>
        <v>102863</v>
      </c>
      <c r="FV33" s="1336">
        <f>ROUND(FV$5*GA33/GA$6,0)</f>
        <v>-289</v>
      </c>
      <c r="FW33" s="1336">
        <f t="shared" si="488"/>
        <v>5424</v>
      </c>
      <c r="FX33" s="1398">
        <f t="shared" si="335"/>
        <v>-3305</v>
      </c>
      <c r="FY33" s="1332">
        <f>'24R5'!K31</f>
        <v>112628</v>
      </c>
      <c r="FZ33" s="1332">
        <f>'24R5'!E31</f>
        <v>11877</v>
      </c>
      <c r="GA33" s="1319">
        <v>136669</v>
      </c>
      <c r="GB33" s="1392">
        <f t="shared" si="305"/>
        <v>17708</v>
      </c>
      <c r="GC33" s="1310">
        <f>GD33-GE33</f>
        <v>21013</v>
      </c>
      <c r="GD33" s="868">
        <f>ROUND(GD$5*GK33/GK$6,0)</f>
        <v>140393</v>
      </c>
      <c r="GE33" s="1248">
        <f>ROUND(GE$5*GI33/GI$6,0)</f>
        <v>119380</v>
      </c>
      <c r="GF33" s="1336">
        <f>ROUND(GF$5*GK33/GK$6,0)</f>
        <v>-303</v>
      </c>
      <c r="GG33" s="1336">
        <f t="shared" si="489"/>
        <v>2879</v>
      </c>
      <c r="GH33" s="1398">
        <f t="shared" si="338"/>
        <v>-3305</v>
      </c>
      <c r="GI33" s="1332">
        <f>'25R6'!K31</f>
        <v>128816</v>
      </c>
      <c r="GJ33" s="1332">
        <f>'25R6'!E31</f>
        <v>12847</v>
      </c>
      <c r="GK33" s="1319">
        <v>136669</v>
      </c>
      <c r="GL33" s="1392">
        <f t="shared" si="307"/>
        <v>1711</v>
      </c>
      <c r="GM33" s="1310">
        <f>GN33-GO33</f>
        <v>5016</v>
      </c>
      <c r="GN33" s="868">
        <f>ROUND(GN$5*GU33/GU$6,0)</f>
        <v>127133</v>
      </c>
      <c r="GO33" s="1248">
        <f>ROUND(GO$5*GS33/GS$6,0)</f>
        <v>122117</v>
      </c>
      <c r="GP33" s="1336">
        <f>ROUND(GP$5*GU33/GU$6,0)</f>
        <v>-275</v>
      </c>
      <c r="GQ33" s="1336">
        <f t="shared" si="490"/>
        <v>2829</v>
      </c>
      <c r="GR33" s="1406">
        <f t="shared" si="341"/>
        <v>-3305</v>
      </c>
      <c r="GS33" s="1748">
        <f>'26R7'!K31</f>
        <v>132707</v>
      </c>
      <c r="GT33" s="1332">
        <f>'26R7'!E31</f>
        <v>13190</v>
      </c>
      <c r="GU33" s="1398">
        <v>132707</v>
      </c>
      <c r="GV33" s="1392">
        <f t="shared" si="309"/>
        <v>-1861</v>
      </c>
      <c r="GW33" s="1310">
        <f>GX33-GY33</f>
        <v>1444</v>
      </c>
      <c r="GX33" s="868">
        <f>ROUND(GX$5*HE33/HE$6,0)</f>
        <v>129788</v>
      </c>
      <c r="GY33" s="1248">
        <f>ROUND(GY$5*HC33/HC$6,0)</f>
        <v>128344</v>
      </c>
      <c r="GZ33" s="1336">
        <f>ROUND(GZ$5*HE33/HE$6,0)</f>
        <v>-280</v>
      </c>
      <c r="HA33" s="1336">
        <f t="shared" si="491"/>
        <v>-5500</v>
      </c>
      <c r="HB33" s="1406">
        <f t="shared" si="344"/>
        <v>-3305</v>
      </c>
      <c r="HC33" s="1748">
        <f>'27R8'!U31</f>
        <v>130004</v>
      </c>
      <c r="HD33" s="1690">
        <f>'27R8'!O31</f>
        <v>5682</v>
      </c>
      <c r="HE33" s="1398">
        <v>134845</v>
      </c>
      <c r="HF33" s="1392">
        <f t="shared" si="311"/>
        <v>-1075</v>
      </c>
      <c r="HG33" s="1310">
        <f>HH33-HI33</f>
        <v>2230</v>
      </c>
      <c r="HH33" s="868">
        <f>ROUND(HH$5*HO33/HO$6,0)</f>
        <v>133656</v>
      </c>
      <c r="HI33" s="1248">
        <f>ROUND(HI$5*HM33/HM$6,0)</f>
        <v>131426</v>
      </c>
      <c r="HJ33" s="1336">
        <f>ROUND(HJ$5*HO33/HO$6,0)</f>
        <v>-289</v>
      </c>
      <c r="HK33" s="1336">
        <f t="shared" si="492"/>
        <v>-5500</v>
      </c>
      <c r="HL33" s="1406">
        <f t="shared" si="347"/>
        <v>-3305</v>
      </c>
      <c r="HM33" s="1748">
        <f>'28R9'!U31</f>
        <v>130004</v>
      </c>
      <c r="HN33" s="1332">
        <f>'28R9'!O31</f>
        <v>5682</v>
      </c>
      <c r="HO33" s="1398">
        <v>137387</v>
      </c>
      <c r="HQ33" s="1310">
        <f>市町名目!J32</f>
        <v>175742</v>
      </c>
      <c r="HR33" s="1310">
        <f>市町名目!K32</f>
        <v>151068</v>
      </c>
      <c r="HS33" s="1310">
        <f>市町名目!L32</f>
        <v>169263</v>
      </c>
      <c r="HT33" s="1310">
        <f>市町名目!M32</f>
        <v>171319</v>
      </c>
      <c r="HU33" s="1310">
        <f>市町名目!N32</f>
        <v>174738</v>
      </c>
      <c r="HV33" s="1054">
        <v>144606</v>
      </c>
      <c r="HW33" s="1030">
        <v>165636</v>
      </c>
      <c r="HX33" s="1030">
        <v>134845</v>
      </c>
      <c r="HY33" s="1030">
        <v>137387</v>
      </c>
    </row>
    <row r="34" spans="1:233" ht="12.5">
      <c r="A34" s="1334">
        <v>382</v>
      </c>
      <c r="B34" s="1335" t="s">
        <v>197</v>
      </c>
      <c r="C34" s="1316">
        <f>+L34-J34</f>
        <v>12072</v>
      </c>
      <c r="D34" s="1248">
        <f>C34-I34</f>
        <v>10756</v>
      </c>
      <c r="E34" s="850">
        <f>ROUND(E$5*L34/L$6,0)</f>
        <v>113185</v>
      </c>
      <c r="F34" s="1248">
        <f>ROUND(F$5*J34/J$6,0)</f>
        <v>103173</v>
      </c>
      <c r="G34" s="830">
        <f>ROUND(G$5*L34/L$6,0)</f>
        <v>-181</v>
      </c>
      <c r="H34" s="830">
        <f t="shared" si="470"/>
        <v>5984</v>
      </c>
      <c r="I34" s="1317">
        <f t="shared" si="470"/>
        <v>1316</v>
      </c>
      <c r="J34" s="1318">
        <f>'7H18'!K32</f>
        <v>120905</v>
      </c>
      <c r="K34" s="1248">
        <f>+'7H18'!E32</f>
        <v>9202</v>
      </c>
      <c r="L34" s="1317">
        <f>'7H18'!C32</f>
        <v>132977</v>
      </c>
      <c r="M34" s="1316">
        <f>+V34-T34</f>
        <v>3125</v>
      </c>
      <c r="N34" s="1248">
        <f>M34-S34</f>
        <v>981</v>
      </c>
      <c r="O34" s="850">
        <f>ROUND(O$5*V34/V$6,0)</f>
        <v>118286</v>
      </c>
      <c r="P34" s="1248">
        <f>ROUND(P$5*T34/T$6,0)</f>
        <v>112144</v>
      </c>
      <c r="Q34" s="830">
        <f>ROUND(Q$5*V34/V$6,0)</f>
        <v>-283</v>
      </c>
      <c r="R34" s="830">
        <f t="shared" si="471"/>
        <v>6353</v>
      </c>
      <c r="S34" s="1317">
        <f t="shared" si="471"/>
        <v>2144</v>
      </c>
      <c r="T34" s="1318">
        <f>+'8H19'!K32</f>
        <v>126150</v>
      </c>
      <c r="U34" s="1248">
        <f>+'8H19'!E32</f>
        <v>9852</v>
      </c>
      <c r="V34" s="1317">
        <f>'8H19'!C32</f>
        <v>129275</v>
      </c>
      <c r="W34" s="1316">
        <f>+AF34-AD34</f>
        <v>12009</v>
      </c>
      <c r="X34" s="1248">
        <f>W34-AC34</f>
        <v>10020</v>
      </c>
      <c r="Y34" s="850">
        <f>ROUND(Y$5*AF34/AF$6,0)</f>
        <v>118781</v>
      </c>
      <c r="Z34" s="1248">
        <f>ROUND(Z$5*AD34/AD$6,0)</f>
        <v>114467</v>
      </c>
      <c r="AA34" s="830">
        <f>ROUND(AA$5*AF34/AF$6,0)</f>
        <v>-764</v>
      </c>
      <c r="AB34" s="830">
        <f t="shared" si="472"/>
        <v>5918</v>
      </c>
      <c r="AC34" s="1317">
        <f t="shared" si="472"/>
        <v>1989</v>
      </c>
      <c r="AD34" s="1318">
        <f>+'9H20'!K32</f>
        <v>129727</v>
      </c>
      <c r="AE34" s="1248">
        <f>+'9H20'!E32</f>
        <v>9911</v>
      </c>
      <c r="AF34" s="1317">
        <f>'9H20'!C32</f>
        <v>141736</v>
      </c>
      <c r="AG34" s="1316">
        <f>+AP34-AN34</f>
        <v>21324</v>
      </c>
      <c r="AH34" s="1248">
        <f>AG34-AM34</f>
        <v>22889</v>
      </c>
      <c r="AI34" s="850">
        <f>ROUND(AI$5*AP34/AP$6,0)</f>
        <v>104888</v>
      </c>
      <c r="AJ34" s="1248">
        <f>ROUND(AJ$5*AN34/AN$6,0)</f>
        <v>100586</v>
      </c>
      <c r="AK34" s="830">
        <f>ROUND(AK$5*AP34/AP$6,0)</f>
        <v>100</v>
      </c>
      <c r="AL34" s="830">
        <f t="shared" si="473"/>
        <v>5850</v>
      </c>
      <c r="AM34" s="1317">
        <f t="shared" si="473"/>
        <v>-1565</v>
      </c>
      <c r="AN34" s="1318">
        <f>+'10H21'!K32</f>
        <v>122502</v>
      </c>
      <c r="AO34" s="1248">
        <f>+'10H21'!E32</f>
        <v>10455</v>
      </c>
      <c r="AP34" s="1317">
        <f>'10H21'!C32</f>
        <v>143826</v>
      </c>
      <c r="AQ34" s="1316">
        <f>+AZ34-AX34</f>
        <v>5629</v>
      </c>
      <c r="AR34" s="1248">
        <f>AQ34-AW34</f>
        <v>4236</v>
      </c>
      <c r="AS34" s="850">
        <f>ROUND(AS$5*AZ34/AZ$6,0)</f>
        <v>92406</v>
      </c>
      <c r="AT34" s="1248">
        <f>ROUND(AT$5*AX34/AX$6,0)</f>
        <v>98563</v>
      </c>
      <c r="AU34" s="830">
        <f>ROUND(AU$5*AZ34/AZ$6,0)</f>
        <v>-677</v>
      </c>
      <c r="AV34" s="830">
        <f t="shared" si="474"/>
        <v>6011</v>
      </c>
      <c r="AW34" s="1317">
        <f t="shared" si="474"/>
        <v>1393</v>
      </c>
      <c r="AX34" s="1318">
        <f>+'11H22'!K32</f>
        <v>117248</v>
      </c>
      <c r="AY34" s="1248">
        <f>+'11H22'!E32</f>
        <v>10192</v>
      </c>
      <c r="AZ34" s="1317">
        <f>'11H22'!C32</f>
        <v>122877</v>
      </c>
      <c r="BA34" s="1316">
        <f>+BJ34-BH34</f>
        <v>-1167</v>
      </c>
      <c r="BB34" s="1248">
        <f>BA34-BG34</f>
        <v>-2347</v>
      </c>
      <c r="BC34" s="850">
        <f>ROUND(BC$5*BJ34/BJ$6,0)</f>
        <v>94548</v>
      </c>
      <c r="BD34" s="1248">
        <f>ROUND(BD$5*BH34/BH$6,0)</f>
        <v>103280</v>
      </c>
      <c r="BE34" s="830">
        <f>ROUND(BE$5*BJ34/BJ$6,0)</f>
        <v>-475</v>
      </c>
      <c r="BF34" s="830">
        <f t="shared" si="475"/>
        <v>6160</v>
      </c>
      <c r="BG34" s="1317">
        <f t="shared" si="475"/>
        <v>1180</v>
      </c>
      <c r="BH34" s="1318">
        <f>+'12H23'!K32</f>
        <v>120381</v>
      </c>
      <c r="BI34" s="1248">
        <f>+'12H23'!E32</f>
        <v>10809</v>
      </c>
      <c r="BJ34" s="1317">
        <f>'12H23'!C32</f>
        <v>119214</v>
      </c>
      <c r="BK34" s="1316">
        <f>+BT34-BR34</f>
        <v>15579</v>
      </c>
      <c r="BL34" s="1248">
        <f>BK34-BQ34</f>
        <v>13321</v>
      </c>
      <c r="BM34" s="850">
        <f>ROUND(BM$5*BT34/BT$6,0)</f>
        <v>106097</v>
      </c>
      <c r="BN34" s="1248">
        <f>ROUND(BN$5*BR34/BR$6,0)</f>
        <v>103259</v>
      </c>
      <c r="BO34" s="830">
        <f>ROUND(BO$5*BT34/BT$6,0)</f>
        <v>-441</v>
      </c>
      <c r="BP34" s="830">
        <f t="shared" si="476"/>
        <v>6175</v>
      </c>
      <c r="BQ34" s="1317">
        <f t="shared" si="476"/>
        <v>2258</v>
      </c>
      <c r="BR34" s="1318">
        <f>+'13H24'!K32</f>
        <v>120604</v>
      </c>
      <c r="BS34" s="1248">
        <f>+'13H24'!E32</f>
        <v>11279</v>
      </c>
      <c r="BT34" s="1317">
        <f>'13H24'!C32</f>
        <v>136183</v>
      </c>
      <c r="BU34" s="1316">
        <f>+CD34-CB34</f>
        <v>-735</v>
      </c>
      <c r="BV34" s="1248">
        <f>BU34-CA34</f>
        <v>-2645</v>
      </c>
      <c r="BW34" s="850">
        <f>ROUND(BW$5*CD34/CD$6,0)</f>
        <v>106215</v>
      </c>
      <c r="BX34" s="1248">
        <f>ROUND(BX$5*CB34/CB$6,0)</f>
        <v>117101</v>
      </c>
      <c r="BY34" s="830">
        <f>ROUND(BY$5*CD34/CD$6,0)</f>
        <v>-438</v>
      </c>
      <c r="BZ34" s="830">
        <f t="shared" si="477"/>
        <v>6063</v>
      </c>
      <c r="CA34" s="1317">
        <f t="shared" si="477"/>
        <v>1910</v>
      </c>
      <c r="CB34" s="1318">
        <f>+'14H25'!K32</f>
        <v>136852</v>
      </c>
      <c r="CC34" s="1248">
        <f>+'14H25'!E32</f>
        <v>11523</v>
      </c>
      <c r="CD34" s="1317">
        <f>'14H25'!C32</f>
        <v>136117</v>
      </c>
      <c r="CE34" s="1316">
        <f>+CN34-CL34</f>
        <v>28389</v>
      </c>
      <c r="CF34" s="1248">
        <f>CE34-CK34</f>
        <v>30087</v>
      </c>
      <c r="CG34" s="850">
        <f>ROUND(CG$5*CN34/CN$6,0)</f>
        <v>125748</v>
      </c>
      <c r="CH34" s="1248">
        <f>ROUND(CH$5*CL34/CL$6,0)</f>
        <v>109804</v>
      </c>
      <c r="CI34" s="830">
        <f>ROUND(CI$5*CN34/CN$6,0)</f>
        <v>-547</v>
      </c>
      <c r="CJ34" s="830">
        <f t="shared" si="478"/>
        <v>6159</v>
      </c>
      <c r="CK34" s="1317">
        <f t="shared" si="478"/>
        <v>-1698</v>
      </c>
      <c r="CL34" s="1318">
        <f>+'15H26'!K32</f>
        <v>127745</v>
      </c>
      <c r="CM34" s="1248">
        <f>+'15H26'!E32</f>
        <v>11753</v>
      </c>
      <c r="CN34" s="1317">
        <f>'15H26'!C32</f>
        <v>156134</v>
      </c>
      <c r="CO34" s="1316">
        <f>+CX34-CV34</f>
        <v>31965</v>
      </c>
      <c r="CP34" s="1248">
        <f>CO34-CU34</f>
        <v>30153</v>
      </c>
      <c r="CQ34" s="850">
        <f>ROUND(CQ$5*CX34/CX$6,0)</f>
        <v>123884</v>
      </c>
      <c r="CR34" s="1248">
        <f>ROUND(CR$5*CV34/CV$6,0)</f>
        <v>106267</v>
      </c>
      <c r="CS34" s="830">
        <f>ROUND(CS$5*CX34/CX$6,0)</f>
        <v>-558</v>
      </c>
      <c r="CT34" s="830">
        <f t="shared" si="479"/>
        <v>6322</v>
      </c>
      <c r="CU34" s="1317">
        <f t="shared" si="479"/>
        <v>1812</v>
      </c>
      <c r="CV34" s="1318">
        <f>+'16H27'!K32</f>
        <v>127827</v>
      </c>
      <c r="CW34" s="1248">
        <f>+'16H27'!E32</f>
        <v>12432</v>
      </c>
      <c r="CX34" s="1317">
        <f>'16H27'!C32</f>
        <v>159792</v>
      </c>
      <c r="CY34" s="1316">
        <f>+DH34-DF34</f>
        <v>30022</v>
      </c>
      <c r="CZ34" s="1248">
        <f>CY34-DE34</f>
        <v>30154</v>
      </c>
      <c r="DA34" s="850">
        <f>ROUND(DA$5*DH34/DH$6,0)</f>
        <v>119294</v>
      </c>
      <c r="DB34" s="1248">
        <f>ROUND(DB$5*DF34/DF$6,0)</f>
        <v>104778</v>
      </c>
      <c r="DC34" s="830">
        <f>ROUND(DC$5*DH34/DH$6,0)</f>
        <v>-504</v>
      </c>
      <c r="DD34" s="830">
        <f t="shared" si="480"/>
        <v>6475</v>
      </c>
      <c r="DE34" s="1317">
        <f t="shared" si="480"/>
        <v>-132</v>
      </c>
      <c r="DF34" s="1318">
        <f>+'17H28'!K32</f>
        <v>129563</v>
      </c>
      <c r="DG34" s="1248">
        <f>+'17H28'!E32</f>
        <v>12591</v>
      </c>
      <c r="DH34" s="1317">
        <f>'17H28'!C32</f>
        <v>159585</v>
      </c>
      <c r="DI34" s="1316">
        <f>+DR34-DP34</f>
        <v>15684</v>
      </c>
      <c r="DJ34" s="1248">
        <f>DI34-DO34</f>
        <v>21726</v>
      </c>
      <c r="DK34" s="850">
        <f>ROUND(DK$5*DR34/DR$6,0)</f>
        <v>131116</v>
      </c>
      <c r="DL34" s="1248">
        <f>ROUND(DL$5*DP34/DP$6,0)</f>
        <v>126478</v>
      </c>
      <c r="DM34" s="830">
        <f>ROUND(DM$5*DR34/DR$6,0)</f>
        <v>-418</v>
      </c>
      <c r="DN34" s="830">
        <f t="shared" si="481"/>
        <v>5477</v>
      </c>
      <c r="DO34" s="1317">
        <f t="shared" si="481"/>
        <v>-6042</v>
      </c>
      <c r="DP34" s="1318">
        <f>+'18H29'!K32</f>
        <v>152383</v>
      </c>
      <c r="DQ34" s="1248">
        <f>+'18H29'!E32</f>
        <v>11888</v>
      </c>
      <c r="DR34" s="1317">
        <f>+'18H29'!C32</f>
        <v>168067</v>
      </c>
      <c r="DS34" s="1316">
        <f>+EB34-DZ34</f>
        <v>31815</v>
      </c>
      <c r="DT34" s="1248">
        <f>DS34-DY34</f>
        <v>41440</v>
      </c>
      <c r="DU34" s="850">
        <f>ROUND(DU$5*EB34/EB$6,0)</f>
        <v>138319</v>
      </c>
      <c r="DV34" s="1248">
        <f>ROUND(DV$5*DZ34/DZ$6,0)</f>
        <v>122006</v>
      </c>
      <c r="DW34" s="830">
        <f>ROUND(DW$5*EB34/EB$6,0)</f>
        <v>-451</v>
      </c>
      <c r="DX34" s="830">
        <f t="shared" si="482"/>
        <v>5853</v>
      </c>
      <c r="DY34" s="1317">
        <f t="shared" si="482"/>
        <v>-9625</v>
      </c>
      <c r="DZ34" s="1318">
        <f>+'19H30'!K32</f>
        <v>143267</v>
      </c>
      <c r="EA34" s="1248">
        <f>+'19H30'!E32</f>
        <v>12432</v>
      </c>
      <c r="EB34" s="1317">
        <f>+'19H30'!C32</f>
        <v>175082</v>
      </c>
      <c r="EC34" s="1316">
        <f>+EL34-EJ34</f>
        <v>45801</v>
      </c>
      <c r="ED34" s="1248">
        <f>EC34-EI34</f>
        <v>60025</v>
      </c>
      <c r="EE34" s="850">
        <f>ROUND(EE$5*EL34/EL$6,0)</f>
        <v>141876</v>
      </c>
      <c r="EF34" s="1248">
        <f>ROUND(EF$5*EJ34/EJ$6,0)</f>
        <v>115122</v>
      </c>
      <c r="EG34" s="830">
        <f>ROUND(EG$5*EL34/EL$6,0)</f>
        <v>-443</v>
      </c>
      <c r="EH34" s="830">
        <f t="shared" si="483"/>
        <v>6217</v>
      </c>
      <c r="EI34" s="1317">
        <f t="shared" si="483"/>
        <v>-14224</v>
      </c>
      <c r="EJ34" s="1318">
        <f>+'20R1'!K32</f>
        <v>137442</v>
      </c>
      <c r="EK34" s="1248">
        <f>+'20R1'!E32</f>
        <v>13566</v>
      </c>
      <c r="EL34" s="1317">
        <f>+'20R1'!C32</f>
        <v>183243</v>
      </c>
      <c r="EM34" s="1316">
        <f>+EV34-ET34</f>
        <v>83342</v>
      </c>
      <c r="EN34" s="1248">
        <f>EM34-ES34</f>
        <v>87163</v>
      </c>
      <c r="EO34" s="850">
        <f>ROUND(EO$5*EV34/EV$6,0)</f>
        <v>149873</v>
      </c>
      <c r="EP34" s="1248">
        <f>ROUND(EP$5*ET34/ET$6,0)</f>
        <v>100572</v>
      </c>
      <c r="EQ34" s="1336">
        <f>ROUND(EQ$5*EV34/EV$6,0)</f>
        <v>-393</v>
      </c>
      <c r="ER34" s="1336">
        <f t="shared" si="484"/>
        <v>6104</v>
      </c>
      <c r="ES34" s="850">
        <f t="shared" si="485"/>
        <v>-3821</v>
      </c>
      <c r="ET34" s="1331">
        <f>'21R2'!K32</f>
        <v>125351</v>
      </c>
      <c r="EU34" s="1248">
        <f>'21R2'!E32</f>
        <v>13471</v>
      </c>
      <c r="EV34" s="1317">
        <f>+'21R2'!C32</f>
        <v>208693</v>
      </c>
      <c r="EW34" s="1392">
        <f t="shared" si="298"/>
        <v>69550</v>
      </c>
      <c r="EX34" s="1310">
        <f>EY34-EZ34</f>
        <v>74416</v>
      </c>
      <c r="EY34" s="850">
        <f>ROUND(EY$5*FF34/FF$6,0)</f>
        <v>196067</v>
      </c>
      <c r="EZ34" s="1248">
        <f>ROUND(EZ$5*FD34/FD$6,0)</f>
        <v>121651</v>
      </c>
      <c r="FA34" s="1336">
        <f>ROUND(FA$5*FF34/FF$6,0)</f>
        <v>-258</v>
      </c>
      <c r="FB34" s="1336">
        <f t="shared" si="486"/>
        <v>6665</v>
      </c>
      <c r="FC34" s="1689">
        <f t="shared" si="363"/>
        <v>-4866</v>
      </c>
      <c r="FD34" s="1414">
        <f>'22R3'!K32</f>
        <v>140628</v>
      </c>
      <c r="FE34" s="1310">
        <f>'22R3'!E32</f>
        <v>15129</v>
      </c>
      <c r="FF34" s="1690">
        <f>'22R3'!C32</f>
        <v>249234</v>
      </c>
      <c r="FG34" s="1392">
        <f t="shared" si="300"/>
        <v>95866</v>
      </c>
      <c r="FH34" s="1310">
        <f>FI34-FJ34</f>
        <v>100732</v>
      </c>
      <c r="FI34" s="850">
        <f>ROUND(FI$5*FP34/FP$6,0)</f>
        <v>230975</v>
      </c>
      <c r="FJ34" s="1248">
        <f>ROUND(FJ$5*FN34/FN$6,0)</f>
        <v>130243</v>
      </c>
      <c r="FK34" s="1336">
        <f>ROUND(FK$5*FP34/FP$6,0)</f>
        <v>-517</v>
      </c>
      <c r="FL34" s="1336">
        <f t="shared" si="487"/>
        <v>6448</v>
      </c>
      <c r="FM34" s="1398">
        <f t="shared" si="302"/>
        <v>-4866</v>
      </c>
      <c r="FN34" s="1748">
        <f>'23R4'!K32</f>
        <v>140377</v>
      </c>
      <c r="FO34" s="1332">
        <f>'23R4'!E32</f>
        <v>14123</v>
      </c>
      <c r="FP34" s="1690">
        <f>'23R4'!C32</f>
        <v>284658</v>
      </c>
      <c r="FQ34" s="1310"/>
      <c r="FR34" s="1392">
        <f t="shared" si="303"/>
        <v>28940</v>
      </c>
      <c r="FS34" s="1310">
        <f>FT34-FU34</f>
        <v>33806</v>
      </c>
      <c r="FT34" s="868">
        <f>ROUND(FT$5*GA34/GA$6,0)</f>
        <v>162006</v>
      </c>
      <c r="FU34" s="1248">
        <f>ROUND(FU$5*FY34/FY$6,0)</f>
        <v>128200</v>
      </c>
      <c r="FV34" s="1336">
        <f>ROUND(FV$5*GA34/GA$6,0)</f>
        <v>-357</v>
      </c>
      <c r="FW34" s="1336">
        <f t="shared" si="488"/>
        <v>7101</v>
      </c>
      <c r="FX34" s="1398">
        <f t="shared" si="335"/>
        <v>-4866</v>
      </c>
      <c r="FY34" s="1332">
        <f>'24R5'!K32</f>
        <v>140370</v>
      </c>
      <c r="FZ34" s="1332">
        <f>'24R5'!E32</f>
        <v>15548</v>
      </c>
      <c r="GA34" s="1319">
        <v>168573</v>
      </c>
      <c r="GB34" s="1392">
        <f t="shared" si="305"/>
        <v>5935</v>
      </c>
      <c r="GC34" s="1310">
        <f>GD34-GE34</f>
        <v>10801</v>
      </c>
      <c r="GD34" s="868">
        <f>ROUND(GD$5*GK34/GK$6,0)</f>
        <v>173166</v>
      </c>
      <c r="GE34" s="1248">
        <f>ROUND(GE$5*GI34/GI$6,0)</f>
        <v>162365</v>
      </c>
      <c r="GF34" s="1336">
        <f>ROUND(GF$5*GK34/GK$6,0)</f>
        <v>-373</v>
      </c>
      <c r="GG34" s="1336">
        <f t="shared" si="489"/>
        <v>3687</v>
      </c>
      <c r="GH34" s="1398">
        <f t="shared" si="338"/>
        <v>-4866</v>
      </c>
      <c r="GI34" s="1332">
        <f>'25R6'!K32</f>
        <v>175199</v>
      </c>
      <c r="GJ34" s="1332">
        <f>'25R6'!E32</f>
        <v>16454</v>
      </c>
      <c r="GK34" s="1319">
        <v>168573</v>
      </c>
      <c r="GL34" s="1392">
        <f t="shared" si="307"/>
        <v>1877</v>
      </c>
      <c r="GM34" s="1310">
        <f>GN34-GO34</f>
        <v>6743</v>
      </c>
      <c r="GN34" s="868">
        <f>ROUND(GN$5*GU34/GU$6,0)</f>
        <v>170931</v>
      </c>
      <c r="GO34" s="1248">
        <f>ROUND(GO$5*GS34/GS$6,0)</f>
        <v>164188</v>
      </c>
      <c r="GP34" s="1336">
        <f>ROUND(GP$5*GU34/GU$6,0)</f>
        <v>-369</v>
      </c>
      <c r="GQ34" s="1336">
        <f t="shared" si="490"/>
        <v>3542</v>
      </c>
      <c r="GR34" s="1406">
        <f t="shared" si="341"/>
        <v>-4866</v>
      </c>
      <c r="GS34" s="1748">
        <f>'26R7'!K32</f>
        <v>178426</v>
      </c>
      <c r="GT34" s="1332">
        <f>'26R7'!E32</f>
        <v>16513</v>
      </c>
      <c r="GU34" s="1398">
        <v>178426</v>
      </c>
      <c r="GV34" s="1392">
        <f t="shared" si="309"/>
        <v>-284</v>
      </c>
      <c r="GW34" s="1310">
        <f>GX34-GY34</f>
        <v>4582</v>
      </c>
      <c r="GX34" s="868">
        <f>ROUND(GX$5*HE34/HE$6,0)</f>
        <v>175567</v>
      </c>
      <c r="GY34" s="1248">
        <f>ROUND(GY$5*HC34/HC$6,0)</f>
        <v>170985</v>
      </c>
      <c r="GZ34" s="1336">
        <f>ROUND(GZ$5*HE34/HE$6,0)</f>
        <v>-379</v>
      </c>
      <c r="HA34" s="1336">
        <f t="shared" si="491"/>
        <v>-13514</v>
      </c>
      <c r="HB34" s="1406">
        <f t="shared" si="344"/>
        <v>-4866</v>
      </c>
      <c r="HC34" s="1748">
        <f>'27R8'!U32</f>
        <v>173196</v>
      </c>
      <c r="HD34" s="1690">
        <f>'27R8'!O32</f>
        <v>13960</v>
      </c>
      <c r="HE34" s="1398">
        <v>182408</v>
      </c>
      <c r="HF34" s="1392">
        <f t="shared" si="311"/>
        <v>1869</v>
      </c>
      <c r="HG34" s="1310">
        <f>HH34-HI34</f>
        <v>6735</v>
      </c>
      <c r="HH34" s="868">
        <f>ROUND(HH$5*HO34/HO$6,0)</f>
        <v>181826</v>
      </c>
      <c r="HI34" s="1248">
        <f>ROUND(HI$5*HM34/HM$6,0)</f>
        <v>175091</v>
      </c>
      <c r="HJ34" s="1336">
        <f>ROUND(HJ$5*HO34/HO$6,0)</f>
        <v>-393</v>
      </c>
      <c r="HK34" s="1336">
        <f t="shared" si="492"/>
        <v>-13514</v>
      </c>
      <c r="HL34" s="1406">
        <f t="shared" si="347"/>
        <v>-4866</v>
      </c>
      <c r="HM34" s="1748">
        <f>'28R9'!U32</f>
        <v>173196</v>
      </c>
      <c r="HN34" s="1332">
        <f>'28R9'!O32</f>
        <v>13960</v>
      </c>
      <c r="HO34" s="1398">
        <v>186902</v>
      </c>
      <c r="HQ34" s="1310">
        <f>市町名目!J33</f>
        <v>183243</v>
      </c>
      <c r="HR34" s="1310">
        <f>市町名目!K33</f>
        <v>208693</v>
      </c>
      <c r="HS34" s="1310">
        <f>市町名目!L33</f>
        <v>249234</v>
      </c>
      <c r="HT34" s="1310">
        <f>市町名目!M33</f>
        <v>284658</v>
      </c>
      <c r="HU34" s="1310">
        <f>市町名目!N33</f>
        <v>271002</v>
      </c>
      <c r="HV34" s="1054">
        <v>184061</v>
      </c>
      <c r="HW34" s="1030">
        <v>208736</v>
      </c>
      <c r="HX34" s="1030">
        <v>182408</v>
      </c>
      <c r="HY34" s="1030">
        <v>186902</v>
      </c>
    </row>
    <row r="35" spans="1:233" ht="12.5">
      <c r="A35" s="1302"/>
      <c r="B35" s="1339" t="s">
        <v>198</v>
      </c>
      <c r="C35" s="856">
        <f>SUM(C36:C41)</f>
        <v>248070</v>
      </c>
      <c r="D35" s="830">
        <f t="shared" ref="D35:I35" si="493">SUM(D36:D41)</f>
        <v>236532</v>
      </c>
      <c r="E35" s="830">
        <f t="shared" si="493"/>
        <v>992512</v>
      </c>
      <c r="F35" s="830">
        <f t="shared" si="493"/>
        <v>783363</v>
      </c>
      <c r="G35" s="830">
        <f t="shared" si="493"/>
        <v>-1582</v>
      </c>
      <c r="H35" s="830">
        <f t="shared" si="493"/>
        <v>66919</v>
      </c>
      <c r="I35" s="1337">
        <f t="shared" si="493"/>
        <v>11538</v>
      </c>
      <c r="J35" s="1338">
        <f>SUM(J36:J41)</f>
        <v>917993</v>
      </c>
      <c r="K35" s="1248">
        <f>+'7H18'!E33</f>
        <v>102911</v>
      </c>
      <c r="L35" s="1337">
        <f t="shared" ref="L35:S35" si="494">SUM(L36:L41)</f>
        <v>1166063</v>
      </c>
      <c r="M35" s="856">
        <f t="shared" si="494"/>
        <v>181582</v>
      </c>
      <c r="N35" s="830">
        <f t="shared" si="494"/>
        <v>162550</v>
      </c>
      <c r="O35" s="830">
        <f t="shared" si="494"/>
        <v>1050201</v>
      </c>
      <c r="P35" s="830">
        <f t="shared" si="494"/>
        <v>858911</v>
      </c>
      <c r="Q35" s="830">
        <f t="shared" si="494"/>
        <v>-2516</v>
      </c>
      <c r="R35" s="830">
        <f t="shared" si="494"/>
        <v>67374</v>
      </c>
      <c r="S35" s="1337">
        <f t="shared" si="494"/>
        <v>19032</v>
      </c>
      <c r="T35" s="1338">
        <f>+'8H19'!K33</f>
        <v>966181</v>
      </c>
      <c r="U35" s="1248">
        <f>+'8H19'!E33</f>
        <v>104482</v>
      </c>
      <c r="V35" s="1337">
        <f t="shared" ref="V35:AC35" si="495">SUM(V36:V41)</f>
        <v>1147763</v>
      </c>
      <c r="W35" s="856">
        <f t="shared" si="495"/>
        <v>288816</v>
      </c>
      <c r="X35" s="830">
        <f t="shared" si="495"/>
        <v>272169</v>
      </c>
      <c r="Y35" s="830">
        <f t="shared" si="495"/>
        <v>994158</v>
      </c>
      <c r="Z35" s="830">
        <f t="shared" si="495"/>
        <v>791898</v>
      </c>
      <c r="AA35" s="830">
        <f t="shared" si="495"/>
        <v>-6397</v>
      </c>
      <c r="AB35" s="830">
        <f t="shared" si="495"/>
        <v>64521</v>
      </c>
      <c r="AC35" s="1337">
        <f t="shared" si="495"/>
        <v>16647</v>
      </c>
      <c r="AD35" s="1338">
        <f>+'9H20'!K33</f>
        <v>897469</v>
      </c>
      <c r="AE35" s="1248">
        <f>+'9H20'!E33</f>
        <v>108058</v>
      </c>
      <c r="AF35" s="1337">
        <f t="shared" ref="AF35:AM35" si="496">SUM(AF36:AF41)</f>
        <v>1186285</v>
      </c>
      <c r="AG35" s="856">
        <f t="shared" si="496"/>
        <v>387131</v>
      </c>
      <c r="AH35" s="830">
        <f t="shared" si="496"/>
        <v>400432</v>
      </c>
      <c r="AI35" s="830">
        <f t="shared" si="496"/>
        <v>891688</v>
      </c>
      <c r="AJ35" s="830">
        <f t="shared" si="496"/>
        <v>686087</v>
      </c>
      <c r="AK35" s="830">
        <f t="shared" si="496"/>
        <v>847</v>
      </c>
      <c r="AL35" s="830">
        <f t="shared" si="496"/>
        <v>62017</v>
      </c>
      <c r="AM35" s="1337">
        <f t="shared" si="496"/>
        <v>-13301</v>
      </c>
      <c r="AN35" s="1338">
        <f>+'10H21'!K33</f>
        <v>835577</v>
      </c>
      <c r="AO35" s="1248">
        <f>+'10H21'!E33</f>
        <v>110842</v>
      </c>
      <c r="AP35" s="1337">
        <f>'10H21'!C33</f>
        <v>1222708</v>
      </c>
      <c r="AQ35" s="856">
        <f t="shared" ref="AQ35:AW35" si="497">SUM(AQ36:AQ41)</f>
        <v>405687</v>
      </c>
      <c r="AR35" s="830">
        <f t="shared" si="497"/>
        <v>391618</v>
      </c>
      <c r="AS35" s="830">
        <f t="shared" si="497"/>
        <v>933113</v>
      </c>
      <c r="AT35" s="830">
        <f t="shared" si="497"/>
        <v>702035</v>
      </c>
      <c r="AU35" s="830">
        <f t="shared" si="497"/>
        <v>-6837</v>
      </c>
      <c r="AV35" s="830">
        <f t="shared" si="497"/>
        <v>66226</v>
      </c>
      <c r="AW35" s="1337">
        <f t="shared" si="497"/>
        <v>14069</v>
      </c>
      <c r="AX35" s="1338">
        <f>+'11H22'!K33</f>
        <v>835125</v>
      </c>
      <c r="AY35" s="1248">
        <f>+'11H22'!E33</f>
        <v>112295</v>
      </c>
      <c r="AZ35" s="1337">
        <f>'11H22'!C33</f>
        <v>1240812</v>
      </c>
      <c r="BA35" s="856">
        <f t="shared" ref="BA35:BG35" si="498">SUM(BA36:BA41)</f>
        <v>149571</v>
      </c>
      <c r="BB35" s="830">
        <f t="shared" si="498"/>
        <v>138548</v>
      </c>
      <c r="BC35" s="830">
        <f t="shared" si="498"/>
        <v>883481</v>
      </c>
      <c r="BD35" s="830">
        <f t="shared" si="498"/>
        <v>827393</v>
      </c>
      <c r="BE35" s="830">
        <f t="shared" si="498"/>
        <v>-4435</v>
      </c>
      <c r="BF35" s="830">
        <f t="shared" si="498"/>
        <v>65131</v>
      </c>
      <c r="BG35" s="1337">
        <f t="shared" si="498"/>
        <v>11023</v>
      </c>
      <c r="BH35" s="1338">
        <f>+'12H23'!K33</f>
        <v>964389</v>
      </c>
      <c r="BI35" s="1248">
        <f>+'12H23'!E33</f>
        <v>114279</v>
      </c>
      <c r="BJ35" s="1337">
        <f>'12H23'!C33</f>
        <v>1113960</v>
      </c>
      <c r="BK35" s="856">
        <f t="shared" ref="BK35:BQ35" si="499">SUM(BK36:BK41)</f>
        <v>126521</v>
      </c>
      <c r="BL35" s="830">
        <f t="shared" si="499"/>
        <v>108368</v>
      </c>
      <c r="BM35" s="830">
        <f t="shared" si="499"/>
        <v>852820</v>
      </c>
      <c r="BN35" s="830">
        <f t="shared" si="499"/>
        <v>828904</v>
      </c>
      <c r="BO35" s="830">
        <f t="shared" si="499"/>
        <v>-3545</v>
      </c>
      <c r="BP35" s="830">
        <f t="shared" si="499"/>
        <v>62911</v>
      </c>
      <c r="BQ35" s="1337">
        <f t="shared" si="499"/>
        <v>18153</v>
      </c>
      <c r="BR35" s="1338">
        <f>+'13H24'!K33</f>
        <v>968135</v>
      </c>
      <c r="BS35" s="1248">
        <f>+'13H24'!E33</f>
        <v>114918</v>
      </c>
      <c r="BT35" s="1337">
        <f>'13H24'!C33</f>
        <v>1094656</v>
      </c>
      <c r="BU35" s="856">
        <f t="shared" ref="BU35:CA35" si="500">SUM(BU36:BU41)</f>
        <v>149688</v>
      </c>
      <c r="BV35" s="830">
        <f t="shared" si="500"/>
        <v>133528</v>
      </c>
      <c r="BW35" s="830">
        <f t="shared" si="500"/>
        <v>898582</v>
      </c>
      <c r="BX35" s="830">
        <f t="shared" si="500"/>
        <v>857273</v>
      </c>
      <c r="BY35" s="830">
        <f t="shared" si="500"/>
        <v>-3704</v>
      </c>
      <c r="BZ35" s="830">
        <f t="shared" si="500"/>
        <v>62828</v>
      </c>
      <c r="CA35" s="1337">
        <f t="shared" si="500"/>
        <v>16160</v>
      </c>
      <c r="CB35" s="1338">
        <f>+'14H25'!K33</f>
        <v>1001869</v>
      </c>
      <c r="CC35" s="1248">
        <f>+'14H25'!E33</f>
        <v>119405</v>
      </c>
      <c r="CD35" s="1337">
        <f>'14H25'!C33</f>
        <v>1151557</v>
      </c>
      <c r="CE35" s="856">
        <f t="shared" ref="CE35:CK35" si="501">SUM(CE36:CE41)</f>
        <v>249273</v>
      </c>
      <c r="CF35" s="830">
        <f t="shared" si="501"/>
        <v>261797</v>
      </c>
      <c r="CG35" s="830">
        <f t="shared" si="501"/>
        <v>927128</v>
      </c>
      <c r="CH35" s="830">
        <f t="shared" si="501"/>
        <v>775229</v>
      </c>
      <c r="CI35" s="830">
        <f t="shared" si="501"/>
        <v>-4031</v>
      </c>
      <c r="CJ35" s="830">
        <f t="shared" si="501"/>
        <v>64946</v>
      </c>
      <c r="CK35" s="1337">
        <f t="shared" si="501"/>
        <v>-12524</v>
      </c>
      <c r="CL35" s="1338">
        <f>+'15H26'!K33</f>
        <v>901890</v>
      </c>
      <c r="CM35" s="1248">
        <f>+'15H26'!E33</f>
        <v>123940</v>
      </c>
      <c r="CN35" s="1337">
        <f>'15H26'!C33</f>
        <v>1151163</v>
      </c>
      <c r="CO35" s="856">
        <f t="shared" ref="CO35:CU35" si="502">SUM(CO36:CO41)</f>
        <v>263035</v>
      </c>
      <c r="CP35" s="830">
        <f t="shared" si="502"/>
        <v>249452</v>
      </c>
      <c r="CQ35" s="830">
        <f t="shared" si="502"/>
        <v>928621</v>
      </c>
      <c r="CR35" s="830">
        <f t="shared" si="502"/>
        <v>777088</v>
      </c>
      <c r="CS35" s="830">
        <f t="shared" si="502"/>
        <v>-4186</v>
      </c>
      <c r="CT35" s="830">
        <f t="shared" si="502"/>
        <v>64693</v>
      </c>
      <c r="CU35" s="1337">
        <f t="shared" si="502"/>
        <v>13583</v>
      </c>
      <c r="CV35" s="1338">
        <f>+'16H27'!K33</f>
        <v>934750</v>
      </c>
      <c r="CW35" s="1248">
        <f>+'16H27'!E33</f>
        <v>127210</v>
      </c>
      <c r="CX35" s="1337">
        <f>'16H27'!C33</f>
        <v>1197785</v>
      </c>
      <c r="CY35" s="856">
        <f t="shared" ref="CY35:DE35" si="503">SUM(CY36:CY41)</f>
        <v>310693</v>
      </c>
      <c r="CZ35" s="830">
        <f t="shared" si="503"/>
        <v>311734</v>
      </c>
      <c r="DA35" s="830">
        <f t="shared" si="503"/>
        <v>941555</v>
      </c>
      <c r="DB35" s="830">
        <f t="shared" si="503"/>
        <v>767352</v>
      </c>
      <c r="DC35" s="830">
        <f t="shared" si="503"/>
        <v>-3979</v>
      </c>
      <c r="DD35" s="830">
        <f t="shared" si="503"/>
        <v>66121</v>
      </c>
      <c r="DE35" s="1337">
        <f t="shared" si="503"/>
        <v>-1041</v>
      </c>
      <c r="DF35" s="1338">
        <f>+'17H28'!K33</f>
        <v>948868</v>
      </c>
      <c r="DG35" s="1248">
        <f>+'17H28'!E33</f>
        <v>128588</v>
      </c>
      <c r="DH35" s="1337">
        <f>'17H28'!C33</f>
        <v>1259561</v>
      </c>
      <c r="DI35" s="856">
        <f t="shared" ref="DI35:DO35" si="504">SUM(DI36:DI41)</f>
        <v>370434</v>
      </c>
      <c r="DJ35" s="830">
        <f t="shared" si="504"/>
        <v>417586</v>
      </c>
      <c r="DK35" s="830">
        <f t="shared" si="504"/>
        <v>1023286</v>
      </c>
      <c r="DL35" s="830">
        <f t="shared" si="504"/>
        <v>781223</v>
      </c>
      <c r="DM35" s="830">
        <f t="shared" si="504"/>
        <v>-3265</v>
      </c>
      <c r="DN35" s="830">
        <f t="shared" si="504"/>
        <v>56184</v>
      </c>
      <c r="DO35" s="1337">
        <f t="shared" si="504"/>
        <v>-47152</v>
      </c>
      <c r="DP35" s="1338">
        <f>+'18H29'!K33</f>
        <v>941232</v>
      </c>
      <c r="DQ35" s="1248">
        <f>+'18H29'!E33</f>
        <v>121941</v>
      </c>
      <c r="DR35" s="1337">
        <f>+'18H29'!C33</f>
        <v>1311666</v>
      </c>
      <c r="DS35" s="856">
        <f t="shared" ref="DS35:DY35" si="505">SUM(DS36:DS41)</f>
        <v>345498</v>
      </c>
      <c r="DT35" s="830">
        <f t="shared" si="505"/>
        <v>416771</v>
      </c>
      <c r="DU35" s="830">
        <f t="shared" si="505"/>
        <v>1024272</v>
      </c>
      <c r="DV35" s="830">
        <f t="shared" si="505"/>
        <v>809880</v>
      </c>
      <c r="DW35" s="830">
        <f t="shared" si="505"/>
        <v>-3339</v>
      </c>
      <c r="DX35" s="830">
        <f t="shared" si="505"/>
        <v>57427</v>
      </c>
      <c r="DY35" s="1337">
        <f t="shared" si="505"/>
        <v>-71273</v>
      </c>
      <c r="DZ35" s="1338">
        <f>+'19H30'!K33</f>
        <v>951009</v>
      </c>
      <c r="EA35" s="1248">
        <f>+'19H30'!E33</f>
        <v>121985</v>
      </c>
      <c r="EB35" s="1337">
        <f>+'19H30'!C33</f>
        <v>1296507</v>
      </c>
      <c r="EC35" s="856">
        <f t="shared" ref="EC35:EI35" si="506">SUM(EC36:EC41)</f>
        <v>298109</v>
      </c>
      <c r="ED35" s="830">
        <f t="shared" si="506"/>
        <v>399819</v>
      </c>
      <c r="EE35" s="830">
        <f t="shared" si="506"/>
        <v>1014485</v>
      </c>
      <c r="EF35" s="830">
        <f t="shared" si="506"/>
        <v>847805</v>
      </c>
      <c r="EG35" s="830">
        <f t="shared" si="506"/>
        <v>-3168</v>
      </c>
      <c r="EH35" s="830">
        <f t="shared" si="506"/>
        <v>58459</v>
      </c>
      <c r="EI35" s="1337">
        <f t="shared" si="506"/>
        <v>-101710</v>
      </c>
      <c r="EJ35" s="1338">
        <f>+'20R1'!K33</f>
        <v>1012174</v>
      </c>
      <c r="EK35" s="1248">
        <f>+'20R1'!E33</f>
        <v>127560</v>
      </c>
      <c r="EL35" s="1337">
        <f>+'20R1'!C33</f>
        <v>1310283</v>
      </c>
      <c r="EM35" s="856">
        <f t="shared" ref="EM35" si="507">SUM(EM36:EM41)</f>
        <v>386377</v>
      </c>
      <c r="EN35" s="830">
        <f t="shared" ref="EN35:EU35" si="508">SUM(EN36:EN41)</f>
        <v>410172</v>
      </c>
      <c r="EO35" s="830">
        <f t="shared" si="508"/>
        <v>933254</v>
      </c>
      <c r="EP35" s="830">
        <f t="shared" si="508"/>
        <v>732636</v>
      </c>
      <c r="EQ35" s="1336">
        <f t="shared" si="508"/>
        <v>-2446</v>
      </c>
      <c r="ER35" s="1336">
        <f t="shared" si="508"/>
        <v>62191</v>
      </c>
      <c r="ES35" s="850">
        <f t="shared" si="508"/>
        <v>-23795</v>
      </c>
      <c r="ET35" s="1338">
        <f t="shared" si="508"/>
        <v>913145</v>
      </c>
      <c r="EU35" s="830">
        <f t="shared" si="508"/>
        <v>137246</v>
      </c>
      <c r="EV35" s="1317">
        <f>+'21R2'!C33</f>
        <v>1299522</v>
      </c>
      <c r="EW35" s="1392">
        <f t="shared" si="298"/>
        <v>194296</v>
      </c>
      <c r="EX35" s="1393">
        <f t="shared" ref="EX35:FC35" si="509">SUM(EX36:EX41)</f>
        <v>220066</v>
      </c>
      <c r="EY35" s="1393">
        <f t="shared" si="509"/>
        <v>1038361</v>
      </c>
      <c r="EZ35" s="1393">
        <f t="shared" si="509"/>
        <v>818295</v>
      </c>
      <c r="FA35" s="1393">
        <f t="shared" si="509"/>
        <v>-1366</v>
      </c>
      <c r="FB35" s="1393">
        <f t="shared" si="509"/>
        <v>62415</v>
      </c>
      <c r="FC35" s="1693">
        <f t="shared" si="509"/>
        <v>-25770</v>
      </c>
      <c r="FD35" s="1414">
        <f>'22R3'!K33</f>
        <v>945947</v>
      </c>
      <c r="FE35" s="1310">
        <f>'22R3'!E33</f>
        <v>141690</v>
      </c>
      <c r="FF35" s="1690">
        <f>'22R3'!C33</f>
        <v>1319932</v>
      </c>
      <c r="FG35" s="1392">
        <f t="shared" si="300"/>
        <v>86135</v>
      </c>
      <c r="FH35" s="1393">
        <f t="shared" ref="FH35:FL35" si="510">SUM(FH36:FH41)</f>
        <v>111905</v>
      </c>
      <c r="FI35" s="830">
        <f t="shared" si="510"/>
        <v>1059137</v>
      </c>
      <c r="FJ35" s="830">
        <f t="shared" si="510"/>
        <v>947232</v>
      </c>
      <c r="FK35" s="1336">
        <f t="shared" si="510"/>
        <v>-2371</v>
      </c>
      <c r="FL35" s="1336">
        <f t="shared" si="510"/>
        <v>65268</v>
      </c>
      <c r="FM35" s="1398">
        <f t="shared" si="302"/>
        <v>-25770</v>
      </c>
      <c r="FN35" s="1748">
        <f>'23R4'!K33</f>
        <v>1020934</v>
      </c>
      <c r="FO35" s="1332">
        <f>'23R4'!E33</f>
        <v>142959</v>
      </c>
      <c r="FP35" s="1690">
        <f>'23R4'!C33</f>
        <v>1305298</v>
      </c>
      <c r="FQ35" s="1310"/>
      <c r="FR35" s="1392">
        <f t="shared" si="303"/>
        <v>202413</v>
      </c>
      <c r="FS35" s="1393">
        <f t="shared" ref="FS35:FW35" si="511">SUM(FS36:FS41)</f>
        <v>228183</v>
      </c>
      <c r="FT35" s="830">
        <f t="shared" si="511"/>
        <v>1121130</v>
      </c>
      <c r="FU35" s="830">
        <f t="shared" si="511"/>
        <v>892947</v>
      </c>
      <c r="FV35" s="1336">
        <f t="shared" si="511"/>
        <v>-2470</v>
      </c>
      <c r="FW35" s="1336">
        <f t="shared" si="511"/>
        <v>67059</v>
      </c>
      <c r="FX35" s="1398">
        <f t="shared" si="335"/>
        <v>-25770</v>
      </c>
      <c r="FY35" s="1332">
        <f>'24R5'!K33</f>
        <v>977715</v>
      </c>
      <c r="FZ35" s="1332">
        <f>'24R5'!E33</f>
        <v>146835</v>
      </c>
      <c r="GA35" s="1319">
        <v>1166576</v>
      </c>
      <c r="GB35" s="1392">
        <f t="shared" si="305"/>
        <v>98978</v>
      </c>
      <c r="GC35" s="1393">
        <f t="shared" ref="GC35:GG35" si="512">SUM(GC36:GC41)</f>
        <v>124748</v>
      </c>
      <c r="GD35" s="830">
        <f t="shared" si="512"/>
        <v>1198363</v>
      </c>
      <c r="GE35" s="830">
        <f t="shared" si="512"/>
        <v>1073615</v>
      </c>
      <c r="GF35" s="1336">
        <f t="shared" si="512"/>
        <v>-2583</v>
      </c>
      <c r="GG35" s="1336">
        <f t="shared" si="512"/>
        <v>34676</v>
      </c>
      <c r="GH35" s="1398">
        <f t="shared" si="338"/>
        <v>-25770</v>
      </c>
      <c r="GI35" s="1332">
        <f>'25R6'!K33</f>
        <v>1158477</v>
      </c>
      <c r="GJ35" s="1332">
        <f>'25R6'!E33</f>
        <v>154744</v>
      </c>
      <c r="GK35" s="1319">
        <v>1166576</v>
      </c>
      <c r="GL35" s="1392">
        <f t="shared" si="307"/>
        <v>19415</v>
      </c>
      <c r="GM35" s="1393">
        <f t="shared" ref="GM35:GQ35" si="513">SUM(GM36:GM41)</f>
        <v>45185</v>
      </c>
      <c r="GN35" s="830">
        <f t="shared" si="513"/>
        <v>1145381</v>
      </c>
      <c r="GO35" s="830">
        <f t="shared" si="513"/>
        <v>1100196</v>
      </c>
      <c r="GP35" s="1336">
        <f t="shared" si="513"/>
        <v>-2475</v>
      </c>
      <c r="GQ35" s="1336">
        <f t="shared" si="513"/>
        <v>34159</v>
      </c>
      <c r="GR35" s="1406">
        <f t="shared" si="341"/>
        <v>-25770</v>
      </c>
      <c r="GS35" s="1748">
        <f>'26R7'!K33</f>
        <v>1195601</v>
      </c>
      <c r="GT35" s="1332">
        <f>'26R7'!E33</f>
        <v>159233</v>
      </c>
      <c r="GU35" s="1398">
        <v>1195601</v>
      </c>
      <c r="GV35" s="1392">
        <f t="shared" si="309"/>
        <v>9857</v>
      </c>
      <c r="GW35" s="1393">
        <f t="shared" ref="GW35:HA35" si="514">SUM(GW36:GW41)</f>
        <v>35627</v>
      </c>
      <c r="GX35" s="830">
        <f t="shared" si="514"/>
        <v>1171078</v>
      </c>
      <c r="GY35" s="830">
        <f t="shared" si="514"/>
        <v>1135451</v>
      </c>
      <c r="GZ35" s="1336">
        <f t="shared" si="514"/>
        <v>-2529</v>
      </c>
      <c r="HA35" s="1336">
        <f t="shared" si="514"/>
        <v>-7085</v>
      </c>
      <c r="HB35" s="1406">
        <f t="shared" si="344"/>
        <v>-25770</v>
      </c>
      <c r="HC35" s="1748">
        <f>'27R8'!U33</f>
        <v>1150135</v>
      </c>
      <c r="HD35" s="1690">
        <f>'27R8'!O33</f>
        <v>7319</v>
      </c>
      <c r="HE35" s="1398">
        <v>1216710</v>
      </c>
      <c r="HF35" s="1392">
        <f t="shared" si="311"/>
        <v>14775</v>
      </c>
      <c r="HG35" s="1393">
        <f t="shared" ref="HG35:HK35" si="515">SUM(HG36:HG41)</f>
        <v>40545</v>
      </c>
      <c r="HH35" s="830">
        <f t="shared" si="515"/>
        <v>1203262</v>
      </c>
      <c r="HI35" s="830">
        <f t="shared" si="515"/>
        <v>1162717</v>
      </c>
      <c r="HJ35" s="1336">
        <f t="shared" si="515"/>
        <v>-2599</v>
      </c>
      <c r="HK35" s="1336">
        <f t="shared" si="515"/>
        <v>-7085</v>
      </c>
      <c r="HL35" s="1406">
        <f t="shared" si="347"/>
        <v>-25770</v>
      </c>
      <c r="HM35" s="1748">
        <f>'28R9'!U33</f>
        <v>1150135</v>
      </c>
      <c r="HN35" s="1332">
        <f>'28R9'!O33</f>
        <v>7319</v>
      </c>
      <c r="HO35" s="1398">
        <v>1236851</v>
      </c>
      <c r="HP35" s="830"/>
      <c r="HQ35" s="1310">
        <f>市町名目!J34</f>
        <v>1310283</v>
      </c>
      <c r="HR35" s="1310">
        <f>市町名目!K34</f>
        <v>1299522</v>
      </c>
      <c r="HS35" s="1310">
        <f>市町名目!L34</f>
        <v>1319932</v>
      </c>
      <c r="HT35" s="1310">
        <f>市町名目!M34</f>
        <v>1305298</v>
      </c>
      <c r="HU35" s="1310">
        <f>市町名目!N34</f>
        <v>1356148</v>
      </c>
      <c r="HV35" s="1333">
        <v>1246073</v>
      </c>
      <c r="HW35" s="1725">
        <v>1371310</v>
      </c>
      <c r="HX35" s="1725">
        <v>1216710</v>
      </c>
      <c r="HY35" s="1725">
        <v>1236851</v>
      </c>
    </row>
    <row r="36" spans="1:233" ht="12.5">
      <c r="A36" s="1269">
        <v>213</v>
      </c>
      <c r="B36" s="1270" t="s">
        <v>231</v>
      </c>
      <c r="C36" s="1316">
        <f t="shared" ref="C36:C41" si="516">+L36-J36</f>
        <v>18881</v>
      </c>
      <c r="D36" s="1248">
        <f t="shared" ref="D36:D41" si="517">C36-I36</f>
        <v>17321</v>
      </c>
      <c r="E36" s="850">
        <f t="shared" ref="E36:E41" si="518">ROUND(E$5*L36/L$6,0)</f>
        <v>134199</v>
      </c>
      <c r="F36" s="1248">
        <f t="shared" ref="F36:F41" si="519">ROUND(F$5*J36/J$6,0)</f>
        <v>118430</v>
      </c>
      <c r="G36" s="830">
        <f t="shared" ref="G36:G41" si="520">ROUND(G$5*L36/L$6,0)</f>
        <v>-214</v>
      </c>
      <c r="H36" s="830">
        <f t="shared" ref="H36:I41" si="521">ROUND(H$5*K36/K$6,0)</f>
        <v>9052</v>
      </c>
      <c r="I36" s="1317">
        <f t="shared" si="521"/>
        <v>1560</v>
      </c>
      <c r="J36" s="1318">
        <f>'7H18'!K34</f>
        <v>138784</v>
      </c>
      <c r="K36" s="1248">
        <f>+'7H18'!E34</f>
        <v>13920</v>
      </c>
      <c r="L36" s="1317">
        <f>'7H18'!C34</f>
        <v>157665</v>
      </c>
      <c r="M36" s="1316">
        <f t="shared" ref="M36:M41" si="522">+V36-T36</f>
        <v>-2410</v>
      </c>
      <c r="N36" s="1248">
        <f t="shared" ref="N36:N41" si="523">M36-S36</f>
        <v>-5038</v>
      </c>
      <c r="O36" s="850">
        <f t="shared" ref="O36:O41" si="524">ROUND(O$5*V36/V$6,0)</f>
        <v>145013</v>
      </c>
      <c r="P36" s="1248">
        <f t="shared" ref="P36:P41" si="525">ROUND(P$5*T36/T$6,0)</f>
        <v>143031</v>
      </c>
      <c r="Q36" s="830">
        <f t="shared" ref="Q36:Q41" si="526">ROUND(Q$5*V36/V$6,0)</f>
        <v>-347</v>
      </c>
      <c r="R36" s="830">
        <f t="shared" ref="R36:S41" si="527">ROUND(R$5*U36/U$6,0)</f>
        <v>8814</v>
      </c>
      <c r="S36" s="1317">
        <f t="shared" si="527"/>
        <v>2628</v>
      </c>
      <c r="T36" s="1318">
        <f>+'8H19'!K34</f>
        <v>160894</v>
      </c>
      <c r="U36" s="1248">
        <f>+'8H19'!E34</f>
        <v>13668</v>
      </c>
      <c r="V36" s="1317">
        <f>'8H19'!C34</f>
        <v>158484</v>
      </c>
      <c r="W36" s="1316">
        <f t="shared" ref="W36:W41" si="528">+AF36-AD36</f>
        <v>23660</v>
      </c>
      <c r="X36" s="1248">
        <f t="shared" ref="X36:X41" si="529">W36-AC36</f>
        <v>21453</v>
      </c>
      <c r="Y36" s="850">
        <f t="shared" ref="Y36:Y41" si="530">ROUND(Y$5*AF36/AF$6,0)</f>
        <v>131792</v>
      </c>
      <c r="Z36" s="1248">
        <f t="shared" ref="Z36:Z41" si="531">ROUND(Z$5*AD36/AD$6,0)</f>
        <v>117885</v>
      </c>
      <c r="AA36" s="830">
        <f t="shared" ref="AA36:AA41" si="532">ROUND(AA$5*AF36/AF$6,0)</f>
        <v>-848</v>
      </c>
      <c r="AB36" s="830">
        <f t="shared" ref="AB36:AC41" si="533">ROUND(AB$5*AE36/AE$6,0)</f>
        <v>8261</v>
      </c>
      <c r="AC36" s="1317">
        <f t="shared" si="533"/>
        <v>2207</v>
      </c>
      <c r="AD36" s="1318">
        <f>+'9H20'!K34</f>
        <v>133601</v>
      </c>
      <c r="AE36" s="1248">
        <f>+'9H20'!E34</f>
        <v>13835</v>
      </c>
      <c r="AF36" s="1317">
        <f>'9H20'!C34</f>
        <v>157261</v>
      </c>
      <c r="AG36" s="1316">
        <f t="shared" ref="AG36:AG41" si="534">+AP36-AN36</f>
        <v>41316</v>
      </c>
      <c r="AH36" s="1248">
        <f t="shared" ref="AH36:AH41" si="535">AG36-AM36</f>
        <v>43078</v>
      </c>
      <c r="AI36" s="850">
        <f t="shared" ref="AI36:AI41" si="536">ROUND(AI$5*AP36/AP$6,0)</f>
        <v>118133</v>
      </c>
      <c r="AJ36" s="1248">
        <f t="shared" ref="AJ36:AJ41" si="537">ROUND(AJ$5*AN36/AN$6,0)</f>
        <v>99083</v>
      </c>
      <c r="AK36" s="830">
        <f t="shared" ref="AK36:AK41" si="538">ROUND(AK$5*AP36/AP$6,0)</f>
        <v>112</v>
      </c>
      <c r="AL36" s="830">
        <f t="shared" ref="AL36:AM41" si="539">ROUND(AL$5*AO36/AO$6,0)</f>
        <v>7875</v>
      </c>
      <c r="AM36" s="1317">
        <f t="shared" si="539"/>
        <v>-1762</v>
      </c>
      <c r="AN36" s="1318">
        <f>+'10H21'!K34</f>
        <v>120672</v>
      </c>
      <c r="AO36" s="1248">
        <f>+'10H21'!E34</f>
        <v>14075</v>
      </c>
      <c r="AP36" s="1317">
        <f>'10H21'!C34</f>
        <v>161988</v>
      </c>
      <c r="AQ36" s="1316">
        <f t="shared" ref="AQ36:AQ41" si="540">+AZ36-AX36</f>
        <v>44252</v>
      </c>
      <c r="AR36" s="1248">
        <f t="shared" ref="AR36:AR41" si="541">AQ36-AW36</f>
        <v>42402</v>
      </c>
      <c r="AS36" s="850">
        <f t="shared" ref="AS36:AS41" si="542">ROUND(AS$5*AZ36/AZ$6,0)</f>
        <v>122690</v>
      </c>
      <c r="AT36" s="1248">
        <f t="shared" ref="AT36:AT41" si="543">ROUND(AT$5*AX36/AX$6,0)</f>
        <v>99948</v>
      </c>
      <c r="AU36" s="830">
        <f t="shared" ref="AU36:AU41" si="544">ROUND(AU$5*AZ36/AZ$6,0)</f>
        <v>-899</v>
      </c>
      <c r="AV36" s="830">
        <f t="shared" ref="AV36:AW41" si="545">ROUND(AV$5*AY36/AY$6,0)</f>
        <v>8648</v>
      </c>
      <c r="AW36" s="1317">
        <f t="shared" si="545"/>
        <v>1850</v>
      </c>
      <c r="AX36" s="1318">
        <f>+'11H22'!K34</f>
        <v>118896</v>
      </c>
      <c r="AY36" s="1248">
        <f>+'11H22'!E34</f>
        <v>14663</v>
      </c>
      <c r="AZ36" s="1317">
        <f>'11H22'!C34</f>
        <v>163148</v>
      </c>
      <c r="BA36" s="1316">
        <f t="shared" ref="BA36:BA41" si="546">+BJ36-BH36</f>
        <v>-27068</v>
      </c>
      <c r="BB36" s="1248">
        <f t="shared" ref="BB36:BB41" si="547">BA36-BG36</f>
        <v>-28355</v>
      </c>
      <c r="BC36" s="850">
        <f t="shared" ref="BC36:BC41" si="548">ROUND(BC$5*BJ36/BJ$6,0)</f>
        <v>103185</v>
      </c>
      <c r="BD36" s="1248">
        <f t="shared" ref="BD36:BD41" si="549">ROUND(BD$5*BH36/BH$6,0)</f>
        <v>134845</v>
      </c>
      <c r="BE36" s="830">
        <f t="shared" ref="BE36:BE41" si="550">ROUND(BE$5*BJ36/BJ$6,0)</f>
        <v>-518</v>
      </c>
      <c r="BF36" s="830">
        <f t="shared" ref="BF36:BG41" si="551">ROUND(BF$5*BI36/BI$6,0)</f>
        <v>8518</v>
      </c>
      <c r="BG36" s="1317">
        <f t="shared" si="551"/>
        <v>1287</v>
      </c>
      <c r="BH36" s="1318">
        <f>+'12H23'!K34</f>
        <v>157172</v>
      </c>
      <c r="BI36" s="1248">
        <f>+'12H23'!E34</f>
        <v>14945</v>
      </c>
      <c r="BJ36" s="1317">
        <f>'12H23'!C34</f>
        <v>130104</v>
      </c>
      <c r="BK36" s="1316">
        <f t="shared" ref="BK36:BK41" si="552">+BT36-BR36</f>
        <v>-2683</v>
      </c>
      <c r="BL36" s="1248">
        <f t="shared" ref="BL36:BL41" si="553">BK36-BQ36</f>
        <v>-4848</v>
      </c>
      <c r="BM36" s="850">
        <f t="shared" ref="BM36:BM41" si="554">ROUND(BM$5*BT36/BT$6,0)</f>
        <v>101699</v>
      </c>
      <c r="BN36" s="1248">
        <f t="shared" ref="BN36:BN41" si="555">ROUND(BN$5*BR36/BR$6,0)</f>
        <v>114062</v>
      </c>
      <c r="BO36" s="830">
        <f t="shared" ref="BO36:BO41" si="556">ROUND(BO$5*BT36/BT$6,0)</f>
        <v>-423</v>
      </c>
      <c r="BP36" s="830">
        <f t="shared" ref="BP36:BQ41" si="557">ROUND(BP$5*BS36/BS$6,0)</f>
        <v>8223</v>
      </c>
      <c r="BQ36" s="1317">
        <f t="shared" si="557"/>
        <v>2165</v>
      </c>
      <c r="BR36" s="1318">
        <f>+'13H24'!K34</f>
        <v>133221</v>
      </c>
      <c r="BS36" s="1248">
        <f>+'13H24'!E34</f>
        <v>15020</v>
      </c>
      <c r="BT36" s="1317">
        <f>'13H24'!C34</f>
        <v>130538</v>
      </c>
      <c r="BU36" s="1316">
        <f t="shared" ref="BU36:BU41" si="558">+CD36-CB36</f>
        <v>11201</v>
      </c>
      <c r="BV36" s="1248">
        <f t="shared" ref="BV36:BV41" si="559">BU36-CA36</f>
        <v>9135</v>
      </c>
      <c r="BW36" s="850">
        <f t="shared" ref="BW36:BW41" si="560">ROUND(BW$5*CD36/CD$6,0)</f>
        <v>114894</v>
      </c>
      <c r="BX36" s="1248">
        <f t="shared" ref="BX36:BX41" si="561">ROUND(BX$5*CB36/CB$6,0)</f>
        <v>116405</v>
      </c>
      <c r="BY36" s="830">
        <f t="shared" ref="BY36:BY41" si="562">ROUND(BY$5*CD36/CD$6,0)</f>
        <v>-474</v>
      </c>
      <c r="BZ36" s="830">
        <f t="shared" ref="BZ36:CA41" si="563">ROUND(BZ$5*CC36/CC$6,0)</f>
        <v>7977</v>
      </c>
      <c r="CA36" s="1317">
        <f t="shared" si="563"/>
        <v>2066</v>
      </c>
      <c r="CB36" s="1318">
        <f>+'14H25'!K34</f>
        <v>136039</v>
      </c>
      <c r="CC36" s="1248">
        <f>+'14H25'!E34</f>
        <v>15160</v>
      </c>
      <c r="CD36" s="1317">
        <f>'14H25'!C34</f>
        <v>147240</v>
      </c>
      <c r="CE36" s="1316">
        <f t="shared" ref="CE36:CE41" si="564">+CN36-CL36</f>
        <v>10044</v>
      </c>
      <c r="CF36" s="1248">
        <f t="shared" ref="CF36:CF41" si="565">CE36-CK36</f>
        <v>11513</v>
      </c>
      <c r="CG36" s="850">
        <f t="shared" ref="CG36:CG41" si="566">ROUND(CG$5*CN36/CN$6,0)</f>
        <v>108730</v>
      </c>
      <c r="CH36" s="1248">
        <f t="shared" ref="CH36:CH41" si="567">ROUND(CH$5*CL36/CL$6,0)</f>
        <v>107411</v>
      </c>
      <c r="CI36" s="830">
        <f t="shared" ref="CI36:CI41" si="568">ROUND(CI$5*CN36/CN$6,0)</f>
        <v>-473</v>
      </c>
      <c r="CJ36" s="830">
        <f t="shared" ref="CJ36:CK41" si="569">ROUND(CJ$5*CM36/CM$6,0)</f>
        <v>8298</v>
      </c>
      <c r="CK36" s="1317">
        <f t="shared" si="569"/>
        <v>-1469</v>
      </c>
      <c r="CL36" s="1318">
        <f>+'15H26'!K34</f>
        <v>124960</v>
      </c>
      <c r="CM36" s="1248">
        <f>+'15H26'!E34</f>
        <v>15835</v>
      </c>
      <c r="CN36" s="1317">
        <f>'15H26'!C34</f>
        <v>135004</v>
      </c>
      <c r="CO36" s="1316">
        <f t="shared" ref="CO36:CO41" si="570">+CX36-CV36</f>
        <v>16137</v>
      </c>
      <c r="CP36" s="1248">
        <f t="shared" ref="CP36:CP41" si="571">CO36-CU36</f>
        <v>14492</v>
      </c>
      <c r="CQ36" s="850">
        <f t="shared" ref="CQ36:CQ41" si="572">ROUND(CQ$5*CX36/CX$6,0)</f>
        <v>112484</v>
      </c>
      <c r="CR36" s="1248">
        <f t="shared" ref="CR36:CR41" si="573">ROUND(CR$5*CV36/CV$6,0)</f>
        <v>107201</v>
      </c>
      <c r="CS36" s="830">
        <f t="shared" ref="CS36:CS41" si="574">ROUND(CS$5*CX36/CX$6,0)</f>
        <v>-507</v>
      </c>
      <c r="CT36" s="830">
        <f t="shared" ref="CT36:CU41" si="575">ROUND(CT$5*CW36/CW$6,0)</f>
        <v>8368</v>
      </c>
      <c r="CU36" s="1317">
        <f t="shared" si="575"/>
        <v>1645</v>
      </c>
      <c r="CV36" s="1318">
        <f>+'16H27'!K34</f>
        <v>128951</v>
      </c>
      <c r="CW36" s="1248">
        <f>+'16H27'!E34</f>
        <v>16455</v>
      </c>
      <c r="CX36" s="1317">
        <f>'16H27'!C34</f>
        <v>145088</v>
      </c>
      <c r="CY36" s="1316">
        <f t="shared" ref="CY36:CY41" si="576">+DH36-DF36</f>
        <v>17516</v>
      </c>
      <c r="CZ36" s="1248">
        <f t="shared" ref="CZ36:CZ41" si="577">CY36-DE36</f>
        <v>17634</v>
      </c>
      <c r="DA36" s="850">
        <f t="shared" ref="DA36:DA41" si="578">ROUND(DA$5*DH36/DH$6,0)</f>
        <v>106901</v>
      </c>
      <c r="DB36" s="1248">
        <f t="shared" ref="DB36:DB41" si="579">ROUND(DB$5*DF36/DF$6,0)</f>
        <v>101484</v>
      </c>
      <c r="DC36" s="830">
        <f t="shared" ref="DC36:DC41" si="580">ROUND(DC$5*DH36/DH$6,0)</f>
        <v>-452</v>
      </c>
      <c r="DD36" s="830">
        <f t="shared" ref="DD36:DE41" si="581">ROUND(DD$5*DG36/DG$6,0)</f>
        <v>8516</v>
      </c>
      <c r="DE36" s="1317">
        <f t="shared" si="581"/>
        <v>-118</v>
      </c>
      <c r="DF36" s="1318">
        <f>+'17H28'!K34</f>
        <v>125490</v>
      </c>
      <c r="DG36" s="1248">
        <f>+'17H28'!E34</f>
        <v>16562</v>
      </c>
      <c r="DH36" s="1317">
        <f>'17H28'!C34</f>
        <v>143006</v>
      </c>
      <c r="DI36" s="1316">
        <f t="shared" ref="DI36:DI41" si="582">+DR36-DP36</f>
        <v>19834</v>
      </c>
      <c r="DJ36" s="1248">
        <f t="shared" ref="DJ36:DJ41" si="583">DI36-DO36</f>
        <v>24958</v>
      </c>
      <c r="DK36" s="850">
        <f t="shared" ref="DK36:DK41" si="584">ROUND(DK$5*DR36/DR$6,0)</f>
        <v>111201</v>
      </c>
      <c r="DL36" s="1248">
        <f t="shared" ref="DL36:DL41" si="585">ROUND(DL$5*DP36/DP$6,0)</f>
        <v>101846</v>
      </c>
      <c r="DM36" s="830">
        <f t="shared" ref="DM36:DM41" si="586">ROUND(DM$5*DR36/DR$6,0)</f>
        <v>-355</v>
      </c>
      <c r="DN36" s="830">
        <f t="shared" ref="DN36:DO41" si="587">ROUND(DN$5*DQ36/DQ$6,0)</f>
        <v>7198</v>
      </c>
      <c r="DO36" s="1317">
        <f t="shared" si="587"/>
        <v>-5124</v>
      </c>
      <c r="DP36" s="1318">
        <f>+'18H29'!K34</f>
        <v>122706</v>
      </c>
      <c r="DQ36" s="1248">
        <f>+'18H29'!E34</f>
        <v>15623</v>
      </c>
      <c r="DR36" s="1317">
        <f>+'18H29'!C34</f>
        <v>142540</v>
      </c>
      <c r="DS36" s="1316">
        <f t="shared" ref="DS36:DS41" si="588">+EB36-DZ36</f>
        <v>16464</v>
      </c>
      <c r="DT36" s="1248">
        <f t="shared" ref="DT36:DT41" si="589">DS36-DY36</f>
        <v>24296</v>
      </c>
      <c r="DU36" s="850">
        <f t="shared" ref="DU36:DU41" si="590">ROUND(DU$5*EB36/EB$6,0)</f>
        <v>112558</v>
      </c>
      <c r="DV36" s="1248">
        <f t="shared" ref="DV36:DV41" si="591">ROUND(DV$5*DZ36/DZ$6,0)</f>
        <v>107310</v>
      </c>
      <c r="DW36" s="830">
        <f t="shared" ref="DW36:DW41" si="592">ROUND(DW$5*EB36/EB$6,0)</f>
        <v>-367</v>
      </c>
      <c r="DX36" s="830">
        <f t="shared" ref="DX36:DY41" si="593">ROUND(DX$5*EA36/EA$6,0)</f>
        <v>7323</v>
      </c>
      <c r="DY36" s="1317">
        <f t="shared" si="593"/>
        <v>-7832</v>
      </c>
      <c r="DZ36" s="1318">
        <f>+'19H30'!K34</f>
        <v>126010</v>
      </c>
      <c r="EA36" s="1248">
        <f>+'19H30'!E34</f>
        <v>15556</v>
      </c>
      <c r="EB36" s="1317">
        <f>+'19H30'!C34</f>
        <v>142474</v>
      </c>
      <c r="EC36" s="1316">
        <f t="shared" ref="EC36:EC41" si="594">+EL36-EJ36</f>
        <v>17867</v>
      </c>
      <c r="ED36" s="1248">
        <f t="shared" ref="ED36:ED41" si="595">EC36-EI36</f>
        <v>29622</v>
      </c>
      <c r="EE36" s="850">
        <f t="shared" ref="EE36:EE41" si="596">ROUND(EE$5*EL36/EL$6,0)</f>
        <v>117246</v>
      </c>
      <c r="EF36" s="1248">
        <f t="shared" ref="EF36:EF41" si="597">ROUND(EF$5*EJ36/EJ$6,0)</f>
        <v>111875</v>
      </c>
      <c r="EG36" s="830">
        <f t="shared" ref="EG36:EG41" si="598">ROUND(EG$5*EL36/EL$6,0)</f>
        <v>-366</v>
      </c>
      <c r="EH36" s="830">
        <f t="shared" ref="EH36:EI41" si="599">ROUND(EH$5*EK36/EK$6,0)</f>
        <v>7402</v>
      </c>
      <c r="EI36" s="1317">
        <f t="shared" si="599"/>
        <v>-11755</v>
      </c>
      <c r="EJ36" s="1318">
        <f>+'20R1'!K34</f>
        <v>133565</v>
      </c>
      <c r="EK36" s="1248">
        <f>+'20R1'!E34</f>
        <v>16151</v>
      </c>
      <c r="EL36" s="1317">
        <f>+'20R1'!C34</f>
        <v>151432</v>
      </c>
      <c r="EM36" s="1316">
        <f t="shared" ref="EM36:EM41" si="600">+EV36-ET36</f>
        <v>9888</v>
      </c>
      <c r="EN36" s="1248">
        <f t="shared" ref="EN36:EN41" si="601">EM36-ES36</f>
        <v>12556</v>
      </c>
      <c r="EO36" s="850">
        <f t="shared" ref="EO36:EO41" si="602">ROUND(EO$5*EV36/EV$6,0)</f>
        <v>104641</v>
      </c>
      <c r="EP36" s="1248">
        <f t="shared" ref="EP36:EP41" si="603">ROUND(EP$5*ET36/ET$6,0)</f>
        <v>108972</v>
      </c>
      <c r="EQ36" s="1336">
        <f t="shared" ref="EQ36:EQ41" si="604">ROUND(EQ$5*EV36/EV$6,0)</f>
        <v>-274</v>
      </c>
      <c r="ER36" s="1336">
        <f t="shared" ref="ER36:ER41" si="605">ROUND(ER$5*EU36/EU$6,0)</f>
        <v>7570</v>
      </c>
      <c r="ES36" s="850">
        <f t="shared" ref="ES36:ES41" si="606">ROUND(ES$5*EV36/EV$6,0)</f>
        <v>-2668</v>
      </c>
      <c r="ET36" s="1331">
        <f>'21R2'!K34</f>
        <v>135821</v>
      </c>
      <c r="EU36" s="1248">
        <f>'21R2'!E34</f>
        <v>16706</v>
      </c>
      <c r="EV36" s="1317">
        <f>+'21R2'!C34</f>
        <v>145709</v>
      </c>
      <c r="EW36" s="1392">
        <f t="shared" si="298"/>
        <v>8640</v>
      </c>
      <c r="EX36" s="1310">
        <f t="shared" ref="EX36:EX41" si="607">EY36-EZ36</f>
        <v>11513</v>
      </c>
      <c r="EY36" s="850">
        <f t="shared" ref="EY36:EY41" si="608">ROUND(EY$5*FF36/FF$6,0)</f>
        <v>115776</v>
      </c>
      <c r="EZ36" s="1248">
        <f t="shared" ref="EZ36:EZ41" si="609">ROUND(EZ$5*FD36/FD$6,0)</f>
        <v>104263</v>
      </c>
      <c r="FA36" s="1336">
        <f t="shared" ref="FA36:FA41" si="610">ROUND(FA$5*FF36/FF$6,0)</f>
        <v>-152</v>
      </c>
      <c r="FB36" s="1336">
        <f t="shared" ref="FB36:FB41" si="611">ROUND(FB$5*FE36/FE$6,0)</f>
        <v>8061</v>
      </c>
      <c r="FC36" s="1689">
        <f t="shared" si="363"/>
        <v>-2873</v>
      </c>
      <c r="FD36" s="1414">
        <f>'22R3'!K34</f>
        <v>120528</v>
      </c>
      <c r="FE36" s="1310">
        <f>'22R3'!E34</f>
        <v>18300</v>
      </c>
      <c r="FF36" s="1690">
        <f>'22R3'!C34</f>
        <v>147171</v>
      </c>
      <c r="FG36" s="1392">
        <f t="shared" si="300"/>
        <v>-367</v>
      </c>
      <c r="FH36" s="1310">
        <f t="shared" ref="FH36:FH41" si="612">FI36-FJ36</f>
        <v>2506</v>
      </c>
      <c r="FI36" s="850">
        <f t="shared" ref="FI36:FI41" si="613">ROUND(FI$5*FP36/FP$6,0)</f>
        <v>122663</v>
      </c>
      <c r="FJ36" s="1248">
        <f t="shared" ref="FJ36:FJ41" si="614">ROUND(FJ$5*FN36/FN$6,0)</f>
        <v>120157</v>
      </c>
      <c r="FK36" s="1336">
        <f t="shared" ref="FK36:FK41" si="615">ROUND(FK$5*FP36/FP$6,0)</f>
        <v>-275</v>
      </c>
      <c r="FL36" s="1336">
        <f t="shared" ref="FL36:FL41" si="616">ROUND(FL$5*FO36/FO$6,0)</f>
        <v>8038</v>
      </c>
      <c r="FM36" s="1398">
        <f t="shared" si="302"/>
        <v>-2873</v>
      </c>
      <c r="FN36" s="1748">
        <f>'23R4'!K34</f>
        <v>129506</v>
      </c>
      <c r="FO36" s="1332">
        <f>'23R4'!E34</f>
        <v>17605</v>
      </c>
      <c r="FP36" s="1690">
        <f>'23R4'!C34</f>
        <v>151172</v>
      </c>
      <c r="FQ36" s="1310"/>
      <c r="FR36" s="1392">
        <f t="shared" si="303"/>
        <v>24914</v>
      </c>
      <c r="FS36" s="1310">
        <f t="shared" ref="FS36:FS41" si="617">FT36-FU36</f>
        <v>27787</v>
      </c>
      <c r="FT36" s="868">
        <f t="shared" ref="FT36:FT41" si="618">ROUND(FT$5*GA36/GA$6,0)</f>
        <v>140126</v>
      </c>
      <c r="FU36" s="1248">
        <f t="shared" ref="FU36:FU41" si="619">ROUND(FU$5*FY36/FY$6,0)</f>
        <v>112339</v>
      </c>
      <c r="FV36" s="1336">
        <f t="shared" ref="FV36:FV41" si="620">ROUND(FV$5*GA36/GA$6,0)</f>
        <v>-309</v>
      </c>
      <c r="FW36" s="1336">
        <f t="shared" ref="FW36:FW41" si="621">ROUND(FW$5*FZ36/FZ$6,0)</f>
        <v>8452</v>
      </c>
      <c r="FX36" s="1398">
        <f t="shared" si="335"/>
        <v>-2873</v>
      </c>
      <c r="FY36" s="1332">
        <f>'24R5'!K34</f>
        <v>123003</v>
      </c>
      <c r="FZ36" s="1332">
        <f>'24R5'!E34</f>
        <v>18507</v>
      </c>
      <c r="GA36" s="1319">
        <v>145806</v>
      </c>
      <c r="GB36" s="1392">
        <f t="shared" si="305"/>
        <v>11793</v>
      </c>
      <c r="GC36" s="1310">
        <f t="shared" ref="GC36:GC41" si="622">GD36-GE36</f>
        <v>14666</v>
      </c>
      <c r="GD36" s="868">
        <f t="shared" ref="GD36:GD41" si="623">ROUND(GD$5*GK36/GK$6,0)</f>
        <v>149779</v>
      </c>
      <c r="GE36" s="1248">
        <f t="shared" ref="GE36:GE41" si="624">ROUND(GE$5*GI36/GI$6,0)</f>
        <v>135113</v>
      </c>
      <c r="GF36" s="1336">
        <f t="shared" ref="GF36:GF41" si="625">ROUND(GF$5*GK36/GK$6,0)</f>
        <v>-323</v>
      </c>
      <c r="GG36" s="1336">
        <f t="shared" ref="GG36:GG41" si="626">ROUND(GG$5*GJ36/GJ$6,0)</f>
        <v>4506</v>
      </c>
      <c r="GH36" s="1398">
        <f t="shared" si="338"/>
        <v>-2873</v>
      </c>
      <c r="GI36" s="1332">
        <f>'25R6'!K34</f>
        <v>145793</v>
      </c>
      <c r="GJ36" s="1332">
        <f>'25R6'!E34</f>
        <v>20110</v>
      </c>
      <c r="GK36" s="1319">
        <v>145806</v>
      </c>
      <c r="GL36" s="1392">
        <f t="shared" si="307"/>
        <v>2837</v>
      </c>
      <c r="GM36" s="1310">
        <f t="shared" ref="GM36:GM41" si="627">GN36-GO36</f>
        <v>5710</v>
      </c>
      <c r="GN36" s="868">
        <f t="shared" ref="GN36:GN41" si="628">ROUND(GN$5*GU36/GU$6,0)</f>
        <v>144742</v>
      </c>
      <c r="GO36" s="1248">
        <f t="shared" ref="GO36:GO41" si="629">ROUND(GO$5*GS36/GS$6,0)</f>
        <v>139032</v>
      </c>
      <c r="GP36" s="1336">
        <f t="shared" ref="GP36:GP41" si="630">ROUND(GP$5*GU36/GU$6,0)</f>
        <v>-313</v>
      </c>
      <c r="GQ36" s="1336">
        <f t="shared" ref="GQ36:GQ41" si="631">ROUND(GQ$5*GT36/GT$6,0)</f>
        <v>4319</v>
      </c>
      <c r="GR36" s="1406">
        <f t="shared" si="341"/>
        <v>-2873</v>
      </c>
      <c r="GS36" s="1748">
        <f>'26R7'!K34</f>
        <v>151088</v>
      </c>
      <c r="GT36" s="1332">
        <f>'26R7'!E34</f>
        <v>20134</v>
      </c>
      <c r="GU36" s="1398">
        <v>151088</v>
      </c>
      <c r="GV36" s="1392">
        <f t="shared" si="309"/>
        <v>-7496</v>
      </c>
      <c r="GW36" s="1310">
        <f t="shared" ref="GW36:GW41" si="632">GX36-GY36</f>
        <v>-4623</v>
      </c>
      <c r="GX36" s="868">
        <f t="shared" ref="GX36:GX41" si="633">ROUND(GX$5*HE36/HE$6,0)</f>
        <v>144578</v>
      </c>
      <c r="GY36" s="1248">
        <f t="shared" ref="GY36:GY41" si="634">ROUND(GY$5*HC36/HC$6,0)</f>
        <v>149201</v>
      </c>
      <c r="GZ36" s="1336">
        <f t="shared" ref="GZ36:GZ41" si="635">ROUND(GZ$5*HE36/HE$6,0)</f>
        <v>-312</v>
      </c>
      <c r="HA36" s="1336">
        <f t="shared" ref="HA36:HA41" si="636">ROUND(HA$5*HD36/HD$6,0)</f>
        <v>604</v>
      </c>
      <c r="HB36" s="1406">
        <f t="shared" si="344"/>
        <v>-2873</v>
      </c>
      <c r="HC36" s="1748">
        <f>'27R8'!U34</f>
        <v>151131</v>
      </c>
      <c r="HD36" s="1690">
        <f>'27R8'!O34</f>
        <v>-624</v>
      </c>
      <c r="HE36" s="1398">
        <v>150212</v>
      </c>
      <c r="HF36" s="1392">
        <f t="shared" si="311"/>
        <v>-10146</v>
      </c>
      <c r="HG36" s="1310">
        <f t="shared" ref="HG36:HG41" si="637">HH36-HI36</f>
        <v>-7273</v>
      </c>
      <c r="HH36" s="868">
        <f t="shared" ref="HH36:HH41" si="638">ROUND(HH$5*HO36/HO$6,0)</f>
        <v>145511</v>
      </c>
      <c r="HI36" s="1248">
        <f t="shared" ref="HI36:HI41" si="639">ROUND(HI$5*HM36/HM$6,0)</f>
        <v>152784</v>
      </c>
      <c r="HJ36" s="1336">
        <f t="shared" ref="HJ36:HJ41" si="640">ROUND(HJ$5*HO36/HO$6,0)</f>
        <v>-314</v>
      </c>
      <c r="HK36" s="1336">
        <f t="shared" ref="HK36:HK41" si="641">ROUND(HK$5*HN36/HN$6,0)</f>
        <v>604</v>
      </c>
      <c r="HL36" s="1406">
        <f t="shared" si="347"/>
        <v>-2873</v>
      </c>
      <c r="HM36" s="1748">
        <f>'28R9'!U34</f>
        <v>151131</v>
      </c>
      <c r="HN36" s="1332">
        <f>'28R9'!O34</f>
        <v>-624</v>
      </c>
      <c r="HO36" s="1398">
        <v>149573</v>
      </c>
      <c r="HQ36" s="1310">
        <f>市町名目!J35</f>
        <v>151432</v>
      </c>
      <c r="HR36" s="1310">
        <f>市町名目!K35</f>
        <v>145709</v>
      </c>
      <c r="HS36" s="1310">
        <f>市町名目!L35</f>
        <v>147171</v>
      </c>
      <c r="HT36" s="1310">
        <f>市町名目!M35</f>
        <v>151172</v>
      </c>
      <c r="HU36" s="1310">
        <f>市町名目!N35</f>
        <v>159346</v>
      </c>
      <c r="HV36" s="1054">
        <v>147213</v>
      </c>
      <c r="HW36" s="1030">
        <v>166786</v>
      </c>
      <c r="HX36" s="1030">
        <v>150212</v>
      </c>
      <c r="HY36" s="1030">
        <v>149573</v>
      </c>
    </row>
    <row r="37" spans="1:233" ht="12.5">
      <c r="A37" s="1269">
        <v>215</v>
      </c>
      <c r="B37" s="1270" t="s">
        <v>232</v>
      </c>
      <c r="C37" s="1316">
        <f t="shared" si="516"/>
        <v>31034</v>
      </c>
      <c r="D37" s="1248">
        <f t="shared" si="517"/>
        <v>28298</v>
      </c>
      <c r="E37" s="850">
        <f t="shared" si="518"/>
        <v>235322</v>
      </c>
      <c r="F37" s="1248">
        <f t="shared" si="519"/>
        <v>209442</v>
      </c>
      <c r="G37" s="830">
        <f t="shared" si="520"/>
        <v>-375</v>
      </c>
      <c r="H37" s="830">
        <f t="shared" si="521"/>
        <v>18954</v>
      </c>
      <c r="I37" s="1317">
        <f t="shared" si="521"/>
        <v>2736</v>
      </c>
      <c r="J37" s="1318">
        <f>'7H18'!K35</f>
        <v>245437</v>
      </c>
      <c r="K37" s="1248">
        <f>+'7H18'!E35</f>
        <v>29148</v>
      </c>
      <c r="L37" s="1317">
        <f>'7H18'!C35</f>
        <v>276471</v>
      </c>
      <c r="M37" s="1316">
        <f t="shared" si="522"/>
        <v>24501</v>
      </c>
      <c r="N37" s="1248">
        <f t="shared" si="523"/>
        <v>19948</v>
      </c>
      <c r="O37" s="850">
        <f t="shared" si="524"/>
        <v>251247</v>
      </c>
      <c r="P37" s="1248">
        <f t="shared" si="525"/>
        <v>222321</v>
      </c>
      <c r="Q37" s="830">
        <f t="shared" si="526"/>
        <v>-602</v>
      </c>
      <c r="R37" s="830">
        <f t="shared" si="527"/>
        <v>19035</v>
      </c>
      <c r="S37" s="1317">
        <f t="shared" si="527"/>
        <v>4553</v>
      </c>
      <c r="T37" s="1318">
        <f>+'8H19'!K35</f>
        <v>250087</v>
      </c>
      <c r="U37" s="1248">
        <f>+'8H19'!E35</f>
        <v>29520</v>
      </c>
      <c r="V37" s="1317">
        <f>'8H19'!C35</f>
        <v>274588</v>
      </c>
      <c r="W37" s="1316">
        <f t="shared" si="528"/>
        <v>34953</v>
      </c>
      <c r="X37" s="1248">
        <f t="shared" si="529"/>
        <v>30970</v>
      </c>
      <c r="Y37" s="850">
        <f t="shared" si="530"/>
        <v>237867</v>
      </c>
      <c r="Z37" s="1248">
        <f t="shared" si="531"/>
        <v>219606</v>
      </c>
      <c r="AA37" s="830">
        <f t="shared" si="532"/>
        <v>-1531</v>
      </c>
      <c r="AB37" s="830">
        <f t="shared" si="533"/>
        <v>18514</v>
      </c>
      <c r="AC37" s="1317">
        <f t="shared" si="533"/>
        <v>3983</v>
      </c>
      <c r="AD37" s="1318">
        <f>+'9H20'!K35</f>
        <v>248883</v>
      </c>
      <c r="AE37" s="1248">
        <f>+'9H20'!E35</f>
        <v>31007</v>
      </c>
      <c r="AF37" s="1317">
        <f>'9H20'!C35</f>
        <v>283836</v>
      </c>
      <c r="AG37" s="1316">
        <f t="shared" si="534"/>
        <v>52572</v>
      </c>
      <c r="AH37" s="1248">
        <f t="shared" si="535"/>
        <v>55714</v>
      </c>
      <c r="AI37" s="850">
        <f t="shared" si="536"/>
        <v>210621</v>
      </c>
      <c r="AJ37" s="1248">
        <f t="shared" si="537"/>
        <v>193973</v>
      </c>
      <c r="AK37" s="830">
        <f t="shared" si="538"/>
        <v>200</v>
      </c>
      <c r="AL37" s="830">
        <f t="shared" si="539"/>
        <v>17265</v>
      </c>
      <c r="AM37" s="1317">
        <f t="shared" si="539"/>
        <v>-3142</v>
      </c>
      <c r="AN37" s="1318">
        <f>+'10H21'!K35</f>
        <v>236237</v>
      </c>
      <c r="AO37" s="1248">
        <f>+'10H21'!E35</f>
        <v>30858</v>
      </c>
      <c r="AP37" s="1317">
        <f>'10H21'!C35</f>
        <v>288809</v>
      </c>
      <c r="AQ37" s="1316">
        <f t="shared" si="540"/>
        <v>61968</v>
      </c>
      <c r="AR37" s="1248">
        <f t="shared" si="541"/>
        <v>58662</v>
      </c>
      <c r="AS37" s="850">
        <f t="shared" si="542"/>
        <v>219264</v>
      </c>
      <c r="AT37" s="1248">
        <f t="shared" si="543"/>
        <v>193009</v>
      </c>
      <c r="AU37" s="830">
        <f t="shared" si="544"/>
        <v>-1606</v>
      </c>
      <c r="AV37" s="830">
        <f t="shared" si="545"/>
        <v>18481</v>
      </c>
      <c r="AW37" s="1317">
        <f t="shared" si="545"/>
        <v>3306</v>
      </c>
      <c r="AX37" s="1318">
        <f>+'11H22'!K35</f>
        <v>229599</v>
      </c>
      <c r="AY37" s="1248">
        <f>+'11H22'!E35</f>
        <v>31337</v>
      </c>
      <c r="AZ37" s="1317">
        <f>'11H22'!C35</f>
        <v>291567</v>
      </c>
      <c r="BA37" s="1316">
        <f t="shared" si="546"/>
        <v>29738</v>
      </c>
      <c r="BB37" s="1248">
        <f t="shared" si="547"/>
        <v>27124</v>
      </c>
      <c r="BC37" s="850">
        <f t="shared" si="548"/>
        <v>209489</v>
      </c>
      <c r="BD37" s="1248">
        <f t="shared" si="549"/>
        <v>201104</v>
      </c>
      <c r="BE37" s="830">
        <f t="shared" si="550"/>
        <v>-1052</v>
      </c>
      <c r="BF37" s="830">
        <f t="shared" si="551"/>
        <v>18792</v>
      </c>
      <c r="BG37" s="1317">
        <f t="shared" si="551"/>
        <v>2614</v>
      </c>
      <c r="BH37" s="1318">
        <f>+'12H23'!K35</f>
        <v>234402</v>
      </c>
      <c r="BI37" s="1248">
        <f>+'12H23'!E35</f>
        <v>32973</v>
      </c>
      <c r="BJ37" s="1317">
        <f>'12H23'!C35</f>
        <v>264140</v>
      </c>
      <c r="BK37" s="1316">
        <f t="shared" si="552"/>
        <v>2058</v>
      </c>
      <c r="BL37" s="1248">
        <f t="shared" si="553"/>
        <v>-2327</v>
      </c>
      <c r="BM37" s="850">
        <f t="shared" si="554"/>
        <v>205989</v>
      </c>
      <c r="BN37" s="1248">
        <f t="shared" si="555"/>
        <v>224615</v>
      </c>
      <c r="BO37" s="830">
        <f t="shared" si="556"/>
        <v>-856</v>
      </c>
      <c r="BP37" s="830">
        <f t="shared" si="557"/>
        <v>18004</v>
      </c>
      <c r="BQ37" s="1317">
        <f t="shared" si="557"/>
        <v>4385</v>
      </c>
      <c r="BR37" s="1318">
        <f>+'13H24'!K35</f>
        <v>262344</v>
      </c>
      <c r="BS37" s="1248">
        <f>+'13H24'!E35</f>
        <v>32888</v>
      </c>
      <c r="BT37" s="1317">
        <f>'13H24'!C35</f>
        <v>264402</v>
      </c>
      <c r="BU37" s="1316">
        <f t="shared" si="558"/>
        <v>13485</v>
      </c>
      <c r="BV37" s="1248">
        <f t="shared" si="559"/>
        <v>9701</v>
      </c>
      <c r="BW37" s="850">
        <f t="shared" si="560"/>
        <v>210420</v>
      </c>
      <c r="BX37" s="1248">
        <f t="shared" si="561"/>
        <v>219201</v>
      </c>
      <c r="BY37" s="830">
        <f t="shared" si="562"/>
        <v>-867</v>
      </c>
      <c r="BZ37" s="830">
        <f t="shared" si="563"/>
        <v>17834</v>
      </c>
      <c r="CA37" s="1317">
        <f t="shared" si="563"/>
        <v>3784</v>
      </c>
      <c r="CB37" s="1318">
        <f>+'14H25'!K35</f>
        <v>256173</v>
      </c>
      <c r="CC37" s="1248">
        <f>+'14H25'!E35</f>
        <v>33894</v>
      </c>
      <c r="CD37" s="1317">
        <f>'14H25'!C35</f>
        <v>269658</v>
      </c>
      <c r="CE37" s="1316">
        <f t="shared" si="564"/>
        <v>12334</v>
      </c>
      <c r="CF37" s="1248">
        <f t="shared" si="565"/>
        <v>15211</v>
      </c>
      <c r="CG37" s="850">
        <f t="shared" si="566"/>
        <v>212984</v>
      </c>
      <c r="CH37" s="1248">
        <f t="shared" si="567"/>
        <v>216709</v>
      </c>
      <c r="CI37" s="830">
        <f t="shared" si="568"/>
        <v>-926</v>
      </c>
      <c r="CJ37" s="830">
        <f t="shared" si="569"/>
        <v>18358</v>
      </c>
      <c r="CK37" s="1317">
        <f t="shared" si="569"/>
        <v>-2877</v>
      </c>
      <c r="CL37" s="1318">
        <f>+'15H26'!K35</f>
        <v>252116</v>
      </c>
      <c r="CM37" s="1248">
        <f>+'15H26'!E35</f>
        <v>35034</v>
      </c>
      <c r="CN37" s="1317">
        <f>'15H26'!C35</f>
        <v>264450</v>
      </c>
      <c r="CO37" s="1316">
        <f t="shared" si="570"/>
        <v>20100</v>
      </c>
      <c r="CP37" s="1248">
        <f t="shared" si="571"/>
        <v>16866</v>
      </c>
      <c r="CQ37" s="850">
        <f t="shared" si="572"/>
        <v>221088</v>
      </c>
      <c r="CR37" s="1248">
        <f t="shared" si="573"/>
        <v>220362</v>
      </c>
      <c r="CS37" s="830">
        <f t="shared" si="574"/>
        <v>-997</v>
      </c>
      <c r="CT37" s="830">
        <f t="shared" si="575"/>
        <v>18143</v>
      </c>
      <c r="CU37" s="1317">
        <f t="shared" si="575"/>
        <v>3234</v>
      </c>
      <c r="CV37" s="1318">
        <f>+'16H27'!K35</f>
        <v>265071</v>
      </c>
      <c r="CW37" s="1248">
        <f>+'16H27'!E35</f>
        <v>35675</v>
      </c>
      <c r="CX37" s="1317">
        <f>'16H27'!C35</f>
        <v>285171</v>
      </c>
      <c r="CY37" s="1316">
        <f t="shared" si="576"/>
        <v>38174</v>
      </c>
      <c r="CZ37" s="1248">
        <f t="shared" si="577"/>
        <v>38419</v>
      </c>
      <c r="DA37" s="850">
        <f t="shared" si="578"/>
        <v>221708</v>
      </c>
      <c r="DB37" s="1248">
        <f t="shared" si="579"/>
        <v>208981</v>
      </c>
      <c r="DC37" s="830">
        <f t="shared" si="580"/>
        <v>-937</v>
      </c>
      <c r="DD37" s="830">
        <f t="shared" si="581"/>
        <v>19049</v>
      </c>
      <c r="DE37" s="1317">
        <f t="shared" si="581"/>
        <v>-245</v>
      </c>
      <c r="DF37" s="1318">
        <f>+'17H28'!K35</f>
        <v>258415</v>
      </c>
      <c r="DG37" s="1248">
        <f>+'17H28'!E35</f>
        <v>37045</v>
      </c>
      <c r="DH37" s="1317">
        <f>'17H28'!C35</f>
        <v>296589</v>
      </c>
      <c r="DI37" s="1316">
        <f t="shared" si="582"/>
        <v>48296</v>
      </c>
      <c r="DJ37" s="1248">
        <f t="shared" si="583"/>
        <v>59254</v>
      </c>
      <c r="DK37" s="850">
        <f t="shared" si="584"/>
        <v>237808</v>
      </c>
      <c r="DL37" s="1248">
        <f t="shared" si="585"/>
        <v>212921</v>
      </c>
      <c r="DM37" s="830">
        <f t="shared" si="586"/>
        <v>-759</v>
      </c>
      <c r="DN37" s="830">
        <f t="shared" si="587"/>
        <v>16243</v>
      </c>
      <c r="DO37" s="1317">
        <f t="shared" si="587"/>
        <v>-10958</v>
      </c>
      <c r="DP37" s="1318">
        <f>+'18H29'!K35</f>
        <v>256531</v>
      </c>
      <c r="DQ37" s="1248">
        <f>+'18H29'!E35</f>
        <v>35253</v>
      </c>
      <c r="DR37" s="1317">
        <f>+'18H29'!C35</f>
        <v>304827</v>
      </c>
      <c r="DS37" s="1316">
        <f t="shared" si="588"/>
        <v>47833</v>
      </c>
      <c r="DT37" s="1248">
        <f t="shared" si="589"/>
        <v>64787</v>
      </c>
      <c r="DU37" s="850">
        <f t="shared" si="590"/>
        <v>243651</v>
      </c>
      <c r="DV37" s="1248">
        <f t="shared" si="591"/>
        <v>221908</v>
      </c>
      <c r="DW37" s="830">
        <f t="shared" si="592"/>
        <v>-794</v>
      </c>
      <c r="DX37" s="830">
        <f t="shared" si="593"/>
        <v>16756</v>
      </c>
      <c r="DY37" s="1317">
        <f t="shared" si="593"/>
        <v>-16954</v>
      </c>
      <c r="DZ37" s="1318">
        <f>+'19H30'!K35</f>
        <v>260577</v>
      </c>
      <c r="EA37" s="1248">
        <f>+'19H30'!E35</f>
        <v>35592</v>
      </c>
      <c r="EB37" s="1317">
        <f>+'19H30'!C35</f>
        <v>308410</v>
      </c>
      <c r="EC37" s="1316">
        <f t="shared" si="594"/>
        <v>35813</v>
      </c>
      <c r="ED37" s="1248">
        <f t="shared" si="595"/>
        <v>59795</v>
      </c>
      <c r="EE37" s="850">
        <f t="shared" si="596"/>
        <v>239209</v>
      </c>
      <c r="EF37" s="1248">
        <f t="shared" si="597"/>
        <v>228787</v>
      </c>
      <c r="EG37" s="830">
        <f t="shared" si="598"/>
        <v>-747</v>
      </c>
      <c r="EH37" s="830">
        <f t="shared" si="599"/>
        <v>17436</v>
      </c>
      <c r="EI37" s="1317">
        <f t="shared" si="599"/>
        <v>-23982</v>
      </c>
      <c r="EJ37" s="1318">
        <f>+'20R1'!K35</f>
        <v>273143</v>
      </c>
      <c r="EK37" s="1248">
        <f>+'20R1'!E35</f>
        <v>38047</v>
      </c>
      <c r="EL37" s="1317">
        <f>+'20R1'!C35</f>
        <v>308956</v>
      </c>
      <c r="EM37" s="1316">
        <f t="shared" si="600"/>
        <v>68229</v>
      </c>
      <c r="EN37" s="1248">
        <f t="shared" si="601"/>
        <v>74025</v>
      </c>
      <c r="EO37" s="850">
        <f t="shared" si="602"/>
        <v>227315</v>
      </c>
      <c r="EP37" s="1248">
        <f t="shared" si="603"/>
        <v>199215</v>
      </c>
      <c r="EQ37" s="1336">
        <f t="shared" si="604"/>
        <v>-596</v>
      </c>
      <c r="ER37" s="1336">
        <f t="shared" si="605"/>
        <v>17837</v>
      </c>
      <c r="ES37" s="850">
        <f t="shared" si="606"/>
        <v>-5796</v>
      </c>
      <c r="ET37" s="1331">
        <f>'21R2'!K35</f>
        <v>248298</v>
      </c>
      <c r="EU37" s="1248">
        <f>'21R2'!E35</f>
        <v>39364</v>
      </c>
      <c r="EV37" s="1317">
        <f>+'21R2'!C35</f>
        <v>316527</v>
      </c>
      <c r="EW37" s="1392">
        <f t="shared" si="298"/>
        <v>26622</v>
      </c>
      <c r="EX37" s="1310">
        <f t="shared" si="607"/>
        <v>32896</v>
      </c>
      <c r="EY37" s="850">
        <f t="shared" si="608"/>
        <v>252797</v>
      </c>
      <c r="EZ37" s="1248">
        <f t="shared" si="609"/>
        <v>219901</v>
      </c>
      <c r="FA37" s="1336">
        <f t="shared" si="610"/>
        <v>-333</v>
      </c>
      <c r="FB37" s="1336">
        <f t="shared" si="611"/>
        <v>17376</v>
      </c>
      <c r="FC37" s="1689">
        <f t="shared" si="363"/>
        <v>-6274</v>
      </c>
      <c r="FD37" s="1414">
        <f>'22R3'!K35</f>
        <v>254205</v>
      </c>
      <c r="FE37" s="1310">
        <f>'22R3'!E35</f>
        <v>39445</v>
      </c>
      <c r="FF37" s="1690">
        <f>'22R3'!C35</f>
        <v>321348</v>
      </c>
      <c r="FG37" s="1392">
        <f t="shared" si="300"/>
        <v>-417</v>
      </c>
      <c r="FH37" s="1310">
        <f t="shared" si="612"/>
        <v>5857</v>
      </c>
      <c r="FI37" s="850">
        <f t="shared" si="613"/>
        <v>262732</v>
      </c>
      <c r="FJ37" s="1248">
        <f t="shared" si="614"/>
        <v>256875</v>
      </c>
      <c r="FK37" s="1336">
        <f t="shared" si="615"/>
        <v>-588</v>
      </c>
      <c r="FL37" s="1336">
        <f t="shared" si="616"/>
        <v>18304</v>
      </c>
      <c r="FM37" s="1398">
        <f t="shared" si="302"/>
        <v>-6274</v>
      </c>
      <c r="FN37" s="1748">
        <f>'23R4'!K35</f>
        <v>276862</v>
      </c>
      <c r="FO37" s="1332">
        <f>'23R4'!E35</f>
        <v>40093</v>
      </c>
      <c r="FP37" s="1690">
        <f>'23R4'!C35</f>
        <v>323795</v>
      </c>
      <c r="FQ37" s="1310"/>
      <c r="FR37" s="1392">
        <f t="shared" si="303"/>
        <v>43268</v>
      </c>
      <c r="FS37" s="1310">
        <f t="shared" si="617"/>
        <v>49542</v>
      </c>
      <c r="FT37" s="868">
        <f t="shared" si="618"/>
        <v>287026</v>
      </c>
      <c r="FU37" s="1248">
        <f t="shared" si="619"/>
        <v>237484</v>
      </c>
      <c r="FV37" s="1336">
        <f t="shared" si="620"/>
        <v>-632</v>
      </c>
      <c r="FW37" s="1336">
        <f t="shared" si="621"/>
        <v>18497</v>
      </c>
      <c r="FX37" s="1398">
        <f t="shared" si="335"/>
        <v>-6274</v>
      </c>
      <c r="FY37" s="1332">
        <f>'24R5'!K35</f>
        <v>260029</v>
      </c>
      <c r="FZ37" s="1332">
        <f>'24R5'!E35</f>
        <v>40501</v>
      </c>
      <c r="GA37" s="1319">
        <v>298661</v>
      </c>
      <c r="GB37" s="1392">
        <f t="shared" si="305"/>
        <v>14536</v>
      </c>
      <c r="GC37" s="1310">
        <f t="shared" si="622"/>
        <v>20810</v>
      </c>
      <c r="GD37" s="868">
        <f t="shared" si="623"/>
        <v>306799</v>
      </c>
      <c r="GE37" s="1248">
        <f t="shared" si="624"/>
        <v>285989</v>
      </c>
      <c r="GF37" s="1336">
        <f t="shared" si="625"/>
        <v>-661</v>
      </c>
      <c r="GG37" s="1336">
        <f t="shared" si="626"/>
        <v>9638</v>
      </c>
      <c r="GH37" s="1398">
        <f t="shared" si="338"/>
        <v>-6274</v>
      </c>
      <c r="GI37" s="1332">
        <f>'25R6'!K35</f>
        <v>308594</v>
      </c>
      <c r="GJ37" s="1332">
        <f>'25R6'!E35</f>
        <v>43010</v>
      </c>
      <c r="GK37" s="1319">
        <v>298661</v>
      </c>
      <c r="GL37" s="1392">
        <f t="shared" si="307"/>
        <v>5761</v>
      </c>
      <c r="GM37" s="1310">
        <f t="shared" si="627"/>
        <v>12035</v>
      </c>
      <c r="GN37" s="868">
        <f t="shared" si="628"/>
        <v>305056</v>
      </c>
      <c r="GO37" s="1248">
        <f t="shared" si="629"/>
        <v>293021</v>
      </c>
      <c r="GP37" s="1336">
        <f t="shared" si="630"/>
        <v>-659</v>
      </c>
      <c r="GQ37" s="1336">
        <f t="shared" si="631"/>
        <v>9499</v>
      </c>
      <c r="GR37" s="1406">
        <f t="shared" si="341"/>
        <v>-6274</v>
      </c>
      <c r="GS37" s="1748">
        <f>'26R7'!K35</f>
        <v>318431</v>
      </c>
      <c r="GT37" s="1332">
        <f>'26R7'!E35</f>
        <v>44281</v>
      </c>
      <c r="GU37" s="1398">
        <v>318431</v>
      </c>
      <c r="GV37" s="1392">
        <f t="shared" si="309"/>
        <v>1796</v>
      </c>
      <c r="GW37" s="1310">
        <f t="shared" si="632"/>
        <v>8070</v>
      </c>
      <c r="GX37" s="868">
        <f t="shared" si="633"/>
        <v>310814</v>
      </c>
      <c r="GY37" s="1248">
        <f t="shared" si="634"/>
        <v>302744</v>
      </c>
      <c r="GZ37" s="1336">
        <f t="shared" si="635"/>
        <v>-671</v>
      </c>
      <c r="HA37" s="1336">
        <f t="shared" si="636"/>
        <v>2720</v>
      </c>
      <c r="HB37" s="1406">
        <f t="shared" si="344"/>
        <v>-6274</v>
      </c>
      <c r="HC37" s="1748">
        <f>'27R8'!U35</f>
        <v>306659</v>
      </c>
      <c r="HD37" s="1690">
        <f>'27R8'!O35</f>
        <v>-2810</v>
      </c>
      <c r="HE37" s="1398">
        <v>322925</v>
      </c>
      <c r="HF37" s="1392">
        <f t="shared" si="311"/>
        <v>2553</v>
      </c>
      <c r="HG37" s="1310">
        <f t="shared" si="637"/>
        <v>8827</v>
      </c>
      <c r="HH37" s="868">
        <f t="shared" si="638"/>
        <v>318841</v>
      </c>
      <c r="HI37" s="1248">
        <f t="shared" si="639"/>
        <v>310014</v>
      </c>
      <c r="HJ37" s="1336">
        <f t="shared" si="640"/>
        <v>-689</v>
      </c>
      <c r="HK37" s="1336">
        <f t="shared" si="641"/>
        <v>2720</v>
      </c>
      <c r="HL37" s="1406">
        <f t="shared" si="347"/>
        <v>-6274</v>
      </c>
      <c r="HM37" s="1748">
        <f>'28R9'!U35</f>
        <v>306659</v>
      </c>
      <c r="HN37" s="1332">
        <f>'28R9'!O35</f>
        <v>-2810</v>
      </c>
      <c r="HO37" s="1398">
        <v>327741</v>
      </c>
      <c r="HQ37" s="1310">
        <f>市町名目!J36</f>
        <v>308956</v>
      </c>
      <c r="HR37" s="1310">
        <f>市町名目!K36</f>
        <v>316527</v>
      </c>
      <c r="HS37" s="1310">
        <f>市町名目!L36</f>
        <v>321348</v>
      </c>
      <c r="HT37" s="1310">
        <f>市町名目!M36</f>
        <v>323795</v>
      </c>
      <c r="HU37" s="1310">
        <f>市町名目!N36</f>
        <v>330552</v>
      </c>
      <c r="HV37" s="1054">
        <v>311113</v>
      </c>
      <c r="HW37" s="1030">
        <v>342146</v>
      </c>
      <c r="HX37" s="1030">
        <v>322925</v>
      </c>
      <c r="HY37" s="1030">
        <v>327741</v>
      </c>
    </row>
    <row r="38" spans="1:233" ht="12.5">
      <c r="A38" s="1334">
        <v>218</v>
      </c>
      <c r="B38" s="1335" t="s">
        <v>200</v>
      </c>
      <c r="C38" s="1316">
        <f t="shared" si="516"/>
        <v>43069</v>
      </c>
      <c r="D38" s="1248">
        <f t="shared" si="517"/>
        <v>40902</v>
      </c>
      <c r="E38" s="850">
        <f t="shared" si="518"/>
        <v>186405</v>
      </c>
      <c r="F38" s="1248">
        <f t="shared" si="519"/>
        <v>150129</v>
      </c>
      <c r="G38" s="830">
        <f t="shared" si="520"/>
        <v>-297</v>
      </c>
      <c r="H38" s="830">
        <f t="shared" si="521"/>
        <v>10114</v>
      </c>
      <c r="I38" s="1317">
        <f t="shared" si="521"/>
        <v>2167</v>
      </c>
      <c r="J38" s="1318">
        <f>'7H18'!K36</f>
        <v>175931</v>
      </c>
      <c r="K38" s="1248">
        <f>+'7H18'!E36</f>
        <v>15554</v>
      </c>
      <c r="L38" s="1317">
        <f>'7H18'!C36</f>
        <v>219000</v>
      </c>
      <c r="M38" s="1316">
        <f t="shared" si="522"/>
        <v>54592</v>
      </c>
      <c r="N38" s="1248">
        <f t="shared" si="523"/>
        <v>50987</v>
      </c>
      <c r="O38" s="850">
        <f t="shared" si="524"/>
        <v>198935</v>
      </c>
      <c r="P38" s="1248">
        <f t="shared" si="525"/>
        <v>144747</v>
      </c>
      <c r="Q38" s="830">
        <f t="shared" si="526"/>
        <v>-477</v>
      </c>
      <c r="R38" s="830">
        <f t="shared" si="527"/>
        <v>10382</v>
      </c>
      <c r="S38" s="1317">
        <f t="shared" si="527"/>
        <v>3605</v>
      </c>
      <c r="T38" s="1318">
        <f>+'8H19'!K36</f>
        <v>162824</v>
      </c>
      <c r="U38" s="1248">
        <f>+'8H19'!E36</f>
        <v>16100</v>
      </c>
      <c r="V38" s="1317">
        <f>'8H19'!C36</f>
        <v>217416</v>
      </c>
      <c r="W38" s="1316">
        <f t="shared" si="528"/>
        <v>68630</v>
      </c>
      <c r="X38" s="1248">
        <f t="shared" si="529"/>
        <v>65383</v>
      </c>
      <c r="Y38" s="850">
        <f t="shared" si="530"/>
        <v>193912</v>
      </c>
      <c r="Z38" s="1248">
        <f t="shared" si="531"/>
        <v>143612</v>
      </c>
      <c r="AA38" s="830">
        <f t="shared" si="532"/>
        <v>-1248</v>
      </c>
      <c r="AB38" s="830">
        <f t="shared" si="533"/>
        <v>10036</v>
      </c>
      <c r="AC38" s="1317">
        <f t="shared" si="533"/>
        <v>3247</v>
      </c>
      <c r="AD38" s="1318">
        <f>+'9H20'!K36</f>
        <v>162757</v>
      </c>
      <c r="AE38" s="1248">
        <f>+'9H20'!E36</f>
        <v>16808</v>
      </c>
      <c r="AF38" s="1317">
        <f>'9H20'!C36</f>
        <v>231387</v>
      </c>
      <c r="AG38" s="1316">
        <f t="shared" si="534"/>
        <v>84028</v>
      </c>
      <c r="AH38" s="1248">
        <f t="shared" si="535"/>
        <v>86586</v>
      </c>
      <c r="AI38" s="850">
        <f t="shared" si="536"/>
        <v>171482</v>
      </c>
      <c r="AJ38" s="1248">
        <f t="shared" si="537"/>
        <v>124078</v>
      </c>
      <c r="AK38" s="830">
        <f t="shared" si="538"/>
        <v>163</v>
      </c>
      <c r="AL38" s="830">
        <f t="shared" si="539"/>
        <v>9690</v>
      </c>
      <c r="AM38" s="1317">
        <f t="shared" si="539"/>
        <v>-2558</v>
      </c>
      <c r="AN38" s="1318">
        <f>+'10H21'!K36</f>
        <v>151113</v>
      </c>
      <c r="AO38" s="1248">
        <f>+'10H21'!E36</f>
        <v>17318</v>
      </c>
      <c r="AP38" s="1317">
        <f>'10H21'!C36</f>
        <v>235141</v>
      </c>
      <c r="AQ38" s="1316">
        <f t="shared" si="540"/>
        <v>93115</v>
      </c>
      <c r="AR38" s="1248">
        <f t="shared" si="541"/>
        <v>90404</v>
      </c>
      <c r="AS38" s="850">
        <f t="shared" si="542"/>
        <v>179809</v>
      </c>
      <c r="AT38" s="1248">
        <f t="shared" si="543"/>
        <v>122722</v>
      </c>
      <c r="AU38" s="830">
        <f t="shared" si="544"/>
        <v>-1317</v>
      </c>
      <c r="AV38" s="830">
        <f t="shared" si="545"/>
        <v>10363</v>
      </c>
      <c r="AW38" s="1317">
        <f t="shared" si="545"/>
        <v>2711</v>
      </c>
      <c r="AX38" s="1318">
        <f>+'11H22'!K36</f>
        <v>145987</v>
      </c>
      <c r="AY38" s="1248">
        <f>+'11H22'!E36</f>
        <v>17572</v>
      </c>
      <c r="AZ38" s="1317">
        <f>'11H22'!C36</f>
        <v>239102</v>
      </c>
      <c r="BA38" s="1316">
        <f t="shared" si="546"/>
        <v>65753</v>
      </c>
      <c r="BB38" s="1248">
        <f t="shared" si="547"/>
        <v>63566</v>
      </c>
      <c r="BC38" s="850">
        <f t="shared" si="548"/>
        <v>175315</v>
      </c>
      <c r="BD38" s="1248">
        <f t="shared" si="549"/>
        <v>133236</v>
      </c>
      <c r="BE38" s="830">
        <f t="shared" si="550"/>
        <v>-880</v>
      </c>
      <c r="BF38" s="830">
        <f t="shared" si="551"/>
        <v>10405</v>
      </c>
      <c r="BG38" s="1317">
        <f t="shared" si="551"/>
        <v>2187</v>
      </c>
      <c r="BH38" s="1318">
        <f>+'12H23'!K36</f>
        <v>155297</v>
      </c>
      <c r="BI38" s="1248">
        <f>+'12H23'!E36</f>
        <v>18256</v>
      </c>
      <c r="BJ38" s="1317">
        <f>'12H23'!C36</f>
        <v>221050</v>
      </c>
      <c r="BK38" s="1316">
        <f t="shared" si="552"/>
        <v>36758</v>
      </c>
      <c r="BL38" s="1248">
        <f t="shared" si="553"/>
        <v>33334</v>
      </c>
      <c r="BM38" s="850">
        <f t="shared" si="554"/>
        <v>160873</v>
      </c>
      <c r="BN38" s="1248">
        <f t="shared" si="555"/>
        <v>145324</v>
      </c>
      <c r="BO38" s="830">
        <f t="shared" si="556"/>
        <v>-669</v>
      </c>
      <c r="BP38" s="830">
        <f t="shared" si="557"/>
        <v>10008</v>
      </c>
      <c r="BQ38" s="1317">
        <f t="shared" si="557"/>
        <v>3424</v>
      </c>
      <c r="BR38" s="1318">
        <f>+'13H24'!K36</f>
        <v>169734</v>
      </c>
      <c r="BS38" s="1248">
        <f>+'13H24'!E36</f>
        <v>18281</v>
      </c>
      <c r="BT38" s="1317">
        <f>'13H24'!C36</f>
        <v>206492</v>
      </c>
      <c r="BU38" s="1316">
        <f t="shared" si="558"/>
        <v>10529</v>
      </c>
      <c r="BV38" s="1248">
        <f t="shared" si="559"/>
        <v>7304</v>
      </c>
      <c r="BW38" s="850">
        <f t="shared" si="560"/>
        <v>179343</v>
      </c>
      <c r="BX38" s="1248">
        <f t="shared" si="561"/>
        <v>187653</v>
      </c>
      <c r="BY38" s="830">
        <f t="shared" si="562"/>
        <v>-739</v>
      </c>
      <c r="BZ38" s="830">
        <f t="shared" si="563"/>
        <v>10055</v>
      </c>
      <c r="CA38" s="1317">
        <f t="shared" si="563"/>
        <v>3225</v>
      </c>
      <c r="CB38" s="1318">
        <f>+'14H25'!K36</f>
        <v>219304</v>
      </c>
      <c r="CC38" s="1248">
        <f>+'14H25'!E36</f>
        <v>19109</v>
      </c>
      <c r="CD38" s="1317">
        <f>'14H25'!C36</f>
        <v>229833</v>
      </c>
      <c r="CE38" s="1316">
        <f t="shared" si="564"/>
        <v>75267</v>
      </c>
      <c r="CF38" s="1248">
        <f t="shared" si="565"/>
        <v>77855</v>
      </c>
      <c r="CG38" s="850">
        <f t="shared" si="566"/>
        <v>191615</v>
      </c>
      <c r="CH38" s="1248">
        <f t="shared" si="567"/>
        <v>139808</v>
      </c>
      <c r="CI38" s="830">
        <f t="shared" si="568"/>
        <v>-833</v>
      </c>
      <c r="CJ38" s="830">
        <f t="shared" si="569"/>
        <v>10675</v>
      </c>
      <c r="CK38" s="1317">
        <f t="shared" si="569"/>
        <v>-2588</v>
      </c>
      <c r="CL38" s="1318">
        <f>+'15H26'!K36</f>
        <v>162651</v>
      </c>
      <c r="CM38" s="1248">
        <f>+'15H26'!E36</f>
        <v>20372</v>
      </c>
      <c r="CN38" s="1317">
        <f>'15H26'!C36</f>
        <v>237918</v>
      </c>
      <c r="CO38" s="1316">
        <f t="shared" si="570"/>
        <v>87334</v>
      </c>
      <c r="CP38" s="1248">
        <f t="shared" si="571"/>
        <v>84432</v>
      </c>
      <c r="CQ38" s="850">
        <f t="shared" si="572"/>
        <v>198375</v>
      </c>
      <c r="CR38" s="1248">
        <f t="shared" si="573"/>
        <v>140114</v>
      </c>
      <c r="CS38" s="830">
        <f t="shared" si="574"/>
        <v>-894</v>
      </c>
      <c r="CT38" s="830">
        <f t="shared" si="575"/>
        <v>10654</v>
      </c>
      <c r="CU38" s="1317">
        <f t="shared" si="575"/>
        <v>2902</v>
      </c>
      <c r="CV38" s="1318">
        <f>+'16H27'!K36</f>
        <v>168541</v>
      </c>
      <c r="CW38" s="1248">
        <f>+'16H27'!E36</f>
        <v>20950</v>
      </c>
      <c r="CX38" s="1317">
        <f>'16H27'!C36</f>
        <v>255875</v>
      </c>
      <c r="CY38" s="1316">
        <f t="shared" si="576"/>
        <v>63164</v>
      </c>
      <c r="CZ38" s="1248">
        <f t="shared" si="577"/>
        <v>63373</v>
      </c>
      <c r="DA38" s="850">
        <f t="shared" si="578"/>
        <v>189198</v>
      </c>
      <c r="DB38" s="1248">
        <f t="shared" si="579"/>
        <v>153601</v>
      </c>
      <c r="DC38" s="830">
        <f t="shared" si="580"/>
        <v>-799</v>
      </c>
      <c r="DD38" s="830">
        <f t="shared" si="581"/>
        <v>10811</v>
      </c>
      <c r="DE38" s="1317">
        <f t="shared" si="581"/>
        <v>-209</v>
      </c>
      <c r="DF38" s="1318">
        <f>+'17H28'!K36</f>
        <v>189935</v>
      </c>
      <c r="DG38" s="1248">
        <f>+'17H28'!E36</f>
        <v>21024</v>
      </c>
      <c r="DH38" s="1317">
        <f>'17H28'!C36</f>
        <v>253099</v>
      </c>
      <c r="DI38" s="1316">
        <f t="shared" si="582"/>
        <v>93373</v>
      </c>
      <c r="DJ38" s="1248">
        <f t="shared" si="583"/>
        <v>102777</v>
      </c>
      <c r="DK38" s="850">
        <f t="shared" si="584"/>
        <v>204083</v>
      </c>
      <c r="DL38" s="1248">
        <f t="shared" si="585"/>
        <v>139626</v>
      </c>
      <c r="DM38" s="830">
        <f t="shared" si="586"/>
        <v>-651</v>
      </c>
      <c r="DN38" s="830">
        <f t="shared" si="587"/>
        <v>9471</v>
      </c>
      <c r="DO38" s="1317">
        <f t="shared" si="587"/>
        <v>-9404</v>
      </c>
      <c r="DP38" s="1318">
        <f>+'18H29'!K36</f>
        <v>168224</v>
      </c>
      <c r="DQ38" s="1248">
        <f>+'18H29'!E36</f>
        <v>20555</v>
      </c>
      <c r="DR38" s="1317">
        <f>+'18H29'!C36</f>
        <v>261597</v>
      </c>
      <c r="DS38" s="1316">
        <f t="shared" si="588"/>
        <v>87840</v>
      </c>
      <c r="DT38" s="1248">
        <f t="shared" si="589"/>
        <v>102352</v>
      </c>
      <c r="DU38" s="850">
        <f t="shared" si="590"/>
        <v>208555</v>
      </c>
      <c r="DV38" s="1248">
        <f t="shared" si="591"/>
        <v>150005</v>
      </c>
      <c r="DW38" s="830">
        <f t="shared" si="592"/>
        <v>-680</v>
      </c>
      <c r="DX38" s="830">
        <f t="shared" si="593"/>
        <v>9470</v>
      </c>
      <c r="DY38" s="1317">
        <f t="shared" si="593"/>
        <v>-14512</v>
      </c>
      <c r="DZ38" s="1318">
        <f>+'19H30'!K36</f>
        <v>176145</v>
      </c>
      <c r="EA38" s="1248">
        <f>+'19H30'!E36</f>
        <v>20116</v>
      </c>
      <c r="EB38" s="1317">
        <f>+'19H30'!C36</f>
        <v>263985</v>
      </c>
      <c r="EC38" s="1316">
        <f t="shared" si="594"/>
        <v>70898</v>
      </c>
      <c r="ED38" s="1248">
        <f t="shared" si="595"/>
        <v>91377</v>
      </c>
      <c r="EE38" s="850">
        <f t="shared" si="596"/>
        <v>204264</v>
      </c>
      <c r="EF38" s="1248">
        <f t="shared" si="597"/>
        <v>161595</v>
      </c>
      <c r="EG38" s="830">
        <f t="shared" si="598"/>
        <v>-638</v>
      </c>
      <c r="EH38" s="830">
        <f t="shared" si="599"/>
        <v>9659</v>
      </c>
      <c r="EI38" s="1317">
        <f t="shared" si="599"/>
        <v>-20479</v>
      </c>
      <c r="EJ38" s="1318">
        <f>+'20R1'!K36</f>
        <v>192924</v>
      </c>
      <c r="EK38" s="1248">
        <f>+'20R1'!E36</f>
        <v>21076</v>
      </c>
      <c r="EL38" s="1317">
        <f>+'20R1'!C36</f>
        <v>263822</v>
      </c>
      <c r="EM38" s="1316">
        <f t="shared" si="600"/>
        <v>93241</v>
      </c>
      <c r="EN38" s="1248">
        <f t="shared" si="601"/>
        <v>97871</v>
      </c>
      <c r="EO38" s="850">
        <f t="shared" si="602"/>
        <v>181589</v>
      </c>
      <c r="EP38" s="1248">
        <f t="shared" si="603"/>
        <v>128063</v>
      </c>
      <c r="EQ38" s="1336">
        <f t="shared" si="604"/>
        <v>-476</v>
      </c>
      <c r="ER38" s="1336">
        <f t="shared" si="605"/>
        <v>9812</v>
      </c>
      <c r="ES38" s="850">
        <f t="shared" si="606"/>
        <v>-4630</v>
      </c>
      <c r="ET38" s="1331">
        <f>'21R2'!K36</f>
        <v>159615</v>
      </c>
      <c r="EU38" s="1248">
        <f>'21R2'!E36</f>
        <v>21653</v>
      </c>
      <c r="EV38" s="1317">
        <f>+'21R2'!C36</f>
        <v>252856</v>
      </c>
      <c r="EW38" s="1392">
        <f t="shared" si="298"/>
        <v>49361</v>
      </c>
      <c r="EX38" s="1310">
        <f t="shared" si="607"/>
        <v>54433</v>
      </c>
      <c r="EY38" s="850">
        <f t="shared" si="608"/>
        <v>204380</v>
      </c>
      <c r="EZ38" s="1248">
        <f t="shared" si="609"/>
        <v>149947</v>
      </c>
      <c r="FA38" s="1336">
        <f t="shared" si="610"/>
        <v>-269</v>
      </c>
      <c r="FB38" s="1336">
        <f t="shared" si="611"/>
        <v>9294</v>
      </c>
      <c r="FC38" s="1689">
        <f t="shared" si="363"/>
        <v>-5072</v>
      </c>
      <c r="FD38" s="1414">
        <f>'22R3'!K36</f>
        <v>173338</v>
      </c>
      <c r="FE38" s="1310">
        <f>'22R3'!E36</f>
        <v>21098</v>
      </c>
      <c r="FF38" s="1690">
        <f>'22R3'!C36</f>
        <v>259802</v>
      </c>
      <c r="FG38" s="1392">
        <f t="shared" si="300"/>
        <v>35061</v>
      </c>
      <c r="FH38" s="1310">
        <f t="shared" si="612"/>
        <v>40133</v>
      </c>
      <c r="FI38" s="850">
        <f t="shared" si="613"/>
        <v>213575</v>
      </c>
      <c r="FJ38" s="1248">
        <f t="shared" si="614"/>
        <v>173442</v>
      </c>
      <c r="FK38" s="1336">
        <f t="shared" si="615"/>
        <v>-478</v>
      </c>
      <c r="FL38" s="1336">
        <f t="shared" si="616"/>
        <v>10257</v>
      </c>
      <c r="FM38" s="1398">
        <f t="shared" si="302"/>
        <v>-5072</v>
      </c>
      <c r="FN38" s="1748">
        <f>'23R4'!K36</f>
        <v>186937</v>
      </c>
      <c r="FO38" s="1332">
        <f>'23R4'!E36</f>
        <v>22467</v>
      </c>
      <c r="FP38" s="1690">
        <f>'23R4'!C36</f>
        <v>263214</v>
      </c>
      <c r="FQ38" s="1310"/>
      <c r="FR38" s="1392">
        <f t="shared" si="303"/>
        <v>48956</v>
      </c>
      <c r="FS38" s="1310">
        <f t="shared" si="617"/>
        <v>54028</v>
      </c>
      <c r="FT38" s="868">
        <f t="shared" si="618"/>
        <v>216914</v>
      </c>
      <c r="FU38" s="1248">
        <f t="shared" si="619"/>
        <v>162886</v>
      </c>
      <c r="FV38" s="1336">
        <f t="shared" si="620"/>
        <v>-478</v>
      </c>
      <c r="FW38" s="1336">
        <f t="shared" si="621"/>
        <v>10586</v>
      </c>
      <c r="FX38" s="1398">
        <f t="shared" si="335"/>
        <v>-5072</v>
      </c>
      <c r="FY38" s="1332">
        <f>'24R5'!K36</f>
        <v>178349</v>
      </c>
      <c r="FZ38" s="1332">
        <f>'24R5'!E36</f>
        <v>23180</v>
      </c>
      <c r="GA38" s="1319">
        <v>225707</v>
      </c>
      <c r="GB38" s="1392">
        <f t="shared" si="305"/>
        <v>26111</v>
      </c>
      <c r="GC38" s="1310">
        <f t="shared" si="622"/>
        <v>31183</v>
      </c>
      <c r="GD38" s="868">
        <f t="shared" si="623"/>
        <v>231857</v>
      </c>
      <c r="GE38" s="1248">
        <f t="shared" si="624"/>
        <v>200674</v>
      </c>
      <c r="GF38" s="1336">
        <f t="shared" si="625"/>
        <v>-500</v>
      </c>
      <c r="GG38" s="1336">
        <f t="shared" si="626"/>
        <v>5365</v>
      </c>
      <c r="GH38" s="1398">
        <f t="shared" si="338"/>
        <v>-5072</v>
      </c>
      <c r="GI38" s="1332">
        <f>'25R6'!K36</f>
        <v>216536</v>
      </c>
      <c r="GJ38" s="1332">
        <f>'25R6'!E36</f>
        <v>23940</v>
      </c>
      <c r="GK38" s="1319">
        <v>225707</v>
      </c>
      <c r="GL38" s="1392">
        <f t="shared" si="307"/>
        <v>3294</v>
      </c>
      <c r="GM38" s="1310">
        <f t="shared" si="627"/>
        <v>8366</v>
      </c>
      <c r="GN38" s="868">
        <f t="shared" si="628"/>
        <v>212078</v>
      </c>
      <c r="GO38" s="1248">
        <f t="shared" si="629"/>
        <v>203712</v>
      </c>
      <c r="GP38" s="1336">
        <f t="shared" si="630"/>
        <v>-458</v>
      </c>
      <c r="GQ38" s="1336">
        <f t="shared" si="631"/>
        <v>5347</v>
      </c>
      <c r="GR38" s="1406">
        <f t="shared" si="341"/>
        <v>-5072</v>
      </c>
      <c r="GS38" s="1748">
        <f>'26R7'!K36</f>
        <v>221377</v>
      </c>
      <c r="GT38" s="1332">
        <f>'26R7'!E36</f>
        <v>24925</v>
      </c>
      <c r="GU38" s="1398">
        <v>221377</v>
      </c>
      <c r="GV38" s="1392">
        <f t="shared" si="309"/>
        <v>8068</v>
      </c>
      <c r="GW38" s="1310">
        <f t="shared" si="632"/>
        <v>13140</v>
      </c>
      <c r="GX38" s="868">
        <f t="shared" si="633"/>
        <v>220963</v>
      </c>
      <c r="GY38" s="1248">
        <f t="shared" si="634"/>
        <v>207823</v>
      </c>
      <c r="GZ38" s="1336">
        <f t="shared" si="635"/>
        <v>-477</v>
      </c>
      <c r="HA38" s="1336">
        <f t="shared" si="636"/>
        <v>-9352</v>
      </c>
      <c r="HB38" s="1406">
        <f t="shared" si="344"/>
        <v>-5072</v>
      </c>
      <c r="HC38" s="1748">
        <f>'27R8'!U36</f>
        <v>210511</v>
      </c>
      <c r="HD38" s="1690">
        <f>'27R8'!O36</f>
        <v>9661</v>
      </c>
      <c r="HE38" s="1398">
        <v>229573</v>
      </c>
      <c r="HF38" s="1392">
        <f t="shared" si="311"/>
        <v>13568</v>
      </c>
      <c r="HG38" s="1310">
        <f t="shared" si="637"/>
        <v>18640</v>
      </c>
      <c r="HH38" s="868">
        <f t="shared" si="638"/>
        <v>231454</v>
      </c>
      <c r="HI38" s="1248">
        <f t="shared" si="639"/>
        <v>212814</v>
      </c>
      <c r="HJ38" s="1336">
        <f t="shared" si="640"/>
        <v>-500</v>
      </c>
      <c r="HK38" s="1336">
        <f t="shared" si="641"/>
        <v>-9352</v>
      </c>
      <c r="HL38" s="1406">
        <f t="shared" si="347"/>
        <v>-5072</v>
      </c>
      <c r="HM38" s="1748">
        <f>'28R9'!U36</f>
        <v>210511</v>
      </c>
      <c r="HN38" s="1332">
        <f>'28R9'!O36</f>
        <v>9661</v>
      </c>
      <c r="HO38" s="1398">
        <v>237915</v>
      </c>
      <c r="HQ38" s="1310">
        <f>市町名目!J37</f>
        <v>263822</v>
      </c>
      <c r="HR38" s="1310">
        <f>市町名目!K37</f>
        <v>252856</v>
      </c>
      <c r="HS38" s="1310">
        <f>市町名目!L37</f>
        <v>259802</v>
      </c>
      <c r="HT38" s="1310">
        <f>市町名目!M37</f>
        <v>263214</v>
      </c>
      <c r="HU38" s="1310">
        <f>市町名目!N37</f>
        <v>296481</v>
      </c>
      <c r="HV38" s="1054">
        <v>244601</v>
      </c>
      <c r="HW38" s="1030">
        <v>269419</v>
      </c>
      <c r="HX38" s="1030">
        <v>229573</v>
      </c>
      <c r="HY38" s="1030">
        <v>237915</v>
      </c>
    </row>
    <row r="39" spans="1:233" ht="12.5">
      <c r="A39" s="1334">
        <v>220</v>
      </c>
      <c r="B39" s="1335" t="s">
        <v>201</v>
      </c>
      <c r="C39" s="1316">
        <f t="shared" si="516"/>
        <v>39430</v>
      </c>
      <c r="D39" s="1248">
        <f t="shared" si="517"/>
        <v>37526</v>
      </c>
      <c r="E39" s="850">
        <f t="shared" si="518"/>
        <v>163748</v>
      </c>
      <c r="F39" s="1248">
        <f t="shared" si="519"/>
        <v>130520</v>
      </c>
      <c r="G39" s="830">
        <f t="shared" si="520"/>
        <v>-261</v>
      </c>
      <c r="H39" s="830">
        <f t="shared" si="521"/>
        <v>10451</v>
      </c>
      <c r="I39" s="1317">
        <f t="shared" si="521"/>
        <v>1904</v>
      </c>
      <c r="J39" s="1318">
        <f>'7H18'!K37</f>
        <v>152951</v>
      </c>
      <c r="K39" s="1248">
        <f>+'7H18'!E37</f>
        <v>16072</v>
      </c>
      <c r="L39" s="1317">
        <f>'7H18'!C37</f>
        <v>192381</v>
      </c>
      <c r="M39" s="1316">
        <f t="shared" si="522"/>
        <v>36975</v>
      </c>
      <c r="N39" s="1248">
        <f t="shared" si="523"/>
        <v>33751</v>
      </c>
      <c r="O39" s="850">
        <f t="shared" si="524"/>
        <v>177919</v>
      </c>
      <c r="P39" s="1248">
        <f t="shared" si="525"/>
        <v>139989</v>
      </c>
      <c r="Q39" s="830">
        <f t="shared" si="526"/>
        <v>-426</v>
      </c>
      <c r="R39" s="830">
        <f t="shared" si="527"/>
        <v>10702</v>
      </c>
      <c r="S39" s="1317">
        <f t="shared" si="527"/>
        <v>3224</v>
      </c>
      <c r="T39" s="1318">
        <f>+'8H19'!K37</f>
        <v>157472</v>
      </c>
      <c r="U39" s="1248">
        <f>+'8H19'!E37</f>
        <v>16596</v>
      </c>
      <c r="V39" s="1317">
        <f>'8H19'!C37</f>
        <v>194447</v>
      </c>
      <c r="W39" s="1316">
        <f t="shared" si="528"/>
        <v>50674</v>
      </c>
      <c r="X39" s="1248">
        <f t="shared" si="529"/>
        <v>47865</v>
      </c>
      <c r="Y39" s="850">
        <f t="shared" si="530"/>
        <v>167724</v>
      </c>
      <c r="Z39" s="1248">
        <f t="shared" si="531"/>
        <v>131882</v>
      </c>
      <c r="AA39" s="830">
        <f t="shared" si="532"/>
        <v>-1079</v>
      </c>
      <c r="AB39" s="830">
        <f t="shared" si="533"/>
        <v>10266</v>
      </c>
      <c r="AC39" s="1317">
        <f t="shared" si="533"/>
        <v>2809</v>
      </c>
      <c r="AD39" s="1318">
        <f>+'9H20'!K37</f>
        <v>149464</v>
      </c>
      <c r="AE39" s="1248">
        <f>+'9H20'!E37</f>
        <v>17193</v>
      </c>
      <c r="AF39" s="1317">
        <f>'9H20'!C37</f>
        <v>200138</v>
      </c>
      <c r="AG39" s="1316">
        <f t="shared" si="534"/>
        <v>73168</v>
      </c>
      <c r="AH39" s="1248">
        <f t="shared" si="535"/>
        <v>75490</v>
      </c>
      <c r="AI39" s="850">
        <f t="shared" si="536"/>
        <v>155681</v>
      </c>
      <c r="AJ39" s="1248">
        <f t="shared" si="537"/>
        <v>115204</v>
      </c>
      <c r="AK39" s="830">
        <f t="shared" si="538"/>
        <v>148</v>
      </c>
      <c r="AL39" s="830">
        <f t="shared" si="539"/>
        <v>9925</v>
      </c>
      <c r="AM39" s="1317">
        <f t="shared" si="539"/>
        <v>-2322</v>
      </c>
      <c r="AN39" s="1318">
        <f>+'10H21'!K37</f>
        <v>140306</v>
      </c>
      <c r="AO39" s="1248">
        <f>+'10H21'!E37</f>
        <v>17738</v>
      </c>
      <c r="AP39" s="1317">
        <f>'10H21'!C37</f>
        <v>213474</v>
      </c>
      <c r="AQ39" s="1316">
        <f t="shared" si="540"/>
        <v>65616</v>
      </c>
      <c r="AR39" s="1248">
        <f t="shared" si="541"/>
        <v>63240</v>
      </c>
      <c r="AS39" s="850">
        <f t="shared" si="542"/>
        <v>157594</v>
      </c>
      <c r="AT39" s="1248">
        <f t="shared" si="543"/>
        <v>121005</v>
      </c>
      <c r="AU39" s="830">
        <f t="shared" si="544"/>
        <v>-1155</v>
      </c>
      <c r="AV39" s="830">
        <f t="shared" si="545"/>
        <v>10706</v>
      </c>
      <c r="AW39" s="1317">
        <f t="shared" si="545"/>
        <v>2376</v>
      </c>
      <c r="AX39" s="1318">
        <f>+'11H22'!K37</f>
        <v>143945</v>
      </c>
      <c r="AY39" s="1248">
        <f>+'11H22'!E37</f>
        <v>18154</v>
      </c>
      <c r="AZ39" s="1317">
        <f>'11H22'!C37</f>
        <v>209561</v>
      </c>
      <c r="BA39" s="1316">
        <f t="shared" si="546"/>
        <v>10874</v>
      </c>
      <c r="BB39" s="1248">
        <f t="shared" si="547"/>
        <v>8917</v>
      </c>
      <c r="BC39" s="850">
        <f t="shared" si="548"/>
        <v>156827</v>
      </c>
      <c r="BD39" s="1248">
        <f t="shared" si="549"/>
        <v>160320</v>
      </c>
      <c r="BE39" s="830">
        <f t="shared" si="550"/>
        <v>-787</v>
      </c>
      <c r="BF39" s="830">
        <f t="shared" si="551"/>
        <v>9989</v>
      </c>
      <c r="BG39" s="1317">
        <f t="shared" si="551"/>
        <v>1957</v>
      </c>
      <c r="BH39" s="1318">
        <f>+'12H23'!K37</f>
        <v>186865</v>
      </c>
      <c r="BI39" s="1248">
        <f>+'12H23'!E37</f>
        <v>17527</v>
      </c>
      <c r="BJ39" s="1317">
        <f>'12H23'!C37</f>
        <v>197739</v>
      </c>
      <c r="BK39" s="1316">
        <f t="shared" si="552"/>
        <v>10169</v>
      </c>
      <c r="BL39" s="1248">
        <f t="shared" si="553"/>
        <v>6822</v>
      </c>
      <c r="BM39" s="850">
        <f t="shared" si="554"/>
        <v>157233</v>
      </c>
      <c r="BN39" s="1248">
        <f t="shared" si="555"/>
        <v>164089</v>
      </c>
      <c r="BO39" s="830">
        <f t="shared" si="556"/>
        <v>-654</v>
      </c>
      <c r="BP39" s="830">
        <f t="shared" si="557"/>
        <v>9666</v>
      </c>
      <c r="BQ39" s="1317">
        <f t="shared" si="557"/>
        <v>3347</v>
      </c>
      <c r="BR39" s="1318">
        <f>+'13H24'!K37</f>
        <v>191651</v>
      </c>
      <c r="BS39" s="1248">
        <f>+'13H24'!E37</f>
        <v>17657</v>
      </c>
      <c r="BT39" s="1317">
        <f>'13H24'!C37</f>
        <v>201820</v>
      </c>
      <c r="BU39" s="1316">
        <f t="shared" si="558"/>
        <v>41164</v>
      </c>
      <c r="BV39" s="1248">
        <f t="shared" si="559"/>
        <v>38176</v>
      </c>
      <c r="BW39" s="850">
        <f t="shared" si="560"/>
        <v>166112</v>
      </c>
      <c r="BX39" s="1248">
        <f t="shared" si="561"/>
        <v>146930</v>
      </c>
      <c r="BY39" s="830">
        <f t="shared" si="562"/>
        <v>-685</v>
      </c>
      <c r="BZ39" s="830">
        <f t="shared" si="563"/>
        <v>9644</v>
      </c>
      <c r="CA39" s="1317">
        <f t="shared" si="563"/>
        <v>2988</v>
      </c>
      <c r="CB39" s="1318">
        <f>+'14H25'!K37</f>
        <v>171713</v>
      </c>
      <c r="CC39" s="1248">
        <f>+'14H25'!E37</f>
        <v>18329</v>
      </c>
      <c r="CD39" s="1317">
        <f>'14H25'!C37</f>
        <v>212877</v>
      </c>
      <c r="CE39" s="1316">
        <f t="shared" si="564"/>
        <v>47974</v>
      </c>
      <c r="CF39" s="1248">
        <f t="shared" si="565"/>
        <v>50187</v>
      </c>
      <c r="CG39" s="850">
        <f t="shared" si="566"/>
        <v>163824</v>
      </c>
      <c r="CH39" s="1248">
        <f t="shared" si="567"/>
        <v>133607</v>
      </c>
      <c r="CI39" s="830">
        <f t="shared" si="568"/>
        <v>-712</v>
      </c>
      <c r="CJ39" s="830">
        <f t="shared" si="569"/>
        <v>9982</v>
      </c>
      <c r="CK39" s="1317">
        <f t="shared" si="569"/>
        <v>-2213</v>
      </c>
      <c r="CL39" s="1318">
        <f>+'15H26'!K37</f>
        <v>155437</v>
      </c>
      <c r="CM39" s="1248">
        <f>+'15H26'!E37</f>
        <v>19049</v>
      </c>
      <c r="CN39" s="1317">
        <f>'15H26'!C37</f>
        <v>203411</v>
      </c>
      <c r="CO39" s="1316">
        <f t="shared" si="570"/>
        <v>55804</v>
      </c>
      <c r="CP39" s="1248">
        <f t="shared" si="571"/>
        <v>53415</v>
      </c>
      <c r="CQ39" s="850">
        <f t="shared" si="572"/>
        <v>163342</v>
      </c>
      <c r="CR39" s="1248">
        <f t="shared" si="573"/>
        <v>128759</v>
      </c>
      <c r="CS39" s="830">
        <f t="shared" si="574"/>
        <v>-736</v>
      </c>
      <c r="CT39" s="830">
        <f t="shared" si="575"/>
        <v>9924</v>
      </c>
      <c r="CU39" s="1317">
        <f t="shared" si="575"/>
        <v>2389</v>
      </c>
      <c r="CV39" s="1318">
        <f>+'16H27'!K37</f>
        <v>154883</v>
      </c>
      <c r="CW39" s="1248">
        <f>+'16H27'!E37</f>
        <v>19515</v>
      </c>
      <c r="CX39" s="1317">
        <f>'16H27'!C37</f>
        <v>210687</v>
      </c>
      <c r="CY39" s="1316">
        <f t="shared" si="576"/>
        <v>68413</v>
      </c>
      <c r="CZ39" s="1248">
        <f t="shared" si="577"/>
        <v>68603</v>
      </c>
      <c r="DA39" s="850">
        <f t="shared" si="578"/>
        <v>171785</v>
      </c>
      <c r="DB39" s="1248">
        <f t="shared" si="579"/>
        <v>130517</v>
      </c>
      <c r="DC39" s="830">
        <f t="shared" si="580"/>
        <v>-726</v>
      </c>
      <c r="DD39" s="830">
        <f t="shared" si="581"/>
        <v>10276</v>
      </c>
      <c r="DE39" s="1317">
        <f t="shared" si="581"/>
        <v>-190</v>
      </c>
      <c r="DF39" s="1318">
        <f>+'17H28'!K37</f>
        <v>161391</v>
      </c>
      <c r="DG39" s="1248">
        <f>+'17H28'!E37</f>
        <v>19984</v>
      </c>
      <c r="DH39" s="1317">
        <f>'17H28'!C37</f>
        <v>229804</v>
      </c>
      <c r="DI39" s="1316">
        <f t="shared" si="582"/>
        <v>89432</v>
      </c>
      <c r="DJ39" s="1248">
        <f t="shared" si="583"/>
        <v>98496</v>
      </c>
      <c r="DK39" s="850">
        <f t="shared" si="584"/>
        <v>196705</v>
      </c>
      <c r="DL39" s="1248">
        <f t="shared" si="585"/>
        <v>135048</v>
      </c>
      <c r="DM39" s="830">
        <f t="shared" si="586"/>
        <v>-628</v>
      </c>
      <c r="DN39" s="830">
        <f t="shared" si="587"/>
        <v>8746</v>
      </c>
      <c r="DO39" s="1317">
        <f t="shared" si="587"/>
        <v>-9064</v>
      </c>
      <c r="DP39" s="1318">
        <f>+'18H29'!K37</f>
        <v>162708</v>
      </c>
      <c r="DQ39" s="1248">
        <f>+'18H29'!E37</f>
        <v>18983</v>
      </c>
      <c r="DR39" s="1317">
        <f>+'18H29'!C37</f>
        <v>252140</v>
      </c>
      <c r="DS39" s="1316">
        <f t="shared" si="588"/>
        <v>96624</v>
      </c>
      <c r="DT39" s="1248">
        <f t="shared" si="589"/>
        <v>110634</v>
      </c>
      <c r="DU39" s="850">
        <f t="shared" si="590"/>
        <v>201337</v>
      </c>
      <c r="DV39" s="1248">
        <f t="shared" si="591"/>
        <v>134745</v>
      </c>
      <c r="DW39" s="830">
        <f t="shared" si="592"/>
        <v>-656</v>
      </c>
      <c r="DX39" s="830">
        <f t="shared" si="593"/>
        <v>8859</v>
      </c>
      <c r="DY39" s="1317">
        <f t="shared" si="593"/>
        <v>-14010</v>
      </c>
      <c r="DZ39" s="1318">
        <f>+'19H30'!K37</f>
        <v>158225</v>
      </c>
      <c r="EA39" s="1248">
        <f>+'19H30'!E37</f>
        <v>18818</v>
      </c>
      <c r="EB39" s="1317">
        <f>+'19H30'!C37</f>
        <v>254849</v>
      </c>
      <c r="EC39" s="1316">
        <f t="shared" si="594"/>
        <v>77976</v>
      </c>
      <c r="ED39" s="1248">
        <f t="shared" si="595"/>
        <v>97156</v>
      </c>
      <c r="EE39" s="850">
        <f t="shared" si="596"/>
        <v>191306</v>
      </c>
      <c r="EF39" s="1248">
        <f t="shared" si="597"/>
        <v>141648</v>
      </c>
      <c r="EG39" s="830">
        <f t="shared" si="598"/>
        <v>-598</v>
      </c>
      <c r="EH39" s="830">
        <f t="shared" si="599"/>
        <v>9408</v>
      </c>
      <c r="EI39" s="1317">
        <f t="shared" si="599"/>
        <v>-19180</v>
      </c>
      <c r="EJ39" s="1318">
        <f>+'20R1'!K37</f>
        <v>169110</v>
      </c>
      <c r="EK39" s="1248">
        <f>+'20R1'!E37</f>
        <v>20528</v>
      </c>
      <c r="EL39" s="1317">
        <f>+'20R1'!C37</f>
        <v>247086</v>
      </c>
      <c r="EM39" s="1316">
        <f t="shared" si="600"/>
        <v>88215</v>
      </c>
      <c r="EN39" s="1248">
        <f t="shared" si="601"/>
        <v>92512</v>
      </c>
      <c r="EO39" s="850">
        <f t="shared" si="602"/>
        <v>168548</v>
      </c>
      <c r="EP39" s="1248">
        <f t="shared" si="603"/>
        <v>117526</v>
      </c>
      <c r="EQ39" s="1336">
        <f t="shared" si="604"/>
        <v>-442</v>
      </c>
      <c r="ER39" s="1336">
        <f t="shared" si="605"/>
        <v>11008</v>
      </c>
      <c r="ES39" s="850">
        <f t="shared" si="606"/>
        <v>-4297</v>
      </c>
      <c r="ET39" s="1331">
        <f>'21R2'!K37</f>
        <v>146482</v>
      </c>
      <c r="EU39" s="1248">
        <f>'21R2'!E37</f>
        <v>24293</v>
      </c>
      <c r="EV39" s="1317">
        <f>+'21R2'!C37</f>
        <v>234697</v>
      </c>
      <c r="EW39" s="1392">
        <f t="shared" si="298"/>
        <v>62220</v>
      </c>
      <c r="EX39" s="1310">
        <f t="shared" si="607"/>
        <v>67181</v>
      </c>
      <c r="EY39" s="850">
        <f t="shared" si="608"/>
        <v>199895</v>
      </c>
      <c r="EZ39" s="1248">
        <f t="shared" si="609"/>
        <v>132714</v>
      </c>
      <c r="FA39" s="1336">
        <f t="shared" si="610"/>
        <v>-263</v>
      </c>
      <c r="FB39" s="1336">
        <f t="shared" si="611"/>
        <v>11453</v>
      </c>
      <c r="FC39" s="1689">
        <f t="shared" si="363"/>
        <v>-4961</v>
      </c>
      <c r="FD39" s="1414">
        <f>'22R3'!K37</f>
        <v>153417</v>
      </c>
      <c r="FE39" s="1310">
        <f>'22R3'!E37</f>
        <v>26000</v>
      </c>
      <c r="FF39" s="1690">
        <f>'22R3'!C37</f>
        <v>254100</v>
      </c>
      <c r="FG39" s="1392">
        <f t="shared" si="300"/>
        <v>28396</v>
      </c>
      <c r="FH39" s="1310">
        <f t="shared" si="612"/>
        <v>33357</v>
      </c>
      <c r="FI39" s="850">
        <f t="shared" si="613"/>
        <v>198815</v>
      </c>
      <c r="FJ39" s="1248">
        <f t="shared" si="614"/>
        <v>165458</v>
      </c>
      <c r="FK39" s="1336">
        <f t="shared" si="615"/>
        <v>-445</v>
      </c>
      <c r="FL39" s="1336">
        <f t="shared" si="616"/>
        <v>12696</v>
      </c>
      <c r="FM39" s="1398">
        <f t="shared" si="302"/>
        <v>-4961</v>
      </c>
      <c r="FN39" s="1748">
        <f>'23R4'!K37</f>
        <v>178332</v>
      </c>
      <c r="FO39" s="1332">
        <f>'23R4'!E37</f>
        <v>27809</v>
      </c>
      <c r="FP39" s="1690">
        <f>'23R4'!C37</f>
        <v>245023</v>
      </c>
      <c r="FQ39" s="1310"/>
      <c r="FR39" s="1392">
        <f t="shared" si="303"/>
        <v>33655</v>
      </c>
      <c r="FS39" s="1310">
        <f t="shared" si="617"/>
        <v>38616</v>
      </c>
      <c r="FT39" s="868">
        <f t="shared" si="618"/>
        <v>199307</v>
      </c>
      <c r="FU39" s="1248">
        <f t="shared" si="619"/>
        <v>160691</v>
      </c>
      <c r="FV39" s="1336">
        <f t="shared" si="620"/>
        <v>-439</v>
      </c>
      <c r="FW39" s="1336">
        <f t="shared" si="621"/>
        <v>13379</v>
      </c>
      <c r="FX39" s="1398">
        <f t="shared" si="335"/>
        <v>-4961</v>
      </c>
      <c r="FY39" s="1332">
        <f>'24R5'!K37</f>
        <v>175946</v>
      </c>
      <c r="FZ39" s="1332">
        <f>'24R5'!E37</f>
        <v>29295</v>
      </c>
      <c r="GA39" s="1319">
        <v>207386</v>
      </c>
      <c r="GB39" s="1392">
        <f t="shared" si="305"/>
        <v>19923</v>
      </c>
      <c r="GC39" s="1310">
        <f t="shared" si="622"/>
        <v>24884</v>
      </c>
      <c r="GD39" s="868">
        <f t="shared" si="623"/>
        <v>213037</v>
      </c>
      <c r="GE39" s="1248">
        <f t="shared" si="624"/>
        <v>188153</v>
      </c>
      <c r="GF39" s="1336">
        <f t="shared" si="625"/>
        <v>-459</v>
      </c>
      <c r="GG39" s="1336">
        <f t="shared" si="626"/>
        <v>6543</v>
      </c>
      <c r="GH39" s="1398">
        <f t="shared" si="338"/>
        <v>-4961</v>
      </c>
      <c r="GI39" s="1332">
        <f>'25R6'!K37</f>
        <v>203025</v>
      </c>
      <c r="GJ39" s="1332">
        <f>'25R6'!E37</f>
        <v>29200</v>
      </c>
      <c r="GK39" s="1319">
        <v>207386</v>
      </c>
      <c r="GL39" s="1392">
        <f t="shared" si="307"/>
        <v>2905</v>
      </c>
      <c r="GM39" s="1310">
        <f t="shared" si="627"/>
        <v>7866</v>
      </c>
      <c r="GN39" s="868">
        <f t="shared" si="628"/>
        <v>199396</v>
      </c>
      <c r="GO39" s="1248">
        <f t="shared" si="629"/>
        <v>191530</v>
      </c>
      <c r="GP39" s="1336">
        <f t="shared" si="630"/>
        <v>-431</v>
      </c>
      <c r="GQ39" s="1336">
        <f t="shared" si="631"/>
        <v>6631</v>
      </c>
      <c r="GR39" s="1406">
        <f t="shared" si="341"/>
        <v>-4961</v>
      </c>
      <c r="GS39" s="1748">
        <f>'26R7'!K37</f>
        <v>208139</v>
      </c>
      <c r="GT39" s="1332">
        <f>'26R7'!E37</f>
        <v>30909</v>
      </c>
      <c r="GU39" s="1398">
        <v>208139</v>
      </c>
      <c r="GV39" s="1392">
        <f t="shared" si="309"/>
        <v>4866</v>
      </c>
      <c r="GW39" s="1310">
        <f t="shared" si="632"/>
        <v>9827</v>
      </c>
      <c r="GX39" s="868">
        <f t="shared" si="633"/>
        <v>203308</v>
      </c>
      <c r="GY39" s="1248">
        <f t="shared" si="634"/>
        <v>193481</v>
      </c>
      <c r="GZ39" s="1336">
        <f t="shared" si="635"/>
        <v>-439</v>
      </c>
      <c r="HA39" s="1336">
        <f t="shared" si="636"/>
        <v>-1696</v>
      </c>
      <c r="HB39" s="1406">
        <f t="shared" si="344"/>
        <v>-4961</v>
      </c>
      <c r="HC39" s="1748">
        <f>'27R8'!U37</f>
        <v>195983</v>
      </c>
      <c r="HD39" s="1690">
        <f>'27R8'!O37</f>
        <v>1752</v>
      </c>
      <c r="HE39" s="1398">
        <v>211230</v>
      </c>
      <c r="HF39" s="1392">
        <f t="shared" si="311"/>
        <v>5463</v>
      </c>
      <c r="HG39" s="1310">
        <f t="shared" si="637"/>
        <v>10424</v>
      </c>
      <c r="HH39" s="868">
        <f t="shared" si="638"/>
        <v>208551</v>
      </c>
      <c r="HI39" s="1248">
        <f t="shared" si="639"/>
        <v>198127</v>
      </c>
      <c r="HJ39" s="1336">
        <f t="shared" si="640"/>
        <v>-450</v>
      </c>
      <c r="HK39" s="1336">
        <f t="shared" si="641"/>
        <v>-1696</v>
      </c>
      <c r="HL39" s="1406">
        <f t="shared" si="347"/>
        <v>-4961</v>
      </c>
      <c r="HM39" s="1748">
        <f>'28R9'!U37</f>
        <v>195983</v>
      </c>
      <c r="HN39" s="1332">
        <f>'28R9'!O37</f>
        <v>1752</v>
      </c>
      <c r="HO39" s="1398">
        <v>214373</v>
      </c>
      <c r="HQ39" s="1310">
        <f>市町名目!J38</f>
        <v>247086</v>
      </c>
      <c r="HR39" s="1310">
        <f>市町名目!K38</f>
        <v>234697</v>
      </c>
      <c r="HS39" s="1310">
        <f>市町名目!L38</f>
        <v>254100</v>
      </c>
      <c r="HT39" s="1310">
        <f>市町名目!M38</f>
        <v>245023</v>
      </c>
      <c r="HU39" s="1310">
        <f>市町名目!N38</f>
        <v>257009</v>
      </c>
      <c r="HV39" s="1054">
        <v>220547</v>
      </c>
      <c r="HW39" s="1030">
        <v>250205</v>
      </c>
      <c r="HX39" s="1030">
        <v>211230</v>
      </c>
      <c r="HY39" s="1030">
        <v>214373</v>
      </c>
    </row>
    <row r="40" spans="1:233" ht="12.5">
      <c r="A40" s="1334">
        <v>228</v>
      </c>
      <c r="B40" s="1335" t="s">
        <v>239</v>
      </c>
      <c r="C40" s="1316">
        <f t="shared" si="516"/>
        <v>117079</v>
      </c>
      <c r="D40" s="1248">
        <f t="shared" si="517"/>
        <v>114543</v>
      </c>
      <c r="E40" s="850">
        <f t="shared" si="518"/>
        <v>218186</v>
      </c>
      <c r="F40" s="1248">
        <f t="shared" si="519"/>
        <v>118836</v>
      </c>
      <c r="G40" s="830">
        <f t="shared" si="520"/>
        <v>-348</v>
      </c>
      <c r="H40" s="830">
        <f t="shared" si="521"/>
        <v>10991</v>
      </c>
      <c r="I40" s="1317">
        <f t="shared" si="521"/>
        <v>2536</v>
      </c>
      <c r="J40" s="1318">
        <f>'7H18'!K38</f>
        <v>139259</v>
      </c>
      <c r="K40" s="1248">
        <f>+'7H18'!E38</f>
        <v>16903</v>
      </c>
      <c r="L40" s="1317">
        <f>'7H18'!C38</f>
        <v>256338</v>
      </c>
      <c r="M40" s="1316">
        <f t="shared" si="522"/>
        <v>70507</v>
      </c>
      <c r="N40" s="1248">
        <f t="shared" si="523"/>
        <v>66521</v>
      </c>
      <c r="O40" s="850">
        <f t="shared" si="524"/>
        <v>219918</v>
      </c>
      <c r="P40" s="1248">
        <f t="shared" si="525"/>
        <v>150984</v>
      </c>
      <c r="Q40" s="830">
        <f t="shared" si="526"/>
        <v>-527</v>
      </c>
      <c r="R40" s="830">
        <f t="shared" si="527"/>
        <v>10818</v>
      </c>
      <c r="S40" s="1317">
        <f t="shared" si="527"/>
        <v>3986</v>
      </c>
      <c r="T40" s="1318">
        <f>+'8H19'!K38</f>
        <v>169841</v>
      </c>
      <c r="U40" s="1248">
        <f>+'8H19'!E38</f>
        <v>16776</v>
      </c>
      <c r="V40" s="1317">
        <f>'8H19'!C38</f>
        <v>240348</v>
      </c>
      <c r="W40" s="1316">
        <f t="shared" si="528"/>
        <v>111378</v>
      </c>
      <c r="X40" s="1248">
        <f t="shared" si="529"/>
        <v>107870</v>
      </c>
      <c r="Y40" s="850">
        <f t="shared" si="530"/>
        <v>209510</v>
      </c>
      <c r="Z40" s="1248">
        <f t="shared" si="531"/>
        <v>122315</v>
      </c>
      <c r="AA40" s="830">
        <f t="shared" si="532"/>
        <v>-1348</v>
      </c>
      <c r="AB40" s="830">
        <f t="shared" si="533"/>
        <v>10247</v>
      </c>
      <c r="AC40" s="1317">
        <f t="shared" si="533"/>
        <v>3508</v>
      </c>
      <c r="AD40" s="1318">
        <f>+'9H20'!K38</f>
        <v>138621</v>
      </c>
      <c r="AE40" s="1248">
        <f>+'9H20'!E38</f>
        <v>17161</v>
      </c>
      <c r="AF40" s="1317">
        <f>'9H20'!C38</f>
        <v>249999</v>
      </c>
      <c r="AG40" s="1316">
        <f t="shared" si="534"/>
        <v>137668</v>
      </c>
      <c r="AH40" s="1248">
        <f t="shared" si="535"/>
        <v>140529</v>
      </c>
      <c r="AI40" s="850">
        <f t="shared" si="536"/>
        <v>191784</v>
      </c>
      <c r="AJ40" s="1248">
        <f t="shared" si="537"/>
        <v>102893</v>
      </c>
      <c r="AK40" s="830">
        <f t="shared" si="538"/>
        <v>182</v>
      </c>
      <c r="AL40" s="830">
        <f t="shared" si="539"/>
        <v>10301</v>
      </c>
      <c r="AM40" s="1317">
        <f t="shared" si="539"/>
        <v>-2861</v>
      </c>
      <c r="AN40" s="1318">
        <f>+'10H21'!K38</f>
        <v>125312</v>
      </c>
      <c r="AO40" s="1248">
        <f>+'10H21'!E38</f>
        <v>18411</v>
      </c>
      <c r="AP40" s="1317">
        <f>'10H21'!C38</f>
        <v>262980</v>
      </c>
      <c r="AQ40" s="1316">
        <f t="shared" si="540"/>
        <v>142345</v>
      </c>
      <c r="AR40" s="1248">
        <f t="shared" si="541"/>
        <v>139224</v>
      </c>
      <c r="AS40" s="850">
        <f t="shared" si="542"/>
        <v>206995</v>
      </c>
      <c r="AT40" s="1248">
        <f t="shared" si="543"/>
        <v>111727</v>
      </c>
      <c r="AU40" s="830">
        <f t="shared" si="544"/>
        <v>-1517</v>
      </c>
      <c r="AV40" s="830">
        <f t="shared" si="545"/>
        <v>10634</v>
      </c>
      <c r="AW40" s="1317">
        <f t="shared" si="545"/>
        <v>3121</v>
      </c>
      <c r="AX40" s="1318">
        <f>+'11H22'!K38</f>
        <v>132908</v>
      </c>
      <c r="AY40" s="1248">
        <f>+'11H22'!E38</f>
        <v>18032</v>
      </c>
      <c r="AZ40" s="1317">
        <f>'11H22'!C38</f>
        <v>275253</v>
      </c>
      <c r="BA40" s="1316">
        <f t="shared" si="546"/>
        <v>73532</v>
      </c>
      <c r="BB40" s="1248">
        <f t="shared" si="547"/>
        <v>71175</v>
      </c>
      <c r="BC40" s="850">
        <f t="shared" si="548"/>
        <v>188883</v>
      </c>
      <c r="BD40" s="1248">
        <f t="shared" si="549"/>
        <v>141240</v>
      </c>
      <c r="BE40" s="830">
        <f t="shared" si="550"/>
        <v>-948</v>
      </c>
      <c r="BF40" s="830">
        <f t="shared" si="551"/>
        <v>9700</v>
      </c>
      <c r="BG40" s="1317">
        <f t="shared" si="551"/>
        <v>2357</v>
      </c>
      <c r="BH40" s="1318">
        <f>+'12H23'!K38</f>
        <v>164626</v>
      </c>
      <c r="BI40" s="1248">
        <f>+'12H23'!E38</f>
        <v>17020</v>
      </c>
      <c r="BJ40" s="1317">
        <f>'12H23'!C38</f>
        <v>238158</v>
      </c>
      <c r="BK40" s="1316">
        <f t="shared" si="552"/>
        <v>88106</v>
      </c>
      <c r="BL40" s="1248">
        <f t="shared" si="553"/>
        <v>84285</v>
      </c>
      <c r="BM40" s="850">
        <f t="shared" si="554"/>
        <v>179533</v>
      </c>
      <c r="BN40" s="1248">
        <f t="shared" si="555"/>
        <v>121867</v>
      </c>
      <c r="BO40" s="830">
        <f t="shared" si="556"/>
        <v>-746</v>
      </c>
      <c r="BP40" s="830">
        <f t="shared" si="557"/>
        <v>9626</v>
      </c>
      <c r="BQ40" s="1317">
        <f t="shared" si="557"/>
        <v>3821</v>
      </c>
      <c r="BR40" s="1318">
        <f>+'13H24'!K38</f>
        <v>142337</v>
      </c>
      <c r="BS40" s="1248">
        <f>+'13H24'!E38</f>
        <v>17584</v>
      </c>
      <c r="BT40" s="1317">
        <f>'13H24'!C38</f>
        <v>230443</v>
      </c>
      <c r="BU40" s="1316">
        <f t="shared" si="558"/>
        <v>79080</v>
      </c>
      <c r="BV40" s="1248">
        <f t="shared" si="559"/>
        <v>75859</v>
      </c>
      <c r="BW40" s="850">
        <f t="shared" si="560"/>
        <v>179090</v>
      </c>
      <c r="BX40" s="1248">
        <f t="shared" si="561"/>
        <v>128718</v>
      </c>
      <c r="BY40" s="830">
        <f t="shared" si="562"/>
        <v>-738</v>
      </c>
      <c r="BZ40" s="830">
        <f t="shared" si="563"/>
        <v>9742</v>
      </c>
      <c r="CA40" s="1317">
        <f t="shared" si="563"/>
        <v>3221</v>
      </c>
      <c r="CB40" s="1318">
        <f>+'14H25'!K38</f>
        <v>150429</v>
      </c>
      <c r="CC40" s="1248">
        <f>+'14H25'!E38</f>
        <v>18515</v>
      </c>
      <c r="CD40" s="1317">
        <f>'14H25'!C38</f>
        <v>229509</v>
      </c>
      <c r="CE40" s="1316">
        <f t="shared" si="564"/>
        <v>103650</v>
      </c>
      <c r="CF40" s="1248">
        <f t="shared" si="565"/>
        <v>106338</v>
      </c>
      <c r="CG40" s="850">
        <f t="shared" si="566"/>
        <v>198988</v>
      </c>
      <c r="CH40" s="1248">
        <f t="shared" si="567"/>
        <v>123280</v>
      </c>
      <c r="CI40" s="830">
        <f t="shared" si="568"/>
        <v>-865</v>
      </c>
      <c r="CJ40" s="830">
        <f t="shared" si="569"/>
        <v>10164</v>
      </c>
      <c r="CK40" s="1317">
        <f t="shared" si="569"/>
        <v>-2688</v>
      </c>
      <c r="CL40" s="1318">
        <f>+'15H26'!K38</f>
        <v>143422</v>
      </c>
      <c r="CM40" s="1248">
        <f>+'15H26'!E38</f>
        <v>19397</v>
      </c>
      <c r="CN40" s="1317">
        <f>'15H26'!C38</f>
        <v>247072</v>
      </c>
      <c r="CO40" s="1316">
        <f t="shared" si="570"/>
        <v>85198</v>
      </c>
      <c r="CP40" s="1248">
        <f t="shared" si="571"/>
        <v>82531</v>
      </c>
      <c r="CQ40" s="850">
        <f t="shared" si="572"/>
        <v>182357</v>
      </c>
      <c r="CR40" s="1248">
        <f t="shared" si="573"/>
        <v>124713</v>
      </c>
      <c r="CS40" s="830">
        <f t="shared" si="574"/>
        <v>-822</v>
      </c>
      <c r="CT40" s="830">
        <f t="shared" si="575"/>
        <v>10284</v>
      </c>
      <c r="CU40" s="1317">
        <f t="shared" si="575"/>
        <v>2667</v>
      </c>
      <c r="CV40" s="1318">
        <f>+'16H27'!K38</f>
        <v>150016</v>
      </c>
      <c r="CW40" s="1248">
        <f>+'16H27'!E38</f>
        <v>20222</v>
      </c>
      <c r="CX40" s="1317">
        <f>'16H27'!C38</f>
        <v>235214</v>
      </c>
      <c r="CY40" s="1316">
        <f t="shared" si="576"/>
        <v>120797</v>
      </c>
      <c r="CZ40" s="1248">
        <f t="shared" si="577"/>
        <v>121020</v>
      </c>
      <c r="DA40" s="850">
        <f t="shared" si="578"/>
        <v>201562</v>
      </c>
      <c r="DB40" s="1248">
        <f t="shared" si="579"/>
        <v>120369</v>
      </c>
      <c r="DC40" s="830">
        <f t="shared" si="580"/>
        <v>-852</v>
      </c>
      <c r="DD40" s="830">
        <f t="shared" si="581"/>
        <v>10188</v>
      </c>
      <c r="DE40" s="1317">
        <f t="shared" si="581"/>
        <v>-223</v>
      </c>
      <c r="DF40" s="1318">
        <f>+'17H28'!K38</f>
        <v>148842</v>
      </c>
      <c r="DG40" s="1248">
        <f>+'17H28'!E38</f>
        <v>19813</v>
      </c>
      <c r="DH40" s="1317">
        <f>'17H28'!C38</f>
        <v>269639</v>
      </c>
      <c r="DI40" s="1316">
        <f t="shared" si="582"/>
        <v>115526</v>
      </c>
      <c r="DJ40" s="1248">
        <f t="shared" si="583"/>
        <v>125670</v>
      </c>
      <c r="DK40" s="850">
        <f t="shared" si="584"/>
        <v>220144</v>
      </c>
      <c r="DL40" s="1248">
        <f t="shared" si="585"/>
        <v>138326</v>
      </c>
      <c r="DM40" s="830">
        <f t="shared" si="586"/>
        <v>-702</v>
      </c>
      <c r="DN40" s="830">
        <f t="shared" si="587"/>
        <v>8450</v>
      </c>
      <c r="DO40" s="1317">
        <f t="shared" si="587"/>
        <v>-10144</v>
      </c>
      <c r="DP40" s="1318">
        <f>+'18H29'!K38</f>
        <v>166658</v>
      </c>
      <c r="DQ40" s="1248">
        <f>+'18H29'!E38</f>
        <v>18339</v>
      </c>
      <c r="DR40" s="1317">
        <f>+'18H29'!C38</f>
        <v>282184</v>
      </c>
      <c r="DS40" s="1316">
        <f t="shared" si="588"/>
        <v>100359</v>
      </c>
      <c r="DT40" s="1248">
        <f t="shared" si="589"/>
        <v>114706</v>
      </c>
      <c r="DU40" s="850">
        <f t="shared" si="590"/>
        <v>206179</v>
      </c>
      <c r="DV40" s="1248">
        <f t="shared" si="591"/>
        <v>136783</v>
      </c>
      <c r="DW40" s="830">
        <f t="shared" si="592"/>
        <v>-672</v>
      </c>
      <c r="DX40" s="830">
        <f t="shared" si="593"/>
        <v>8870</v>
      </c>
      <c r="DY40" s="1317">
        <f t="shared" si="593"/>
        <v>-14347</v>
      </c>
      <c r="DZ40" s="1318">
        <f>+'19H30'!K38</f>
        <v>160619</v>
      </c>
      <c r="EA40" s="1248">
        <f>+'19H30'!E38</f>
        <v>18842</v>
      </c>
      <c r="EB40" s="1317">
        <f>+'19H30'!C38</f>
        <v>260978</v>
      </c>
      <c r="EC40" s="1316">
        <f t="shared" si="594"/>
        <v>93777</v>
      </c>
      <c r="ED40" s="1248">
        <f t="shared" si="595"/>
        <v>114973</v>
      </c>
      <c r="EE40" s="850">
        <f t="shared" si="596"/>
        <v>211415</v>
      </c>
      <c r="EF40" s="1248">
        <f t="shared" si="597"/>
        <v>150167</v>
      </c>
      <c r="EG40" s="830">
        <f t="shared" si="598"/>
        <v>-660</v>
      </c>
      <c r="EH40" s="830">
        <f t="shared" si="599"/>
        <v>8937</v>
      </c>
      <c r="EI40" s="1317">
        <f t="shared" si="599"/>
        <v>-21196</v>
      </c>
      <c r="EJ40" s="1318">
        <f>+'20R1'!K38</f>
        <v>179281</v>
      </c>
      <c r="EK40" s="1248">
        <f>+'20R1'!E38</f>
        <v>19502</v>
      </c>
      <c r="EL40" s="1317">
        <f>+'20R1'!C38</f>
        <v>273058</v>
      </c>
      <c r="EM40" s="1316">
        <f t="shared" si="600"/>
        <v>119223</v>
      </c>
      <c r="EN40" s="1248">
        <f t="shared" si="601"/>
        <v>124411</v>
      </c>
      <c r="EO40" s="850">
        <f t="shared" si="602"/>
        <v>203463</v>
      </c>
      <c r="EP40" s="1248">
        <f t="shared" si="603"/>
        <v>131654</v>
      </c>
      <c r="EQ40" s="1336">
        <f t="shared" si="604"/>
        <v>-533</v>
      </c>
      <c r="ER40" s="1336">
        <f t="shared" si="605"/>
        <v>10172</v>
      </c>
      <c r="ES40" s="850">
        <f t="shared" si="606"/>
        <v>-5188</v>
      </c>
      <c r="ET40" s="1331">
        <f>'21R2'!K38</f>
        <v>164092</v>
      </c>
      <c r="EU40" s="1248">
        <f>'21R2'!E38</f>
        <v>22448</v>
      </c>
      <c r="EV40" s="1317">
        <f>+'21R2'!C38</f>
        <v>283315</v>
      </c>
      <c r="EW40" s="1392">
        <f t="shared" si="298"/>
        <v>47665</v>
      </c>
      <c r="EX40" s="1310">
        <f t="shared" si="607"/>
        <v>52907</v>
      </c>
      <c r="EY40" s="850">
        <f t="shared" si="608"/>
        <v>211218</v>
      </c>
      <c r="EZ40" s="1248">
        <f t="shared" si="609"/>
        <v>158311</v>
      </c>
      <c r="FA40" s="1336">
        <f t="shared" si="610"/>
        <v>-278</v>
      </c>
      <c r="FB40" s="1336">
        <f t="shared" si="611"/>
        <v>10276</v>
      </c>
      <c r="FC40" s="1689">
        <f t="shared" si="363"/>
        <v>-5242</v>
      </c>
      <c r="FD40" s="1414">
        <f>'22R3'!K38</f>
        <v>183007</v>
      </c>
      <c r="FE40" s="1310">
        <f>'22R3'!E38</f>
        <v>23328</v>
      </c>
      <c r="FF40" s="1690">
        <f>'22R3'!C38</f>
        <v>268493</v>
      </c>
      <c r="FG40" s="1392">
        <f t="shared" si="300"/>
        <v>35296</v>
      </c>
      <c r="FH40" s="1310">
        <f t="shared" si="612"/>
        <v>40538</v>
      </c>
      <c r="FI40" s="850">
        <f t="shared" si="613"/>
        <v>201909</v>
      </c>
      <c r="FJ40" s="1248">
        <f t="shared" si="614"/>
        <v>161371</v>
      </c>
      <c r="FK40" s="1336">
        <f t="shared" si="615"/>
        <v>-452</v>
      </c>
      <c r="FL40" s="1336">
        <f t="shared" si="616"/>
        <v>10364</v>
      </c>
      <c r="FM40" s="1398">
        <f t="shared" si="302"/>
        <v>-5242</v>
      </c>
      <c r="FN40" s="1748">
        <f>'23R4'!K38</f>
        <v>173927</v>
      </c>
      <c r="FO40" s="1332">
        <f>'23R4'!E38</f>
        <v>22700</v>
      </c>
      <c r="FP40" s="1690">
        <f>'23R4'!C38</f>
        <v>248836</v>
      </c>
      <c r="FQ40" s="1310"/>
      <c r="FR40" s="1392">
        <f t="shared" si="303"/>
        <v>44221</v>
      </c>
      <c r="FS40" s="1310">
        <f t="shared" si="617"/>
        <v>49463</v>
      </c>
      <c r="FT40" s="868">
        <f t="shared" si="618"/>
        <v>209204</v>
      </c>
      <c r="FU40" s="1248">
        <f t="shared" si="619"/>
        <v>159741</v>
      </c>
      <c r="FV40" s="1336">
        <f t="shared" si="620"/>
        <v>-461</v>
      </c>
      <c r="FW40" s="1336">
        <f t="shared" si="621"/>
        <v>10566</v>
      </c>
      <c r="FX40" s="1398">
        <f t="shared" si="335"/>
        <v>-5242</v>
      </c>
      <c r="FY40" s="1332">
        <f>'24R5'!K38</f>
        <v>174905</v>
      </c>
      <c r="FZ40" s="1332">
        <f>'24R5'!E38</f>
        <v>23135</v>
      </c>
      <c r="GA40" s="1319">
        <v>217684</v>
      </c>
      <c r="GB40" s="1392">
        <f t="shared" si="305"/>
        <v>31729</v>
      </c>
      <c r="GC40" s="1310">
        <f t="shared" si="622"/>
        <v>36971</v>
      </c>
      <c r="GD40" s="868">
        <f t="shared" si="623"/>
        <v>223615</v>
      </c>
      <c r="GE40" s="1248">
        <f t="shared" si="624"/>
        <v>186644</v>
      </c>
      <c r="GF40" s="1336">
        <f t="shared" si="625"/>
        <v>-482</v>
      </c>
      <c r="GG40" s="1336">
        <f t="shared" si="626"/>
        <v>5792</v>
      </c>
      <c r="GH40" s="1398">
        <f t="shared" si="338"/>
        <v>-5242</v>
      </c>
      <c r="GI40" s="1332">
        <f>'25R6'!K38</f>
        <v>201397</v>
      </c>
      <c r="GJ40" s="1332">
        <f>'25R6'!E38</f>
        <v>25848</v>
      </c>
      <c r="GK40" s="1319">
        <v>217684</v>
      </c>
      <c r="GL40" s="1392">
        <f t="shared" si="307"/>
        <v>2940</v>
      </c>
      <c r="GM40" s="1310">
        <f t="shared" si="627"/>
        <v>8182</v>
      </c>
      <c r="GN40" s="868">
        <f t="shared" si="628"/>
        <v>207420</v>
      </c>
      <c r="GO40" s="1248">
        <f t="shared" si="629"/>
        <v>199238</v>
      </c>
      <c r="GP40" s="1336">
        <f t="shared" si="630"/>
        <v>-448</v>
      </c>
      <c r="GQ40" s="1336">
        <f t="shared" si="631"/>
        <v>5508</v>
      </c>
      <c r="GR40" s="1406">
        <f t="shared" si="341"/>
        <v>-5242</v>
      </c>
      <c r="GS40" s="1748">
        <f>'26R7'!K38</f>
        <v>216515</v>
      </c>
      <c r="GT40" s="1332">
        <f>'26R7'!E38</f>
        <v>25677</v>
      </c>
      <c r="GU40" s="1398">
        <v>216515</v>
      </c>
      <c r="GV40" s="1392">
        <f t="shared" si="309"/>
        <v>-4579</v>
      </c>
      <c r="GW40" s="1310">
        <f t="shared" si="632"/>
        <v>663</v>
      </c>
      <c r="GX40" s="868">
        <f t="shared" si="633"/>
        <v>211859</v>
      </c>
      <c r="GY40" s="1248">
        <f t="shared" si="634"/>
        <v>211196</v>
      </c>
      <c r="GZ40" s="1336">
        <f t="shared" si="635"/>
        <v>-458</v>
      </c>
      <c r="HA40" s="1336">
        <f t="shared" si="636"/>
        <v>-2231</v>
      </c>
      <c r="HB40" s="1406">
        <f t="shared" si="344"/>
        <v>-5242</v>
      </c>
      <c r="HC40" s="1748">
        <f>'27R8'!U38</f>
        <v>213927</v>
      </c>
      <c r="HD40" s="1690">
        <f>'27R8'!O38</f>
        <v>2305</v>
      </c>
      <c r="HE40" s="1398">
        <v>220114</v>
      </c>
      <c r="HF40" s="1392">
        <f t="shared" si="311"/>
        <v>-5378</v>
      </c>
      <c r="HG40" s="1310">
        <f t="shared" si="637"/>
        <v>-136</v>
      </c>
      <c r="HH40" s="868">
        <f t="shared" si="638"/>
        <v>216131</v>
      </c>
      <c r="HI40" s="1248">
        <f t="shared" si="639"/>
        <v>216267</v>
      </c>
      <c r="HJ40" s="1336">
        <f t="shared" si="640"/>
        <v>-467</v>
      </c>
      <c r="HK40" s="1336">
        <f t="shared" si="641"/>
        <v>-2231</v>
      </c>
      <c r="HL40" s="1406">
        <f t="shared" si="347"/>
        <v>-5242</v>
      </c>
      <c r="HM40" s="1748">
        <f>'28R9'!U38</f>
        <v>213927</v>
      </c>
      <c r="HN40" s="1332">
        <f>'28R9'!O38</f>
        <v>2305</v>
      </c>
      <c r="HO40" s="1398">
        <v>222164</v>
      </c>
      <c r="HQ40" s="1310">
        <f>市町名目!J39</f>
        <v>273058</v>
      </c>
      <c r="HR40" s="1310">
        <f>市町名目!K39</f>
        <v>283315</v>
      </c>
      <c r="HS40" s="1310">
        <f>市町名目!L39</f>
        <v>268493</v>
      </c>
      <c r="HT40" s="1310">
        <f>市町名目!M39</f>
        <v>248836</v>
      </c>
      <c r="HU40" s="1310">
        <f>市町名目!N39</f>
        <v>239288</v>
      </c>
      <c r="HV40" s="1054">
        <v>251538</v>
      </c>
      <c r="HW40" s="1030">
        <v>263491</v>
      </c>
      <c r="HX40" s="1030">
        <v>220114</v>
      </c>
      <c r="HY40" s="1030">
        <v>222164</v>
      </c>
    </row>
    <row r="41" spans="1:233" ht="12.5">
      <c r="A41" s="1334">
        <v>365</v>
      </c>
      <c r="B41" s="1335" t="s">
        <v>233</v>
      </c>
      <c r="C41" s="1316">
        <f t="shared" si="516"/>
        <v>-1423</v>
      </c>
      <c r="D41" s="1248">
        <f t="shared" si="517"/>
        <v>-2058</v>
      </c>
      <c r="E41" s="850">
        <f t="shared" si="518"/>
        <v>54652</v>
      </c>
      <c r="F41" s="1248">
        <f t="shared" si="519"/>
        <v>56006</v>
      </c>
      <c r="G41" s="830">
        <f t="shared" si="520"/>
        <v>-87</v>
      </c>
      <c r="H41" s="830">
        <f t="shared" si="521"/>
        <v>7357</v>
      </c>
      <c r="I41" s="1317">
        <f t="shared" si="521"/>
        <v>635</v>
      </c>
      <c r="J41" s="1318">
        <f>'7H18'!K39</f>
        <v>65631</v>
      </c>
      <c r="K41" s="1248">
        <f>+'7H18'!E39</f>
        <v>11314</v>
      </c>
      <c r="L41" s="1317">
        <f>'7H18'!C39</f>
        <v>64208</v>
      </c>
      <c r="M41" s="1316">
        <f t="shared" si="522"/>
        <v>-2583</v>
      </c>
      <c r="N41" s="1248">
        <f t="shared" si="523"/>
        <v>-3619</v>
      </c>
      <c r="O41" s="850">
        <f t="shared" si="524"/>
        <v>57169</v>
      </c>
      <c r="P41" s="1248">
        <f t="shared" si="525"/>
        <v>57839</v>
      </c>
      <c r="Q41" s="830">
        <f t="shared" si="526"/>
        <v>-137</v>
      </c>
      <c r="R41" s="830">
        <f t="shared" si="527"/>
        <v>7623</v>
      </c>
      <c r="S41" s="1317">
        <f t="shared" si="527"/>
        <v>1036</v>
      </c>
      <c r="T41" s="1318">
        <f>+'8H19'!K39</f>
        <v>65063</v>
      </c>
      <c r="U41" s="1248">
        <f>+'8H19'!E39</f>
        <v>11822</v>
      </c>
      <c r="V41" s="1317">
        <f>'8H19'!C39</f>
        <v>62480</v>
      </c>
      <c r="W41" s="1316">
        <f t="shared" si="528"/>
        <v>-479</v>
      </c>
      <c r="X41" s="1248">
        <f t="shared" si="529"/>
        <v>-1372</v>
      </c>
      <c r="Y41" s="850">
        <f t="shared" si="530"/>
        <v>53353</v>
      </c>
      <c r="Z41" s="1248">
        <f t="shared" si="531"/>
        <v>56598</v>
      </c>
      <c r="AA41" s="830">
        <f t="shared" si="532"/>
        <v>-343</v>
      </c>
      <c r="AB41" s="830">
        <f t="shared" si="533"/>
        <v>7197</v>
      </c>
      <c r="AC41" s="1317">
        <f t="shared" si="533"/>
        <v>893</v>
      </c>
      <c r="AD41" s="1318">
        <f>+'9H20'!K39</f>
        <v>64143</v>
      </c>
      <c r="AE41" s="1248">
        <f>+'9H20'!E39</f>
        <v>12054</v>
      </c>
      <c r="AF41" s="1317">
        <f>'9H20'!C39</f>
        <v>63664</v>
      </c>
      <c r="AG41" s="1316">
        <f t="shared" si="534"/>
        <v>-1621</v>
      </c>
      <c r="AH41" s="1248">
        <f t="shared" si="535"/>
        <v>-965</v>
      </c>
      <c r="AI41" s="850">
        <f t="shared" si="536"/>
        <v>43987</v>
      </c>
      <c r="AJ41" s="1248">
        <f t="shared" si="537"/>
        <v>50856</v>
      </c>
      <c r="AK41" s="830">
        <f t="shared" si="538"/>
        <v>42</v>
      </c>
      <c r="AL41" s="830">
        <f t="shared" si="539"/>
        <v>6961</v>
      </c>
      <c r="AM41" s="1317">
        <f t="shared" si="539"/>
        <v>-656</v>
      </c>
      <c r="AN41" s="1318">
        <f>+'10H21'!K39</f>
        <v>61937</v>
      </c>
      <c r="AO41" s="1248">
        <f>+'10H21'!E39</f>
        <v>12442</v>
      </c>
      <c r="AP41" s="1317">
        <f>'10H21'!C39</f>
        <v>60316</v>
      </c>
      <c r="AQ41" s="1316">
        <f t="shared" si="540"/>
        <v>-1609</v>
      </c>
      <c r="AR41" s="1248">
        <f t="shared" si="541"/>
        <v>-2314</v>
      </c>
      <c r="AS41" s="850">
        <f t="shared" si="542"/>
        <v>46761</v>
      </c>
      <c r="AT41" s="1248">
        <f t="shared" si="543"/>
        <v>53624</v>
      </c>
      <c r="AU41" s="830">
        <f t="shared" si="544"/>
        <v>-343</v>
      </c>
      <c r="AV41" s="830">
        <f t="shared" si="545"/>
        <v>7394</v>
      </c>
      <c r="AW41" s="1317">
        <f t="shared" si="545"/>
        <v>705</v>
      </c>
      <c r="AX41" s="1318">
        <f>+'11H22'!K39</f>
        <v>63790</v>
      </c>
      <c r="AY41" s="1248">
        <f>+'11H22'!E39</f>
        <v>12537</v>
      </c>
      <c r="AZ41" s="1317">
        <f>'11H22'!C39</f>
        <v>62181</v>
      </c>
      <c r="BA41" s="1316">
        <f t="shared" si="546"/>
        <v>-3258</v>
      </c>
      <c r="BB41" s="1248">
        <f t="shared" si="547"/>
        <v>-3879</v>
      </c>
      <c r="BC41" s="850">
        <f t="shared" si="548"/>
        <v>49782</v>
      </c>
      <c r="BD41" s="1248">
        <f t="shared" si="549"/>
        <v>56648</v>
      </c>
      <c r="BE41" s="830">
        <f t="shared" si="550"/>
        <v>-250</v>
      </c>
      <c r="BF41" s="830">
        <f t="shared" si="551"/>
        <v>7727</v>
      </c>
      <c r="BG41" s="1317">
        <f t="shared" si="551"/>
        <v>621</v>
      </c>
      <c r="BH41" s="1318">
        <f>+'12H23'!K39</f>
        <v>66027</v>
      </c>
      <c r="BI41" s="1248">
        <f>+'12H23'!E39</f>
        <v>13558</v>
      </c>
      <c r="BJ41" s="1317">
        <f>'12H23'!C39</f>
        <v>62769</v>
      </c>
      <c r="BK41" s="1316">
        <f t="shared" si="552"/>
        <v>-7887</v>
      </c>
      <c r="BL41" s="1248">
        <f t="shared" si="553"/>
        <v>-8898</v>
      </c>
      <c r="BM41" s="850">
        <f t="shared" si="554"/>
        <v>47493</v>
      </c>
      <c r="BN41" s="1248">
        <f t="shared" si="555"/>
        <v>58947</v>
      </c>
      <c r="BO41" s="830">
        <f t="shared" si="556"/>
        <v>-197</v>
      </c>
      <c r="BP41" s="830">
        <f t="shared" si="557"/>
        <v>7384</v>
      </c>
      <c r="BQ41" s="1317">
        <f t="shared" si="557"/>
        <v>1011</v>
      </c>
      <c r="BR41" s="1318">
        <f>+'13H24'!K39</f>
        <v>68848</v>
      </c>
      <c r="BS41" s="1248">
        <f>+'13H24'!E39</f>
        <v>13488</v>
      </c>
      <c r="BT41" s="1317">
        <f>'13H24'!C39</f>
        <v>60961</v>
      </c>
      <c r="BU41" s="1316">
        <f t="shared" si="558"/>
        <v>-5771</v>
      </c>
      <c r="BV41" s="1248">
        <f t="shared" si="559"/>
        <v>-6647</v>
      </c>
      <c r="BW41" s="850">
        <f t="shared" si="560"/>
        <v>48723</v>
      </c>
      <c r="BX41" s="1248">
        <f t="shared" si="561"/>
        <v>58366</v>
      </c>
      <c r="BY41" s="830">
        <f t="shared" si="562"/>
        <v>-201</v>
      </c>
      <c r="BZ41" s="830">
        <f t="shared" si="563"/>
        <v>7576</v>
      </c>
      <c r="CA41" s="1317">
        <f t="shared" si="563"/>
        <v>876</v>
      </c>
      <c r="CB41" s="1318">
        <f>+'14H25'!K39</f>
        <v>68211</v>
      </c>
      <c r="CC41" s="1248">
        <f>+'14H25'!E39</f>
        <v>14398</v>
      </c>
      <c r="CD41" s="1317">
        <f>'14H25'!C39</f>
        <v>62440</v>
      </c>
      <c r="CE41" s="1316">
        <f t="shared" si="564"/>
        <v>4</v>
      </c>
      <c r="CF41" s="1248">
        <f t="shared" si="565"/>
        <v>693</v>
      </c>
      <c r="CG41" s="850">
        <f t="shared" si="566"/>
        <v>50987</v>
      </c>
      <c r="CH41" s="1248">
        <f t="shared" si="567"/>
        <v>54414</v>
      </c>
      <c r="CI41" s="830">
        <f t="shared" si="568"/>
        <v>-222</v>
      </c>
      <c r="CJ41" s="830">
        <f t="shared" si="569"/>
        <v>7469</v>
      </c>
      <c r="CK41" s="1317">
        <f t="shared" si="569"/>
        <v>-689</v>
      </c>
      <c r="CL41" s="1318">
        <f>+'15H26'!K39</f>
        <v>63304</v>
      </c>
      <c r="CM41" s="1248">
        <f>+'15H26'!E39</f>
        <v>14253</v>
      </c>
      <c r="CN41" s="1317">
        <f>'15H26'!C39</f>
        <v>63308</v>
      </c>
      <c r="CO41" s="1316">
        <f t="shared" si="570"/>
        <v>-1538</v>
      </c>
      <c r="CP41" s="1248">
        <f t="shared" si="571"/>
        <v>-2284</v>
      </c>
      <c r="CQ41" s="850">
        <f t="shared" si="572"/>
        <v>50975</v>
      </c>
      <c r="CR41" s="1248">
        <f t="shared" si="573"/>
        <v>55939</v>
      </c>
      <c r="CS41" s="830">
        <f t="shared" si="574"/>
        <v>-230</v>
      </c>
      <c r="CT41" s="830">
        <f t="shared" si="575"/>
        <v>7320</v>
      </c>
      <c r="CU41" s="1317">
        <f t="shared" si="575"/>
        <v>746</v>
      </c>
      <c r="CV41" s="1318">
        <f>+'16H27'!K39</f>
        <v>67288</v>
      </c>
      <c r="CW41" s="1248">
        <f>+'16H27'!E39</f>
        <v>14393</v>
      </c>
      <c r="CX41" s="1317">
        <f>'16H27'!C39</f>
        <v>65750</v>
      </c>
      <c r="CY41" s="1316">
        <f t="shared" si="576"/>
        <v>2629</v>
      </c>
      <c r="CZ41" s="1248">
        <f t="shared" si="577"/>
        <v>2685</v>
      </c>
      <c r="DA41" s="850">
        <f t="shared" si="578"/>
        <v>50401</v>
      </c>
      <c r="DB41" s="1248">
        <f t="shared" si="579"/>
        <v>52400</v>
      </c>
      <c r="DC41" s="830">
        <f t="shared" si="580"/>
        <v>-213</v>
      </c>
      <c r="DD41" s="830">
        <f t="shared" si="581"/>
        <v>7281</v>
      </c>
      <c r="DE41" s="1317">
        <f t="shared" si="581"/>
        <v>-56</v>
      </c>
      <c r="DF41" s="1318">
        <f>+'17H28'!K39</f>
        <v>64795</v>
      </c>
      <c r="DG41" s="1248">
        <f>+'17H28'!E39</f>
        <v>14160</v>
      </c>
      <c r="DH41" s="1317">
        <f>'17H28'!C39</f>
        <v>67424</v>
      </c>
      <c r="DI41" s="1316">
        <f t="shared" si="582"/>
        <v>3973</v>
      </c>
      <c r="DJ41" s="1248">
        <f t="shared" si="583"/>
        <v>6431</v>
      </c>
      <c r="DK41" s="850">
        <f t="shared" si="584"/>
        <v>53345</v>
      </c>
      <c r="DL41" s="1248">
        <f t="shared" si="585"/>
        <v>53456</v>
      </c>
      <c r="DM41" s="830">
        <f t="shared" si="586"/>
        <v>-170</v>
      </c>
      <c r="DN41" s="830">
        <f t="shared" si="587"/>
        <v>6076</v>
      </c>
      <c r="DO41" s="1317">
        <f t="shared" si="587"/>
        <v>-2458</v>
      </c>
      <c r="DP41" s="1318">
        <f>+'18H29'!K39</f>
        <v>64405</v>
      </c>
      <c r="DQ41" s="1248">
        <f>+'18H29'!E39</f>
        <v>13188</v>
      </c>
      <c r="DR41" s="1317">
        <f>+'18H29'!C39</f>
        <v>68378</v>
      </c>
      <c r="DS41" s="1316">
        <f t="shared" si="588"/>
        <v>-3622</v>
      </c>
      <c r="DT41" s="1248">
        <f t="shared" si="589"/>
        <v>-4</v>
      </c>
      <c r="DU41" s="850">
        <f t="shared" si="590"/>
        <v>51992</v>
      </c>
      <c r="DV41" s="1248">
        <f t="shared" si="591"/>
        <v>59129</v>
      </c>
      <c r="DW41" s="830">
        <f t="shared" si="592"/>
        <v>-170</v>
      </c>
      <c r="DX41" s="830">
        <f t="shared" si="593"/>
        <v>6149</v>
      </c>
      <c r="DY41" s="1317">
        <f t="shared" si="593"/>
        <v>-3618</v>
      </c>
      <c r="DZ41" s="1318">
        <f>+'19H30'!K39</f>
        <v>69433</v>
      </c>
      <c r="EA41" s="1248">
        <f>+'19H30'!E39</f>
        <v>13061</v>
      </c>
      <c r="EB41" s="1317">
        <f>+'19H30'!C39</f>
        <v>65811</v>
      </c>
      <c r="EC41" s="1316">
        <f t="shared" si="594"/>
        <v>1778</v>
      </c>
      <c r="ED41" s="1248">
        <f t="shared" si="595"/>
        <v>6896</v>
      </c>
      <c r="EE41" s="850">
        <f t="shared" si="596"/>
        <v>51045</v>
      </c>
      <c r="EF41" s="1248">
        <f t="shared" si="597"/>
        <v>53733</v>
      </c>
      <c r="EG41" s="830">
        <f t="shared" si="598"/>
        <v>-159</v>
      </c>
      <c r="EH41" s="830">
        <f t="shared" si="599"/>
        <v>5617</v>
      </c>
      <c r="EI41" s="1317">
        <f t="shared" si="599"/>
        <v>-5118</v>
      </c>
      <c r="EJ41" s="1318">
        <f>+'20R1'!K39</f>
        <v>64151</v>
      </c>
      <c r="EK41" s="1248">
        <f>+'20R1'!E39</f>
        <v>12256</v>
      </c>
      <c r="EL41" s="1317">
        <f>+'20R1'!C39</f>
        <v>65929</v>
      </c>
      <c r="EM41" s="1316">
        <f t="shared" si="600"/>
        <v>7581</v>
      </c>
      <c r="EN41" s="1248">
        <f t="shared" si="601"/>
        <v>8797</v>
      </c>
      <c r="EO41" s="850">
        <f t="shared" si="602"/>
        <v>47698</v>
      </c>
      <c r="EP41" s="1248">
        <f t="shared" si="603"/>
        <v>47206</v>
      </c>
      <c r="EQ41" s="1336">
        <f t="shared" si="604"/>
        <v>-125</v>
      </c>
      <c r="ER41" s="1336">
        <f t="shared" si="605"/>
        <v>5792</v>
      </c>
      <c r="ES41" s="850">
        <f t="shared" si="606"/>
        <v>-1216</v>
      </c>
      <c r="ET41" s="1331">
        <f>'21R2'!K39</f>
        <v>58837</v>
      </c>
      <c r="EU41" s="1248">
        <f>'21R2'!E39</f>
        <v>12782</v>
      </c>
      <c r="EV41" s="1317">
        <f>+'21R2'!C39</f>
        <v>66418</v>
      </c>
      <c r="EW41" s="1392">
        <f t="shared" si="298"/>
        <v>-212</v>
      </c>
      <c r="EX41" s="1310">
        <f t="shared" si="607"/>
        <v>1136</v>
      </c>
      <c r="EY41" s="850">
        <f t="shared" si="608"/>
        <v>54295</v>
      </c>
      <c r="EZ41" s="1248">
        <f t="shared" si="609"/>
        <v>53159</v>
      </c>
      <c r="FA41" s="1336">
        <f t="shared" si="610"/>
        <v>-71</v>
      </c>
      <c r="FB41" s="1336">
        <f t="shared" si="611"/>
        <v>5955</v>
      </c>
      <c r="FC41" s="1689">
        <f t="shared" si="363"/>
        <v>-1348</v>
      </c>
      <c r="FD41" s="1414">
        <f>'22R3'!K39</f>
        <v>61452</v>
      </c>
      <c r="FE41" s="1310">
        <f>'22R3'!E39</f>
        <v>13519</v>
      </c>
      <c r="FF41" s="1690">
        <f>'22R3'!C39</f>
        <v>69018</v>
      </c>
      <c r="FG41" s="1392">
        <f t="shared" si="300"/>
        <v>-11834</v>
      </c>
      <c r="FH41" s="1310">
        <f t="shared" si="612"/>
        <v>-10486</v>
      </c>
      <c r="FI41" s="850">
        <f t="shared" si="613"/>
        <v>59443</v>
      </c>
      <c r="FJ41" s="1248">
        <f t="shared" si="614"/>
        <v>69929</v>
      </c>
      <c r="FK41" s="1336">
        <f t="shared" si="615"/>
        <v>-133</v>
      </c>
      <c r="FL41" s="1336">
        <f t="shared" si="616"/>
        <v>5609</v>
      </c>
      <c r="FM41" s="1398">
        <f t="shared" si="302"/>
        <v>-1348</v>
      </c>
      <c r="FN41" s="1748">
        <f>'23R4'!K39</f>
        <v>75370</v>
      </c>
      <c r="FO41" s="1332">
        <f>'23R4'!E39</f>
        <v>12285</v>
      </c>
      <c r="FP41" s="1690">
        <f>'23R4'!C39</f>
        <v>73258</v>
      </c>
      <c r="FQ41" s="1310"/>
      <c r="FR41" s="1392">
        <f t="shared" si="303"/>
        <v>7399</v>
      </c>
      <c r="FS41" s="1310">
        <f t="shared" si="617"/>
        <v>8747</v>
      </c>
      <c r="FT41" s="868">
        <f t="shared" si="618"/>
        <v>68553</v>
      </c>
      <c r="FU41" s="1248">
        <f t="shared" si="619"/>
        <v>59806</v>
      </c>
      <c r="FV41" s="1336">
        <f t="shared" si="620"/>
        <v>-151</v>
      </c>
      <c r="FW41" s="1336">
        <f t="shared" si="621"/>
        <v>5579</v>
      </c>
      <c r="FX41" s="1398">
        <f t="shared" si="335"/>
        <v>-1348</v>
      </c>
      <c r="FY41" s="1332">
        <f>'24R5'!K39</f>
        <v>65483</v>
      </c>
      <c r="FZ41" s="1332">
        <f>'24R5'!E39</f>
        <v>12217</v>
      </c>
      <c r="GA41" s="1319">
        <v>71332</v>
      </c>
      <c r="GB41" s="1392">
        <f t="shared" si="305"/>
        <v>-5114</v>
      </c>
      <c r="GC41" s="1310">
        <f t="shared" si="622"/>
        <v>-3766</v>
      </c>
      <c r="GD41" s="868">
        <f t="shared" si="623"/>
        <v>73276</v>
      </c>
      <c r="GE41" s="1248">
        <f t="shared" si="624"/>
        <v>77042</v>
      </c>
      <c r="GF41" s="1336">
        <f t="shared" si="625"/>
        <v>-158</v>
      </c>
      <c r="GG41" s="1336">
        <f t="shared" si="626"/>
        <v>2832</v>
      </c>
      <c r="GH41" s="1398">
        <f t="shared" si="338"/>
        <v>-1348</v>
      </c>
      <c r="GI41" s="1332">
        <f>'25R6'!K39</f>
        <v>83132</v>
      </c>
      <c r="GJ41" s="1332">
        <f>'25R6'!E39</f>
        <v>12636</v>
      </c>
      <c r="GK41" s="1319">
        <v>71332</v>
      </c>
      <c r="GL41" s="1392">
        <f t="shared" si="307"/>
        <v>1678</v>
      </c>
      <c r="GM41" s="1310">
        <f t="shared" si="627"/>
        <v>3026</v>
      </c>
      <c r="GN41" s="868">
        <f t="shared" si="628"/>
        <v>76689</v>
      </c>
      <c r="GO41" s="1248">
        <f t="shared" si="629"/>
        <v>73663</v>
      </c>
      <c r="GP41" s="1336">
        <f t="shared" si="630"/>
        <v>-166</v>
      </c>
      <c r="GQ41" s="1336">
        <f t="shared" si="631"/>
        <v>2855</v>
      </c>
      <c r="GR41" s="1406">
        <f t="shared" si="341"/>
        <v>-1348</v>
      </c>
      <c r="GS41" s="1748">
        <f>'26R7'!K39</f>
        <v>80051</v>
      </c>
      <c r="GT41" s="1332">
        <f>'26R7'!E39</f>
        <v>13307</v>
      </c>
      <c r="GU41" s="1398">
        <v>80051</v>
      </c>
      <c r="GV41" s="1392">
        <f t="shared" si="309"/>
        <v>7202</v>
      </c>
      <c r="GW41" s="2279">
        <f t="shared" si="632"/>
        <v>8550</v>
      </c>
      <c r="GX41" s="2280">
        <f t="shared" si="633"/>
        <v>79556</v>
      </c>
      <c r="GY41" s="1248">
        <f t="shared" si="634"/>
        <v>71006</v>
      </c>
      <c r="GZ41" s="1336">
        <f t="shared" si="635"/>
        <v>-172</v>
      </c>
      <c r="HA41" s="1336">
        <f t="shared" si="636"/>
        <v>2870</v>
      </c>
      <c r="HB41" s="1406">
        <f t="shared" si="344"/>
        <v>-1348</v>
      </c>
      <c r="HC41" s="1748">
        <f>'27R8'!U39</f>
        <v>71924</v>
      </c>
      <c r="HD41" s="1690">
        <f>'27R8'!O39</f>
        <v>-2965</v>
      </c>
      <c r="HE41" s="1398">
        <v>82656</v>
      </c>
      <c r="HF41" s="1392">
        <f t="shared" si="311"/>
        <v>8715</v>
      </c>
      <c r="HG41" s="2279">
        <f t="shared" si="637"/>
        <v>10063</v>
      </c>
      <c r="HH41" s="2280">
        <f t="shared" si="638"/>
        <v>82774</v>
      </c>
      <c r="HI41" s="1248">
        <f t="shared" si="639"/>
        <v>72711</v>
      </c>
      <c r="HJ41" s="1336">
        <f t="shared" si="640"/>
        <v>-179</v>
      </c>
      <c r="HK41" s="1336">
        <f t="shared" si="641"/>
        <v>2870</v>
      </c>
      <c r="HL41" s="1406">
        <f t="shared" si="347"/>
        <v>-1348</v>
      </c>
      <c r="HM41" s="1748">
        <f>'28R9'!U39</f>
        <v>71924</v>
      </c>
      <c r="HN41" s="1332">
        <f>'28R9'!O39</f>
        <v>-2965</v>
      </c>
      <c r="HO41" s="1398">
        <v>85085</v>
      </c>
      <c r="HQ41" s="1310">
        <f>市町名目!J40</f>
        <v>65929</v>
      </c>
      <c r="HR41" s="1310">
        <f>市町名目!K40</f>
        <v>66418</v>
      </c>
      <c r="HS41" s="1310">
        <f>市町名目!L40</f>
        <v>69018</v>
      </c>
      <c r="HT41" s="1310">
        <f>市町名目!M40</f>
        <v>73258</v>
      </c>
      <c r="HU41" s="1310">
        <f>市町名目!N40</f>
        <v>73472</v>
      </c>
      <c r="HV41" s="1054">
        <v>71061</v>
      </c>
      <c r="HW41" s="1030">
        <v>79263</v>
      </c>
      <c r="HX41" s="1030">
        <v>82656</v>
      </c>
      <c r="HY41" s="1030">
        <v>85085</v>
      </c>
    </row>
    <row r="42" spans="1:233" ht="12.5">
      <c r="A42" s="1302"/>
      <c r="B42" s="1339" t="s">
        <v>202</v>
      </c>
      <c r="C42" s="856">
        <f>SUM(C43:C46)</f>
        <v>370396</v>
      </c>
      <c r="D42" s="830">
        <f t="shared" ref="D42:I42" si="642">SUM(D43:D46)</f>
        <v>345500</v>
      </c>
      <c r="E42" s="830">
        <f>SUM(E43:E46)</f>
        <v>2141445</v>
      </c>
      <c r="F42" s="830">
        <f t="shared" si="642"/>
        <v>1830852</v>
      </c>
      <c r="G42" s="830">
        <f t="shared" si="642"/>
        <v>-3417</v>
      </c>
      <c r="H42" s="830">
        <f t="shared" si="642"/>
        <v>116239</v>
      </c>
      <c r="I42" s="1337">
        <f t="shared" si="642"/>
        <v>24896</v>
      </c>
      <c r="J42" s="1338">
        <f>SUM(J43:J46)</f>
        <v>2145507</v>
      </c>
      <c r="K42" s="1248">
        <f>+'7H18'!E40</f>
        <v>178756</v>
      </c>
      <c r="L42" s="1337">
        <f t="shared" ref="L42:S42" si="643">SUM(L43:L46)</f>
        <v>2515903</v>
      </c>
      <c r="M42" s="856">
        <f t="shared" si="643"/>
        <v>306415</v>
      </c>
      <c r="N42" s="830">
        <f t="shared" si="643"/>
        <v>265297</v>
      </c>
      <c r="O42" s="830">
        <f>SUM(O43:O46)</f>
        <v>2268801</v>
      </c>
      <c r="P42" s="830">
        <f t="shared" si="643"/>
        <v>1931881</v>
      </c>
      <c r="Q42" s="830">
        <f t="shared" si="643"/>
        <v>-5436</v>
      </c>
      <c r="R42" s="830">
        <f t="shared" si="643"/>
        <v>118907</v>
      </c>
      <c r="S42" s="1337">
        <f t="shared" si="643"/>
        <v>41118</v>
      </c>
      <c r="T42" s="1338">
        <f>+'8H19'!K40</f>
        <v>2173154</v>
      </c>
      <c r="U42" s="1248">
        <f>+'8H19'!E40</f>
        <v>184400</v>
      </c>
      <c r="V42" s="1337">
        <f t="shared" ref="V42:AC42" si="644">SUM(V43:V46)</f>
        <v>2479569</v>
      </c>
      <c r="W42" s="856">
        <f t="shared" si="644"/>
        <v>573326</v>
      </c>
      <c r="X42" s="830">
        <f t="shared" si="644"/>
        <v>535701</v>
      </c>
      <c r="Y42" s="830">
        <f>SUM(Y43:Y46)</f>
        <v>2246850</v>
      </c>
      <c r="Z42" s="830">
        <f t="shared" si="644"/>
        <v>1859803</v>
      </c>
      <c r="AA42" s="830">
        <f t="shared" si="644"/>
        <v>-14459</v>
      </c>
      <c r="AB42" s="830">
        <f t="shared" si="644"/>
        <v>115839</v>
      </c>
      <c r="AC42" s="1337">
        <f t="shared" si="644"/>
        <v>37625</v>
      </c>
      <c r="AD42" s="1338">
        <f>+'9H20'!K40</f>
        <v>2107739</v>
      </c>
      <c r="AE42" s="1248">
        <f>+'9H20'!E40</f>
        <v>194003</v>
      </c>
      <c r="AF42" s="1337">
        <f t="shared" ref="AF42:AM42" si="645">SUM(AF43:AF46)</f>
        <v>2681065</v>
      </c>
      <c r="AG42" s="856">
        <f t="shared" si="645"/>
        <v>525133</v>
      </c>
      <c r="AH42" s="830">
        <f t="shared" si="645"/>
        <v>552651</v>
      </c>
      <c r="AI42" s="830">
        <f>SUM(AI43:AI46)</f>
        <v>1844732</v>
      </c>
      <c r="AJ42" s="830">
        <f t="shared" si="645"/>
        <v>1645812</v>
      </c>
      <c r="AK42" s="830">
        <f t="shared" si="645"/>
        <v>1749</v>
      </c>
      <c r="AL42" s="830">
        <f t="shared" si="645"/>
        <v>111779</v>
      </c>
      <c r="AM42" s="1337">
        <f t="shared" si="645"/>
        <v>-27518</v>
      </c>
      <c r="AN42" s="1338">
        <f>+'10H21'!K40</f>
        <v>2004416</v>
      </c>
      <c r="AO42" s="1248">
        <f>+'10H21'!E40</f>
        <v>199780</v>
      </c>
      <c r="AP42" s="1337">
        <f>'10H21'!C40</f>
        <v>2529549</v>
      </c>
      <c r="AQ42" s="856">
        <f t="shared" ref="AQ42:AW42" si="646">SUM(AQ43:AQ46)</f>
        <v>323119</v>
      </c>
      <c r="AR42" s="830">
        <f t="shared" si="646"/>
        <v>292497</v>
      </c>
      <c r="AS42" s="830">
        <f>SUM(AS43:AS46)</f>
        <v>2030667</v>
      </c>
      <c r="AT42" s="830">
        <f t="shared" si="646"/>
        <v>1998336</v>
      </c>
      <c r="AU42" s="830">
        <f t="shared" si="646"/>
        <v>-14878</v>
      </c>
      <c r="AV42" s="830">
        <f t="shared" si="646"/>
        <v>120962</v>
      </c>
      <c r="AW42" s="1337">
        <f t="shared" si="646"/>
        <v>30622</v>
      </c>
      <c r="AX42" s="1338">
        <f>+'11H22'!K40</f>
        <v>2377170</v>
      </c>
      <c r="AY42" s="1248">
        <f>+'11H22'!E40</f>
        <v>205107</v>
      </c>
      <c r="AZ42" s="1337">
        <f>'11H22'!C40</f>
        <v>2700289</v>
      </c>
      <c r="BA42" s="856">
        <f t="shared" ref="BA42:BG42" si="647">SUM(BA43:BA46)</f>
        <v>307519</v>
      </c>
      <c r="BB42" s="830">
        <f t="shared" si="647"/>
        <v>283946</v>
      </c>
      <c r="BC42" s="830">
        <f>SUM(BC43:BC46)</f>
        <v>1889358</v>
      </c>
      <c r="BD42" s="830">
        <f t="shared" si="647"/>
        <v>1780003</v>
      </c>
      <c r="BE42" s="830">
        <f t="shared" si="647"/>
        <v>-9483</v>
      </c>
      <c r="BF42" s="830">
        <f t="shared" si="647"/>
        <v>122144</v>
      </c>
      <c r="BG42" s="1337">
        <f t="shared" si="647"/>
        <v>23573</v>
      </c>
      <c r="BH42" s="1338">
        <f>+'12H23'!K40</f>
        <v>2074729</v>
      </c>
      <c r="BI42" s="1248">
        <f>+'12H23'!E40</f>
        <v>214315</v>
      </c>
      <c r="BJ42" s="1337">
        <f>'12H23'!C40</f>
        <v>2382248</v>
      </c>
      <c r="BK42" s="856">
        <f t="shared" ref="BK42:BQ42" si="648">SUM(BK43:BK46)</f>
        <v>227529</v>
      </c>
      <c r="BL42" s="830">
        <f t="shared" si="648"/>
        <v>189086</v>
      </c>
      <c r="BM42" s="830">
        <f>SUM(BM43:BM46)</f>
        <v>1806117</v>
      </c>
      <c r="BN42" s="830">
        <f t="shared" si="648"/>
        <v>1790072</v>
      </c>
      <c r="BO42" s="830">
        <f t="shared" si="648"/>
        <v>-7507</v>
      </c>
      <c r="BP42" s="830">
        <f t="shared" si="648"/>
        <v>118283</v>
      </c>
      <c r="BQ42" s="1337">
        <f t="shared" si="648"/>
        <v>38443</v>
      </c>
      <c r="BR42" s="1338">
        <f>+'13H24'!K40</f>
        <v>2090752</v>
      </c>
      <c r="BS42" s="1248">
        <f>+'13H24'!E40</f>
        <v>216067</v>
      </c>
      <c r="BT42" s="1337">
        <f>'13H24'!C40</f>
        <v>2318281</v>
      </c>
      <c r="BU42" s="856">
        <f t="shared" ref="BU42:CA42" si="649">SUM(BU43:BU46)</f>
        <v>351546</v>
      </c>
      <c r="BV42" s="830">
        <f t="shared" si="649"/>
        <v>316311</v>
      </c>
      <c r="BW42" s="830">
        <f>SUM(BW43:BW46)</f>
        <v>1959132</v>
      </c>
      <c r="BX42" s="830">
        <f t="shared" si="649"/>
        <v>1847516</v>
      </c>
      <c r="BY42" s="830">
        <f t="shared" si="649"/>
        <v>-8075</v>
      </c>
      <c r="BZ42" s="830">
        <f t="shared" si="649"/>
        <v>116197</v>
      </c>
      <c r="CA42" s="1337">
        <f t="shared" si="649"/>
        <v>35235</v>
      </c>
      <c r="CB42" s="1338">
        <f>+'14H25'!K40</f>
        <v>2159132</v>
      </c>
      <c r="CC42" s="1248">
        <f>+'14H25'!E40</f>
        <v>220835</v>
      </c>
      <c r="CD42" s="1337">
        <f>'14H25'!C40</f>
        <v>2510678</v>
      </c>
      <c r="CE42" s="856">
        <f t="shared" ref="CE42:CK42" si="650">SUM(CE43:CE46)</f>
        <v>417455</v>
      </c>
      <c r="CF42" s="830">
        <f t="shared" si="650"/>
        <v>445023</v>
      </c>
      <c r="CG42" s="830">
        <f>SUM(CG43:CG46)</f>
        <v>2041085</v>
      </c>
      <c r="CH42" s="830">
        <f t="shared" si="650"/>
        <v>1819558</v>
      </c>
      <c r="CI42" s="830">
        <f t="shared" si="650"/>
        <v>-8876</v>
      </c>
      <c r="CJ42" s="830">
        <f t="shared" si="650"/>
        <v>123139</v>
      </c>
      <c r="CK42" s="1337">
        <f t="shared" si="650"/>
        <v>-27568</v>
      </c>
      <c r="CL42" s="1338">
        <f>+'15H26'!K40</f>
        <v>2116847</v>
      </c>
      <c r="CM42" s="1248">
        <f>+'15H26'!E40</f>
        <v>234997</v>
      </c>
      <c r="CN42" s="1337">
        <f>'15H26'!C40</f>
        <v>2534302</v>
      </c>
      <c r="CO42" s="856">
        <f t="shared" ref="CO42:CU42" si="651">SUM(CO43:CO46)</f>
        <v>434701</v>
      </c>
      <c r="CP42" s="830">
        <f t="shared" si="651"/>
        <v>405120</v>
      </c>
      <c r="CQ42" s="830">
        <f>SUM(CQ43:CQ46)</f>
        <v>2022324</v>
      </c>
      <c r="CR42" s="830">
        <f t="shared" si="651"/>
        <v>1807154</v>
      </c>
      <c r="CS42" s="830">
        <f t="shared" si="651"/>
        <v>-9115</v>
      </c>
      <c r="CT42" s="830">
        <f t="shared" si="651"/>
        <v>125820</v>
      </c>
      <c r="CU42" s="1337">
        <f t="shared" si="651"/>
        <v>29581</v>
      </c>
      <c r="CV42" s="1338">
        <f>+'16H27'!K40</f>
        <v>2173804</v>
      </c>
      <c r="CW42" s="1248">
        <f>+'16H27'!E40</f>
        <v>247406</v>
      </c>
      <c r="CX42" s="1337">
        <f>'16H27'!C40</f>
        <v>2608505</v>
      </c>
      <c r="CY42" s="856">
        <f t="shared" ref="CY42:DE42" si="652">SUM(CY43:CY46)</f>
        <v>464314</v>
      </c>
      <c r="CZ42" s="830">
        <f t="shared" si="652"/>
        <v>466523</v>
      </c>
      <c r="DA42" s="830">
        <f>SUM(DA43:DA46)</f>
        <v>1996621</v>
      </c>
      <c r="DB42" s="830">
        <f t="shared" si="652"/>
        <v>1784526</v>
      </c>
      <c r="DC42" s="830">
        <f t="shared" si="652"/>
        <v>-8436</v>
      </c>
      <c r="DD42" s="830">
        <f t="shared" si="652"/>
        <v>128105</v>
      </c>
      <c r="DE42" s="1337">
        <f t="shared" si="652"/>
        <v>-2209</v>
      </c>
      <c r="DF42" s="1338">
        <f>+'17H28'!K40</f>
        <v>2206655</v>
      </c>
      <c r="DG42" s="1248">
        <f>+'17H28'!E40</f>
        <v>249127</v>
      </c>
      <c r="DH42" s="1337">
        <f>'17H28'!C40</f>
        <v>2670969</v>
      </c>
      <c r="DI42" s="856">
        <f t="shared" ref="DI42:DO42" si="653">SUM(DI43:DI46)</f>
        <v>441141</v>
      </c>
      <c r="DJ42" s="830">
        <f t="shared" si="653"/>
        <v>537442</v>
      </c>
      <c r="DK42" s="830">
        <f>SUM(DK43:DK46)</f>
        <v>2089947</v>
      </c>
      <c r="DL42" s="830">
        <f t="shared" si="653"/>
        <v>1857369</v>
      </c>
      <c r="DM42" s="830">
        <f t="shared" si="653"/>
        <v>-6667</v>
      </c>
      <c r="DN42" s="830">
        <f t="shared" si="653"/>
        <v>110433</v>
      </c>
      <c r="DO42" s="1337">
        <f t="shared" si="653"/>
        <v>-96301</v>
      </c>
      <c r="DP42" s="1338">
        <f>+'18H29'!K40</f>
        <v>2237790</v>
      </c>
      <c r="DQ42" s="1248">
        <f>+'18H29'!E40</f>
        <v>239676</v>
      </c>
      <c r="DR42" s="1337">
        <f>+'18H29'!C40</f>
        <v>2678931</v>
      </c>
      <c r="DS42" s="856">
        <f t="shared" ref="DS42:DY42" si="654">SUM(DS43:DS46)</f>
        <v>319158</v>
      </c>
      <c r="DT42" s="830">
        <f t="shared" si="654"/>
        <v>466202</v>
      </c>
      <c r="DU42" s="830">
        <f>SUM(DU43:DU46)</f>
        <v>2113177</v>
      </c>
      <c r="DV42" s="830">
        <f t="shared" si="654"/>
        <v>2006091</v>
      </c>
      <c r="DW42" s="830">
        <f t="shared" si="654"/>
        <v>-6891</v>
      </c>
      <c r="DX42" s="830">
        <f t="shared" si="654"/>
        <v>112592</v>
      </c>
      <c r="DY42" s="1337">
        <f t="shared" si="654"/>
        <v>-147044</v>
      </c>
      <c r="DZ42" s="1338">
        <f>+'19H30'!K40</f>
        <v>2355667</v>
      </c>
      <c r="EA42" s="1248">
        <f>+'19H30'!E40</f>
        <v>239164</v>
      </c>
      <c r="EB42" s="1337">
        <f>+'19H30'!C40</f>
        <v>2674825</v>
      </c>
      <c r="EC42" s="856">
        <f t="shared" ref="EC42:EI42" si="655">SUM(EC43:EC46)</f>
        <v>337467</v>
      </c>
      <c r="ED42" s="830">
        <f t="shared" si="655"/>
        <v>543027</v>
      </c>
      <c r="EE42" s="830">
        <f>SUM(EE43:EE46)</f>
        <v>2050359</v>
      </c>
      <c r="EF42" s="830">
        <f t="shared" si="655"/>
        <v>1935478</v>
      </c>
      <c r="EG42" s="830">
        <f t="shared" si="655"/>
        <v>-6406</v>
      </c>
      <c r="EH42" s="830">
        <f t="shared" si="655"/>
        <v>114195</v>
      </c>
      <c r="EI42" s="1337">
        <f t="shared" si="655"/>
        <v>-205560</v>
      </c>
      <c r="EJ42" s="1338">
        <f>+'20R1'!K40</f>
        <v>2310721</v>
      </c>
      <c r="EK42" s="1248">
        <f>+'20R1'!E40</f>
        <v>249183</v>
      </c>
      <c r="EL42" s="1337">
        <f>+'20R1'!C40</f>
        <v>2648188</v>
      </c>
      <c r="EM42" s="856">
        <f t="shared" ref="EM42" si="656">SUM(EM43:EM46)</f>
        <v>309245</v>
      </c>
      <c r="EN42" s="830">
        <f t="shared" ref="EN42" si="657">SUM(EN43:EN46)</f>
        <v>356712</v>
      </c>
      <c r="EO42" s="830">
        <f>SUM(EO43:EO46)</f>
        <v>1861672</v>
      </c>
      <c r="EP42" s="830">
        <f t="shared" ref="EP42:EU42" si="658">SUM(EP43:EP46)</f>
        <v>1831749</v>
      </c>
      <c r="EQ42" s="1336">
        <f t="shared" si="658"/>
        <v>-4878</v>
      </c>
      <c r="ER42" s="1336">
        <f t="shared" si="658"/>
        <v>108702</v>
      </c>
      <c r="ES42" s="850">
        <f t="shared" si="658"/>
        <v>-47467</v>
      </c>
      <c r="ET42" s="1338">
        <f t="shared" si="658"/>
        <v>2283062</v>
      </c>
      <c r="EU42" s="830">
        <f t="shared" si="658"/>
        <v>239887</v>
      </c>
      <c r="EV42" s="1317">
        <f>+'21R2'!C40</f>
        <v>2592307</v>
      </c>
      <c r="EW42" s="1392">
        <f t="shared" si="298"/>
        <v>181406</v>
      </c>
      <c r="EX42" s="1393">
        <f t="shared" ref="EX42:FC42" si="659">SUM(EX43:EX46)</f>
        <v>236516</v>
      </c>
      <c r="EY42" s="1393">
        <f t="shared" si="659"/>
        <v>2220516</v>
      </c>
      <c r="EZ42" s="1393">
        <f t="shared" si="659"/>
        <v>1984000</v>
      </c>
      <c r="FA42" s="1393">
        <f t="shared" si="659"/>
        <v>-2923</v>
      </c>
      <c r="FB42" s="1393">
        <f t="shared" si="659"/>
        <v>113241</v>
      </c>
      <c r="FC42" s="1693">
        <f t="shared" si="659"/>
        <v>-55110</v>
      </c>
      <c r="FD42" s="1414">
        <f>'22R3'!K40</f>
        <v>2293502</v>
      </c>
      <c r="FE42" s="1310">
        <f>'22R3'!E40</f>
        <v>257067</v>
      </c>
      <c r="FF42" s="1690">
        <f>'22R3'!C40</f>
        <v>2822650</v>
      </c>
      <c r="FG42" s="1392">
        <f t="shared" si="300"/>
        <v>-37589</v>
      </c>
      <c r="FH42" s="1393">
        <f t="shared" ref="FH42" si="660">SUM(FH43:FH46)</f>
        <v>17521</v>
      </c>
      <c r="FI42" s="830">
        <f>SUM(FI43:FI46)</f>
        <v>2354303</v>
      </c>
      <c r="FJ42" s="830">
        <f t="shared" ref="FJ42:FL42" si="661">SUM(FJ43:FJ46)</f>
        <v>2336782</v>
      </c>
      <c r="FK42" s="1336">
        <f t="shared" si="661"/>
        <v>-5273</v>
      </c>
      <c r="FL42" s="1336">
        <f t="shared" si="661"/>
        <v>123091</v>
      </c>
      <c r="FM42" s="1398">
        <f t="shared" si="302"/>
        <v>-55110</v>
      </c>
      <c r="FN42" s="1748">
        <f>'23R4'!K40</f>
        <v>2518602</v>
      </c>
      <c r="FO42" s="1332">
        <f>'23R4'!E40</f>
        <v>269614</v>
      </c>
      <c r="FP42" s="1690">
        <f>'23R4'!C40</f>
        <v>2901482</v>
      </c>
      <c r="FQ42" s="1310"/>
      <c r="FR42" s="1392">
        <f t="shared" si="303"/>
        <v>-82139</v>
      </c>
      <c r="FS42" s="1393">
        <f t="shared" ref="FS42" si="662">SUM(FS43:FS46)</f>
        <v>-27029</v>
      </c>
      <c r="FT42" s="830">
        <f>SUM(FT43:FT46)</f>
        <v>2387778</v>
      </c>
      <c r="FU42" s="830">
        <f t="shared" ref="FU42:FW42" si="663">SUM(FU43:FU46)</f>
        <v>2414807</v>
      </c>
      <c r="FV42" s="1336">
        <f t="shared" si="663"/>
        <v>-5262</v>
      </c>
      <c r="FW42" s="1336">
        <f t="shared" si="663"/>
        <v>124567</v>
      </c>
      <c r="FX42" s="1398">
        <f t="shared" si="335"/>
        <v>-55110</v>
      </c>
      <c r="FY42" s="1332">
        <f>'24R5'!K40</f>
        <v>2644047</v>
      </c>
      <c r="FZ42" s="1332">
        <f>'24R5'!E40</f>
        <v>272757</v>
      </c>
      <c r="GA42" s="1319">
        <v>2484571</v>
      </c>
      <c r="GB42" s="1392">
        <f t="shared" si="305"/>
        <v>214853</v>
      </c>
      <c r="GC42" s="1393">
        <f t="shared" ref="GC42" si="664">SUM(GC43:GC46)</f>
        <v>269963</v>
      </c>
      <c r="GD42" s="830">
        <f>SUM(GD43:GD46)</f>
        <v>2552269</v>
      </c>
      <c r="GE42" s="830">
        <f t="shared" ref="GE42:GG42" si="665">SUM(GE43:GE46)</f>
        <v>2282306</v>
      </c>
      <c r="GF42" s="1336">
        <f t="shared" si="665"/>
        <v>-5502</v>
      </c>
      <c r="GG42" s="1336">
        <f t="shared" si="665"/>
        <v>63961</v>
      </c>
      <c r="GH42" s="1398">
        <f t="shared" si="338"/>
        <v>-55110</v>
      </c>
      <c r="GI42" s="1332">
        <f>'25R6'!K40</f>
        <v>2462706</v>
      </c>
      <c r="GJ42" s="1332">
        <f>'25R6'!E40</f>
        <v>285419</v>
      </c>
      <c r="GK42" s="1319">
        <v>2484571</v>
      </c>
      <c r="GL42" s="1392">
        <f t="shared" si="307"/>
        <v>42931</v>
      </c>
      <c r="GM42" s="1393">
        <f t="shared" ref="GM42" si="666">SUM(GM43:GM46)</f>
        <v>98041</v>
      </c>
      <c r="GN42" s="830">
        <f>SUM(GN43:GN46)</f>
        <v>2485210</v>
      </c>
      <c r="GO42" s="830">
        <f t="shared" ref="GO42:GQ42" si="667">SUM(GO43:GO46)</f>
        <v>2387169</v>
      </c>
      <c r="GP42" s="1336">
        <f t="shared" si="667"/>
        <v>-5367</v>
      </c>
      <c r="GQ42" s="1336">
        <f t="shared" si="667"/>
        <v>63616</v>
      </c>
      <c r="GR42" s="1406">
        <f t="shared" si="341"/>
        <v>-55110</v>
      </c>
      <c r="GS42" s="1748">
        <f>'26R7'!K40</f>
        <v>2594176</v>
      </c>
      <c r="GT42" s="1332">
        <f>'26R7'!E40</f>
        <v>296552</v>
      </c>
      <c r="GU42" s="1398">
        <v>2594176</v>
      </c>
      <c r="GV42" s="1392">
        <f t="shared" si="309"/>
        <v>42108</v>
      </c>
      <c r="GW42" s="1393">
        <f t="shared" ref="GW42" si="668">SUM(GW43:GW46)</f>
        <v>97218</v>
      </c>
      <c r="GX42" s="830">
        <f>SUM(GX43:GX46)</f>
        <v>2536427</v>
      </c>
      <c r="GY42" s="830">
        <f t="shared" ref="GY42:HA42" si="669">SUM(GY43:GY46)</f>
        <v>2439209</v>
      </c>
      <c r="GZ42" s="1336">
        <f t="shared" si="669"/>
        <v>-5479</v>
      </c>
      <c r="HA42" s="1336">
        <f t="shared" si="669"/>
        <v>22088</v>
      </c>
      <c r="HB42" s="1406">
        <f t="shared" si="344"/>
        <v>-55110</v>
      </c>
      <c r="HC42" s="1748">
        <f>'27R8'!U40</f>
        <v>2470755</v>
      </c>
      <c r="HD42" s="1690">
        <f>'27R8'!O40</f>
        <v>-22818</v>
      </c>
      <c r="HE42" s="1398">
        <v>2635261</v>
      </c>
      <c r="HF42" s="1392">
        <f t="shared" si="311"/>
        <v>46358</v>
      </c>
      <c r="HG42" s="1393">
        <f t="shared" ref="HG42" si="670">SUM(HG43:HG46)</f>
        <v>101468</v>
      </c>
      <c r="HH42" s="830">
        <f>SUM(HH43:HH46)</f>
        <v>2599253</v>
      </c>
      <c r="HI42" s="830">
        <f t="shared" ref="HI42:HK42" si="671">SUM(HI43:HI46)</f>
        <v>2497785</v>
      </c>
      <c r="HJ42" s="1336">
        <f t="shared" si="671"/>
        <v>-5615</v>
      </c>
      <c r="HK42" s="1336">
        <f t="shared" si="671"/>
        <v>22088</v>
      </c>
      <c r="HL42" s="1406">
        <f t="shared" si="347"/>
        <v>-55110</v>
      </c>
      <c r="HM42" s="1748">
        <f>'28R9'!U40</f>
        <v>2470755</v>
      </c>
      <c r="HN42" s="1332">
        <f>'28R9'!O40</f>
        <v>-22818</v>
      </c>
      <c r="HO42" s="1398">
        <v>2671810</v>
      </c>
      <c r="HP42" s="830"/>
      <c r="HQ42" s="1310">
        <f>市町名目!J41</f>
        <v>2648188</v>
      </c>
      <c r="HR42" s="1310">
        <f>市町名目!K41</f>
        <v>2592307</v>
      </c>
      <c r="HS42" s="1310">
        <f>市町名目!L41</f>
        <v>2822650</v>
      </c>
      <c r="HT42" s="1310">
        <f>市町名目!M41</f>
        <v>2901482</v>
      </c>
      <c r="HU42" s="1310">
        <f>市町名目!N41</f>
        <v>2930515</v>
      </c>
      <c r="HV42" s="1333">
        <v>2640401</v>
      </c>
      <c r="HW42" s="1725">
        <v>2971482</v>
      </c>
      <c r="HX42" s="1725">
        <v>2635261</v>
      </c>
      <c r="HY42" s="1725">
        <v>2671810</v>
      </c>
    </row>
    <row r="43" spans="1:233" ht="12.5">
      <c r="A43" s="1269">
        <v>201</v>
      </c>
      <c r="B43" s="1270" t="s">
        <v>240</v>
      </c>
      <c r="C43" s="1316">
        <f>+L43-J43</f>
        <v>294073</v>
      </c>
      <c r="D43" s="1248">
        <f>C43-I43</f>
        <v>271320</v>
      </c>
      <c r="E43" s="850">
        <f>ROUND(E$5*L43/L$6,0)</f>
        <v>1957156</v>
      </c>
      <c r="F43" s="1248">
        <f>ROUND(F$5*J43/J$6,0)</f>
        <v>1711221</v>
      </c>
      <c r="G43" s="830">
        <f>ROUND(G$5*L43/L$6,0)</f>
        <v>-3123</v>
      </c>
      <c r="H43" s="830">
        <f t="shared" ref="H43:I46" si="672">ROUND(H$5*K43/K$6,0)</f>
        <v>103182</v>
      </c>
      <c r="I43" s="1317">
        <f t="shared" si="672"/>
        <v>22753</v>
      </c>
      <c r="J43" s="1318">
        <f>'7H18'!K41</f>
        <v>2005315</v>
      </c>
      <c r="K43" s="1248">
        <f>+'7H18'!E41</f>
        <v>158677</v>
      </c>
      <c r="L43" s="1317">
        <f>'7H18'!C41</f>
        <v>2299388</v>
      </c>
      <c r="M43" s="1316">
        <f>+V43-T43</f>
        <v>243010</v>
      </c>
      <c r="N43" s="1248">
        <f>M43-S43</f>
        <v>205450</v>
      </c>
      <c r="O43" s="850">
        <f>ROUND(O$5*V43/V$6,0)</f>
        <v>2072476</v>
      </c>
      <c r="P43" s="1248">
        <f>ROUND(P$5*T43/T$6,0)</f>
        <v>1797505</v>
      </c>
      <c r="Q43" s="830">
        <f>ROUND(Q$5*V43/V$6,0)</f>
        <v>-4965</v>
      </c>
      <c r="R43" s="830">
        <f t="shared" ref="R43:S46" si="673">ROUND(R$5*U43/U$6,0)</f>
        <v>106072</v>
      </c>
      <c r="S43" s="1317">
        <f t="shared" si="673"/>
        <v>37560</v>
      </c>
      <c r="T43" s="1318">
        <f>+'8H19'!K41</f>
        <v>2021996</v>
      </c>
      <c r="U43" s="1248">
        <f>+'8H19'!E41</f>
        <v>164496</v>
      </c>
      <c r="V43" s="1317">
        <f>'8H19'!C41</f>
        <v>2265006</v>
      </c>
      <c r="W43" s="1316">
        <f>+AF43-AD43</f>
        <v>497606</v>
      </c>
      <c r="X43" s="1248">
        <f>W43-AC43</f>
        <v>463067</v>
      </c>
      <c r="Y43" s="850">
        <f>ROUND(Y$5*AF43/AF$6,0)</f>
        <v>2062490</v>
      </c>
      <c r="Z43" s="1248">
        <f>ROUND(Z$5*AD43/AD$6,0)</f>
        <v>1732505</v>
      </c>
      <c r="AA43" s="830">
        <f>ROUND(AA$5*AF43/AF$6,0)</f>
        <v>-13273</v>
      </c>
      <c r="AB43" s="830">
        <f t="shared" ref="AB43:AC46" si="674">ROUND(AB$5*AE43/AE$6,0)</f>
        <v>103352</v>
      </c>
      <c r="AC43" s="1317">
        <f t="shared" si="674"/>
        <v>34539</v>
      </c>
      <c r="AD43" s="1318">
        <f>+'9H20'!K41</f>
        <v>1963471</v>
      </c>
      <c r="AE43" s="1248">
        <f>+'9H20'!E41</f>
        <v>173091</v>
      </c>
      <c r="AF43" s="1317">
        <f>'9H20'!C41</f>
        <v>2461077</v>
      </c>
      <c r="AG43" s="1316">
        <f>+AP43-AN43</f>
        <v>436002</v>
      </c>
      <c r="AH43" s="1248">
        <f>AG43-AM43</f>
        <v>461113</v>
      </c>
      <c r="AI43" s="850">
        <f>ROUND(AI$5*AP43/AP$6,0)</f>
        <v>1683443</v>
      </c>
      <c r="AJ43" s="1248">
        <f>ROUND(AJ$5*AN43/AN$6,0)</f>
        <v>1537401</v>
      </c>
      <c r="AK43" s="830">
        <f>ROUND(AK$5*AP43/AP$6,0)</f>
        <v>1597</v>
      </c>
      <c r="AL43" s="830">
        <f t="shared" ref="AL43:AM46" si="675">ROUND(AL$5*AO43/AO$6,0)</f>
        <v>99264</v>
      </c>
      <c r="AM43" s="1317">
        <f t="shared" si="675"/>
        <v>-25111</v>
      </c>
      <c r="AN43" s="1318">
        <f>+'10H21'!K41</f>
        <v>1872383</v>
      </c>
      <c r="AO43" s="1248">
        <f>+'10H21'!E41</f>
        <v>177411</v>
      </c>
      <c r="AP43" s="1317">
        <f>'10H21'!C41</f>
        <v>2308385</v>
      </c>
      <c r="AQ43" s="1316">
        <f>+AZ43-AX43</f>
        <v>225887</v>
      </c>
      <c r="AR43" s="1248">
        <f>AQ43-AW43</f>
        <v>197933</v>
      </c>
      <c r="AS43" s="850">
        <f>ROUND(AS$5*AZ43/AZ$6,0)</f>
        <v>1853740</v>
      </c>
      <c r="AT43" s="1248">
        <f>ROUND(AT$5*AX43/AX$6,0)</f>
        <v>1882295</v>
      </c>
      <c r="AU43" s="830">
        <f>ROUND(AU$5*AZ43/AZ$6,0)</f>
        <v>-13582</v>
      </c>
      <c r="AV43" s="830">
        <f t="shared" ref="AV43:AW46" si="676">ROUND(AV$5*AY43/AY$6,0)</f>
        <v>108073</v>
      </c>
      <c r="AW43" s="1317">
        <f t="shared" si="676"/>
        <v>27954</v>
      </c>
      <c r="AX43" s="1318">
        <f>+'11H22'!K41</f>
        <v>2239132</v>
      </c>
      <c r="AY43" s="1248">
        <f>+'11H22'!E41</f>
        <v>183252</v>
      </c>
      <c r="AZ43" s="1317">
        <f>'11H22'!C41</f>
        <v>2465019</v>
      </c>
      <c r="BA43" s="1316">
        <f>+BJ43-BH43</f>
        <v>240482</v>
      </c>
      <c r="BB43" s="1248">
        <f>BA43-BG43</f>
        <v>219060</v>
      </c>
      <c r="BC43" s="850">
        <f>ROUND(BC$5*BJ43/BJ$6,0)</f>
        <v>1716957</v>
      </c>
      <c r="BD43" s="1248">
        <f>ROUND(BD$5*BH43/BH$6,0)</f>
        <v>1651020</v>
      </c>
      <c r="BE43" s="830">
        <f>ROUND(BE$5*BJ43/BJ$6,0)</f>
        <v>-8618</v>
      </c>
      <c r="BF43" s="830">
        <f t="shared" ref="BF43:BG46" si="677">ROUND(BF$5*BI43/BI$6,0)</f>
        <v>108670</v>
      </c>
      <c r="BG43" s="1317">
        <f t="shared" si="677"/>
        <v>21422</v>
      </c>
      <c r="BH43" s="1318">
        <f>+'12H23'!K41</f>
        <v>1924389</v>
      </c>
      <c r="BI43" s="1248">
        <f>+'12H23'!E41</f>
        <v>190672</v>
      </c>
      <c r="BJ43" s="1317">
        <f>'12H23'!C41</f>
        <v>2164871</v>
      </c>
      <c r="BK43" s="1316">
        <f>+BT43-BR43</f>
        <v>163712</v>
      </c>
      <c r="BL43" s="1248">
        <f>BK43-BQ43</f>
        <v>128694</v>
      </c>
      <c r="BM43" s="850">
        <f>ROUND(BM$5*BT43/BT$6,0)</f>
        <v>1645199</v>
      </c>
      <c r="BN43" s="1248">
        <f>ROUND(BN$5*BR43/BR$6,0)</f>
        <v>1667867</v>
      </c>
      <c r="BO43" s="830">
        <f>ROUND(BO$5*BT43/BT$6,0)</f>
        <v>-6838</v>
      </c>
      <c r="BP43" s="830">
        <f t="shared" ref="BP43:BQ46" si="678">ROUND(BP$5*BS43/BS$6,0)</f>
        <v>105452</v>
      </c>
      <c r="BQ43" s="1317">
        <f t="shared" si="678"/>
        <v>35018</v>
      </c>
      <c r="BR43" s="1318">
        <f>+'13H24'!K41</f>
        <v>1948019</v>
      </c>
      <c r="BS43" s="1248">
        <f>+'13H24'!E41</f>
        <v>192628</v>
      </c>
      <c r="BT43" s="1317">
        <f>'13H24'!C41</f>
        <v>2111731</v>
      </c>
      <c r="BU43" s="1316">
        <f>+CD43-CB43</f>
        <v>268522</v>
      </c>
      <c r="BV43" s="1248">
        <f>BU43-CA43</f>
        <v>236528</v>
      </c>
      <c r="BW43" s="850">
        <f>ROUND(BW$5*CD43/CD$6,0)</f>
        <v>1778938</v>
      </c>
      <c r="BX43" s="1248">
        <f>ROUND(BX$5*CB43/CB$6,0)</f>
        <v>1720962</v>
      </c>
      <c r="BY43" s="830">
        <f>ROUND(BY$5*CD43/CD$6,0)</f>
        <v>-7332</v>
      </c>
      <c r="BZ43" s="830">
        <f t="shared" ref="BZ43:CA46" si="679">ROUND(BZ$5*CC43/CC$6,0)</f>
        <v>103744</v>
      </c>
      <c r="CA43" s="1317">
        <f t="shared" si="679"/>
        <v>31994</v>
      </c>
      <c r="CB43" s="1318">
        <f>+'14H25'!K41</f>
        <v>2011233</v>
      </c>
      <c r="CC43" s="1248">
        <f>+'14H25'!E41</f>
        <v>197169</v>
      </c>
      <c r="CD43" s="1317">
        <f>'14H25'!C41</f>
        <v>2279755</v>
      </c>
      <c r="CE43" s="1316">
        <f>+CN43-CL43</f>
        <v>342001</v>
      </c>
      <c r="CF43" s="1248">
        <f>CE43-CK43</f>
        <v>367074</v>
      </c>
      <c r="CG43" s="850">
        <f>ROUND(CG$5*CN43/CN$6,0)</f>
        <v>1856320</v>
      </c>
      <c r="CH43" s="1248">
        <f>ROUND(CH$5*CL43/CL$6,0)</f>
        <v>1687221</v>
      </c>
      <c r="CI43" s="830">
        <f>ROUND(CI$5*CN43/CN$6,0)</f>
        <v>-8073</v>
      </c>
      <c r="CJ43" s="830">
        <f t="shared" ref="CJ43:CK46" si="680">ROUND(CJ$5*CM43/CM$6,0)</f>
        <v>109677</v>
      </c>
      <c r="CK43" s="1317">
        <f t="shared" si="680"/>
        <v>-25073</v>
      </c>
      <c r="CL43" s="1318">
        <f>+'15H26'!K41</f>
        <v>1962889</v>
      </c>
      <c r="CM43" s="1248">
        <f>+'15H26'!E41</f>
        <v>209305</v>
      </c>
      <c r="CN43" s="1317">
        <f>'15H26'!C41</f>
        <v>2304890</v>
      </c>
      <c r="CO43" s="1316">
        <f>+CX43-CV43</f>
        <v>351151</v>
      </c>
      <c r="CP43" s="1248">
        <f>CO43-CU43</f>
        <v>324258</v>
      </c>
      <c r="CQ43" s="850">
        <f>ROUND(CQ$5*CX43/CX$6,0)</f>
        <v>1838583</v>
      </c>
      <c r="CR43" s="1248">
        <f>ROUND(CR$5*CV43/CV$6,0)</f>
        <v>1679586</v>
      </c>
      <c r="CS43" s="830">
        <f>ROUND(CS$5*CX43/CX$6,0)</f>
        <v>-8287</v>
      </c>
      <c r="CT43" s="830">
        <f t="shared" ref="CT43:CU46" si="681">ROUND(CT$5*CW43/CW$6,0)</f>
        <v>111892</v>
      </c>
      <c r="CU43" s="1317">
        <f t="shared" si="681"/>
        <v>26893</v>
      </c>
      <c r="CV43" s="1318">
        <f>+'16H27'!K41</f>
        <v>2020354</v>
      </c>
      <c r="CW43" s="1248">
        <f>+'16H27'!E41</f>
        <v>220020</v>
      </c>
      <c r="CX43" s="1317">
        <f>'16H27'!C41</f>
        <v>2371505</v>
      </c>
      <c r="CY43" s="1316">
        <f>+DH43-DF43</f>
        <v>362310</v>
      </c>
      <c r="CZ43" s="1248">
        <f>CY43-DE43</f>
        <v>364311</v>
      </c>
      <c r="DA43" s="850">
        <f>ROUND(DA$5*DH43/DH$6,0)</f>
        <v>1808321</v>
      </c>
      <c r="DB43" s="1248">
        <f>ROUND(DB$5*DF43/DF$6,0)</f>
        <v>1663308</v>
      </c>
      <c r="DC43" s="830">
        <f>ROUND(DC$5*DH43/DH$6,0)</f>
        <v>-7640</v>
      </c>
      <c r="DD43" s="830">
        <f t="shared" ref="DD43:DE46" si="682">ROUND(DD$5*DG43/DG$6,0)</f>
        <v>113971</v>
      </c>
      <c r="DE43" s="1317">
        <f t="shared" si="682"/>
        <v>-2001</v>
      </c>
      <c r="DF43" s="1318">
        <f>+'17H28'!K41</f>
        <v>2056762</v>
      </c>
      <c r="DG43" s="1248">
        <f>+'17H28'!E41</f>
        <v>221641</v>
      </c>
      <c r="DH43" s="1317">
        <f>'17H28'!C41</f>
        <v>2419072</v>
      </c>
      <c r="DI43" s="1316">
        <f>+DR43-DP43</f>
        <v>342941</v>
      </c>
      <c r="DJ43" s="1248">
        <f>DI43-DO43</f>
        <v>429896</v>
      </c>
      <c r="DK43" s="850">
        <f>ROUND(DK$5*DR43/DR$6,0)</f>
        <v>1887130</v>
      </c>
      <c r="DL43" s="1248">
        <f>ROUND(DL$5*DP43/DP$6,0)</f>
        <v>1723097</v>
      </c>
      <c r="DM43" s="830">
        <f>ROUND(DM$5*DR43/DR$6,0)</f>
        <v>-6020</v>
      </c>
      <c r="DN43" s="830">
        <f t="shared" ref="DN43:DO46" si="683">ROUND(DN$5*DQ43/DQ$6,0)</f>
        <v>98138</v>
      </c>
      <c r="DO43" s="1317">
        <f t="shared" si="683"/>
        <v>-86955</v>
      </c>
      <c r="DP43" s="1318">
        <f>+'18H29'!K41</f>
        <v>2076017</v>
      </c>
      <c r="DQ43" s="1248">
        <f>+'18H29'!E41</f>
        <v>212994</v>
      </c>
      <c r="DR43" s="1317">
        <f>+'18H29'!C41</f>
        <v>2418958</v>
      </c>
      <c r="DS43" s="1316">
        <f>+EB43-DZ43</f>
        <v>239580</v>
      </c>
      <c r="DT43" s="1248">
        <f>DS43-DY43</f>
        <v>372396</v>
      </c>
      <c r="DU43" s="850">
        <f>ROUND(DU$5*EB43/EB$6,0)</f>
        <v>1908716</v>
      </c>
      <c r="DV43" s="1248">
        <f>ROUND(DV$5*DZ43/DZ$6,0)</f>
        <v>1853461</v>
      </c>
      <c r="DW43" s="830">
        <f>ROUND(DW$5*EB43/EB$6,0)</f>
        <v>-6224</v>
      </c>
      <c r="DX43" s="830">
        <f t="shared" ref="DX43:DY46" si="684">ROUND(DX$5*EA43/EA$6,0)</f>
        <v>100108</v>
      </c>
      <c r="DY43" s="1317">
        <f t="shared" si="684"/>
        <v>-132816</v>
      </c>
      <c r="DZ43" s="1318">
        <f>+'19H30'!K41</f>
        <v>2176441</v>
      </c>
      <c r="EA43" s="1248">
        <f>+'19H30'!E41</f>
        <v>212645</v>
      </c>
      <c r="EB43" s="1317">
        <f>+'19H30'!C41</f>
        <v>2416021</v>
      </c>
      <c r="EC43" s="1316">
        <f>+EL43-EJ43</f>
        <v>262742</v>
      </c>
      <c r="ED43" s="1248">
        <f>EC43-EI43</f>
        <v>448302</v>
      </c>
      <c r="EE43" s="850">
        <f>ROUND(EE$5*EL43/EL$6,0)</f>
        <v>1850865</v>
      </c>
      <c r="EF43" s="1248">
        <f>ROUND(EF$5*EJ43/EJ$6,0)</f>
        <v>1782250</v>
      </c>
      <c r="EG43" s="830">
        <f>ROUND(EG$5*EL43/EL$6,0)</f>
        <v>-5782</v>
      </c>
      <c r="EH43" s="830">
        <f t="shared" ref="EH43:EI46" si="685">ROUND(EH$5*EK43/EK$6,0)</f>
        <v>101450</v>
      </c>
      <c r="EI43" s="1317">
        <f t="shared" si="685"/>
        <v>-185560</v>
      </c>
      <c r="EJ43" s="1318">
        <f>+'20R1'!K41</f>
        <v>2127786</v>
      </c>
      <c r="EK43" s="1248">
        <f>+'20R1'!E41</f>
        <v>221373</v>
      </c>
      <c r="EL43" s="1317">
        <f>+'20R1'!C41</f>
        <v>2390528</v>
      </c>
      <c r="EM43" s="1316">
        <f>+EV43-ET43</f>
        <v>252711</v>
      </c>
      <c r="EN43" s="1248">
        <f>EM43-ES43</f>
        <v>295685</v>
      </c>
      <c r="EO43" s="850">
        <f>ROUND(EO$5*EV43/EV$6,0)</f>
        <v>1685475</v>
      </c>
      <c r="EP43" s="1248">
        <f>ROUND(EP$5*ET43/ET$6,0)</f>
        <v>1680260</v>
      </c>
      <c r="EQ43" s="1336">
        <f>ROUND(EQ$5*EV43/EV$6,0)</f>
        <v>-4416</v>
      </c>
      <c r="ER43" s="1336">
        <f t="shared" ref="ER43:ER46" si="686">ROUND(ER$5*EU43/EU$6,0)</f>
        <v>96102</v>
      </c>
      <c r="ES43" s="850">
        <f t="shared" ref="ES43:ES46" si="687">ROUND(ES$5*EV43/EV$6,0)</f>
        <v>-42974</v>
      </c>
      <c r="ET43" s="1331">
        <f>'21R2'!K41</f>
        <v>2094249</v>
      </c>
      <c r="EU43" s="1248">
        <f>'21R2'!E41</f>
        <v>212082</v>
      </c>
      <c r="EV43" s="1317">
        <f>+'21R2'!C41</f>
        <v>2346960</v>
      </c>
      <c r="EW43" s="1392">
        <f t="shared" si="298"/>
        <v>121546</v>
      </c>
      <c r="EX43" s="1310">
        <f>EY43-EZ43</f>
        <v>171724</v>
      </c>
      <c r="EY43" s="850">
        <f>ROUND(EY$5*FF43/FF$6,0)</f>
        <v>2021809</v>
      </c>
      <c r="EZ43" s="1248">
        <f>ROUND(EZ$5*FD43/FD$6,0)</f>
        <v>1850085</v>
      </c>
      <c r="FA43" s="1336">
        <f>ROUND(FA$5*FF43/FF$6,0)</f>
        <v>-2662</v>
      </c>
      <c r="FB43" s="1336">
        <f t="shared" ref="FB43:FB46" si="688">ROUND(FB$5*FE43/FE$6,0)</f>
        <v>100693</v>
      </c>
      <c r="FC43" s="1689">
        <f t="shared" si="363"/>
        <v>-50178</v>
      </c>
      <c r="FD43" s="1414">
        <f>'22R3'!K41</f>
        <v>2138696</v>
      </c>
      <c r="FE43" s="1310">
        <f>'22R3'!E41</f>
        <v>228582</v>
      </c>
      <c r="FF43" s="1690">
        <f>'22R3'!C41</f>
        <v>2570060</v>
      </c>
      <c r="FG43" s="1392">
        <f t="shared" si="300"/>
        <v>-96724</v>
      </c>
      <c r="FH43" s="1310">
        <f>FI43-FJ43</f>
        <v>-46546</v>
      </c>
      <c r="FI43" s="850">
        <f>ROUND(FI$5*FP43/FP$6,0)</f>
        <v>2138044</v>
      </c>
      <c r="FJ43" s="1248">
        <f>ROUND(FJ$5*FN43/FN$6,0)</f>
        <v>2184590</v>
      </c>
      <c r="FK43" s="1336">
        <f>ROUND(FK$5*FP43/FP$6,0)</f>
        <v>-4788</v>
      </c>
      <c r="FL43" s="1336">
        <f t="shared" ref="FL43:FL46" si="689">ROUND(FL$5*FO43/FO$6,0)</f>
        <v>110202</v>
      </c>
      <c r="FM43" s="1398">
        <f t="shared" si="302"/>
        <v>-50178</v>
      </c>
      <c r="FN43" s="1748">
        <f>'23R4'!K41</f>
        <v>2354568</v>
      </c>
      <c r="FO43" s="1332">
        <f>'23R4'!E41</f>
        <v>241380</v>
      </c>
      <c r="FP43" s="1690">
        <f>'23R4'!C41</f>
        <v>2634961</v>
      </c>
      <c r="FQ43" s="1310"/>
      <c r="FR43" s="1392">
        <f t="shared" si="303"/>
        <v>-136154</v>
      </c>
      <c r="FS43" s="1310">
        <f>FT43-FU43</f>
        <v>-85976</v>
      </c>
      <c r="FT43" s="868">
        <f>ROUND(FT$5*GA43/GA$6,0)</f>
        <v>2177929</v>
      </c>
      <c r="FU43" s="1248">
        <f>ROUND(FU$5*FY43/FY$6,0)</f>
        <v>2263905</v>
      </c>
      <c r="FV43" s="1336">
        <f>ROUND(FV$5*GA43/GA$6,0)</f>
        <v>-4799</v>
      </c>
      <c r="FW43" s="1336">
        <f t="shared" ref="FW43:FW46" si="690">ROUND(FW$5*FZ43/FZ$6,0)</f>
        <v>111022</v>
      </c>
      <c r="FX43" s="1398">
        <f t="shared" si="335"/>
        <v>-50178</v>
      </c>
      <c r="FY43" s="1332">
        <f>'24R5'!K41</f>
        <v>2478820</v>
      </c>
      <c r="FZ43" s="1332">
        <f>'24R5'!E41</f>
        <v>243098</v>
      </c>
      <c r="GA43" s="1319">
        <v>2266215</v>
      </c>
      <c r="GB43" s="1392">
        <f t="shared" si="305"/>
        <v>195716</v>
      </c>
      <c r="GC43" s="1310">
        <f>GD43-GE43</f>
        <v>245894</v>
      </c>
      <c r="GD43" s="868">
        <f>ROUND(GD$5*GK43/GK$6,0)</f>
        <v>2327963</v>
      </c>
      <c r="GE43" s="1248">
        <f>ROUND(GE$5*GI43/GI$6,0)</f>
        <v>2082069</v>
      </c>
      <c r="GF43" s="1336">
        <f>ROUND(GF$5*GK43/GK$6,0)</f>
        <v>-5019</v>
      </c>
      <c r="GG43" s="1336">
        <f t="shared" ref="GG43:GG46" si="691">ROUND(GG$5*GJ43/GJ$6,0)</f>
        <v>56811</v>
      </c>
      <c r="GH43" s="1398">
        <f t="shared" si="338"/>
        <v>-50178</v>
      </c>
      <c r="GI43" s="1332">
        <f>'25R6'!K41</f>
        <v>2246641</v>
      </c>
      <c r="GJ43" s="1332">
        <f>'25R6'!E41</f>
        <v>253516</v>
      </c>
      <c r="GK43" s="1319">
        <v>2266215</v>
      </c>
      <c r="GL43" s="1392">
        <f t="shared" si="307"/>
        <v>39792</v>
      </c>
      <c r="GM43" s="1310">
        <f>GN43-GO43</f>
        <v>89970</v>
      </c>
      <c r="GN43" s="868">
        <f>ROUND(GN$5*GU43/GU$6,0)</f>
        <v>2280618</v>
      </c>
      <c r="GO43" s="1248">
        <f>ROUND(GO$5*GS43/GS$6,0)</f>
        <v>2190648</v>
      </c>
      <c r="GP43" s="1336">
        <f>ROUND(GP$5*GU43/GU$6,0)</f>
        <v>-4926</v>
      </c>
      <c r="GQ43" s="1336">
        <f t="shared" ref="GQ43:GQ46" si="692">ROUND(GQ$5*GT43/GT$6,0)</f>
        <v>56717</v>
      </c>
      <c r="GR43" s="1406">
        <f t="shared" si="341"/>
        <v>-50178</v>
      </c>
      <c r="GS43" s="1748">
        <f>'26R7'!K41</f>
        <v>2380614</v>
      </c>
      <c r="GT43" s="1332">
        <f>'26R7'!E41</f>
        <v>264393</v>
      </c>
      <c r="GU43" s="1398">
        <v>2380614</v>
      </c>
      <c r="GV43" s="1392">
        <f t="shared" si="309"/>
        <v>35365</v>
      </c>
      <c r="GW43" s="1310">
        <f>GX43-GY43</f>
        <v>85543</v>
      </c>
      <c r="GX43" s="868">
        <f>ROUND(GX$5*HE43/HE$6,0)</f>
        <v>2328794</v>
      </c>
      <c r="GY43" s="1248">
        <f>ROUND(GY$5*HC43/HC$6,0)</f>
        <v>2243251</v>
      </c>
      <c r="GZ43" s="1336">
        <f>ROUND(GZ$5*HE43/HE$6,0)</f>
        <v>-5030</v>
      </c>
      <c r="HA43" s="1336">
        <f t="shared" ref="HA43:HA46" si="693">ROUND(HA$5*HD43/HD$6,0)</f>
        <v>26947</v>
      </c>
      <c r="HB43" s="1406">
        <f t="shared" si="344"/>
        <v>-50178</v>
      </c>
      <c r="HC43" s="1748">
        <f>'27R8'!U41</f>
        <v>2272262</v>
      </c>
      <c r="HD43" s="1690">
        <f>'27R8'!O41</f>
        <v>-27837</v>
      </c>
      <c r="HE43" s="1398">
        <v>2419537</v>
      </c>
      <c r="HF43" s="1392">
        <f t="shared" si="311"/>
        <v>39749</v>
      </c>
      <c r="HG43" s="1310">
        <f>HH43-HI43</f>
        <v>89927</v>
      </c>
      <c r="HH43" s="868">
        <f>ROUND(HH$5*HO43/HO$6,0)</f>
        <v>2387047</v>
      </c>
      <c r="HI43" s="1248">
        <f>ROUND(HI$5*HM43/HM$6,0)</f>
        <v>2297120</v>
      </c>
      <c r="HJ43" s="1336">
        <f>ROUND(HJ$5*HO43/HO$6,0)</f>
        <v>-5156</v>
      </c>
      <c r="HK43" s="1336">
        <f t="shared" ref="HK43:HK46" si="694">ROUND(HK$5*HN43/HN$6,0)</f>
        <v>26947</v>
      </c>
      <c r="HL43" s="1406">
        <f t="shared" si="347"/>
        <v>-50178</v>
      </c>
      <c r="HM43" s="1748">
        <f>'28R9'!U41</f>
        <v>2272262</v>
      </c>
      <c r="HN43" s="1332">
        <f>'28R9'!O41</f>
        <v>-27837</v>
      </c>
      <c r="HO43" s="1398">
        <v>2453681</v>
      </c>
      <c r="HQ43" s="1310">
        <f>市町名目!J42</f>
        <v>2390528</v>
      </c>
      <c r="HR43" s="1310">
        <f>市町名目!K42</f>
        <v>2346960</v>
      </c>
      <c r="HS43" s="1310">
        <f>市町名目!L42</f>
        <v>2570060</v>
      </c>
      <c r="HT43" s="1310">
        <f>市町名目!M42</f>
        <v>2634961</v>
      </c>
      <c r="HU43" s="1310">
        <f>市町名目!N42</f>
        <v>2656993</v>
      </c>
      <c r="HV43" s="1054">
        <v>2403380</v>
      </c>
      <c r="HW43" s="1030">
        <v>2713399</v>
      </c>
      <c r="HX43" s="1030">
        <v>2419537</v>
      </c>
      <c r="HY43" s="1030">
        <v>2453681</v>
      </c>
    </row>
    <row r="44" spans="1:233" ht="12.5">
      <c r="A44" s="1334">
        <v>442</v>
      </c>
      <c r="B44" s="1335" t="s">
        <v>203</v>
      </c>
      <c r="C44" s="1316">
        <f>+L44-J44</f>
        <v>3148</v>
      </c>
      <c r="D44" s="1248">
        <f>C44-I44</f>
        <v>2738</v>
      </c>
      <c r="E44" s="850">
        <f>ROUND(E$5*L44/L$6,0)</f>
        <v>35261</v>
      </c>
      <c r="F44" s="1248">
        <f>ROUND(F$5*J44/J$6,0)</f>
        <v>32665</v>
      </c>
      <c r="G44" s="830">
        <f>ROUND(G$5*L44/L$6,0)</f>
        <v>-56</v>
      </c>
      <c r="H44" s="830">
        <f t="shared" si="672"/>
        <v>3596</v>
      </c>
      <c r="I44" s="1317">
        <f t="shared" si="672"/>
        <v>410</v>
      </c>
      <c r="J44" s="1318">
        <f>'7H18'!K42</f>
        <v>38279</v>
      </c>
      <c r="K44" s="1248">
        <f>+'7H18'!E42</f>
        <v>5530</v>
      </c>
      <c r="L44" s="1317">
        <f>'7H18'!C42</f>
        <v>41427</v>
      </c>
      <c r="M44" s="1316">
        <f>+V44-T44</f>
        <v>-99</v>
      </c>
      <c r="N44" s="1248">
        <f>M44-S44</f>
        <v>-748</v>
      </c>
      <c r="O44" s="850">
        <f>ROUND(O$5*V44/V$6,0)</f>
        <v>35828</v>
      </c>
      <c r="P44" s="1248">
        <f>ROUND(P$5*T44/T$6,0)</f>
        <v>34897</v>
      </c>
      <c r="Q44" s="830">
        <f>ROUND(Q$5*V44/V$6,0)</f>
        <v>-86</v>
      </c>
      <c r="R44" s="830">
        <f t="shared" si="673"/>
        <v>3648</v>
      </c>
      <c r="S44" s="1317">
        <f t="shared" si="673"/>
        <v>649</v>
      </c>
      <c r="T44" s="1318">
        <f>+'8H19'!K42</f>
        <v>39255</v>
      </c>
      <c r="U44" s="1248">
        <f>+'8H19'!E42</f>
        <v>5657</v>
      </c>
      <c r="V44" s="1317">
        <f>'8H19'!C42</f>
        <v>39156</v>
      </c>
      <c r="W44" s="1316">
        <f>+AF44-AD44</f>
        <v>-2080</v>
      </c>
      <c r="X44" s="1248">
        <f>W44-AC44</f>
        <v>-2627</v>
      </c>
      <c r="Y44" s="850">
        <f>ROUND(Y$5*AF44/AF$6,0)</f>
        <v>32684</v>
      </c>
      <c r="Z44" s="1248">
        <f>ROUND(Z$5*AD44/AD$6,0)</f>
        <v>36248</v>
      </c>
      <c r="AA44" s="830">
        <f>ROUND(AA$5*AF44/AF$6,0)</f>
        <v>-210</v>
      </c>
      <c r="AB44" s="830">
        <f t="shared" si="674"/>
        <v>3559</v>
      </c>
      <c r="AC44" s="1317">
        <f t="shared" si="674"/>
        <v>547</v>
      </c>
      <c r="AD44" s="1318">
        <f>+'9H20'!K42</f>
        <v>41080</v>
      </c>
      <c r="AE44" s="1248">
        <f>+'9H20'!E42</f>
        <v>5961</v>
      </c>
      <c r="AF44" s="1317">
        <f>'9H20'!C42</f>
        <v>39000</v>
      </c>
      <c r="AG44" s="1316">
        <f>+AP44-AN44</f>
        <v>700</v>
      </c>
      <c r="AH44" s="1248">
        <f>AG44-AM44</f>
        <v>1110</v>
      </c>
      <c r="AI44" s="850">
        <f>ROUND(AI$5*AP44/AP$6,0)</f>
        <v>27458</v>
      </c>
      <c r="AJ44" s="1248">
        <f>ROUND(AJ$5*AN44/AN$6,0)</f>
        <v>30340</v>
      </c>
      <c r="AK44" s="830">
        <f>ROUND(AK$5*AP44/AP$6,0)</f>
        <v>26</v>
      </c>
      <c r="AL44" s="830">
        <f t="shared" si="675"/>
        <v>3482</v>
      </c>
      <c r="AM44" s="1317">
        <f t="shared" si="675"/>
        <v>-410</v>
      </c>
      <c r="AN44" s="1318">
        <f>+'10H21'!K42</f>
        <v>36951</v>
      </c>
      <c r="AO44" s="1248">
        <f>+'10H21'!E42</f>
        <v>6224</v>
      </c>
      <c r="AP44" s="1317">
        <f>'10H21'!C42</f>
        <v>37651</v>
      </c>
      <c r="AQ44" s="1316">
        <f>+AZ44-AX44</f>
        <v>-769</v>
      </c>
      <c r="AR44" s="1248">
        <f>AQ44-AW44</f>
        <v>-1171</v>
      </c>
      <c r="AS44" s="850">
        <f>ROUND(AS$5*AZ44/AZ$6,0)</f>
        <v>26661</v>
      </c>
      <c r="AT44" s="1248">
        <f>ROUND(AT$5*AX44/AX$6,0)</f>
        <v>30450</v>
      </c>
      <c r="AU44" s="830">
        <f>ROUND(AU$5*AZ44/AZ$6,0)</f>
        <v>-195</v>
      </c>
      <c r="AV44" s="830">
        <f t="shared" si="676"/>
        <v>3645</v>
      </c>
      <c r="AW44" s="1317">
        <f t="shared" si="676"/>
        <v>402</v>
      </c>
      <c r="AX44" s="1318">
        <f>+'11H22'!K42</f>
        <v>36222</v>
      </c>
      <c r="AY44" s="1248">
        <f>+'11H22'!E42</f>
        <v>6180</v>
      </c>
      <c r="AZ44" s="1317">
        <f>'11H22'!C42</f>
        <v>35453</v>
      </c>
      <c r="BA44" s="1316">
        <f>+BJ44-BH44</f>
        <v>-7168</v>
      </c>
      <c r="BB44" s="1248">
        <f>BA44-BG44</f>
        <v>-7483</v>
      </c>
      <c r="BC44" s="850">
        <f>ROUND(BC$5*BJ44/BJ$6,0)</f>
        <v>25255</v>
      </c>
      <c r="BD44" s="1248">
        <f>ROUND(BD$5*BH44/BH$6,0)</f>
        <v>33470</v>
      </c>
      <c r="BE44" s="830">
        <f>ROUND(BE$5*BJ44/BJ$6,0)</f>
        <v>-127</v>
      </c>
      <c r="BF44" s="830">
        <f t="shared" si="677"/>
        <v>3873</v>
      </c>
      <c r="BG44" s="1317">
        <f t="shared" si="677"/>
        <v>315</v>
      </c>
      <c r="BH44" s="1318">
        <f>+'12H23'!K42</f>
        <v>39012</v>
      </c>
      <c r="BI44" s="1248">
        <f>+'12H23'!E42</f>
        <v>6796</v>
      </c>
      <c r="BJ44" s="1317">
        <f>'12H23'!C42</f>
        <v>31844</v>
      </c>
      <c r="BK44" s="1316">
        <f>+BT44-BR44</f>
        <v>-3860</v>
      </c>
      <c r="BL44" s="1248">
        <f>BK44-BQ44</f>
        <v>-4418</v>
      </c>
      <c r="BM44" s="850">
        <f>ROUND(BM$5*BT44/BT$6,0)</f>
        <v>26201</v>
      </c>
      <c r="BN44" s="1248">
        <f>ROUND(BN$5*BR44/BR$6,0)</f>
        <v>32099</v>
      </c>
      <c r="BO44" s="830">
        <f>ROUND(BO$5*BT44/BT$6,0)</f>
        <v>-109</v>
      </c>
      <c r="BP44" s="830">
        <f t="shared" si="678"/>
        <v>3403</v>
      </c>
      <c r="BQ44" s="1317">
        <f t="shared" si="678"/>
        <v>558</v>
      </c>
      <c r="BR44" s="1318">
        <f>+'13H24'!K42</f>
        <v>37491</v>
      </c>
      <c r="BS44" s="1248">
        <f>+'13H24'!E42</f>
        <v>6217</v>
      </c>
      <c r="BT44" s="1317">
        <f>'13H24'!C42</f>
        <v>33631</v>
      </c>
      <c r="BU44" s="1316">
        <f>+CD44-CB44</f>
        <v>-2011</v>
      </c>
      <c r="BV44" s="1248">
        <f>BU44-CA44</f>
        <v>-2529</v>
      </c>
      <c r="BW44" s="850">
        <f>ROUND(BW$5*CD44/CD$6,0)</f>
        <v>28791</v>
      </c>
      <c r="BX44" s="1248">
        <f>ROUND(BX$5*CB44/CB$6,0)</f>
        <v>33293</v>
      </c>
      <c r="BY44" s="830">
        <f>ROUND(BY$5*CD44/CD$6,0)</f>
        <v>-119</v>
      </c>
      <c r="BZ44" s="830">
        <f t="shared" si="679"/>
        <v>3332</v>
      </c>
      <c r="CA44" s="1317">
        <f t="shared" si="679"/>
        <v>518</v>
      </c>
      <c r="CB44" s="1318">
        <f>+'14H25'!K42</f>
        <v>38908</v>
      </c>
      <c r="CC44" s="1248">
        <f>+'14H25'!E42</f>
        <v>6332</v>
      </c>
      <c r="CD44" s="1317">
        <f>'14H25'!C42</f>
        <v>36897</v>
      </c>
      <c r="CE44" s="1316">
        <f>+CN44-CL44</f>
        <v>-3359</v>
      </c>
      <c r="CF44" s="1248">
        <f>CE44-CK44</f>
        <v>-2974</v>
      </c>
      <c r="CG44" s="850">
        <f>ROUND(CG$5*CN44/CN$6,0)</f>
        <v>28515</v>
      </c>
      <c r="CH44" s="1248">
        <f>ROUND(CH$5*CL44/CL$6,0)</f>
        <v>33321</v>
      </c>
      <c r="CI44" s="830">
        <f>ROUND(CI$5*CN44/CN$6,0)</f>
        <v>-124</v>
      </c>
      <c r="CJ44" s="830">
        <f t="shared" si="680"/>
        <v>3728</v>
      </c>
      <c r="CK44" s="1317">
        <f t="shared" si="680"/>
        <v>-385</v>
      </c>
      <c r="CL44" s="1318">
        <f>+'15H26'!K42</f>
        <v>38765</v>
      </c>
      <c r="CM44" s="1248">
        <f>+'15H26'!E42</f>
        <v>7115</v>
      </c>
      <c r="CN44" s="1317">
        <f>'15H26'!C42</f>
        <v>35406</v>
      </c>
      <c r="CO44" s="1316">
        <f>+CX44-CV44</f>
        <v>-4263</v>
      </c>
      <c r="CP44" s="1248">
        <f>CO44-CU44</f>
        <v>-4665</v>
      </c>
      <c r="CQ44" s="850">
        <f>ROUND(CQ$5*CX44/CX$6,0)</f>
        <v>27479</v>
      </c>
      <c r="CR44" s="1248">
        <f>ROUND(CR$5*CV44/CV$6,0)</f>
        <v>33010</v>
      </c>
      <c r="CS44" s="830">
        <f>ROUND(CS$5*CX44/CX$6,0)</f>
        <v>-124</v>
      </c>
      <c r="CT44" s="830">
        <f t="shared" si="681"/>
        <v>4015</v>
      </c>
      <c r="CU44" s="1317">
        <f t="shared" si="681"/>
        <v>402</v>
      </c>
      <c r="CV44" s="1318">
        <f>+'16H27'!K42</f>
        <v>39707</v>
      </c>
      <c r="CW44" s="1248">
        <f>+'16H27'!E42</f>
        <v>7895</v>
      </c>
      <c r="CX44" s="1317">
        <f>'16H27'!C42</f>
        <v>35444</v>
      </c>
      <c r="CY44" s="1316">
        <f>+DH44-DF44</f>
        <v>220</v>
      </c>
      <c r="CZ44" s="1248">
        <f>CY44-DE44</f>
        <v>251</v>
      </c>
      <c r="DA44" s="850">
        <f>ROUND(DA$5*DH44/DH$6,0)</f>
        <v>28194</v>
      </c>
      <c r="DB44" s="1248">
        <f>ROUND(DB$5*DF44/DF$6,0)</f>
        <v>30323</v>
      </c>
      <c r="DC44" s="830">
        <f>ROUND(DC$5*DH44/DH$6,0)</f>
        <v>-119</v>
      </c>
      <c r="DD44" s="830">
        <f t="shared" si="682"/>
        <v>3928</v>
      </c>
      <c r="DE44" s="1317">
        <f t="shared" si="682"/>
        <v>-31</v>
      </c>
      <c r="DF44" s="1318">
        <f>+'17H28'!K42</f>
        <v>37496</v>
      </c>
      <c r="DG44" s="1248">
        <f>+'17H28'!E42</f>
        <v>7639</v>
      </c>
      <c r="DH44" s="1317">
        <f>'17H28'!C42</f>
        <v>37716</v>
      </c>
      <c r="DI44" s="1316">
        <f>+DR44-DP44</f>
        <v>-3594</v>
      </c>
      <c r="DJ44" s="1248">
        <f>DI44-DO44</f>
        <v>-2235</v>
      </c>
      <c r="DK44" s="850">
        <f>ROUND(DK$5*DR44/DR$6,0)</f>
        <v>29485</v>
      </c>
      <c r="DL44" s="1248">
        <f>ROUND(DL$5*DP44/DP$6,0)</f>
        <v>34352</v>
      </c>
      <c r="DM44" s="830">
        <f>ROUND(DM$5*DR44/DR$6,0)</f>
        <v>-94</v>
      </c>
      <c r="DN44" s="830">
        <f t="shared" si="683"/>
        <v>3432</v>
      </c>
      <c r="DO44" s="1317">
        <f t="shared" si="683"/>
        <v>-1359</v>
      </c>
      <c r="DP44" s="1318">
        <f>+'18H29'!K42</f>
        <v>41388</v>
      </c>
      <c r="DQ44" s="1248">
        <f>+'18H29'!E42</f>
        <v>7448</v>
      </c>
      <c r="DR44" s="1317">
        <f>+'18H29'!C42</f>
        <v>37794</v>
      </c>
      <c r="DS44" s="1316">
        <f>+EB44-DZ44</f>
        <v>-6518</v>
      </c>
      <c r="DT44" s="1248">
        <f>DS44-DY44</f>
        <v>-4391</v>
      </c>
      <c r="DU44" s="850">
        <f>ROUND(DU$5*EB44/EB$6,0)</f>
        <v>30564</v>
      </c>
      <c r="DV44" s="1248">
        <f>ROUND(DV$5*DZ44/DZ$6,0)</f>
        <v>38498</v>
      </c>
      <c r="DW44" s="830">
        <f>ROUND(DW$5*EB44/EB$6,0)</f>
        <v>-100</v>
      </c>
      <c r="DX44" s="830">
        <f t="shared" si="684"/>
        <v>3394</v>
      </c>
      <c r="DY44" s="1317">
        <f t="shared" si="684"/>
        <v>-2127</v>
      </c>
      <c r="DZ44" s="1318">
        <f>+'19H30'!K42</f>
        <v>45206</v>
      </c>
      <c r="EA44" s="1248">
        <f>+'19H30'!E42</f>
        <v>7210</v>
      </c>
      <c r="EB44" s="1317">
        <f>+'19H30'!C42</f>
        <v>38688</v>
      </c>
      <c r="EC44" s="1316">
        <f>+EL44-EJ44</f>
        <v>-4250</v>
      </c>
      <c r="ED44" s="1248">
        <f>EC44-EI44</f>
        <v>-1177</v>
      </c>
      <c r="EE44" s="850">
        <f>ROUND(EE$5*EL44/EL$6,0)</f>
        <v>30652</v>
      </c>
      <c r="EF44" s="1248">
        <f>ROUND(EF$5*EJ44/EJ$6,0)</f>
        <v>36720</v>
      </c>
      <c r="EG44" s="830">
        <f>ROUND(EG$5*EL44/EL$6,0)</f>
        <v>-96</v>
      </c>
      <c r="EH44" s="830">
        <f t="shared" si="685"/>
        <v>3652</v>
      </c>
      <c r="EI44" s="1317">
        <f t="shared" si="685"/>
        <v>-3073</v>
      </c>
      <c r="EJ44" s="1318">
        <f>+'20R1'!K42</f>
        <v>43839</v>
      </c>
      <c r="EK44" s="1248">
        <f>+'20R1'!E42</f>
        <v>7968</v>
      </c>
      <c r="EL44" s="1317">
        <f>+'20R1'!C42</f>
        <v>39589</v>
      </c>
      <c r="EM44" s="1316">
        <f>+EV44-ET44</f>
        <v>-1456</v>
      </c>
      <c r="EN44" s="1248">
        <f>EM44-ES44</f>
        <v>-756</v>
      </c>
      <c r="EO44" s="850">
        <f>ROUND(EO$5*EV44/EV$6,0)</f>
        <v>27439</v>
      </c>
      <c r="EP44" s="1248">
        <f>ROUND(EP$5*ET44/ET$6,0)</f>
        <v>31823</v>
      </c>
      <c r="EQ44" s="1336">
        <f>ROUND(EQ$5*EV44/EV$6,0)</f>
        <v>-72</v>
      </c>
      <c r="ER44" s="1336">
        <f t="shared" si="686"/>
        <v>3654</v>
      </c>
      <c r="ES44" s="850">
        <f t="shared" si="687"/>
        <v>-700</v>
      </c>
      <c r="ET44" s="1331">
        <f>'21R2'!K42</f>
        <v>39664</v>
      </c>
      <c r="EU44" s="1248">
        <f>'21R2'!E42</f>
        <v>8063</v>
      </c>
      <c r="EV44" s="1317">
        <f>+'21R2'!C42</f>
        <v>38208</v>
      </c>
      <c r="EW44" s="1392">
        <f t="shared" si="298"/>
        <v>-2307</v>
      </c>
      <c r="EX44" s="1310">
        <f>EY44-EZ44</f>
        <v>-1488</v>
      </c>
      <c r="EY44" s="850">
        <f>ROUND(EY$5*FF44/FF$6,0)</f>
        <v>33018</v>
      </c>
      <c r="EZ44" s="1248">
        <f>ROUND(EZ$5*FD44/FD$6,0)</f>
        <v>34506</v>
      </c>
      <c r="FA44" s="1336">
        <f>ROUND(FA$5*FF44/FF$6,0)</f>
        <v>-43</v>
      </c>
      <c r="FB44" s="1336">
        <f t="shared" si="688"/>
        <v>3698</v>
      </c>
      <c r="FC44" s="1689">
        <f t="shared" si="363"/>
        <v>-819</v>
      </c>
      <c r="FD44" s="1414">
        <f>'22R3'!K42</f>
        <v>39889</v>
      </c>
      <c r="FE44" s="1310">
        <f>'22R3'!E42</f>
        <v>8395</v>
      </c>
      <c r="FF44" s="1690">
        <f>'22R3'!C42</f>
        <v>41972</v>
      </c>
      <c r="FG44" s="1392">
        <f t="shared" si="300"/>
        <v>-7642</v>
      </c>
      <c r="FH44" s="1310">
        <f>FI44-FJ44</f>
        <v>-6823</v>
      </c>
      <c r="FI44" s="850">
        <f>ROUND(FI$5*FP44/FP$6,0)</f>
        <v>34272</v>
      </c>
      <c r="FJ44" s="1248">
        <f>ROUND(FJ$5*FN44/FN$6,0)</f>
        <v>41095</v>
      </c>
      <c r="FK44" s="1336">
        <f>ROUND(FK$5*FP44/FP$6,0)</f>
        <v>-77</v>
      </c>
      <c r="FL44" s="1336">
        <f t="shared" si="689"/>
        <v>3674</v>
      </c>
      <c r="FM44" s="1398">
        <f t="shared" si="302"/>
        <v>-819</v>
      </c>
      <c r="FN44" s="1748">
        <f>'23R4'!K42</f>
        <v>44293</v>
      </c>
      <c r="FO44" s="1332">
        <f>'23R4'!E42</f>
        <v>8048</v>
      </c>
      <c r="FP44" s="1690">
        <f>'23R4'!C42</f>
        <v>42237</v>
      </c>
      <c r="FQ44" s="1310"/>
      <c r="FR44" s="1392">
        <f t="shared" si="303"/>
        <v>5388</v>
      </c>
      <c r="FS44" s="1310">
        <f>FT44-FU44</f>
        <v>6207</v>
      </c>
      <c r="FT44" s="868">
        <f>ROUND(FT$5*GA44/GA$6,0)</f>
        <v>42951</v>
      </c>
      <c r="FU44" s="1248">
        <f>ROUND(FU$5*FY44/FY$6,0)</f>
        <v>36744</v>
      </c>
      <c r="FV44" s="1336">
        <f>ROUND(FV$5*GA44/GA$6,0)</f>
        <v>-95</v>
      </c>
      <c r="FW44" s="1336">
        <f t="shared" si="690"/>
        <v>3852</v>
      </c>
      <c r="FX44" s="1398">
        <f t="shared" si="335"/>
        <v>-819</v>
      </c>
      <c r="FY44" s="1332">
        <f>'24R5'!K42</f>
        <v>40232</v>
      </c>
      <c r="FZ44" s="1332">
        <f>'24R5'!E42</f>
        <v>8435</v>
      </c>
      <c r="GA44" s="1319">
        <v>44692</v>
      </c>
      <c r="GB44" s="1392">
        <f t="shared" si="305"/>
        <v>-3359</v>
      </c>
      <c r="GC44" s="1310">
        <f>GD44-GE44</f>
        <v>-2540</v>
      </c>
      <c r="GD44" s="868">
        <f>ROUND(GD$5*GK44/GK$6,0)</f>
        <v>45910</v>
      </c>
      <c r="GE44" s="1248">
        <f>ROUND(GE$5*GI44/GI$6,0)</f>
        <v>48450</v>
      </c>
      <c r="GF44" s="1336">
        <f>ROUND(GF$5*GK44/GK$6,0)</f>
        <v>-99</v>
      </c>
      <c r="GG44" s="1336">
        <f t="shared" si="691"/>
        <v>1994</v>
      </c>
      <c r="GH44" s="1398">
        <f t="shared" si="338"/>
        <v>-819</v>
      </c>
      <c r="GI44" s="1332">
        <f>'25R6'!K42</f>
        <v>52280</v>
      </c>
      <c r="GJ44" s="1332">
        <f>'25R6'!E42</f>
        <v>8897</v>
      </c>
      <c r="GK44" s="1319">
        <v>44692</v>
      </c>
      <c r="GL44" s="1392">
        <f t="shared" si="307"/>
        <v>1123</v>
      </c>
      <c r="GM44" s="1310">
        <f>GN44-GO44</f>
        <v>1942</v>
      </c>
      <c r="GN44" s="868">
        <f>ROUND(GN$5*GU44/GU$6,0)</f>
        <v>49226</v>
      </c>
      <c r="GO44" s="1248">
        <f>ROUND(GO$5*GS44/GS$6,0)</f>
        <v>47284</v>
      </c>
      <c r="GP44" s="1336">
        <f>ROUND(GP$5*GU44/GU$6,0)</f>
        <v>-106</v>
      </c>
      <c r="GQ44" s="1336">
        <f t="shared" si="692"/>
        <v>1950</v>
      </c>
      <c r="GR44" s="1406">
        <f t="shared" si="341"/>
        <v>-819</v>
      </c>
      <c r="GS44" s="1748">
        <f>'26R7'!K42</f>
        <v>51384</v>
      </c>
      <c r="GT44" s="1332">
        <f>'26R7'!E42</f>
        <v>9090</v>
      </c>
      <c r="GU44" s="1398">
        <v>51384</v>
      </c>
      <c r="GV44" s="1392">
        <f t="shared" si="309"/>
        <v>539</v>
      </c>
      <c r="GW44" s="1310">
        <f>GX44-GY44</f>
        <v>1358</v>
      </c>
      <c r="GX44" s="868">
        <f>ROUND(GX$5*HE44/HE$6,0)</f>
        <v>48960</v>
      </c>
      <c r="GY44" s="1248">
        <f>ROUND(GY$5*HC44/HC$6,0)</f>
        <v>47602</v>
      </c>
      <c r="GZ44" s="1336">
        <f>ROUND(GZ$5*HE44/HE$6,0)</f>
        <v>-106</v>
      </c>
      <c r="HA44" s="1336">
        <f t="shared" si="693"/>
        <v>2244</v>
      </c>
      <c r="HB44" s="1406">
        <f t="shared" si="344"/>
        <v>-819</v>
      </c>
      <c r="HC44" s="1748">
        <f>'27R8'!U42</f>
        <v>48218</v>
      </c>
      <c r="HD44" s="1690">
        <f>'27R8'!O42</f>
        <v>-2318</v>
      </c>
      <c r="HE44" s="1398">
        <v>50868</v>
      </c>
      <c r="HF44" s="1392">
        <f t="shared" si="311"/>
        <v>-521</v>
      </c>
      <c r="HG44" s="1310">
        <f>HH44-HI44</f>
        <v>298</v>
      </c>
      <c r="HH44" s="868">
        <f>ROUND(HH$5*HO44/HO$6,0)</f>
        <v>49044</v>
      </c>
      <c r="HI44" s="1248">
        <f>ROUND(HI$5*HM44/HM$6,0)</f>
        <v>48746</v>
      </c>
      <c r="HJ44" s="1336">
        <f>ROUND(HJ$5*HO44/HO$6,0)</f>
        <v>-106</v>
      </c>
      <c r="HK44" s="1336">
        <f t="shared" si="694"/>
        <v>2244</v>
      </c>
      <c r="HL44" s="1406">
        <f t="shared" si="347"/>
        <v>-819</v>
      </c>
      <c r="HM44" s="1748">
        <f>'28R9'!U42</f>
        <v>48218</v>
      </c>
      <c r="HN44" s="1332">
        <f>'28R9'!O42</f>
        <v>-2318</v>
      </c>
      <c r="HO44" s="1398">
        <v>50413</v>
      </c>
      <c r="HQ44" s="1310">
        <f>市町名目!J43</f>
        <v>39589</v>
      </c>
      <c r="HR44" s="1310">
        <f>市町名目!K43</f>
        <v>38208</v>
      </c>
      <c r="HS44" s="1310">
        <f>市町名目!L43</f>
        <v>41972</v>
      </c>
      <c r="HT44" s="1310">
        <f>市町名目!M43</f>
        <v>42237</v>
      </c>
      <c r="HU44" s="1310">
        <f>市町名目!N43</f>
        <v>44652</v>
      </c>
      <c r="HV44" s="1054">
        <v>42623</v>
      </c>
      <c r="HW44" s="1030">
        <v>49374</v>
      </c>
      <c r="HX44" s="1030">
        <v>50868</v>
      </c>
      <c r="HY44" s="1030">
        <v>50413</v>
      </c>
    </row>
    <row r="45" spans="1:233" ht="12.5">
      <c r="A45" s="1334">
        <v>443</v>
      </c>
      <c r="B45" s="1335" t="s">
        <v>204</v>
      </c>
      <c r="C45" s="1316">
        <f>+L45-J45</f>
        <v>75315</v>
      </c>
      <c r="D45" s="1248">
        <f>C45-I45</f>
        <v>73922</v>
      </c>
      <c r="E45" s="850">
        <f>ROUND(E$5*L45/L$6,0)</f>
        <v>119790</v>
      </c>
      <c r="F45" s="1248">
        <f>ROUND(F$5*J45/J$6,0)</f>
        <v>55827</v>
      </c>
      <c r="G45" s="830">
        <f>ROUND(G$5*L45/L$6,0)</f>
        <v>-191</v>
      </c>
      <c r="H45" s="830">
        <f t="shared" si="672"/>
        <v>4486</v>
      </c>
      <c r="I45" s="1317">
        <f t="shared" si="672"/>
        <v>1393</v>
      </c>
      <c r="J45" s="1318">
        <f>'7H18'!K43</f>
        <v>65422</v>
      </c>
      <c r="K45" s="1248">
        <f>+'7H18'!E43</f>
        <v>6898</v>
      </c>
      <c r="L45" s="1317">
        <f>'7H18'!C43</f>
        <v>140737</v>
      </c>
      <c r="M45" s="1316">
        <f>+V45-T45</f>
        <v>76039</v>
      </c>
      <c r="N45" s="1248">
        <f>M45-S45</f>
        <v>73664</v>
      </c>
      <c r="O45" s="850">
        <f>ROUND(O$5*V45/V$6,0)</f>
        <v>131031</v>
      </c>
      <c r="P45" s="1248">
        <f>ROUND(P$5*T45/T$6,0)</f>
        <v>59708</v>
      </c>
      <c r="Q45" s="830">
        <f>ROUND(Q$5*V45/V$6,0)</f>
        <v>-314</v>
      </c>
      <c r="R45" s="830">
        <f t="shared" si="673"/>
        <v>4368</v>
      </c>
      <c r="S45" s="1317">
        <f t="shared" si="673"/>
        <v>2375</v>
      </c>
      <c r="T45" s="1318">
        <f>+'8H19'!K43</f>
        <v>67165</v>
      </c>
      <c r="U45" s="1248">
        <f>+'8H19'!E43</f>
        <v>6774</v>
      </c>
      <c r="V45" s="1317">
        <f>'8H19'!C43</f>
        <v>143204</v>
      </c>
      <c r="W45" s="1316">
        <f>+AF45-AD45</f>
        <v>81261</v>
      </c>
      <c r="X45" s="1248">
        <f>W45-AC45</f>
        <v>79191</v>
      </c>
      <c r="Y45" s="850">
        <f>ROUND(Y$5*AF45/AF$6,0)</f>
        <v>123640</v>
      </c>
      <c r="Z45" s="1248">
        <f>ROUND(Z$5*AD45/AD$6,0)</f>
        <v>58477</v>
      </c>
      <c r="AA45" s="830">
        <f>ROUND(AA$5*AF45/AF$6,0)</f>
        <v>-796</v>
      </c>
      <c r="AB45" s="830">
        <f t="shared" si="674"/>
        <v>4355</v>
      </c>
      <c r="AC45" s="1317">
        <f t="shared" si="674"/>
        <v>2070</v>
      </c>
      <c r="AD45" s="1318">
        <f>+'9H20'!K43</f>
        <v>66273</v>
      </c>
      <c r="AE45" s="1248">
        <f>+'9H20'!E43</f>
        <v>7293</v>
      </c>
      <c r="AF45" s="1317">
        <f>'9H20'!C43</f>
        <v>147534</v>
      </c>
      <c r="AG45" s="1316">
        <f>+AP45-AN45</f>
        <v>90444</v>
      </c>
      <c r="AH45" s="1248">
        <f>AG45-AM45</f>
        <v>92056</v>
      </c>
      <c r="AI45" s="850">
        <f>ROUND(AI$5*AP45/AP$6,0)</f>
        <v>108037</v>
      </c>
      <c r="AJ45" s="1248">
        <f>ROUND(AJ$5*AN45/AN$6,0)</f>
        <v>47376</v>
      </c>
      <c r="AK45" s="830">
        <f>ROUND(AK$5*AP45/AP$6,0)</f>
        <v>102</v>
      </c>
      <c r="AL45" s="830">
        <f t="shared" si="675"/>
        <v>4488</v>
      </c>
      <c r="AM45" s="1317">
        <f t="shared" si="675"/>
        <v>-1612</v>
      </c>
      <c r="AN45" s="1318">
        <f>+'10H21'!K43</f>
        <v>57699</v>
      </c>
      <c r="AO45" s="1248">
        <f>+'10H21'!E43</f>
        <v>8022</v>
      </c>
      <c r="AP45" s="1317">
        <f>'10H21'!C43</f>
        <v>148143</v>
      </c>
      <c r="AQ45" s="1316">
        <f>+AZ45-AX45</f>
        <v>104436</v>
      </c>
      <c r="AR45" s="1248">
        <f>AQ45-AW45</f>
        <v>102552</v>
      </c>
      <c r="AS45" s="850">
        <f>ROUND(AS$5*AZ45/AZ$6,0)</f>
        <v>124926</v>
      </c>
      <c r="AT45" s="1248">
        <f>ROUND(AT$5*AX45/AX$6,0)</f>
        <v>51855</v>
      </c>
      <c r="AU45" s="830">
        <f>ROUND(AU$5*AZ45/AZ$6,0)</f>
        <v>-915</v>
      </c>
      <c r="AV45" s="830">
        <f t="shared" si="676"/>
        <v>4580</v>
      </c>
      <c r="AW45" s="1317">
        <f t="shared" si="676"/>
        <v>1884</v>
      </c>
      <c r="AX45" s="1318">
        <f>+'11H22'!K43</f>
        <v>61685</v>
      </c>
      <c r="AY45" s="1248">
        <f>+'11H22'!E43</f>
        <v>7766</v>
      </c>
      <c r="AZ45" s="1317">
        <f>'11H22'!C43</f>
        <v>166121</v>
      </c>
      <c r="BA45" s="1316">
        <f>+BJ45-BH45</f>
        <v>82465</v>
      </c>
      <c r="BB45" s="1248">
        <f>BA45-BG45</f>
        <v>80916</v>
      </c>
      <c r="BC45" s="850">
        <f>ROUND(BC$5*BJ45/BJ$6,0)</f>
        <v>124151</v>
      </c>
      <c r="BD45" s="1248">
        <f>ROUND(BD$5*BH45/BH$6,0)</f>
        <v>63551</v>
      </c>
      <c r="BE45" s="830">
        <f>ROUND(BE$5*BJ45/BJ$6,0)</f>
        <v>-623</v>
      </c>
      <c r="BF45" s="830">
        <f t="shared" si="677"/>
        <v>4729</v>
      </c>
      <c r="BG45" s="1317">
        <f t="shared" si="677"/>
        <v>1549</v>
      </c>
      <c r="BH45" s="1318">
        <f>+'12H23'!K43</f>
        <v>74074</v>
      </c>
      <c r="BI45" s="1248">
        <f>+'12H23'!E43</f>
        <v>8298</v>
      </c>
      <c r="BJ45" s="1317">
        <f>'12H23'!C43</f>
        <v>156539</v>
      </c>
      <c r="BK45" s="1316">
        <f>+BT45-BR45</f>
        <v>81754</v>
      </c>
      <c r="BL45" s="1248">
        <f>BK45-BQ45</f>
        <v>79340</v>
      </c>
      <c r="BM45" s="850">
        <f>ROUND(BM$5*BT45/BT$6,0)</f>
        <v>113421</v>
      </c>
      <c r="BN45" s="1248">
        <f>ROUND(BN$5*BR45/BR$6,0)</f>
        <v>54650</v>
      </c>
      <c r="BO45" s="830">
        <f>ROUND(BO$5*BT45/BT$6,0)</f>
        <v>-471</v>
      </c>
      <c r="BP45" s="830">
        <f t="shared" si="678"/>
        <v>4674</v>
      </c>
      <c r="BQ45" s="1317">
        <f t="shared" si="678"/>
        <v>2414</v>
      </c>
      <c r="BR45" s="1318">
        <f>+'13H24'!K43</f>
        <v>63830</v>
      </c>
      <c r="BS45" s="1248">
        <f>+'13H24'!E43</f>
        <v>8538</v>
      </c>
      <c r="BT45" s="1317">
        <f>'13H24'!C43</f>
        <v>145584</v>
      </c>
      <c r="BU45" s="1316">
        <f>+CD45-CB45</f>
        <v>91627</v>
      </c>
      <c r="BV45" s="1248">
        <f>BU45-CA45</f>
        <v>89329</v>
      </c>
      <c r="BW45" s="850">
        <f>ROUND(BW$5*CD45/CD$6,0)</f>
        <v>127759</v>
      </c>
      <c r="BX45" s="1248">
        <f>ROUND(BX$5*CB45/CB$6,0)</f>
        <v>61693</v>
      </c>
      <c r="BY45" s="830">
        <f>ROUND(BY$5*CD45/CD$6,0)</f>
        <v>-527</v>
      </c>
      <c r="BZ45" s="830">
        <f t="shared" si="679"/>
        <v>4578</v>
      </c>
      <c r="CA45" s="1317">
        <f t="shared" si="679"/>
        <v>2298</v>
      </c>
      <c r="CB45" s="1318">
        <f>+'14H25'!K43</f>
        <v>72099</v>
      </c>
      <c r="CC45" s="1248">
        <f>+'14H25'!E43</f>
        <v>8700</v>
      </c>
      <c r="CD45" s="1317">
        <f>'14H25'!C43</f>
        <v>163726</v>
      </c>
      <c r="CE45" s="1316">
        <f>+CN45-CL45</f>
        <v>87620</v>
      </c>
      <c r="CF45" s="1248">
        <f>CE45-CK45</f>
        <v>89403</v>
      </c>
      <c r="CG45" s="850">
        <f>ROUND(CG$5*CN45/CN$6,0)</f>
        <v>132035</v>
      </c>
      <c r="CH45" s="1248">
        <f>ROUND(CH$5*CL45/CL$6,0)</f>
        <v>65602</v>
      </c>
      <c r="CI45" s="830">
        <f>ROUND(CI$5*CN45/CN$6,0)</f>
        <v>-574</v>
      </c>
      <c r="CJ45" s="830">
        <f t="shared" si="680"/>
        <v>5007</v>
      </c>
      <c r="CK45" s="1317">
        <f t="shared" si="680"/>
        <v>-1783</v>
      </c>
      <c r="CL45" s="1318">
        <f>+'15H26'!K43</f>
        <v>76320</v>
      </c>
      <c r="CM45" s="1248">
        <f>+'15H26'!E43</f>
        <v>9556</v>
      </c>
      <c r="CN45" s="1317">
        <f>'15H26'!C43</f>
        <v>163940</v>
      </c>
      <c r="CO45" s="1316">
        <f>+CX45-CV45</f>
        <v>95749</v>
      </c>
      <c r="CP45" s="1248">
        <f>CO45-CU45</f>
        <v>93830</v>
      </c>
      <c r="CQ45" s="850">
        <f>ROUND(CQ$5*CX45/CX$6,0)</f>
        <v>131182</v>
      </c>
      <c r="CR45" s="1248">
        <f>ROUND(CR$5*CV45/CV$6,0)</f>
        <v>61067</v>
      </c>
      <c r="CS45" s="830">
        <f>ROUND(CS$5*CX45/CX$6,0)</f>
        <v>-591</v>
      </c>
      <c r="CT45" s="830">
        <f t="shared" si="681"/>
        <v>4848</v>
      </c>
      <c r="CU45" s="1317">
        <f t="shared" si="681"/>
        <v>1919</v>
      </c>
      <c r="CV45" s="1318">
        <f>+'16H27'!K43</f>
        <v>73457</v>
      </c>
      <c r="CW45" s="1248">
        <f>+'16H27'!E43</f>
        <v>9532</v>
      </c>
      <c r="CX45" s="1317">
        <f>'16H27'!C43</f>
        <v>169206</v>
      </c>
      <c r="CY45" s="1316">
        <f>+DH45-DF45</f>
        <v>108505</v>
      </c>
      <c r="CZ45" s="1248">
        <f>CY45-DE45</f>
        <v>108656</v>
      </c>
      <c r="DA45" s="850">
        <f>ROUND(DA$5*DH45/DH$6,0)</f>
        <v>136297</v>
      </c>
      <c r="DB45" s="1248">
        <f>ROUND(DB$5*DF45/DF$6,0)</f>
        <v>59702</v>
      </c>
      <c r="DC45" s="830">
        <f>ROUND(DC$5*DH45/DH$6,0)</f>
        <v>-576</v>
      </c>
      <c r="DD45" s="830">
        <f t="shared" si="682"/>
        <v>4985</v>
      </c>
      <c r="DE45" s="1317">
        <f t="shared" si="682"/>
        <v>-151</v>
      </c>
      <c r="DF45" s="1318">
        <f>+'17H28'!K43</f>
        <v>73825</v>
      </c>
      <c r="DG45" s="1248">
        <f>+'17H28'!E43</f>
        <v>9694</v>
      </c>
      <c r="DH45" s="1317">
        <f>'17H28'!C43</f>
        <v>182330</v>
      </c>
      <c r="DI45" s="1316">
        <f>+DR45-DP45</f>
        <v>113047</v>
      </c>
      <c r="DJ45" s="1248">
        <f>DI45-DO45</f>
        <v>119850</v>
      </c>
      <c r="DK45" s="850">
        <f>ROUND(DK$5*DR45/DR$6,0)</f>
        <v>147636</v>
      </c>
      <c r="DL45" s="1248">
        <f>ROUND(DL$5*DP45/DP$6,0)</f>
        <v>63242</v>
      </c>
      <c r="DM45" s="830">
        <f>ROUND(DM$5*DR45/DR$6,0)</f>
        <v>-471</v>
      </c>
      <c r="DN45" s="830">
        <f t="shared" si="683"/>
        <v>4249</v>
      </c>
      <c r="DO45" s="1317">
        <f t="shared" si="683"/>
        <v>-6803</v>
      </c>
      <c r="DP45" s="1318">
        <f>+'18H29'!K43</f>
        <v>76195</v>
      </c>
      <c r="DQ45" s="1248">
        <f>+'18H29'!E43</f>
        <v>9221</v>
      </c>
      <c r="DR45" s="1317">
        <f>+'18H29'!C43</f>
        <v>189242</v>
      </c>
      <c r="DS45" s="1316">
        <f>+EB45-DZ45</f>
        <v>102630</v>
      </c>
      <c r="DT45" s="1248">
        <f>DS45-DY45</f>
        <v>112935</v>
      </c>
      <c r="DU45" s="850">
        <f>ROUND(DU$5*EB45/EB$6,0)</f>
        <v>148092</v>
      </c>
      <c r="DV45" s="1248">
        <f>ROUND(DV$5*DZ45/DZ$6,0)</f>
        <v>72235</v>
      </c>
      <c r="DW45" s="830">
        <f>ROUND(DW$5*EB45/EB$6,0)</f>
        <v>-483</v>
      </c>
      <c r="DX45" s="830">
        <f t="shared" si="684"/>
        <v>4419</v>
      </c>
      <c r="DY45" s="1317">
        <f t="shared" si="684"/>
        <v>-10305</v>
      </c>
      <c r="DZ45" s="1318">
        <f>+'19H30'!K43</f>
        <v>84822</v>
      </c>
      <c r="EA45" s="1248">
        <f>+'19H30'!E43</f>
        <v>9387</v>
      </c>
      <c r="EB45" s="1317">
        <f>+'19H30'!C43</f>
        <v>187452</v>
      </c>
      <c r="EC45" s="1316">
        <f>+EL45-EJ45</f>
        <v>97482</v>
      </c>
      <c r="ED45" s="1248">
        <f>EC45-EI45</f>
        <v>111946</v>
      </c>
      <c r="EE45" s="850">
        <f>ROUND(EE$5*EL45/EL$6,0)</f>
        <v>144274</v>
      </c>
      <c r="EF45" s="1248">
        <f>ROUND(EF$5*EJ45/EJ$6,0)</f>
        <v>74428</v>
      </c>
      <c r="EG45" s="830">
        <f>ROUND(EG$5*EL45/EL$6,0)</f>
        <v>-451</v>
      </c>
      <c r="EH45" s="830">
        <f t="shared" si="685"/>
        <v>4482</v>
      </c>
      <c r="EI45" s="1317">
        <f t="shared" si="685"/>
        <v>-14464</v>
      </c>
      <c r="EJ45" s="1318">
        <f>+'20R1'!K43</f>
        <v>88858</v>
      </c>
      <c r="EK45" s="1248">
        <f>+'20R1'!E43</f>
        <v>9780</v>
      </c>
      <c r="EL45" s="1317">
        <f>+'20R1'!C43</f>
        <v>186340</v>
      </c>
      <c r="EM45" s="1316">
        <f>+EV45-ET45</f>
        <v>68741</v>
      </c>
      <c r="EN45" s="1248">
        <f>EM45-ES45</f>
        <v>71953</v>
      </c>
      <c r="EO45" s="850">
        <f>ROUND(EO$5*EV45/EV$6,0)</f>
        <v>125968</v>
      </c>
      <c r="EP45" s="1248">
        <f>ROUND(EP$5*ET45/ET$6,0)</f>
        <v>85579</v>
      </c>
      <c r="EQ45" s="1336">
        <f>ROUND(EQ$5*EV45/EV$6,0)</f>
        <v>-330</v>
      </c>
      <c r="ER45" s="1336">
        <f t="shared" si="686"/>
        <v>4550</v>
      </c>
      <c r="ES45" s="850">
        <f t="shared" si="687"/>
        <v>-3212</v>
      </c>
      <c r="ET45" s="1331">
        <f>'21R2'!K43</f>
        <v>106664</v>
      </c>
      <c r="EU45" s="1248">
        <f>'21R2'!E43</f>
        <v>10040</v>
      </c>
      <c r="EV45" s="1317">
        <f>+'21R2'!C43</f>
        <v>175405</v>
      </c>
      <c r="EW45" s="1392">
        <f t="shared" si="298"/>
        <v>71366</v>
      </c>
      <c r="EX45" s="1310">
        <f>EY45-EZ45</f>
        <v>74832</v>
      </c>
      <c r="EY45" s="850">
        <f>ROUND(EY$5*FF45/FF$6,0)</f>
        <v>139638</v>
      </c>
      <c r="EZ45" s="1248">
        <f>ROUND(EZ$5*FD45/FD$6,0)</f>
        <v>64806</v>
      </c>
      <c r="FA45" s="1336">
        <f>ROUND(FA$5*FF45/FF$6,0)</f>
        <v>-184</v>
      </c>
      <c r="FB45" s="1336">
        <f t="shared" si="688"/>
        <v>4653</v>
      </c>
      <c r="FC45" s="1689">
        <f t="shared" si="363"/>
        <v>-3466</v>
      </c>
      <c r="FD45" s="1414">
        <f>'22R3'!K43</f>
        <v>74916</v>
      </c>
      <c r="FE45" s="1310">
        <f>'22R3'!E43</f>
        <v>10563</v>
      </c>
      <c r="FF45" s="1690">
        <f>'22R3'!C43</f>
        <v>177503</v>
      </c>
      <c r="FG45" s="1392">
        <f t="shared" si="300"/>
        <v>74590</v>
      </c>
      <c r="FH45" s="1310">
        <f>FI45-FJ45</f>
        <v>78056</v>
      </c>
      <c r="FI45" s="850">
        <f>ROUND(FI$5*FP45/FP$6,0)</f>
        <v>152666</v>
      </c>
      <c r="FJ45" s="1248">
        <f>ROUND(FJ$5*FN45/FN$6,0)</f>
        <v>74610</v>
      </c>
      <c r="FK45" s="1336">
        <f>ROUND(FK$5*FP45/FP$6,0)</f>
        <v>-342</v>
      </c>
      <c r="FL45" s="1336">
        <f t="shared" si="689"/>
        <v>4728</v>
      </c>
      <c r="FM45" s="1398">
        <f t="shared" si="302"/>
        <v>-3466</v>
      </c>
      <c r="FN45" s="1748">
        <f>'23R4'!K43</f>
        <v>80415</v>
      </c>
      <c r="FO45" s="1332">
        <f>'23R4'!E43</f>
        <v>10357</v>
      </c>
      <c r="FP45" s="1690">
        <f>'23R4'!C43</f>
        <v>188148</v>
      </c>
      <c r="FQ45" s="1310"/>
      <c r="FR45" s="1392">
        <f t="shared" si="303"/>
        <v>42657</v>
      </c>
      <c r="FS45" s="1310">
        <f>FT45-FU45</f>
        <v>46123</v>
      </c>
      <c r="FT45" s="868">
        <f>ROUND(FT$5*GA45/GA$6,0)</f>
        <v>122007</v>
      </c>
      <c r="FU45" s="1248">
        <f>ROUND(FU$5*FY45/FY$6,0)</f>
        <v>75884</v>
      </c>
      <c r="FV45" s="1336">
        <f>ROUND(FV$5*GA45/GA$6,0)</f>
        <v>-269</v>
      </c>
      <c r="FW45" s="1336">
        <f t="shared" si="690"/>
        <v>4966</v>
      </c>
      <c r="FX45" s="1398">
        <f t="shared" si="335"/>
        <v>-3466</v>
      </c>
      <c r="FY45" s="1332">
        <f>'24R5'!K43</f>
        <v>83088</v>
      </c>
      <c r="FZ45" s="1332">
        <f>'24R5'!E43</f>
        <v>10873</v>
      </c>
      <c r="GA45" s="1319">
        <v>126953</v>
      </c>
      <c r="GB45" s="1392">
        <f t="shared" si="305"/>
        <v>32466</v>
      </c>
      <c r="GC45" s="1310">
        <f>GD45-GE45</f>
        <v>35932</v>
      </c>
      <c r="GD45" s="868">
        <f>ROUND(GD$5*GK45/GK$6,0)</f>
        <v>130412</v>
      </c>
      <c r="GE45" s="1248">
        <f>ROUND(GE$5*GI45/GI$6,0)</f>
        <v>94480</v>
      </c>
      <c r="GF45" s="1336">
        <f>ROUND(GF$5*GK45/GK$6,0)</f>
        <v>-281</v>
      </c>
      <c r="GG45" s="1336">
        <f t="shared" si="691"/>
        <v>2664</v>
      </c>
      <c r="GH45" s="1398">
        <f t="shared" si="338"/>
        <v>-3466</v>
      </c>
      <c r="GI45" s="1332">
        <f>'25R6'!K43</f>
        <v>101948</v>
      </c>
      <c r="GJ45" s="1332">
        <f>'25R6'!E43</f>
        <v>11887</v>
      </c>
      <c r="GK45" s="1319">
        <v>126953</v>
      </c>
      <c r="GL45" s="1392">
        <f t="shared" si="307"/>
        <v>468</v>
      </c>
      <c r="GM45" s="1310">
        <f>GN45-GO45</f>
        <v>3934</v>
      </c>
      <c r="GN45" s="868">
        <f>ROUND(GN$5*GU45/GU$6,0)</f>
        <v>99730</v>
      </c>
      <c r="GO45" s="1248">
        <f>ROUND(GO$5*GS45/GS$6,0)</f>
        <v>95796</v>
      </c>
      <c r="GP45" s="1336">
        <f>ROUND(GP$5*GU45/GU$6,0)</f>
        <v>-215</v>
      </c>
      <c r="GQ45" s="1336">
        <f t="shared" si="692"/>
        <v>2544</v>
      </c>
      <c r="GR45" s="1406">
        <f t="shared" si="341"/>
        <v>-3466</v>
      </c>
      <c r="GS45" s="1748">
        <f>'26R7'!K43</f>
        <v>104103</v>
      </c>
      <c r="GT45" s="1332">
        <f>'26R7'!E43</f>
        <v>11860</v>
      </c>
      <c r="GU45" s="1398">
        <v>104103</v>
      </c>
      <c r="GV45" s="1392">
        <f t="shared" si="309"/>
        <v>875</v>
      </c>
      <c r="GW45" s="1310">
        <f>GX45-GY45</f>
        <v>4341</v>
      </c>
      <c r="GX45" s="868">
        <f>ROUND(GX$5*HE45/HE$6,0)</f>
        <v>101855</v>
      </c>
      <c r="GY45" s="1248">
        <f>ROUND(GY$5*HC45/HC$6,0)</f>
        <v>97514</v>
      </c>
      <c r="GZ45" s="1336">
        <f>ROUND(GZ$5*HE45/HE$6,0)</f>
        <v>-220</v>
      </c>
      <c r="HA45" s="1336">
        <f t="shared" si="693"/>
        <v>-11306</v>
      </c>
      <c r="HB45" s="1406">
        <f t="shared" si="344"/>
        <v>-3466</v>
      </c>
      <c r="HC45" s="1748">
        <f>'27R8'!U43</f>
        <v>98775</v>
      </c>
      <c r="HD45" s="1690">
        <f>'27R8'!O43</f>
        <v>11679</v>
      </c>
      <c r="HE45" s="1398">
        <v>105824</v>
      </c>
      <c r="HF45" s="1392">
        <f t="shared" si="311"/>
        <v>1188</v>
      </c>
      <c r="HG45" s="1310">
        <f>HH45-HI45</f>
        <v>4654</v>
      </c>
      <c r="HH45" s="868">
        <f>ROUND(HH$5*HO45/HO$6,0)</f>
        <v>104510</v>
      </c>
      <c r="HI45" s="1248">
        <f>ROUND(HI$5*HM45/HM$6,0)</f>
        <v>99856</v>
      </c>
      <c r="HJ45" s="1336">
        <f>ROUND(HJ$5*HO45/HO$6,0)</f>
        <v>-226</v>
      </c>
      <c r="HK45" s="1336">
        <f t="shared" si="694"/>
        <v>-11306</v>
      </c>
      <c r="HL45" s="1406">
        <f t="shared" si="347"/>
        <v>-3466</v>
      </c>
      <c r="HM45" s="1748">
        <f>'28R9'!U43</f>
        <v>98775</v>
      </c>
      <c r="HN45" s="1332">
        <f>'28R9'!O43</f>
        <v>11679</v>
      </c>
      <c r="HO45" s="1398">
        <v>107427</v>
      </c>
      <c r="HQ45" s="1310">
        <f>市町名目!J44</f>
        <v>186340</v>
      </c>
      <c r="HR45" s="1310">
        <f>市町名目!K44</f>
        <v>175405</v>
      </c>
      <c r="HS45" s="1310">
        <f>市町名目!L44</f>
        <v>177503</v>
      </c>
      <c r="HT45" s="1310">
        <f>市町名目!M44</f>
        <v>188148</v>
      </c>
      <c r="HU45" s="1310">
        <f>市町名目!N44</f>
        <v>191258</v>
      </c>
      <c r="HV45" s="1054">
        <v>150715</v>
      </c>
      <c r="HW45" s="1030">
        <v>159104</v>
      </c>
      <c r="HX45" s="1030">
        <v>105824</v>
      </c>
      <c r="HY45" s="1030">
        <v>107427</v>
      </c>
    </row>
    <row r="46" spans="1:233" ht="12.5">
      <c r="A46" s="1334">
        <v>446</v>
      </c>
      <c r="B46" s="1335" t="s">
        <v>234</v>
      </c>
      <c r="C46" s="1316">
        <f>+L46-J46</f>
        <v>-2140</v>
      </c>
      <c r="D46" s="1248">
        <f>C46-I46</f>
        <v>-2480</v>
      </c>
      <c r="E46" s="850">
        <f>ROUND(E$5*L46/L$6,0)</f>
        <v>29238</v>
      </c>
      <c r="F46" s="1248">
        <f>ROUND(F$5*J46/J$6,0)</f>
        <v>31139</v>
      </c>
      <c r="G46" s="830">
        <f>ROUND(G$5*L46/L$6,0)</f>
        <v>-47</v>
      </c>
      <c r="H46" s="830">
        <f t="shared" si="672"/>
        <v>4975</v>
      </c>
      <c r="I46" s="1317">
        <f t="shared" si="672"/>
        <v>340</v>
      </c>
      <c r="J46" s="1318">
        <f>'7H18'!K44</f>
        <v>36491</v>
      </c>
      <c r="K46" s="1248">
        <f>+'7H18'!E44</f>
        <v>7651</v>
      </c>
      <c r="L46" s="1317">
        <f>'7H18'!C44</f>
        <v>34351</v>
      </c>
      <c r="M46" s="1316">
        <f>+V46-T46</f>
        <v>-12535</v>
      </c>
      <c r="N46" s="1248">
        <f>M46-S46</f>
        <v>-13069</v>
      </c>
      <c r="O46" s="850">
        <f>ROUND(O$5*V46/V$6,0)</f>
        <v>29466</v>
      </c>
      <c r="P46" s="1248">
        <f>ROUND(P$5*T46/T$6,0)</f>
        <v>39771</v>
      </c>
      <c r="Q46" s="830">
        <f>ROUND(Q$5*V46/V$6,0)</f>
        <v>-71</v>
      </c>
      <c r="R46" s="830">
        <f t="shared" si="673"/>
        <v>4819</v>
      </c>
      <c r="S46" s="1317">
        <f t="shared" si="673"/>
        <v>534</v>
      </c>
      <c r="T46" s="1318">
        <f>+'8H19'!K44</f>
        <v>44738</v>
      </c>
      <c r="U46" s="1248">
        <f>+'8H19'!E44</f>
        <v>7473</v>
      </c>
      <c r="V46" s="1317">
        <f>'8H19'!C44</f>
        <v>32203</v>
      </c>
      <c r="W46" s="1316">
        <f>+AF46-AD46</f>
        <v>-3461</v>
      </c>
      <c r="X46" s="1248">
        <f>W46-AC46</f>
        <v>-3930</v>
      </c>
      <c r="Y46" s="850">
        <f>ROUND(Y$5*AF46/AF$6,0)</f>
        <v>28036</v>
      </c>
      <c r="Z46" s="1248">
        <f>ROUND(Z$5*AD46/AD$6,0)</f>
        <v>32573</v>
      </c>
      <c r="AA46" s="830">
        <f>ROUND(AA$5*AF46/AF$6,0)</f>
        <v>-180</v>
      </c>
      <c r="AB46" s="830">
        <f t="shared" si="674"/>
        <v>4573</v>
      </c>
      <c r="AC46" s="1317">
        <f t="shared" si="674"/>
        <v>469</v>
      </c>
      <c r="AD46" s="1318">
        <f>+'9H20'!K44</f>
        <v>36915</v>
      </c>
      <c r="AE46" s="1248">
        <f>+'9H20'!E44</f>
        <v>7658</v>
      </c>
      <c r="AF46" s="1317">
        <f>'9H20'!C44</f>
        <v>33454</v>
      </c>
      <c r="AG46" s="1316">
        <f>+AP46-AN46</f>
        <v>-2013</v>
      </c>
      <c r="AH46" s="1248">
        <f>AG46-AM46</f>
        <v>-1628</v>
      </c>
      <c r="AI46" s="850">
        <f>ROUND(AI$5*AP46/AP$6,0)</f>
        <v>25794</v>
      </c>
      <c r="AJ46" s="1248">
        <f>ROUND(AJ$5*AN46/AN$6,0)</f>
        <v>30695</v>
      </c>
      <c r="AK46" s="830">
        <f>ROUND(AK$5*AP46/AP$6,0)</f>
        <v>24</v>
      </c>
      <c r="AL46" s="830">
        <f t="shared" si="675"/>
        <v>4545</v>
      </c>
      <c r="AM46" s="1317">
        <f t="shared" si="675"/>
        <v>-385</v>
      </c>
      <c r="AN46" s="1318">
        <f>+'10H21'!K44</f>
        <v>37383</v>
      </c>
      <c r="AO46" s="1248">
        <f>+'10H21'!E44</f>
        <v>8123</v>
      </c>
      <c r="AP46" s="1317">
        <f>'10H21'!C44</f>
        <v>35370</v>
      </c>
      <c r="AQ46" s="1316">
        <f>+AZ46-AX46</f>
        <v>-6435</v>
      </c>
      <c r="AR46" s="1248">
        <f>AQ46-AW46</f>
        <v>-6817</v>
      </c>
      <c r="AS46" s="850">
        <f>ROUND(AS$5*AZ46/AZ$6,0)</f>
        <v>25340</v>
      </c>
      <c r="AT46" s="1248">
        <f>ROUND(AT$5*AX46/AX$6,0)</f>
        <v>33736</v>
      </c>
      <c r="AU46" s="830">
        <f>ROUND(AU$5*AZ46/AZ$6,0)</f>
        <v>-186</v>
      </c>
      <c r="AV46" s="830">
        <f t="shared" si="676"/>
        <v>4664</v>
      </c>
      <c r="AW46" s="1317">
        <f t="shared" si="676"/>
        <v>382</v>
      </c>
      <c r="AX46" s="1318">
        <f>+'11H22'!K44</f>
        <v>40131</v>
      </c>
      <c r="AY46" s="1248">
        <f>+'11H22'!E44</f>
        <v>7909</v>
      </c>
      <c r="AZ46" s="1317">
        <f>'11H22'!C44</f>
        <v>33696</v>
      </c>
      <c r="BA46" s="1316">
        <f>+BJ46-BH46</f>
        <v>-8260</v>
      </c>
      <c r="BB46" s="1248">
        <f>BA46-BG46</f>
        <v>-8547</v>
      </c>
      <c r="BC46" s="850">
        <f>ROUND(BC$5*BJ46/BJ$6,0)</f>
        <v>22995</v>
      </c>
      <c r="BD46" s="1248">
        <f>ROUND(BD$5*BH46/BH$6,0)</f>
        <v>31962</v>
      </c>
      <c r="BE46" s="830">
        <f>ROUND(BE$5*BJ46/BJ$6,0)</f>
        <v>-115</v>
      </c>
      <c r="BF46" s="830">
        <f t="shared" si="677"/>
        <v>4872</v>
      </c>
      <c r="BG46" s="1317">
        <f t="shared" si="677"/>
        <v>287</v>
      </c>
      <c r="BH46" s="1318">
        <f>+'12H23'!K44</f>
        <v>37254</v>
      </c>
      <c r="BI46" s="1248">
        <f>+'12H23'!E44</f>
        <v>8549</v>
      </c>
      <c r="BJ46" s="1317">
        <f>'12H23'!C44</f>
        <v>28994</v>
      </c>
      <c r="BK46" s="1316">
        <f>+BT46-BR46</f>
        <v>-14077</v>
      </c>
      <c r="BL46" s="1248">
        <f>BK46-BQ46</f>
        <v>-14530</v>
      </c>
      <c r="BM46" s="850">
        <f>ROUND(BM$5*BT46/BT$6,0)</f>
        <v>21296</v>
      </c>
      <c r="BN46" s="1248">
        <f>ROUND(BN$5*BR46/BR$6,0)</f>
        <v>35456</v>
      </c>
      <c r="BO46" s="830">
        <f>ROUND(BO$5*BT46/BT$6,0)</f>
        <v>-89</v>
      </c>
      <c r="BP46" s="830">
        <f t="shared" si="678"/>
        <v>4754</v>
      </c>
      <c r="BQ46" s="1317">
        <f t="shared" si="678"/>
        <v>453</v>
      </c>
      <c r="BR46" s="1318">
        <f>+'13H24'!K44</f>
        <v>41412</v>
      </c>
      <c r="BS46" s="1248">
        <f>+'13H24'!E44</f>
        <v>8684</v>
      </c>
      <c r="BT46" s="1317">
        <f>'13H24'!C44</f>
        <v>27335</v>
      </c>
      <c r="BU46" s="1316">
        <f>+CD46-CB46</f>
        <v>-6592</v>
      </c>
      <c r="BV46" s="1248">
        <f>BU46-CA46</f>
        <v>-7017</v>
      </c>
      <c r="BW46" s="850">
        <f>ROUND(BW$5*CD46/CD$6,0)</f>
        <v>23644</v>
      </c>
      <c r="BX46" s="1248">
        <f>ROUND(BX$5*CB46/CB$6,0)</f>
        <v>31568</v>
      </c>
      <c r="BY46" s="830">
        <f>ROUND(BY$5*CD46/CD$6,0)</f>
        <v>-97</v>
      </c>
      <c r="BZ46" s="830">
        <f t="shared" si="679"/>
        <v>4543</v>
      </c>
      <c r="CA46" s="1317">
        <f t="shared" si="679"/>
        <v>425</v>
      </c>
      <c r="CB46" s="1318">
        <f>+'14H25'!K44</f>
        <v>36892</v>
      </c>
      <c r="CC46" s="1248">
        <f>+'14H25'!E44</f>
        <v>8634</v>
      </c>
      <c r="CD46" s="1317">
        <f>'14H25'!C44</f>
        <v>30300</v>
      </c>
      <c r="CE46" s="1316">
        <f>+CN46-CL46</f>
        <v>-8807</v>
      </c>
      <c r="CF46" s="1248">
        <f>CE46-CK46</f>
        <v>-8480</v>
      </c>
      <c r="CG46" s="850">
        <f>ROUND(CG$5*CN46/CN$6,0)</f>
        <v>24215</v>
      </c>
      <c r="CH46" s="1248">
        <f>ROUND(CH$5*CL46/CL$6,0)</f>
        <v>33414</v>
      </c>
      <c r="CI46" s="830">
        <f>ROUND(CI$5*CN46/CN$6,0)</f>
        <v>-105</v>
      </c>
      <c r="CJ46" s="830">
        <f t="shared" si="680"/>
        <v>4727</v>
      </c>
      <c r="CK46" s="1317">
        <f t="shared" si="680"/>
        <v>-327</v>
      </c>
      <c r="CL46" s="1318">
        <f>+'15H26'!K44</f>
        <v>38873</v>
      </c>
      <c r="CM46" s="1248">
        <f>+'15H26'!E44</f>
        <v>9021</v>
      </c>
      <c r="CN46" s="1317">
        <f>'15H26'!C44</f>
        <v>30066</v>
      </c>
      <c r="CO46" s="1316">
        <f>+CX46-CV46</f>
        <v>-7936</v>
      </c>
      <c r="CP46" s="1248">
        <f>CO46-CU46</f>
        <v>-8303</v>
      </c>
      <c r="CQ46" s="850">
        <f>ROUND(CQ$5*CX46/CX$6,0)</f>
        <v>25080</v>
      </c>
      <c r="CR46" s="1248">
        <f>ROUND(CR$5*CV46/CV$6,0)</f>
        <v>33491</v>
      </c>
      <c r="CS46" s="830">
        <f>ROUND(CS$5*CX46/CX$6,0)</f>
        <v>-113</v>
      </c>
      <c r="CT46" s="830">
        <f t="shared" si="681"/>
        <v>5065</v>
      </c>
      <c r="CU46" s="1317">
        <f t="shared" si="681"/>
        <v>367</v>
      </c>
      <c r="CV46" s="1318">
        <f>+'16H27'!K44</f>
        <v>40286</v>
      </c>
      <c r="CW46" s="1248">
        <f>+'16H27'!E44</f>
        <v>9959</v>
      </c>
      <c r="CX46" s="1317">
        <f>'16H27'!C44</f>
        <v>32350</v>
      </c>
      <c r="CY46" s="1316">
        <f>+DH46-DF46</f>
        <v>-6721</v>
      </c>
      <c r="CZ46" s="1248">
        <f>CY46-DE46</f>
        <v>-6695</v>
      </c>
      <c r="DA46" s="850">
        <f>ROUND(DA$5*DH46/DH$6,0)</f>
        <v>23809</v>
      </c>
      <c r="DB46" s="1248">
        <f>ROUND(DB$5*DF46/DF$6,0)</f>
        <v>31193</v>
      </c>
      <c r="DC46" s="830">
        <f>ROUND(DC$5*DH46/DH$6,0)</f>
        <v>-101</v>
      </c>
      <c r="DD46" s="830">
        <f t="shared" si="682"/>
        <v>5221</v>
      </c>
      <c r="DE46" s="1317">
        <f t="shared" si="682"/>
        <v>-26</v>
      </c>
      <c r="DF46" s="1318">
        <f>+'17H28'!K44</f>
        <v>38572</v>
      </c>
      <c r="DG46" s="1248">
        <f>+'17H28'!E44</f>
        <v>10153</v>
      </c>
      <c r="DH46" s="1317">
        <f>'17H28'!C44</f>
        <v>31851</v>
      </c>
      <c r="DI46" s="1316">
        <f>+DR46-DP46</f>
        <v>-11253</v>
      </c>
      <c r="DJ46" s="1248">
        <f>DI46-DO46</f>
        <v>-10069</v>
      </c>
      <c r="DK46" s="850">
        <f>ROUND(DK$5*DR46/DR$6,0)</f>
        <v>25696</v>
      </c>
      <c r="DL46" s="1248">
        <f>ROUND(DL$5*DP46/DP$6,0)</f>
        <v>36678</v>
      </c>
      <c r="DM46" s="830">
        <f>ROUND(DM$5*DR46/DR$6,0)</f>
        <v>-82</v>
      </c>
      <c r="DN46" s="830">
        <f t="shared" si="683"/>
        <v>4614</v>
      </c>
      <c r="DO46" s="1317">
        <f t="shared" si="683"/>
        <v>-1184</v>
      </c>
      <c r="DP46" s="1318">
        <f>+'18H29'!K44</f>
        <v>44190</v>
      </c>
      <c r="DQ46" s="1248">
        <f>+'18H29'!E44</f>
        <v>10013</v>
      </c>
      <c r="DR46" s="1317">
        <f>+'18H29'!C44</f>
        <v>32937</v>
      </c>
      <c r="DS46" s="1316">
        <f>+EB46-DZ46</f>
        <v>-16534</v>
      </c>
      <c r="DT46" s="1248">
        <f>DS46-DY46</f>
        <v>-14738</v>
      </c>
      <c r="DU46" s="850">
        <f>ROUND(DU$5*EB46/EB$6,0)</f>
        <v>25805</v>
      </c>
      <c r="DV46" s="1248">
        <f>ROUND(DV$5*DZ46/DZ$6,0)</f>
        <v>41897</v>
      </c>
      <c r="DW46" s="830">
        <f>ROUND(DW$5*EB46/EB$6,0)</f>
        <v>-84</v>
      </c>
      <c r="DX46" s="830">
        <f t="shared" si="684"/>
        <v>4671</v>
      </c>
      <c r="DY46" s="1317">
        <f t="shared" si="684"/>
        <v>-1796</v>
      </c>
      <c r="DZ46" s="1318">
        <f>+'19H30'!K44</f>
        <v>49198</v>
      </c>
      <c r="EA46" s="1248">
        <f>+'19H30'!E44</f>
        <v>9922</v>
      </c>
      <c r="EB46" s="1317">
        <f>+'19H30'!C44</f>
        <v>32664</v>
      </c>
      <c r="EC46" s="1316">
        <f>+EL46-EJ46</f>
        <v>-18507</v>
      </c>
      <c r="ED46" s="1248">
        <f>EC46-EI46</f>
        <v>-16044</v>
      </c>
      <c r="EE46" s="850">
        <f>ROUND(EE$5*EL46/EL$6,0)</f>
        <v>24568</v>
      </c>
      <c r="EF46" s="1248">
        <f>ROUND(EF$5*EJ46/EJ$6,0)</f>
        <v>42080</v>
      </c>
      <c r="EG46" s="830">
        <f>ROUND(EG$5*EL46/EL$6,0)</f>
        <v>-77</v>
      </c>
      <c r="EH46" s="830">
        <f t="shared" si="685"/>
        <v>4611</v>
      </c>
      <c r="EI46" s="1317">
        <f t="shared" si="685"/>
        <v>-2463</v>
      </c>
      <c r="EJ46" s="1318">
        <f>+'20R1'!K44</f>
        <v>50238</v>
      </c>
      <c r="EK46" s="1248">
        <f>+'20R1'!E44</f>
        <v>10062</v>
      </c>
      <c r="EL46" s="1317">
        <f>+'20R1'!C44</f>
        <v>31731</v>
      </c>
      <c r="EM46" s="1316">
        <f>+EV46-ET46</f>
        <v>-10751</v>
      </c>
      <c r="EN46" s="1248">
        <f>EM46-ES46</f>
        <v>-10170</v>
      </c>
      <c r="EO46" s="850">
        <f>ROUND(EO$5*EV46/EV$6,0)</f>
        <v>22790</v>
      </c>
      <c r="EP46" s="1248">
        <f>ROUND(EP$5*ET46/ET$6,0)</f>
        <v>34087</v>
      </c>
      <c r="EQ46" s="1336">
        <f>ROUND(EQ$5*EV46/EV$6,0)</f>
        <v>-60</v>
      </c>
      <c r="ER46" s="1336">
        <f t="shared" si="686"/>
        <v>4396</v>
      </c>
      <c r="ES46" s="850">
        <f t="shared" si="687"/>
        <v>-581</v>
      </c>
      <c r="ET46" s="1331">
        <f>'21R2'!K44</f>
        <v>42485</v>
      </c>
      <c r="EU46" s="1248">
        <f>'21R2'!E44</f>
        <v>9702</v>
      </c>
      <c r="EV46" s="1317">
        <f>+'21R2'!C44</f>
        <v>31734</v>
      </c>
      <c r="EW46" s="1392">
        <f t="shared" si="298"/>
        <v>-9199</v>
      </c>
      <c r="EX46" s="1310">
        <f>EY46-EZ46</f>
        <v>-8552</v>
      </c>
      <c r="EY46" s="850">
        <f>ROUND(EY$5*FF46/FF$6,0)</f>
        <v>26051</v>
      </c>
      <c r="EZ46" s="1248">
        <f>ROUND(EZ$5*FD46/FD$6,0)</f>
        <v>34603</v>
      </c>
      <c r="FA46" s="1336">
        <f>ROUND(FA$5*FF46/FF$6,0)</f>
        <v>-34</v>
      </c>
      <c r="FB46" s="1336">
        <f t="shared" si="688"/>
        <v>4197</v>
      </c>
      <c r="FC46" s="1689">
        <f t="shared" si="363"/>
        <v>-647</v>
      </c>
      <c r="FD46" s="1414">
        <f>'22R3'!K44</f>
        <v>40001</v>
      </c>
      <c r="FE46" s="1310">
        <f>'22R3'!E44</f>
        <v>9527</v>
      </c>
      <c r="FF46" s="1690">
        <f>'22R3'!C44</f>
        <v>33115</v>
      </c>
      <c r="FG46" s="1392">
        <f t="shared" si="300"/>
        <v>-7813</v>
      </c>
      <c r="FH46" s="1310">
        <f>FI46-FJ46</f>
        <v>-7166</v>
      </c>
      <c r="FI46" s="850">
        <f>ROUND(FI$5*FP46/FP$6,0)</f>
        <v>29321</v>
      </c>
      <c r="FJ46" s="1248">
        <f>ROUND(FJ$5*FN46/FN$6,0)</f>
        <v>36487</v>
      </c>
      <c r="FK46" s="1336">
        <f>ROUND(FK$5*FP46/FP$6,0)</f>
        <v>-66</v>
      </c>
      <c r="FL46" s="1336">
        <f t="shared" si="689"/>
        <v>4487</v>
      </c>
      <c r="FM46" s="1398">
        <f t="shared" si="302"/>
        <v>-647</v>
      </c>
      <c r="FN46" s="1748">
        <f>'23R4'!K44</f>
        <v>39326</v>
      </c>
      <c r="FO46" s="1332">
        <f>'23R4'!E44</f>
        <v>9829</v>
      </c>
      <c r="FP46" s="1690">
        <f>'23R4'!C44</f>
        <v>36136</v>
      </c>
      <c r="FQ46" s="1310"/>
      <c r="FR46" s="1392">
        <f t="shared" si="303"/>
        <v>5970</v>
      </c>
      <c r="FS46" s="1310">
        <f>FT46-FU46</f>
        <v>6617</v>
      </c>
      <c r="FT46" s="868">
        <f>ROUND(FT$5*GA46/GA$6,0)</f>
        <v>44891</v>
      </c>
      <c r="FU46" s="1248">
        <f>ROUND(FU$5*FY46/FY$6,0)</f>
        <v>38274</v>
      </c>
      <c r="FV46" s="1336">
        <f>ROUND(FV$5*GA46/GA$6,0)</f>
        <v>-99</v>
      </c>
      <c r="FW46" s="1336">
        <f t="shared" si="690"/>
        <v>4727</v>
      </c>
      <c r="FX46" s="1398">
        <f t="shared" si="335"/>
        <v>-647</v>
      </c>
      <c r="FY46" s="1332">
        <f>'24R5'!K44</f>
        <v>41907</v>
      </c>
      <c r="FZ46" s="1332">
        <f>'24R5'!E44</f>
        <v>10351</v>
      </c>
      <c r="GA46" s="1319">
        <v>46711</v>
      </c>
      <c r="GB46" s="1392">
        <f t="shared" si="305"/>
        <v>-9970</v>
      </c>
      <c r="GC46" s="1310">
        <f>GD46-GE46</f>
        <v>-9323</v>
      </c>
      <c r="GD46" s="868">
        <f>ROUND(GD$5*GK46/GK$6,0)</f>
        <v>47984</v>
      </c>
      <c r="GE46" s="1248">
        <f>ROUND(GE$5*GI46/GI$6,0)</f>
        <v>57307</v>
      </c>
      <c r="GF46" s="1336">
        <f>ROUND(GF$5*GK46/GK$6,0)</f>
        <v>-103</v>
      </c>
      <c r="GG46" s="1336">
        <f t="shared" si="691"/>
        <v>2492</v>
      </c>
      <c r="GH46" s="1398">
        <f t="shared" si="338"/>
        <v>-647</v>
      </c>
      <c r="GI46" s="1332">
        <f>'25R6'!K44</f>
        <v>61837</v>
      </c>
      <c r="GJ46" s="1332">
        <f>'25R6'!E44</f>
        <v>11119</v>
      </c>
      <c r="GK46" s="1319">
        <v>46711</v>
      </c>
      <c r="GL46" s="1392">
        <f t="shared" si="307"/>
        <v>1548</v>
      </c>
      <c r="GM46" s="1310">
        <f>GN46-GO46</f>
        <v>2195</v>
      </c>
      <c r="GN46" s="868">
        <f>ROUND(GN$5*GU46/GU$6,0)</f>
        <v>55636</v>
      </c>
      <c r="GO46" s="1248">
        <f>ROUND(GO$5*GS46/GS$6,0)</f>
        <v>53441</v>
      </c>
      <c r="GP46" s="1336">
        <f>ROUND(GP$5*GU46/GU$6,0)</f>
        <v>-120</v>
      </c>
      <c r="GQ46" s="1336">
        <f t="shared" si="692"/>
        <v>2405</v>
      </c>
      <c r="GR46" s="1406">
        <f t="shared" si="341"/>
        <v>-647</v>
      </c>
      <c r="GS46" s="1748">
        <f>'26R7'!K44</f>
        <v>58075</v>
      </c>
      <c r="GT46" s="1332">
        <f>'26R7'!E44</f>
        <v>11209</v>
      </c>
      <c r="GU46" s="1398">
        <v>58075</v>
      </c>
      <c r="GV46" s="1392">
        <f t="shared" si="309"/>
        <v>5329</v>
      </c>
      <c r="GW46" s="1310">
        <f>GX46-GY46</f>
        <v>5976</v>
      </c>
      <c r="GX46" s="868">
        <f>ROUND(GX$5*HE46/HE$6,0)</f>
        <v>56818</v>
      </c>
      <c r="GY46" s="1248">
        <f>ROUND(GY$5*HC46/HC$6,0)</f>
        <v>50842</v>
      </c>
      <c r="GZ46" s="1336">
        <f>ROUND(GZ$5*HE46/HE$6,0)</f>
        <v>-123</v>
      </c>
      <c r="HA46" s="1336">
        <f t="shared" si="693"/>
        <v>4203</v>
      </c>
      <c r="HB46" s="1406">
        <f t="shared" si="344"/>
        <v>-647</v>
      </c>
      <c r="HC46" s="1748">
        <f>'27R8'!U44</f>
        <v>51500</v>
      </c>
      <c r="HD46" s="1690">
        <f>'27R8'!O44</f>
        <v>-4342</v>
      </c>
      <c r="HE46" s="1398">
        <v>59032</v>
      </c>
      <c r="HF46" s="1392">
        <f t="shared" si="311"/>
        <v>5942</v>
      </c>
      <c r="HG46" s="1310">
        <f>HH46-HI46</f>
        <v>6589</v>
      </c>
      <c r="HH46" s="868">
        <f>ROUND(HH$5*HO46/HO$6,0)</f>
        <v>58652</v>
      </c>
      <c r="HI46" s="1248">
        <f>ROUND(HI$5*HM46/HM$6,0)</f>
        <v>52063</v>
      </c>
      <c r="HJ46" s="1336">
        <f>ROUND(HJ$5*HO46/HO$6,0)</f>
        <v>-127</v>
      </c>
      <c r="HK46" s="1336">
        <f t="shared" si="694"/>
        <v>4203</v>
      </c>
      <c r="HL46" s="1406">
        <f t="shared" si="347"/>
        <v>-647</v>
      </c>
      <c r="HM46" s="1748">
        <f>'28R9'!U44</f>
        <v>51500</v>
      </c>
      <c r="HN46" s="1332">
        <f>'28R9'!O44</f>
        <v>-4342</v>
      </c>
      <c r="HO46" s="1398">
        <v>60289</v>
      </c>
      <c r="HQ46" s="1310">
        <f>市町名目!J45</f>
        <v>31731</v>
      </c>
      <c r="HR46" s="1310">
        <f>市町名目!K45</f>
        <v>31734</v>
      </c>
      <c r="HS46" s="1310">
        <f>市町名目!L45</f>
        <v>33115</v>
      </c>
      <c r="HT46" s="1310">
        <f>市町名目!M45</f>
        <v>36136</v>
      </c>
      <c r="HU46" s="1310">
        <f>市町名目!N45</f>
        <v>37612</v>
      </c>
      <c r="HV46" s="1054">
        <v>43683</v>
      </c>
      <c r="HW46" s="1030">
        <v>49605</v>
      </c>
      <c r="HX46" s="1030">
        <v>59032</v>
      </c>
      <c r="HY46" s="1030">
        <v>60289</v>
      </c>
    </row>
    <row r="47" spans="1:233" ht="12.5">
      <c r="A47" s="1302"/>
      <c r="B47" s="1339" t="s">
        <v>205</v>
      </c>
      <c r="C47" s="856">
        <f>SUM(C48:C54)</f>
        <v>13235</v>
      </c>
      <c r="D47" s="830">
        <f t="shared" ref="D47:I47" si="695">SUM(D48:D54)</f>
        <v>3649</v>
      </c>
      <c r="E47" s="830">
        <f>SUM(E48:E54)</f>
        <v>824567</v>
      </c>
      <c r="F47" s="830">
        <f t="shared" si="695"/>
        <v>815384</v>
      </c>
      <c r="G47" s="830">
        <f t="shared" si="695"/>
        <v>-1316</v>
      </c>
      <c r="H47" s="830">
        <f t="shared" si="695"/>
        <v>72015</v>
      </c>
      <c r="I47" s="1337">
        <f t="shared" si="695"/>
        <v>9586</v>
      </c>
      <c r="J47" s="1338">
        <f>SUM(J48:J54)</f>
        <v>955517</v>
      </c>
      <c r="K47" s="1248">
        <f>+'7H18'!E45</f>
        <v>110748</v>
      </c>
      <c r="L47" s="1337">
        <f t="shared" ref="L47:S47" si="696">SUM(L48:L54)</f>
        <v>968752</v>
      </c>
      <c r="M47" s="856">
        <f t="shared" si="696"/>
        <v>33375</v>
      </c>
      <c r="N47" s="830">
        <f t="shared" si="696"/>
        <v>17541</v>
      </c>
      <c r="O47" s="830">
        <f>SUM(O48:O54)</f>
        <v>873711</v>
      </c>
      <c r="P47" s="830">
        <f t="shared" si="696"/>
        <v>819193</v>
      </c>
      <c r="Q47" s="830">
        <f t="shared" si="696"/>
        <v>-2093</v>
      </c>
      <c r="R47" s="830">
        <f t="shared" si="696"/>
        <v>70967</v>
      </c>
      <c r="S47" s="1337">
        <f t="shared" si="696"/>
        <v>15834</v>
      </c>
      <c r="T47" s="1338">
        <f>+'8H19'!K45</f>
        <v>921501</v>
      </c>
      <c r="U47" s="1248">
        <f>+'8H19'!E45</f>
        <v>110055</v>
      </c>
      <c r="V47" s="1337">
        <f t="shared" ref="V47:AC47" si="697">SUM(V48:V54)</f>
        <v>954876</v>
      </c>
      <c r="W47" s="856">
        <f t="shared" si="697"/>
        <v>63018</v>
      </c>
      <c r="X47" s="830">
        <f t="shared" si="697"/>
        <v>49486</v>
      </c>
      <c r="Y47" s="830">
        <f>SUM(Y48:Y54)</f>
        <v>808105</v>
      </c>
      <c r="Z47" s="830">
        <f t="shared" si="697"/>
        <v>795240</v>
      </c>
      <c r="AA47" s="830">
        <f t="shared" si="697"/>
        <v>-5200</v>
      </c>
      <c r="AB47" s="830">
        <f t="shared" si="697"/>
        <v>68772</v>
      </c>
      <c r="AC47" s="1337">
        <f t="shared" si="697"/>
        <v>13532</v>
      </c>
      <c r="AD47" s="1338">
        <f>+'9H20'!K45</f>
        <v>901258</v>
      </c>
      <c r="AE47" s="1248">
        <f>+'9H20'!E45</f>
        <v>115176</v>
      </c>
      <c r="AF47" s="1337">
        <f t="shared" ref="AF47:AM47" si="698">SUM(AF48:AF54)</f>
        <v>964276</v>
      </c>
      <c r="AG47" s="856">
        <f t="shared" si="698"/>
        <v>139823</v>
      </c>
      <c r="AH47" s="830">
        <f t="shared" si="698"/>
        <v>150691</v>
      </c>
      <c r="AI47" s="830">
        <f>SUM(AI48:AI54)</f>
        <v>728605</v>
      </c>
      <c r="AJ47" s="830">
        <f t="shared" si="698"/>
        <v>705532</v>
      </c>
      <c r="AK47" s="830">
        <f t="shared" si="698"/>
        <v>692</v>
      </c>
      <c r="AL47" s="830">
        <f t="shared" si="698"/>
        <v>69088</v>
      </c>
      <c r="AM47" s="1337">
        <f t="shared" si="698"/>
        <v>-10868</v>
      </c>
      <c r="AN47" s="1338">
        <f>+'10H21'!K45</f>
        <v>859260</v>
      </c>
      <c r="AO47" s="1248">
        <f>+'10H21'!E45</f>
        <v>123481</v>
      </c>
      <c r="AP47" s="1337">
        <f>'10H21'!C45</f>
        <v>999083</v>
      </c>
      <c r="AQ47" s="856">
        <f t="shared" ref="AQ47:AW47" si="699">SUM(AQ48:AQ54)</f>
        <v>173466</v>
      </c>
      <c r="AR47" s="830">
        <f t="shared" si="699"/>
        <v>161708</v>
      </c>
      <c r="AS47" s="830">
        <f>SUM(AS48:AS54)</f>
        <v>779841</v>
      </c>
      <c r="AT47" s="830">
        <f t="shared" si="699"/>
        <v>725914</v>
      </c>
      <c r="AU47" s="830">
        <f t="shared" si="699"/>
        <v>-5714</v>
      </c>
      <c r="AV47" s="830">
        <f t="shared" si="699"/>
        <v>71729</v>
      </c>
      <c r="AW47" s="1337">
        <f t="shared" si="699"/>
        <v>11758</v>
      </c>
      <c r="AX47" s="1338">
        <f>+'11H22'!K45</f>
        <v>863529</v>
      </c>
      <c r="AY47" s="1248">
        <f>+'11H22'!E45</f>
        <v>121627</v>
      </c>
      <c r="AZ47" s="1337">
        <f>'11H22'!C45</f>
        <v>1036995</v>
      </c>
      <c r="BA47" s="856">
        <f t="shared" ref="BA47:BG47" si="700">SUM(BA48:BA54)</f>
        <v>58462</v>
      </c>
      <c r="BB47" s="830">
        <f t="shared" si="700"/>
        <v>49011</v>
      </c>
      <c r="BC47" s="830">
        <f>SUM(BC48:BC54)</f>
        <v>757508</v>
      </c>
      <c r="BD47" s="830">
        <f t="shared" si="700"/>
        <v>769286</v>
      </c>
      <c r="BE47" s="830">
        <f t="shared" si="700"/>
        <v>-3802</v>
      </c>
      <c r="BF47" s="830">
        <f t="shared" si="700"/>
        <v>73232</v>
      </c>
      <c r="BG47" s="1337">
        <f t="shared" si="700"/>
        <v>9451</v>
      </c>
      <c r="BH47" s="1338">
        <f>+'12H23'!K45</f>
        <v>896662</v>
      </c>
      <c r="BI47" s="1248">
        <f>+'12H23'!E45</f>
        <v>128492</v>
      </c>
      <c r="BJ47" s="1337">
        <f>'12H23'!C45</f>
        <v>955124</v>
      </c>
      <c r="BK47" s="856">
        <f t="shared" ref="BK47:BQ47" si="701">SUM(BK48:BK54)</f>
        <v>42282</v>
      </c>
      <c r="BL47" s="830">
        <f t="shared" si="701"/>
        <v>26424</v>
      </c>
      <c r="BM47" s="830">
        <f>SUM(BM48:BM54)</f>
        <v>745066</v>
      </c>
      <c r="BN47" s="830">
        <f t="shared" si="701"/>
        <v>782608</v>
      </c>
      <c r="BO47" s="830">
        <f t="shared" si="701"/>
        <v>-3097</v>
      </c>
      <c r="BP47" s="830">
        <f t="shared" si="701"/>
        <v>69967</v>
      </c>
      <c r="BQ47" s="1337">
        <f t="shared" si="701"/>
        <v>15858</v>
      </c>
      <c r="BR47" s="1338">
        <f>+'13H24'!K45</f>
        <v>914063</v>
      </c>
      <c r="BS47" s="1248">
        <f>+'13H24'!E45</f>
        <v>127810</v>
      </c>
      <c r="BT47" s="1337">
        <f>'13H24'!C45</f>
        <v>956345</v>
      </c>
      <c r="BU47" s="856">
        <f t="shared" ref="BU47:CA47" si="702">SUM(BU48:BU54)</f>
        <v>73722</v>
      </c>
      <c r="BV47" s="830">
        <f t="shared" si="702"/>
        <v>60200</v>
      </c>
      <c r="BW47" s="830">
        <f>SUM(BW48:BW54)</f>
        <v>751826</v>
      </c>
      <c r="BX47" s="830">
        <f t="shared" si="702"/>
        <v>761347</v>
      </c>
      <c r="BY47" s="830">
        <f t="shared" si="702"/>
        <v>-3098</v>
      </c>
      <c r="BZ47" s="830">
        <f t="shared" si="702"/>
        <v>64539</v>
      </c>
      <c r="CA47" s="1337">
        <f t="shared" si="702"/>
        <v>13522</v>
      </c>
      <c r="CB47" s="1338">
        <f>+'14H25'!K45</f>
        <v>889761</v>
      </c>
      <c r="CC47" s="1248">
        <f>+'14H25'!E45</f>
        <v>122655</v>
      </c>
      <c r="CD47" s="1337">
        <f>'14H25'!C45</f>
        <v>963483</v>
      </c>
      <c r="CE47" s="856">
        <f t="shared" ref="CE47:CK47" si="703">SUM(CE48:CE54)</f>
        <v>101349</v>
      </c>
      <c r="CF47" s="830">
        <f t="shared" si="703"/>
        <v>112056</v>
      </c>
      <c r="CG47" s="830">
        <f>SUM(CG48:CG54)</f>
        <v>792660</v>
      </c>
      <c r="CH47" s="830">
        <f t="shared" si="703"/>
        <v>758867</v>
      </c>
      <c r="CI47" s="830">
        <f t="shared" si="703"/>
        <v>-3447</v>
      </c>
      <c r="CJ47" s="830">
        <f t="shared" si="703"/>
        <v>65187</v>
      </c>
      <c r="CK47" s="1337">
        <f t="shared" si="703"/>
        <v>-10707</v>
      </c>
      <c r="CL47" s="1338">
        <f>+'15H26'!K45</f>
        <v>882854</v>
      </c>
      <c r="CM47" s="1248">
        <f>+'15H26'!E45</f>
        <v>124401</v>
      </c>
      <c r="CN47" s="1337">
        <f>'15H26'!C45</f>
        <v>984203</v>
      </c>
      <c r="CO47" s="856">
        <f t="shared" ref="CO47:CU47" si="704">SUM(CO48:CO54)</f>
        <v>86268</v>
      </c>
      <c r="CP47" s="830">
        <f t="shared" si="704"/>
        <v>74746</v>
      </c>
      <c r="CQ47" s="830">
        <f>SUM(CQ48:CQ54)</f>
        <v>787611</v>
      </c>
      <c r="CR47" s="830">
        <f t="shared" si="704"/>
        <v>772836</v>
      </c>
      <c r="CS47" s="830">
        <f t="shared" si="704"/>
        <v>-3550</v>
      </c>
      <c r="CT47" s="830">
        <f t="shared" si="704"/>
        <v>64540</v>
      </c>
      <c r="CU47" s="1337">
        <f t="shared" si="704"/>
        <v>11522</v>
      </c>
      <c r="CV47" s="1338">
        <f>+'16H27'!K45</f>
        <v>929635</v>
      </c>
      <c r="CW47" s="1248">
        <f>+'16H27'!E45</f>
        <v>126909</v>
      </c>
      <c r="CX47" s="1337">
        <f>'16H27'!C45</f>
        <v>1015903</v>
      </c>
      <c r="CY47" s="856">
        <f t="shared" ref="CY47:DE47" si="705">SUM(CY48:CY54)</f>
        <v>125345</v>
      </c>
      <c r="CZ47" s="830">
        <f t="shared" si="705"/>
        <v>126190</v>
      </c>
      <c r="DA47" s="830">
        <f>SUM(DA48:DA54)</f>
        <v>764361</v>
      </c>
      <c r="DB47" s="830">
        <f t="shared" si="705"/>
        <v>725547</v>
      </c>
      <c r="DC47" s="830">
        <f t="shared" si="705"/>
        <v>-3230</v>
      </c>
      <c r="DD47" s="830">
        <f t="shared" si="705"/>
        <v>65249</v>
      </c>
      <c r="DE47" s="1337">
        <f t="shared" si="705"/>
        <v>-845</v>
      </c>
      <c r="DF47" s="1338">
        <f>+'17H28'!K45</f>
        <v>897176</v>
      </c>
      <c r="DG47" s="1248">
        <f>+'17H28'!E45</f>
        <v>126892</v>
      </c>
      <c r="DH47" s="1337">
        <f>'17H28'!C45</f>
        <v>1022521</v>
      </c>
      <c r="DI47" s="856">
        <f t="shared" ref="DI47:DO47" si="706">SUM(DI48:DI54)</f>
        <v>198598</v>
      </c>
      <c r="DJ47" s="830">
        <f t="shared" si="706"/>
        <v>236910</v>
      </c>
      <c r="DK47" s="830">
        <f>SUM(DK48:DK54)</f>
        <v>831451</v>
      </c>
      <c r="DL47" s="830">
        <f t="shared" si="706"/>
        <v>719755</v>
      </c>
      <c r="DM47" s="830">
        <f t="shared" si="706"/>
        <v>-2653</v>
      </c>
      <c r="DN47" s="830">
        <f t="shared" si="706"/>
        <v>54919</v>
      </c>
      <c r="DO47" s="1337">
        <f t="shared" si="706"/>
        <v>-38312</v>
      </c>
      <c r="DP47" s="1338">
        <f>+'18H29'!K45</f>
        <v>867172</v>
      </c>
      <c r="DQ47" s="1248">
        <f>+'18H29'!E45</f>
        <v>119194</v>
      </c>
      <c r="DR47" s="1337">
        <f>+'18H29'!C45</f>
        <v>1065770</v>
      </c>
      <c r="DS47" s="856">
        <f t="shared" ref="DS47:DY47" si="707">SUM(DS48:DS54)</f>
        <v>178310</v>
      </c>
      <c r="DT47" s="830">
        <f t="shared" si="707"/>
        <v>237196</v>
      </c>
      <c r="DU47" s="830">
        <f>SUM(DU48:DU54)</f>
        <v>846275</v>
      </c>
      <c r="DV47" s="830">
        <f t="shared" si="707"/>
        <v>760389</v>
      </c>
      <c r="DW47" s="830">
        <f t="shared" si="707"/>
        <v>-2759</v>
      </c>
      <c r="DX47" s="830">
        <f t="shared" si="707"/>
        <v>56359</v>
      </c>
      <c r="DY47" s="1337">
        <f t="shared" si="707"/>
        <v>-58886</v>
      </c>
      <c r="DZ47" s="1338">
        <f>+'19H30'!K45</f>
        <v>892893</v>
      </c>
      <c r="EA47" s="1248">
        <f>+'19H30'!E45</f>
        <v>119714</v>
      </c>
      <c r="EB47" s="1337">
        <f>+'19H30'!C45</f>
        <v>1071203</v>
      </c>
      <c r="EC47" s="856">
        <f t="shared" ref="EC47:EI47" si="708">SUM(EC48:EC54)</f>
        <v>149723</v>
      </c>
      <c r="ED47" s="830">
        <f t="shared" si="708"/>
        <v>233560</v>
      </c>
      <c r="EE47" s="830">
        <f>SUM(EE48:EE54)</f>
        <v>836225</v>
      </c>
      <c r="EF47" s="830">
        <f t="shared" si="708"/>
        <v>779247</v>
      </c>
      <c r="EG47" s="830">
        <f t="shared" si="708"/>
        <v>-2612</v>
      </c>
      <c r="EH47" s="830">
        <f t="shared" si="708"/>
        <v>55841</v>
      </c>
      <c r="EI47" s="1337">
        <f t="shared" si="708"/>
        <v>-83837</v>
      </c>
      <c r="EJ47" s="1338">
        <f>+'20R1'!K45</f>
        <v>930324</v>
      </c>
      <c r="EK47" s="1248">
        <f>+'20R1'!E45</f>
        <v>121849</v>
      </c>
      <c r="EL47" s="1337">
        <f>+'20R1'!C45</f>
        <v>1080047</v>
      </c>
      <c r="EM47" s="856">
        <f t="shared" ref="EM47" si="709">SUM(EM48:EM54)</f>
        <v>241903</v>
      </c>
      <c r="EN47" s="830">
        <f t="shared" ref="EN47" si="710">SUM(EN48:EN54)</f>
        <v>262052</v>
      </c>
      <c r="EO47" s="830">
        <f>SUM(EO48:EO54)</f>
        <v>790306</v>
      </c>
      <c r="EP47" s="830">
        <f t="shared" ref="EP47:EU47" si="711">SUM(EP48:EP54)</f>
        <v>688847</v>
      </c>
      <c r="EQ47" s="1336">
        <f t="shared" si="711"/>
        <v>-2071</v>
      </c>
      <c r="ER47" s="1336">
        <f t="shared" si="711"/>
        <v>57276</v>
      </c>
      <c r="ES47" s="850">
        <f t="shared" si="711"/>
        <v>-20149</v>
      </c>
      <c r="ET47" s="1338">
        <f t="shared" si="711"/>
        <v>858568</v>
      </c>
      <c r="EU47" s="830">
        <f t="shared" si="711"/>
        <v>126398</v>
      </c>
      <c r="EV47" s="1317">
        <f>+'21R2'!C45</f>
        <v>1100471</v>
      </c>
      <c r="EW47" s="1392">
        <f t="shared" si="298"/>
        <v>128544</v>
      </c>
      <c r="EX47" s="1393">
        <f t="shared" ref="EX47:FC47" si="712">SUM(EX48:EX54)</f>
        <v>150553</v>
      </c>
      <c r="EY47" s="1393">
        <f t="shared" si="712"/>
        <v>886779</v>
      </c>
      <c r="EZ47" s="1393">
        <f t="shared" si="712"/>
        <v>736226</v>
      </c>
      <c r="FA47" s="1393">
        <f t="shared" si="712"/>
        <v>-1169</v>
      </c>
      <c r="FB47" s="1393">
        <f t="shared" si="712"/>
        <v>56046</v>
      </c>
      <c r="FC47" s="1693">
        <f t="shared" si="712"/>
        <v>-22009</v>
      </c>
      <c r="FD47" s="1414">
        <f>'22R3'!K45</f>
        <v>851074</v>
      </c>
      <c r="FE47" s="1310">
        <f>'22R3'!E45</f>
        <v>127230</v>
      </c>
      <c r="FF47" s="1690">
        <f>'22R3'!C45</f>
        <v>1127246</v>
      </c>
      <c r="FG47" s="1392">
        <f t="shared" si="300"/>
        <v>-46617</v>
      </c>
      <c r="FH47" s="1393">
        <f t="shared" ref="FH47" si="713">SUM(FH48:FH54)</f>
        <v>-24608</v>
      </c>
      <c r="FI47" s="830">
        <f>SUM(FI48:FI54)</f>
        <v>900999</v>
      </c>
      <c r="FJ47" s="830">
        <f t="shared" ref="FJ47:FL47" si="714">SUM(FJ48:FJ54)</f>
        <v>925607</v>
      </c>
      <c r="FK47" s="1336">
        <f t="shared" si="714"/>
        <v>-2017</v>
      </c>
      <c r="FL47" s="1336">
        <f t="shared" si="714"/>
        <v>59895</v>
      </c>
      <c r="FM47" s="1398">
        <f t="shared" si="302"/>
        <v>-22009</v>
      </c>
      <c r="FN47" s="1748">
        <f>'23R4'!K45</f>
        <v>997626</v>
      </c>
      <c r="FO47" s="1332">
        <f>'23R4'!E45</f>
        <v>131189</v>
      </c>
      <c r="FP47" s="1690">
        <f>'23R4'!C45</f>
        <v>1110408</v>
      </c>
      <c r="FQ47" s="1310"/>
      <c r="FR47" s="1392">
        <f t="shared" si="303"/>
        <v>139852</v>
      </c>
      <c r="FS47" s="1393">
        <f t="shared" ref="FS47" si="715">SUM(FS48:FS54)</f>
        <v>161861</v>
      </c>
      <c r="FT47" s="830">
        <f>SUM(FT48:FT54)</f>
        <v>1008604</v>
      </c>
      <c r="FU47" s="830">
        <f t="shared" ref="FU47:FW47" si="716">SUM(FU48:FU54)</f>
        <v>846743</v>
      </c>
      <c r="FV47" s="1336">
        <f t="shared" si="716"/>
        <v>-2223</v>
      </c>
      <c r="FW47" s="1336">
        <f t="shared" si="716"/>
        <v>61331</v>
      </c>
      <c r="FX47" s="1398">
        <f t="shared" si="335"/>
        <v>-22009</v>
      </c>
      <c r="FY47" s="1332">
        <f>'24R5'!K45</f>
        <v>927126</v>
      </c>
      <c r="FZ47" s="1332">
        <f>'24R5'!E45</f>
        <v>134294</v>
      </c>
      <c r="GA47" s="1319">
        <v>1049490</v>
      </c>
      <c r="GB47" s="1392">
        <f t="shared" si="305"/>
        <v>91689</v>
      </c>
      <c r="GC47" s="1393">
        <f t="shared" ref="GC47" si="717">SUM(GC48:GC54)</f>
        <v>113698</v>
      </c>
      <c r="GD47" s="830">
        <f>SUM(GD48:GD54)</f>
        <v>1078085</v>
      </c>
      <c r="GE47" s="830">
        <f t="shared" ref="GE47:GG47" si="718">SUM(GE48:GE54)</f>
        <v>964387</v>
      </c>
      <c r="GF47" s="1336">
        <f t="shared" si="718"/>
        <v>-2324</v>
      </c>
      <c r="GG47" s="1336">
        <f t="shared" si="718"/>
        <v>31475</v>
      </c>
      <c r="GH47" s="1398">
        <f t="shared" si="338"/>
        <v>-22009</v>
      </c>
      <c r="GI47" s="1332">
        <f>'25R6'!K45</f>
        <v>1040615</v>
      </c>
      <c r="GJ47" s="1332">
        <f>'25R6'!E45</f>
        <v>140457</v>
      </c>
      <c r="GK47" s="1319">
        <v>1049490</v>
      </c>
      <c r="GL47" s="1392">
        <f t="shared" si="307"/>
        <v>18455</v>
      </c>
      <c r="GM47" s="1393">
        <f t="shared" ref="GM47" si="719">SUM(GM48:GM54)</f>
        <v>40464</v>
      </c>
      <c r="GN47" s="830">
        <f>SUM(GN48:GN54)</f>
        <v>1025718</v>
      </c>
      <c r="GO47" s="830">
        <f t="shared" ref="GO47:GQ47" si="720">SUM(GO48:GO54)</f>
        <v>985254</v>
      </c>
      <c r="GP47" s="1336">
        <f t="shared" si="720"/>
        <v>-2216</v>
      </c>
      <c r="GQ47" s="1336">
        <f t="shared" si="720"/>
        <v>31193</v>
      </c>
      <c r="GR47" s="1406">
        <f t="shared" si="341"/>
        <v>-22009</v>
      </c>
      <c r="GS47" s="1748">
        <f>'26R7'!K45</f>
        <v>1070692</v>
      </c>
      <c r="GT47" s="1332">
        <f>'26R7'!E45</f>
        <v>145410</v>
      </c>
      <c r="GU47" s="1398">
        <v>1070692</v>
      </c>
      <c r="GV47" s="1392">
        <f t="shared" si="309"/>
        <v>-11539</v>
      </c>
      <c r="GW47" s="1393">
        <f t="shared" ref="GW47" si="721">SUM(GW48:GW54)</f>
        <v>10470</v>
      </c>
      <c r="GX47" s="830">
        <f>SUM(GX48:GX54)</f>
        <v>1034884</v>
      </c>
      <c r="GY47" s="830">
        <f t="shared" ref="GY47:HA47" si="722">SUM(GY48:GY54)</f>
        <v>1024414</v>
      </c>
      <c r="GZ47" s="1336">
        <f t="shared" si="722"/>
        <v>-2235</v>
      </c>
      <c r="HA47" s="1336">
        <f t="shared" si="722"/>
        <v>11607</v>
      </c>
      <c r="HB47" s="1406">
        <f t="shared" si="344"/>
        <v>-22009</v>
      </c>
      <c r="HC47" s="1748">
        <f>'27R8'!U45</f>
        <v>1037662</v>
      </c>
      <c r="HD47" s="1690">
        <f>'27R8'!O45</f>
        <v>-11990</v>
      </c>
      <c r="HE47" s="1398">
        <v>1075209</v>
      </c>
      <c r="HF47" s="1392">
        <f t="shared" si="311"/>
        <v>-19900</v>
      </c>
      <c r="HG47" s="1393">
        <f t="shared" ref="HG47" si="723">SUM(HG48:HG54)</f>
        <v>2109</v>
      </c>
      <c r="HH47" s="830">
        <f>SUM(HH48:HH54)</f>
        <v>1051123</v>
      </c>
      <c r="HI47" s="830">
        <f t="shared" ref="HI47:HK47" si="724">SUM(HI48:HI54)</f>
        <v>1049014</v>
      </c>
      <c r="HJ47" s="1336">
        <f t="shared" si="724"/>
        <v>-2271</v>
      </c>
      <c r="HK47" s="1336">
        <f t="shared" si="724"/>
        <v>11607</v>
      </c>
      <c r="HL47" s="1406">
        <f t="shared" si="347"/>
        <v>-22009</v>
      </c>
      <c r="HM47" s="1748">
        <f>'28R9'!U45</f>
        <v>1037662</v>
      </c>
      <c r="HN47" s="1332">
        <f>'28R9'!O45</f>
        <v>-11990</v>
      </c>
      <c r="HO47" s="1398">
        <v>1080464</v>
      </c>
      <c r="HP47" s="830"/>
      <c r="HQ47" s="1310">
        <f>市町名目!J46</f>
        <v>1080047</v>
      </c>
      <c r="HR47" s="1310">
        <f>市町名目!K46</f>
        <v>1100471</v>
      </c>
      <c r="HS47" s="1310">
        <f>市町名目!L46</f>
        <v>1127246</v>
      </c>
      <c r="HT47" s="1310">
        <f>市町名目!M46</f>
        <v>1110408</v>
      </c>
      <c r="HU47" s="1310">
        <f>市町名目!N46</f>
        <v>1129678</v>
      </c>
      <c r="HV47" s="1333">
        <v>1114276</v>
      </c>
      <c r="HW47" s="1725">
        <v>1224232</v>
      </c>
      <c r="HX47" s="1725">
        <v>1075209</v>
      </c>
      <c r="HY47" s="1725">
        <v>1080464</v>
      </c>
    </row>
    <row r="48" spans="1:233" ht="12.5">
      <c r="A48" s="1334">
        <v>208</v>
      </c>
      <c r="B48" s="1335" t="s">
        <v>206</v>
      </c>
      <c r="C48" s="1316">
        <f t="shared" ref="C48:C54" si="725">+L48-J48</f>
        <v>21959</v>
      </c>
      <c r="D48" s="1248">
        <f t="shared" ref="D48:D54" si="726">C48-I48</f>
        <v>20654</v>
      </c>
      <c r="E48" s="850">
        <f t="shared" ref="E48:E54" si="727">ROUND(E$5*L48/L$6,0)</f>
        <v>112289</v>
      </c>
      <c r="F48" s="1248">
        <f t="shared" ref="F48:F54" si="728">ROUND(F$5*J48/J$6,0)</f>
        <v>93838</v>
      </c>
      <c r="G48" s="830">
        <f t="shared" ref="G48:G54" si="729">ROUND(G$5*L48/L$6,0)</f>
        <v>-179</v>
      </c>
      <c r="H48" s="830">
        <f t="shared" ref="H48:I54" si="730">ROUND(H$5*K48/K$6,0)</f>
        <v>7680</v>
      </c>
      <c r="I48" s="1317">
        <f t="shared" si="730"/>
        <v>1305</v>
      </c>
      <c r="J48" s="1318">
        <f>'7H18'!K46</f>
        <v>109965</v>
      </c>
      <c r="K48" s="1248">
        <f>+'7H18'!E46</f>
        <v>11811</v>
      </c>
      <c r="L48" s="1317">
        <f>'7H18'!C46</f>
        <v>131924</v>
      </c>
      <c r="M48" s="1316">
        <f t="shared" ref="M48:M54" si="731">+V48-T48</f>
        <v>19023</v>
      </c>
      <c r="N48" s="1248">
        <f t="shared" ref="N48:N54" si="732">M48-S48</f>
        <v>16878</v>
      </c>
      <c r="O48" s="850">
        <f t="shared" ref="O48:O54" si="733">ROUND(O$5*V48/V$6,0)</f>
        <v>118358</v>
      </c>
      <c r="P48" s="1248">
        <f t="shared" ref="P48:P54" si="734">ROUND(P$5*T48/T$6,0)</f>
        <v>98081</v>
      </c>
      <c r="Q48" s="830">
        <f t="shared" ref="Q48:Q54" si="735">ROUND(Q$5*V48/V$6,0)</f>
        <v>-284</v>
      </c>
      <c r="R48" s="830">
        <f t="shared" ref="R48:S54" si="736">ROUND(R$5*U48/U$6,0)</f>
        <v>7517</v>
      </c>
      <c r="S48" s="1317">
        <f t="shared" si="736"/>
        <v>2145</v>
      </c>
      <c r="T48" s="1318">
        <f>+'8H19'!K46</f>
        <v>110330</v>
      </c>
      <c r="U48" s="1248">
        <f>+'8H19'!E46</f>
        <v>11657</v>
      </c>
      <c r="V48" s="1317">
        <f>'8H19'!C46</f>
        <v>129353</v>
      </c>
      <c r="W48" s="1316">
        <f t="shared" ref="W48:W54" si="737">+AF48-AD48</f>
        <v>27920</v>
      </c>
      <c r="X48" s="1248">
        <f t="shared" ref="X48:X54" si="738">W48-AC48</f>
        <v>26061</v>
      </c>
      <c r="Y48" s="850">
        <f t="shared" ref="Y48:Y54" si="739">ROUND(Y$5*AF48/AF$6,0)</f>
        <v>111011</v>
      </c>
      <c r="Z48" s="1248">
        <f t="shared" ref="Z48:Z54" si="740">ROUND(Z$5*AD48/AD$6,0)</f>
        <v>92247</v>
      </c>
      <c r="AA48" s="830">
        <f t="shared" ref="AA48:AA54" si="741">ROUND(AA$5*AF48/AF$6,0)</f>
        <v>-714</v>
      </c>
      <c r="AB48" s="830">
        <f t="shared" ref="AB48:AC54" si="742">ROUND(AB$5*AE48/AE$6,0)</f>
        <v>7448</v>
      </c>
      <c r="AC48" s="1317">
        <f t="shared" si="742"/>
        <v>1859</v>
      </c>
      <c r="AD48" s="1318">
        <f>+'9H20'!K46</f>
        <v>104545</v>
      </c>
      <c r="AE48" s="1248">
        <f>+'9H20'!E46</f>
        <v>12473</v>
      </c>
      <c r="AF48" s="1317">
        <f>'9H20'!C46</f>
        <v>132465</v>
      </c>
      <c r="AG48" s="1316">
        <f t="shared" ref="AG48:AG54" si="743">+AP48-AN48</f>
        <v>40336</v>
      </c>
      <c r="AH48" s="1248">
        <f t="shared" ref="AH48:AH54" si="744">AG48-AM48</f>
        <v>41851</v>
      </c>
      <c r="AI48" s="850">
        <f t="shared" ref="AI48:AI54" si="745">ROUND(AI$5*AP48/AP$6,0)</f>
        <v>101564</v>
      </c>
      <c r="AJ48" s="1248">
        <f t="shared" ref="AJ48:AJ54" si="746">ROUND(AJ$5*AN48/AN$6,0)</f>
        <v>81232</v>
      </c>
      <c r="AK48" s="830">
        <f t="shared" ref="AK48:AK54" si="747">ROUND(AK$5*AP48/AP$6,0)</f>
        <v>96</v>
      </c>
      <c r="AL48" s="830">
        <f t="shared" ref="AL48:AM54" si="748">ROUND(AL$5*AO48/AO$6,0)</f>
        <v>7020</v>
      </c>
      <c r="AM48" s="1317">
        <f t="shared" si="748"/>
        <v>-1515</v>
      </c>
      <c r="AN48" s="1318">
        <f>+'10H21'!K46</f>
        <v>98932</v>
      </c>
      <c r="AO48" s="1248">
        <f>+'10H21'!E46</f>
        <v>12547</v>
      </c>
      <c r="AP48" s="1317">
        <f>'10H21'!C46</f>
        <v>139268</v>
      </c>
      <c r="AQ48" s="1316">
        <f t="shared" ref="AQ48:AQ54" si="749">+AZ48-AX48</f>
        <v>33619</v>
      </c>
      <c r="AR48" s="1248">
        <f t="shared" ref="AR48:AR54" si="750">AQ48-AW48</f>
        <v>32085</v>
      </c>
      <c r="AS48" s="850">
        <f t="shared" ref="AS48:AS54" si="751">ROUND(AS$5*AZ48/AZ$6,0)</f>
        <v>101756</v>
      </c>
      <c r="AT48" s="1248">
        <f t="shared" ref="AT48:AT54" si="752">ROUND(AT$5*AX48/AX$6,0)</f>
        <v>85485</v>
      </c>
      <c r="AU48" s="830">
        <f t="shared" ref="AU48:AU54" si="753">ROUND(AU$5*AZ48/AZ$6,0)</f>
        <v>-746</v>
      </c>
      <c r="AV48" s="830">
        <f t="shared" ref="AV48:AW54" si="754">ROUND(AV$5*AY48/AY$6,0)</f>
        <v>7533</v>
      </c>
      <c r="AW48" s="1317">
        <f t="shared" si="754"/>
        <v>1534</v>
      </c>
      <c r="AX48" s="1318">
        <f>+'11H22'!K46</f>
        <v>101691</v>
      </c>
      <c r="AY48" s="1248">
        <f>+'11H22'!E46</f>
        <v>12773</v>
      </c>
      <c r="AZ48" s="1317">
        <f>'11H22'!C46</f>
        <v>135310</v>
      </c>
      <c r="BA48" s="1316">
        <f t="shared" ref="BA48:BA54" si="755">+BJ48-BH48</f>
        <v>-8205</v>
      </c>
      <c r="BB48" s="1248">
        <f t="shared" ref="BB48:BB54" si="756">BA48-BG48</f>
        <v>-9180</v>
      </c>
      <c r="BC48" s="850">
        <f t="shared" ref="BC48:BC54" si="757">ROUND(BC$5*BJ48/BJ$6,0)</f>
        <v>78108</v>
      </c>
      <c r="BD48" s="1248">
        <f t="shared" ref="BD48:BD54" si="758">ROUND(BD$5*BH48/BH$6,0)</f>
        <v>91533</v>
      </c>
      <c r="BE48" s="830">
        <f t="shared" ref="BE48:BE54" si="759">ROUND(BE$5*BJ48/BJ$6,0)</f>
        <v>-392</v>
      </c>
      <c r="BF48" s="830">
        <f t="shared" ref="BF48:BG54" si="760">ROUND(BF$5*BI48/BI$6,0)</f>
        <v>7509</v>
      </c>
      <c r="BG48" s="1317">
        <f t="shared" si="760"/>
        <v>975</v>
      </c>
      <c r="BH48" s="1318">
        <f>+'12H23'!K46</f>
        <v>106689</v>
      </c>
      <c r="BI48" s="1248">
        <f>+'12H23'!E46</f>
        <v>13176</v>
      </c>
      <c r="BJ48" s="1317">
        <f>'12H23'!C46</f>
        <v>98484</v>
      </c>
      <c r="BK48" s="1316">
        <f t="shared" ref="BK48:BK54" si="761">+BT48-BR48</f>
        <v>-16819</v>
      </c>
      <c r="BL48" s="1248">
        <f t="shared" ref="BL48:BL54" si="762">BK48-BQ48</f>
        <v>-18508</v>
      </c>
      <c r="BM48" s="850">
        <f t="shared" ref="BM48:BM54" si="763">ROUND(BM$5*BT48/BT$6,0)</f>
        <v>79371</v>
      </c>
      <c r="BN48" s="1248">
        <f t="shared" ref="BN48:BN54" si="764">ROUND(BN$5*BR48/BR$6,0)</f>
        <v>101627</v>
      </c>
      <c r="BO48" s="830">
        <f t="shared" ref="BO48:BO54" si="765">ROUND(BO$5*BT48/BT$6,0)</f>
        <v>-330</v>
      </c>
      <c r="BP48" s="830">
        <f t="shared" ref="BP48:BQ54" si="766">ROUND(BP$5*BS48/BS$6,0)</f>
        <v>7416</v>
      </c>
      <c r="BQ48" s="1317">
        <f t="shared" si="766"/>
        <v>1689</v>
      </c>
      <c r="BR48" s="1318">
        <f>+'13H24'!K46</f>
        <v>118697</v>
      </c>
      <c r="BS48" s="1248">
        <f>+'13H24'!E46</f>
        <v>13547</v>
      </c>
      <c r="BT48" s="1317">
        <f>'13H24'!C46</f>
        <v>101878</v>
      </c>
      <c r="BU48" s="1316">
        <f t="shared" ref="BU48:BU54" si="767">+CD48-CB48</f>
        <v>-6961</v>
      </c>
      <c r="BV48" s="1248">
        <f t="shared" ref="BV48:BV54" si="768">BU48-CA48</f>
        <v>-8341</v>
      </c>
      <c r="BW48" s="850">
        <f t="shared" ref="BW48:BW54" si="769">ROUND(BW$5*CD48/CD$6,0)</f>
        <v>76719</v>
      </c>
      <c r="BX48" s="1248">
        <f t="shared" ref="BX48:BX54" si="770">ROUND(BX$5*CB48/CB$6,0)</f>
        <v>90084</v>
      </c>
      <c r="BY48" s="830">
        <f t="shared" ref="BY48:BY54" si="771">ROUND(BY$5*CD48/CD$6,0)</f>
        <v>-316</v>
      </c>
      <c r="BZ48" s="830">
        <f t="shared" ref="BZ48:CA54" si="772">ROUND(BZ$5*CC48/CC$6,0)</f>
        <v>6846</v>
      </c>
      <c r="CA48" s="1317">
        <f t="shared" si="772"/>
        <v>1380</v>
      </c>
      <c r="CB48" s="1318">
        <f>+'14H25'!K46</f>
        <v>105278</v>
      </c>
      <c r="CC48" s="1248">
        <f>+'14H25'!E46</f>
        <v>13011</v>
      </c>
      <c r="CD48" s="1317">
        <f>'14H25'!C46</f>
        <v>98317</v>
      </c>
      <c r="CE48" s="1316">
        <f t="shared" ref="CE48:CE54" si="773">+CN48-CL48</f>
        <v>6180</v>
      </c>
      <c r="CF48" s="1248">
        <f t="shared" ref="CF48:CF54" si="774">CE48-CK48</f>
        <v>7434</v>
      </c>
      <c r="CG48" s="850">
        <f t="shared" ref="CG48:CG54" si="775">ROUND(CG$5*CN48/CN$6,0)</f>
        <v>92818</v>
      </c>
      <c r="CH48" s="1248">
        <f t="shared" ref="CH48:CH54" si="776">ROUND(CH$5*CL48/CL$6,0)</f>
        <v>93750</v>
      </c>
      <c r="CI48" s="830">
        <f t="shared" ref="CI48:CI54" si="777">ROUND(CI$5*CN48/CN$6,0)</f>
        <v>-404</v>
      </c>
      <c r="CJ48" s="830">
        <f t="shared" ref="CJ48:CK54" si="778">ROUND(CJ$5*CM48/CM$6,0)</f>
        <v>7130</v>
      </c>
      <c r="CK48" s="1317">
        <f t="shared" si="778"/>
        <v>-1254</v>
      </c>
      <c r="CL48" s="1318">
        <f>+'15H26'!K46</f>
        <v>109067</v>
      </c>
      <c r="CM48" s="1248">
        <f>+'15H26'!E46</f>
        <v>13607</v>
      </c>
      <c r="CN48" s="1317">
        <f>'15H26'!C46</f>
        <v>115247</v>
      </c>
      <c r="CO48" s="1316">
        <f t="shared" ref="CO48:CO54" si="779">+CX48-CV48</f>
        <v>25850</v>
      </c>
      <c r="CP48" s="1248">
        <f t="shared" ref="CP48:CP54" si="780">CO48-CU48</f>
        <v>24221</v>
      </c>
      <c r="CQ48" s="850">
        <f t="shared" ref="CQ48:CQ54" si="781">ROUND(CQ$5*CX48/CX$6,0)</f>
        <v>111353</v>
      </c>
      <c r="CR48" s="1248">
        <f t="shared" ref="CR48:CR54" si="782">ROUND(CR$5*CV48/CV$6,0)</f>
        <v>97913</v>
      </c>
      <c r="CS48" s="830">
        <f t="shared" ref="CS48:CS54" si="783">ROUND(CS$5*CX48/CX$6,0)</f>
        <v>-502</v>
      </c>
      <c r="CT48" s="830">
        <f t="shared" ref="CT48:CU54" si="784">ROUND(CT$5*CW48/CW$6,0)</f>
        <v>6814</v>
      </c>
      <c r="CU48" s="1317">
        <f t="shared" si="784"/>
        <v>1629</v>
      </c>
      <c r="CV48" s="1318">
        <f>+'16H27'!K46</f>
        <v>117779</v>
      </c>
      <c r="CW48" s="1248">
        <f>+'16H27'!E46</f>
        <v>13399</v>
      </c>
      <c r="CX48" s="1317">
        <f>'16H27'!C46</f>
        <v>143629</v>
      </c>
      <c r="CY48" s="1316">
        <f t="shared" ref="CY48:CY54" si="785">+DH48-DF48</f>
        <v>-3972</v>
      </c>
      <c r="CZ48" s="1248">
        <f t="shared" ref="CZ48:CZ54" si="786">CY48-DE48</f>
        <v>-3882</v>
      </c>
      <c r="DA48" s="850">
        <f t="shared" ref="DA48:DA54" si="787">ROUND(DA$5*DH48/DH$6,0)</f>
        <v>80935</v>
      </c>
      <c r="DB48" s="1248">
        <f t="shared" ref="DB48:DB54" si="788">ROUND(DB$5*DF48/DF$6,0)</f>
        <v>90771</v>
      </c>
      <c r="DC48" s="830">
        <f t="shared" ref="DC48:DC54" si="789">ROUND(DC$5*DH48/DH$6,0)</f>
        <v>-342</v>
      </c>
      <c r="DD48" s="830">
        <f t="shared" ref="DD48:DE54" si="790">ROUND(DD$5*DG48/DG$6,0)</f>
        <v>6975</v>
      </c>
      <c r="DE48" s="1317">
        <f t="shared" si="790"/>
        <v>-90</v>
      </c>
      <c r="DF48" s="1318">
        <f>+'17H28'!K46</f>
        <v>112243</v>
      </c>
      <c r="DG48" s="1248">
        <f>+'17H28'!E46</f>
        <v>13565</v>
      </c>
      <c r="DH48" s="1317">
        <f>'17H28'!C46</f>
        <v>108271</v>
      </c>
      <c r="DI48" s="1316">
        <f t="shared" ref="DI48:DI54" si="791">+DR48-DP48</f>
        <v>17141</v>
      </c>
      <c r="DJ48" s="1248">
        <f t="shared" ref="DJ48:DJ54" si="792">DI48-DO48</f>
        <v>21397</v>
      </c>
      <c r="DK48" s="850">
        <f t="shared" ref="DK48:DK54" si="793">ROUND(DK$5*DR48/DR$6,0)</f>
        <v>92357</v>
      </c>
      <c r="DL48" s="1248">
        <f t="shared" ref="DL48:DL54" si="794">ROUND(DL$5*DP48/DP$6,0)</f>
        <v>84033</v>
      </c>
      <c r="DM48" s="830">
        <f t="shared" ref="DM48:DM54" si="795">ROUND(DM$5*DR48/DR$6,0)</f>
        <v>-295</v>
      </c>
      <c r="DN48" s="830">
        <f t="shared" ref="DN48:DO54" si="796">ROUND(DN$5*DQ48/DQ$6,0)</f>
        <v>5835</v>
      </c>
      <c r="DO48" s="1317">
        <f t="shared" si="796"/>
        <v>-4256</v>
      </c>
      <c r="DP48" s="1318">
        <f>+'18H29'!K46</f>
        <v>101244</v>
      </c>
      <c r="DQ48" s="1248">
        <f>+'18H29'!E46</f>
        <v>12665</v>
      </c>
      <c r="DR48" s="1317">
        <f>+'18H29'!C46</f>
        <v>118385</v>
      </c>
      <c r="DS48" s="1316">
        <f t="shared" ref="DS48:DS54" si="797">+EB48-DZ48</f>
        <v>36172</v>
      </c>
      <c r="DT48" s="1248">
        <f t="shared" ref="DT48:DT54" si="798">DS48-DY48</f>
        <v>43788</v>
      </c>
      <c r="DU48" s="850">
        <f t="shared" ref="DU48:DU54" si="799">ROUND(DU$5*EB48/EB$6,0)</f>
        <v>109457</v>
      </c>
      <c r="DV48" s="1248">
        <f t="shared" ref="DV48:DV54" si="800">ROUND(DV$5*DZ48/DZ$6,0)</f>
        <v>87184</v>
      </c>
      <c r="DW48" s="830">
        <f t="shared" ref="DW48:DW54" si="801">ROUND(DW$5*EB48/EB$6,0)</f>
        <v>-357</v>
      </c>
      <c r="DX48" s="830">
        <f t="shared" ref="DX48:DY54" si="802">ROUND(DX$5*EA48/EA$6,0)</f>
        <v>6193</v>
      </c>
      <c r="DY48" s="1317">
        <f t="shared" si="802"/>
        <v>-7616</v>
      </c>
      <c r="DZ48" s="1318">
        <f>+'19H30'!K46</f>
        <v>102377</v>
      </c>
      <c r="EA48" s="1248">
        <f>+'19H30'!E46</f>
        <v>13154</v>
      </c>
      <c r="EB48" s="1317">
        <f>+'19H30'!C46</f>
        <v>138549</v>
      </c>
      <c r="EC48" s="1316">
        <f t="shared" ref="EC48:EC54" si="803">+EL48-EJ48</f>
        <v>43438</v>
      </c>
      <c r="ED48" s="1248">
        <f t="shared" ref="ED48:ED54" si="804">EC48-EI48</f>
        <v>54736</v>
      </c>
      <c r="EE48" s="850">
        <f t="shared" ref="EE48:EE54" si="805">ROUND(EE$5*EL48/EL$6,0)</f>
        <v>112687</v>
      </c>
      <c r="EF48" s="1248">
        <f t="shared" ref="EF48:EF54" si="806">ROUND(EF$5*EJ48/EJ$6,0)</f>
        <v>85525</v>
      </c>
      <c r="EG48" s="830">
        <f t="shared" ref="EG48:EG54" si="807">ROUND(EG$5*EL48/EL$6,0)</f>
        <v>-352</v>
      </c>
      <c r="EH48" s="830">
        <f t="shared" ref="EH48:EI54" si="808">ROUND(EH$5*EK48/EK$6,0)</f>
        <v>5999</v>
      </c>
      <c r="EI48" s="1317">
        <f t="shared" si="808"/>
        <v>-11298</v>
      </c>
      <c r="EJ48" s="1318">
        <f>+'20R1'!K46</f>
        <v>102106</v>
      </c>
      <c r="EK48" s="1248">
        <f>+'20R1'!E46</f>
        <v>13090</v>
      </c>
      <c r="EL48" s="1317">
        <f>+'20R1'!C46</f>
        <v>145544</v>
      </c>
      <c r="EM48" s="1316">
        <f t="shared" ref="EM48:EM54" si="809">+EV48-ET48</f>
        <v>75277</v>
      </c>
      <c r="EN48" s="1248">
        <f t="shared" ref="EN48:EN54" si="810">EM48-ES48</f>
        <v>78447</v>
      </c>
      <c r="EO48" s="850">
        <f t="shared" ref="EO48:EO54" si="811">ROUND(EO$5*EV48/EV$6,0)</f>
        <v>124341</v>
      </c>
      <c r="EP48" s="1248">
        <f t="shared" ref="EP48:EP54" si="812">ROUND(EP$5*ET48/ET$6,0)</f>
        <v>78518</v>
      </c>
      <c r="EQ48" s="1336">
        <f t="shared" ref="EQ48:EQ54" si="813">ROUND(EQ$5*EV48/EV$6,0)</f>
        <v>-326</v>
      </c>
      <c r="ER48" s="1336">
        <f t="shared" ref="ER48:ER54" si="814">ROUND(ER$5*EU48/EU$6,0)</f>
        <v>6259</v>
      </c>
      <c r="ES48" s="850">
        <f t="shared" ref="ES48:ES54" si="815">ROUND(ES$5*EV48/EV$6,0)</f>
        <v>-3170</v>
      </c>
      <c r="ET48" s="1331">
        <f>'21R2'!K46</f>
        <v>97863</v>
      </c>
      <c r="EU48" s="1248">
        <f>'21R2'!E46</f>
        <v>13813</v>
      </c>
      <c r="EV48" s="1317">
        <f>+'21R2'!C46</f>
        <v>173140</v>
      </c>
      <c r="EW48" s="1392">
        <f t="shared" si="298"/>
        <v>53490</v>
      </c>
      <c r="EX48" s="1310">
        <f t="shared" ref="EX48:EX54" si="816">EY48-EZ48</f>
        <v>57028</v>
      </c>
      <c r="EY48" s="850">
        <f t="shared" ref="EY48:EY54" si="817">ROUND(EY$5*FF48/FF$6,0)</f>
        <v>142545</v>
      </c>
      <c r="EZ48" s="1248">
        <f t="shared" ref="EZ48:EZ54" si="818">ROUND(EZ$5*FD48/FD$6,0)</f>
        <v>85517</v>
      </c>
      <c r="FA48" s="1336">
        <f t="shared" ref="FA48:FA54" si="819">ROUND(FA$5*FF48/FF$6,0)</f>
        <v>-188</v>
      </c>
      <c r="FB48" s="1336">
        <f t="shared" ref="FB48:FB54" si="820">ROUND(FB$5*FE48/FE$6,0)</f>
        <v>6183</v>
      </c>
      <c r="FC48" s="1689">
        <f t="shared" si="363"/>
        <v>-3538</v>
      </c>
      <c r="FD48" s="1414">
        <f>'22R3'!K46</f>
        <v>98857</v>
      </c>
      <c r="FE48" s="1310">
        <f>'22R3'!E46</f>
        <v>14036</v>
      </c>
      <c r="FF48" s="1690">
        <f>'22R3'!C46</f>
        <v>181199</v>
      </c>
      <c r="FG48" s="1392">
        <f t="shared" si="300"/>
        <v>54872</v>
      </c>
      <c r="FH48" s="1310">
        <f t="shared" ref="FH48:FH54" si="821">FI48-FJ48</f>
        <v>58410</v>
      </c>
      <c r="FI48" s="850">
        <f t="shared" ref="FI48:FI54" si="822">ROUND(FI$5*FP48/FP$6,0)</f>
        <v>156050</v>
      </c>
      <c r="FJ48" s="1248">
        <f t="shared" ref="FJ48:FJ54" si="823">ROUND(FJ$5*FN48/FN$6,0)</f>
        <v>97640</v>
      </c>
      <c r="FK48" s="1336">
        <f t="shared" ref="FK48:FK54" si="824">ROUND(FK$5*FP48/FP$6,0)</f>
        <v>-349</v>
      </c>
      <c r="FL48" s="1336">
        <f t="shared" ref="FL48:FL54" si="825">ROUND(FL$5*FO48/FO$6,0)</f>
        <v>6739</v>
      </c>
      <c r="FM48" s="1398">
        <f t="shared" si="302"/>
        <v>-3538</v>
      </c>
      <c r="FN48" s="1748">
        <f>'23R4'!K46</f>
        <v>105237</v>
      </c>
      <c r="FO48" s="1332">
        <f>'23R4'!E46</f>
        <v>14761</v>
      </c>
      <c r="FP48" s="1690">
        <f>'23R4'!C46</f>
        <v>192319</v>
      </c>
      <c r="FQ48" s="1310"/>
      <c r="FR48" s="1392">
        <f t="shared" si="303"/>
        <v>36718</v>
      </c>
      <c r="FS48" s="1310">
        <f t="shared" ref="FS48:FS54" si="826">FT48-FU48</f>
        <v>40256</v>
      </c>
      <c r="FT48" s="868">
        <f t="shared" ref="FT48:FT54" si="827">ROUND(FT$5*GA48/GA$6,0)</f>
        <v>131955</v>
      </c>
      <c r="FU48" s="1248">
        <f t="shared" ref="FU48:FU54" si="828">ROUND(FU$5*FY48/FY$6,0)</f>
        <v>91699</v>
      </c>
      <c r="FV48" s="1336">
        <f t="shared" ref="FV48:FV54" si="829">ROUND(FV$5*GA48/GA$6,0)</f>
        <v>-291</v>
      </c>
      <c r="FW48" s="1336">
        <f t="shared" ref="FW48:FW54" si="830">ROUND(FW$5*FZ48/FZ$6,0)</f>
        <v>6721</v>
      </c>
      <c r="FX48" s="1398">
        <f t="shared" si="335"/>
        <v>-3538</v>
      </c>
      <c r="FY48" s="1332">
        <f>'24R5'!K46</f>
        <v>100404</v>
      </c>
      <c r="FZ48" s="1332">
        <f>'24R5'!E46</f>
        <v>14717</v>
      </c>
      <c r="GA48" s="1319">
        <v>137304</v>
      </c>
      <c r="GB48" s="1392">
        <f t="shared" si="305"/>
        <v>31266</v>
      </c>
      <c r="GC48" s="1310">
        <f t="shared" ref="GC48:GC54" si="831">GD48-GE48</f>
        <v>34804</v>
      </c>
      <c r="GD48" s="868">
        <f t="shared" ref="GD48:GD54" si="832">ROUND(GD$5*GK48/GK$6,0)</f>
        <v>141045</v>
      </c>
      <c r="GE48" s="1248">
        <f t="shared" ref="GE48:GE54" si="833">ROUND(GE$5*GI48/GI$6,0)</f>
        <v>106241</v>
      </c>
      <c r="GF48" s="1336">
        <f t="shared" ref="GF48:GF54" si="834">ROUND(GF$5*GK48/GK$6,0)</f>
        <v>-304</v>
      </c>
      <c r="GG48" s="1336">
        <f t="shared" ref="GG48:GG54" si="835">ROUND(GG$5*GJ48/GJ$6,0)</f>
        <v>3333</v>
      </c>
      <c r="GH48" s="1398">
        <f t="shared" si="338"/>
        <v>-3538</v>
      </c>
      <c r="GI48" s="1332">
        <f>'25R6'!K46</f>
        <v>114639</v>
      </c>
      <c r="GJ48" s="1332">
        <f>'25R6'!E46</f>
        <v>14875</v>
      </c>
      <c r="GK48" s="1319">
        <v>137304</v>
      </c>
      <c r="GL48" s="1392">
        <f t="shared" si="307"/>
        <v>950</v>
      </c>
      <c r="GM48" s="1310">
        <f t="shared" ref="GM48:GM54" si="836">GN48-GO48</f>
        <v>4488</v>
      </c>
      <c r="GN48" s="868">
        <f t="shared" ref="GN48:GN54" si="837">ROUND(GN$5*GU48/GU$6,0)</f>
        <v>113761</v>
      </c>
      <c r="GO48" s="1248">
        <f t="shared" ref="GO48:GO54" si="838">ROUND(GO$5*GS48/GS$6,0)</f>
        <v>109273</v>
      </c>
      <c r="GP48" s="1336">
        <f t="shared" ref="GP48:GP54" si="839">ROUND(GP$5*GU48/GU$6,0)</f>
        <v>-246</v>
      </c>
      <c r="GQ48" s="1336">
        <f t="shared" ref="GQ48:GQ54" si="840">ROUND(GQ$5*GT48/GT$6,0)</f>
        <v>3409</v>
      </c>
      <c r="GR48" s="1406">
        <f t="shared" si="341"/>
        <v>-3538</v>
      </c>
      <c r="GS48" s="1748">
        <f>'26R7'!K46</f>
        <v>118749</v>
      </c>
      <c r="GT48" s="1332">
        <f>'26R7'!E46</f>
        <v>15891</v>
      </c>
      <c r="GU48" s="1398">
        <v>118749</v>
      </c>
      <c r="GV48" s="1392">
        <f t="shared" si="309"/>
        <v>-2537</v>
      </c>
      <c r="GW48" s="1310">
        <f t="shared" ref="GW48:GW54" si="841">GX48-GY48</f>
        <v>1001</v>
      </c>
      <c r="GX48" s="868">
        <f t="shared" ref="GX48:GX54" si="842">ROUND(GX$5*HE48/HE$6,0)</f>
        <v>113453</v>
      </c>
      <c r="GY48" s="1248">
        <f t="shared" ref="GY48:GY54" si="843">ROUND(GY$5*HC48/HC$6,0)</f>
        <v>112452</v>
      </c>
      <c r="GZ48" s="1336">
        <f t="shared" ref="GZ48:GZ54" si="844">ROUND(GZ$5*HE48/HE$6,0)</f>
        <v>-245</v>
      </c>
      <c r="HA48" s="1336">
        <f t="shared" ref="HA48:HA54" si="845">ROUND(HA$5*HD48/HD$6,0)</f>
        <v>-6307</v>
      </c>
      <c r="HB48" s="1406">
        <f t="shared" si="344"/>
        <v>-3538</v>
      </c>
      <c r="HC48" s="1748">
        <f>'27R8'!U46</f>
        <v>113906</v>
      </c>
      <c r="HD48" s="1690">
        <f>'27R8'!O46</f>
        <v>6515</v>
      </c>
      <c r="HE48" s="1398">
        <v>117874</v>
      </c>
      <c r="HF48" s="1392">
        <f t="shared" si="311"/>
        <v>-4599</v>
      </c>
      <c r="HG48" s="1310">
        <f t="shared" ref="HG48:HG54" si="846">HH48-HI48</f>
        <v>-1061</v>
      </c>
      <c r="HH48" s="868">
        <f t="shared" ref="HH48:HH54" si="847">ROUND(HH$5*HO48/HO$6,0)</f>
        <v>114091</v>
      </c>
      <c r="HI48" s="1248">
        <f t="shared" ref="HI48:HI54" si="848">ROUND(HI$5*HM48/HM$6,0)</f>
        <v>115152</v>
      </c>
      <c r="HJ48" s="1336">
        <f t="shared" ref="HJ48:HJ54" si="849">ROUND(HJ$5*HO48/HO$6,0)</f>
        <v>-246</v>
      </c>
      <c r="HK48" s="1336">
        <f t="shared" ref="HK48:HK54" si="850">ROUND(HK$5*HN48/HN$6,0)</f>
        <v>-6307</v>
      </c>
      <c r="HL48" s="1406">
        <f t="shared" si="347"/>
        <v>-3538</v>
      </c>
      <c r="HM48" s="1748">
        <f>'28R9'!U46</f>
        <v>113906</v>
      </c>
      <c r="HN48" s="1332">
        <f>'28R9'!O46</f>
        <v>6515</v>
      </c>
      <c r="HO48" s="1398">
        <v>117276</v>
      </c>
      <c r="HQ48" s="1310">
        <f>市町名目!J47</f>
        <v>145544</v>
      </c>
      <c r="HR48" s="1310">
        <f>市町名目!K47</f>
        <v>173140</v>
      </c>
      <c r="HS48" s="1310">
        <f>市町名目!L47</f>
        <v>181199</v>
      </c>
      <c r="HT48" s="1310">
        <f>市町名目!M47</f>
        <v>192319</v>
      </c>
      <c r="HU48" s="1310">
        <f>市町名目!N47</f>
        <v>180506</v>
      </c>
      <c r="HV48" s="1054">
        <v>164960</v>
      </c>
      <c r="HW48" s="1030">
        <v>169551</v>
      </c>
      <c r="HX48" s="1030">
        <v>117874</v>
      </c>
      <c r="HY48" s="1030">
        <v>117276</v>
      </c>
    </row>
    <row r="49" spans="1:233" ht="12.5">
      <c r="A49" s="1334">
        <v>212</v>
      </c>
      <c r="B49" s="1335" t="s">
        <v>207</v>
      </c>
      <c r="C49" s="1316">
        <f t="shared" si="725"/>
        <v>11742</v>
      </c>
      <c r="D49" s="1248">
        <f t="shared" si="726"/>
        <v>9828</v>
      </c>
      <c r="E49" s="850">
        <f t="shared" si="727"/>
        <v>164625</v>
      </c>
      <c r="F49" s="1248">
        <f t="shared" si="728"/>
        <v>155027</v>
      </c>
      <c r="G49" s="830">
        <f t="shared" si="729"/>
        <v>-263</v>
      </c>
      <c r="H49" s="830">
        <f t="shared" si="730"/>
        <v>12880</v>
      </c>
      <c r="I49" s="1317">
        <f t="shared" si="730"/>
        <v>1914</v>
      </c>
      <c r="J49" s="1318">
        <f>'7H18'!K47</f>
        <v>181670</v>
      </c>
      <c r="K49" s="1248">
        <f>+'7H18'!E47</f>
        <v>19808</v>
      </c>
      <c r="L49" s="1317">
        <f>'7H18'!C47</f>
        <v>193412</v>
      </c>
      <c r="M49" s="1316">
        <f t="shared" si="731"/>
        <v>4371</v>
      </c>
      <c r="N49" s="1248">
        <f t="shared" si="732"/>
        <v>1297</v>
      </c>
      <c r="O49" s="850">
        <f t="shared" si="733"/>
        <v>169620</v>
      </c>
      <c r="P49" s="1248">
        <f t="shared" si="734"/>
        <v>160910</v>
      </c>
      <c r="Q49" s="830">
        <f t="shared" si="735"/>
        <v>-406</v>
      </c>
      <c r="R49" s="830">
        <f t="shared" si="736"/>
        <v>12300</v>
      </c>
      <c r="S49" s="1317">
        <f t="shared" si="736"/>
        <v>3074</v>
      </c>
      <c r="T49" s="1318">
        <f>+'8H19'!K47</f>
        <v>181006</v>
      </c>
      <c r="U49" s="1248">
        <f>+'8H19'!E47</f>
        <v>19075</v>
      </c>
      <c r="V49" s="1317">
        <f>'8H19'!C47</f>
        <v>185377</v>
      </c>
      <c r="W49" s="1316">
        <f t="shared" si="737"/>
        <v>-2061</v>
      </c>
      <c r="X49" s="1248">
        <f t="shared" si="738"/>
        <v>-4686</v>
      </c>
      <c r="Y49" s="850">
        <f t="shared" si="739"/>
        <v>156752</v>
      </c>
      <c r="Z49" s="1248">
        <f t="shared" si="740"/>
        <v>166861</v>
      </c>
      <c r="AA49" s="830">
        <f t="shared" si="741"/>
        <v>-1009</v>
      </c>
      <c r="AB49" s="830">
        <f t="shared" si="742"/>
        <v>12464</v>
      </c>
      <c r="AC49" s="1317">
        <f t="shared" si="742"/>
        <v>2625</v>
      </c>
      <c r="AD49" s="1318">
        <f>+'9H20'!K47</f>
        <v>189106</v>
      </c>
      <c r="AE49" s="1248">
        <f>+'9H20'!E47</f>
        <v>20874</v>
      </c>
      <c r="AF49" s="1317">
        <f>'9H20'!C47</f>
        <v>187045</v>
      </c>
      <c r="AG49" s="1316">
        <f t="shared" si="743"/>
        <v>42080</v>
      </c>
      <c r="AH49" s="1248">
        <f t="shared" si="744"/>
        <v>44366</v>
      </c>
      <c r="AI49" s="850">
        <f t="shared" si="745"/>
        <v>153257</v>
      </c>
      <c r="AJ49" s="1248">
        <f t="shared" si="746"/>
        <v>138001</v>
      </c>
      <c r="AK49" s="830">
        <f t="shared" si="747"/>
        <v>145</v>
      </c>
      <c r="AL49" s="830">
        <f t="shared" si="748"/>
        <v>11366</v>
      </c>
      <c r="AM49" s="1317">
        <f t="shared" si="748"/>
        <v>-2286</v>
      </c>
      <c r="AN49" s="1318">
        <f>+'10H21'!K47</f>
        <v>168070</v>
      </c>
      <c r="AO49" s="1248">
        <f>+'10H21'!E47</f>
        <v>20315</v>
      </c>
      <c r="AP49" s="1317">
        <f>'10H21'!C47</f>
        <v>210150</v>
      </c>
      <c r="AQ49" s="1316">
        <f t="shared" si="749"/>
        <v>48383</v>
      </c>
      <c r="AR49" s="1248">
        <f t="shared" si="750"/>
        <v>45810</v>
      </c>
      <c r="AS49" s="850">
        <f t="shared" si="751"/>
        <v>170654</v>
      </c>
      <c r="AT49" s="1248">
        <f t="shared" si="752"/>
        <v>150091</v>
      </c>
      <c r="AU49" s="830">
        <f t="shared" si="753"/>
        <v>-1250</v>
      </c>
      <c r="AV49" s="830">
        <f t="shared" si="754"/>
        <v>12717</v>
      </c>
      <c r="AW49" s="1317">
        <f t="shared" si="754"/>
        <v>2573</v>
      </c>
      <c r="AX49" s="1318">
        <f>+'11H22'!K47</f>
        <v>178545</v>
      </c>
      <c r="AY49" s="1248">
        <f>+'11H22'!E47</f>
        <v>21564</v>
      </c>
      <c r="AZ49" s="1317">
        <f>'11H22'!C47</f>
        <v>226928</v>
      </c>
      <c r="BA49" s="1316">
        <f t="shared" si="755"/>
        <v>27851</v>
      </c>
      <c r="BB49" s="1248">
        <f t="shared" si="756"/>
        <v>25763</v>
      </c>
      <c r="BC49" s="850">
        <f t="shared" si="757"/>
        <v>167369</v>
      </c>
      <c r="BD49" s="1248">
        <f t="shared" si="758"/>
        <v>157159</v>
      </c>
      <c r="BE49" s="830">
        <f t="shared" si="759"/>
        <v>-840</v>
      </c>
      <c r="BF49" s="830">
        <f t="shared" si="760"/>
        <v>13583</v>
      </c>
      <c r="BG49" s="1317">
        <f t="shared" si="760"/>
        <v>2088</v>
      </c>
      <c r="BH49" s="1318">
        <f>+'12H23'!K47</f>
        <v>183181</v>
      </c>
      <c r="BI49" s="1248">
        <f>+'12H23'!E47</f>
        <v>23832</v>
      </c>
      <c r="BJ49" s="1317">
        <f>'12H23'!C47</f>
        <v>211032</v>
      </c>
      <c r="BK49" s="1316">
        <f t="shared" si="761"/>
        <v>29597</v>
      </c>
      <c r="BL49" s="1248">
        <f t="shared" si="762"/>
        <v>26034</v>
      </c>
      <c r="BM49" s="850">
        <f t="shared" si="763"/>
        <v>167374</v>
      </c>
      <c r="BN49" s="1248">
        <f t="shared" si="764"/>
        <v>158600</v>
      </c>
      <c r="BO49" s="830">
        <f t="shared" si="765"/>
        <v>-696</v>
      </c>
      <c r="BP49" s="830">
        <f t="shared" si="766"/>
        <v>12086</v>
      </c>
      <c r="BQ49" s="1317">
        <f t="shared" si="766"/>
        <v>3563</v>
      </c>
      <c r="BR49" s="1318">
        <f>+'13H24'!K47</f>
        <v>185240</v>
      </c>
      <c r="BS49" s="1248">
        <f>+'13H24'!E47</f>
        <v>22078</v>
      </c>
      <c r="BT49" s="1317">
        <f>'13H24'!C47</f>
        <v>214837</v>
      </c>
      <c r="BU49" s="1316">
        <f t="shared" si="767"/>
        <v>25644</v>
      </c>
      <c r="BV49" s="1248">
        <f t="shared" si="768"/>
        <v>22543</v>
      </c>
      <c r="BW49" s="850">
        <f t="shared" si="769"/>
        <v>172436</v>
      </c>
      <c r="BX49" s="1248">
        <f t="shared" si="770"/>
        <v>167145</v>
      </c>
      <c r="BY49" s="830">
        <f t="shared" si="771"/>
        <v>-711</v>
      </c>
      <c r="BZ49" s="830">
        <f t="shared" si="772"/>
        <v>12766</v>
      </c>
      <c r="CA49" s="1317">
        <f t="shared" si="772"/>
        <v>3101</v>
      </c>
      <c r="CB49" s="1318">
        <f>+'14H25'!K47</f>
        <v>195337</v>
      </c>
      <c r="CC49" s="1248">
        <f>+'14H25'!E47</f>
        <v>24262</v>
      </c>
      <c r="CD49" s="1317">
        <f>'14H25'!C47</f>
        <v>220981</v>
      </c>
      <c r="CE49" s="1316">
        <f t="shared" si="773"/>
        <v>19058</v>
      </c>
      <c r="CF49" s="1248">
        <f t="shared" si="774"/>
        <v>21413</v>
      </c>
      <c r="CG49" s="850">
        <f t="shared" si="775"/>
        <v>174350</v>
      </c>
      <c r="CH49" s="1248">
        <f t="shared" si="776"/>
        <v>169697</v>
      </c>
      <c r="CI49" s="830">
        <f t="shared" si="777"/>
        <v>-758</v>
      </c>
      <c r="CJ49" s="830">
        <f t="shared" si="778"/>
        <v>12681</v>
      </c>
      <c r="CK49" s="1317">
        <f t="shared" si="778"/>
        <v>-2355</v>
      </c>
      <c r="CL49" s="1318">
        <f>+'15H26'!K47</f>
        <v>197423</v>
      </c>
      <c r="CM49" s="1248">
        <f>+'15H26'!E47</f>
        <v>24201</v>
      </c>
      <c r="CN49" s="1317">
        <f>'15H26'!C47</f>
        <v>216481</v>
      </c>
      <c r="CO49" s="1316">
        <f t="shared" si="779"/>
        <v>27562</v>
      </c>
      <c r="CP49" s="1248">
        <f t="shared" si="780"/>
        <v>24987</v>
      </c>
      <c r="CQ49" s="850">
        <f t="shared" si="781"/>
        <v>176042</v>
      </c>
      <c r="CR49" s="1248">
        <f t="shared" si="782"/>
        <v>165857</v>
      </c>
      <c r="CS49" s="830">
        <f t="shared" si="783"/>
        <v>-793</v>
      </c>
      <c r="CT49" s="830">
        <f t="shared" si="784"/>
        <v>12844</v>
      </c>
      <c r="CU49" s="1317">
        <f t="shared" si="784"/>
        <v>2575</v>
      </c>
      <c r="CV49" s="1318">
        <f>+'16H27'!K47</f>
        <v>199507</v>
      </c>
      <c r="CW49" s="1248">
        <f>+'16H27'!E47</f>
        <v>25256</v>
      </c>
      <c r="CX49" s="1317">
        <f>'16H27'!C47</f>
        <v>227069</v>
      </c>
      <c r="CY49" s="1316">
        <f t="shared" si="785"/>
        <v>39266</v>
      </c>
      <c r="CZ49" s="1248">
        <f t="shared" si="786"/>
        <v>39460</v>
      </c>
      <c r="DA49" s="850">
        <f t="shared" si="787"/>
        <v>175336</v>
      </c>
      <c r="DB49" s="1248">
        <f t="shared" si="788"/>
        <v>157931</v>
      </c>
      <c r="DC49" s="830">
        <f t="shared" si="789"/>
        <v>-741</v>
      </c>
      <c r="DD49" s="830">
        <f t="shared" si="790"/>
        <v>12996</v>
      </c>
      <c r="DE49" s="1317">
        <f t="shared" si="790"/>
        <v>-194</v>
      </c>
      <c r="DF49" s="1318">
        <f>+'17H28'!K47</f>
        <v>195289</v>
      </c>
      <c r="DG49" s="1248">
        <f>+'17H28'!E47</f>
        <v>25274</v>
      </c>
      <c r="DH49" s="1317">
        <f>'17H28'!C47</f>
        <v>234555</v>
      </c>
      <c r="DI49" s="1316">
        <f t="shared" si="791"/>
        <v>52881</v>
      </c>
      <c r="DJ49" s="1248">
        <f t="shared" si="792"/>
        <v>61577</v>
      </c>
      <c r="DK49" s="850">
        <f t="shared" si="793"/>
        <v>188727</v>
      </c>
      <c r="DL49" s="1248">
        <f t="shared" si="794"/>
        <v>156898</v>
      </c>
      <c r="DM49" s="830">
        <f t="shared" si="795"/>
        <v>-602</v>
      </c>
      <c r="DN49" s="830">
        <f t="shared" si="796"/>
        <v>10881</v>
      </c>
      <c r="DO49" s="1317">
        <f t="shared" si="796"/>
        <v>-8696</v>
      </c>
      <c r="DP49" s="1318">
        <f>+'18H29'!K47</f>
        <v>189033</v>
      </c>
      <c r="DQ49" s="1248">
        <f>+'18H29'!E47</f>
        <v>23616</v>
      </c>
      <c r="DR49" s="1317">
        <f>+'18H29'!C47</f>
        <v>241914</v>
      </c>
      <c r="DS49" s="1316">
        <f t="shared" si="797"/>
        <v>50602</v>
      </c>
      <c r="DT49" s="1248">
        <f t="shared" si="798"/>
        <v>63544</v>
      </c>
      <c r="DU49" s="850">
        <f t="shared" si="799"/>
        <v>185995</v>
      </c>
      <c r="DV49" s="1248">
        <f t="shared" si="800"/>
        <v>157400</v>
      </c>
      <c r="DW49" s="830">
        <f t="shared" si="801"/>
        <v>-606</v>
      </c>
      <c r="DX49" s="830">
        <f t="shared" si="802"/>
        <v>11301</v>
      </c>
      <c r="DY49" s="1317">
        <f t="shared" si="802"/>
        <v>-12942</v>
      </c>
      <c r="DZ49" s="1318">
        <f>+'19H30'!K47</f>
        <v>184828</v>
      </c>
      <c r="EA49" s="1248">
        <f>+'19H30'!E47</f>
        <v>24005</v>
      </c>
      <c r="EB49" s="1317">
        <f>+'19H30'!C47</f>
        <v>235430</v>
      </c>
      <c r="EC49" s="1316">
        <f t="shared" si="803"/>
        <v>40618</v>
      </c>
      <c r="ED49" s="1248">
        <f t="shared" si="804"/>
        <v>59261</v>
      </c>
      <c r="EE49" s="850">
        <f t="shared" si="805"/>
        <v>185953</v>
      </c>
      <c r="EF49" s="1248">
        <f t="shared" si="806"/>
        <v>167148</v>
      </c>
      <c r="EG49" s="830">
        <f t="shared" si="807"/>
        <v>-581</v>
      </c>
      <c r="EH49" s="830">
        <f t="shared" si="808"/>
        <v>11045</v>
      </c>
      <c r="EI49" s="1317">
        <f t="shared" si="808"/>
        <v>-18643</v>
      </c>
      <c r="EJ49" s="1318">
        <f>+'20R1'!K47</f>
        <v>199554</v>
      </c>
      <c r="EK49" s="1248">
        <f>+'20R1'!E47</f>
        <v>24102</v>
      </c>
      <c r="EL49" s="1317">
        <f>+'20R1'!C47</f>
        <v>240172</v>
      </c>
      <c r="EM49" s="1316">
        <f t="shared" si="809"/>
        <v>57042</v>
      </c>
      <c r="EN49" s="1248">
        <f t="shared" si="810"/>
        <v>61470</v>
      </c>
      <c r="EO49" s="850">
        <f t="shared" si="811"/>
        <v>173687</v>
      </c>
      <c r="EP49" s="1248">
        <f t="shared" si="812"/>
        <v>148277</v>
      </c>
      <c r="EQ49" s="1336">
        <f t="shared" si="813"/>
        <v>-455</v>
      </c>
      <c r="ER49" s="1336">
        <f t="shared" si="814"/>
        <v>11078</v>
      </c>
      <c r="ES49" s="850">
        <f t="shared" si="815"/>
        <v>-4428</v>
      </c>
      <c r="ET49" s="1331">
        <f>'21R2'!K47</f>
        <v>184810</v>
      </c>
      <c r="EU49" s="1248">
        <f>'21R2'!E47</f>
        <v>24448</v>
      </c>
      <c r="EV49" s="1317">
        <f>+'21R2'!C47</f>
        <v>241852</v>
      </c>
      <c r="EW49" s="1392">
        <f t="shared" si="298"/>
        <v>21951</v>
      </c>
      <c r="EX49" s="1310">
        <f t="shared" si="816"/>
        <v>26487</v>
      </c>
      <c r="EY49" s="850">
        <f t="shared" si="817"/>
        <v>182750</v>
      </c>
      <c r="EZ49" s="1248">
        <f t="shared" si="818"/>
        <v>156263</v>
      </c>
      <c r="FA49" s="1336">
        <f t="shared" si="819"/>
        <v>-241</v>
      </c>
      <c r="FB49" s="1336">
        <f t="shared" si="820"/>
        <v>11260</v>
      </c>
      <c r="FC49" s="1689">
        <f t="shared" si="363"/>
        <v>-4536</v>
      </c>
      <c r="FD49" s="1414">
        <f>'22R3'!K47</f>
        <v>180640</v>
      </c>
      <c r="FE49" s="1310">
        <f>'22R3'!E47</f>
        <v>25561</v>
      </c>
      <c r="FF49" s="1690">
        <f>'22R3'!C47</f>
        <v>232306</v>
      </c>
      <c r="FG49" s="1392">
        <f t="shared" si="300"/>
        <v>-2457</v>
      </c>
      <c r="FH49" s="1310">
        <f t="shared" si="821"/>
        <v>2079</v>
      </c>
      <c r="FI49" s="850">
        <f t="shared" si="822"/>
        <v>192885</v>
      </c>
      <c r="FJ49" s="1248">
        <f t="shared" si="823"/>
        <v>190806</v>
      </c>
      <c r="FK49" s="1336">
        <f t="shared" si="824"/>
        <v>-432</v>
      </c>
      <c r="FL49" s="1336">
        <f t="shared" si="825"/>
        <v>11970</v>
      </c>
      <c r="FM49" s="1398">
        <f t="shared" si="302"/>
        <v>-4536</v>
      </c>
      <c r="FN49" s="1748">
        <f>'23R4'!K47</f>
        <v>205652</v>
      </c>
      <c r="FO49" s="1332">
        <f>'23R4'!E47</f>
        <v>26218</v>
      </c>
      <c r="FP49" s="1690">
        <f>'23R4'!C47</f>
        <v>237715</v>
      </c>
      <c r="FQ49" s="1310"/>
      <c r="FR49" s="1392">
        <f t="shared" si="303"/>
        <v>34630</v>
      </c>
      <c r="FS49" s="1310">
        <f t="shared" si="826"/>
        <v>39166</v>
      </c>
      <c r="FT49" s="868">
        <f t="shared" si="827"/>
        <v>223076</v>
      </c>
      <c r="FU49" s="1248">
        <f t="shared" si="828"/>
        <v>183910</v>
      </c>
      <c r="FV49" s="1336">
        <f t="shared" si="829"/>
        <v>-492</v>
      </c>
      <c r="FW49" s="1336">
        <f t="shared" si="830"/>
        <v>11555</v>
      </c>
      <c r="FX49" s="1398">
        <f t="shared" si="335"/>
        <v>-4536</v>
      </c>
      <c r="FY49" s="1332">
        <f>'24R5'!K47</f>
        <v>201369</v>
      </c>
      <c r="FZ49" s="1332">
        <f>'24R5'!E47</f>
        <v>25302</v>
      </c>
      <c r="GA49" s="1319">
        <v>232119</v>
      </c>
      <c r="GB49" s="1392">
        <f t="shared" si="305"/>
        <v>31543</v>
      </c>
      <c r="GC49" s="1310">
        <f t="shared" si="831"/>
        <v>36079</v>
      </c>
      <c r="GD49" s="868">
        <f t="shared" si="832"/>
        <v>238444</v>
      </c>
      <c r="GE49" s="1248">
        <f t="shared" si="833"/>
        <v>202365</v>
      </c>
      <c r="GF49" s="1336">
        <f t="shared" si="834"/>
        <v>-514</v>
      </c>
      <c r="GG49" s="1336">
        <f t="shared" si="835"/>
        <v>6012</v>
      </c>
      <c r="GH49" s="1398">
        <f t="shared" si="338"/>
        <v>-4536</v>
      </c>
      <c r="GI49" s="1332">
        <f>'25R6'!K47</f>
        <v>218360</v>
      </c>
      <c r="GJ49" s="1332">
        <f>'25R6'!E47</f>
        <v>26830</v>
      </c>
      <c r="GK49" s="1319">
        <v>232119</v>
      </c>
      <c r="GL49" s="1392">
        <f t="shared" si="307"/>
        <v>4063</v>
      </c>
      <c r="GM49" s="1310">
        <f t="shared" si="836"/>
        <v>8599</v>
      </c>
      <c r="GN49" s="868">
        <f t="shared" si="837"/>
        <v>217980</v>
      </c>
      <c r="GO49" s="1248">
        <f t="shared" si="838"/>
        <v>209381</v>
      </c>
      <c r="GP49" s="1336">
        <f t="shared" si="839"/>
        <v>-471</v>
      </c>
      <c r="GQ49" s="1336">
        <f t="shared" si="840"/>
        <v>6023</v>
      </c>
      <c r="GR49" s="1406">
        <f t="shared" si="341"/>
        <v>-4536</v>
      </c>
      <c r="GS49" s="1748">
        <f>'26R7'!K47</f>
        <v>227538</v>
      </c>
      <c r="GT49" s="1332">
        <f>'26R7'!E47</f>
        <v>28079</v>
      </c>
      <c r="GU49" s="1398">
        <v>227538</v>
      </c>
      <c r="GV49" s="1392">
        <f t="shared" si="309"/>
        <v>-1947</v>
      </c>
      <c r="GW49" s="1310">
        <f t="shared" si="841"/>
        <v>2589</v>
      </c>
      <c r="GX49" s="868">
        <f t="shared" si="842"/>
        <v>218738</v>
      </c>
      <c r="GY49" s="1248">
        <f t="shared" si="843"/>
        <v>216149</v>
      </c>
      <c r="GZ49" s="1336">
        <f t="shared" si="844"/>
        <v>-472</v>
      </c>
      <c r="HA49" s="1336">
        <f t="shared" si="845"/>
        <v>668</v>
      </c>
      <c r="HB49" s="1406">
        <f t="shared" si="344"/>
        <v>-4536</v>
      </c>
      <c r="HC49" s="1748">
        <f>'27R8'!U47</f>
        <v>218944</v>
      </c>
      <c r="HD49" s="1690">
        <f>'27R8'!O47</f>
        <v>-690</v>
      </c>
      <c r="HE49" s="1398">
        <v>227261</v>
      </c>
      <c r="HF49" s="1392">
        <f t="shared" si="311"/>
        <v>-4631</v>
      </c>
      <c r="HG49" s="1310">
        <f t="shared" si="846"/>
        <v>-95</v>
      </c>
      <c r="HH49" s="868">
        <f t="shared" si="847"/>
        <v>221244</v>
      </c>
      <c r="HI49" s="1248">
        <f t="shared" si="848"/>
        <v>221339</v>
      </c>
      <c r="HJ49" s="1336">
        <f t="shared" si="849"/>
        <v>-478</v>
      </c>
      <c r="HK49" s="1336">
        <f t="shared" si="850"/>
        <v>668</v>
      </c>
      <c r="HL49" s="1406">
        <f t="shared" si="347"/>
        <v>-4536</v>
      </c>
      <c r="HM49" s="1748">
        <f>'28R9'!U47</f>
        <v>218944</v>
      </c>
      <c r="HN49" s="1332">
        <f>'28R9'!O47</f>
        <v>-690</v>
      </c>
      <c r="HO49" s="1398">
        <v>227420</v>
      </c>
      <c r="HQ49" s="1310">
        <f>市町名目!J48</f>
        <v>240172</v>
      </c>
      <c r="HR49" s="1310">
        <f>市町名目!K48</f>
        <v>241852</v>
      </c>
      <c r="HS49" s="1310">
        <f>市町名目!L48</f>
        <v>232306</v>
      </c>
      <c r="HT49" s="1310">
        <f>市町名目!M48</f>
        <v>237715</v>
      </c>
      <c r="HU49" s="1310">
        <f>市町名目!N48</f>
        <v>246312</v>
      </c>
      <c r="HV49" s="1054">
        <v>255370</v>
      </c>
      <c r="HW49" s="1030">
        <v>268652</v>
      </c>
      <c r="HX49" s="1030">
        <v>227261</v>
      </c>
      <c r="HY49" s="1030">
        <v>227420</v>
      </c>
    </row>
    <row r="50" spans="1:233" ht="12.5">
      <c r="A50" s="1334">
        <v>227</v>
      </c>
      <c r="B50" s="1335" t="s">
        <v>219</v>
      </c>
      <c r="C50" s="1316">
        <f t="shared" si="725"/>
        <v>2552</v>
      </c>
      <c r="D50" s="1248">
        <f t="shared" si="726"/>
        <v>1313</v>
      </c>
      <c r="E50" s="850">
        <f t="shared" si="727"/>
        <v>106566</v>
      </c>
      <c r="F50" s="1248">
        <f t="shared" si="728"/>
        <v>104661</v>
      </c>
      <c r="G50" s="830">
        <f t="shared" si="729"/>
        <v>-170</v>
      </c>
      <c r="H50" s="830">
        <f t="shared" si="730"/>
        <v>13561</v>
      </c>
      <c r="I50" s="1317">
        <f t="shared" si="730"/>
        <v>1239</v>
      </c>
      <c r="J50" s="1318">
        <f>'7H18'!K48</f>
        <v>122648</v>
      </c>
      <c r="K50" s="1248">
        <f>+'7H18'!E48</f>
        <v>20854</v>
      </c>
      <c r="L50" s="1317">
        <f>'7H18'!C48</f>
        <v>125200</v>
      </c>
      <c r="M50" s="1316">
        <f t="shared" si="731"/>
        <v>-139</v>
      </c>
      <c r="N50" s="1248">
        <f t="shared" si="732"/>
        <v>-2184</v>
      </c>
      <c r="O50" s="850">
        <f t="shared" si="733"/>
        <v>112816</v>
      </c>
      <c r="P50" s="1248">
        <f t="shared" si="734"/>
        <v>109732</v>
      </c>
      <c r="Q50" s="830">
        <f t="shared" si="735"/>
        <v>-270</v>
      </c>
      <c r="R50" s="830">
        <f t="shared" si="736"/>
        <v>13376</v>
      </c>
      <c r="S50" s="1317">
        <f t="shared" si="736"/>
        <v>2045</v>
      </c>
      <c r="T50" s="1318">
        <f>+'8H19'!K48</f>
        <v>123436</v>
      </c>
      <c r="U50" s="1248">
        <f>+'8H19'!E48</f>
        <v>20744</v>
      </c>
      <c r="V50" s="1317">
        <f>'8H19'!C48</f>
        <v>123297</v>
      </c>
      <c r="W50" s="1316">
        <f t="shared" si="737"/>
        <v>1596</v>
      </c>
      <c r="X50" s="1248">
        <f t="shared" si="738"/>
        <v>-116</v>
      </c>
      <c r="Y50" s="850">
        <f t="shared" si="739"/>
        <v>102244</v>
      </c>
      <c r="Z50" s="1248">
        <f t="shared" si="740"/>
        <v>106243</v>
      </c>
      <c r="AA50" s="830">
        <f t="shared" si="741"/>
        <v>-658</v>
      </c>
      <c r="AB50" s="830">
        <f t="shared" si="742"/>
        <v>12658</v>
      </c>
      <c r="AC50" s="1317">
        <f t="shared" si="742"/>
        <v>1712</v>
      </c>
      <c r="AD50" s="1318">
        <f>+'9H20'!K48</f>
        <v>120407</v>
      </c>
      <c r="AE50" s="1248">
        <f>+'9H20'!E48</f>
        <v>21199</v>
      </c>
      <c r="AF50" s="1317">
        <f>'9H20'!C48</f>
        <v>122003</v>
      </c>
      <c r="AG50" s="1316">
        <f t="shared" si="743"/>
        <v>194</v>
      </c>
      <c r="AH50" s="1248">
        <f t="shared" si="744"/>
        <v>1571</v>
      </c>
      <c r="AI50" s="850">
        <f t="shared" si="745"/>
        <v>92343</v>
      </c>
      <c r="AJ50" s="1248">
        <f t="shared" si="746"/>
        <v>103810</v>
      </c>
      <c r="AK50" s="830">
        <f t="shared" si="747"/>
        <v>88</v>
      </c>
      <c r="AL50" s="830">
        <f t="shared" si="748"/>
        <v>12635</v>
      </c>
      <c r="AM50" s="1317">
        <f t="shared" si="748"/>
        <v>-1377</v>
      </c>
      <c r="AN50" s="1318">
        <f>+'10H21'!K48</f>
        <v>126429</v>
      </c>
      <c r="AO50" s="1248">
        <f>+'10H21'!E48</f>
        <v>22582</v>
      </c>
      <c r="AP50" s="1317">
        <f>'10H21'!C48</f>
        <v>126623</v>
      </c>
      <c r="AQ50" s="1316">
        <f t="shared" si="749"/>
        <v>1425</v>
      </c>
      <c r="AR50" s="1248">
        <f t="shared" si="750"/>
        <v>12</v>
      </c>
      <c r="AS50" s="850">
        <f t="shared" si="751"/>
        <v>93726</v>
      </c>
      <c r="AT50" s="1248">
        <f t="shared" si="752"/>
        <v>103572</v>
      </c>
      <c r="AU50" s="830">
        <f t="shared" si="753"/>
        <v>-687</v>
      </c>
      <c r="AV50" s="830">
        <f t="shared" si="754"/>
        <v>12905</v>
      </c>
      <c r="AW50" s="1317">
        <f t="shared" si="754"/>
        <v>1413</v>
      </c>
      <c r="AX50" s="1318">
        <f>+'11H22'!K48</f>
        <v>123207</v>
      </c>
      <c r="AY50" s="1248">
        <f>+'11H22'!E48</f>
        <v>21882</v>
      </c>
      <c r="AZ50" s="1317">
        <f>'11H22'!C48</f>
        <v>124632</v>
      </c>
      <c r="BA50" s="1316">
        <f t="shared" si="755"/>
        <v>-11266</v>
      </c>
      <c r="BB50" s="1248">
        <f t="shared" si="756"/>
        <v>-12393</v>
      </c>
      <c r="BC50" s="850">
        <f t="shared" si="757"/>
        <v>90363</v>
      </c>
      <c r="BD50" s="1248">
        <f t="shared" si="758"/>
        <v>107417</v>
      </c>
      <c r="BE50" s="830">
        <f t="shared" si="759"/>
        <v>-454</v>
      </c>
      <c r="BF50" s="830">
        <f t="shared" si="760"/>
        <v>13522</v>
      </c>
      <c r="BG50" s="1317">
        <f t="shared" si="760"/>
        <v>1127</v>
      </c>
      <c r="BH50" s="1318">
        <f>+'12H23'!K48</f>
        <v>125203</v>
      </c>
      <c r="BI50" s="1248">
        <f>+'12H23'!E48</f>
        <v>23726</v>
      </c>
      <c r="BJ50" s="1317">
        <f>'12H23'!C48</f>
        <v>113937</v>
      </c>
      <c r="BK50" s="1316">
        <f t="shared" si="761"/>
        <v>-6730</v>
      </c>
      <c r="BL50" s="1248">
        <f t="shared" si="762"/>
        <v>-8661</v>
      </c>
      <c r="BM50" s="850">
        <f t="shared" si="763"/>
        <v>90734</v>
      </c>
      <c r="BN50" s="1248">
        <f t="shared" si="764"/>
        <v>105476</v>
      </c>
      <c r="BO50" s="830">
        <f t="shared" si="765"/>
        <v>-377</v>
      </c>
      <c r="BP50" s="830">
        <f t="shared" si="766"/>
        <v>13287</v>
      </c>
      <c r="BQ50" s="1317">
        <f t="shared" si="766"/>
        <v>1931</v>
      </c>
      <c r="BR50" s="1318">
        <f>+'13H24'!K48</f>
        <v>123193</v>
      </c>
      <c r="BS50" s="1248">
        <f>+'13H24'!E48</f>
        <v>24271</v>
      </c>
      <c r="BT50" s="1317">
        <f>'13H24'!C48</f>
        <v>116463</v>
      </c>
      <c r="BU50" s="1316">
        <f t="shared" si="767"/>
        <v>-2052</v>
      </c>
      <c r="BV50" s="1248">
        <f t="shared" si="768"/>
        <v>-3764</v>
      </c>
      <c r="BW50" s="850">
        <f t="shared" si="769"/>
        <v>95168</v>
      </c>
      <c r="BX50" s="1248">
        <f t="shared" si="770"/>
        <v>106114</v>
      </c>
      <c r="BY50" s="830">
        <f t="shared" si="771"/>
        <v>-392</v>
      </c>
      <c r="BZ50" s="830">
        <f t="shared" si="772"/>
        <v>11803</v>
      </c>
      <c r="CA50" s="1317">
        <f t="shared" si="772"/>
        <v>1712</v>
      </c>
      <c r="CB50" s="1318">
        <f>+'14H25'!K48</f>
        <v>124012</v>
      </c>
      <c r="CC50" s="1248">
        <f>+'14H25'!E48</f>
        <v>22431</v>
      </c>
      <c r="CD50" s="1317">
        <f>'14H25'!C48</f>
        <v>121960</v>
      </c>
      <c r="CE50" s="1316">
        <f t="shared" si="773"/>
        <v>-2251</v>
      </c>
      <c r="CF50" s="1248">
        <f t="shared" si="774"/>
        <v>-946</v>
      </c>
      <c r="CG50" s="850">
        <f t="shared" si="775"/>
        <v>96640</v>
      </c>
      <c r="CH50" s="1248">
        <f t="shared" si="776"/>
        <v>105075</v>
      </c>
      <c r="CI50" s="830">
        <f t="shared" si="777"/>
        <v>-420</v>
      </c>
      <c r="CJ50" s="830">
        <f t="shared" si="778"/>
        <v>12290</v>
      </c>
      <c r="CK50" s="1317">
        <f t="shared" si="778"/>
        <v>-1305</v>
      </c>
      <c r="CL50" s="1318">
        <f>+'15H26'!K48</f>
        <v>122243</v>
      </c>
      <c r="CM50" s="1248">
        <f>+'15H26'!E48</f>
        <v>23454</v>
      </c>
      <c r="CN50" s="1317">
        <f>'15H26'!C48</f>
        <v>119992</v>
      </c>
      <c r="CO50" s="1316">
        <f t="shared" si="779"/>
        <v>-944</v>
      </c>
      <c r="CP50" s="1248">
        <f t="shared" si="780"/>
        <v>-2323</v>
      </c>
      <c r="CQ50" s="850">
        <f t="shared" si="781"/>
        <v>94247</v>
      </c>
      <c r="CR50" s="1248">
        <f t="shared" si="782"/>
        <v>101846</v>
      </c>
      <c r="CS50" s="830">
        <f t="shared" si="783"/>
        <v>-425</v>
      </c>
      <c r="CT50" s="830">
        <f t="shared" si="784"/>
        <v>12427</v>
      </c>
      <c r="CU50" s="1317">
        <f t="shared" si="784"/>
        <v>1379</v>
      </c>
      <c r="CV50" s="1318">
        <f>+'16H27'!K48</f>
        <v>122509</v>
      </c>
      <c r="CW50" s="1248">
        <f>+'16H27'!E48</f>
        <v>24436</v>
      </c>
      <c r="CX50" s="1317">
        <f>'16H27'!C48</f>
        <v>121565</v>
      </c>
      <c r="CY50" s="1316">
        <f t="shared" si="785"/>
        <v>2368</v>
      </c>
      <c r="CZ50" s="1248">
        <f t="shared" si="786"/>
        <v>2468</v>
      </c>
      <c r="DA50" s="850">
        <f t="shared" si="787"/>
        <v>90496</v>
      </c>
      <c r="DB50" s="1248">
        <f t="shared" si="788"/>
        <v>95987</v>
      </c>
      <c r="DC50" s="830">
        <f t="shared" si="789"/>
        <v>-382</v>
      </c>
      <c r="DD50" s="830">
        <f t="shared" si="790"/>
        <v>12400</v>
      </c>
      <c r="DE50" s="1317">
        <f t="shared" si="790"/>
        <v>-100</v>
      </c>
      <c r="DF50" s="1318">
        <f>+'17H28'!K48</f>
        <v>118693</v>
      </c>
      <c r="DG50" s="1248">
        <f>+'17H28'!E48</f>
        <v>24114</v>
      </c>
      <c r="DH50" s="1317">
        <f>'17H28'!C48</f>
        <v>121061</v>
      </c>
      <c r="DI50" s="1316">
        <f t="shared" si="791"/>
        <v>1512</v>
      </c>
      <c r="DJ50" s="1248">
        <f t="shared" si="792"/>
        <v>5830</v>
      </c>
      <c r="DK50" s="850">
        <f t="shared" si="793"/>
        <v>93708</v>
      </c>
      <c r="DL50" s="1248">
        <f t="shared" si="794"/>
        <v>98442</v>
      </c>
      <c r="DM50" s="830">
        <f t="shared" si="795"/>
        <v>-299</v>
      </c>
      <c r="DN50" s="830">
        <f t="shared" si="796"/>
        <v>10464</v>
      </c>
      <c r="DO50" s="1317">
        <f t="shared" si="796"/>
        <v>-4318</v>
      </c>
      <c r="DP50" s="1318">
        <f>+'18H29'!K48</f>
        <v>118605</v>
      </c>
      <c r="DQ50" s="1248">
        <f>+'18H29'!E48</f>
        <v>22710</v>
      </c>
      <c r="DR50" s="1317">
        <f>+'18H29'!C48</f>
        <v>120117</v>
      </c>
      <c r="DS50" s="1316">
        <f t="shared" si="797"/>
        <v>-4620</v>
      </c>
      <c r="DT50" s="1248">
        <f t="shared" si="798"/>
        <v>2093</v>
      </c>
      <c r="DU50" s="850">
        <f t="shared" si="799"/>
        <v>96471</v>
      </c>
      <c r="DV50" s="1248">
        <f t="shared" si="800"/>
        <v>107925</v>
      </c>
      <c r="DW50" s="830">
        <f t="shared" si="801"/>
        <v>-315</v>
      </c>
      <c r="DX50" s="830">
        <f t="shared" si="802"/>
        <v>10694</v>
      </c>
      <c r="DY50" s="1317">
        <f t="shared" si="802"/>
        <v>-6713</v>
      </c>
      <c r="DZ50" s="1318">
        <f>+'19H30'!K48</f>
        <v>126732</v>
      </c>
      <c r="EA50" s="1248">
        <f>+'19H30'!E48</f>
        <v>22716</v>
      </c>
      <c r="EB50" s="1317">
        <f>+'19H30'!C48</f>
        <v>122112</v>
      </c>
      <c r="EC50" s="1316">
        <f t="shared" si="803"/>
        <v>-9820</v>
      </c>
      <c r="ED50" s="1248">
        <f t="shared" si="804"/>
        <v>-553</v>
      </c>
      <c r="EE50" s="850">
        <f t="shared" si="805"/>
        <v>92431</v>
      </c>
      <c r="EF50" s="1248">
        <f t="shared" si="806"/>
        <v>108220</v>
      </c>
      <c r="EG50" s="830">
        <f t="shared" si="807"/>
        <v>-289</v>
      </c>
      <c r="EH50" s="830">
        <f t="shared" si="808"/>
        <v>10824</v>
      </c>
      <c r="EI50" s="1317">
        <f t="shared" si="808"/>
        <v>-9267</v>
      </c>
      <c r="EJ50" s="1318">
        <f>+'20R1'!K48</f>
        <v>129201</v>
      </c>
      <c r="EK50" s="1248">
        <f>+'20R1'!E48</f>
        <v>23619</v>
      </c>
      <c r="EL50" s="1317">
        <f>+'20R1'!C48</f>
        <v>119381</v>
      </c>
      <c r="EM50" s="1316">
        <f t="shared" si="809"/>
        <v>-3898</v>
      </c>
      <c r="EN50" s="1248">
        <f t="shared" si="810"/>
        <v>-1849</v>
      </c>
      <c r="EO50" s="850">
        <f t="shared" si="811"/>
        <v>80371</v>
      </c>
      <c r="EP50" s="1248">
        <f t="shared" si="812"/>
        <v>92918</v>
      </c>
      <c r="EQ50" s="1336">
        <f t="shared" si="813"/>
        <v>-211</v>
      </c>
      <c r="ER50" s="1336">
        <f t="shared" si="814"/>
        <v>10755</v>
      </c>
      <c r="ES50" s="850">
        <f t="shared" si="815"/>
        <v>-2049</v>
      </c>
      <c r="ET50" s="1331">
        <f>'21R2'!K48</f>
        <v>115812</v>
      </c>
      <c r="EU50" s="1248">
        <f>'21R2'!E48</f>
        <v>23734</v>
      </c>
      <c r="EV50" s="1317">
        <f>+'21R2'!C48</f>
        <v>111914</v>
      </c>
      <c r="EW50" s="1392">
        <f t="shared" ref="EW50:EW67" si="851">EX50+FC50</f>
        <v>-10196</v>
      </c>
      <c r="EX50" s="1310">
        <f t="shared" si="816"/>
        <v>-7892</v>
      </c>
      <c r="EY50" s="850">
        <f t="shared" si="817"/>
        <v>92824</v>
      </c>
      <c r="EZ50" s="1248">
        <f t="shared" si="818"/>
        <v>100716</v>
      </c>
      <c r="FA50" s="1336">
        <f t="shared" si="819"/>
        <v>-122</v>
      </c>
      <c r="FB50" s="1336">
        <f t="shared" si="820"/>
        <v>10771</v>
      </c>
      <c r="FC50" s="1689">
        <f t="shared" si="363"/>
        <v>-2304</v>
      </c>
      <c r="FD50" s="1414">
        <f>'22R3'!K48</f>
        <v>116427</v>
      </c>
      <c r="FE50" s="1310">
        <f>'22R3'!E48</f>
        <v>24450</v>
      </c>
      <c r="FF50" s="1690">
        <f>'22R3'!C48</f>
        <v>117995</v>
      </c>
      <c r="FG50" s="1392">
        <f t="shared" ref="FG50:FG67" si="852">FH50+FM50</f>
        <v>-24065</v>
      </c>
      <c r="FH50" s="1310">
        <f t="shared" si="821"/>
        <v>-21761</v>
      </c>
      <c r="FI50" s="850">
        <f t="shared" si="822"/>
        <v>97868</v>
      </c>
      <c r="FJ50" s="1248">
        <f t="shared" si="823"/>
        <v>119629</v>
      </c>
      <c r="FK50" s="1336">
        <f t="shared" si="824"/>
        <v>-219</v>
      </c>
      <c r="FL50" s="1336">
        <f t="shared" si="825"/>
        <v>11301</v>
      </c>
      <c r="FM50" s="1398">
        <f t="shared" ref="FM50:FM67" si="853">FC50</f>
        <v>-2304</v>
      </c>
      <c r="FN50" s="1748">
        <f>'23R4'!K48</f>
        <v>128937</v>
      </c>
      <c r="FO50" s="1332">
        <f>'23R4'!E48</f>
        <v>24753</v>
      </c>
      <c r="FP50" s="1690">
        <f>'23R4'!C48</f>
        <v>120614</v>
      </c>
      <c r="FQ50" s="1310"/>
      <c r="FR50" s="1392">
        <f t="shared" si="303"/>
        <v>18387</v>
      </c>
      <c r="FS50" s="1310">
        <f t="shared" si="826"/>
        <v>20691</v>
      </c>
      <c r="FT50" s="868">
        <f t="shared" si="827"/>
        <v>131432</v>
      </c>
      <c r="FU50" s="1248">
        <f t="shared" si="828"/>
        <v>110741</v>
      </c>
      <c r="FV50" s="1336">
        <f t="shared" si="829"/>
        <v>-290</v>
      </c>
      <c r="FW50" s="1336">
        <f t="shared" si="830"/>
        <v>11874</v>
      </c>
      <c r="FX50" s="1398">
        <f t="shared" si="335"/>
        <v>-2304</v>
      </c>
      <c r="FY50" s="1332">
        <f>'24R5'!K48</f>
        <v>121254</v>
      </c>
      <c r="FZ50" s="1332">
        <f>'24R5'!E48</f>
        <v>26000</v>
      </c>
      <c r="GA50" s="1319">
        <v>136760</v>
      </c>
      <c r="GB50" s="1392">
        <f t="shared" si="305"/>
        <v>10473</v>
      </c>
      <c r="GC50" s="1310">
        <f t="shared" si="831"/>
        <v>12777</v>
      </c>
      <c r="GD50" s="868">
        <f t="shared" si="832"/>
        <v>140486</v>
      </c>
      <c r="GE50" s="1248">
        <f t="shared" si="833"/>
        <v>127709</v>
      </c>
      <c r="GF50" s="1336">
        <f t="shared" si="834"/>
        <v>-303</v>
      </c>
      <c r="GG50" s="1336">
        <f t="shared" si="835"/>
        <v>5903</v>
      </c>
      <c r="GH50" s="1398">
        <f t="shared" si="338"/>
        <v>-2304</v>
      </c>
      <c r="GI50" s="1332">
        <f>'25R6'!K48</f>
        <v>137804</v>
      </c>
      <c r="GJ50" s="1332">
        <f>'25R6'!E48</f>
        <v>26343</v>
      </c>
      <c r="GK50" s="1319">
        <v>136760</v>
      </c>
      <c r="GL50" s="1392">
        <f t="shared" si="307"/>
        <v>3061</v>
      </c>
      <c r="GM50" s="1310">
        <f t="shared" si="836"/>
        <v>5365</v>
      </c>
      <c r="GN50" s="868">
        <f t="shared" si="837"/>
        <v>136000</v>
      </c>
      <c r="GO50" s="1248">
        <f t="shared" si="838"/>
        <v>130635</v>
      </c>
      <c r="GP50" s="1336">
        <f t="shared" si="839"/>
        <v>-294</v>
      </c>
      <c r="GQ50" s="1336">
        <f t="shared" si="840"/>
        <v>5923</v>
      </c>
      <c r="GR50" s="1406">
        <f t="shared" si="341"/>
        <v>-2304</v>
      </c>
      <c r="GS50" s="1748">
        <f>'26R7'!K48</f>
        <v>141963</v>
      </c>
      <c r="GT50" s="1332">
        <f>'26R7'!E48</f>
        <v>27611</v>
      </c>
      <c r="GU50" s="1398">
        <v>141963</v>
      </c>
      <c r="GV50" s="1392">
        <f t="shared" si="309"/>
        <v>-5796</v>
      </c>
      <c r="GW50" s="1310">
        <f t="shared" si="841"/>
        <v>-3492</v>
      </c>
      <c r="GX50" s="868">
        <f t="shared" si="842"/>
        <v>134477</v>
      </c>
      <c r="GY50" s="1248">
        <f t="shared" si="843"/>
        <v>137969</v>
      </c>
      <c r="GZ50" s="1336">
        <f t="shared" si="844"/>
        <v>-290</v>
      </c>
      <c r="HA50" s="1336">
        <f t="shared" si="845"/>
        <v>8544</v>
      </c>
      <c r="HB50" s="1406">
        <f t="shared" si="344"/>
        <v>-2304</v>
      </c>
      <c r="HC50" s="1748">
        <f>'27R8'!U48</f>
        <v>139753</v>
      </c>
      <c r="HD50" s="1690">
        <f>'27R8'!O48</f>
        <v>-8826</v>
      </c>
      <c r="HE50" s="1398">
        <v>139717</v>
      </c>
      <c r="HF50" s="1392">
        <f t="shared" si="311"/>
        <v>-9845</v>
      </c>
      <c r="HG50" s="1310">
        <f t="shared" si="846"/>
        <v>-7541</v>
      </c>
      <c r="HH50" s="868">
        <f t="shared" si="847"/>
        <v>133741</v>
      </c>
      <c r="HI50" s="1248">
        <f t="shared" si="848"/>
        <v>141282</v>
      </c>
      <c r="HJ50" s="1336">
        <f t="shared" si="849"/>
        <v>-289</v>
      </c>
      <c r="HK50" s="1336">
        <f t="shared" si="850"/>
        <v>8544</v>
      </c>
      <c r="HL50" s="1406">
        <f t="shared" si="347"/>
        <v>-2304</v>
      </c>
      <c r="HM50" s="1748">
        <f>'28R9'!U48</f>
        <v>139753</v>
      </c>
      <c r="HN50" s="1332">
        <f>'28R9'!O48</f>
        <v>-8826</v>
      </c>
      <c r="HO50" s="1398">
        <v>137474</v>
      </c>
      <c r="HQ50" s="1310">
        <f>市町名目!J49</f>
        <v>119381</v>
      </c>
      <c r="HR50" s="1310">
        <f>市町名目!K49</f>
        <v>111914</v>
      </c>
      <c r="HS50" s="1310">
        <f>市町名目!L49</f>
        <v>117995</v>
      </c>
      <c r="HT50" s="1310">
        <f>市町名目!M49</f>
        <v>120614</v>
      </c>
      <c r="HU50" s="1310">
        <f>市町名目!N49</f>
        <v>122955</v>
      </c>
      <c r="HV50" s="1054">
        <v>132818</v>
      </c>
      <c r="HW50" s="1030">
        <v>149730</v>
      </c>
      <c r="HX50" s="1030">
        <v>139717</v>
      </c>
      <c r="HY50" s="1030">
        <v>137474</v>
      </c>
    </row>
    <row r="51" spans="1:233" ht="12.5">
      <c r="A51" s="1334">
        <v>229</v>
      </c>
      <c r="B51" s="1335" t="s">
        <v>235</v>
      </c>
      <c r="C51" s="1316">
        <f t="shared" si="725"/>
        <v>42226</v>
      </c>
      <c r="D51" s="1248">
        <f t="shared" si="726"/>
        <v>39177</v>
      </c>
      <c r="E51" s="850">
        <f t="shared" si="727"/>
        <v>262241</v>
      </c>
      <c r="F51" s="1248">
        <f t="shared" si="728"/>
        <v>226879</v>
      </c>
      <c r="G51" s="830">
        <f t="shared" si="729"/>
        <v>-418</v>
      </c>
      <c r="H51" s="830">
        <f t="shared" si="730"/>
        <v>19479</v>
      </c>
      <c r="I51" s="1317">
        <f t="shared" si="730"/>
        <v>3049</v>
      </c>
      <c r="J51" s="1318">
        <f>'7H18'!K49</f>
        <v>265871</v>
      </c>
      <c r="K51" s="1248">
        <f>+'7H18'!E49</f>
        <v>29955</v>
      </c>
      <c r="L51" s="1317">
        <f>'7H18'!C49</f>
        <v>308097</v>
      </c>
      <c r="M51" s="1316">
        <f t="shared" si="731"/>
        <v>31155</v>
      </c>
      <c r="N51" s="1248">
        <f t="shared" si="732"/>
        <v>26068</v>
      </c>
      <c r="O51" s="850">
        <f t="shared" si="733"/>
        <v>280698</v>
      </c>
      <c r="P51" s="1248">
        <f t="shared" si="734"/>
        <v>245019</v>
      </c>
      <c r="Q51" s="830">
        <f t="shared" si="735"/>
        <v>-673</v>
      </c>
      <c r="R51" s="830">
        <f t="shared" si="736"/>
        <v>19518</v>
      </c>
      <c r="S51" s="1317">
        <f t="shared" si="736"/>
        <v>5087</v>
      </c>
      <c r="T51" s="1318">
        <f>+'8H19'!K49</f>
        <v>275619</v>
      </c>
      <c r="U51" s="1248">
        <f>+'8H19'!E49</f>
        <v>30268</v>
      </c>
      <c r="V51" s="1317">
        <f>'8H19'!C49</f>
        <v>306774</v>
      </c>
      <c r="W51" s="1316">
        <f t="shared" si="737"/>
        <v>56151</v>
      </c>
      <c r="X51" s="1248">
        <f t="shared" si="738"/>
        <v>51668</v>
      </c>
      <c r="Y51" s="850">
        <f t="shared" si="739"/>
        <v>267687</v>
      </c>
      <c r="Z51" s="1248">
        <f t="shared" si="740"/>
        <v>232299</v>
      </c>
      <c r="AA51" s="830">
        <f t="shared" si="741"/>
        <v>-1723</v>
      </c>
      <c r="AB51" s="830">
        <f t="shared" si="742"/>
        <v>18244</v>
      </c>
      <c r="AC51" s="1317">
        <f t="shared" si="742"/>
        <v>4483</v>
      </c>
      <c r="AD51" s="1318">
        <f>+'9H20'!K49</f>
        <v>263268</v>
      </c>
      <c r="AE51" s="1248">
        <f>+'9H20'!E49</f>
        <v>30554</v>
      </c>
      <c r="AF51" s="1317">
        <f>'9H20'!C49</f>
        <v>319419</v>
      </c>
      <c r="AG51" s="1316">
        <f t="shared" si="743"/>
        <v>70301</v>
      </c>
      <c r="AH51" s="1248">
        <f t="shared" si="744"/>
        <v>73725</v>
      </c>
      <c r="AI51" s="850">
        <f t="shared" si="745"/>
        <v>229533</v>
      </c>
      <c r="AJ51" s="1248">
        <f t="shared" si="746"/>
        <v>200709</v>
      </c>
      <c r="AK51" s="830">
        <f t="shared" si="747"/>
        <v>218</v>
      </c>
      <c r="AL51" s="830">
        <f t="shared" si="748"/>
        <v>18024</v>
      </c>
      <c r="AM51" s="1317">
        <f t="shared" si="748"/>
        <v>-3424</v>
      </c>
      <c r="AN51" s="1318">
        <f>+'10H21'!K49</f>
        <v>244441</v>
      </c>
      <c r="AO51" s="1248">
        <f>+'10H21'!E49</f>
        <v>32214</v>
      </c>
      <c r="AP51" s="1317">
        <f>'10H21'!C49</f>
        <v>314742</v>
      </c>
      <c r="AQ51" s="1316">
        <f t="shared" si="749"/>
        <v>86908</v>
      </c>
      <c r="AR51" s="1248">
        <f t="shared" si="750"/>
        <v>83163</v>
      </c>
      <c r="AS51" s="850">
        <f t="shared" si="751"/>
        <v>248356</v>
      </c>
      <c r="AT51" s="1248">
        <f t="shared" si="752"/>
        <v>204565</v>
      </c>
      <c r="AU51" s="830">
        <f t="shared" si="753"/>
        <v>-1820</v>
      </c>
      <c r="AV51" s="830">
        <f t="shared" si="754"/>
        <v>19221</v>
      </c>
      <c r="AW51" s="1317">
        <f t="shared" si="754"/>
        <v>3745</v>
      </c>
      <c r="AX51" s="1318">
        <f>+'11H22'!K49</f>
        <v>243345</v>
      </c>
      <c r="AY51" s="1248">
        <f>+'11H22'!E49</f>
        <v>32592</v>
      </c>
      <c r="AZ51" s="1317">
        <f>'11H22'!C49</f>
        <v>330253</v>
      </c>
      <c r="BA51" s="1316">
        <f t="shared" si="755"/>
        <v>66050</v>
      </c>
      <c r="BB51" s="1248">
        <f t="shared" si="756"/>
        <v>62836</v>
      </c>
      <c r="BC51" s="850">
        <f t="shared" si="757"/>
        <v>257626</v>
      </c>
      <c r="BD51" s="1248">
        <f t="shared" si="758"/>
        <v>222023</v>
      </c>
      <c r="BE51" s="830">
        <f t="shared" si="759"/>
        <v>-1293</v>
      </c>
      <c r="BF51" s="830">
        <f t="shared" si="760"/>
        <v>19129</v>
      </c>
      <c r="BG51" s="1317">
        <f t="shared" si="760"/>
        <v>3214</v>
      </c>
      <c r="BH51" s="1318">
        <f>+'12H23'!K49</f>
        <v>258785</v>
      </c>
      <c r="BI51" s="1248">
        <f>+'12H23'!E49</f>
        <v>33564</v>
      </c>
      <c r="BJ51" s="1317">
        <f>'12H23'!C49</f>
        <v>324835</v>
      </c>
      <c r="BK51" s="1316">
        <f t="shared" si="761"/>
        <v>64990</v>
      </c>
      <c r="BL51" s="1248">
        <f t="shared" si="762"/>
        <v>59654</v>
      </c>
      <c r="BM51" s="850">
        <f t="shared" si="763"/>
        <v>250703</v>
      </c>
      <c r="BN51" s="1248">
        <f t="shared" si="764"/>
        <v>219873</v>
      </c>
      <c r="BO51" s="830">
        <f t="shared" si="765"/>
        <v>-1042</v>
      </c>
      <c r="BP51" s="830">
        <f t="shared" si="766"/>
        <v>18417</v>
      </c>
      <c r="BQ51" s="1317">
        <f t="shared" si="766"/>
        <v>5336</v>
      </c>
      <c r="BR51" s="1318">
        <f>+'13H24'!K49</f>
        <v>256805</v>
      </c>
      <c r="BS51" s="1248">
        <f>+'13H24'!E49</f>
        <v>33643</v>
      </c>
      <c r="BT51" s="1317">
        <f>'13H24'!C49</f>
        <v>321795</v>
      </c>
      <c r="BU51" s="1316">
        <f t="shared" si="767"/>
        <v>86199</v>
      </c>
      <c r="BV51" s="1248">
        <f t="shared" si="768"/>
        <v>81560</v>
      </c>
      <c r="BW51" s="850">
        <f t="shared" si="769"/>
        <v>257929</v>
      </c>
      <c r="BX51" s="1248">
        <f t="shared" si="770"/>
        <v>209078</v>
      </c>
      <c r="BY51" s="830">
        <f t="shared" si="771"/>
        <v>-1063</v>
      </c>
      <c r="BZ51" s="830">
        <f t="shared" si="772"/>
        <v>15897</v>
      </c>
      <c r="CA51" s="1317">
        <f t="shared" si="772"/>
        <v>4639</v>
      </c>
      <c r="CB51" s="1318">
        <f>+'14H25'!K49</f>
        <v>244343</v>
      </c>
      <c r="CC51" s="1248">
        <f>+'14H25'!E49</f>
        <v>30212</v>
      </c>
      <c r="CD51" s="1317">
        <f>'14H25'!C49</f>
        <v>330542</v>
      </c>
      <c r="CE51" s="1316">
        <f t="shared" si="773"/>
        <v>86408</v>
      </c>
      <c r="CF51" s="1248">
        <f t="shared" si="774"/>
        <v>89983</v>
      </c>
      <c r="CG51" s="850">
        <f t="shared" si="775"/>
        <v>264675</v>
      </c>
      <c r="CH51" s="1248">
        <f t="shared" si="776"/>
        <v>208207</v>
      </c>
      <c r="CI51" s="830">
        <f t="shared" si="777"/>
        <v>-1151</v>
      </c>
      <c r="CJ51" s="830">
        <f t="shared" si="778"/>
        <v>15758</v>
      </c>
      <c r="CK51" s="1317">
        <f t="shared" si="778"/>
        <v>-3575</v>
      </c>
      <c r="CL51" s="1318">
        <f>+'15H26'!K49</f>
        <v>242225</v>
      </c>
      <c r="CM51" s="1248">
        <f>+'15H26'!E49</f>
        <v>30072</v>
      </c>
      <c r="CN51" s="1317">
        <f>'15H26'!C49</f>
        <v>328633</v>
      </c>
      <c r="CO51" s="1316">
        <f t="shared" si="779"/>
        <v>89490</v>
      </c>
      <c r="CP51" s="1248">
        <f t="shared" si="780"/>
        <v>85486</v>
      </c>
      <c r="CQ51" s="850">
        <f t="shared" si="781"/>
        <v>273708</v>
      </c>
      <c r="CR51" s="1248">
        <f t="shared" si="782"/>
        <v>219100</v>
      </c>
      <c r="CS51" s="830">
        <f t="shared" si="783"/>
        <v>-1234</v>
      </c>
      <c r="CT51" s="830">
        <f t="shared" si="784"/>
        <v>15113</v>
      </c>
      <c r="CU51" s="1317">
        <f t="shared" si="784"/>
        <v>4004</v>
      </c>
      <c r="CV51" s="1318">
        <f>+'16H27'!K49</f>
        <v>263553</v>
      </c>
      <c r="CW51" s="1248">
        <f>+'16H27'!E49</f>
        <v>29717</v>
      </c>
      <c r="CX51" s="1317">
        <f>'16H27'!C49</f>
        <v>353043</v>
      </c>
      <c r="CY51" s="1316">
        <f t="shared" si="785"/>
        <v>98542</v>
      </c>
      <c r="CZ51" s="1248">
        <f t="shared" si="786"/>
        <v>98839</v>
      </c>
      <c r="DA51" s="850">
        <f t="shared" si="787"/>
        <v>268556</v>
      </c>
      <c r="DB51" s="1248">
        <f t="shared" si="788"/>
        <v>210842</v>
      </c>
      <c r="DC51" s="830">
        <f t="shared" si="789"/>
        <v>-1135</v>
      </c>
      <c r="DD51" s="830">
        <f t="shared" si="790"/>
        <v>15441</v>
      </c>
      <c r="DE51" s="1317">
        <f t="shared" si="790"/>
        <v>-297</v>
      </c>
      <c r="DF51" s="1318">
        <f>+'17H28'!K49</f>
        <v>260717</v>
      </c>
      <c r="DG51" s="1248">
        <f>+'17H28'!E49</f>
        <v>30029</v>
      </c>
      <c r="DH51" s="1317">
        <f>'17H28'!C49</f>
        <v>359259</v>
      </c>
      <c r="DI51" s="1316">
        <f t="shared" si="791"/>
        <v>123303</v>
      </c>
      <c r="DJ51" s="1248">
        <f t="shared" si="792"/>
        <v>136498</v>
      </c>
      <c r="DK51" s="850">
        <f t="shared" si="793"/>
        <v>286373</v>
      </c>
      <c r="DL51" s="1248">
        <f t="shared" si="794"/>
        <v>202334</v>
      </c>
      <c r="DM51" s="830">
        <f t="shared" si="795"/>
        <v>-914</v>
      </c>
      <c r="DN51" s="830">
        <f t="shared" si="796"/>
        <v>13123</v>
      </c>
      <c r="DO51" s="1317">
        <f t="shared" si="796"/>
        <v>-13195</v>
      </c>
      <c r="DP51" s="1318">
        <f>+'18H29'!K49</f>
        <v>243775</v>
      </c>
      <c r="DQ51" s="1248">
        <f>+'18H29'!E49</f>
        <v>28482</v>
      </c>
      <c r="DR51" s="1317">
        <f>+'18H29'!C49</f>
        <v>367078</v>
      </c>
      <c r="DS51" s="1316">
        <f t="shared" si="797"/>
        <v>96712</v>
      </c>
      <c r="DT51" s="1248">
        <f t="shared" si="798"/>
        <v>116235</v>
      </c>
      <c r="DU51" s="850">
        <f t="shared" si="799"/>
        <v>280569</v>
      </c>
      <c r="DV51" s="1248">
        <f t="shared" si="800"/>
        <v>220078</v>
      </c>
      <c r="DW51" s="830">
        <f t="shared" si="801"/>
        <v>-915</v>
      </c>
      <c r="DX51" s="830">
        <f t="shared" si="802"/>
        <v>13385</v>
      </c>
      <c r="DY51" s="1317">
        <f t="shared" si="802"/>
        <v>-19523</v>
      </c>
      <c r="DZ51" s="1318">
        <f>+'19H30'!K49</f>
        <v>258428</v>
      </c>
      <c r="EA51" s="1248">
        <f>+'19H30'!E49</f>
        <v>28432</v>
      </c>
      <c r="EB51" s="1317">
        <f>+'19H30'!C49</f>
        <v>355140</v>
      </c>
      <c r="EC51" s="1316">
        <f t="shared" si="803"/>
        <v>91981</v>
      </c>
      <c r="ED51" s="1248">
        <f t="shared" si="804"/>
        <v>119866</v>
      </c>
      <c r="EE51" s="850">
        <f t="shared" si="805"/>
        <v>278142</v>
      </c>
      <c r="EF51" s="1248">
        <f t="shared" si="806"/>
        <v>223859</v>
      </c>
      <c r="EG51" s="830">
        <f t="shared" si="807"/>
        <v>-869</v>
      </c>
      <c r="EH51" s="830">
        <f t="shared" si="808"/>
        <v>13367</v>
      </c>
      <c r="EI51" s="1317">
        <f t="shared" si="808"/>
        <v>-27885</v>
      </c>
      <c r="EJ51" s="1318">
        <f>+'20R1'!K49</f>
        <v>267260</v>
      </c>
      <c r="EK51" s="1248">
        <f>+'20R1'!E49</f>
        <v>29168</v>
      </c>
      <c r="EL51" s="1317">
        <f>+'20R1'!C49</f>
        <v>359241</v>
      </c>
      <c r="EM51" s="1316">
        <f t="shared" si="809"/>
        <v>95924</v>
      </c>
      <c r="EN51" s="1248">
        <f t="shared" si="810"/>
        <v>102332</v>
      </c>
      <c r="EO51" s="850">
        <f t="shared" si="811"/>
        <v>251323</v>
      </c>
      <c r="EP51" s="1248">
        <f t="shared" si="812"/>
        <v>203816</v>
      </c>
      <c r="EQ51" s="1336">
        <f t="shared" si="813"/>
        <v>-659</v>
      </c>
      <c r="ER51" s="1336">
        <f t="shared" si="814"/>
        <v>13915</v>
      </c>
      <c r="ES51" s="850">
        <f t="shared" si="815"/>
        <v>-6408</v>
      </c>
      <c r="ET51" s="1331">
        <f>'21R2'!K49</f>
        <v>254033</v>
      </c>
      <c r="EU51" s="1248">
        <f>'21R2'!E49</f>
        <v>30708</v>
      </c>
      <c r="EV51" s="1317">
        <f>+'21R2'!C49</f>
        <v>349957</v>
      </c>
      <c r="EW51" s="1392">
        <f t="shared" si="851"/>
        <v>47543</v>
      </c>
      <c r="EX51" s="1310">
        <f t="shared" si="816"/>
        <v>54303</v>
      </c>
      <c r="EY51" s="850">
        <f t="shared" si="817"/>
        <v>272385</v>
      </c>
      <c r="EZ51" s="1248">
        <f t="shared" si="818"/>
        <v>218082</v>
      </c>
      <c r="FA51" s="1336">
        <f t="shared" si="819"/>
        <v>-359</v>
      </c>
      <c r="FB51" s="1336">
        <f t="shared" si="820"/>
        <v>13274</v>
      </c>
      <c r="FC51" s="1689">
        <f t="shared" si="363"/>
        <v>-6760</v>
      </c>
      <c r="FD51" s="1414">
        <f>'22R3'!K49</f>
        <v>252102</v>
      </c>
      <c r="FE51" s="1310">
        <f>'22R3'!E49</f>
        <v>30133</v>
      </c>
      <c r="FF51" s="1690">
        <f>'22R3'!C49</f>
        <v>346247</v>
      </c>
      <c r="FG51" s="1392">
        <f t="shared" si="852"/>
        <v>8432</v>
      </c>
      <c r="FH51" s="1310">
        <f t="shared" si="821"/>
        <v>15192</v>
      </c>
      <c r="FI51" s="850">
        <f t="shared" si="822"/>
        <v>277758</v>
      </c>
      <c r="FJ51" s="1248">
        <f t="shared" si="823"/>
        <v>262566</v>
      </c>
      <c r="FK51" s="1336">
        <f t="shared" si="824"/>
        <v>-622</v>
      </c>
      <c r="FL51" s="1336">
        <f t="shared" si="825"/>
        <v>13957</v>
      </c>
      <c r="FM51" s="1398">
        <f t="shared" si="853"/>
        <v>-6760</v>
      </c>
      <c r="FN51" s="1748">
        <f>'23R4'!K49</f>
        <v>282996</v>
      </c>
      <c r="FO51" s="1332">
        <f>'23R4'!E49</f>
        <v>30570</v>
      </c>
      <c r="FP51" s="1690">
        <f>'23R4'!C49</f>
        <v>342314</v>
      </c>
      <c r="FQ51" s="1310"/>
      <c r="FR51" s="1392">
        <f t="shared" si="303"/>
        <v>58280</v>
      </c>
      <c r="FS51" s="1310">
        <f t="shared" si="826"/>
        <v>65040</v>
      </c>
      <c r="FT51" s="868">
        <f t="shared" si="827"/>
        <v>296503</v>
      </c>
      <c r="FU51" s="1248">
        <f t="shared" si="828"/>
        <v>231463</v>
      </c>
      <c r="FV51" s="1336">
        <f t="shared" si="829"/>
        <v>-653</v>
      </c>
      <c r="FW51" s="1336">
        <f t="shared" si="830"/>
        <v>14612</v>
      </c>
      <c r="FX51" s="1398">
        <f t="shared" si="335"/>
        <v>-6760</v>
      </c>
      <c r="FY51" s="1332">
        <f>'24R5'!K49</f>
        <v>253436</v>
      </c>
      <c r="FZ51" s="1332">
        <f>'24R5'!E49</f>
        <v>31995</v>
      </c>
      <c r="GA51" s="1319">
        <v>308522</v>
      </c>
      <c r="GB51" s="1392">
        <f t="shared" si="305"/>
        <v>32127</v>
      </c>
      <c r="GC51" s="1310">
        <f t="shared" si="831"/>
        <v>38887</v>
      </c>
      <c r="GD51" s="868">
        <f t="shared" si="832"/>
        <v>316928</v>
      </c>
      <c r="GE51" s="1248">
        <f t="shared" si="833"/>
        <v>278041</v>
      </c>
      <c r="GF51" s="1336">
        <f t="shared" si="834"/>
        <v>-683</v>
      </c>
      <c r="GG51" s="1336">
        <f t="shared" si="835"/>
        <v>7698</v>
      </c>
      <c r="GH51" s="1398">
        <f t="shared" si="338"/>
        <v>-6760</v>
      </c>
      <c r="GI51" s="1332">
        <f>'25R6'!K49</f>
        <v>300018</v>
      </c>
      <c r="GJ51" s="1332">
        <f>'25R6'!E49</f>
        <v>34350</v>
      </c>
      <c r="GK51" s="1319">
        <v>308522</v>
      </c>
      <c r="GL51" s="1392">
        <f t="shared" si="307"/>
        <v>4974</v>
      </c>
      <c r="GM51" s="1310">
        <f t="shared" si="836"/>
        <v>11734</v>
      </c>
      <c r="GN51" s="868">
        <f t="shared" si="837"/>
        <v>297416</v>
      </c>
      <c r="GO51" s="1248">
        <f t="shared" si="838"/>
        <v>285682</v>
      </c>
      <c r="GP51" s="1336">
        <f t="shared" si="839"/>
        <v>-642</v>
      </c>
      <c r="GQ51" s="1336">
        <f t="shared" si="840"/>
        <v>7446</v>
      </c>
      <c r="GR51" s="1406">
        <f t="shared" si="341"/>
        <v>-6760</v>
      </c>
      <c r="GS51" s="1748">
        <f>'26R7'!K49</f>
        <v>310456</v>
      </c>
      <c r="GT51" s="1332">
        <f>'26R7'!E49</f>
        <v>34709</v>
      </c>
      <c r="GU51" s="1398">
        <v>310456</v>
      </c>
      <c r="GV51" s="1392">
        <f t="shared" si="309"/>
        <v>-64</v>
      </c>
      <c r="GW51" s="1310">
        <f t="shared" si="841"/>
        <v>6696</v>
      </c>
      <c r="GX51" s="868">
        <f t="shared" si="842"/>
        <v>304523</v>
      </c>
      <c r="GY51" s="1248">
        <f t="shared" si="843"/>
        <v>297827</v>
      </c>
      <c r="GZ51" s="1336">
        <f t="shared" si="844"/>
        <v>-658</v>
      </c>
      <c r="HA51" s="1336">
        <f t="shared" si="845"/>
        <v>-5554</v>
      </c>
      <c r="HB51" s="1406">
        <f t="shared" si="344"/>
        <v>-6760</v>
      </c>
      <c r="HC51" s="1748">
        <f>'27R8'!U49</f>
        <v>301679</v>
      </c>
      <c r="HD51" s="1690">
        <f>'27R8'!O49</f>
        <v>5738</v>
      </c>
      <c r="HE51" s="1398">
        <v>316389</v>
      </c>
      <c r="HF51" s="1392">
        <f t="shared" si="311"/>
        <v>2209</v>
      </c>
      <c r="HG51" s="1310">
        <f t="shared" si="846"/>
        <v>8969</v>
      </c>
      <c r="HH51" s="868">
        <f t="shared" si="847"/>
        <v>313948</v>
      </c>
      <c r="HI51" s="1248">
        <f t="shared" si="848"/>
        <v>304979</v>
      </c>
      <c r="HJ51" s="1336">
        <f t="shared" si="849"/>
        <v>-678</v>
      </c>
      <c r="HK51" s="1336">
        <f t="shared" si="850"/>
        <v>-5554</v>
      </c>
      <c r="HL51" s="1406">
        <f t="shared" si="347"/>
        <v>-6760</v>
      </c>
      <c r="HM51" s="1748">
        <f>'28R9'!U49</f>
        <v>301679</v>
      </c>
      <c r="HN51" s="1332">
        <f>'28R9'!O49</f>
        <v>5738</v>
      </c>
      <c r="HO51" s="1398">
        <v>322712</v>
      </c>
      <c r="HQ51" s="1310">
        <f>市町名目!J50</f>
        <v>359241</v>
      </c>
      <c r="HR51" s="1310">
        <f>市町名目!K50</f>
        <v>349957</v>
      </c>
      <c r="HS51" s="1310">
        <f>市町名目!L50</f>
        <v>346247</v>
      </c>
      <c r="HT51" s="1310">
        <f>市町名目!M50</f>
        <v>342314</v>
      </c>
      <c r="HU51" s="1310">
        <f>市町名目!N50</f>
        <v>359200</v>
      </c>
      <c r="HV51" s="1054">
        <v>332258</v>
      </c>
      <c r="HW51" s="1030">
        <v>364595</v>
      </c>
      <c r="HX51" s="1030">
        <v>316389</v>
      </c>
      <c r="HY51" s="1030">
        <v>322712</v>
      </c>
    </row>
    <row r="52" spans="1:233" ht="12.5">
      <c r="A52" s="1334">
        <v>464</v>
      </c>
      <c r="B52" s="1335" t="s">
        <v>208</v>
      </c>
      <c r="C52" s="1316">
        <f t="shared" si="725"/>
        <v>-49997</v>
      </c>
      <c r="D52" s="1248">
        <f t="shared" si="726"/>
        <v>-51024</v>
      </c>
      <c r="E52" s="850">
        <f t="shared" si="727"/>
        <v>88329</v>
      </c>
      <c r="F52" s="1248">
        <f t="shared" si="728"/>
        <v>131219</v>
      </c>
      <c r="G52" s="830">
        <f t="shared" si="729"/>
        <v>-141</v>
      </c>
      <c r="H52" s="830">
        <f t="shared" si="730"/>
        <v>4898</v>
      </c>
      <c r="I52" s="1317">
        <f t="shared" si="730"/>
        <v>1027</v>
      </c>
      <c r="J52" s="1318">
        <f>'7H18'!K50</f>
        <v>153771</v>
      </c>
      <c r="K52" s="1248">
        <f>+'7H18'!E50</f>
        <v>7533</v>
      </c>
      <c r="L52" s="1317">
        <f>'7H18'!C50</f>
        <v>103774</v>
      </c>
      <c r="M52" s="1316">
        <f t="shared" si="731"/>
        <v>-4186</v>
      </c>
      <c r="N52" s="1248">
        <f t="shared" si="732"/>
        <v>-5955</v>
      </c>
      <c r="O52" s="850">
        <f t="shared" si="733"/>
        <v>97636</v>
      </c>
      <c r="P52" s="1248">
        <f t="shared" si="734"/>
        <v>98580</v>
      </c>
      <c r="Q52" s="830">
        <f t="shared" si="735"/>
        <v>-234</v>
      </c>
      <c r="R52" s="830">
        <f t="shared" si="736"/>
        <v>4949</v>
      </c>
      <c r="S52" s="1317">
        <f t="shared" si="736"/>
        <v>1769</v>
      </c>
      <c r="T52" s="1318">
        <f>+'8H19'!K50</f>
        <v>110892</v>
      </c>
      <c r="U52" s="1248">
        <f>+'8H19'!E50</f>
        <v>7675</v>
      </c>
      <c r="V52" s="1317">
        <f>'8H19'!C50</f>
        <v>106706</v>
      </c>
      <c r="W52" s="1316">
        <f t="shared" si="737"/>
        <v>-7802</v>
      </c>
      <c r="X52" s="1248">
        <f t="shared" si="738"/>
        <v>-9189</v>
      </c>
      <c r="Y52" s="850">
        <f t="shared" si="739"/>
        <v>82840</v>
      </c>
      <c r="Z52" s="1248">
        <f t="shared" si="740"/>
        <v>94105</v>
      </c>
      <c r="AA52" s="830">
        <f t="shared" si="741"/>
        <v>-533</v>
      </c>
      <c r="AB52" s="830">
        <f t="shared" si="742"/>
        <v>4958</v>
      </c>
      <c r="AC52" s="1317">
        <f t="shared" si="742"/>
        <v>1387</v>
      </c>
      <c r="AD52" s="1318">
        <f>+'9H20'!K50</f>
        <v>106651</v>
      </c>
      <c r="AE52" s="1248">
        <f>+'9H20'!E50</f>
        <v>8304</v>
      </c>
      <c r="AF52" s="1317">
        <f>'9H20'!C50</f>
        <v>98849</v>
      </c>
      <c r="AG52" s="1316">
        <f t="shared" si="743"/>
        <v>3234</v>
      </c>
      <c r="AH52" s="1248">
        <f t="shared" si="744"/>
        <v>4313</v>
      </c>
      <c r="AI52" s="850">
        <f t="shared" si="745"/>
        <v>72322</v>
      </c>
      <c r="AJ52" s="1248">
        <f t="shared" si="746"/>
        <v>78772</v>
      </c>
      <c r="AK52" s="830">
        <f t="shared" si="747"/>
        <v>69</v>
      </c>
      <c r="AL52" s="830">
        <f t="shared" si="748"/>
        <v>4998</v>
      </c>
      <c r="AM52" s="1317">
        <f t="shared" si="748"/>
        <v>-1079</v>
      </c>
      <c r="AN52" s="1318">
        <f>+'10H21'!K50</f>
        <v>95936</v>
      </c>
      <c r="AO52" s="1248">
        <f>+'10H21'!E50</f>
        <v>8933</v>
      </c>
      <c r="AP52" s="1317">
        <f>'10H21'!C50</f>
        <v>99170</v>
      </c>
      <c r="AQ52" s="1316">
        <f t="shared" si="749"/>
        <v>13354</v>
      </c>
      <c r="AR52" s="1248">
        <f t="shared" si="750"/>
        <v>12120</v>
      </c>
      <c r="AS52" s="850">
        <f t="shared" si="751"/>
        <v>81823</v>
      </c>
      <c r="AT52" s="1248">
        <f t="shared" si="752"/>
        <v>80239</v>
      </c>
      <c r="AU52" s="830">
        <f t="shared" si="753"/>
        <v>-599</v>
      </c>
      <c r="AV52" s="830">
        <f t="shared" si="754"/>
        <v>5202</v>
      </c>
      <c r="AW52" s="1317">
        <f t="shared" si="754"/>
        <v>1234</v>
      </c>
      <c r="AX52" s="1318">
        <f>+'11H22'!K50</f>
        <v>95450</v>
      </c>
      <c r="AY52" s="1248">
        <f>+'11H22'!E50</f>
        <v>8821</v>
      </c>
      <c r="AZ52" s="1317">
        <f>'11H22'!C50</f>
        <v>108804</v>
      </c>
      <c r="BA52" s="1316">
        <f t="shared" si="755"/>
        <v>4709</v>
      </c>
      <c r="BB52" s="1248">
        <f t="shared" si="756"/>
        <v>3652</v>
      </c>
      <c r="BC52" s="850">
        <f t="shared" si="757"/>
        <v>84697</v>
      </c>
      <c r="BD52" s="1248">
        <f t="shared" si="758"/>
        <v>87582</v>
      </c>
      <c r="BE52" s="830">
        <f t="shared" si="759"/>
        <v>-425</v>
      </c>
      <c r="BF52" s="830">
        <f t="shared" si="760"/>
        <v>5445</v>
      </c>
      <c r="BG52" s="1317">
        <f t="shared" si="760"/>
        <v>1057</v>
      </c>
      <c r="BH52" s="1318">
        <f>+'12H23'!K50</f>
        <v>102083</v>
      </c>
      <c r="BI52" s="1248">
        <f>+'12H23'!E50</f>
        <v>9553</v>
      </c>
      <c r="BJ52" s="1317">
        <f>'12H23'!C50</f>
        <v>106792</v>
      </c>
      <c r="BK52" s="1316">
        <f t="shared" si="761"/>
        <v>-5192</v>
      </c>
      <c r="BL52" s="1248">
        <f t="shared" si="762"/>
        <v>-6897</v>
      </c>
      <c r="BM52" s="850">
        <f t="shared" si="763"/>
        <v>80085</v>
      </c>
      <c r="BN52" s="1248">
        <f t="shared" si="764"/>
        <v>92457</v>
      </c>
      <c r="BO52" s="830">
        <f t="shared" si="765"/>
        <v>-333</v>
      </c>
      <c r="BP52" s="830">
        <f t="shared" si="766"/>
        <v>5227</v>
      </c>
      <c r="BQ52" s="1317">
        <f t="shared" si="766"/>
        <v>1705</v>
      </c>
      <c r="BR52" s="1318">
        <f>+'13H24'!K50</f>
        <v>107987</v>
      </c>
      <c r="BS52" s="1248">
        <f>+'13H24'!E50</f>
        <v>9549</v>
      </c>
      <c r="BT52" s="1317">
        <f>'13H24'!C50</f>
        <v>102795</v>
      </c>
      <c r="BU52" s="1316">
        <f t="shared" si="767"/>
        <v>-13433</v>
      </c>
      <c r="BV52" s="1248">
        <f t="shared" si="768"/>
        <v>-14683</v>
      </c>
      <c r="BW52" s="850">
        <f t="shared" si="769"/>
        <v>69491</v>
      </c>
      <c r="BX52" s="1248">
        <f t="shared" si="770"/>
        <v>87696</v>
      </c>
      <c r="BY52" s="830">
        <f t="shared" si="771"/>
        <v>-286</v>
      </c>
      <c r="BZ52" s="830">
        <f t="shared" si="772"/>
        <v>5124</v>
      </c>
      <c r="CA52" s="1317">
        <f t="shared" si="772"/>
        <v>1250</v>
      </c>
      <c r="CB52" s="1318">
        <f>+'14H25'!K50</f>
        <v>102487</v>
      </c>
      <c r="CC52" s="1248">
        <f>+'14H25'!E50</f>
        <v>9738</v>
      </c>
      <c r="CD52" s="1317">
        <f>'14H25'!C50</f>
        <v>89054</v>
      </c>
      <c r="CE52" s="1316">
        <f t="shared" si="773"/>
        <v>322</v>
      </c>
      <c r="CF52" s="1248">
        <f t="shared" si="774"/>
        <v>1379</v>
      </c>
      <c r="CG52" s="850">
        <f t="shared" si="775"/>
        <v>78224</v>
      </c>
      <c r="CH52" s="1248">
        <f t="shared" si="776"/>
        <v>83210</v>
      </c>
      <c r="CI52" s="830">
        <f t="shared" si="777"/>
        <v>-340</v>
      </c>
      <c r="CJ52" s="830">
        <f t="shared" si="778"/>
        <v>5088</v>
      </c>
      <c r="CK52" s="1317">
        <f t="shared" si="778"/>
        <v>-1057</v>
      </c>
      <c r="CL52" s="1318">
        <f>+'15H26'!K50</f>
        <v>96805</v>
      </c>
      <c r="CM52" s="1248">
        <f>+'15H26'!E50</f>
        <v>9709</v>
      </c>
      <c r="CN52" s="1317">
        <f>'15H26'!C50</f>
        <v>97127</v>
      </c>
      <c r="CO52" s="1316">
        <f t="shared" si="779"/>
        <v>-50318</v>
      </c>
      <c r="CP52" s="1248">
        <f t="shared" si="780"/>
        <v>-51001</v>
      </c>
      <c r="CQ52" s="850">
        <f t="shared" si="781"/>
        <v>46670</v>
      </c>
      <c r="CR52" s="1248">
        <f t="shared" si="782"/>
        <v>91876</v>
      </c>
      <c r="CS52" s="830">
        <f t="shared" si="783"/>
        <v>-210</v>
      </c>
      <c r="CT52" s="830">
        <f t="shared" si="784"/>
        <v>5168</v>
      </c>
      <c r="CU52" s="1317">
        <f t="shared" si="784"/>
        <v>683</v>
      </c>
      <c r="CV52" s="1318">
        <f>+'16H27'!K50</f>
        <v>110516</v>
      </c>
      <c r="CW52" s="1248">
        <f>+'16H27'!E50</f>
        <v>10162</v>
      </c>
      <c r="CX52" s="1317">
        <f>'16H27'!C50</f>
        <v>60198</v>
      </c>
      <c r="CY52" s="1316">
        <f t="shared" si="785"/>
        <v>-16609</v>
      </c>
      <c r="CZ52" s="1248">
        <f t="shared" si="786"/>
        <v>-16539</v>
      </c>
      <c r="DA52" s="850">
        <f t="shared" si="787"/>
        <v>63351</v>
      </c>
      <c r="DB52" s="1248">
        <f t="shared" si="788"/>
        <v>81967</v>
      </c>
      <c r="DC52" s="830">
        <f t="shared" si="789"/>
        <v>-268</v>
      </c>
      <c r="DD52" s="830">
        <f t="shared" si="790"/>
        <v>5443</v>
      </c>
      <c r="DE52" s="1317">
        <f t="shared" si="790"/>
        <v>-70</v>
      </c>
      <c r="DF52" s="1318">
        <f>+'17H28'!K50</f>
        <v>101356</v>
      </c>
      <c r="DG52" s="1248">
        <f>+'17H28'!E50</f>
        <v>10585</v>
      </c>
      <c r="DH52" s="1317">
        <f>'17H28'!C50</f>
        <v>84747</v>
      </c>
      <c r="DI52" s="1316">
        <f t="shared" si="791"/>
        <v>-1200</v>
      </c>
      <c r="DJ52" s="1248">
        <f t="shared" si="792"/>
        <v>2507</v>
      </c>
      <c r="DK52" s="850">
        <f t="shared" si="793"/>
        <v>80445</v>
      </c>
      <c r="DL52" s="1248">
        <f t="shared" si="794"/>
        <v>86582</v>
      </c>
      <c r="DM52" s="830">
        <f t="shared" si="795"/>
        <v>-257</v>
      </c>
      <c r="DN52" s="830">
        <f t="shared" si="796"/>
        <v>4650</v>
      </c>
      <c r="DO52" s="1317">
        <f t="shared" si="796"/>
        <v>-3707</v>
      </c>
      <c r="DP52" s="1318">
        <f>+'18H29'!K50</f>
        <v>104316</v>
      </c>
      <c r="DQ52" s="1248">
        <f>+'18H29'!E50</f>
        <v>10092</v>
      </c>
      <c r="DR52" s="1317">
        <f>+'18H29'!C50</f>
        <v>103116</v>
      </c>
      <c r="DS52" s="1316">
        <f t="shared" si="797"/>
        <v>-5408</v>
      </c>
      <c r="DT52" s="1248">
        <f t="shared" si="798"/>
        <v>318</v>
      </c>
      <c r="DU52" s="850">
        <f t="shared" si="799"/>
        <v>82287</v>
      </c>
      <c r="DV52" s="1248">
        <f t="shared" si="800"/>
        <v>93307</v>
      </c>
      <c r="DW52" s="830">
        <f t="shared" si="801"/>
        <v>-268</v>
      </c>
      <c r="DX52" s="830">
        <f t="shared" si="802"/>
        <v>4639</v>
      </c>
      <c r="DY52" s="1317">
        <f t="shared" si="802"/>
        <v>-5726</v>
      </c>
      <c r="DZ52" s="1318">
        <f>+'19H30'!K50</f>
        <v>109566</v>
      </c>
      <c r="EA52" s="1248">
        <f>+'19H30'!E50</f>
        <v>9853</v>
      </c>
      <c r="EB52" s="1317">
        <f>+'19H30'!C50</f>
        <v>104158</v>
      </c>
      <c r="EC52" s="1316">
        <f t="shared" si="803"/>
        <v>-13925</v>
      </c>
      <c r="ED52" s="1248">
        <f t="shared" si="804"/>
        <v>-6062</v>
      </c>
      <c r="EE52" s="850">
        <f t="shared" si="805"/>
        <v>78428</v>
      </c>
      <c r="EF52" s="1248">
        <f t="shared" si="806"/>
        <v>96510</v>
      </c>
      <c r="EG52" s="830">
        <f t="shared" si="807"/>
        <v>-245</v>
      </c>
      <c r="EH52" s="830">
        <f t="shared" si="808"/>
        <v>4664</v>
      </c>
      <c r="EI52" s="1317">
        <f t="shared" si="808"/>
        <v>-7863</v>
      </c>
      <c r="EJ52" s="1318">
        <f>+'20R1'!K50</f>
        <v>115221</v>
      </c>
      <c r="EK52" s="1248">
        <f>+'20R1'!E50</f>
        <v>10177</v>
      </c>
      <c r="EL52" s="1317">
        <f>+'20R1'!C50</f>
        <v>101296</v>
      </c>
      <c r="EM52" s="1316">
        <f t="shared" si="809"/>
        <v>16795</v>
      </c>
      <c r="EN52" s="1248">
        <f t="shared" si="810"/>
        <v>18891</v>
      </c>
      <c r="EO52" s="850">
        <f t="shared" si="811"/>
        <v>82221</v>
      </c>
      <c r="EP52" s="1248">
        <f t="shared" si="812"/>
        <v>78383</v>
      </c>
      <c r="EQ52" s="1336">
        <f t="shared" si="813"/>
        <v>-215</v>
      </c>
      <c r="ER52" s="1336">
        <f t="shared" si="814"/>
        <v>4959</v>
      </c>
      <c r="ES52" s="850">
        <f t="shared" si="815"/>
        <v>-2096</v>
      </c>
      <c r="ET52" s="1331">
        <f>'21R2'!K50</f>
        <v>97695</v>
      </c>
      <c r="EU52" s="1248">
        <f>'21R2'!E50</f>
        <v>10943</v>
      </c>
      <c r="EV52" s="1317">
        <f>+'21R2'!C50</f>
        <v>114490</v>
      </c>
      <c r="EW52" s="1392">
        <f t="shared" si="851"/>
        <v>17986</v>
      </c>
      <c r="EX52" s="1310">
        <f t="shared" si="816"/>
        <v>20582</v>
      </c>
      <c r="EY52" s="850">
        <f t="shared" si="817"/>
        <v>104612</v>
      </c>
      <c r="EZ52" s="1248">
        <f t="shared" si="818"/>
        <v>84030</v>
      </c>
      <c r="FA52" s="1336">
        <f t="shared" si="819"/>
        <v>-138</v>
      </c>
      <c r="FB52" s="1336">
        <f t="shared" si="820"/>
        <v>4740</v>
      </c>
      <c r="FC52" s="1689">
        <f t="shared" si="363"/>
        <v>-2596</v>
      </c>
      <c r="FD52" s="1414">
        <f>'22R3'!K50</f>
        <v>97138</v>
      </c>
      <c r="FE52" s="1310">
        <f>'22R3'!E50</f>
        <v>10761</v>
      </c>
      <c r="FF52" s="1690">
        <f>'22R3'!C50</f>
        <v>132980</v>
      </c>
      <c r="FG52" s="1392">
        <f t="shared" si="852"/>
        <v>-72583</v>
      </c>
      <c r="FH52" s="1310">
        <f t="shared" si="821"/>
        <v>-69987</v>
      </c>
      <c r="FI52" s="850">
        <f t="shared" si="822"/>
        <v>83718</v>
      </c>
      <c r="FJ52" s="1248">
        <f t="shared" si="823"/>
        <v>153705</v>
      </c>
      <c r="FK52" s="1336">
        <f t="shared" si="824"/>
        <v>-187</v>
      </c>
      <c r="FL52" s="1336">
        <f t="shared" si="825"/>
        <v>5364</v>
      </c>
      <c r="FM52" s="1398">
        <f t="shared" si="853"/>
        <v>-2596</v>
      </c>
      <c r="FN52" s="1748">
        <f>'23R4'!K50</f>
        <v>165664</v>
      </c>
      <c r="FO52" s="1332">
        <f>'23R4'!E50</f>
        <v>11748</v>
      </c>
      <c r="FP52" s="1690">
        <f>'23R4'!C50</f>
        <v>103176</v>
      </c>
      <c r="FQ52" s="1310"/>
      <c r="FR52" s="1392">
        <f t="shared" si="303"/>
        <v>-28404</v>
      </c>
      <c r="FS52" s="1310">
        <f t="shared" si="826"/>
        <v>-25808</v>
      </c>
      <c r="FT52" s="868">
        <f t="shared" si="827"/>
        <v>104043</v>
      </c>
      <c r="FU52" s="1248">
        <f t="shared" si="828"/>
        <v>129851</v>
      </c>
      <c r="FV52" s="1336">
        <f t="shared" si="829"/>
        <v>-229</v>
      </c>
      <c r="FW52" s="1336">
        <f t="shared" si="830"/>
        <v>5630</v>
      </c>
      <c r="FX52" s="1398">
        <f t="shared" si="335"/>
        <v>-2596</v>
      </c>
      <c r="FY52" s="1332">
        <f>'24R5'!K50</f>
        <v>142178</v>
      </c>
      <c r="FZ52" s="1332">
        <f>'24R5'!E50</f>
        <v>12327</v>
      </c>
      <c r="GA52" s="1319">
        <v>108261</v>
      </c>
      <c r="GB52" s="1392">
        <f t="shared" si="305"/>
        <v>-19786</v>
      </c>
      <c r="GC52" s="1310">
        <f t="shared" si="831"/>
        <v>-17190</v>
      </c>
      <c r="GD52" s="868">
        <f t="shared" si="832"/>
        <v>111211</v>
      </c>
      <c r="GE52" s="1248">
        <f t="shared" si="833"/>
        <v>128401</v>
      </c>
      <c r="GF52" s="1336">
        <f t="shared" si="834"/>
        <v>-240</v>
      </c>
      <c r="GG52" s="1336">
        <f t="shared" si="835"/>
        <v>3001</v>
      </c>
      <c r="GH52" s="1398">
        <f t="shared" si="338"/>
        <v>-2596</v>
      </c>
      <c r="GI52" s="1332">
        <f>'25R6'!K50</f>
        <v>138550</v>
      </c>
      <c r="GJ52" s="1332">
        <f>'25R6'!E50</f>
        <v>13392</v>
      </c>
      <c r="GK52" s="1319">
        <v>108261</v>
      </c>
      <c r="GL52" s="1392">
        <f t="shared" si="307"/>
        <v>2712</v>
      </c>
      <c r="GM52" s="1310">
        <f t="shared" si="836"/>
        <v>5308</v>
      </c>
      <c r="GN52" s="868">
        <f t="shared" si="837"/>
        <v>134558</v>
      </c>
      <c r="GO52" s="1248">
        <f t="shared" si="838"/>
        <v>129250</v>
      </c>
      <c r="GP52" s="1336">
        <f t="shared" si="839"/>
        <v>-291</v>
      </c>
      <c r="GQ52" s="1336">
        <f t="shared" si="840"/>
        <v>2878</v>
      </c>
      <c r="GR52" s="1406">
        <f t="shared" si="341"/>
        <v>-2596</v>
      </c>
      <c r="GS52" s="1748">
        <f>'26R7'!K50</f>
        <v>140458</v>
      </c>
      <c r="GT52" s="1332">
        <f>'26R7'!E50</f>
        <v>13418</v>
      </c>
      <c r="GU52" s="1398">
        <v>140458</v>
      </c>
      <c r="GV52" s="1392">
        <f t="shared" si="309"/>
        <v>3706</v>
      </c>
      <c r="GW52" s="1310">
        <f t="shared" si="841"/>
        <v>6302</v>
      </c>
      <c r="GX52" s="868">
        <f t="shared" si="842"/>
        <v>138961</v>
      </c>
      <c r="GY52" s="1248">
        <f t="shared" si="843"/>
        <v>132659</v>
      </c>
      <c r="GZ52" s="1336">
        <f t="shared" si="844"/>
        <v>-300</v>
      </c>
      <c r="HA52" s="1336">
        <f t="shared" si="845"/>
        <v>7149</v>
      </c>
      <c r="HB52" s="1406">
        <f t="shared" si="344"/>
        <v>-2596</v>
      </c>
      <c r="HC52" s="1748">
        <f>'27R8'!U50</f>
        <v>134375</v>
      </c>
      <c r="HD52" s="1690">
        <f>'27R8'!O50</f>
        <v>-7385</v>
      </c>
      <c r="HE52" s="1398">
        <v>144376</v>
      </c>
      <c r="HF52" s="1392">
        <f t="shared" si="311"/>
        <v>5870</v>
      </c>
      <c r="HG52" s="1310">
        <f t="shared" si="846"/>
        <v>8466</v>
      </c>
      <c r="HH52" s="868">
        <f t="shared" si="847"/>
        <v>144311</v>
      </c>
      <c r="HI52" s="1248">
        <f t="shared" si="848"/>
        <v>135845</v>
      </c>
      <c r="HJ52" s="1336">
        <f t="shared" si="849"/>
        <v>-312</v>
      </c>
      <c r="HK52" s="1336">
        <f t="shared" si="850"/>
        <v>7149</v>
      </c>
      <c r="HL52" s="1406">
        <f t="shared" si="347"/>
        <v>-2596</v>
      </c>
      <c r="HM52" s="1748">
        <f>'28R9'!U50</f>
        <v>134375</v>
      </c>
      <c r="HN52" s="1332">
        <f>'28R9'!O50</f>
        <v>-7385</v>
      </c>
      <c r="HO52" s="1398">
        <v>148339</v>
      </c>
      <c r="HQ52" s="1310">
        <f>市町名目!J51</f>
        <v>101296</v>
      </c>
      <c r="HR52" s="1310">
        <f>市町名目!K51</f>
        <v>114490</v>
      </c>
      <c r="HS52" s="1310">
        <f>市町名目!L51</f>
        <v>132980</v>
      </c>
      <c r="HT52" s="1310">
        <f>市町名目!M51</f>
        <v>103176</v>
      </c>
      <c r="HU52" s="1310">
        <f>市町名目!N51</f>
        <v>104256</v>
      </c>
      <c r="HV52" s="1054">
        <v>106840</v>
      </c>
      <c r="HW52" s="1030">
        <v>131046</v>
      </c>
      <c r="HX52" s="1030">
        <v>144376</v>
      </c>
      <c r="HY52" s="1030">
        <v>148339</v>
      </c>
    </row>
    <row r="53" spans="1:233" ht="12.5">
      <c r="A53" s="1334">
        <v>481</v>
      </c>
      <c r="B53" s="1335" t="s">
        <v>209</v>
      </c>
      <c r="C53" s="1316">
        <f t="shared" si="725"/>
        <v>-9277</v>
      </c>
      <c r="D53" s="1248">
        <f t="shared" si="726"/>
        <v>-9727</v>
      </c>
      <c r="E53" s="850">
        <f t="shared" si="727"/>
        <v>38720</v>
      </c>
      <c r="F53" s="1248">
        <f t="shared" si="728"/>
        <v>46736</v>
      </c>
      <c r="G53" s="830">
        <f t="shared" si="729"/>
        <v>-62</v>
      </c>
      <c r="H53" s="830">
        <f t="shared" si="730"/>
        <v>4322</v>
      </c>
      <c r="I53" s="1317">
        <f t="shared" si="730"/>
        <v>450</v>
      </c>
      <c r="J53" s="1318">
        <f>'7H18'!K51</f>
        <v>54768</v>
      </c>
      <c r="K53" s="1248">
        <f>+'7H18'!E51</f>
        <v>6647</v>
      </c>
      <c r="L53" s="1317">
        <f>'7H18'!C51</f>
        <v>45491</v>
      </c>
      <c r="M53" s="1316">
        <f t="shared" si="731"/>
        <v>-10444</v>
      </c>
      <c r="N53" s="1248">
        <f t="shared" si="732"/>
        <v>-11194</v>
      </c>
      <c r="O53" s="850">
        <f t="shared" si="733"/>
        <v>41394</v>
      </c>
      <c r="P53" s="1248">
        <f t="shared" si="734"/>
        <v>49501</v>
      </c>
      <c r="Q53" s="830">
        <f t="shared" si="735"/>
        <v>-99</v>
      </c>
      <c r="R53" s="830">
        <f t="shared" si="736"/>
        <v>4314</v>
      </c>
      <c r="S53" s="1317">
        <f t="shared" si="736"/>
        <v>750</v>
      </c>
      <c r="T53" s="1318">
        <f>+'8H19'!K51</f>
        <v>55683</v>
      </c>
      <c r="U53" s="1248">
        <f>+'8H19'!E51</f>
        <v>6690</v>
      </c>
      <c r="V53" s="1317">
        <f>'8H19'!C51</f>
        <v>45239</v>
      </c>
      <c r="W53" s="1316">
        <f t="shared" si="737"/>
        <v>-8365</v>
      </c>
      <c r="X53" s="1248">
        <f t="shared" si="738"/>
        <v>-8993</v>
      </c>
      <c r="Y53" s="850">
        <f t="shared" si="739"/>
        <v>37523</v>
      </c>
      <c r="Z53" s="1248">
        <f t="shared" si="740"/>
        <v>46889</v>
      </c>
      <c r="AA53" s="830">
        <f t="shared" si="741"/>
        <v>-241</v>
      </c>
      <c r="AB53" s="830">
        <f t="shared" si="742"/>
        <v>4057</v>
      </c>
      <c r="AC53" s="1317">
        <f t="shared" si="742"/>
        <v>628</v>
      </c>
      <c r="AD53" s="1318">
        <f>+'9H20'!K51</f>
        <v>53140</v>
      </c>
      <c r="AE53" s="1248">
        <f>+'9H20'!E51</f>
        <v>6794</v>
      </c>
      <c r="AF53" s="1317">
        <f>'9H20'!C51</f>
        <v>44775</v>
      </c>
      <c r="AG53" s="1316">
        <f t="shared" si="743"/>
        <v>-5714</v>
      </c>
      <c r="AH53" s="1248">
        <f t="shared" si="744"/>
        <v>-5217</v>
      </c>
      <c r="AI53" s="850">
        <f t="shared" si="745"/>
        <v>33334</v>
      </c>
      <c r="AJ53" s="1248">
        <f t="shared" si="746"/>
        <v>42222</v>
      </c>
      <c r="AK53" s="830">
        <f t="shared" si="747"/>
        <v>32</v>
      </c>
      <c r="AL53" s="830">
        <f t="shared" si="748"/>
        <v>4342</v>
      </c>
      <c r="AM53" s="1317">
        <f t="shared" si="748"/>
        <v>-497</v>
      </c>
      <c r="AN53" s="1318">
        <f>+'10H21'!K51</f>
        <v>51422</v>
      </c>
      <c r="AO53" s="1248">
        <f>+'10H21'!E51</f>
        <v>7761</v>
      </c>
      <c r="AP53" s="1317">
        <f>'10H21'!C51</f>
        <v>45708</v>
      </c>
      <c r="AQ53" s="1316">
        <f t="shared" si="749"/>
        <v>-4811</v>
      </c>
      <c r="AR53" s="1248">
        <f t="shared" si="750"/>
        <v>-5328</v>
      </c>
      <c r="AS53" s="850">
        <f t="shared" si="751"/>
        <v>34318</v>
      </c>
      <c r="AT53" s="1248">
        <f t="shared" si="752"/>
        <v>42406</v>
      </c>
      <c r="AU53" s="830">
        <f t="shared" si="753"/>
        <v>-251</v>
      </c>
      <c r="AV53" s="830">
        <f t="shared" si="754"/>
        <v>4759</v>
      </c>
      <c r="AW53" s="1317">
        <f t="shared" si="754"/>
        <v>517</v>
      </c>
      <c r="AX53" s="1318">
        <f>+'11H22'!K51</f>
        <v>50445</v>
      </c>
      <c r="AY53" s="1248">
        <f>+'11H22'!E51</f>
        <v>8069</v>
      </c>
      <c r="AZ53" s="1317">
        <f>'11H22'!C51</f>
        <v>45634</v>
      </c>
      <c r="BA53" s="1316">
        <f t="shared" si="755"/>
        <v>-10650</v>
      </c>
      <c r="BB53" s="1248">
        <f t="shared" si="756"/>
        <v>-11054</v>
      </c>
      <c r="BC53" s="850">
        <f t="shared" si="757"/>
        <v>32343</v>
      </c>
      <c r="BD53" s="1248">
        <f t="shared" si="758"/>
        <v>44124</v>
      </c>
      <c r="BE53" s="830">
        <f t="shared" si="759"/>
        <v>-162</v>
      </c>
      <c r="BF53" s="830">
        <f t="shared" si="760"/>
        <v>4899</v>
      </c>
      <c r="BG53" s="1317">
        <f t="shared" si="760"/>
        <v>404</v>
      </c>
      <c r="BH53" s="1318">
        <f>+'12H23'!K51</f>
        <v>51430</v>
      </c>
      <c r="BI53" s="1248">
        <f>+'12H23'!E51</f>
        <v>8595</v>
      </c>
      <c r="BJ53" s="1317">
        <f>'12H23'!C51</f>
        <v>40780</v>
      </c>
      <c r="BK53" s="1316">
        <f t="shared" si="761"/>
        <v>-13317</v>
      </c>
      <c r="BL53" s="1248">
        <f t="shared" si="762"/>
        <v>-14000</v>
      </c>
      <c r="BM53" s="850">
        <f t="shared" si="763"/>
        <v>32107</v>
      </c>
      <c r="BN53" s="1248">
        <f t="shared" si="764"/>
        <v>46687</v>
      </c>
      <c r="BO53" s="830">
        <f t="shared" si="765"/>
        <v>-133</v>
      </c>
      <c r="BP53" s="830">
        <f t="shared" si="766"/>
        <v>4734</v>
      </c>
      <c r="BQ53" s="1317">
        <f t="shared" si="766"/>
        <v>683</v>
      </c>
      <c r="BR53" s="1318">
        <f>+'13H24'!K51</f>
        <v>54529</v>
      </c>
      <c r="BS53" s="1248">
        <f>+'13H24'!E51</f>
        <v>8647</v>
      </c>
      <c r="BT53" s="1317">
        <f>'13H24'!C51</f>
        <v>41212</v>
      </c>
      <c r="BU53" s="1316">
        <f t="shared" si="767"/>
        <v>-10687</v>
      </c>
      <c r="BV53" s="1248">
        <f t="shared" si="768"/>
        <v>-11284</v>
      </c>
      <c r="BW53" s="850">
        <f t="shared" si="769"/>
        <v>33190</v>
      </c>
      <c r="BX53" s="1248">
        <f t="shared" si="770"/>
        <v>45540</v>
      </c>
      <c r="BY53" s="830">
        <f t="shared" si="771"/>
        <v>-137</v>
      </c>
      <c r="BZ53" s="830">
        <f t="shared" si="772"/>
        <v>4548</v>
      </c>
      <c r="CA53" s="1317">
        <f t="shared" si="772"/>
        <v>597</v>
      </c>
      <c r="CB53" s="1318">
        <f>+'14H25'!K51</f>
        <v>53221</v>
      </c>
      <c r="CC53" s="1248">
        <f>+'14H25'!E51</f>
        <v>8643</v>
      </c>
      <c r="CD53" s="1317">
        <f>'14H25'!C51</f>
        <v>42534</v>
      </c>
      <c r="CE53" s="1316">
        <f t="shared" si="773"/>
        <v>-4207</v>
      </c>
      <c r="CF53" s="1248">
        <f t="shared" si="774"/>
        <v>-3692</v>
      </c>
      <c r="CG53" s="850">
        <f t="shared" si="775"/>
        <v>38115</v>
      </c>
      <c r="CH53" s="1248">
        <f t="shared" si="776"/>
        <v>44295</v>
      </c>
      <c r="CI53" s="830">
        <f t="shared" si="777"/>
        <v>-166</v>
      </c>
      <c r="CJ53" s="830">
        <f t="shared" si="778"/>
        <v>4735</v>
      </c>
      <c r="CK53" s="1317">
        <f t="shared" si="778"/>
        <v>-515</v>
      </c>
      <c r="CL53" s="1318">
        <f>+'15H26'!K51</f>
        <v>51532</v>
      </c>
      <c r="CM53" s="1248">
        <f>+'15H26'!E51</f>
        <v>9036</v>
      </c>
      <c r="CN53" s="1317">
        <f>'15H26'!C51</f>
        <v>47325</v>
      </c>
      <c r="CO53" s="1316">
        <f t="shared" si="779"/>
        <v>-2739</v>
      </c>
      <c r="CP53" s="1248">
        <f t="shared" si="780"/>
        <v>-3298</v>
      </c>
      <c r="CQ53" s="850">
        <f t="shared" si="781"/>
        <v>38221</v>
      </c>
      <c r="CR53" s="1248">
        <f t="shared" si="782"/>
        <v>43261</v>
      </c>
      <c r="CS53" s="830">
        <f t="shared" si="783"/>
        <v>-172</v>
      </c>
      <c r="CT53" s="830">
        <f t="shared" si="784"/>
        <v>4514</v>
      </c>
      <c r="CU53" s="1317">
        <f t="shared" si="784"/>
        <v>559</v>
      </c>
      <c r="CV53" s="1318">
        <f>+'16H27'!K51</f>
        <v>52038</v>
      </c>
      <c r="CW53" s="1248">
        <f>+'16H27'!E51</f>
        <v>8876</v>
      </c>
      <c r="CX53" s="1317">
        <f>'16H27'!C51</f>
        <v>49299</v>
      </c>
      <c r="CY53" s="1316">
        <f t="shared" si="785"/>
        <v>5291</v>
      </c>
      <c r="CZ53" s="1248">
        <f t="shared" si="786"/>
        <v>5335</v>
      </c>
      <c r="DA53" s="850">
        <f t="shared" si="787"/>
        <v>40107</v>
      </c>
      <c r="DB53" s="1248">
        <f t="shared" si="788"/>
        <v>39110</v>
      </c>
      <c r="DC53" s="830">
        <f t="shared" si="789"/>
        <v>-169</v>
      </c>
      <c r="DD53" s="830">
        <f t="shared" si="790"/>
        <v>4568</v>
      </c>
      <c r="DE53" s="1317">
        <f t="shared" si="790"/>
        <v>-44</v>
      </c>
      <c r="DF53" s="1318">
        <f>+'17H28'!K51</f>
        <v>48362</v>
      </c>
      <c r="DG53" s="1248">
        <f>+'17H28'!E51</f>
        <v>8884</v>
      </c>
      <c r="DH53" s="1317">
        <f>'17H28'!C51</f>
        <v>53653</v>
      </c>
      <c r="DI53" s="1316">
        <f t="shared" si="791"/>
        <v>641</v>
      </c>
      <c r="DJ53" s="1248">
        <f t="shared" si="792"/>
        <v>2524</v>
      </c>
      <c r="DK53" s="850">
        <f t="shared" si="793"/>
        <v>40867</v>
      </c>
      <c r="DL53" s="1248">
        <f t="shared" si="794"/>
        <v>42947</v>
      </c>
      <c r="DM53" s="830">
        <f t="shared" si="795"/>
        <v>-130</v>
      </c>
      <c r="DN53" s="830">
        <f t="shared" si="796"/>
        <v>3716</v>
      </c>
      <c r="DO53" s="1317">
        <f t="shared" si="796"/>
        <v>-1883</v>
      </c>
      <c r="DP53" s="1318">
        <f>+'18H29'!K51</f>
        <v>51743</v>
      </c>
      <c r="DQ53" s="1248">
        <f>+'18H29'!E51</f>
        <v>8065</v>
      </c>
      <c r="DR53" s="1317">
        <f>+'18H29'!C51</f>
        <v>52384</v>
      </c>
      <c r="DS53" s="1316">
        <f t="shared" si="797"/>
        <v>1436</v>
      </c>
      <c r="DT53" s="1248">
        <f t="shared" si="798"/>
        <v>4283</v>
      </c>
      <c r="DU53" s="850">
        <f t="shared" si="799"/>
        <v>40919</v>
      </c>
      <c r="DV53" s="1248">
        <f t="shared" si="800"/>
        <v>42885</v>
      </c>
      <c r="DW53" s="830">
        <f t="shared" si="801"/>
        <v>-133</v>
      </c>
      <c r="DX53" s="830">
        <f t="shared" si="802"/>
        <v>3871</v>
      </c>
      <c r="DY53" s="1317">
        <f t="shared" si="802"/>
        <v>-2847</v>
      </c>
      <c r="DZ53" s="1318">
        <f>+'19H30'!K51</f>
        <v>50358</v>
      </c>
      <c r="EA53" s="1248">
        <f>+'19H30'!E51</f>
        <v>8223</v>
      </c>
      <c r="EB53" s="1317">
        <f>+'19H30'!C51</f>
        <v>51794</v>
      </c>
      <c r="EC53" s="1316">
        <f t="shared" si="803"/>
        <v>-3404</v>
      </c>
      <c r="ED53" s="1248">
        <f t="shared" si="804"/>
        <v>519</v>
      </c>
      <c r="EE53" s="850">
        <f t="shared" si="805"/>
        <v>39132</v>
      </c>
      <c r="EF53" s="1248">
        <f t="shared" si="806"/>
        <v>45186</v>
      </c>
      <c r="EG53" s="830">
        <f t="shared" si="807"/>
        <v>-122</v>
      </c>
      <c r="EH53" s="830">
        <f t="shared" si="808"/>
        <v>3946</v>
      </c>
      <c r="EI53" s="1317">
        <f t="shared" si="808"/>
        <v>-3923</v>
      </c>
      <c r="EJ53" s="1318">
        <f>+'20R1'!K51</f>
        <v>53946</v>
      </c>
      <c r="EK53" s="1248">
        <f>+'20R1'!E51</f>
        <v>8610</v>
      </c>
      <c r="EL53" s="1317">
        <f>+'20R1'!C51</f>
        <v>50542</v>
      </c>
      <c r="EM53" s="1316">
        <f t="shared" si="809"/>
        <v>1093</v>
      </c>
      <c r="EN53" s="1248">
        <f t="shared" si="810"/>
        <v>2009</v>
      </c>
      <c r="EO53" s="850">
        <f t="shared" si="811"/>
        <v>35918</v>
      </c>
      <c r="EP53" s="1248">
        <f t="shared" si="812"/>
        <v>39251</v>
      </c>
      <c r="EQ53" s="1336">
        <f t="shared" si="813"/>
        <v>-94</v>
      </c>
      <c r="ER53" s="1336">
        <f t="shared" si="814"/>
        <v>3833</v>
      </c>
      <c r="ES53" s="850">
        <f t="shared" si="815"/>
        <v>-916</v>
      </c>
      <c r="ET53" s="1331">
        <f>'21R2'!K51</f>
        <v>48922</v>
      </c>
      <c r="EU53" s="1248">
        <f>'21R2'!E51</f>
        <v>8459</v>
      </c>
      <c r="EV53" s="1317">
        <f>+'21R2'!C51</f>
        <v>50015</v>
      </c>
      <c r="EW53" s="1392">
        <f t="shared" si="851"/>
        <v>-962</v>
      </c>
      <c r="EX53" s="1310">
        <f t="shared" si="816"/>
        <v>104</v>
      </c>
      <c r="EY53" s="850">
        <f t="shared" si="817"/>
        <v>42956</v>
      </c>
      <c r="EZ53" s="1248">
        <f t="shared" si="818"/>
        <v>42852</v>
      </c>
      <c r="FA53" s="1336">
        <f t="shared" si="819"/>
        <v>-57</v>
      </c>
      <c r="FB53" s="1336">
        <f t="shared" si="820"/>
        <v>3958</v>
      </c>
      <c r="FC53" s="1689">
        <f t="shared" si="363"/>
        <v>-1066</v>
      </c>
      <c r="FD53" s="1414">
        <f>'22R3'!K51</f>
        <v>49537</v>
      </c>
      <c r="FE53" s="1310">
        <f>'22R3'!E51</f>
        <v>8986</v>
      </c>
      <c r="FF53" s="1690">
        <f>'22R3'!C51</f>
        <v>54604</v>
      </c>
      <c r="FG53" s="1392">
        <f t="shared" si="852"/>
        <v>-5071</v>
      </c>
      <c r="FH53" s="1310">
        <f t="shared" si="821"/>
        <v>-4005</v>
      </c>
      <c r="FI53" s="850">
        <f t="shared" si="822"/>
        <v>42376</v>
      </c>
      <c r="FJ53" s="1248">
        <f t="shared" si="823"/>
        <v>46381</v>
      </c>
      <c r="FK53" s="1336">
        <f t="shared" si="824"/>
        <v>-95</v>
      </c>
      <c r="FL53" s="1336">
        <f t="shared" si="825"/>
        <v>3972</v>
      </c>
      <c r="FM53" s="1398">
        <f t="shared" si="853"/>
        <v>-1066</v>
      </c>
      <c r="FN53" s="1748">
        <f>'23R4'!K51</f>
        <v>49990</v>
      </c>
      <c r="FO53" s="1332">
        <f>'23R4'!E51</f>
        <v>8701</v>
      </c>
      <c r="FP53" s="1690">
        <f>'23R4'!C51</f>
        <v>52225</v>
      </c>
      <c r="FQ53" s="1310"/>
      <c r="FR53" s="1392">
        <f t="shared" si="303"/>
        <v>7616</v>
      </c>
      <c r="FS53" s="1310">
        <f t="shared" si="826"/>
        <v>8682</v>
      </c>
      <c r="FT53" s="868">
        <f t="shared" si="827"/>
        <v>54757</v>
      </c>
      <c r="FU53" s="1248">
        <f t="shared" si="828"/>
        <v>46075</v>
      </c>
      <c r="FV53" s="1336">
        <f t="shared" si="829"/>
        <v>-121</v>
      </c>
      <c r="FW53" s="1336">
        <f t="shared" si="830"/>
        <v>4667</v>
      </c>
      <c r="FX53" s="1398">
        <f t="shared" si="335"/>
        <v>-1066</v>
      </c>
      <c r="FY53" s="1332">
        <f>'24R5'!K51</f>
        <v>50449</v>
      </c>
      <c r="FZ53" s="1332">
        <f>'24R5'!E51</f>
        <v>10220</v>
      </c>
      <c r="GA53" s="1319">
        <v>56977</v>
      </c>
      <c r="GB53" s="1392">
        <f t="shared" si="305"/>
        <v>-3079</v>
      </c>
      <c r="GC53" s="1310">
        <f t="shared" si="831"/>
        <v>-2013</v>
      </c>
      <c r="GD53" s="868">
        <f t="shared" si="832"/>
        <v>58529</v>
      </c>
      <c r="GE53" s="1248">
        <f t="shared" si="833"/>
        <v>60542</v>
      </c>
      <c r="GF53" s="1336">
        <f t="shared" si="834"/>
        <v>-126</v>
      </c>
      <c r="GG53" s="1336">
        <f t="shared" si="835"/>
        <v>2161</v>
      </c>
      <c r="GH53" s="1398">
        <f t="shared" si="338"/>
        <v>-1066</v>
      </c>
      <c r="GI53" s="1332">
        <f>'25R6'!K51</f>
        <v>65327</v>
      </c>
      <c r="GJ53" s="1332">
        <f>'25R6'!E51</f>
        <v>9644</v>
      </c>
      <c r="GK53" s="1319">
        <v>56977</v>
      </c>
      <c r="GL53" s="1392">
        <f t="shared" si="307"/>
        <v>1346</v>
      </c>
      <c r="GM53" s="1310">
        <f t="shared" si="836"/>
        <v>2412</v>
      </c>
      <c r="GN53" s="868">
        <f t="shared" si="837"/>
        <v>61158</v>
      </c>
      <c r="GO53" s="1248">
        <f t="shared" si="838"/>
        <v>58746</v>
      </c>
      <c r="GP53" s="1336">
        <f t="shared" si="839"/>
        <v>-132</v>
      </c>
      <c r="GQ53" s="1336">
        <f t="shared" si="840"/>
        <v>2193</v>
      </c>
      <c r="GR53" s="1406">
        <f t="shared" si="341"/>
        <v>-1066</v>
      </c>
      <c r="GS53" s="1748">
        <f>'26R7'!K51</f>
        <v>63840</v>
      </c>
      <c r="GT53" s="1332">
        <f>'26R7'!E51</f>
        <v>10221</v>
      </c>
      <c r="GU53" s="1398">
        <v>63840</v>
      </c>
      <c r="GV53" s="1392">
        <f t="shared" si="309"/>
        <v>233</v>
      </c>
      <c r="GW53" s="1310">
        <f t="shared" si="841"/>
        <v>1299</v>
      </c>
      <c r="GX53" s="868">
        <f t="shared" si="842"/>
        <v>61006</v>
      </c>
      <c r="GY53" s="1248">
        <f t="shared" si="843"/>
        <v>59707</v>
      </c>
      <c r="GZ53" s="1336">
        <f t="shared" si="844"/>
        <v>-132</v>
      </c>
      <c r="HA53" s="1336">
        <f t="shared" si="845"/>
        <v>3179</v>
      </c>
      <c r="HB53" s="1406">
        <f t="shared" si="344"/>
        <v>-1066</v>
      </c>
      <c r="HC53" s="1748">
        <f>'27R8'!U51</f>
        <v>60479</v>
      </c>
      <c r="HD53" s="1690">
        <f>'27R8'!O51</f>
        <v>-3284</v>
      </c>
      <c r="HE53" s="1398">
        <v>63383</v>
      </c>
      <c r="HF53" s="1392">
        <f t="shared" si="311"/>
        <v>-1289</v>
      </c>
      <c r="HG53" s="1310">
        <f t="shared" si="846"/>
        <v>-223</v>
      </c>
      <c r="HH53" s="868">
        <f t="shared" si="847"/>
        <v>60918</v>
      </c>
      <c r="HI53" s="1248">
        <f t="shared" si="848"/>
        <v>61141</v>
      </c>
      <c r="HJ53" s="1336">
        <f t="shared" si="849"/>
        <v>-132</v>
      </c>
      <c r="HK53" s="1336">
        <f t="shared" si="850"/>
        <v>3179</v>
      </c>
      <c r="HL53" s="1406">
        <f t="shared" si="347"/>
        <v>-1066</v>
      </c>
      <c r="HM53" s="1748">
        <f>'28R9'!U51</f>
        <v>60479</v>
      </c>
      <c r="HN53" s="1332">
        <f>'28R9'!O51</f>
        <v>-3284</v>
      </c>
      <c r="HO53" s="1398">
        <v>62618</v>
      </c>
      <c r="HQ53" s="1310">
        <f>市町名目!J52</f>
        <v>50542</v>
      </c>
      <c r="HR53" s="1310">
        <f>市町名目!K52</f>
        <v>50015</v>
      </c>
      <c r="HS53" s="1310">
        <f>市町名目!L52</f>
        <v>54604</v>
      </c>
      <c r="HT53" s="1310">
        <f>市町名目!M52</f>
        <v>52225</v>
      </c>
      <c r="HU53" s="1310">
        <f>市町名目!N52</f>
        <v>51988</v>
      </c>
      <c r="HV53" s="1054">
        <v>55984</v>
      </c>
      <c r="HW53" s="1030">
        <v>63680</v>
      </c>
      <c r="HX53" s="1030">
        <v>63383</v>
      </c>
      <c r="HY53" s="1030">
        <v>62618</v>
      </c>
    </row>
    <row r="54" spans="1:233" ht="12.5">
      <c r="A54" s="1334">
        <v>501</v>
      </c>
      <c r="B54" s="1335" t="s">
        <v>236</v>
      </c>
      <c r="C54" s="1316">
        <f t="shared" si="725"/>
        <v>-5970</v>
      </c>
      <c r="D54" s="1248">
        <f t="shared" si="726"/>
        <v>-6572</v>
      </c>
      <c r="E54" s="850">
        <f t="shared" si="727"/>
        <v>51797</v>
      </c>
      <c r="F54" s="1248">
        <f t="shared" si="728"/>
        <v>57024</v>
      </c>
      <c r="G54" s="830">
        <f t="shared" si="729"/>
        <v>-83</v>
      </c>
      <c r="H54" s="830">
        <f t="shared" si="730"/>
        <v>9195</v>
      </c>
      <c r="I54" s="1317">
        <f t="shared" si="730"/>
        <v>602</v>
      </c>
      <c r="J54" s="1318">
        <f>'7H18'!K52</f>
        <v>66824</v>
      </c>
      <c r="K54" s="1248">
        <f>+'7H18'!E52</f>
        <v>14140</v>
      </c>
      <c r="L54" s="1317">
        <f>'7H18'!C52</f>
        <v>60854</v>
      </c>
      <c r="M54" s="1316">
        <f t="shared" si="731"/>
        <v>-6405</v>
      </c>
      <c r="N54" s="1248">
        <f t="shared" si="732"/>
        <v>-7369</v>
      </c>
      <c r="O54" s="850">
        <f t="shared" si="733"/>
        <v>53189</v>
      </c>
      <c r="P54" s="1248">
        <f t="shared" si="734"/>
        <v>57370</v>
      </c>
      <c r="Q54" s="830">
        <f t="shared" si="735"/>
        <v>-127</v>
      </c>
      <c r="R54" s="830">
        <f t="shared" si="736"/>
        <v>8993</v>
      </c>
      <c r="S54" s="1317">
        <f t="shared" si="736"/>
        <v>964</v>
      </c>
      <c r="T54" s="1318">
        <f>+'8H19'!K52</f>
        <v>64535</v>
      </c>
      <c r="U54" s="1248">
        <f>+'8H19'!E52</f>
        <v>13946</v>
      </c>
      <c r="V54" s="1317">
        <f>'8H19'!C52</f>
        <v>58130</v>
      </c>
      <c r="W54" s="1316">
        <f t="shared" si="737"/>
        <v>-4421</v>
      </c>
      <c r="X54" s="1248">
        <f t="shared" si="738"/>
        <v>-5259</v>
      </c>
      <c r="Y54" s="850">
        <f t="shared" si="739"/>
        <v>50048</v>
      </c>
      <c r="Z54" s="1248">
        <f t="shared" si="740"/>
        <v>56596</v>
      </c>
      <c r="AA54" s="830">
        <f t="shared" si="741"/>
        <v>-322</v>
      </c>
      <c r="AB54" s="830">
        <f t="shared" si="742"/>
        <v>8943</v>
      </c>
      <c r="AC54" s="1317">
        <f t="shared" si="742"/>
        <v>838</v>
      </c>
      <c r="AD54" s="1318">
        <f>+'9H20'!K52</f>
        <v>64141</v>
      </c>
      <c r="AE54" s="1248">
        <f>+'9H20'!E52</f>
        <v>14978</v>
      </c>
      <c r="AF54" s="1317">
        <f>'9H20'!C52</f>
        <v>59720</v>
      </c>
      <c r="AG54" s="1316">
        <f t="shared" si="743"/>
        <v>-10608</v>
      </c>
      <c r="AH54" s="1248">
        <f t="shared" si="744"/>
        <v>-9918</v>
      </c>
      <c r="AI54" s="850">
        <f t="shared" si="745"/>
        <v>46252</v>
      </c>
      <c r="AJ54" s="1248">
        <f t="shared" si="746"/>
        <v>60786</v>
      </c>
      <c r="AK54" s="830">
        <f t="shared" si="747"/>
        <v>44</v>
      </c>
      <c r="AL54" s="830">
        <f t="shared" si="748"/>
        <v>10703</v>
      </c>
      <c r="AM54" s="1317">
        <f t="shared" si="748"/>
        <v>-690</v>
      </c>
      <c r="AN54" s="1318">
        <f>+'10H21'!K52</f>
        <v>74030</v>
      </c>
      <c r="AO54" s="1248">
        <f>+'10H21'!E52</f>
        <v>19129</v>
      </c>
      <c r="AP54" s="1317">
        <f>'10H21'!C52</f>
        <v>63422</v>
      </c>
      <c r="AQ54" s="1316">
        <f t="shared" si="749"/>
        <v>-5412</v>
      </c>
      <c r="AR54" s="1248">
        <f t="shared" si="750"/>
        <v>-6154</v>
      </c>
      <c r="AS54" s="850">
        <f t="shared" si="751"/>
        <v>49208</v>
      </c>
      <c r="AT54" s="1248">
        <f t="shared" si="752"/>
        <v>59556</v>
      </c>
      <c r="AU54" s="830">
        <f t="shared" si="753"/>
        <v>-361</v>
      </c>
      <c r="AV54" s="830">
        <f t="shared" si="754"/>
        <v>9392</v>
      </c>
      <c r="AW54" s="1317">
        <f t="shared" si="754"/>
        <v>742</v>
      </c>
      <c r="AX54" s="1318">
        <f>+'11H22'!K52</f>
        <v>70846</v>
      </c>
      <c r="AY54" s="1248">
        <f>+'11H22'!E52</f>
        <v>15926</v>
      </c>
      <c r="AZ54" s="1317">
        <f>'11H22'!C52</f>
        <v>65434</v>
      </c>
      <c r="BA54" s="1316">
        <f t="shared" si="755"/>
        <v>-10027</v>
      </c>
      <c r="BB54" s="1248">
        <f t="shared" si="756"/>
        <v>-10613</v>
      </c>
      <c r="BC54" s="850">
        <f t="shared" si="757"/>
        <v>47002</v>
      </c>
      <c r="BD54" s="1248">
        <f t="shared" si="758"/>
        <v>59448</v>
      </c>
      <c r="BE54" s="830">
        <f t="shared" si="759"/>
        <v>-236</v>
      </c>
      <c r="BF54" s="830">
        <f t="shared" si="760"/>
        <v>9145</v>
      </c>
      <c r="BG54" s="1317">
        <f t="shared" si="760"/>
        <v>586</v>
      </c>
      <c r="BH54" s="1318">
        <f>+'12H23'!K52</f>
        <v>69291</v>
      </c>
      <c r="BI54" s="1248">
        <f>+'12H23'!E52</f>
        <v>16046</v>
      </c>
      <c r="BJ54" s="1317">
        <f>'12H23'!C52</f>
        <v>59264</v>
      </c>
      <c r="BK54" s="1316">
        <f t="shared" si="761"/>
        <v>-10247</v>
      </c>
      <c r="BL54" s="1248">
        <f t="shared" si="762"/>
        <v>-11198</v>
      </c>
      <c r="BM54" s="850">
        <f t="shared" si="763"/>
        <v>44692</v>
      </c>
      <c r="BN54" s="1248">
        <f t="shared" si="764"/>
        <v>57888</v>
      </c>
      <c r="BO54" s="830">
        <f t="shared" si="765"/>
        <v>-186</v>
      </c>
      <c r="BP54" s="830">
        <f t="shared" si="766"/>
        <v>8800</v>
      </c>
      <c r="BQ54" s="1317">
        <f t="shared" si="766"/>
        <v>951</v>
      </c>
      <c r="BR54" s="1318">
        <f>+'13H24'!K52</f>
        <v>67612</v>
      </c>
      <c r="BS54" s="1248">
        <f>+'13H24'!E52</f>
        <v>16075</v>
      </c>
      <c r="BT54" s="1317">
        <f>'13H24'!C52</f>
        <v>57365</v>
      </c>
      <c r="BU54" s="1316">
        <f t="shared" si="767"/>
        <v>-4988</v>
      </c>
      <c r="BV54" s="1248">
        <f t="shared" si="768"/>
        <v>-5831</v>
      </c>
      <c r="BW54" s="850">
        <f t="shared" si="769"/>
        <v>46893</v>
      </c>
      <c r="BX54" s="1248">
        <f t="shared" si="770"/>
        <v>55690</v>
      </c>
      <c r="BY54" s="830">
        <f t="shared" si="771"/>
        <v>-193</v>
      </c>
      <c r="BZ54" s="830">
        <f t="shared" si="772"/>
        <v>7555</v>
      </c>
      <c r="CA54" s="1317">
        <f t="shared" si="772"/>
        <v>843</v>
      </c>
      <c r="CB54" s="1318">
        <f>+'14H25'!K52</f>
        <v>65083</v>
      </c>
      <c r="CC54" s="1248">
        <f>+'14H25'!E52</f>
        <v>14358</v>
      </c>
      <c r="CD54" s="1317">
        <f>'14H25'!C52</f>
        <v>60095</v>
      </c>
      <c r="CE54" s="1316">
        <f t="shared" si="773"/>
        <v>-4161</v>
      </c>
      <c r="CF54" s="1248">
        <f t="shared" si="774"/>
        <v>-3515</v>
      </c>
      <c r="CG54" s="850">
        <f t="shared" si="775"/>
        <v>47838</v>
      </c>
      <c r="CH54" s="1248">
        <f t="shared" si="776"/>
        <v>54633</v>
      </c>
      <c r="CI54" s="830">
        <f t="shared" si="777"/>
        <v>-208</v>
      </c>
      <c r="CJ54" s="830">
        <f t="shared" si="778"/>
        <v>7505</v>
      </c>
      <c r="CK54" s="1317">
        <f t="shared" si="778"/>
        <v>-646</v>
      </c>
      <c r="CL54" s="1318">
        <f>+'15H26'!K52</f>
        <v>63559</v>
      </c>
      <c r="CM54" s="1248">
        <f>+'15H26'!E52</f>
        <v>14322</v>
      </c>
      <c r="CN54" s="1317">
        <f>'15H26'!C52</f>
        <v>59398</v>
      </c>
      <c r="CO54" s="1316">
        <f t="shared" si="779"/>
        <v>-2633</v>
      </c>
      <c r="CP54" s="1248">
        <f t="shared" si="780"/>
        <v>-3326</v>
      </c>
      <c r="CQ54" s="850">
        <f t="shared" si="781"/>
        <v>47370</v>
      </c>
      <c r="CR54" s="1248">
        <f t="shared" si="782"/>
        <v>52983</v>
      </c>
      <c r="CS54" s="830">
        <f t="shared" si="783"/>
        <v>-214</v>
      </c>
      <c r="CT54" s="830">
        <f t="shared" si="784"/>
        <v>7660</v>
      </c>
      <c r="CU54" s="1317">
        <f t="shared" si="784"/>
        <v>693</v>
      </c>
      <c r="CV54" s="1318">
        <f>+'16H27'!K52</f>
        <v>63733</v>
      </c>
      <c r="CW54" s="1248">
        <f>+'16H27'!E52</f>
        <v>15063</v>
      </c>
      <c r="CX54" s="1317">
        <f>'16H27'!C52</f>
        <v>61100</v>
      </c>
      <c r="CY54" s="1316">
        <f t="shared" si="785"/>
        <v>459</v>
      </c>
      <c r="CZ54" s="1248">
        <f t="shared" si="786"/>
        <v>509</v>
      </c>
      <c r="DA54" s="850">
        <f t="shared" si="787"/>
        <v>45580</v>
      </c>
      <c r="DB54" s="1248">
        <f t="shared" si="788"/>
        <v>48939</v>
      </c>
      <c r="DC54" s="830">
        <f t="shared" si="789"/>
        <v>-193</v>
      </c>
      <c r="DD54" s="830">
        <f t="shared" si="790"/>
        <v>7426</v>
      </c>
      <c r="DE54" s="1317">
        <f t="shared" si="790"/>
        <v>-50</v>
      </c>
      <c r="DF54" s="1318">
        <f>+'17H28'!K52</f>
        <v>60516</v>
      </c>
      <c r="DG54" s="1248">
        <f>+'17H28'!E52</f>
        <v>14441</v>
      </c>
      <c r="DH54" s="1317">
        <f>'17H28'!C52</f>
        <v>60975</v>
      </c>
      <c r="DI54" s="1316">
        <f t="shared" si="791"/>
        <v>4320</v>
      </c>
      <c r="DJ54" s="1248">
        <f t="shared" si="792"/>
        <v>6577</v>
      </c>
      <c r="DK54" s="850">
        <f t="shared" si="793"/>
        <v>48974</v>
      </c>
      <c r="DL54" s="1248">
        <f t="shared" si="794"/>
        <v>48519</v>
      </c>
      <c r="DM54" s="830">
        <f t="shared" si="795"/>
        <v>-156</v>
      </c>
      <c r="DN54" s="830">
        <f t="shared" si="796"/>
        <v>6250</v>
      </c>
      <c r="DO54" s="1317">
        <f t="shared" si="796"/>
        <v>-2257</v>
      </c>
      <c r="DP54" s="1318">
        <f>+'18H29'!K52</f>
        <v>58456</v>
      </c>
      <c r="DQ54" s="1248">
        <f>+'18H29'!E52</f>
        <v>13564</v>
      </c>
      <c r="DR54" s="1317">
        <f>+'18H29'!C52</f>
        <v>62776</v>
      </c>
      <c r="DS54" s="1316">
        <f t="shared" si="797"/>
        <v>3416</v>
      </c>
      <c r="DT54" s="1248">
        <f t="shared" si="798"/>
        <v>6935</v>
      </c>
      <c r="DU54" s="850">
        <f t="shared" si="799"/>
        <v>50577</v>
      </c>
      <c r="DV54" s="1248">
        <f t="shared" si="800"/>
        <v>51610</v>
      </c>
      <c r="DW54" s="830">
        <f t="shared" si="801"/>
        <v>-165</v>
      </c>
      <c r="DX54" s="830">
        <f t="shared" si="802"/>
        <v>6276</v>
      </c>
      <c r="DY54" s="1317">
        <f t="shared" si="802"/>
        <v>-3519</v>
      </c>
      <c r="DZ54" s="1318">
        <f>+'19H30'!K52</f>
        <v>60604</v>
      </c>
      <c r="EA54" s="1248">
        <f>+'19H30'!E52</f>
        <v>13331</v>
      </c>
      <c r="EB54" s="1317">
        <f>+'19H30'!C52</f>
        <v>64020</v>
      </c>
      <c r="EC54" s="1316">
        <f t="shared" si="803"/>
        <v>835</v>
      </c>
      <c r="ED54" s="1248">
        <f t="shared" si="804"/>
        <v>5793</v>
      </c>
      <c r="EE54" s="850">
        <f t="shared" si="805"/>
        <v>49452</v>
      </c>
      <c r="EF54" s="1248">
        <f t="shared" si="806"/>
        <v>52799</v>
      </c>
      <c r="EG54" s="830">
        <f t="shared" si="807"/>
        <v>-154</v>
      </c>
      <c r="EH54" s="830">
        <f t="shared" si="808"/>
        <v>5996</v>
      </c>
      <c r="EI54" s="1317">
        <f t="shared" si="808"/>
        <v>-4958</v>
      </c>
      <c r="EJ54" s="1318">
        <f>+'20R1'!K52</f>
        <v>63036</v>
      </c>
      <c r="EK54" s="1248">
        <f>+'20R1'!E52</f>
        <v>13083</v>
      </c>
      <c r="EL54" s="1317">
        <f>+'20R1'!C52</f>
        <v>63871</v>
      </c>
      <c r="EM54" s="1316">
        <f t="shared" si="809"/>
        <v>-330</v>
      </c>
      <c r="EN54" s="1248">
        <f t="shared" si="810"/>
        <v>752</v>
      </c>
      <c r="EO54" s="850">
        <f t="shared" si="811"/>
        <v>42445</v>
      </c>
      <c r="EP54" s="1248">
        <f t="shared" si="812"/>
        <v>47684</v>
      </c>
      <c r="EQ54" s="1336">
        <f t="shared" si="813"/>
        <v>-111</v>
      </c>
      <c r="ER54" s="1336">
        <f t="shared" si="814"/>
        <v>6477</v>
      </c>
      <c r="ES54" s="850">
        <f t="shared" si="815"/>
        <v>-1082</v>
      </c>
      <c r="ET54" s="1331">
        <f>'21R2'!K52</f>
        <v>59433</v>
      </c>
      <c r="EU54" s="1248">
        <f>'21R2'!E52</f>
        <v>14293</v>
      </c>
      <c r="EV54" s="1317">
        <f>+'21R2'!C52</f>
        <v>59103</v>
      </c>
      <c r="EW54" s="1392">
        <f t="shared" si="851"/>
        <v>-1268</v>
      </c>
      <c r="EX54" s="1310">
        <f t="shared" si="816"/>
        <v>-59</v>
      </c>
      <c r="EY54" s="850">
        <f t="shared" si="817"/>
        <v>48707</v>
      </c>
      <c r="EZ54" s="1248">
        <f t="shared" si="818"/>
        <v>48766</v>
      </c>
      <c r="FA54" s="1336">
        <f t="shared" si="819"/>
        <v>-64</v>
      </c>
      <c r="FB54" s="1336">
        <f t="shared" si="820"/>
        <v>5860</v>
      </c>
      <c r="FC54" s="1689">
        <f t="shared" si="363"/>
        <v>-1209</v>
      </c>
      <c r="FD54" s="1414">
        <f>'22R3'!K52</f>
        <v>56373</v>
      </c>
      <c r="FE54" s="1310">
        <f>'22R3'!E52</f>
        <v>13303</v>
      </c>
      <c r="FF54" s="1690">
        <f>'22R3'!C52</f>
        <v>61915</v>
      </c>
      <c r="FG54" s="1392">
        <f t="shared" si="852"/>
        <v>-5745</v>
      </c>
      <c r="FH54" s="1310">
        <f t="shared" si="821"/>
        <v>-4536</v>
      </c>
      <c r="FI54" s="850">
        <f t="shared" si="822"/>
        <v>50344</v>
      </c>
      <c r="FJ54" s="1248">
        <f t="shared" si="823"/>
        <v>54880</v>
      </c>
      <c r="FK54" s="1336">
        <f t="shared" si="824"/>
        <v>-113</v>
      </c>
      <c r="FL54" s="1336">
        <f t="shared" si="825"/>
        <v>6592</v>
      </c>
      <c r="FM54" s="1398">
        <f t="shared" si="853"/>
        <v>-1209</v>
      </c>
      <c r="FN54" s="1748">
        <f>'23R4'!K52</f>
        <v>59150</v>
      </c>
      <c r="FO54" s="1332">
        <f>'23R4'!E52</f>
        <v>14438</v>
      </c>
      <c r="FP54" s="1690">
        <f>'23R4'!C52</f>
        <v>62045</v>
      </c>
      <c r="FQ54" s="1310"/>
      <c r="FR54" s="1392">
        <f t="shared" si="303"/>
        <v>12625</v>
      </c>
      <c r="FS54" s="1310">
        <f t="shared" si="826"/>
        <v>13834</v>
      </c>
      <c r="FT54" s="868">
        <f t="shared" si="827"/>
        <v>66838</v>
      </c>
      <c r="FU54" s="1248">
        <f t="shared" si="828"/>
        <v>53004</v>
      </c>
      <c r="FV54" s="1336">
        <f t="shared" si="829"/>
        <v>-147</v>
      </c>
      <c r="FW54" s="1336">
        <f t="shared" si="830"/>
        <v>6272</v>
      </c>
      <c r="FX54" s="1398">
        <f t="shared" si="335"/>
        <v>-1209</v>
      </c>
      <c r="FY54" s="1332">
        <f>'24R5'!K52</f>
        <v>58036</v>
      </c>
      <c r="FZ54" s="1332">
        <f>'24R5'!E52</f>
        <v>13733</v>
      </c>
      <c r="GA54" s="1319">
        <v>69547</v>
      </c>
      <c r="GB54" s="1392">
        <f t="shared" si="305"/>
        <v>9145</v>
      </c>
      <c r="GC54" s="1310">
        <f t="shared" si="831"/>
        <v>10354</v>
      </c>
      <c r="GD54" s="868">
        <f t="shared" si="832"/>
        <v>71442</v>
      </c>
      <c r="GE54" s="1248">
        <f t="shared" si="833"/>
        <v>61088</v>
      </c>
      <c r="GF54" s="1336">
        <f t="shared" si="834"/>
        <v>-154</v>
      </c>
      <c r="GG54" s="1336">
        <f t="shared" si="835"/>
        <v>3367</v>
      </c>
      <c r="GH54" s="1398">
        <f t="shared" si="338"/>
        <v>-1209</v>
      </c>
      <c r="GI54" s="1332">
        <f>'25R6'!K52</f>
        <v>65917</v>
      </c>
      <c r="GJ54" s="1332">
        <f>'25R6'!E52</f>
        <v>15023</v>
      </c>
      <c r="GK54" s="1319">
        <v>69547</v>
      </c>
      <c r="GL54" s="1392">
        <f t="shared" si="307"/>
        <v>1349</v>
      </c>
      <c r="GM54" s="1310">
        <f t="shared" si="836"/>
        <v>2558</v>
      </c>
      <c r="GN54" s="868">
        <f t="shared" si="837"/>
        <v>64845</v>
      </c>
      <c r="GO54" s="1248">
        <f t="shared" si="838"/>
        <v>62287</v>
      </c>
      <c r="GP54" s="1336">
        <f t="shared" si="839"/>
        <v>-140</v>
      </c>
      <c r="GQ54" s="1336">
        <f t="shared" si="840"/>
        <v>3321</v>
      </c>
      <c r="GR54" s="1406">
        <f t="shared" si="341"/>
        <v>-1209</v>
      </c>
      <c r="GS54" s="1748">
        <f>'26R7'!K52</f>
        <v>67688</v>
      </c>
      <c r="GT54" s="1332">
        <f>'26R7'!E52</f>
        <v>15481</v>
      </c>
      <c r="GU54" s="1398">
        <v>67688</v>
      </c>
      <c r="GV54" s="1392">
        <f t="shared" si="309"/>
        <v>-5134</v>
      </c>
      <c r="GW54" s="1310">
        <f t="shared" si="841"/>
        <v>-3925</v>
      </c>
      <c r="GX54" s="868">
        <f t="shared" si="842"/>
        <v>63726</v>
      </c>
      <c r="GY54" s="1248">
        <f t="shared" si="843"/>
        <v>67651</v>
      </c>
      <c r="GZ54" s="1336">
        <f t="shared" si="844"/>
        <v>-138</v>
      </c>
      <c r="HA54" s="1336">
        <f t="shared" si="845"/>
        <v>3928</v>
      </c>
      <c r="HB54" s="1406">
        <f t="shared" si="344"/>
        <v>-1209</v>
      </c>
      <c r="HC54" s="1748">
        <f>'27R8'!U52</f>
        <v>68526</v>
      </c>
      <c r="HD54" s="1690">
        <f>'27R8'!O52</f>
        <v>-4058</v>
      </c>
      <c r="HE54" s="1398">
        <v>66209</v>
      </c>
      <c r="HF54" s="1392">
        <f t="shared" si="311"/>
        <v>-7615</v>
      </c>
      <c r="HG54" s="1310">
        <f t="shared" si="846"/>
        <v>-6406</v>
      </c>
      <c r="HH54" s="868">
        <f t="shared" si="847"/>
        <v>62870</v>
      </c>
      <c r="HI54" s="1248">
        <f t="shared" si="848"/>
        <v>69276</v>
      </c>
      <c r="HJ54" s="1336">
        <f t="shared" si="849"/>
        <v>-136</v>
      </c>
      <c r="HK54" s="1336">
        <f t="shared" si="850"/>
        <v>3928</v>
      </c>
      <c r="HL54" s="1406">
        <f t="shared" si="347"/>
        <v>-1209</v>
      </c>
      <c r="HM54" s="1748">
        <f>'28R9'!U52</f>
        <v>68526</v>
      </c>
      <c r="HN54" s="1332">
        <f>'28R9'!O52</f>
        <v>-4058</v>
      </c>
      <c r="HO54" s="1398">
        <v>64625</v>
      </c>
      <c r="HQ54" s="1310">
        <f>市町名目!J53</f>
        <v>63871</v>
      </c>
      <c r="HR54" s="1310">
        <f>市町名目!K53</f>
        <v>59103</v>
      </c>
      <c r="HS54" s="1310">
        <f>市町名目!L53</f>
        <v>61915</v>
      </c>
      <c r="HT54" s="1310">
        <f>市町名目!M53</f>
        <v>62045</v>
      </c>
      <c r="HU54" s="1310">
        <f>市町名目!N53</f>
        <v>64461</v>
      </c>
      <c r="HV54" s="1054">
        <v>66046</v>
      </c>
      <c r="HW54" s="1030">
        <v>76978</v>
      </c>
      <c r="HX54" s="1030">
        <v>66209</v>
      </c>
      <c r="HY54" s="1030">
        <v>64625</v>
      </c>
    </row>
    <row r="55" spans="1:233" ht="12.5">
      <c r="A55" s="1334"/>
      <c r="B55" s="1340" t="s">
        <v>210</v>
      </c>
      <c r="C55" s="856">
        <f>SUM(C56:C60)</f>
        <v>-43489</v>
      </c>
      <c r="D55" s="830">
        <f t="shared" ref="D55:I55" si="854">SUM(D56:D60)</f>
        <v>-49674</v>
      </c>
      <c r="E55" s="830">
        <f>SUM(E56:E60)</f>
        <v>532056</v>
      </c>
      <c r="F55" s="830">
        <f t="shared" si="854"/>
        <v>570529</v>
      </c>
      <c r="G55" s="830">
        <f t="shared" si="854"/>
        <v>-848</v>
      </c>
      <c r="H55" s="830">
        <f t="shared" si="854"/>
        <v>62263</v>
      </c>
      <c r="I55" s="1337">
        <f t="shared" si="854"/>
        <v>6185</v>
      </c>
      <c r="J55" s="1338">
        <f>SUM(J56:J60)</f>
        <v>668582</v>
      </c>
      <c r="K55" s="1248">
        <f>+'7H18'!E53</f>
        <v>95750</v>
      </c>
      <c r="L55" s="1337">
        <f t="shared" ref="L55:S55" si="855">SUM(L56:L60)</f>
        <v>625093</v>
      </c>
      <c r="M55" s="856">
        <f t="shared" si="855"/>
        <v>-38241</v>
      </c>
      <c r="N55" s="830">
        <f t="shared" si="855"/>
        <v>-48362</v>
      </c>
      <c r="O55" s="830">
        <f>SUM(O56:O60)</f>
        <v>558463</v>
      </c>
      <c r="P55" s="830">
        <f t="shared" si="855"/>
        <v>576575</v>
      </c>
      <c r="Q55" s="830">
        <f t="shared" si="855"/>
        <v>-1339</v>
      </c>
      <c r="R55" s="830">
        <f t="shared" si="855"/>
        <v>61937</v>
      </c>
      <c r="S55" s="1337">
        <f t="shared" si="855"/>
        <v>10121</v>
      </c>
      <c r="T55" s="1338">
        <f>+'8H19'!K53</f>
        <v>648584</v>
      </c>
      <c r="U55" s="1248">
        <f>+'8H19'!E53</f>
        <v>96050</v>
      </c>
      <c r="V55" s="1337">
        <f t="shared" ref="V55:AC55" si="856">SUM(V56:V60)</f>
        <v>610343</v>
      </c>
      <c r="W55" s="856">
        <f t="shared" si="856"/>
        <v>-27210</v>
      </c>
      <c r="X55" s="830">
        <f t="shared" si="856"/>
        <v>-35748</v>
      </c>
      <c r="Y55" s="830">
        <f>SUM(Y56:Y60)</f>
        <v>509926</v>
      </c>
      <c r="Z55" s="830">
        <f t="shared" si="856"/>
        <v>560906</v>
      </c>
      <c r="AA55" s="830">
        <f t="shared" si="856"/>
        <v>-3282</v>
      </c>
      <c r="AB55" s="830">
        <f t="shared" si="856"/>
        <v>60536</v>
      </c>
      <c r="AC55" s="1337">
        <f t="shared" si="856"/>
        <v>8538</v>
      </c>
      <c r="AD55" s="1338">
        <f>+'9H20'!K53</f>
        <v>635682</v>
      </c>
      <c r="AE55" s="1248">
        <f>+'9H20'!E53</f>
        <v>101384</v>
      </c>
      <c r="AF55" s="1337">
        <f t="shared" ref="AF55:AM55" si="857">SUM(AF56:AF60)</f>
        <v>608472</v>
      </c>
      <c r="AG55" s="856">
        <f t="shared" si="857"/>
        <v>10307</v>
      </c>
      <c r="AH55" s="830">
        <f t="shared" si="857"/>
        <v>17116</v>
      </c>
      <c r="AI55" s="830">
        <f>SUM(AI56:AI60)</f>
        <v>456552</v>
      </c>
      <c r="AJ55" s="830">
        <f t="shared" si="857"/>
        <v>505573</v>
      </c>
      <c r="AK55" s="830">
        <f t="shared" si="857"/>
        <v>433</v>
      </c>
      <c r="AL55" s="830">
        <f t="shared" si="857"/>
        <v>60760</v>
      </c>
      <c r="AM55" s="1337">
        <f t="shared" si="857"/>
        <v>-6809</v>
      </c>
      <c r="AN55" s="1338">
        <f>+'10H21'!K53</f>
        <v>615730</v>
      </c>
      <c r="AO55" s="1248">
        <f>+'10H21'!E53</f>
        <v>108595</v>
      </c>
      <c r="AP55" s="1337">
        <f>'10H21'!C53</f>
        <v>626037</v>
      </c>
      <c r="AQ55" s="856">
        <f t="shared" ref="AQ55:AW55" si="858">SUM(AQ56:AQ60)</f>
        <v>27865</v>
      </c>
      <c r="AR55" s="830">
        <f t="shared" si="858"/>
        <v>20764</v>
      </c>
      <c r="AS55" s="830">
        <f>SUM(AS56:AS60)</f>
        <v>470887</v>
      </c>
      <c r="AT55" s="830">
        <f t="shared" si="858"/>
        <v>502951</v>
      </c>
      <c r="AU55" s="830">
        <f t="shared" si="858"/>
        <v>-3451</v>
      </c>
      <c r="AV55" s="830">
        <f t="shared" si="858"/>
        <v>65020</v>
      </c>
      <c r="AW55" s="1337">
        <f t="shared" si="858"/>
        <v>7101</v>
      </c>
      <c r="AX55" s="1338">
        <f>+'11H22'!K53</f>
        <v>598298</v>
      </c>
      <c r="AY55" s="1248">
        <f>+'11H22'!E53</f>
        <v>110251</v>
      </c>
      <c r="AZ55" s="1337">
        <f>'11H22'!C53</f>
        <v>626163</v>
      </c>
      <c r="BA55" s="856">
        <f t="shared" ref="BA55:BG55" si="859">SUM(BA56:BA60)</f>
        <v>-81978</v>
      </c>
      <c r="BB55" s="830">
        <f t="shared" si="859"/>
        <v>-87573</v>
      </c>
      <c r="BC55" s="830">
        <f>SUM(BC56:BC60)</f>
        <v>448426</v>
      </c>
      <c r="BD55" s="830">
        <f t="shared" si="859"/>
        <v>555422</v>
      </c>
      <c r="BE55" s="830">
        <f t="shared" si="859"/>
        <v>-2250</v>
      </c>
      <c r="BF55" s="830">
        <f t="shared" si="859"/>
        <v>66258</v>
      </c>
      <c r="BG55" s="1337">
        <f t="shared" si="859"/>
        <v>5595</v>
      </c>
      <c r="BH55" s="1338">
        <f>+'12H23'!K53</f>
        <v>647388</v>
      </c>
      <c r="BI55" s="1248">
        <f>+'12H23'!E53</f>
        <v>116256</v>
      </c>
      <c r="BJ55" s="1337">
        <f>'12H23'!C53</f>
        <v>565410</v>
      </c>
      <c r="BK55" s="856">
        <f t="shared" ref="BK55:BQ55" si="860">SUM(BK56:BK60)</f>
        <v>-78757</v>
      </c>
      <c r="BL55" s="830">
        <f t="shared" si="860"/>
        <v>-88224</v>
      </c>
      <c r="BM55" s="830">
        <f>SUM(BM56:BM60)</f>
        <v>444780</v>
      </c>
      <c r="BN55" s="830">
        <f t="shared" si="860"/>
        <v>556235</v>
      </c>
      <c r="BO55" s="830">
        <f t="shared" si="860"/>
        <v>-1849</v>
      </c>
      <c r="BP55" s="830">
        <f t="shared" si="860"/>
        <v>64660</v>
      </c>
      <c r="BQ55" s="1337">
        <f t="shared" si="860"/>
        <v>9467</v>
      </c>
      <c r="BR55" s="1338">
        <f>+'13H24'!K53</f>
        <v>649666</v>
      </c>
      <c r="BS55" s="1248">
        <f>+'13H24'!E53</f>
        <v>118115</v>
      </c>
      <c r="BT55" s="1337">
        <f>'13H24'!C53</f>
        <v>570909</v>
      </c>
      <c r="BU55" s="856">
        <f t="shared" ref="BU55:CA55" si="861">SUM(BU56:BU60)</f>
        <v>-34995</v>
      </c>
      <c r="BV55" s="830">
        <f t="shared" si="861"/>
        <v>-43565</v>
      </c>
      <c r="BW55" s="830">
        <f>SUM(BW56:BW60)</f>
        <v>476535</v>
      </c>
      <c r="BX55" s="830">
        <f t="shared" si="861"/>
        <v>552498</v>
      </c>
      <c r="BY55" s="830">
        <f t="shared" si="861"/>
        <v>-1963</v>
      </c>
      <c r="BZ55" s="830">
        <f t="shared" si="861"/>
        <v>61736</v>
      </c>
      <c r="CA55" s="1337">
        <f t="shared" si="861"/>
        <v>8570</v>
      </c>
      <c r="CB55" s="1338">
        <f>+'14H25'!K53</f>
        <v>645686</v>
      </c>
      <c r="CC55" s="1248">
        <f>+'14H25'!E53</f>
        <v>117333</v>
      </c>
      <c r="CD55" s="1337">
        <f>'14H25'!C53</f>
        <v>610691</v>
      </c>
      <c r="CE55" s="856">
        <f t="shared" ref="CE55:CK55" si="862">SUM(CE56:CE60)</f>
        <v>-29234</v>
      </c>
      <c r="CF55" s="830">
        <f t="shared" si="862"/>
        <v>-22572</v>
      </c>
      <c r="CG55" s="830">
        <f>SUM(CG56:CG60)</f>
        <v>493319</v>
      </c>
      <c r="CH55" s="830">
        <f t="shared" si="862"/>
        <v>551632</v>
      </c>
      <c r="CI55" s="830">
        <f t="shared" si="862"/>
        <v>-2146</v>
      </c>
      <c r="CJ55" s="830">
        <f t="shared" si="862"/>
        <v>62171</v>
      </c>
      <c r="CK55" s="1337">
        <f t="shared" si="862"/>
        <v>-6662</v>
      </c>
      <c r="CL55" s="1338">
        <f>+'15H26'!K53</f>
        <v>641760</v>
      </c>
      <c r="CM55" s="1248">
        <f>+'15H26'!E53</f>
        <v>118645</v>
      </c>
      <c r="CN55" s="1337">
        <f>'15H26'!C53</f>
        <v>612526</v>
      </c>
      <c r="CO55" s="856">
        <f t="shared" ref="CO55:CU55" si="863">SUM(CO56:CO60)</f>
        <v>-15558</v>
      </c>
      <c r="CP55" s="830">
        <f t="shared" si="863"/>
        <v>-22703</v>
      </c>
      <c r="CQ55" s="830">
        <f>SUM(CQ56:CQ60)</f>
        <v>488455</v>
      </c>
      <c r="CR55" s="830">
        <f t="shared" si="863"/>
        <v>536703</v>
      </c>
      <c r="CS55" s="830">
        <f t="shared" si="863"/>
        <v>-2201</v>
      </c>
      <c r="CT55" s="830">
        <f t="shared" si="863"/>
        <v>60505</v>
      </c>
      <c r="CU55" s="1337">
        <f t="shared" si="863"/>
        <v>7145</v>
      </c>
      <c r="CV55" s="1338">
        <f>+'16H27'!K53</f>
        <v>645594</v>
      </c>
      <c r="CW55" s="1248">
        <f>+'16H27'!E53</f>
        <v>118975</v>
      </c>
      <c r="CX55" s="1337">
        <f>'16H27'!C53</f>
        <v>630036</v>
      </c>
      <c r="CY55" s="856">
        <f t="shared" ref="CY55:DE55" si="864">SUM(CY56:CY60)</f>
        <v>-10292</v>
      </c>
      <c r="CZ55" s="830">
        <f t="shared" si="864"/>
        <v>-9777</v>
      </c>
      <c r="DA55" s="830">
        <f>SUM(DA56:DA60)</f>
        <v>465477</v>
      </c>
      <c r="DB55" s="830">
        <f t="shared" si="864"/>
        <v>511894</v>
      </c>
      <c r="DC55" s="830">
        <f t="shared" si="864"/>
        <v>-1966</v>
      </c>
      <c r="DD55" s="830">
        <f t="shared" si="864"/>
        <v>62142</v>
      </c>
      <c r="DE55" s="1337">
        <f t="shared" si="864"/>
        <v>-515</v>
      </c>
      <c r="DF55" s="1338">
        <f>+'17H28'!K53</f>
        <v>632982</v>
      </c>
      <c r="DG55" s="1248">
        <f>+'17H28'!E53</f>
        <v>120849</v>
      </c>
      <c r="DH55" s="1337">
        <f>'17H28'!C53</f>
        <v>622690</v>
      </c>
      <c r="DI55" s="856">
        <f t="shared" ref="DI55:DO55" si="865">SUM(DI56:DI60)</f>
        <v>-51601</v>
      </c>
      <c r="DJ55" s="830">
        <f t="shared" si="865"/>
        <v>-28703</v>
      </c>
      <c r="DK55" s="830">
        <f>SUM(DK56:DK60)</f>
        <v>496959</v>
      </c>
      <c r="DL55" s="830">
        <f t="shared" si="865"/>
        <v>571548</v>
      </c>
      <c r="DM55" s="830">
        <f t="shared" si="865"/>
        <v>-1587</v>
      </c>
      <c r="DN55" s="830">
        <f t="shared" si="865"/>
        <v>52416</v>
      </c>
      <c r="DO55" s="1337">
        <f t="shared" si="865"/>
        <v>-22898</v>
      </c>
      <c r="DP55" s="1338">
        <f>+'18H29'!K53</f>
        <v>688611</v>
      </c>
      <c r="DQ55" s="1248">
        <f>+'18H29'!E53</f>
        <v>113762</v>
      </c>
      <c r="DR55" s="1337">
        <f>+'18H29'!C53</f>
        <v>637010</v>
      </c>
      <c r="DS55" s="856">
        <f t="shared" ref="DS55:DY55" si="866">SUM(DS56:DS60)</f>
        <v>-308</v>
      </c>
      <c r="DT55" s="830">
        <f t="shared" si="866"/>
        <v>34066</v>
      </c>
      <c r="DU55" s="830">
        <f>SUM(DU56:DU60)</f>
        <v>494014</v>
      </c>
      <c r="DV55" s="830">
        <f t="shared" si="866"/>
        <v>532781</v>
      </c>
      <c r="DW55" s="830">
        <f t="shared" si="866"/>
        <v>-1610</v>
      </c>
      <c r="DX55" s="830">
        <f t="shared" si="866"/>
        <v>51951</v>
      </c>
      <c r="DY55" s="1337">
        <f t="shared" si="866"/>
        <v>-34374</v>
      </c>
      <c r="DZ55" s="1338">
        <f>+'19H30'!K53</f>
        <v>625623</v>
      </c>
      <c r="EA55" s="1248">
        <f>+'19H30'!E53</f>
        <v>110352</v>
      </c>
      <c r="EB55" s="1337">
        <f>+'19H30'!C53</f>
        <v>625315</v>
      </c>
      <c r="EC55" s="856">
        <f t="shared" ref="EC55:EI55" si="867">SUM(EC56:EC60)</f>
        <v>-5314</v>
      </c>
      <c r="ED55" s="830">
        <f t="shared" si="867"/>
        <v>44080</v>
      </c>
      <c r="EE55" s="830">
        <f>SUM(EE56:EE60)</f>
        <v>492675</v>
      </c>
      <c r="EF55" s="830">
        <f t="shared" si="867"/>
        <v>537444</v>
      </c>
      <c r="EG55" s="830">
        <f t="shared" si="867"/>
        <v>-1540</v>
      </c>
      <c r="EH55" s="830">
        <f t="shared" si="867"/>
        <v>52118</v>
      </c>
      <c r="EI55" s="1337">
        <f t="shared" si="867"/>
        <v>-49394</v>
      </c>
      <c r="EJ55" s="1338">
        <f>+'20R1'!K53</f>
        <v>641641</v>
      </c>
      <c r="EK55" s="1248">
        <f>+'20R1'!E53</f>
        <v>113728</v>
      </c>
      <c r="EL55" s="1337">
        <f>+'20R1'!C53</f>
        <v>636327</v>
      </c>
      <c r="EM55" s="856">
        <f t="shared" ref="EM55" si="868">SUM(EM56:EM60)</f>
        <v>52471</v>
      </c>
      <c r="EN55" s="830">
        <f t="shared" ref="EN55" si="869">SUM(EN56:EN60)</f>
        <v>64175</v>
      </c>
      <c r="EO55" s="830">
        <f>SUM(EO56:EO60)</f>
        <v>459016</v>
      </c>
      <c r="EP55" s="830">
        <f t="shared" ref="EP55:EU55" si="870">SUM(EP56:EP60)</f>
        <v>470715</v>
      </c>
      <c r="EQ55" s="1336">
        <f t="shared" si="870"/>
        <v>-1203</v>
      </c>
      <c r="ER55" s="1336">
        <f t="shared" si="870"/>
        <v>54301</v>
      </c>
      <c r="ES55" s="850">
        <f t="shared" si="870"/>
        <v>-11704</v>
      </c>
      <c r="ET55" s="1338">
        <f t="shared" si="870"/>
        <v>586691</v>
      </c>
      <c r="EU55" s="830">
        <f t="shared" si="870"/>
        <v>119833</v>
      </c>
      <c r="EV55" s="1317">
        <f>+'21R2'!C53</f>
        <v>639162</v>
      </c>
      <c r="EW55" s="1392">
        <f t="shared" si="851"/>
        <v>-59504</v>
      </c>
      <c r="EX55" s="1393">
        <f t="shared" ref="EX55:FC55" si="871">SUM(EX56:EX60)</f>
        <v>-47703</v>
      </c>
      <c r="EY55" s="1393">
        <f t="shared" si="871"/>
        <v>475533</v>
      </c>
      <c r="EZ55" s="1393">
        <f t="shared" si="871"/>
        <v>523236</v>
      </c>
      <c r="FA55" s="1393">
        <f t="shared" si="871"/>
        <v>-627</v>
      </c>
      <c r="FB55" s="1393">
        <f t="shared" si="871"/>
        <v>54040</v>
      </c>
      <c r="FC55" s="1693">
        <f t="shared" si="871"/>
        <v>-11801</v>
      </c>
      <c r="FD55" s="1414">
        <f>'22R3'!K53</f>
        <v>604859</v>
      </c>
      <c r="FE55" s="1310">
        <f>'22R3'!E53</f>
        <v>122677</v>
      </c>
      <c r="FF55" s="1690">
        <f>'22R3'!C53</f>
        <v>604482</v>
      </c>
      <c r="FG55" s="1392">
        <f t="shared" si="852"/>
        <v>-138942</v>
      </c>
      <c r="FH55" s="1393">
        <f t="shared" ref="FH55" si="872">SUM(FH56:FH60)</f>
        <v>-127141</v>
      </c>
      <c r="FI55" s="830">
        <f>SUM(FI56:FI60)</f>
        <v>481605</v>
      </c>
      <c r="FJ55" s="830">
        <f t="shared" ref="FJ55:FL55" si="873">SUM(FJ56:FJ60)</f>
        <v>608746</v>
      </c>
      <c r="FK55" s="1336">
        <f t="shared" si="873"/>
        <v>-1078</v>
      </c>
      <c r="FL55" s="1336">
        <f t="shared" si="873"/>
        <v>58240</v>
      </c>
      <c r="FM55" s="1398">
        <f t="shared" si="853"/>
        <v>-11801</v>
      </c>
      <c r="FN55" s="1748">
        <f>'23R4'!K53</f>
        <v>656109</v>
      </c>
      <c r="FO55" s="1332">
        <f>'23R4'!E53</f>
        <v>127567</v>
      </c>
      <c r="FP55" s="1690">
        <f>'23R4'!C53</f>
        <v>593538</v>
      </c>
      <c r="FQ55" s="1310"/>
      <c r="FR55" s="1392">
        <f t="shared" si="303"/>
        <v>112695</v>
      </c>
      <c r="FS55" s="1393">
        <f t="shared" ref="FS55" si="874">SUM(FS56:FS60)</f>
        <v>124496</v>
      </c>
      <c r="FT55" s="830">
        <f>SUM(FT56:FT60)</f>
        <v>686616</v>
      </c>
      <c r="FU55" s="830">
        <f t="shared" ref="FU55:FW55" si="875">SUM(FU56:FU60)</f>
        <v>562120</v>
      </c>
      <c r="FV55" s="1336">
        <f t="shared" si="875"/>
        <v>-1513</v>
      </c>
      <c r="FW55" s="1336">
        <f t="shared" si="875"/>
        <v>57562</v>
      </c>
      <c r="FX55" s="1398">
        <f t="shared" si="335"/>
        <v>-11801</v>
      </c>
      <c r="FY55" s="1332">
        <f>'24R5'!K53</f>
        <v>615481</v>
      </c>
      <c r="FZ55" s="1332">
        <f>'24R5'!E53</f>
        <v>126039</v>
      </c>
      <c r="GA55" s="1319">
        <v>714449</v>
      </c>
      <c r="GB55" s="1392">
        <f t="shared" si="305"/>
        <v>64935</v>
      </c>
      <c r="GC55" s="1393">
        <f t="shared" ref="GC55" si="876">SUM(GC56:GC60)</f>
        <v>76736</v>
      </c>
      <c r="GD55" s="830">
        <f>SUM(GD56:GD60)</f>
        <v>733915</v>
      </c>
      <c r="GE55" s="830">
        <f t="shared" ref="GE55:GG55" si="877">SUM(GE56:GE60)</f>
        <v>657179</v>
      </c>
      <c r="GF55" s="1336">
        <f t="shared" si="877"/>
        <v>-1582</v>
      </c>
      <c r="GG55" s="1336">
        <f t="shared" si="877"/>
        <v>30336</v>
      </c>
      <c r="GH55" s="1398">
        <f t="shared" si="338"/>
        <v>-11801</v>
      </c>
      <c r="GI55" s="1332">
        <f>'25R6'!K53</f>
        <v>709124</v>
      </c>
      <c r="GJ55" s="1332">
        <f>'25R6'!E53</f>
        <v>135377</v>
      </c>
      <c r="GK55" s="1319">
        <v>714449</v>
      </c>
      <c r="GL55" s="1392">
        <f t="shared" si="307"/>
        <v>16013</v>
      </c>
      <c r="GM55" s="1393">
        <f t="shared" ref="GM55" si="878">SUM(GM56:GM60)</f>
        <v>27814</v>
      </c>
      <c r="GN55" s="830">
        <f>SUM(GN56:GN60)</f>
        <v>705013</v>
      </c>
      <c r="GO55" s="830">
        <f t="shared" ref="GO55:GQ55" si="879">SUM(GO56:GO60)</f>
        <v>677199</v>
      </c>
      <c r="GP55" s="1336">
        <f t="shared" si="879"/>
        <v>-1523</v>
      </c>
      <c r="GQ55" s="1336">
        <f t="shared" si="879"/>
        <v>29899</v>
      </c>
      <c r="GR55" s="1406">
        <f t="shared" si="341"/>
        <v>-11801</v>
      </c>
      <c r="GS55" s="1748">
        <f>'26R7'!K53</f>
        <v>735924</v>
      </c>
      <c r="GT55" s="1332">
        <f>'26R7'!E53</f>
        <v>139375</v>
      </c>
      <c r="GU55" s="1398">
        <v>735924</v>
      </c>
      <c r="GV55" s="1392">
        <f t="shared" si="309"/>
        <v>-26985</v>
      </c>
      <c r="GW55" s="1393">
        <f t="shared" ref="GW55" si="880">SUM(GW56:GW60)</f>
        <v>-15184</v>
      </c>
      <c r="GX55" s="830">
        <f>SUM(GX56:GX60)</f>
        <v>696777</v>
      </c>
      <c r="GY55" s="830">
        <f t="shared" ref="GY55:HA55" si="881">SUM(GY56:GY60)</f>
        <v>711961</v>
      </c>
      <c r="GZ55" s="1336">
        <f t="shared" si="881"/>
        <v>-1505</v>
      </c>
      <c r="HA55" s="1336">
        <f t="shared" si="881"/>
        <v>43343</v>
      </c>
      <c r="HB55" s="1406">
        <f t="shared" si="344"/>
        <v>-11801</v>
      </c>
      <c r="HC55" s="1748">
        <f>'27R8'!U53</f>
        <v>721168</v>
      </c>
      <c r="HD55" s="1690">
        <f>'27R8'!O53</f>
        <v>-44775</v>
      </c>
      <c r="HE55" s="1398">
        <v>723927</v>
      </c>
      <c r="HF55" s="1392">
        <f t="shared" si="311"/>
        <v>-48691</v>
      </c>
      <c r="HG55" s="1393">
        <f t="shared" ref="HG55" si="882">SUM(HG56:HG60)</f>
        <v>-36890</v>
      </c>
      <c r="HH55" s="830">
        <f>SUM(HH56:HH60)</f>
        <v>692168</v>
      </c>
      <c r="HI55" s="830">
        <f t="shared" ref="HI55:HK55" si="883">SUM(HI56:HI60)</f>
        <v>729058</v>
      </c>
      <c r="HJ55" s="1336">
        <f t="shared" si="883"/>
        <v>-1495</v>
      </c>
      <c r="HK55" s="1336">
        <f t="shared" si="883"/>
        <v>43343</v>
      </c>
      <c r="HL55" s="1406">
        <f t="shared" si="347"/>
        <v>-11801</v>
      </c>
      <c r="HM55" s="1748">
        <f>'28R9'!U53</f>
        <v>721168</v>
      </c>
      <c r="HN55" s="1332">
        <f>'28R9'!O53</f>
        <v>-44775</v>
      </c>
      <c r="HO55" s="1398">
        <v>711488</v>
      </c>
      <c r="HP55" s="830"/>
      <c r="HQ55" s="1310">
        <f>市町名目!J54</f>
        <v>636327</v>
      </c>
      <c r="HR55" s="1310">
        <f>市町名目!K54</f>
        <v>639162</v>
      </c>
      <c r="HS55" s="1310">
        <f>市町名目!L54</f>
        <v>604482</v>
      </c>
      <c r="HT55" s="1310">
        <f>市町名目!M54</f>
        <v>593538</v>
      </c>
      <c r="HU55" s="1310">
        <f>市町名目!N54</f>
        <v>604135</v>
      </c>
      <c r="HV55" s="1333">
        <v>722532</v>
      </c>
      <c r="HW55" s="1725">
        <v>789590</v>
      </c>
      <c r="HX55" s="1725">
        <v>723927</v>
      </c>
      <c r="HY55" s="1725">
        <v>711488</v>
      </c>
    </row>
    <row r="56" spans="1:233" ht="12.5">
      <c r="A56" s="1334">
        <v>209</v>
      </c>
      <c r="B56" s="1335" t="s">
        <v>221</v>
      </c>
      <c r="C56" s="1316">
        <f>+L56-J56</f>
        <v>-5862</v>
      </c>
      <c r="D56" s="1248">
        <f>C56-I56</f>
        <v>-8889</v>
      </c>
      <c r="E56" s="850">
        <f>ROUND(E$5*L56/L$6,0)</f>
        <v>260368</v>
      </c>
      <c r="F56" s="1248">
        <f>ROUND(F$5*J56/J$6,0)</f>
        <v>266037</v>
      </c>
      <c r="G56" s="830">
        <f>ROUND(G$5*L56/L$6,0)</f>
        <v>-415</v>
      </c>
      <c r="H56" s="830">
        <f t="shared" ref="H56:I60" si="884">ROUND(H$5*K56/K$6,0)</f>
        <v>25706</v>
      </c>
      <c r="I56" s="1317">
        <f t="shared" si="884"/>
        <v>3027</v>
      </c>
      <c r="J56" s="1318">
        <f>'7H18'!K54</f>
        <v>311759</v>
      </c>
      <c r="K56" s="1248">
        <f>+'7H18'!E54</f>
        <v>39532</v>
      </c>
      <c r="L56" s="1317">
        <f>'7H18'!C54</f>
        <v>305897</v>
      </c>
      <c r="M56" s="1316">
        <f>+V56-T56</f>
        <v>-3877</v>
      </c>
      <c r="N56" s="1248">
        <f>M56-S56</f>
        <v>-8801</v>
      </c>
      <c r="O56" s="850">
        <f>ROUND(O$5*V56/V$6,0)</f>
        <v>271701</v>
      </c>
      <c r="P56" s="1248">
        <f>ROUND(P$5*T56/T$6,0)</f>
        <v>267421</v>
      </c>
      <c r="Q56" s="830">
        <f>ROUND(Q$5*V56/V$6,0)</f>
        <v>-651</v>
      </c>
      <c r="R56" s="830">
        <f t="shared" ref="R56:S60" si="885">ROUND(R$5*U56/U$6,0)</f>
        <v>26151</v>
      </c>
      <c r="S56" s="1317">
        <f t="shared" si="885"/>
        <v>4924</v>
      </c>
      <c r="T56" s="1318">
        <f>+'8H19'!K54</f>
        <v>300819</v>
      </c>
      <c r="U56" s="1248">
        <f>+'8H19'!E54</f>
        <v>40554</v>
      </c>
      <c r="V56" s="1317">
        <f>'8H19'!C54</f>
        <v>296942</v>
      </c>
      <c r="W56" s="1316">
        <f>+AF56-AD56</f>
        <v>956</v>
      </c>
      <c r="X56" s="1248">
        <f>W56-AC56</f>
        <v>-3240</v>
      </c>
      <c r="Y56" s="850">
        <f>ROUND(Y$5*AF56/AF$6,0)</f>
        <v>250576</v>
      </c>
      <c r="Z56" s="1248">
        <f>ROUND(Z$5*AD56/AD$6,0)</f>
        <v>262985</v>
      </c>
      <c r="AA56" s="830">
        <f>ROUND(AA$5*AF56/AF$6,0)</f>
        <v>-1613</v>
      </c>
      <c r="AB56" s="830">
        <f t="shared" ref="AB56:AC60" si="886">ROUND(AB$5*AE56/AE$6,0)</f>
        <v>25956</v>
      </c>
      <c r="AC56" s="1317">
        <f t="shared" si="886"/>
        <v>4196</v>
      </c>
      <c r="AD56" s="1318">
        <f>+'9H20'!K54</f>
        <v>298045</v>
      </c>
      <c r="AE56" s="1248">
        <f>+'9H20'!E54</f>
        <v>43470</v>
      </c>
      <c r="AF56" s="1317">
        <f>'9H20'!C54</f>
        <v>299001</v>
      </c>
      <c r="AG56" s="1316">
        <f>+AP56-AN56</f>
        <v>23598</v>
      </c>
      <c r="AH56" s="1248">
        <f>AG56-AM56</f>
        <v>26974</v>
      </c>
      <c r="AI56" s="850">
        <f>ROUND(AI$5*AP56/AP$6,0)</f>
        <v>226340</v>
      </c>
      <c r="AJ56" s="1248">
        <f>ROUND(AJ$5*AN56/AN$6,0)</f>
        <v>235462</v>
      </c>
      <c r="AK56" s="830">
        <f>ROUND(AK$5*AP56/AP$6,0)</f>
        <v>215</v>
      </c>
      <c r="AL56" s="830">
        <f t="shared" ref="AL56:AM60" si="887">ROUND(AL$5*AO56/AO$6,0)</f>
        <v>26099</v>
      </c>
      <c r="AM56" s="1317">
        <f t="shared" si="887"/>
        <v>-3376</v>
      </c>
      <c r="AN56" s="1318">
        <f>+'10H21'!K54</f>
        <v>286766</v>
      </c>
      <c r="AO56" s="1248">
        <f>+'10H21'!E54</f>
        <v>46646</v>
      </c>
      <c r="AP56" s="1317">
        <f>'10H21'!C54</f>
        <v>310364</v>
      </c>
      <c r="AQ56" s="1316">
        <f>+AZ56-AX56</f>
        <v>40383</v>
      </c>
      <c r="AR56" s="1248">
        <f>AQ56-AW56</f>
        <v>36877</v>
      </c>
      <c r="AS56" s="850">
        <f>ROUND(AS$5*AZ56/AZ$6,0)</f>
        <v>232494</v>
      </c>
      <c r="AT56" s="1248">
        <f>ROUND(AT$5*AX56/AX$6,0)</f>
        <v>225944</v>
      </c>
      <c r="AU56" s="830">
        <f>ROUND(AU$5*AZ56/AZ$6,0)</f>
        <v>-1703</v>
      </c>
      <c r="AV56" s="830">
        <f t="shared" ref="AV56:AW60" si="888">ROUND(AV$5*AY56/AY$6,0)</f>
        <v>27260</v>
      </c>
      <c r="AW56" s="1317">
        <f t="shared" si="888"/>
        <v>3506</v>
      </c>
      <c r="AX56" s="1318">
        <f>+'11H22'!K54</f>
        <v>268777</v>
      </c>
      <c r="AY56" s="1248">
        <f>+'11H22'!E54</f>
        <v>46223</v>
      </c>
      <c r="AZ56" s="1317">
        <f>'11H22'!C54</f>
        <v>309160</v>
      </c>
      <c r="BA56" s="1316">
        <f>+BJ56-BH56</f>
        <v>-33705</v>
      </c>
      <c r="BB56" s="1248">
        <f>BA56-BG56</f>
        <v>-36418</v>
      </c>
      <c r="BC56" s="850">
        <f>ROUND(BC$5*BJ56/BJ$6,0)</f>
        <v>217446</v>
      </c>
      <c r="BD56" s="1248">
        <f>ROUND(BD$5*BH56/BH$6,0)</f>
        <v>264142</v>
      </c>
      <c r="BE56" s="830">
        <f>ROUND(BE$5*BJ56/BJ$6,0)</f>
        <v>-1091</v>
      </c>
      <c r="BF56" s="830">
        <f t="shared" ref="BF56:BG60" si="889">ROUND(BF$5*BI56/BI$6,0)</f>
        <v>27841</v>
      </c>
      <c r="BG56" s="1317">
        <f t="shared" si="889"/>
        <v>2713</v>
      </c>
      <c r="BH56" s="1318">
        <f>+'12H23'!K54</f>
        <v>307878</v>
      </c>
      <c r="BI56" s="1248">
        <f>+'12H23'!E54</f>
        <v>48849</v>
      </c>
      <c r="BJ56" s="1317">
        <f>'12H23'!C54</f>
        <v>274173</v>
      </c>
      <c r="BK56" s="1316">
        <f>+BT56-BR56</f>
        <v>-30616</v>
      </c>
      <c r="BL56" s="1248">
        <f>BK56-BQ56</f>
        <v>-35267</v>
      </c>
      <c r="BM56" s="850">
        <f>ROUND(BM$5*BT56/BT$6,0)</f>
        <v>218498</v>
      </c>
      <c r="BN56" s="1248">
        <f>ROUND(BN$5*BR56/BR$6,0)</f>
        <v>266337</v>
      </c>
      <c r="BO56" s="830">
        <f>ROUND(BO$5*BT56/BT$6,0)</f>
        <v>-908</v>
      </c>
      <c r="BP56" s="830">
        <f t="shared" ref="BP56:BQ60" si="890">ROUND(BP$5*BS56/BS$6,0)</f>
        <v>27128</v>
      </c>
      <c r="BQ56" s="1317">
        <f t="shared" si="890"/>
        <v>4651</v>
      </c>
      <c r="BR56" s="1318">
        <f>+'13H24'!K54</f>
        <v>311074</v>
      </c>
      <c r="BS56" s="1248">
        <f>+'13H24'!E54</f>
        <v>49554</v>
      </c>
      <c r="BT56" s="1317">
        <f>'13H24'!C54</f>
        <v>280458</v>
      </c>
      <c r="BU56" s="1316">
        <f>+CD56-CB56</f>
        <v>-2221</v>
      </c>
      <c r="BV56" s="1248">
        <f>BU56-CA56</f>
        <v>-6446</v>
      </c>
      <c r="BW56" s="850">
        <f>ROUND(BW$5*CD56/CD$6,0)</f>
        <v>234919</v>
      </c>
      <c r="BX56" s="1248">
        <f>ROUND(BX$5*CB56/CB$6,0)</f>
        <v>259506</v>
      </c>
      <c r="BY56" s="830">
        <f>ROUND(BY$5*CD56/CD$6,0)</f>
        <v>-968</v>
      </c>
      <c r="BZ56" s="830">
        <f t="shared" ref="BZ56:CA60" si="891">ROUND(BZ$5*CC56/CC$6,0)</f>
        <v>26890</v>
      </c>
      <c r="CA56" s="1317">
        <f t="shared" si="891"/>
        <v>4225</v>
      </c>
      <c r="CB56" s="1318">
        <f>+'14H25'!K54</f>
        <v>303276</v>
      </c>
      <c r="CC56" s="1248">
        <f>+'14H25'!E54</f>
        <v>51106</v>
      </c>
      <c r="CD56" s="1317">
        <f>'14H25'!C54</f>
        <v>301055</v>
      </c>
      <c r="CE56" s="1316">
        <f>+CN56-CL56</f>
        <v>476</v>
      </c>
      <c r="CF56" s="1248">
        <f>CE56-CK56</f>
        <v>3682</v>
      </c>
      <c r="CG56" s="850">
        <f>ROUND(CG$5*CN56/CN$6,0)</f>
        <v>237394</v>
      </c>
      <c r="CH56" s="1248">
        <f>ROUND(CH$5*CL56/CL$6,0)</f>
        <v>252954</v>
      </c>
      <c r="CI56" s="830">
        <f>ROUND(CI$5*CN56/CN$6,0)</f>
        <v>-1032</v>
      </c>
      <c r="CJ56" s="830">
        <f t="shared" ref="CJ56:CK60" si="892">ROUND(CJ$5*CM56/CM$6,0)</f>
        <v>27042</v>
      </c>
      <c r="CK56" s="1317">
        <f t="shared" si="892"/>
        <v>-3206</v>
      </c>
      <c r="CL56" s="1318">
        <f>+'15H26'!K54</f>
        <v>294283</v>
      </c>
      <c r="CM56" s="1248">
        <f>+'15H26'!E54</f>
        <v>51606</v>
      </c>
      <c r="CN56" s="1317">
        <f>'15H26'!C54</f>
        <v>294759</v>
      </c>
      <c r="CO56" s="1316">
        <f>+CX56-CV56</f>
        <v>10636</v>
      </c>
      <c r="CP56" s="1248">
        <f>CO56-CU56</f>
        <v>7126</v>
      </c>
      <c r="CQ56" s="850">
        <f>ROUND(CQ$5*CX56/CX$6,0)</f>
        <v>239942</v>
      </c>
      <c r="CR56" s="1248">
        <f>ROUND(CR$5*CV56/CV$6,0)</f>
        <v>248447</v>
      </c>
      <c r="CS56" s="830">
        <f>ROUND(CS$5*CX56/CX$6,0)</f>
        <v>-1081</v>
      </c>
      <c r="CT56" s="830">
        <f t="shared" ref="CT56:CU60" si="893">ROUND(CT$5*CW56/CW$6,0)</f>
        <v>26262</v>
      </c>
      <c r="CU56" s="1317">
        <f t="shared" si="893"/>
        <v>3510</v>
      </c>
      <c r="CV56" s="1318">
        <f>+'16H27'!K54</f>
        <v>298854</v>
      </c>
      <c r="CW56" s="1248">
        <f>+'16H27'!E54</f>
        <v>51641</v>
      </c>
      <c r="CX56" s="1317">
        <f>'16H27'!C54</f>
        <v>309490</v>
      </c>
      <c r="CY56" s="1316">
        <f>+DH56-DF56</f>
        <v>12894</v>
      </c>
      <c r="CZ56" s="1248">
        <f>CY56-DE56</f>
        <v>13151</v>
      </c>
      <c r="DA56" s="850">
        <f>ROUND(DA$5*DH56/DH$6,0)</f>
        <v>232071</v>
      </c>
      <c r="DB56" s="1248">
        <f>ROUND(DB$5*DF56/DF$6,0)</f>
        <v>240636</v>
      </c>
      <c r="DC56" s="830">
        <f>ROUND(DC$5*DH56/DH$6,0)</f>
        <v>-980</v>
      </c>
      <c r="DD56" s="830">
        <f t="shared" ref="DD56:DE60" si="894">ROUND(DD$5*DG56/DG$6,0)</f>
        <v>26745</v>
      </c>
      <c r="DE56" s="1317">
        <f t="shared" si="894"/>
        <v>-257</v>
      </c>
      <c r="DF56" s="1318">
        <f>+'17H28'!K54</f>
        <v>297558</v>
      </c>
      <c r="DG56" s="1248">
        <f>+'17H28'!E54</f>
        <v>52012</v>
      </c>
      <c r="DH56" s="1317">
        <f>'17H28'!C54</f>
        <v>310452</v>
      </c>
      <c r="DI56" s="1316">
        <f>+DR56-DP56</f>
        <v>23722</v>
      </c>
      <c r="DJ56" s="1248">
        <f>DI56-DO56</f>
        <v>34938</v>
      </c>
      <c r="DK56" s="850">
        <f>ROUND(DK$5*DR56/DR$6,0)</f>
        <v>243410</v>
      </c>
      <c r="DL56" s="1248">
        <f>ROUND(DL$5*DP56/DP$6,0)</f>
        <v>239277</v>
      </c>
      <c r="DM56" s="830">
        <f>ROUND(DM$5*DR56/DR$6,0)</f>
        <v>-777</v>
      </c>
      <c r="DN56" s="830">
        <f t="shared" ref="DN56:DO60" si="895">ROUND(DN$5*DQ56/DQ$6,0)</f>
        <v>22402</v>
      </c>
      <c r="DO56" s="1317">
        <f t="shared" si="895"/>
        <v>-11216</v>
      </c>
      <c r="DP56" s="1318">
        <f>+'18H29'!K54</f>
        <v>288285</v>
      </c>
      <c r="DQ56" s="1248">
        <f>+'18H29'!E54</f>
        <v>48621</v>
      </c>
      <c r="DR56" s="1317">
        <f>+'18H29'!C54</f>
        <v>312007</v>
      </c>
      <c r="DS56" s="1316">
        <f>+EB56-DZ56</f>
        <v>17693</v>
      </c>
      <c r="DT56" s="1248">
        <f>DS56-DY56</f>
        <v>34800</v>
      </c>
      <c r="DU56" s="850">
        <f>ROUND(DU$5*EB56/EB$6,0)</f>
        <v>245854</v>
      </c>
      <c r="DV56" s="1248">
        <f>ROUND(DV$5*DZ56/DZ$6,0)</f>
        <v>249949</v>
      </c>
      <c r="DW56" s="830">
        <f>ROUND(DW$5*EB56/EB$6,0)</f>
        <v>-802</v>
      </c>
      <c r="DX56" s="830">
        <f t="shared" ref="DX56:DY60" si="896">ROUND(DX$5*EA56/EA$6,0)</f>
        <v>22289</v>
      </c>
      <c r="DY56" s="1317">
        <f t="shared" si="896"/>
        <v>-17107</v>
      </c>
      <c r="DZ56" s="1318">
        <f>+'19H30'!K54</f>
        <v>293505</v>
      </c>
      <c r="EA56" s="1248">
        <f>+'19H30'!E54</f>
        <v>47345</v>
      </c>
      <c r="EB56" s="1317">
        <f>+'19H30'!C54</f>
        <v>311198</v>
      </c>
      <c r="EC56" s="1316">
        <f>+EL56-EJ56</f>
        <v>8699</v>
      </c>
      <c r="ED56" s="1248">
        <f>EC56-EI56</f>
        <v>32977</v>
      </c>
      <c r="EE56" s="850">
        <f>ROUND(EE$5*EL56/EL$6,0)</f>
        <v>242164</v>
      </c>
      <c r="EF56" s="1248">
        <f>ROUND(EF$5*EJ56/EJ$6,0)</f>
        <v>254695</v>
      </c>
      <c r="EG56" s="830">
        <f>ROUND(EG$5*EL56/EL$6,0)</f>
        <v>-757</v>
      </c>
      <c r="EH56" s="830">
        <f t="shared" ref="EH56:EI60" si="897">ROUND(EH$5*EK56/EK$6,0)</f>
        <v>22371</v>
      </c>
      <c r="EI56" s="1317">
        <f t="shared" si="897"/>
        <v>-24278</v>
      </c>
      <c r="EJ56" s="1318">
        <f>+'20R1'!K54</f>
        <v>304074</v>
      </c>
      <c r="EK56" s="1248">
        <f>+'20R1'!E54</f>
        <v>48816</v>
      </c>
      <c r="EL56" s="1317">
        <f>+'20R1'!C54</f>
        <v>312773</v>
      </c>
      <c r="EM56" s="1316">
        <f>+EV56-ET56</f>
        <v>22367</v>
      </c>
      <c r="EN56" s="1248">
        <f>EM56-ES56</f>
        <v>27806</v>
      </c>
      <c r="EO56" s="850">
        <f>ROUND(EO$5*EV56/EV$6,0)</f>
        <v>213306</v>
      </c>
      <c r="EP56" s="1248">
        <f>ROUND(EP$5*ET56/ET$6,0)</f>
        <v>220361</v>
      </c>
      <c r="EQ56" s="1336">
        <f>ROUND(EQ$5*EV56/EV$6,0)</f>
        <v>-559</v>
      </c>
      <c r="ER56" s="1336">
        <f t="shared" ref="ER56:ER60" si="898">ROUND(ER$5*EU56/EU$6,0)</f>
        <v>23119</v>
      </c>
      <c r="ES56" s="850">
        <f t="shared" ref="ES56:ES60" si="899">ROUND(ES$5*EV56/EV$6,0)</f>
        <v>-5439</v>
      </c>
      <c r="ET56" s="1331">
        <f>'21R2'!K54</f>
        <v>274654</v>
      </c>
      <c r="EU56" s="1248">
        <f>'21R2'!E54</f>
        <v>51020</v>
      </c>
      <c r="EV56" s="1317">
        <f>+'21R2'!C54</f>
        <v>297021</v>
      </c>
      <c r="EW56" s="1392">
        <f t="shared" si="851"/>
        <v>-19667</v>
      </c>
      <c r="EX56" s="1310">
        <f>EY56-EZ56</f>
        <v>-13833</v>
      </c>
      <c r="EY56" s="850">
        <f>ROUND(EY$5*FF56/FF$6,0)</f>
        <v>235086</v>
      </c>
      <c r="EZ56" s="1248">
        <f>ROUND(EZ$5*FD56/FD$6,0)</f>
        <v>248919</v>
      </c>
      <c r="FA56" s="1336">
        <f>ROUND(FA$5*FF56/FF$6,0)</f>
        <v>-310</v>
      </c>
      <c r="FB56" s="1336">
        <f t="shared" ref="FB56:FB60" si="900">ROUND(FB$5*FE56/FE$6,0)</f>
        <v>23095</v>
      </c>
      <c r="FC56" s="1689">
        <f t="shared" si="363"/>
        <v>-5834</v>
      </c>
      <c r="FD56" s="1414">
        <f>'22R3'!K54</f>
        <v>287750</v>
      </c>
      <c r="FE56" s="1310">
        <f>'22R3'!E54</f>
        <v>52427</v>
      </c>
      <c r="FF56" s="1690">
        <f>'22R3'!C54</f>
        <v>298834</v>
      </c>
      <c r="FG56" s="1392">
        <f t="shared" si="852"/>
        <v>-59149</v>
      </c>
      <c r="FH56" s="1310">
        <f>FI56-FJ56</f>
        <v>-53315</v>
      </c>
      <c r="FI56" s="850">
        <f>ROUND(FI$5*FP56/FP$6,0)</f>
        <v>241559</v>
      </c>
      <c r="FJ56" s="1248">
        <f>ROUND(FJ$5*FN56/FN$6,0)</f>
        <v>294874</v>
      </c>
      <c r="FK56" s="1336">
        <f>ROUND(FK$5*FP56/FP$6,0)</f>
        <v>-541</v>
      </c>
      <c r="FL56" s="1336">
        <f t="shared" ref="FL56:FL60" si="901">ROUND(FL$5*FO56/FO$6,0)</f>
        <v>25647</v>
      </c>
      <c r="FM56" s="1398">
        <f t="shared" si="853"/>
        <v>-5834</v>
      </c>
      <c r="FN56" s="1748">
        <f>'23R4'!K54</f>
        <v>317817</v>
      </c>
      <c r="FO56" s="1332">
        <f>'23R4'!E54</f>
        <v>56176</v>
      </c>
      <c r="FP56" s="1690">
        <f>'23R4'!C54</f>
        <v>297701</v>
      </c>
      <c r="FQ56" s="1310"/>
      <c r="FR56" s="1392">
        <f t="shared" si="303"/>
        <v>43442</v>
      </c>
      <c r="FS56" s="1310">
        <f>FT56-FU56</f>
        <v>49276</v>
      </c>
      <c r="FT56" s="868">
        <f>ROUND(FT$5*GA56/GA$6,0)</f>
        <v>314916</v>
      </c>
      <c r="FU56" s="1248">
        <f>ROUND(FU$5*FY56/FY$6,0)</f>
        <v>265640</v>
      </c>
      <c r="FV56" s="1336">
        <f>ROUND(FV$5*GA56/GA$6,0)</f>
        <v>-694</v>
      </c>
      <c r="FW56" s="1336">
        <f t="shared" ref="FW56:FW60" si="902">ROUND(FW$5*FZ56/FZ$6,0)</f>
        <v>23808</v>
      </c>
      <c r="FX56" s="1398">
        <f t="shared" si="335"/>
        <v>-5834</v>
      </c>
      <c r="FY56" s="1332">
        <f>'24R5'!K54</f>
        <v>290857</v>
      </c>
      <c r="FZ56" s="1332">
        <f>'24R5'!E54</f>
        <v>52131</v>
      </c>
      <c r="GA56" s="1319">
        <v>327682</v>
      </c>
      <c r="GB56" s="1392">
        <f t="shared" si="305"/>
        <v>27142</v>
      </c>
      <c r="GC56" s="1310">
        <f>GD56-GE56</f>
        <v>32976</v>
      </c>
      <c r="GD56" s="868">
        <f>ROUND(GD$5*GK56/GK$6,0)</f>
        <v>336610</v>
      </c>
      <c r="GE56" s="1248">
        <f>ROUND(GE$5*GI56/GI$6,0)</f>
        <v>303634</v>
      </c>
      <c r="GF56" s="1336">
        <f>ROUND(GF$5*GK56/GK$6,0)</f>
        <v>-726</v>
      </c>
      <c r="GG56" s="1336">
        <f t="shared" ref="GG56:GG60" si="903">ROUND(GG$5*GJ56/GJ$6,0)</f>
        <v>12445</v>
      </c>
      <c r="GH56" s="1398">
        <f t="shared" si="338"/>
        <v>-5834</v>
      </c>
      <c r="GI56" s="1332">
        <f>'25R6'!K54</f>
        <v>327634</v>
      </c>
      <c r="GJ56" s="1332">
        <f>'25R6'!E54</f>
        <v>55534</v>
      </c>
      <c r="GK56" s="1319">
        <v>327682</v>
      </c>
      <c r="GL56" s="1392">
        <f t="shared" si="307"/>
        <v>7081</v>
      </c>
      <c r="GM56" s="1310">
        <f>GN56-GO56</f>
        <v>12915</v>
      </c>
      <c r="GN56" s="868">
        <f>ROUND(GN$5*GU56/GU$6,0)</f>
        <v>327357</v>
      </c>
      <c r="GO56" s="1248">
        <f>ROUND(GO$5*GS56/GS$6,0)</f>
        <v>314442</v>
      </c>
      <c r="GP56" s="1336">
        <f>ROUND(GP$5*GU56/GU$6,0)</f>
        <v>-707</v>
      </c>
      <c r="GQ56" s="1336">
        <f t="shared" ref="GQ56:GQ60" si="904">ROUND(GQ$5*GT56/GT$6,0)</f>
        <v>12600</v>
      </c>
      <c r="GR56" s="1406">
        <f t="shared" si="341"/>
        <v>-5834</v>
      </c>
      <c r="GS56" s="1748">
        <f>'26R7'!K54</f>
        <v>341710</v>
      </c>
      <c r="GT56" s="1332">
        <f>'26R7'!E54</f>
        <v>58737</v>
      </c>
      <c r="GU56" s="1398">
        <v>341710</v>
      </c>
      <c r="GV56" s="1392">
        <f t="shared" si="309"/>
        <v>-16280</v>
      </c>
      <c r="GW56" s="1310">
        <f>GX56-GY56</f>
        <v>-10446</v>
      </c>
      <c r="GX56" s="868">
        <f>ROUND(GX$5*HE56/HE$6,0)</f>
        <v>323193</v>
      </c>
      <c r="GY56" s="1248">
        <f>ROUND(GY$5*HC56/HC$6,0)</f>
        <v>333639</v>
      </c>
      <c r="GZ56" s="1336">
        <f>ROUND(GZ$5*HE56/HE$6,0)</f>
        <v>-698</v>
      </c>
      <c r="HA56" s="1336">
        <f t="shared" ref="HA56:HA60" si="905">ROUND(HA$5*HD56/HD$6,0)</f>
        <v>14381</v>
      </c>
      <c r="HB56" s="1406">
        <f t="shared" si="344"/>
        <v>-5834</v>
      </c>
      <c r="HC56" s="1748">
        <f>'27R8'!U54</f>
        <v>337954</v>
      </c>
      <c r="HD56" s="1690">
        <f>'27R8'!O54</f>
        <v>-14856</v>
      </c>
      <c r="HE56" s="1398">
        <v>335786</v>
      </c>
      <c r="HF56" s="1392">
        <f t="shared" si="311"/>
        <v>-24848</v>
      </c>
      <c r="HG56" s="1310">
        <f>HH56-HI56</f>
        <v>-19014</v>
      </c>
      <c r="HH56" s="868">
        <f>ROUND(HH$5*HO56/HO$6,0)</f>
        <v>322637</v>
      </c>
      <c r="HI56" s="1248">
        <f>ROUND(HI$5*HM56/HM$6,0)</f>
        <v>341651</v>
      </c>
      <c r="HJ56" s="1336">
        <f>ROUND(HJ$5*HO56/HO$6,0)</f>
        <v>-697</v>
      </c>
      <c r="HK56" s="1336">
        <f t="shared" ref="HK56:HK60" si="906">ROUND(HK$5*HN56/HN$6,0)</f>
        <v>14381</v>
      </c>
      <c r="HL56" s="1406">
        <f t="shared" si="347"/>
        <v>-5834</v>
      </c>
      <c r="HM56" s="1748">
        <f>'28R9'!U54</f>
        <v>337954</v>
      </c>
      <c r="HN56" s="1332">
        <f>'28R9'!O54</f>
        <v>-14856</v>
      </c>
      <c r="HO56" s="1398">
        <v>331643</v>
      </c>
      <c r="HQ56" s="1310">
        <f>市町名目!J55</f>
        <v>312773</v>
      </c>
      <c r="HR56" s="1310">
        <f>市町名目!K55</f>
        <v>297021</v>
      </c>
      <c r="HS56" s="1310">
        <f>市町名目!L55</f>
        <v>298834</v>
      </c>
      <c r="HT56" s="1310">
        <f>市町名目!M55</f>
        <v>297701</v>
      </c>
      <c r="HU56" s="1310">
        <f>市町名目!N55</f>
        <v>306664</v>
      </c>
      <c r="HV56" s="1054">
        <v>329525</v>
      </c>
      <c r="HW56" s="1030">
        <v>367637</v>
      </c>
      <c r="HX56" s="1030">
        <v>335786</v>
      </c>
      <c r="HY56" s="1030">
        <v>331643</v>
      </c>
    </row>
    <row r="57" spans="1:233" ht="12.5">
      <c r="A57" s="1334">
        <v>222</v>
      </c>
      <c r="B57" s="1335" t="s">
        <v>218</v>
      </c>
      <c r="C57" s="1316">
        <f>+L57-J57</f>
        <v>-7234</v>
      </c>
      <c r="D57" s="1248">
        <f>C57-I57</f>
        <v>-8133</v>
      </c>
      <c r="E57" s="850">
        <f>ROUND(E$5*L57/L$6,0)</f>
        <v>77336</v>
      </c>
      <c r="F57" s="1248">
        <f>ROUND(F$5*J57/J$6,0)</f>
        <v>83707</v>
      </c>
      <c r="G57" s="830">
        <f>ROUND(G$5*L57/L$6,0)</f>
        <v>-123</v>
      </c>
      <c r="H57" s="830">
        <f t="shared" si="884"/>
        <v>10144</v>
      </c>
      <c r="I57" s="1317">
        <f t="shared" si="884"/>
        <v>899</v>
      </c>
      <c r="J57" s="1318">
        <f>'7H18'!K55</f>
        <v>98093</v>
      </c>
      <c r="K57" s="1248">
        <f>+'7H18'!E55</f>
        <v>15600</v>
      </c>
      <c r="L57" s="1317">
        <f>'7H18'!C55</f>
        <v>90859</v>
      </c>
      <c r="M57" s="1316">
        <f>+V57-T57</f>
        <v>-11872</v>
      </c>
      <c r="N57" s="1248">
        <f>M57-S57</f>
        <v>-13279</v>
      </c>
      <c r="O57" s="850">
        <f>ROUND(O$5*V57/V$6,0)</f>
        <v>77647</v>
      </c>
      <c r="P57" s="1248">
        <f>ROUND(P$5*T57/T$6,0)</f>
        <v>85992</v>
      </c>
      <c r="Q57" s="830">
        <f>ROUND(Q$5*V57/V$6,0)</f>
        <v>-186</v>
      </c>
      <c r="R57" s="830">
        <f t="shared" si="885"/>
        <v>9702</v>
      </c>
      <c r="S57" s="1317">
        <f t="shared" si="885"/>
        <v>1407</v>
      </c>
      <c r="T57" s="1318">
        <f>+'8H19'!K55</f>
        <v>96732</v>
      </c>
      <c r="U57" s="1248">
        <f>+'8H19'!E55</f>
        <v>15046</v>
      </c>
      <c r="V57" s="1317">
        <f>'8H19'!C55</f>
        <v>84860</v>
      </c>
      <c r="W57" s="1316">
        <f>+AF57-AD57</f>
        <v>-9906</v>
      </c>
      <c r="X57" s="1248">
        <f>W57-AC57</f>
        <v>-11083</v>
      </c>
      <c r="Y57" s="850">
        <f>ROUND(Y$5*AF57/AF$6,0)</f>
        <v>70309</v>
      </c>
      <c r="Z57" s="1248">
        <f>ROUND(Z$5*AD57/AD$6,0)</f>
        <v>82768</v>
      </c>
      <c r="AA57" s="830">
        <f>ROUND(AA$5*AF57/AF$6,0)</f>
        <v>-452</v>
      </c>
      <c r="AB57" s="830">
        <f t="shared" si="886"/>
        <v>9441</v>
      </c>
      <c r="AC57" s="1317">
        <f t="shared" si="886"/>
        <v>1177</v>
      </c>
      <c r="AD57" s="1318">
        <f>+'9H20'!K55</f>
        <v>93802</v>
      </c>
      <c r="AE57" s="1248">
        <f>+'9H20'!E55</f>
        <v>15811</v>
      </c>
      <c r="AF57" s="1317">
        <f>'9H20'!C55</f>
        <v>83896</v>
      </c>
      <c r="AG57" s="1316">
        <f>+AP57-AN57</f>
        <v>-16165</v>
      </c>
      <c r="AH57" s="1248">
        <f>AG57-AM57</f>
        <v>-15320</v>
      </c>
      <c r="AI57" s="850">
        <f>ROUND(AI$5*AP57/AP$6,0)</f>
        <v>56669</v>
      </c>
      <c r="AJ57" s="1248">
        <f>ROUND(AJ$5*AN57/AN$6,0)</f>
        <v>77077</v>
      </c>
      <c r="AK57" s="830">
        <f>ROUND(AK$5*AP57/AP$6,0)</f>
        <v>54</v>
      </c>
      <c r="AL57" s="830">
        <f t="shared" si="887"/>
        <v>9984</v>
      </c>
      <c r="AM57" s="1317">
        <f t="shared" si="887"/>
        <v>-845</v>
      </c>
      <c r="AN57" s="1318">
        <f>+'10H21'!K55</f>
        <v>93871</v>
      </c>
      <c r="AO57" s="1248">
        <f>+'10H21'!E55</f>
        <v>17844</v>
      </c>
      <c r="AP57" s="1317">
        <f>'10H21'!C55</f>
        <v>77706</v>
      </c>
      <c r="AQ57" s="1316">
        <f>+AZ57-AX57</f>
        <v>-9633</v>
      </c>
      <c r="AR57" s="1248">
        <f>AQ57-AW57</f>
        <v>-10569</v>
      </c>
      <c r="AS57" s="850">
        <f>ROUND(AS$5*AZ57/AZ$6,0)</f>
        <v>62045</v>
      </c>
      <c r="AT57" s="1248">
        <f>ROUND(AT$5*AX57/AX$6,0)</f>
        <v>77454</v>
      </c>
      <c r="AU57" s="830">
        <f>ROUND(AU$5*AZ57/AZ$6,0)</f>
        <v>-455</v>
      </c>
      <c r="AV57" s="830">
        <f t="shared" si="888"/>
        <v>10435</v>
      </c>
      <c r="AW57" s="1317">
        <f t="shared" si="888"/>
        <v>936</v>
      </c>
      <c r="AX57" s="1318">
        <f>+'11H22'!K55</f>
        <v>92137</v>
      </c>
      <c r="AY57" s="1248">
        <f>+'11H22'!E55</f>
        <v>17694</v>
      </c>
      <c r="AZ57" s="1317">
        <f>'11H22'!C55</f>
        <v>82504</v>
      </c>
      <c r="BA57" s="1316">
        <f>+BJ57-BH57</f>
        <v>-10736</v>
      </c>
      <c r="BB57" s="1248">
        <f>BA57-BG57</f>
        <v>-11566</v>
      </c>
      <c r="BC57" s="850">
        <f>ROUND(BC$5*BJ57/BJ$6,0)</f>
        <v>66545</v>
      </c>
      <c r="BD57" s="1248">
        <f>ROUND(BD$5*BH57/BH$6,0)</f>
        <v>81197</v>
      </c>
      <c r="BE57" s="830">
        <f>ROUND(BE$5*BJ57/BJ$6,0)</f>
        <v>-334</v>
      </c>
      <c r="BF57" s="830">
        <f t="shared" si="889"/>
        <v>10685</v>
      </c>
      <c r="BG57" s="1317">
        <f t="shared" si="889"/>
        <v>830</v>
      </c>
      <c r="BH57" s="1318">
        <f>+'12H23'!K55</f>
        <v>94641</v>
      </c>
      <c r="BI57" s="1248">
        <f>+'12H23'!E55</f>
        <v>18748</v>
      </c>
      <c r="BJ57" s="1317">
        <f>'12H23'!C55</f>
        <v>83905</v>
      </c>
      <c r="BK57" s="1316">
        <f>+BT57-BR57</f>
        <v>-7053</v>
      </c>
      <c r="BL57" s="1248">
        <f>BK57-BQ57</f>
        <v>-8467</v>
      </c>
      <c r="BM57" s="850">
        <f>ROUND(BM$5*BT57/BT$6,0)</f>
        <v>66451</v>
      </c>
      <c r="BN57" s="1248">
        <f>ROUND(BN$5*BR57/BR$6,0)</f>
        <v>79067</v>
      </c>
      <c r="BO57" s="830">
        <f>ROUND(BO$5*BT57/BT$6,0)</f>
        <v>-276</v>
      </c>
      <c r="BP57" s="830">
        <f t="shared" si="890"/>
        <v>10577</v>
      </c>
      <c r="BQ57" s="1317">
        <f t="shared" si="890"/>
        <v>1414</v>
      </c>
      <c r="BR57" s="1318">
        <f>+'13H24'!K55</f>
        <v>92348</v>
      </c>
      <c r="BS57" s="1248">
        <f>+'13H24'!E55</f>
        <v>19320</v>
      </c>
      <c r="BT57" s="1317">
        <f>'13H24'!C55</f>
        <v>85295</v>
      </c>
      <c r="BU57" s="1316">
        <f>+CD57-CB57</f>
        <v>639</v>
      </c>
      <c r="BV57" s="1248">
        <f>BU57-CA57</f>
        <v>-623</v>
      </c>
      <c r="BW57" s="850">
        <f>ROUND(BW$5*CD57/CD$6,0)</f>
        <v>70154</v>
      </c>
      <c r="BX57" s="1248">
        <f>ROUND(BX$5*CB57/CB$6,0)</f>
        <v>76382</v>
      </c>
      <c r="BY57" s="830">
        <f>ROUND(BY$5*CD57/CD$6,0)</f>
        <v>-289</v>
      </c>
      <c r="BZ57" s="830">
        <f t="shared" si="891"/>
        <v>9532</v>
      </c>
      <c r="CA57" s="1317">
        <f t="shared" si="891"/>
        <v>1262</v>
      </c>
      <c r="CB57" s="1318">
        <f>+'14H25'!K55</f>
        <v>89265</v>
      </c>
      <c r="CC57" s="1248">
        <f>+'14H25'!E55</f>
        <v>18116</v>
      </c>
      <c r="CD57" s="1317">
        <f>'14H25'!C55</f>
        <v>89904</v>
      </c>
      <c r="CE57" s="1316">
        <f>+CN57-CL57</f>
        <v>-5668</v>
      </c>
      <c r="CF57" s="1248">
        <f>CE57-CK57</f>
        <v>-4685</v>
      </c>
      <c r="CG57" s="850">
        <f>ROUND(CG$5*CN57/CN$6,0)</f>
        <v>72813</v>
      </c>
      <c r="CH57" s="1248">
        <f>ROUND(CH$5*CL57/CL$6,0)</f>
        <v>82583</v>
      </c>
      <c r="CI57" s="830">
        <f>ROUND(CI$5*CN57/CN$6,0)</f>
        <v>-317</v>
      </c>
      <c r="CJ57" s="830">
        <f t="shared" si="892"/>
        <v>9664</v>
      </c>
      <c r="CK57" s="1317">
        <f t="shared" si="892"/>
        <v>-983</v>
      </c>
      <c r="CL57" s="1318">
        <f>+'15H26'!K55</f>
        <v>96076</v>
      </c>
      <c r="CM57" s="1248">
        <f>+'15H26'!E55</f>
        <v>18442</v>
      </c>
      <c r="CN57" s="1317">
        <f>'15H26'!C55</f>
        <v>90408</v>
      </c>
      <c r="CO57" s="1316">
        <f>+CX57-CV57</f>
        <v>-9572</v>
      </c>
      <c r="CP57" s="1248">
        <f>CO57-CU57</f>
        <v>-10546</v>
      </c>
      <c r="CQ57" s="850">
        <f>ROUND(CQ$5*CX57/CX$6,0)</f>
        <v>66608</v>
      </c>
      <c r="CR57" s="1248">
        <f>ROUND(CR$5*CV57/CV$6,0)</f>
        <v>79381</v>
      </c>
      <c r="CS57" s="830">
        <f>ROUND(CS$5*CX57/CX$6,0)</f>
        <v>-300</v>
      </c>
      <c r="CT57" s="830">
        <f t="shared" si="893"/>
        <v>8960</v>
      </c>
      <c r="CU57" s="1317">
        <f t="shared" si="893"/>
        <v>974</v>
      </c>
      <c r="CV57" s="1318">
        <f>+'16H27'!K55</f>
        <v>95487</v>
      </c>
      <c r="CW57" s="1248">
        <f>+'16H27'!E55</f>
        <v>17619</v>
      </c>
      <c r="CX57" s="1317">
        <f>'16H27'!C55</f>
        <v>85915</v>
      </c>
      <c r="CY57" s="1316">
        <f>+DH57-DF57</f>
        <v>-4701</v>
      </c>
      <c r="CZ57" s="1248">
        <f>CY57-DE57</f>
        <v>-4630</v>
      </c>
      <c r="DA57" s="850">
        <f>ROUND(DA$5*DH57/DH$6,0)</f>
        <v>64366</v>
      </c>
      <c r="DB57" s="1248">
        <f>ROUND(DB$5*DF57/DF$6,0)</f>
        <v>73435</v>
      </c>
      <c r="DC57" s="830">
        <f>ROUND(DC$5*DH57/DH$6,0)</f>
        <v>-272</v>
      </c>
      <c r="DD57" s="830">
        <f t="shared" si="894"/>
        <v>9561</v>
      </c>
      <c r="DE57" s="1317">
        <f t="shared" si="894"/>
        <v>-71</v>
      </c>
      <c r="DF57" s="1318">
        <f>+'17H28'!K55</f>
        <v>90806</v>
      </c>
      <c r="DG57" s="1248">
        <f>+'17H28'!E55</f>
        <v>18593</v>
      </c>
      <c r="DH57" s="1317">
        <f>'17H28'!C55</f>
        <v>86105</v>
      </c>
      <c r="DI57" s="1316">
        <f>+DR57-DP57</f>
        <v>-190</v>
      </c>
      <c r="DJ57" s="1248">
        <f>DI57-DO57</f>
        <v>2967</v>
      </c>
      <c r="DK57" s="850">
        <f>ROUND(DK$5*DR57/DR$6,0)</f>
        <v>68524</v>
      </c>
      <c r="DL57" s="1248">
        <f>ROUND(DL$5*DP57/DP$6,0)</f>
        <v>73061</v>
      </c>
      <c r="DM57" s="830">
        <f>ROUND(DM$5*DR57/DR$6,0)</f>
        <v>-219</v>
      </c>
      <c r="DN57" s="830">
        <f t="shared" si="895"/>
        <v>8027</v>
      </c>
      <c r="DO57" s="1317">
        <f t="shared" si="895"/>
        <v>-3157</v>
      </c>
      <c r="DP57" s="1318">
        <f>+'18H29'!K55</f>
        <v>88025</v>
      </c>
      <c r="DQ57" s="1248">
        <f>+'18H29'!E55</f>
        <v>17421</v>
      </c>
      <c r="DR57" s="1317">
        <f>+'18H29'!C55</f>
        <v>87835</v>
      </c>
      <c r="DS57" s="1316">
        <f>+EB57-DZ57</f>
        <v>-7257</v>
      </c>
      <c r="DT57" s="1248">
        <f>DS57-DY57</f>
        <v>-2648</v>
      </c>
      <c r="DU57" s="850">
        <f>ROUND(DU$5*EB57/EB$6,0)</f>
        <v>66231</v>
      </c>
      <c r="DV57" s="1248">
        <f>ROUND(DV$5*DZ57/DZ$6,0)</f>
        <v>77573</v>
      </c>
      <c r="DW57" s="830">
        <f>ROUND(DW$5*EB57/EB$6,0)</f>
        <v>-216</v>
      </c>
      <c r="DX57" s="830">
        <f t="shared" si="896"/>
        <v>8035</v>
      </c>
      <c r="DY57" s="1317">
        <f t="shared" si="896"/>
        <v>-4609</v>
      </c>
      <c r="DZ57" s="1318">
        <f>+'19H30'!K55</f>
        <v>91091</v>
      </c>
      <c r="EA57" s="1248">
        <f>+'19H30'!E55</f>
        <v>17067</v>
      </c>
      <c r="EB57" s="1317">
        <f>+'19H30'!C55</f>
        <v>83834</v>
      </c>
      <c r="EC57" s="1316">
        <f>+EL57-EJ57</f>
        <v>-8967</v>
      </c>
      <c r="ED57" s="1248">
        <f>EC57-EI57</f>
        <v>-2752</v>
      </c>
      <c r="EE57" s="850">
        <f>ROUND(EE$5*EL57/EL$6,0)</f>
        <v>61991</v>
      </c>
      <c r="EF57" s="1248">
        <f>ROUND(EF$5*EJ57/EJ$6,0)</f>
        <v>74575</v>
      </c>
      <c r="EG57" s="830">
        <f>ROUND(EG$5*EL57/EL$6,0)</f>
        <v>-194</v>
      </c>
      <c r="EH57" s="830">
        <f t="shared" si="897"/>
        <v>7729</v>
      </c>
      <c r="EI57" s="1317">
        <f t="shared" si="897"/>
        <v>-6215</v>
      </c>
      <c r="EJ57" s="1318">
        <f>+'20R1'!K55</f>
        <v>89033</v>
      </c>
      <c r="EK57" s="1248">
        <f>+'20R1'!E55</f>
        <v>16866</v>
      </c>
      <c r="EL57" s="1317">
        <f>+'20R1'!C55</f>
        <v>80066</v>
      </c>
      <c r="EM57" s="1316">
        <f>+EV57-ET57</f>
        <v>-9984</v>
      </c>
      <c r="EN57" s="1248">
        <f>EM57-ES57</f>
        <v>-8563</v>
      </c>
      <c r="EO57" s="850">
        <f>ROUND(EO$5*EV57/EV$6,0)</f>
        <v>55717</v>
      </c>
      <c r="EP57" s="1248">
        <f>ROUND(EP$5*ET57/ET$6,0)</f>
        <v>70258</v>
      </c>
      <c r="EQ57" s="1336">
        <f>ROUND(EQ$5*EV57/EV$6,0)</f>
        <v>-146</v>
      </c>
      <c r="ER57" s="1336">
        <f t="shared" si="898"/>
        <v>8569</v>
      </c>
      <c r="ES57" s="850">
        <f t="shared" si="899"/>
        <v>-1421</v>
      </c>
      <c r="ET57" s="1331">
        <f>'21R2'!K55</f>
        <v>87568</v>
      </c>
      <c r="EU57" s="1248">
        <f>'21R2'!E55</f>
        <v>18910</v>
      </c>
      <c r="EV57" s="1317">
        <f>+'21R2'!C55</f>
        <v>77584</v>
      </c>
      <c r="EW57" s="1392">
        <f t="shared" si="851"/>
        <v>-13466</v>
      </c>
      <c r="EX57" s="1310">
        <f>EY57-EZ57</f>
        <v>-11854</v>
      </c>
      <c r="EY57" s="850">
        <f>ROUND(EY$5*FF57/FF$6,0)</f>
        <v>64937</v>
      </c>
      <c r="EZ57" s="1248">
        <f>ROUND(EZ$5*FD57/FD$6,0)</f>
        <v>76791</v>
      </c>
      <c r="FA57" s="1336">
        <f>ROUND(FA$5*FF57/FF$6,0)</f>
        <v>-86</v>
      </c>
      <c r="FB57" s="1336">
        <f t="shared" si="900"/>
        <v>8720</v>
      </c>
      <c r="FC57" s="1689">
        <f t="shared" si="363"/>
        <v>-1612</v>
      </c>
      <c r="FD57" s="1414">
        <f>'22R3'!K55</f>
        <v>88770</v>
      </c>
      <c r="FE57" s="1310">
        <f>'22R3'!E55</f>
        <v>19796</v>
      </c>
      <c r="FF57" s="1690">
        <f>'22R3'!C55</f>
        <v>82546</v>
      </c>
      <c r="FG57" s="1392">
        <f t="shared" si="852"/>
        <v>-16980</v>
      </c>
      <c r="FH57" s="1310">
        <f>FI57-FJ57</f>
        <v>-15368</v>
      </c>
      <c r="FI57" s="850">
        <f>ROUND(FI$5*FP57/FP$6,0)</f>
        <v>67121</v>
      </c>
      <c r="FJ57" s="1248">
        <f>ROUND(FJ$5*FN57/FN$6,0)</f>
        <v>82489</v>
      </c>
      <c r="FK57" s="1336">
        <f>ROUND(FK$5*FP57/FP$6,0)</f>
        <v>-150</v>
      </c>
      <c r="FL57" s="1336">
        <f t="shared" si="901"/>
        <v>8837</v>
      </c>
      <c r="FM57" s="1398">
        <f t="shared" si="853"/>
        <v>-1612</v>
      </c>
      <c r="FN57" s="1748">
        <f>'23R4'!K55</f>
        <v>88907</v>
      </c>
      <c r="FO57" s="1332">
        <f>'23R4'!E55</f>
        <v>19357</v>
      </c>
      <c r="FP57" s="1690">
        <f>'23R4'!C55</f>
        <v>82721</v>
      </c>
      <c r="FQ57" s="1310"/>
      <c r="FR57" s="1392">
        <f t="shared" si="303"/>
        <v>15050</v>
      </c>
      <c r="FS57" s="1310">
        <f>FT57-FU57</f>
        <v>16662</v>
      </c>
      <c r="FT57" s="868">
        <f>ROUND(FT$5*GA57/GA$6,0)</f>
        <v>95386</v>
      </c>
      <c r="FU57" s="1248">
        <f>ROUND(FU$5*FY57/FY$6,0)</f>
        <v>78724</v>
      </c>
      <c r="FV57" s="1336">
        <f>ROUND(FV$5*GA57/GA$6,0)</f>
        <v>-210</v>
      </c>
      <c r="FW57" s="1336">
        <f t="shared" si="902"/>
        <v>9483</v>
      </c>
      <c r="FX57" s="1398">
        <f t="shared" si="335"/>
        <v>-1612</v>
      </c>
      <c r="FY57" s="1332">
        <f>'24R5'!K55</f>
        <v>86197</v>
      </c>
      <c r="FZ57" s="1332">
        <f>'24R5'!E55</f>
        <v>20765</v>
      </c>
      <c r="GA57" s="1319">
        <v>99253</v>
      </c>
      <c r="GB57" s="1392">
        <f t="shared" si="305"/>
        <v>8541</v>
      </c>
      <c r="GC57" s="1310">
        <f>GD57-GE57</f>
        <v>10153</v>
      </c>
      <c r="GD57" s="868">
        <f>ROUND(GD$5*GK57/GK$6,0)</f>
        <v>101957</v>
      </c>
      <c r="GE57" s="1248">
        <f>ROUND(GE$5*GI57/GI$6,0)</f>
        <v>91804</v>
      </c>
      <c r="GF57" s="1336">
        <f>ROUND(GF$5*GK57/GK$6,0)</f>
        <v>-220</v>
      </c>
      <c r="GG57" s="1336">
        <f t="shared" si="903"/>
        <v>5024</v>
      </c>
      <c r="GH57" s="1398">
        <f t="shared" si="338"/>
        <v>-1612</v>
      </c>
      <c r="GI57" s="1332">
        <f>'25R6'!K55</f>
        <v>99060</v>
      </c>
      <c r="GJ57" s="1332">
        <f>'25R6'!E55</f>
        <v>22421</v>
      </c>
      <c r="GK57" s="1319">
        <v>99253</v>
      </c>
      <c r="GL57" s="1392">
        <f t="shared" si="307"/>
        <v>2272</v>
      </c>
      <c r="GM57" s="1310">
        <f>GN57-GO57</f>
        <v>3884</v>
      </c>
      <c r="GN57" s="868">
        <f>ROUND(GN$5*GU57/GU$6,0)</f>
        <v>98457</v>
      </c>
      <c r="GO57" s="1248">
        <f>ROUND(GO$5*GS57/GS$6,0)</f>
        <v>94573</v>
      </c>
      <c r="GP57" s="1336">
        <f>ROUND(GP$5*GU57/GU$6,0)</f>
        <v>-213</v>
      </c>
      <c r="GQ57" s="1336">
        <f t="shared" si="904"/>
        <v>4804</v>
      </c>
      <c r="GR57" s="1406">
        <f t="shared" si="341"/>
        <v>-1612</v>
      </c>
      <c r="GS57" s="1748">
        <f>'26R7'!K55</f>
        <v>102774</v>
      </c>
      <c r="GT57" s="1332">
        <f>'26R7'!E55</f>
        <v>22394</v>
      </c>
      <c r="GU57" s="1398">
        <v>102774</v>
      </c>
      <c r="GV57" s="1392">
        <f t="shared" si="309"/>
        <v>-5328</v>
      </c>
      <c r="GW57" s="1310">
        <f>GX57-GY57</f>
        <v>-3716</v>
      </c>
      <c r="GX57" s="868">
        <f>ROUND(GX$5*HE57/HE$6,0)</f>
        <v>97000</v>
      </c>
      <c r="GY57" s="1248">
        <f>ROUND(GY$5*HC57/HC$6,0)</f>
        <v>100716</v>
      </c>
      <c r="GZ57" s="1336">
        <f>ROUND(GZ$5*HE57/HE$6,0)</f>
        <v>-210</v>
      </c>
      <c r="HA57" s="1336">
        <f t="shared" si="905"/>
        <v>8413</v>
      </c>
      <c r="HB57" s="1406">
        <f t="shared" si="344"/>
        <v>-1612</v>
      </c>
      <c r="HC57" s="1748">
        <f>'27R8'!U55</f>
        <v>102018</v>
      </c>
      <c r="HD57" s="1690">
        <f>'27R8'!O55</f>
        <v>-8691</v>
      </c>
      <c r="HE57" s="1398">
        <v>100780</v>
      </c>
      <c r="HF57" s="1392">
        <f t="shared" si="311"/>
        <v>-9298</v>
      </c>
      <c r="HG57" s="1310">
        <f>HH57-HI57</f>
        <v>-7686</v>
      </c>
      <c r="HH57" s="868">
        <f>ROUND(HH$5*HO57/HO$6,0)</f>
        <v>95448</v>
      </c>
      <c r="HI57" s="1248">
        <f>ROUND(HI$5*HM57/HM$6,0)</f>
        <v>103134</v>
      </c>
      <c r="HJ57" s="1336">
        <f>ROUND(HJ$5*HO57/HO$6,0)</f>
        <v>-206</v>
      </c>
      <c r="HK57" s="1336">
        <f t="shared" si="906"/>
        <v>8413</v>
      </c>
      <c r="HL57" s="1406">
        <f t="shared" si="347"/>
        <v>-1612</v>
      </c>
      <c r="HM57" s="1748">
        <f>'28R9'!U55</f>
        <v>102018</v>
      </c>
      <c r="HN57" s="1332">
        <f>'28R9'!O55</f>
        <v>-8691</v>
      </c>
      <c r="HO57" s="1398">
        <v>98112</v>
      </c>
      <c r="HQ57" s="1310">
        <f>市町名目!J56</f>
        <v>80066</v>
      </c>
      <c r="HR57" s="1310">
        <f>市町名目!K56</f>
        <v>77584</v>
      </c>
      <c r="HS57" s="1310">
        <f>市町名目!L56</f>
        <v>82546</v>
      </c>
      <c r="HT57" s="1310">
        <f>市町名目!M56</f>
        <v>82721</v>
      </c>
      <c r="HU57" s="1310">
        <f>市町名目!N56</f>
        <v>77366</v>
      </c>
      <c r="HV57" s="1054">
        <v>94692</v>
      </c>
      <c r="HW57" s="1030">
        <v>106570</v>
      </c>
      <c r="HX57" s="1030">
        <v>100780</v>
      </c>
      <c r="HY57" s="1030">
        <v>98112</v>
      </c>
    </row>
    <row r="58" spans="1:233" ht="12.5">
      <c r="A58" s="1334">
        <v>225</v>
      </c>
      <c r="B58" s="1335" t="s">
        <v>222</v>
      </c>
      <c r="C58" s="1316">
        <f>+L58-J58</f>
        <v>-13873</v>
      </c>
      <c r="D58" s="1248">
        <f>C58-I58</f>
        <v>-15080</v>
      </c>
      <c r="E58" s="850">
        <f>ROUND(E$5*L58/L$6,0)</f>
        <v>103864</v>
      </c>
      <c r="F58" s="1248">
        <f>ROUND(F$5*J58/J$6,0)</f>
        <v>115968</v>
      </c>
      <c r="G58" s="830">
        <f>ROUND(G$5*L58/L$6,0)</f>
        <v>-166</v>
      </c>
      <c r="H58" s="830">
        <f t="shared" si="884"/>
        <v>13328</v>
      </c>
      <c r="I58" s="1317">
        <f t="shared" si="884"/>
        <v>1207</v>
      </c>
      <c r="J58" s="1318">
        <f>'7H18'!K56</f>
        <v>135899</v>
      </c>
      <c r="K58" s="1248">
        <f>+'7H18'!E56</f>
        <v>20496</v>
      </c>
      <c r="L58" s="1317">
        <f>'7H18'!C56</f>
        <v>122026</v>
      </c>
      <c r="M58" s="1316">
        <f>+V58-T58</f>
        <v>-2345</v>
      </c>
      <c r="N58" s="1248">
        <f>M58-S58</f>
        <v>-4452</v>
      </c>
      <c r="O58" s="850">
        <f>ROUND(O$5*V58/V$6,0)</f>
        <v>116268</v>
      </c>
      <c r="P58" s="1248">
        <f>ROUND(P$5*T58/T$6,0)</f>
        <v>115046</v>
      </c>
      <c r="Q58" s="830">
        <f>ROUND(Q$5*V58/V$6,0)</f>
        <v>-279</v>
      </c>
      <c r="R58" s="830">
        <f t="shared" si="885"/>
        <v>13315</v>
      </c>
      <c r="S58" s="1317">
        <f t="shared" si="885"/>
        <v>2107</v>
      </c>
      <c r="T58" s="1318">
        <f>+'8H19'!K56</f>
        <v>129414</v>
      </c>
      <c r="U58" s="1248">
        <f>+'8H19'!E56</f>
        <v>20649</v>
      </c>
      <c r="V58" s="1317">
        <f>'8H19'!C56</f>
        <v>127069</v>
      </c>
      <c r="W58" s="1316">
        <f>+AF58-AD58</f>
        <v>1011</v>
      </c>
      <c r="X58" s="1248">
        <f>W58-AC58</f>
        <v>-758</v>
      </c>
      <c r="Y58" s="850">
        <f>ROUND(Y$5*AF58/AF$6,0)</f>
        <v>105666</v>
      </c>
      <c r="Z58" s="1248">
        <f>ROUND(Z$5*AD58/AD$6,0)</f>
        <v>110363</v>
      </c>
      <c r="AA58" s="830">
        <f>ROUND(AA$5*AF58/AF$6,0)</f>
        <v>-680</v>
      </c>
      <c r="AB58" s="830">
        <f t="shared" si="886"/>
        <v>12720</v>
      </c>
      <c r="AC58" s="1317">
        <f t="shared" si="886"/>
        <v>1769</v>
      </c>
      <c r="AD58" s="1318">
        <f>+'9H20'!K56</f>
        <v>125076</v>
      </c>
      <c r="AE58" s="1248">
        <f>+'9H20'!E56</f>
        <v>21304</v>
      </c>
      <c r="AF58" s="1317">
        <f>'9H20'!C56</f>
        <v>126087</v>
      </c>
      <c r="AG58" s="1316">
        <f>+AP58-AN58</f>
        <v>16329</v>
      </c>
      <c r="AH58" s="1248">
        <f>AG58-AM58</f>
        <v>17795</v>
      </c>
      <c r="AI58" s="850">
        <f>ROUND(AI$5*AP58/AP$6,0)</f>
        <v>98281</v>
      </c>
      <c r="AJ58" s="1248">
        <f>ROUND(AJ$5*AN58/AN$6,0)</f>
        <v>97248</v>
      </c>
      <c r="AK58" s="830">
        <f>ROUND(AK$5*AP58/AP$6,0)</f>
        <v>93</v>
      </c>
      <c r="AL58" s="830">
        <f t="shared" si="887"/>
        <v>12436</v>
      </c>
      <c r="AM58" s="1317">
        <f t="shared" si="887"/>
        <v>-1466</v>
      </c>
      <c r="AN58" s="1318">
        <f>+'10H21'!K56</f>
        <v>118437</v>
      </c>
      <c r="AO58" s="1248">
        <f>+'10H21'!E56</f>
        <v>22226</v>
      </c>
      <c r="AP58" s="1317">
        <f>'10H21'!C56</f>
        <v>134766</v>
      </c>
      <c r="AQ58" s="1316">
        <f>+AZ58-AX58</f>
        <v>12028</v>
      </c>
      <c r="AR58" s="1248">
        <f>AQ58-AW58</f>
        <v>10485</v>
      </c>
      <c r="AS58" s="850">
        <f>ROUND(AS$5*AZ58/AZ$6,0)</f>
        <v>102312</v>
      </c>
      <c r="AT58" s="1248">
        <f>ROUND(AT$5*AX58/AX$6,0)</f>
        <v>104257</v>
      </c>
      <c r="AU58" s="830">
        <f>ROUND(AU$5*AZ58/AZ$6,0)</f>
        <v>-750</v>
      </c>
      <c r="AV58" s="830">
        <f t="shared" si="888"/>
        <v>13786</v>
      </c>
      <c r="AW58" s="1317">
        <f t="shared" si="888"/>
        <v>1543</v>
      </c>
      <c r="AX58" s="1318">
        <f>+'11H22'!K56</f>
        <v>124022</v>
      </c>
      <c r="AY58" s="1248">
        <f>+'11H22'!E56</f>
        <v>23376</v>
      </c>
      <c r="AZ58" s="1317">
        <f>'11H22'!C56</f>
        <v>136050</v>
      </c>
      <c r="BA58" s="1316">
        <f>+BJ58-BH58</f>
        <v>-7620</v>
      </c>
      <c r="BB58" s="1248">
        <f>BA58-BG58</f>
        <v>-8792</v>
      </c>
      <c r="BC58" s="850">
        <f>ROUND(BC$5*BJ58/BJ$6,0)</f>
        <v>93952</v>
      </c>
      <c r="BD58" s="1248">
        <f>ROUND(BD$5*BH58/BH$6,0)</f>
        <v>108171</v>
      </c>
      <c r="BE58" s="830">
        <f>ROUND(BE$5*BJ58/BJ$6,0)</f>
        <v>-472</v>
      </c>
      <c r="BF58" s="830">
        <f t="shared" si="889"/>
        <v>13784</v>
      </c>
      <c r="BG58" s="1317">
        <f t="shared" si="889"/>
        <v>1172</v>
      </c>
      <c r="BH58" s="1318">
        <f>+'12H23'!K56</f>
        <v>126082</v>
      </c>
      <c r="BI58" s="1248">
        <f>+'12H23'!E56</f>
        <v>24186</v>
      </c>
      <c r="BJ58" s="1317">
        <f>'12H23'!C56</f>
        <v>118462</v>
      </c>
      <c r="BK58" s="1316">
        <f>+BT58-BR58</f>
        <v>-9978</v>
      </c>
      <c r="BL58" s="1248">
        <f>BK58-BQ58</f>
        <v>-11887</v>
      </c>
      <c r="BM58" s="850">
        <f>ROUND(BM$5*BT58/BT$6,0)</f>
        <v>89672</v>
      </c>
      <c r="BN58" s="1248">
        <f>ROUND(BN$5*BR58/BR$6,0)</f>
        <v>107091</v>
      </c>
      <c r="BO58" s="830">
        <f>ROUND(BO$5*BT58/BT$6,0)</f>
        <v>-373</v>
      </c>
      <c r="BP58" s="830">
        <f t="shared" si="890"/>
        <v>13524</v>
      </c>
      <c r="BQ58" s="1317">
        <f t="shared" si="890"/>
        <v>1909</v>
      </c>
      <c r="BR58" s="1318">
        <f>+'13H24'!K56</f>
        <v>125079</v>
      </c>
      <c r="BS58" s="1248">
        <f>+'13H24'!E56</f>
        <v>24705</v>
      </c>
      <c r="BT58" s="1317">
        <f>'13H24'!C56</f>
        <v>115101</v>
      </c>
      <c r="BU58" s="1316">
        <f>+CD58-CB58</f>
        <v>-6458</v>
      </c>
      <c r="BV58" s="1248">
        <f>BU58-CA58</f>
        <v>-8170</v>
      </c>
      <c r="BW58" s="850">
        <f>ROUND(BW$5*CD58/CD$6,0)</f>
        <v>95214</v>
      </c>
      <c r="BX58" s="1248">
        <f>ROUND(BX$5*CB58/CB$6,0)</f>
        <v>109935</v>
      </c>
      <c r="BY58" s="830">
        <f>ROUND(BY$5*CD58/CD$6,0)</f>
        <v>-392</v>
      </c>
      <c r="BZ58" s="830">
        <f t="shared" si="891"/>
        <v>11972</v>
      </c>
      <c r="CA58" s="1317">
        <f t="shared" si="891"/>
        <v>1712</v>
      </c>
      <c r="CB58" s="1318">
        <f>+'14H25'!K56</f>
        <v>128477</v>
      </c>
      <c r="CC58" s="1248">
        <f>+'14H25'!E56</f>
        <v>22754</v>
      </c>
      <c r="CD58" s="1317">
        <f>'14H25'!C56</f>
        <v>122019</v>
      </c>
      <c r="CE58" s="1316">
        <f>+CN58-CL58</f>
        <v>-1827</v>
      </c>
      <c r="CF58" s="1248">
        <f>CE58-CK58</f>
        <v>-433</v>
      </c>
      <c r="CG58" s="850">
        <f>ROUND(CG$5*CN58/CN$6,0)</f>
        <v>103207</v>
      </c>
      <c r="CH58" s="1248">
        <f>ROUND(CH$5*CL58/CL$6,0)</f>
        <v>111720</v>
      </c>
      <c r="CI58" s="830">
        <f>ROUND(CI$5*CN58/CN$6,0)</f>
        <v>-449</v>
      </c>
      <c r="CJ58" s="830">
        <f t="shared" si="892"/>
        <v>11915</v>
      </c>
      <c r="CK58" s="1317">
        <f t="shared" si="892"/>
        <v>-1394</v>
      </c>
      <c r="CL58" s="1318">
        <f>+'15H26'!K56</f>
        <v>129973</v>
      </c>
      <c r="CM58" s="1248">
        <f>+'15H26'!E56</f>
        <v>22738</v>
      </c>
      <c r="CN58" s="1317">
        <f>'15H26'!C56</f>
        <v>128146</v>
      </c>
      <c r="CO58" s="1316">
        <f>+CX58-CV58</f>
        <v>-3002</v>
      </c>
      <c r="CP58" s="1248">
        <f>CO58-CU58</f>
        <v>-4453</v>
      </c>
      <c r="CQ58" s="850">
        <f>ROUND(CQ$5*CX58/CX$6,0)</f>
        <v>99200</v>
      </c>
      <c r="CR58" s="1248">
        <f>ROUND(CR$5*CV58/CV$6,0)</f>
        <v>108868</v>
      </c>
      <c r="CS58" s="830">
        <f>ROUND(CS$5*CX58/CX$6,0)</f>
        <v>-447</v>
      </c>
      <c r="CT58" s="830">
        <f t="shared" si="893"/>
        <v>11636</v>
      </c>
      <c r="CU58" s="1317">
        <f t="shared" si="893"/>
        <v>1451</v>
      </c>
      <c r="CV58" s="1318">
        <f>+'16H27'!K56</f>
        <v>130956</v>
      </c>
      <c r="CW58" s="1248">
        <f>+'16H27'!E56</f>
        <v>22881</v>
      </c>
      <c r="CX58" s="1317">
        <f>'16H27'!C56</f>
        <v>127954</v>
      </c>
      <c r="CY58" s="1316">
        <f>+DH58-DF58</f>
        <v>-3193</v>
      </c>
      <c r="CZ58" s="1248">
        <f>CY58-DE58</f>
        <v>-3088</v>
      </c>
      <c r="DA58" s="850">
        <f>ROUND(DA$5*DH58/DH$6,0)</f>
        <v>94594</v>
      </c>
      <c r="DB58" s="1248">
        <f>ROUND(DB$5*DF58/DF$6,0)</f>
        <v>104918</v>
      </c>
      <c r="DC58" s="830">
        <f>ROUND(DC$5*DH58/DH$6,0)</f>
        <v>-400</v>
      </c>
      <c r="DD58" s="830">
        <f t="shared" si="894"/>
        <v>11931</v>
      </c>
      <c r="DE58" s="1317">
        <f t="shared" si="894"/>
        <v>-105</v>
      </c>
      <c r="DF58" s="1318">
        <f>+'17H28'!K56</f>
        <v>129736</v>
      </c>
      <c r="DG58" s="1248">
        <f>+'17H28'!E56</f>
        <v>23202</v>
      </c>
      <c r="DH58" s="1317">
        <f>'17H28'!C56</f>
        <v>126543</v>
      </c>
      <c r="DI58" s="1316">
        <f>+DR58-DP58</f>
        <v>-60738</v>
      </c>
      <c r="DJ58" s="1248">
        <f>DI58-DO58</f>
        <v>-56019</v>
      </c>
      <c r="DK58" s="850">
        <f>ROUND(DK$5*DR58/DR$6,0)</f>
        <v>102412</v>
      </c>
      <c r="DL58" s="1248">
        <f>ROUND(DL$5*DP58/DP$6,0)</f>
        <v>159369</v>
      </c>
      <c r="DM58" s="830">
        <f>ROUND(DM$5*DR58/DR$6,0)</f>
        <v>-327</v>
      </c>
      <c r="DN58" s="830">
        <f t="shared" si="895"/>
        <v>9921</v>
      </c>
      <c r="DO58" s="1317">
        <f t="shared" si="895"/>
        <v>-4719</v>
      </c>
      <c r="DP58" s="1318">
        <f>+'18H29'!K56</f>
        <v>192011</v>
      </c>
      <c r="DQ58" s="1248">
        <f>+'18H29'!E56</f>
        <v>21532</v>
      </c>
      <c r="DR58" s="1317">
        <f>+'18H29'!C56</f>
        <v>131273</v>
      </c>
      <c r="DS58" s="1316">
        <f>+EB58-DZ58</f>
        <v>5639</v>
      </c>
      <c r="DT58" s="1248">
        <f>DS58-DY58</f>
        <v>12605</v>
      </c>
      <c r="DU58" s="850">
        <f>ROUND(DU$5*EB58/EB$6,0)</f>
        <v>100117</v>
      </c>
      <c r="DV58" s="1248">
        <f>ROUND(DV$5*DZ58/DZ$6,0)</f>
        <v>103118</v>
      </c>
      <c r="DW58" s="830">
        <f>ROUND(DW$5*EB58/EB$6,0)</f>
        <v>-326</v>
      </c>
      <c r="DX58" s="830">
        <f t="shared" si="896"/>
        <v>9977</v>
      </c>
      <c r="DY58" s="1317">
        <f t="shared" si="896"/>
        <v>-6966</v>
      </c>
      <c r="DZ58" s="1318">
        <f>+'19H30'!K56</f>
        <v>121087</v>
      </c>
      <c r="EA58" s="1248">
        <f>+'19H30'!E56</f>
        <v>21193</v>
      </c>
      <c r="EB58" s="1317">
        <f>+'19H30'!C56</f>
        <v>126726</v>
      </c>
      <c r="EC58" s="1316">
        <f>+EL58-EJ58</f>
        <v>14594</v>
      </c>
      <c r="ED58" s="1248">
        <f>EC58-EI58</f>
        <v>25459</v>
      </c>
      <c r="EE58" s="850">
        <f>ROUND(EE$5*EL58/EL$6,0)</f>
        <v>108370</v>
      </c>
      <c r="EF58" s="1248">
        <f>ROUND(EF$5*EJ58/EJ$6,0)</f>
        <v>105014</v>
      </c>
      <c r="EG58" s="830">
        <f>ROUND(EG$5*EL58/EL$6,0)</f>
        <v>-339</v>
      </c>
      <c r="EH58" s="830">
        <f t="shared" si="897"/>
        <v>10146</v>
      </c>
      <c r="EI58" s="1317">
        <f t="shared" si="897"/>
        <v>-10865</v>
      </c>
      <c r="EJ58" s="1318">
        <f>+'20R1'!K56</f>
        <v>125374</v>
      </c>
      <c r="EK58" s="1248">
        <f>+'20R1'!E56</f>
        <v>22140</v>
      </c>
      <c r="EL58" s="1317">
        <f>+'20R1'!C56</f>
        <v>139968</v>
      </c>
      <c r="EM58" s="1316">
        <f>+EV58-ET58</f>
        <v>59131</v>
      </c>
      <c r="EN58" s="1248">
        <f>EM58-ES58</f>
        <v>62194</v>
      </c>
      <c r="EO58" s="850">
        <f>ROUND(EO$5*EV58/EV$6,0)</f>
        <v>120140</v>
      </c>
      <c r="EP58" s="1248">
        <f>ROUND(EP$5*ET58/ET$6,0)</f>
        <v>86778</v>
      </c>
      <c r="EQ58" s="1336">
        <f>ROUND(EQ$5*EV58/EV$6,0)</f>
        <v>-315</v>
      </c>
      <c r="ER58" s="1336">
        <f t="shared" si="898"/>
        <v>9705</v>
      </c>
      <c r="ES58" s="850">
        <f t="shared" si="899"/>
        <v>-3063</v>
      </c>
      <c r="ET58" s="1331">
        <f>'21R2'!K56</f>
        <v>108159</v>
      </c>
      <c r="EU58" s="1248">
        <f>'21R2'!E56</f>
        <v>21418</v>
      </c>
      <c r="EV58" s="1317">
        <f>+'21R2'!C56</f>
        <v>167290</v>
      </c>
      <c r="EW58" s="1392">
        <f t="shared" si="851"/>
        <v>-1006</v>
      </c>
      <c r="EX58" s="1310">
        <f>EY58-EZ58</f>
        <v>1461</v>
      </c>
      <c r="EY58" s="850">
        <f>ROUND(EY$5*FF58/FF$6,0)</f>
        <v>99406</v>
      </c>
      <c r="EZ58" s="1248">
        <f>ROUND(EZ$5*FD58/FD$6,0)</f>
        <v>97945</v>
      </c>
      <c r="FA58" s="1336">
        <f>ROUND(FA$5*FF58/FF$6,0)</f>
        <v>-131</v>
      </c>
      <c r="FB58" s="1336">
        <f t="shared" si="900"/>
        <v>9650</v>
      </c>
      <c r="FC58" s="1689">
        <f t="shared" si="363"/>
        <v>-2467</v>
      </c>
      <c r="FD58" s="1414">
        <f>'22R3'!K56</f>
        <v>113224</v>
      </c>
      <c r="FE58" s="1310">
        <f>'22R3'!E56</f>
        <v>21906</v>
      </c>
      <c r="FF58" s="1690">
        <f>'22R3'!C56</f>
        <v>126362</v>
      </c>
      <c r="FG58" s="1392">
        <f t="shared" si="852"/>
        <v>-26593</v>
      </c>
      <c r="FH58" s="1310">
        <f>FI58-FJ58</f>
        <v>-24126</v>
      </c>
      <c r="FI58" s="850">
        <f>ROUND(FI$5*FP58/FP$6,0)</f>
        <v>94545</v>
      </c>
      <c r="FJ58" s="1248">
        <f>ROUND(FJ$5*FN58/FN$6,0)</f>
        <v>118671</v>
      </c>
      <c r="FK58" s="1336">
        <f>ROUND(FK$5*FP58/FP$6,0)</f>
        <v>-212</v>
      </c>
      <c r="FL58" s="1336">
        <f t="shared" si="901"/>
        <v>10620</v>
      </c>
      <c r="FM58" s="1398">
        <f t="shared" si="853"/>
        <v>-2467</v>
      </c>
      <c r="FN58" s="1748">
        <f>'23R4'!K56</f>
        <v>127904</v>
      </c>
      <c r="FO58" s="1332">
        <f>'23R4'!E56</f>
        <v>23262</v>
      </c>
      <c r="FP58" s="1690">
        <f>'23R4'!C56</f>
        <v>116519</v>
      </c>
      <c r="FQ58" s="1310"/>
      <c r="FR58" s="1392">
        <f t="shared" si="303"/>
        <v>42870</v>
      </c>
      <c r="FS58" s="1310">
        <f>FT58-FU58</f>
        <v>45337</v>
      </c>
      <c r="FT58" s="868">
        <f>ROUND(FT$5*GA58/GA$6,0)</f>
        <v>152935</v>
      </c>
      <c r="FU58" s="1248">
        <f>ROUND(FU$5*FY58/FY$6,0)</f>
        <v>107598</v>
      </c>
      <c r="FV58" s="1336">
        <f>ROUND(FV$5*GA58/GA$6,0)</f>
        <v>-337</v>
      </c>
      <c r="FW58" s="1336">
        <f t="shared" si="902"/>
        <v>10513</v>
      </c>
      <c r="FX58" s="1398">
        <f t="shared" si="335"/>
        <v>-2467</v>
      </c>
      <c r="FY58" s="1332">
        <f>'24R5'!K56</f>
        <v>117812</v>
      </c>
      <c r="FZ58" s="1332">
        <f>'24R5'!E56</f>
        <v>23020</v>
      </c>
      <c r="GA58" s="1319">
        <v>159134</v>
      </c>
      <c r="GB58" s="1392">
        <f t="shared" si="305"/>
        <v>20634</v>
      </c>
      <c r="GC58" s="1310">
        <f>GD58-GE58</f>
        <v>23101</v>
      </c>
      <c r="GD58" s="868">
        <f>ROUND(GD$5*GK58/GK$6,0)</f>
        <v>163470</v>
      </c>
      <c r="GE58" s="1248">
        <f>ROUND(GE$5*GI58/GI$6,0)</f>
        <v>140369</v>
      </c>
      <c r="GF58" s="1336">
        <f>ROUND(GF$5*GK58/GK$6,0)</f>
        <v>-352</v>
      </c>
      <c r="GG58" s="1336">
        <f t="shared" si="903"/>
        <v>5438</v>
      </c>
      <c r="GH58" s="1398">
        <f t="shared" si="338"/>
        <v>-2467</v>
      </c>
      <c r="GI58" s="1332">
        <f>'25R6'!K56</f>
        <v>151464</v>
      </c>
      <c r="GJ58" s="1332">
        <f>'25R6'!E56</f>
        <v>24267</v>
      </c>
      <c r="GK58" s="1319">
        <v>159134</v>
      </c>
      <c r="GL58" s="1392">
        <f t="shared" si="307"/>
        <v>3433</v>
      </c>
      <c r="GM58" s="1310">
        <f>GN58-GO58</f>
        <v>5900</v>
      </c>
      <c r="GN58" s="868">
        <f>ROUND(GN$5*GU58/GU$6,0)</f>
        <v>149555</v>
      </c>
      <c r="GO58" s="1248">
        <f>ROUND(GO$5*GS58/GS$6,0)</f>
        <v>143655</v>
      </c>
      <c r="GP58" s="1336">
        <f>ROUND(GP$5*GU58/GU$6,0)</f>
        <v>-323</v>
      </c>
      <c r="GQ58" s="1336">
        <f t="shared" si="904"/>
        <v>5423</v>
      </c>
      <c r="GR58" s="1406">
        <f t="shared" si="341"/>
        <v>-2467</v>
      </c>
      <c r="GS58" s="1748">
        <f>'26R7'!K56</f>
        <v>156112</v>
      </c>
      <c r="GT58" s="1332">
        <f>'26R7'!E56</f>
        <v>25278</v>
      </c>
      <c r="GU58" s="1398">
        <v>156112</v>
      </c>
      <c r="GV58" s="1392">
        <f t="shared" si="309"/>
        <v>1109</v>
      </c>
      <c r="GW58" s="1310">
        <f>GX58-GY58</f>
        <v>3576</v>
      </c>
      <c r="GX58" s="868">
        <f>ROUND(GX$5*HE58/HE$6,0)</f>
        <v>149100</v>
      </c>
      <c r="GY58" s="1248">
        <f>ROUND(GY$5*HC58/HC$6,0)</f>
        <v>145524</v>
      </c>
      <c r="GZ58" s="1336">
        <f>ROUND(GZ$5*HE58/HE$6,0)</f>
        <v>-322</v>
      </c>
      <c r="HA58" s="1336">
        <f t="shared" si="905"/>
        <v>7397</v>
      </c>
      <c r="HB58" s="1406">
        <f t="shared" si="344"/>
        <v>-2467</v>
      </c>
      <c r="HC58" s="1748">
        <f>'27R8'!U56</f>
        <v>147406</v>
      </c>
      <c r="HD58" s="1690">
        <f>'27R8'!O56</f>
        <v>-7641</v>
      </c>
      <c r="HE58" s="1398">
        <v>154910</v>
      </c>
      <c r="HF58" s="1392">
        <f t="shared" si="311"/>
        <v>-2493</v>
      </c>
      <c r="HG58" s="1310">
        <f>HH58-HI58</f>
        <v>-26</v>
      </c>
      <c r="HH58" s="868">
        <f>ROUND(HH$5*HO58/HO$6,0)</f>
        <v>148993</v>
      </c>
      <c r="HI58" s="1248">
        <f>ROUND(HI$5*HM58/HM$6,0)</f>
        <v>149019</v>
      </c>
      <c r="HJ58" s="1336">
        <f>ROUND(HJ$5*HO58/HO$6,0)</f>
        <v>-322</v>
      </c>
      <c r="HK58" s="1336">
        <f t="shared" si="906"/>
        <v>7397</v>
      </c>
      <c r="HL58" s="1406">
        <f t="shared" si="347"/>
        <v>-2467</v>
      </c>
      <c r="HM58" s="1748">
        <f>'28R9'!U56</f>
        <v>147406</v>
      </c>
      <c r="HN58" s="1332">
        <f>'28R9'!O56</f>
        <v>-7641</v>
      </c>
      <c r="HO58" s="1398">
        <v>153152</v>
      </c>
      <c r="HQ58" s="1310">
        <f>市町名目!J57</f>
        <v>139968</v>
      </c>
      <c r="HR58" s="1310">
        <f>市町名目!K57</f>
        <v>167290</v>
      </c>
      <c r="HS58" s="1310">
        <f>市町名目!L57</f>
        <v>126362</v>
      </c>
      <c r="HT58" s="1310">
        <f>市町名目!M57</f>
        <v>116519</v>
      </c>
      <c r="HU58" s="1310">
        <f>市町名目!N57</f>
        <v>118729</v>
      </c>
      <c r="HV58" s="1054">
        <v>178778</v>
      </c>
      <c r="HW58" s="1030">
        <v>178355</v>
      </c>
      <c r="HX58" s="1030">
        <v>154910</v>
      </c>
      <c r="HY58" s="1030">
        <v>153152</v>
      </c>
    </row>
    <row r="59" spans="1:233" ht="12.5">
      <c r="A59" s="1334">
        <v>585</v>
      </c>
      <c r="B59" s="1335" t="s">
        <v>220</v>
      </c>
      <c r="C59" s="1316">
        <f>+L59-J59</f>
        <v>-5480</v>
      </c>
      <c r="D59" s="1248">
        <f>C59-I59</f>
        <v>-6084</v>
      </c>
      <c r="E59" s="850">
        <f>ROUND(E$5*L59/L$6,0)</f>
        <v>51944</v>
      </c>
      <c r="F59" s="1248">
        <f>ROUND(F$5*J59/J$6,0)</f>
        <v>56753</v>
      </c>
      <c r="G59" s="830">
        <f>ROUND(G$5*L59/L$6,0)</f>
        <v>-83</v>
      </c>
      <c r="H59" s="830">
        <f t="shared" si="884"/>
        <v>7044</v>
      </c>
      <c r="I59" s="1317">
        <f t="shared" si="884"/>
        <v>604</v>
      </c>
      <c r="J59" s="1318">
        <f>'7H18'!K57</f>
        <v>66507</v>
      </c>
      <c r="K59" s="1248">
        <f>+'7H18'!E57</f>
        <v>10832</v>
      </c>
      <c r="L59" s="1317">
        <f>'7H18'!C57</f>
        <v>61027</v>
      </c>
      <c r="M59" s="1316">
        <f>+V59-T59</f>
        <v>-7585</v>
      </c>
      <c r="N59" s="1248">
        <f>M59-S59</f>
        <v>-8557</v>
      </c>
      <c r="O59" s="850">
        <f>ROUND(O$5*V59/V$6,0)</f>
        <v>53640</v>
      </c>
      <c r="P59" s="1248">
        <f>ROUND(P$5*T59/T$6,0)</f>
        <v>58857</v>
      </c>
      <c r="Q59" s="830">
        <f>ROUND(Q$5*V59/V$6,0)</f>
        <v>-129</v>
      </c>
      <c r="R59" s="830">
        <f t="shared" si="885"/>
        <v>6757</v>
      </c>
      <c r="S59" s="1317">
        <f t="shared" si="885"/>
        <v>972</v>
      </c>
      <c r="T59" s="1318">
        <f>+'8H19'!K57</f>
        <v>66208</v>
      </c>
      <c r="U59" s="1248">
        <f>+'8H19'!E57</f>
        <v>10478</v>
      </c>
      <c r="V59" s="1317">
        <f>'8H19'!C57</f>
        <v>58623</v>
      </c>
      <c r="W59" s="1316">
        <f>+AF59-AD59</f>
        <v>-7341</v>
      </c>
      <c r="X59" s="1248">
        <f>W59-AC59</f>
        <v>-8150</v>
      </c>
      <c r="Y59" s="850">
        <f>ROUND(Y$5*AF59/AF$6,0)</f>
        <v>48331</v>
      </c>
      <c r="Z59" s="1248">
        <f>ROUND(Z$5*AD59/AD$6,0)</f>
        <v>57365</v>
      </c>
      <c r="AA59" s="830">
        <f>ROUND(AA$5*AF59/AF$6,0)</f>
        <v>-311</v>
      </c>
      <c r="AB59" s="830">
        <f t="shared" si="886"/>
        <v>6609</v>
      </c>
      <c r="AC59" s="1317">
        <f t="shared" si="886"/>
        <v>809</v>
      </c>
      <c r="AD59" s="1318">
        <f>+'9H20'!K57</f>
        <v>65012</v>
      </c>
      <c r="AE59" s="1248">
        <f>+'9H20'!E57</f>
        <v>11069</v>
      </c>
      <c r="AF59" s="1317">
        <f>'9H20'!C57</f>
        <v>57671</v>
      </c>
      <c r="AG59" s="1316">
        <f>+AP59-AN59</f>
        <v>-2485</v>
      </c>
      <c r="AH59" s="1248">
        <f>AG59-AM59</f>
        <v>-1834</v>
      </c>
      <c r="AI59" s="850">
        <f>ROUND(AI$5*AP59/AP$6,0)</f>
        <v>43652</v>
      </c>
      <c r="AJ59" s="1248">
        <f>ROUND(AJ$5*AN59/AN$6,0)</f>
        <v>51189</v>
      </c>
      <c r="AK59" s="830">
        <f>ROUND(AK$5*AP59/AP$6,0)</f>
        <v>41</v>
      </c>
      <c r="AL59" s="830">
        <f t="shared" si="887"/>
        <v>6460</v>
      </c>
      <c r="AM59" s="1317">
        <f t="shared" si="887"/>
        <v>-651</v>
      </c>
      <c r="AN59" s="1318">
        <f>+'10H21'!K57</f>
        <v>62342</v>
      </c>
      <c r="AO59" s="1248">
        <f>+'10H21'!E57</f>
        <v>11546</v>
      </c>
      <c r="AP59" s="1317">
        <f>'10H21'!C57</f>
        <v>59857</v>
      </c>
      <c r="AQ59" s="1316">
        <f>+AZ59-AX59</f>
        <v>-4390</v>
      </c>
      <c r="AR59" s="1248">
        <f>AQ59-AW59</f>
        <v>-5036</v>
      </c>
      <c r="AS59" s="850">
        <f>ROUND(AS$5*AZ59/AZ$6,0)</f>
        <v>42839</v>
      </c>
      <c r="AT59" s="1248">
        <f>ROUND(AT$5*AX59/AX$6,0)</f>
        <v>51577</v>
      </c>
      <c r="AU59" s="830">
        <f>ROUND(AU$5*AZ59/AZ$6,0)</f>
        <v>-314</v>
      </c>
      <c r="AV59" s="830">
        <f t="shared" si="888"/>
        <v>7351</v>
      </c>
      <c r="AW59" s="1317">
        <f t="shared" si="888"/>
        <v>646</v>
      </c>
      <c r="AX59" s="1318">
        <f>+'11H22'!K57</f>
        <v>61355</v>
      </c>
      <c r="AY59" s="1248">
        <f>+'11H22'!E57</f>
        <v>12465</v>
      </c>
      <c r="AZ59" s="1317">
        <f>'11H22'!C57</f>
        <v>56965</v>
      </c>
      <c r="BA59" s="1316">
        <f>+BJ59-BH59</f>
        <v>-13398</v>
      </c>
      <c r="BB59" s="1248">
        <f>BA59-BG59</f>
        <v>-13906</v>
      </c>
      <c r="BC59" s="850">
        <f>ROUND(BC$5*BJ59/BJ$6,0)</f>
        <v>40702</v>
      </c>
      <c r="BD59" s="1248">
        <f>ROUND(BD$5*BH59/BH$6,0)</f>
        <v>55524</v>
      </c>
      <c r="BE59" s="830">
        <f>ROUND(BE$5*BJ59/BJ$6,0)</f>
        <v>-204</v>
      </c>
      <c r="BF59" s="830">
        <f t="shared" si="889"/>
        <v>7559</v>
      </c>
      <c r="BG59" s="1317">
        <f t="shared" si="889"/>
        <v>508</v>
      </c>
      <c r="BH59" s="1318">
        <f>+'12H23'!K57</f>
        <v>64718</v>
      </c>
      <c r="BI59" s="1248">
        <f>+'12H23'!E57</f>
        <v>13263</v>
      </c>
      <c r="BJ59" s="1317">
        <f>'12H23'!C57</f>
        <v>51320</v>
      </c>
      <c r="BK59" s="1316">
        <f>+BT59-BR59</f>
        <v>-14525</v>
      </c>
      <c r="BL59" s="1248">
        <f>BK59-BQ59</f>
        <v>-15396</v>
      </c>
      <c r="BM59" s="850">
        <f>ROUND(BM$5*BT59/BT$6,0)</f>
        <v>40927</v>
      </c>
      <c r="BN59" s="1248">
        <f>ROUND(BN$5*BR59/BR$6,0)</f>
        <v>57414</v>
      </c>
      <c r="BO59" s="830">
        <f>ROUND(BO$5*BT59/BT$6,0)</f>
        <v>-170</v>
      </c>
      <c r="BP59" s="830">
        <f t="shared" si="890"/>
        <v>7310</v>
      </c>
      <c r="BQ59" s="1317">
        <f t="shared" si="890"/>
        <v>871</v>
      </c>
      <c r="BR59" s="1318">
        <f>+'13H24'!K57</f>
        <v>67058</v>
      </c>
      <c r="BS59" s="1248">
        <f>+'13H24'!E57</f>
        <v>13354</v>
      </c>
      <c r="BT59" s="1317">
        <f>'13H24'!C57</f>
        <v>52533</v>
      </c>
      <c r="BU59" s="1316">
        <f>+CD59-CB59</f>
        <v>-12642</v>
      </c>
      <c r="BV59" s="1248">
        <f>BU59-CA59</f>
        <v>-13419</v>
      </c>
      <c r="BW59" s="850">
        <f>ROUND(BW$5*CD59/CD$6,0)</f>
        <v>43205</v>
      </c>
      <c r="BX59" s="1248">
        <f>ROUND(BX$5*CB59/CB$6,0)</f>
        <v>58194</v>
      </c>
      <c r="BY59" s="830">
        <f>ROUND(BY$5*CD59/CD$6,0)</f>
        <v>-178</v>
      </c>
      <c r="BZ59" s="830">
        <f t="shared" si="891"/>
        <v>7321</v>
      </c>
      <c r="CA59" s="1317">
        <f t="shared" si="891"/>
        <v>777</v>
      </c>
      <c r="CB59" s="1318">
        <f>+'14H25'!K57</f>
        <v>68010</v>
      </c>
      <c r="CC59" s="1248">
        <f>+'14H25'!E57</f>
        <v>13914</v>
      </c>
      <c r="CD59" s="1317">
        <f>'14H25'!C57</f>
        <v>55368</v>
      </c>
      <c r="CE59" s="1316">
        <f>+CN59-CL59</f>
        <v>-11966</v>
      </c>
      <c r="CF59" s="1248">
        <f>CE59-CK59</f>
        <v>-11361</v>
      </c>
      <c r="CG59" s="850">
        <f>ROUND(CG$5*CN59/CN$6,0)</f>
        <v>44798</v>
      </c>
      <c r="CH59" s="1248">
        <f>ROUND(CH$5*CL59/CL$6,0)</f>
        <v>58097</v>
      </c>
      <c r="CI59" s="830">
        <f>ROUND(CI$5*CN59/CN$6,0)</f>
        <v>-195</v>
      </c>
      <c r="CJ59" s="830">
        <f t="shared" si="892"/>
        <v>7448</v>
      </c>
      <c r="CK59" s="1317">
        <f t="shared" si="892"/>
        <v>-605</v>
      </c>
      <c r="CL59" s="1318">
        <f>+'15H26'!K57</f>
        <v>67589</v>
      </c>
      <c r="CM59" s="1248">
        <f>+'15H26'!E57</f>
        <v>14214</v>
      </c>
      <c r="CN59" s="1317">
        <f>'15H26'!C57</f>
        <v>55623</v>
      </c>
      <c r="CO59" s="1316">
        <f>+CX59-CV59</f>
        <v>-10693</v>
      </c>
      <c r="CP59" s="1248">
        <f>CO59-CU59</f>
        <v>-11322</v>
      </c>
      <c r="CQ59" s="850">
        <f>ROUND(CQ$5*CX59/CX$6,0)</f>
        <v>43001</v>
      </c>
      <c r="CR59" s="1248">
        <f>ROUND(CR$5*CV59/CV$6,0)</f>
        <v>54999</v>
      </c>
      <c r="CS59" s="830">
        <f>ROUND(CS$5*CX59/CX$6,0)</f>
        <v>-194</v>
      </c>
      <c r="CT59" s="830">
        <f t="shared" si="893"/>
        <v>7530</v>
      </c>
      <c r="CU59" s="1317">
        <f t="shared" si="893"/>
        <v>629</v>
      </c>
      <c r="CV59" s="1318">
        <f>+'16H27'!K57</f>
        <v>66158</v>
      </c>
      <c r="CW59" s="1248">
        <f>+'16H27'!E57</f>
        <v>14806</v>
      </c>
      <c r="CX59" s="1317">
        <f>'16H27'!C57</f>
        <v>55465</v>
      </c>
      <c r="CY59" s="1316">
        <f>+DH59-DF59</f>
        <v>-7529</v>
      </c>
      <c r="CZ59" s="1248">
        <f>CY59-DE59</f>
        <v>-7483</v>
      </c>
      <c r="DA59" s="850">
        <f>ROUND(DA$5*DH59/DH$6,0)</f>
        <v>41747</v>
      </c>
      <c r="DB59" s="1248">
        <f>ROUND(DB$5*DF59/DF$6,0)</f>
        <v>51252</v>
      </c>
      <c r="DC59" s="830">
        <f>ROUND(DC$5*DH59/DH$6,0)</f>
        <v>-176</v>
      </c>
      <c r="DD59" s="830">
        <f t="shared" si="894"/>
        <v>7721</v>
      </c>
      <c r="DE59" s="1317">
        <f t="shared" si="894"/>
        <v>-46</v>
      </c>
      <c r="DF59" s="1318">
        <f>+'17H28'!K57</f>
        <v>63376</v>
      </c>
      <c r="DG59" s="1248">
        <f>+'17H28'!E57</f>
        <v>15015</v>
      </c>
      <c r="DH59" s="1317">
        <f>'17H28'!C57</f>
        <v>55847</v>
      </c>
      <c r="DI59" s="1316">
        <f>+DR59-DP59</f>
        <v>-8146</v>
      </c>
      <c r="DJ59" s="1248">
        <f>DI59-DO59</f>
        <v>-6037</v>
      </c>
      <c r="DK59" s="850">
        <f>ROUND(DK$5*DR59/DR$6,0)</f>
        <v>45776</v>
      </c>
      <c r="DL59" s="1248">
        <f>ROUND(DL$5*DP59/DP$6,0)</f>
        <v>55463</v>
      </c>
      <c r="DM59" s="830">
        <f>ROUND(DM$5*DR59/DR$6,0)</f>
        <v>-146</v>
      </c>
      <c r="DN59" s="830">
        <f t="shared" si="895"/>
        <v>6752</v>
      </c>
      <c r="DO59" s="1317">
        <f t="shared" si="895"/>
        <v>-2109</v>
      </c>
      <c r="DP59" s="1318">
        <f>+'18H29'!K57</f>
        <v>66823</v>
      </c>
      <c r="DQ59" s="1248">
        <f>+'18H29'!E57</f>
        <v>14655</v>
      </c>
      <c r="DR59" s="1317">
        <f>+'18H29'!C57</f>
        <v>58677</v>
      </c>
      <c r="DS59" s="1316">
        <f>+EB59-DZ59</f>
        <v>-12276</v>
      </c>
      <c r="DT59" s="1248">
        <f>DS59-DY59</f>
        <v>-9215</v>
      </c>
      <c r="DU59" s="850">
        <f>ROUND(DU$5*EB59/EB$6,0)</f>
        <v>43997</v>
      </c>
      <c r="DV59" s="1248">
        <f>ROUND(DV$5*DZ59/DZ$6,0)</f>
        <v>57881</v>
      </c>
      <c r="DW59" s="830">
        <f>ROUND(DW$5*EB59/EB$6,0)</f>
        <v>-143</v>
      </c>
      <c r="DX59" s="830">
        <f t="shared" si="896"/>
        <v>6463</v>
      </c>
      <c r="DY59" s="1317">
        <f t="shared" si="896"/>
        <v>-3061</v>
      </c>
      <c r="DZ59" s="1318">
        <f>+'19H30'!K57</f>
        <v>67967</v>
      </c>
      <c r="EA59" s="1248">
        <f>+'19H30'!E57</f>
        <v>13729</v>
      </c>
      <c r="EB59" s="1317">
        <f>+'19H30'!C57</f>
        <v>55691</v>
      </c>
      <c r="EC59" s="1316">
        <f>+EL59-EJ59</f>
        <v>-10052</v>
      </c>
      <c r="ED59" s="1248">
        <f>EC59-EI59</f>
        <v>-5704</v>
      </c>
      <c r="EE59" s="850">
        <f>ROUND(EE$5*EL59/EL$6,0)</f>
        <v>43366</v>
      </c>
      <c r="EF59" s="1248">
        <f>ROUND(EF$5*EJ59/EJ$6,0)</f>
        <v>55335</v>
      </c>
      <c r="EG59" s="830">
        <f>ROUND(EG$5*EL59/EL$6,0)</f>
        <v>-135</v>
      </c>
      <c r="EH59" s="830">
        <f t="shared" si="897"/>
        <v>6621</v>
      </c>
      <c r="EI59" s="1317">
        <f t="shared" si="897"/>
        <v>-4348</v>
      </c>
      <c r="EJ59" s="1318">
        <f>+'20R1'!K57</f>
        <v>66063</v>
      </c>
      <c r="EK59" s="1248">
        <f>+'20R1'!E57</f>
        <v>14447</v>
      </c>
      <c r="EL59" s="1317">
        <f>+'20R1'!C57</f>
        <v>56011</v>
      </c>
      <c r="EM59" s="1316">
        <f>+EV59-ET59</f>
        <v>-10285</v>
      </c>
      <c r="EN59" s="1248">
        <f>EM59-ES59</f>
        <v>-9318</v>
      </c>
      <c r="EO59" s="850">
        <f>ROUND(EO$5*EV59/EV$6,0)</f>
        <v>37910</v>
      </c>
      <c r="EP59" s="1248">
        <f>ROUND(EP$5*ET59/ET$6,0)</f>
        <v>50605</v>
      </c>
      <c r="EQ59" s="1336">
        <f>ROUND(EQ$5*EV59/EV$6,0)</f>
        <v>-99</v>
      </c>
      <c r="ER59" s="1336">
        <f t="shared" si="898"/>
        <v>7265</v>
      </c>
      <c r="ES59" s="850">
        <f t="shared" si="899"/>
        <v>-967</v>
      </c>
      <c r="ET59" s="1331">
        <f>'21R2'!K57</f>
        <v>63073</v>
      </c>
      <c r="EU59" s="1248">
        <f>'21R2'!E57</f>
        <v>16032</v>
      </c>
      <c r="EV59" s="1317">
        <f>+'21R2'!C57</f>
        <v>52788</v>
      </c>
      <c r="EW59" s="1392">
        <f t="shared" si="851"/>
        <v>-15492</v>
      </c>
      <c r="EX59" s="1310">
        <f>EY59-EZ59</f>
        <v>-14474</v>
      </c>
      <c r="EY59" s="850">
        <f>ROUND(EY$5*FF59/FF$6,0)</f>
        <v>41035</v>
      </c>
      <c r="EZ59" s="1248">
        <f>ROUND(EZ$5*FD59/FD$6,0)</f>
        <v>55509</v>
      </c>
      <c r="FA59" s="1336">
        <f>ROUND(FA$5*FF59/FF$6,0)</f>
        <v>-54</v>
      </c>
      <c r="FB59" s="1336">
        <f t="shared" si="900"/>
        <v>6851</v>
      </c>
      <c r="FC59" s="1689">
        <f t="shared" si="363"/>
        <v>-1018</v>
      </c>
      <c r="FD59" s="1414">
        <f>'22R3'!K57</f>
        <v>64168</v>
      </c>
      <c r="FE59" s="1310">
        <f>'22R3'!E57</f>
        <v>15553</v>
      </c>
      <c r="FF59" s="1690">
        <f>'22R3'!C57</f>
        <v>52162</v>
      </c>
      <c r="FG59" s="1392">
        <f t="shared" si="852"/>
        <v>-19362</v>
      </c>
      <c r="FH59" s="1310">
        <f>FI59-FJ59</f>
        <v>-18344</v>
      </c>
      <c r="FI59" s="850">
        <f>ROUND(FI$5*FP59/FP$6,0)</f>
        <v>42941</v>
      </c>
      <c r="FJ59" s="1248">
        <f>ROUND(FJ$5*FN59/FN$6,0)</f>
        <v>61285</v>
      </c>
      <c r="FK59" s="1336">
        <f>ROUND(FK$5*FP59/FP$6,0)</f>
        <v>-96</v>
      </c>
      <c r="FL59" s="1336">
        <f t="shared" si="901"/>
        <v>6931</v>
      </c>
      <c r="FM59" s="1398">
        <f t="shared" si="853"/>
        <v>-1018</v>
      </c>
      <c r="FN59" s="1748">
        <f>'23R4'!K57</f>
        <v>66053</v>
      </c>
      <c r="FO59" s="1332">
        <f>'23R4'!E57</f>
        <v>15181</v>
      </c>
      <c r="FP59" s="1690">
        <f>'23R4'!C57</f>
        <v>52921</v>
      </c>
      <c r="FQ59" s="1310"/>
      <c r="FR59" s="1392">
        <f t="shared" si="303"/>
        <v>8402</v>
      </c>
      <c r="FS59" s="1310">
        <f>FT59-FU59</f>
        <v>9420</v>
      </c>
      <c r="FT59" s="868">
        <f>ROUND(FT$5*GA59/GA$6,0)</f>
        <v>67749</v>
      </c>
      <c r="FU59" s="1248">
        <f>ROUND(FU$5*FY59/FY$6,0)</f>
        <v>58329</v>
      </c>
      <c r="FV59" s="1336">
        <f>ROUND(FV$5*GA59/GA$6,0)</f>
        <v>-149</v>
      </c>
      <c r="FW59" s="1336">
        <f t="shared" si="902"/>
        <v>7309</v>
      </c>
      <c r="FX59" s="1398">
        <f t="shared" si="335"/>
        <v>-1018</v>
      </c>
      <c r="FY59" s="1332">
        <f>'24R5'!K57</f>
        <v>63866</v>
      </c>
      <c r="FZ59" s="1332">
        <f>'24R5'!E57</f>
        <v>16003</v>
      </c>
      <c r="GA59" s="1319">
        <v>70495</v>
      </c>
      <c r="GB59" s="1392">
        <f t="shared" si="305"/>
        <v>5965</v>
      </c>
      <c r="GC59" s="1310">
        <f>GD59-GE59</f>
        <v>6983</v>
      </c>
      <c r="GD59" s="868">
        <f>ROUND(GD$5*GK59/GK$6,0)</f>
        <v>72416</v>
      </c>
      <c r="GE59" s="1248">
        <f>ROUND(GE$5*GI59/GI$6,0)</f>
        <v>65433</v>
      </c>
      <c r="GF59" s="1336">
        <f>ROUND(GF$5*GK59/GK$6,0)</f>
        <v>-156</v>
      </c>
      <c r="GG59" s="1336">
        <f t="shared" si="903"/>
        <v>3961</v>
      </c>
      <c r="GH59" s="1398">
        <f t="shared" si="338"/>
        <v>-1018</v>
      </c>
      <c r="GI59" s="1332">
        <f>'25R6'!K57</f>
        <v>70605</v>
      </c>
      <c r="GJ59" s="1332">
        <f>'25R6'!E57</f>
        <v>17678</v>
      </c>
      <c r="GK59" s="1319">
        <v>70495</v>
      </c>
      <c r="GL59" s="1392">
        <f t="shared" si="307"/>
        <v>1720</v>
      </c>
      <c r="GM59" s="1310">
        <f>GN59-GO59</f>
        <v>2738</v>
      </c>
      <c r="GN59" s="868">
        <f>ROUND(GN$5*GU59/GU$6,0)</f>
        <v>69404</v>
      </c>
      <c r="GO59" s="1248">
        <f>ROUND(GO$5*GS59/GS$6,0)</f>
        <v>66666</v>
      </c>
      <c r="GP59" s="1336">
        <f>ROUND(GP$5*GU59/GU$6,0)</f>
        <v>-150</v>
      </c>
      <c r="GQ59" s="1336">
        <f t="shared" si="904"/>
        <v>3754</v>
      </c>
      <c r="GR59" s="1406">
        <f t="shared" si="341"/>
        <v>-1018</v>
      </c>
      <c r="GS59" s="1748">
        <f>'26R7'!K57</f>
        <v>72447</v>
      </c>
      <c r="GT59" s="1332">
        <f>'26R7'!E57</f>
        <v>17498</v>
      </c>
      <c r="GU59" s="1398">
        <v>72447</v>
      </c>
      <c r="GV59" s="1392">
        <f t="shared" si="309"/>
        <v>-5505</v>
      </c>
      <c r="GW59" s="1310">
        <f>GX59-GY59</f>
        <v>-4487</v>
      </c>
      <c r="GX59" s="868">
        <f>ROUND(GX$5*HE59/HE$6,0)</f>
        <v>67756</v>
      </c>
      <c r="GY59" s="1248">
        <f>ROUND(GY$5*HC59/HC$6,0)</f>
        <v>72243</v>
      </c>
      <c r="GZ59" s="1336">
        <f>ROUND(GZ$5*HE59/HE$6,0)</f>
        <v>-146</v>
      </c>
      <c r="HA59" s="1336">
        <f t="shared" si="905"/>
        <v>6860</v>
      </c>
      <c r="HB59" s="1406">
        <f t="shared" si="344"/>
        <v>-1018</v>
      </c>
      <c r="HC59" s="1748">
        <f>'27R8'!U57</f>
        <v>73177</v>
      </c>
      <c r="HD59" s="1690">
        <f>'27R8'!O57</f>
        <v>-7087</v>
      </c>
      <c r="HE59" s="1398">
        <v>70396</v>
      </c>
      <c r="HF59" s="1392">
        <f t="shared" si="311"/>
        <v>-8781</v>
      </c>
      <c r="HG59" s="1310">
        <f>HH59-HI59</f>
        <v>-7763</v>
      </c>
      <c r="HH59" s="868">
        <f>ROUND(HH$5*HO59/HO$6,0)</f>
        <v>66215</v>
      </c>
      <c r="HI59" s="1248">
        <f>ROUND(HI$5*HM59/HM$6,0)</f>
        <v>73978</v>
      </c>
      <c r="HJ59" s="1336">
        <f>ROUND(HJ$5*HO59/HO$6,0)</f>
        <v>-143</v>
      </c>
      <c r="HK59" s="1336">
        <f t="shared" si="906"/>
        <v>6860</v>
      </c>
      <c r="HL59" s="1406">
        <f t="shared" si="347"/>
        <v>-1018</v>
      </c>
      <c r="HM59" s="1748">
        <f>'28R9'!U57</f>
        <v>73177</v>
      </c>
      <c r="HN59" s="1332">
        <f>'28R9'!O57</f>
        <v>-7087</v>
      </c>
      <c r="HO59" s="1398">
        <v>68063</v>
      </c>
      <c r="HQ59" s="1310">
        <f>市町名目!J58</f>
        <v>56011</v>
      </c>
      <c r="HR59" s="1310">
        <f>市町名目!K58</f>
        <v>52788</v>
      </c>
      <c r="HS59" s="1310">
        <f>市町名目!L58</f>
        <v>52162</v>
      </c>
      <c r="HT59" s="1310">
        <f>市町名目!M58</f>
        <v>52921</v>
      </c>
      <c r="HU59" s="1310">
        <f>市町名目!N58</f>
        <v>54653</v>
      </c>
      <c r="HV59" s="1054">
        <v>65843</v>
      </c>
      <c r="HW59" s="1030">
        <v>74869</v>
      </c>
      <c r="HX59" s="1030">
        <v>70396</v>
      </c>
      <c r="HY59" s="1030">
        <v>68063</v>
      </c>
    </row>
    <row r="60" spans="1:233" ht="12.5">
      <c r="A60" s="1334">
        <v>586</v>
      </c>
      <c r="B60" s="1335" t="s">
        <v>237</v>
      </c>
      <c r="C60" s="1316">
        <f>+L60-J60</f>
        <v>-11040</v>
      </c>
      <c r="D60" s="1248">
        <f>C60-I60</f>
        <v>-11488</v>
      </c>
      <c r="E60" s="850">
        <f>ROUND(E$5*L60/L$6,0)</f>
        <v>38544</v>
      </c>
      <c r="F60" s="1248">
        <f>ROUND(F$5*J60/J$6,0)</f>
        <v>48064</v>
      </c>
      <c r="G60" s="830">
        <f>ROUND(G$5*L60/L$6,0)</f>
        <v>-61</v>
      </c>
      <c r="H60" s="830">
        <f t="shared" si="884"/>
        <v>6041</v>
      </c>
      <c r="I60" s="1317">
        <f t="shared" si="884"/>
        <v>448</v>
      </c>
      <c r="J60" s="1318">
        <f>'7H18'!K58</f>
        <v>56324</v>
      </c>
      <c r="K60" s="1248">
        <f>+'7H18'!E58</f>
        <v>9290</v>
      </c>
      <c r="L60" s="1317">
        <f>'7H18'!C58</f>
        <v>45284</v>
      </c>
      <c r="M60" s="1316">
        <f>+V60-T60</f>
        <v>-12562</v>
      </c>
      <c r="N60" s="1248">
        <f>M60-S60</f>
        <v>-13273</v>
      </c>
      <c r="O60" s="850">
        <f>ROUND(O$5*V60/V$6,0)</f>
        <v>39207</v>
      </c>
      <c r="P60" s="1248">
        <f>ROUND(P$5*T60/T$6,0)</f>
        <v>49259</v>
      </c>
      <c r="Q60" s="830">
        <f>ROUND(Q$5*V60/V$6,0)</f>
        <v>-94</v>
      </c>
      <c r="R60" s="830">
        <f t="shared" si="885"/>
        <v>6012</v>
      </c>
      <c r="S60" s="1317">
        <f t="shared" si="885"/>
        <v>711</v>
      </c>
      <c r="T60" s="1318">
        <f>+'8H19'!K58</f>
        <v>55411</v>
      </c>
      <c r="U60" s="1248">
        <f>+'8H19'!E58</f>
        <v>9323</v>
      </c>
      <c r="V60" s="1317">
        <f>'8H19'!C58</f>
        <v>42849</v>
      </c>
      <c r="W60" s="1316">
        <f>+AF60-AD60</f>
        <v>-11930</v>
      </c>
      <c r="X60" s="1248">
        <f>W60-AC60</f>
        <v>-12517</v>
      </c>
      <c r="Y60" s="850">
        <f>ROUND(Y$5*AF60/AF$6,0)</f>
        <v>35044</v>
      </c>
      <c r="Z60" s="1248">
        <f>ROUND(Z$5*AD60/AD$6,0)</f>
        <v>47425</v>
      </c>
      <c r="AA60" s="830">
        <f>ROUND(AA$5*AF60/AF$6,0)</f>
        <v>-226</v>
      </c>
      <c r="AB60" s="830">
        <f t="shared" si="886"/>
        <v>5810</v>
      </c>
      <c r="AC60" s="1317">
        <f t="shared" si="886"/>
        <v>587</v>
      </c>
      <c r="AD60" s="1318">
        <f>+'9H20'!K58</f>
        <v>53747</v>
      </c>
      <c r="AE60" s="1248">
        <f>+'9H20'!E58</f>
        <v>9730</v>
      </c>
      <c r="AF60" s="1317">
        <f>'9H20'!C58</f>
        <v>41817</v>
      </c>
      <c r="AG60" s="1316">
        <f>+AP60-AN60</f>
        <v>-10970</v>
      </c>
      <c r="AH60" s="1248">
        <f>AG60-AM60</f>
        <v>-10499</v>
      </c>
      <c r="AI60" s="850">
        <f>ROUND(AI$5*AP60/AP$6,0)</f>
        <v>31610</v>
      </c>
      <c r="AJ60" s="1248">
        <f>ROUND(AJ$5*AN60/AN$6,0)</f>
        <v>44597</v>
      </c>
      <c r="AK60" s="830">
        <f>ROUND(AK$5*AP60/AP$6,0)</f>
        <v>30</v>
      </c>
      <c r="AL60" s="830">
        <f t="shared" si="887"/>
        <v>5781</v>
      </c>
      <c r="AM60" s="1317">
        <f t="shared" si="887"/>
        <v>-471</v>
      </c>
      <c r="AN60" s="1318">
        <f>+'10H21'!K58</f>
        <v>54314</v>
      </c>
      <c r="AO60" s="1248">
        <f>+'10H21'!E58</f>
        <v>10333</v>
      </c>
      <c r="AP60" s="1317">
        <f>'10H21'!C58</f>
        <v>43344</v>
      </c>
      <c r="AQ60" s="1316">
        <f>+AZ60-AX60</f>
        <v>-10523</v>
      </c>
      <c r="AR60" s="1248">
        <f>AQ60-AW60</f>
        <v>-10993</v>
      </c>
      <c r="AS60" s="850">
        <f>ROUND(AS$5*AZ60/AZ$6,0)</f>
        <v>31197</v>
      </c>
      <c r="AT60" s="1248">
        <f>ROUND(AT$5*AX60/AX$6,0)</f>
        <v>43719</v>
      </c>
      <c r="AU60" s="830">
        <f>ROUND(AU$5*AZ60/AZ$6,0)</f>
        <v>-229</v>
      </c>
      <c r="AV60" s="830">
        <f t="shared" si="888"/>
        <v>6188</v>
      </c>
      <c r="AW60" s="1317">
        <f t="shared" si="888"/>
        <v>470</v>
      </c>
      <c r="AX60" s="1318">
        <f>+'11H22'!K58</f>
        <v>52007</v>
      </c>
      <c r="AY60" s="1248">
        <f>+'11H22'!E58</f>
        <v>10493</v>
      </c>
      <c r="AZ60" s="1317">
        <f>'11H22'!C58</f>
        <v>41484</v>
      </c>
      <c r="BA60" s="1316">
        <f>+BJ60-BH60</f>
        <v>-16519</v>
      </c>
      <c r="BB60" s="1248">
        <f>BA60-BG60</f>
        <v>-16891</v>
      </c>
      <c r="BC60" s="850">
        <f>ROUND(BC$5*BJ60/BJ$6,0)</f>
        <v>29781</v>
      </c>
      <c r="BD60" s="1248">
        <f>ROUND(BD$5*BH60/BH$6,0)</f>
        <v>46388</v>
      </c>
      <c r="BE60" s="830">
        <f>ROUND(BE$5*BJ60/BJ$6,0)</f>
        <v>-149</v>
      </c>
      <c r="BF60" s="830">
        <f t="shared" si="889"/>
        <v>6389</v>
      </c>
      <c r="BG60" s="1317">
        <f t="shared" si="889"/>
        <v>372</v>
      </c>
      <c r="BH60" s="1318">
        <f>+'12H23'!K58</f>
        <v>54069</v>
      </c>
      <c r="BI60" s="1248">
        <f>+'12H23'!E58</f>
        <v>11210</v>
      </c>
      <c r="BJ60" s="1317">
        <f>'12H23'!C58</f>
        <v>37550</v>
      </c>
      <c r="BK60" s="1316">
        <f>+BT60-BR60</f>
        <v>-16585</v>
      </c>
      <c r="BL60" s="1248">
        <f>BK60-BQ60</f>
        <v>-17207</v>
      </c>
      <c r="BM60" s="850">
        <f>ROUND(BM$5*BT60/BT$6,0)</f>
        <v>29232</v>
      </c>
      <c r="BN60" s="1248">
        <f>ROUND(BN$5*BR60/BR$6,0)</f>
        <v>46326</v>
      </c>
      <c r="BO60" s="830">
        <f>ROUND(BO$5*BT60/BT$6,0)</f>
        <v>-122</v>
      </c>
      <c r="BP60" s="830">
        <f t="shared" si="890"/>
        <v>6121</v>
      </c>
      <c r="BQ60" s="1317">
        <f t="shared" si="890"/>
        <v>622</v>
      </c>
      <c r="BR60" s="1318">
        <f>+'13H24'!K58</f>
        <v>54107</v>
      </c>
      <c r="BS60" s="1248">
        <f>+'13H24'!E58</f>
        <v>11182</v>
      </c>
      <c r="BT60" s="1317">
        <f>'13H24'!C58</f>
        <v>37522</v>
      </c>
      <c r="BU60" s="1316">
        <f>+CD60-CB60</f>
        <v>-14313</v>
      </c>
      <c r="BV60" s="1248">
        <f>BU60-CA60</f>
        <v>-14907</v>
      </c>
      <c r="BW60" s="850">
        <f>ROUND(BW$5*CD60/CD$6,0)</f>
        <v>33043</v>
      </c>
      <c r="BX60" s="1248">
        <f>ROUND(BX$5*CB60/CB$6,0)</f>
        <v>48481</v>
      </c>
      <c r="BY60" s="830">
        <f>ROUND(BY$5*CD60/CD$6,0)</f>
        <v>-136</v>
      </c>
      <c r="BZ60" s="830">
        <f t="shared" si="891"/>
        <v>6021</v>
      </c>
      <c r="CA60" s="1317">
        <f t="shared" si="891"/>
        <v>594</v>
      </c>
      <c r="CB60" s="1318">
        <f>+'14H25'!K58</f>
        <v>56658</v>
      </c>
      <c r="CC60" s="1248">
        <f>+'14H25'!E58</f>
        <v>11443</v>
      </c>
      <c r="CD60" s="1317">
        <f>'14H25'!C58</f>
        <v>42345</v>
      </c>
      <c r="CE60" s="1316">
        <f>+CN60-CL60</f>
        <v>-10249</v>
      </c>
      <c r="CF60" s="1248">
        <f>CE60-CK60</f>
        <v>-9775</v>
      </c>
      <c r="CG60" s="850">
        <f>ROUND(CG$5*CN60/CN$6,0)</f>
        <v>35107</v>
      </c>
      <c r="CH60" s="1248">
        <f>ROUND(CH$5*CL60/CL$6,0)</f>
        <v>46278</v>
      </c>
      <c r="CI60" s="830">
        <f>ROUND(CI$5*CN60/CN$6,0)</f>
        <v>-153</v>
      </c>
      <c r="CJ60" s="830">
        <f t="shared" si="892"/>
        <v>6102</v>
      </c>
      <c r="CK60" s="1317">
        <f t="shared" si="892"/>
        <v>-474</v>
      </c>
      <c r="CL60" s="1318">
        <f>+'15H26'!K58</f>
        <v>53839</v>
      </c>
      <c r="CM60" s="1248">
        <f>+'15H26'!E58</f>
        <v>11645</v>
      </c>
      <c r="CN60" s="1317">
        <f>'15H26'!C58</f>
        <v>43590</v>
      </c>
      <c r="CO60" s="1316">
        <f>+CX60-CV60</f>
        <v>-2927</v>
      </c>
      <c r="CP60" s="1248">
        <f>CO60-CU60</f>
        <v>-3508</v>
      </c>
      <c r="CQ60" s="850">
        <f>ROUND(CQ$5*CX60/CX$6,0)</f>
        <v>39704</v>
      </c>
      <c r="CR60" s="1248">
        <f>ROUND(CR$5*CV60/CV$6,0)</f>
        <v>45008</v>
      </c>
      <c r="CS60" s="830">
        <f>ROUND(CS$5*CX60/CX$6,0)</f>
        <v>-179</v>
      </c>
      <c r="CT60" s="830">
        <f t="shared" si="893"/>
        <v>6117</v>
      </c>
      <c r="CU60" s="1317">
        <f t="shared" si="893"/>
        <v>581</v>
      </c>
      <c r="CV60" s="1318">
        <f>+'16H27'!K58</f>
        <v>54139</v>
      </c>
      <c r="CW60" s="1248">
        <f>+'16H27'!E58</f>
        <v>12028</v>
      </c>
      <c r="CX60" s="1317">
        <f>'16H27'!C58</f>
        <v>51212</v>
      </c>
      <c r="CY60" s="1316">
        <f>+DH60-DF60</f>
        <v>-7763</v>
      </c>
      <c r="CZ60" s="1248">
        <f>CY60-DE60</f>
        <v>-7727</v>
      </c>
      <c r="DA60" s="850">
        <f>ROUND(DA$5*DH60/DH$6,0)</f>
        <v>32699</v>
      </c>
      <c r="DB60" s="1248">
        <f>ROUND(DB$5*DF60/DF$6,0)</f>
        <v>41653</v>
      </c>
      <c r="DC60" s="830">
        <f>ROUND(DC$5*DH60/DH$6,0)</f>
        <v>-138</v>
      </c>
      <c r="DD60" s="830">
        <f t="shared" si="894"/>
        <v>6184</v>
      </c>
      <c r="DE60" s="1317">
        <f t="shared" si="894"/>
        <v>-36</v>
      </c>
      <c r="DF60" s="1318">
        <f>+'17H28'!K58</f>
        <v>51506</v>
      </c>
      <c r="DG60" s="1248">
        <f>+'17H28'!E58</f>
        <v>12027</v>
      </c>
      <c r="DH60" s="1317">
        <f>'17H28'!C58</f>
        <v>43743</v>
      </c>
      <c r="DI60" s="1316">
        <f>+DR60-DP60</f>
        <v>-6249</v>
      </c>
      <c r="DJ60" s="1248">
        <f>DI60-DO60</f>
        <v>-4552</v>
      </c>
      <c r="DK60" s="850">
        <f>ROUND(DK$5*DR60/DR$6,0)</f>
        <v>36837</v>
      </c>
      <c r="DL60" s="1248">
        <f>ROUND(DL$5*DP60/DP$6,0)</f>
        <v>44378</v>
      </c>
      <c r="DM60" s="830">
        <f>ROUND(DM$5*DR60/DR$6,0)</f>
        <v>-118</v>
      </c>
      <c r="DN60" s="830">
        <f t="shared" si="895"/>
        <v>5314</v>
      </c>
      <c r="DO60" s="1317">
        <f t="shared" si="895"/>
        <v>-1697</v>
      </c>
      <c r="DP60" s="1318">
        <f>+'18H29'!K58</f>
        <v>53467</v>
      </c>
      <c r="DQ60" s="1248">
        <f>+'18H29'!E58</f>
        <v>11533</v>
      </c>
      <c r="DR60" s="1317">
        <f>+'18H29'!C58</f>
        <v>47218</v>
      </c>
      <c r="DS60" s="1316">
        <f>+EB60-DZ60</f>
        <v>-4107</v>
      </c>
      <c r="DT60" s="1248">
        <f>DS60-DY60</f>
        <v>-1476</v>
      </c>
      <c r="DU60" s="850">
        <f>ROUND(DU$5*EB60/EB$6,0)</f>
        <v>37815</v>
      </c>
      <c r="DV60" s="1248">
        <f>ROUND(DV$5*DZ60/DZ$6,0)</f>
        <v>44260</v>
      </c>
      <c r="DW60" s="830">
        <f>ROUND(DW$5*EB60/EB$6,0)</f>
        <v>-123</v>
      </c>
      <c r="DX60" s="830">
        <f t="shared" si="896"/>
        <v>5187</v>
      </c>
      <c r="DY60" s="1317">
        <f t="shared" si="896"/>
        <v>-2631</v>
      </c>
      <c r="DZ60" s="1318">
        <f>+'19H30'!K58</f>
        <v>51973</v>
      </c>
      <c r="EA60" s="1248">
        <f>+'19H30'!E58</f>
        <v>11018</v>
      </c>
      <c r="EB60" s="1317">
        <f>+'19H30'!C58</f>
        <v>47866</v>
      </c>
      <c r="EC60" s="1316">
        <f>+EL60-EJ60</f>
        <v>-9588</v>
      </c>
      <c r="ED60" s="1248">
        <f>EC60-EI60</f>
        <v>-5900</v>
      </c>
      <c r="EE60" s="850">
        <f>ROUND(EE$5*EL60/EL$6,0)</f>
        <v>36784</v>
      </c>
      <c r="EF60" s="1248">
        <f>ROUND(EF$5*EJ60/EJ$6,0)</f>
        <v>47825</v>
      </c>
      <c r="EG60" s="830">
        <f>ROUND(EG$5*EL60/EL$6,0)</f>
        <v>-115</v>
      </c>
      <c r="EH60" s="830">
        <f t="shared" si="897"/>
        <v>5251</v>
      </c>
      <c r="EI60" s="1317">
        <f t="shared" si="897"/>
        <v>-3688</v>
      </c>
      <c r="EJ60" s="1318">
        <f>+'20R1'!K58</f>
        <v>57097</v>
      </c>
      <c r="EK60" s="1248">
        <f>+'20R1'!E58</f>
        <v>11459</v>
      </c>
      <c r="EL60" s="1317">
        <f>+'20R1'!C58</f>
        <v>47509</v>
      </c>
      <c r="EM60" s="1316">
        <f>+EV60-ET60</f>
        <v>-8758</v>
      </c>
      <c r="EN60" s="1248">
        <f>EM60-ES60</f>
        <v>-7944</v>
      </c>
      <c r="EO60" s="850">
        <f>ROUND(EO$5*EV60/EV$6,0)</f>
        <v>31943</v>
      </c>
      <c r="EP60" s="1248">
        <f>ROUND(EP$5*ET60/ET$6,0)</f>
        <v>42713</v>
      </c>
      <c r="EQ60" s="1336">
        <f>ROUND(EQ$5*EV60/EV$6,0)</f>
        <v>-84</v>
      </c>
      <c r="ER60" s="1336">
        <f t="shared" si="898"/>
        <v>5643</v>
      </c>
      <c r="ES60" s="850">
        <f t="shared" si="899"/>
        <v>-814</v>
      </c>
      <c r="ET60" s="1331">
        <f>'21R2'!K58</f>
        <v>53237</v>
      </c>
      <c r="EU60" s="1248">
        <f>'21R2'!E58</f>
        <v>12453</v>
      </c>
      <c r="EV60" s="1317">
        <f>+'21R2'!C58</f>
        <v>44479</v>
      </c>
      <c r="EW60" s="1392">
        <f t="shared" si="851"/>
        <v>-9873</v>
      </c>
      <c r="EX60" s="1310">
        <f>EY60-EZ60</f>
        <v>-9003</v>
      </c>
      <c r="EY60" s="850">
        <f>ROUND(EY$5*FF60/FF$6,0)</f>
        <v>35069</v>
      </c>
      <c r="EZ60" s="1248">
        <f>ROUND(EZ$5*FD60/FD$6,0)</f>
        <v>44072</v>
      </c>
      <c r="FA60" s="1336">
        <f>ROUND(FA$5*FF60/FF$6,0)</f>
        <v>-46</v>
      </c>
      <c r="FB60" s="1336">
        <f t="shared" si="900"/>
        <v>5724</v>
      </c>
      <c r="FC60" s="1689">
        <f t="shared" si="363"/>
        <v>-870</v>
      </c>
      <c r="FD60" s="1414">
        <f>'22R3'!K58</f>
        <v>50947</v>
      </c>
      <c r="FE60" s="1310">
        <f>'22R3'!E58</f>
        <v>12995</v>
      </c>
      <c r="FF60" s="1690">
        <f>'22R3'!C58</f>
        <v>44578</v>
      </c>
      <c r="FG60" s="1392">
        <f t="shared" si="852"/>
        <v>-16858</v>
      </c>
      <c r="FH60" s="1310">
        <f>FI60-FJ60</f>
        <v>-15988</v>
      </c>
      <c r="FI60" s="850">
        <f>ROUND(FI$5*FP60/FP$6,0)</f>
        <v>35439</v>
      </c>
      <c r="FJ60" s="1248">
        <f>ROUND(FJ$5*FN60/FN$6,0)</f>
        <v>51427</v>
      </c>
      <c r="FK60" s="1336">
        <f>ROUND(FK$5*FP60/FP$6,0)</f>
        <v>-79</v>
      </c>
      <c r="FL60" s="1336">
        <f t="shared" si="901"/>
        <v>6205</v>
      </c>
      <c r="FM60" s="1398">
        <f t="shared" si="853"/>
        <v>-870</v>
      </c>
      <c r="FN60" s="1748">
        <f>'23R4'!K58</f>
        <v>55428</v>
      </c>
      <c r="FO60" s="1332">
        <f>'23R4'!E58</f>
        <v>13591</v>
      </c>
      <c r="FP60" s="1690">
        <f>'23R4'!C58</f>
        <v>43676</v>
      </c>
      <c r="FQ60" s="1310"/>
      <c r="FR60" s="1392">
        <f t="shared" si="303"/>
        <v>2931</v>
      </c>
      <c r="FS60" s="1310">
        <f>FT60-FU60</f>
        <v>3801</v>
      </c>
      <c r="FT60" s="868">
        <f>ROUND(FT$5*GA60/GA$6,0)</f>
        <v>55630</v>
      </c>
      <c r="FU60" s="1248">
        <f>ROUND(FU$5*FY60/FY$6,0)</f>
        <v>51829</v>
      </c>
      <c r="FV60" s="1336">
        <f>ROUND(FV$5*GA60/GA$6,0)</f>
        <v>-123</v>
      </c>
      <c r="FW60" s="1336">
        <f t="shared" si="902"/>
        <v>6449</v>
      </c>
      <c r="FX60" s="1398">
        <f t="shared" si="335"/>
        <v>-870</v>
      </c>
      <c r="FY60" s="1332">
        <f>'24R5'!K58</f>
        <v>56749</v>
      </c>
      <c r="FZ60" s="1332">
        <f>'24R5'!E58</f>
        <v>14120</v>
      </c>
      <c r="GA60" s="1319">
        <v>57885</v>
      </c>
      <c r="GB60" s="1392">
        <f t="shared" si="305"/>
        <v>2653</v>
      </c>
      <c r="GC60" s="1310">
        <f>GD60-GE60</f>
        <v>3523</v>
      </c>
      <c r="GD60" s="868">
        <f>ROUND(GD$5*GK60/GK$6,0)</f>
        <v>59462</v>
      </c>
      <c r="GE60" s="1248">
        <f>ROUND(GE$5*GI60/GI$6,0)</f>
        <v>55939</v>
      </c>
      <c r="GF60" s="1336">
        <f>ROUND(GF$5*GK60/GK$6,0)</f>
        <v>-128</v>
      </c>
      <c r="GG60" s="1336">
        <f t="shared" si="903"/>
        <v>3468</v>
      </c>
      <c r="GH60" s="1398">
        <f t="shared" si="338"/>
        <v>-870</v>
      </c>
      <c r="GI60" s="1332">
        <f>'25R6'!K58</f>
        <v>60361</v>
      </c>
      <c r="GJ60" s="1332">
        <f>'25R6'!E58</f>
        <v>15477</v>
      </c>
      <c r="GK60" s="1319">
        <v>57885</v>
      </c>
      <c r="GL60" s="1392">
        <f t="shared" si="307"/>
        <v>1507</v>
      </c>
      <c r="GM60" s="1310">
        <f>GN60-GO60</f>
        <v>2377</v>
      </c>
      <c r="GN60" s="868">
        <f>ROUND(GN$5*GU60/GU$6,0)</f>
        <v>60240</v>
      </c>
      <c r="GO60" s="1248">
        <f>ROUND(GO$5*GS60/GS$6,0)</f>
        <v>57863</v>
      </c>
      <c r="GP60" s="1336">
        <f>ROUND(GP$5*GU60/GU$6,0)</f>
        <v>-130</v>
      </c>
      <c r="GQ60" s="1336">
        <f t="shared" si="904"/>
        <v>3318</v>
      </c>
      <c r="GR60" s="1406">
        <f t="shared" si="341"/>
        <v>-870</v>
      </c>
      <c r="GS60" s="1748">
        <f>'26R7'!K58</f>
        <v>62881</v>
      </c>
      <c r="GT60" s="1332">
        <f>'26R7'!E58</f>
        <v>15468</v>
      </c>
      <c r="GU60" s="1398">
        <v>62881</v>
      </c>
      <c r="GV60" s="1392">
        <f t="shared" si="309"/>
        <v>-981</v>
      </c>
      <c r="GW60" s="1310">
        <f>GX60-GY60</f>
        <v>-111</v>
      </c>
      <c r="GX60" s="868">
        <f>ROUND(GX$5*HE60/HE$6,0)</f>
        <v>59728</v>
      </c>
      <c r="GY60" s="1248">
        <f>ROUND(GY$5*HC60/HC$6,0)</f>
        <v>59839</v>
      </c>
      <c r="GZ60" s="1336">
        <f>ROUND(GZ$5*HE60/HE$6,0)</f>
        <v>-129</v>
      </c>
      <c r="HA60" s="1336">
        <f t="shared" si="905"/>
        <v>6292</v>
      </c>
      <c r="HB60" s="1406">
        <f t="shared" si="344"/>
        <v>-870</v>
      </c>
      <c r="HC60" s="1748">
        <f>'27R8'!U58</f>
        <v>60613</v>
      </c>
      <c r="HD60" s="1690">
        <f>'27R8'!O58</f>
        <v>-6500</v>
      </c>
      <c r="HE60" s="1398">
        <v>62055</v>
      </c>
      <c r="HF60" s="1392">
        <f t="shared" si="311"/>
        <v>-3271</v>
      </c>
      <c r="HG60" s="1310">
        <f>HH60-HI60</f>
        <v>-2401</v>
      </c>
      <c r="HH60" s="868">
        <f>ROUND(HH$5*HO60/HO$6,0)</f>
        <v>58875</v>
      </c>
      <c r="HI60" s="1248">
        <f>ROUND(HI$5*HM60/HM$6,0)</f>
        <v>61276</v>
      </c>
      <c r="HJ60" s="1336">
        <f>ROUND(HJ$5*HO60/HO$6,0)</f>
        <v>-127</v>
      </c>
      <c r="HK60" s="1336">
        <f t="shared" si="906"/>
        <v>6292</v>
      </c>
      <c r="HL60" s="1406">
        <f t="shared" si="347"/>
        <v>-870</v>
      </c>
      <c r="HM60" s="1748">
        <f>'28R9'!U58</f>
        <v>60613</v>
      </c>
      <c r="HN60" s="1332">
        <f>'28R9'!O58</f>
        <v>-6500</v>
      </c>
      <c r="HO60" s="1398">
        <v>60518</v>
      </c>
      <c r="HQ60" s="1310">
        <f>市町名目!J59</f>
        <v>47509</v>
      </c>
      <c r="HR60" s="1310">
        <f>市町名目!K59</f>
        <v>44479</v>
      </c>
      <c r="HS60" s="1310">
        <f>市町名目!L59</f>
        <v>44578</v>
      </c>
      <c r="HT60" s="1310">
        <f>市町名目!M59</f>
        <v>43676</v>
      </c>
      <c r="HU60" s="1310">
        <f>市町名目!N59</f>
        <v>46723</v>
      </c>
      <c r="HV60" s="1054">
        <v>53694</v>
      </c>
      <c r="HW60" s="1030">
        <v>62159</v>
      </c>
      <c r="HX60" s="1030">
        <v>62055</v>
      </c>
      <c r="HY60" s="1030">
        <v>60518</v>
      </c>
    </row>
    <row r="61" spans="1:233" ht="12.5">
      <c r="A61" s="1302"/>
      <c r="B61" s="1246" t="s">
        <v>211</v>
      </c>
      <c r="C61" s="856">
        <f>SUM(C62:C63)</f>
        <v>-1028</v>
      </c>
      <c r="D61" s="830">
        <f t="shared" ref="D61:I61" si="907">SUM(D62:D63)</f>
        <v>-4844</v>
      </c>
      <c r="E61" s="830">
        <f>SUM(E62:E63)</f>
        <v>328251</v>
      </c>
      <c r="F61" s="830">
        <f t="shared" si="907"/>
        <v>329968</v>
      </c>
      <c r="G61" s="830">
        <f t="shared" si="907"/>
        <v>-524</v>
      </c>
      <c r="H61" s="830">
        <f t="shared" si="907"/>
        <v>33097</v>
      </c>
      <c r="I61" s="1337">
        <f t="shared" si="907"/>
        <v>3816</v>
      </c>
      <c r="J61" s="1338">
        <f>SUM(J62:J63)</f>
        <v>386678</v>
      </c>
      <c r="K61" s="1248">
        <f>+'7H18'!E59</f>
        <v>50898</v>
      </c>
      <c r="L61" s="1337">
        <f t="shared" ref="L61:S61" si="908">SUM(L62:L63)</f>
        <v>385650</v>
      </c>
      <c r="M61" s="856">
        <f t="shared" si="908"/>
        <v>-2293</v>
      </c>
      <c r="N61" s="830">
        <f t="shared" si="908"/>
        <v>-8692</v>
      </c>
      <c r="O61" s="830">
        <f>SUM(O62:O63)</f>
        <v>353079</v>
      </c>
      <c r="P61" s="830">
        <f t="shared" si="908"/>
        <v>345076</v>
      </c>
      <c r="Q61" s="830">
        <f t="shared" si="908"/>
        <v>-846</v>
      </c>
      <c r="R61" s="830">
        <f t="shared" si="908"/>
        <v>33484</v>
      </c>
      <c r="S61" s="1337">
        <f t="shared" si="908"/>
        <v>6399</v>
      </c>
      <c r="T61" s="1338">
        <f>+'8H19'!K59</f>
        <v>388172</v>
      </c>
      <c r="U61" s="1248">
        <f>+'8H19'!E59</f>
        <v>51927</v>
      </c>
      <c r="V61" s="1337">
        <f t="shared" ref="V61:AC61" si="909">SUM(V62:V63)</f>
        <v>385879</v>
      </c>
      <c r="W61" s="856">
        <f t="shared" si="909"/>
        <v>-4683</v>
      </c>
      <c r="X61" s="830">
        <f t="shared" si="909"/>
        <v>-9922</v>
      </c>
      <c r="Y61" s="830">
        <f>SUM(Y62:Y63)</f>
        <v>312894</v>
      </c>
      <c r="Z61" s="830">
        <f t="shared" si="909"/>
        <v>333576</v>
      </c>
      <c r="AA61" s="830">
        <f t="shared" si="909"/>
        <v>-2014</v>
      </c>
      <c r="AB61" s="830">
        <f t="shared" si="909"/>
        <v>32087</v>
      </c>
      <c r="AC61" s="1337">
        <f t="shared" si="909"/>
        <v>5239</v>
      </c>
      <c r="AD61" s="1338">
        <f>+'9H20'!K59</f>
        <v>378046</v>
      </c>
      <c r="AE61" s="1248">
        <f>+'9H20'!E59</f>
        <v>53738</v>
      </c>
      <c r="AF61" s="1337">
        <f t="shared" ref="AF61:AM61" si="910">SUM(AF62:AF63)</f>
        <v>373363</v>
      </c>
      <c r="AG61" s="856">
        <f t="shared" si="910"/>
        <v>26845</v>
      </c>
      <c r="AH61" s="830">
        <f t="shared" si="910"/>
        <v>30990</v>
      </c>
      <c r="AI61" s="830">
        <f>SUM(AI62:AI63)</f>
        <v>277890</v>
      </c>
      <c r="AJ61" s="830">
        <f t="shared" si="910"/>
        <v>290835</v>
      </c>
      <c r="AK61" s="830">
        <f t="shared" si="910"/>
        <v>264</v>
      </c>
      <c r="AL61" s="830">
        <f t="shared" si="910"/>
        <v>31308</v>
      </c>
      <c r="AM61" s="1337">
        <f t="shared" si="910"/>
        <v>-4145</v>
      </c>
      <c r="AN61" s="1338">
        <f>+'10H21'!K59</f>
        <v>354205</v>
      </c>
      <c r="AO61" s="1248">
        <f>+'10H21'!E59</f>
        <v>55955</v>
      </c>
      <c r="AP61" s="1337">
        <f>'10H21'!C59</f>
        <v>381050</v>
      </c>
      <c r="AQ61" s="856">
        <f t="shared" ref="AQ61:AW61" si="911">SUM(AQ62:AQ63)</f>
        <v>32920</v>
      </c>
      <c r="AR61" s="830">
        <f t="shared" si="911"/>
        <v>28501</v>
      </c>
      <c r="AS61" s="830">
        <f>SUM(AS62:AS63)</f>
        <v>293017</v>
      </c>
      <c r="AT61" s="830">
        <f t="shared" si="911"/>
        <v>299872</v>
      </c>
      <c r="AU61" s="830">
        <f t="shared" si="911"/>
        <v>-2147</v>
      </c>
      <c r="AV61" s="830">
        <f t="shared" si="911"/>
        <v>32991</v>
      </c>
      <c r="AW61" s="1337">
        <f t="shared" si="911"/>
        <v>4419</v>
      </c>
      <c r="AX61" s="1338">
        <f>+'11H22'!K59</f>
        <v>356721</v>
      </c>
      <c r="AY61" s="1248">
        <f>+'11H22'!E59</f>
        <v>55940</v>
      </c>
      <c r="AZ61" s="1337">
        <f>'11H22'!C59</f>
        <v>389641</v>
      </c>
      <c r="BA61" s="856">
        <f t="shared" ref="BA61:BG61" si="912">SUM(BA62:BA63)</f>
        <v>-6962</v>
      </c>
      <c r="BB61" s="830">
        <f t="shared" si="912"/>
        <v>-10478</v>
      </c>
      <c r="BC61" s="830">
        <f>SUM(BC62:BC63)</f>
        <v>281803</v>
      </c>
      <c r="BD61" s="830">
        <f t="shared" si="912"/>
        <v>310817</v>
      </c>
      <c r="BE61" s="830">
        <f t="shared" si="912"/>
        <v>-1415</v>
      </c>
      <c r="BF61" s="830">
        <f t="shared" si="912"/>
        <v>33227</v>
      </c>
      <c r="BG61" s="1337">
        <f t="shared" si="912"/>
        <v>3516</v>
      </c>
      <c r="BH61" s="1338">
        <f>+'12H23'!K59</f>
        <v>362280</v>
      </c>
      <c r="BI61" s="1248">
        <f>+'12H23'!E59</f>
        <v>58301</v>
      </c>
      <c r="BJ61" s="1337">
        <f>'12H23'!C59</f>
        <v>355318</v>
      </c>
      <c r="BK61" s="856">
        <f t="shared" ref="BK61:BQ61" si="913">SUM(BK62:BK63)</f>
        <v>-79171</v>
      </c>
      <c r="BL61" s="830">
        <f t="shared" si="913"/>
        <v>-83906</v>
      </c>
      <c r="BM61" s="830">
        <f>SUM(BM62:BM63)</f>
        <v>222428</v>
      </c>
      <c r="BN61" s="830">
        <f t="shared" si="913"/>
        <v>312228</v>
      </c>
      <c r="BO61" s="830">
        <f t="shared" si="913"/>
        <v>-924</v>
      </c>
      <c r="BP61" s="830">
        <f t="shared" si="913"/>
        <v>31676</v>
      </c>
      <c r="BQ61" s="1337">
        <f t="shared" si="913"/>
        <v>4735</v>
      </c>
      <c r="BR61" s="1338">
        <f>+'13H24'!K59</f>
        <v>364673</v>
      </c>
      <c r="BS61" s="1248">
        <f>+'13H24'!E59</f>
        <v>57862</v>
      </c>
      <c r="BT61" s="1337">
        <f>'13H24'!C59</f>
        <v>285502</v>
      </c>
      <c r="BU61" s="856">
        <f t="shared" ref="BU61:CA61" si="914">SUM(BU62:BU63)</f>
        <v>22832</v>
      </c>
      <c r="BV61" s="830">
        <f t="shared" si="914"/>
        <v>17249</v>
      </c>
      <c r="BW61" s="830">
        <f>SUM(BW62:BW63)</f>
        <v>310446</v>
      </c>
      <c r="BX61" s="830">
        <f t="shared" si="914"/>
        <v>320889</v>
      </c>
      <c r="BY61" s="830">
        <f t="shared" si="914"/>
        <v>-1279</v>
      </c>
      <c r="BZ61" s="830">
        <f t="shared" si="914"/>
        <v>31480</v>
      </c>
      <c r="CA61" s="1337">
        <f t="shared" si="914"/>
        <v>5583</v>
      </c>
      <c r="CB61" s="1338">
        <f>+'14H25'!K59</f>
        <v>375013</v>
      </c>
      <c r="CC61" s="1248">
        <f>+'14H25'!E59</f>
        <v>59829</v>
      </c>
      <c r="CD61" s="1337">
        <f>'14H25'!C59</f>
        <v>397845</v>
      </c>
      <c r="CE61" s="856">
        <f t="shared" ref="CE61:CK61" si="915">SUM(CE62:CE63)</f>
        <v>-26993</v>
      </c>
      <c r="CF61" s="830">
        <f t="shared" si="915"/>
        <v>-22735</v>
      </c>
      <c r="CG61" s="830">
        <f>SUM(CG62:CG63)</f>
        <v>315302</v>
      </c>
      <c r="CH61" s="830">
        <f t="shared" si="915"/>
        <v>359713</v>
      </c>
      <c r="CI61" s="830">
        <f t="shared" si="915"/>
        <v>-1371</v>
      </c>
      <c r="CJ61" s="830">
        <f t="shared" si="915"/>
        <v>33160</v>
      </c>
      <c r="CK61" s="1337">
        <f t="shared" si="915"/>
        <v>-4258</v>
      </c>
      <c r="CL61" s="1338">
        <f>+'15H26'!K59</f>
        <v>418486</v>
      </c>
      <c r="CM61" s="1248">
        <f>+'15H26'!E59</f>
        <v>63283</v>
      </c>
      <c r="CN61" s="1337">
        <f>'15H26'!C59</f>
        <v>391493</v>
      </c>
      <c r="CO61" s="856">
        <f t="shared" ref="CO61:CU61" si="916">SUM(CO62:CO63)</f>
        <v>-8321</v>
      </c>
      <c r="CP61" s="830">
        <f t="shared" si="916"/>
        <v>-13065</v>
      </c>
      <c r="CQ61" s="830">
        <f>SUM(CQ62:CQ63)</f>
        <v>324369</v>
      </c>
      <c r="CR61" s="830">
        <f t="shared" si="916"/>
        <v>354737</v>
      </c>
      <c r="CS61" s="830">
        <f t="shared" si="916"/>
        <v>-1462</v>
      </c>
      <c r="CT61" s="830">
        <f t="shared" si="916"/>
        <v>33189</v>
      </c>
      <c r="CU61" s="1337">
        <f t="shared" si="916"/>
        <v>4744</v>
      </c>
      <c r="CV61" s="1338">
        <f>+'16H27'!K59</f>
        <v>426709</v>
      </c>
      <c r="CW61" s="1248">
        <f>+'16H27'!E59</f>
        <v>65260</v>
      </c>
      <c r="CX61" s="1337">
        <f>'16H27'!C59</f>
        <v>418388</v>
      </c>
      <c r="CY61" s="856">
        <f t="shared" ref="CY61:DE61" si="917">SUM(CY62:CY63)</f>
        <v>39238</v>
      </c>
      <c r="CZ61" s="830">
        <f t="shared" si="917"/>
        <v>39587</v>
      </c>
      <c r="DA61" s="830">
        <f>SUM(DA62:DA63)</f>
        <v>315894</v>
      </c>
      <c r="DB61" s="830">
        <f t="shared" si="917"/>
        <v>310014</v>
      </c>
      <c r="DC61" s="830">
        <f t="shared" si="917"/>
        <v>-1335</v>
      </c>
      <c r="DD61" s="830">
        <f t="shared" si="917"/>
        <v>33945</v>
      </c>
      <c r="DE61" s="1337">
        <f t="shared" si="917"/>
        <v>-349</v>
      </c>
      <c r="DF61" s="1338">
        <f>+'17H28'!K59</f>
        <v>383348</v>
      </c>
      <c r="DG61" s="1248">
        <f>+'17H28'!E59</f>
        <v>66014</v>
      </c>
      <c r="DH61" s="1337">
        <f>'17H28'!C59</f>
        <v>422586</v>
      </c>
      <c r="DI61" s="856">
        <f t="shared" ref="DI61:DO61" si="918">SUM(DI62:DI63)</f>
        <v>52058</v>
      </c>
      <c r="DJ61" s="830">
        <f t="shared" si="918"/>
        <v>67397</v>
      </c>
      <c r="DK61" s="830">
        <f>SUM(DK62:DK63)</f>
        <v>332881</v>
      </c>
      <c r="DL61" s="830">
        <f t="shared" si="918"/>
        <v>310947</v>
      </c>
      <c r="DM61" s="830">
        <f t="shared" si="918"/>
        <v>-1062</v>
      </c>
      <c r="DN61" s="830">
        <f t="shared" si="918"/>
        <v>28926</v>
      </c>
      <c r="DO61" s="1337">
        <f t="shared" si="918"/>
        <v>-15339</v>
      </c>
      <c r="DP61" s="1338">
        <f>+'18H29'!K59</f>
        <v>374635</v>
      </c>
      <c r="DQ61" s="1248">
        <f>+'18H29'!E59</f>
        <v>62781</v>
      </c>
      <c r="DR61" s="1337">
        <f>+'18H29'!C59</f>
        <v>426693</v>
      </c>
      <c r="DS61" s="856">
        <f t="shared" ref="DS61:DY61" si="919">SUM(DS62:DS63)</f>
        <v>34914</v>
      </c>
      <c r="DT61" s="830">
        <f t="shared" si="919"/>
        <v>59018</v>
      </c>
      <c r="DU61" s="830">
        <f>SUM(DU62:DU63)</f>
        <v>346404</v>
      </c>
      <c r="DV61" s="830">
        <f t="shared" si="919"/>
        <v>343672</v>
      </c>
      <c r="DW61" s="830">
        <f t="shared" si="919"/>
        <v>-1130</v>
      </c>
      <c r="DX61" s="830">
        <f t="shared" si="919"/>
        <v>29543</v>
      </c>
      <c r="DY61" s="1337">
        <f t="shared" si="919"/>
        <v>-24104</v>
      </c>
      <c r="DZ61" s="1338">
        <f>+'19H30'!K59</f>
        <v>403559</v>
      </c>
      <c r="EA61" s="1248">
        <f>+'19H30'!E59</f>
        <v>62754</v>
      </c>
      <c r="EB61" s="1337">
        <f>+'19H30'!C59</f>
        <v>438473</v>
      </c>
      <c r="EC61" s="856">
        <f t="shared" ref="EC61:EI61" si="920">SUM(EC62:EC63)</f>
        <v>67620</v>
      </c>
      <c r="ED61" s="830">
        <f t="shared" si="920"/>
        <v>104469</v>
      </c>
      <c r="EE61" s="830">
        <f>SUM(EE62:EE63)</f>
        <v>367550</v>
      </c>
      <c r="EF61" s="830">
        <f t="shared" si="920"/>
        <v>340988</v>
      </c>
      <c r="EG61" s="830">
        <f t="shared" si="920"/>
        <v>-1149</v>
      </c>
      <c r="EH61" s="830">
        <f t="shared" si="920"/>
        <v>29901</v>
      </c>
      <c r="EI61" s="1337">
        <f t="shared" si="920"/>
        <v>-36849</v>
      </c>
      <c r="EJ61" s="1338">
        <f>+'20R1'!K59</f>
        <v>407098</v>
      </c>
      <c r="EK61" s="1248">
        <f>+'20R1'!E59</f>
        <v>65246</v>
      </c>
      <c r="EL61" s="1337">
        <f>+'20R1'!C59</f>
        <v>474718</v>
      </c>
      <c r="EM61" s="856">
        <f t="shared" ref="EM61" si="921">SUM(EM62:EM63)</f>
        <v>77062</v>
      </c>
      <c r="EN61" s="830">
        <f t="shared" ref="EN61" si="922">SUM(EN62:EN63)</f>
        <v>85358</v>
      </c>
      <c r="EO61" s="830">
        <f>SUM(EO62:EO63)</f>
        <v>325380</v>
      </c>
      <c r="EP61" s="830">
        <f t="shared" ref="EP61:EU61" si="923">SUM(EP62:EP63)</f>
        <v>301687</v>
      </c>
      <c r="EQ61" s="1336">
        <f t="shared" si="923"/>
        <v>-852</v>
      </c>
      <c r="ER61" s="1336">
        <f t="shared" si="923"/>
        <v>29933</v>
      </c>
      <c r="ES61" s="850">
        <f t="shared" si="923"/>
        <v>-8296</v>
      </c>
      <c r="ET61" s="1338">
        <f t="shared" si="923"/>
        <v>376018</v>
      </c>
      <c r="EU61" s="830">
        <f t="shared" si="923"/>
        <v>66058</v>
      </c>
      <c r="EV61" s="1317">
        <f>+'21R2'!C59</f>
        <v>453080</v>
      </c>
      <c r="EW61" s="1392">
        <f t="shared" si="851"/>
        <v>19677</v>
      </c>
      <c r="EX61" s="1393">
        <f t="shared" ref="EX61:FC61" si="924">SUM(EX62:EX63)</f>
        <v>28660</v>
      </c>
      <c r="EY61" s="1393">
        <f t="shared" si="924"/>
        <v>361914</v>
      </c>
      <c r="EZ61" s="1393">
        <f t="shared" si="924"/>
        <v>333254</v>
      </c>
      <c r="FA61" s="1393">
        <f t="shared" si="924"/>
        <v>-476</v>
      </c>
      <c r="FB61" s="1393">
        <f t="shared" si="924"/>
        <v>29815</v>
      </c>
      <c r="FC61" s="1693">
        <f t="shared" si="924"/>
        <v>-8983</v>
      </c>
      <c r="FD61" s="1414">
        <f>'22R3'!K59</f>
        <v>385241</v>
      </c>
      <c r="FE61" s="1310">
        <f>'22R3'!E59</f>
        <v>67683</v>
      </c>
      <c r="FF61" s="1690">
        <f>'22R3'!C59</f>
        <v>460054</v>
      </c>
      <c r="FG61" s="1392">
        <f t="shared" si="852"/>
        <v>-26266</v>
      </c>
      <c r="FH61" s="1393">
        <f t="shared" ref="FH61" si="925">SUM(FH62:FH63)</f>
        <v>-17283</v>
      </c>
      <c r="FI61" s="830">
        <f>SUM(FI62:FI63)</f>
        <v>376847</v>
      </c>
      <c r="FJ61" s="830">
        <f t="shared" ref="FJ61:FL61" si="926">SUM(FJ62:FJ63)</f>
        <v>394130</v>
      </c>
      <c r="FK61" s="1336">
        <f t="shared" si="926"/>
        <v>-844</v>
      </c>
      <c r="FL61" s="1336">
        <f t="shared" si="926"/>
        <v>31315</v>
      </c>
      <c r="FM61" s="1398">
        <f t="shared" si="853"/>
        <v>-8983</v>
      </c>
      <c r="FN61" s="1748">
        <f>'23R4'!K59</f>
        <v>424796</v>
      </c>
      <c r="FO61" s="1332">
        <f>'23R4'!E59</f>
        <v>68592</v>
      </c>
      <c r="FP61" s="1690">
        <f>'23R4'!C59</f>
        <v>464432</v>
      </c>
      <c r="FQ61" s="1310"/>
      <c r="FR61" s="1392">
        <f t="shared" si="303"/>
        <v>77444</v>
      </c>
      <c r="FS61" s="1393">
        <f t="shared" ref="FS61" si="927">SUM(FS62:FS63)</f>
        <v>86427</v>
      </c>
      <c r="FT61" s="830">
        <f>SUM(FT62:FT63)</f>
        <v>441468</v>
      </c>
      <c r="FU61" s="830">
        <f t="shared" ref="FU61:FW61" si="928">SUM(FU62:FU63)</f>
        <v>355041</v>
      </c>
      <c r="FV61" s="1336">
        <f t="shared" si="928"/>
        <v>-973</v>
      </c>
      <c r="FW61" s="1336">
        <f t="shared" si="928"/>
        <v>33450</v>
      </c>
      <c r="FX61" s="1398">
        <f t="shared" si="335"/>
        <v>-8983</v>
      </c>
      <c r="FY61" s="1332">
        <f>'24R5'!K59</f>
        <v>388745</v>
      </c>
      <c r="FZ61" s="1332">
        <f>'24R5'!E59</f>
        <v>73245</v>
      </c>
      <c r="GA61" s="1319">
        <v>459363</v>
      </c>
      <c r="GB61" s="1392">
        <f t="shared" si="305"/>
        <v>51578</v>
      </c>
      <c r="GC61" s="1393">
        <f t="shared" ref="GC61" si="929">SUM(GC62:GC63)</f>
        <v>60561</v>
      </c>
      <c r="GD61" s="830">
        <f>SUM(GD62:GD63)</f>
        <v>471880</v>
      </c>
      <c r="GE61" s="830">
        <f t="shared" ref="GE61:GG61" si="930">SUM(GE62:GE63)</f>
        <v>411319</v>
      </c>
      <c r="GF61" s="1336">
        <f t="shared" si="930"/>
        <v>-1018</v>
      </c>
      <c r="GG61" s="1336">
        <f t="shared" si="930"/>
        <v>17241</v>
      </c>
      <c r="GH61" s="1398">
        <f t="shared" si="338"/>
        <v>-8983</v>
      </c>
      <c r="GI61" s="1332">
        <f>'25R6'!K59</f>
        <v>443831</v>
      </c>
      <c r="GJ61" s="1332">
        <f>'25R6'!E59</f>
        <v>76937</v>
      </c>
      <c r="GK61" s="1319">
        <v>459363</v>
      </c>
      <c r="GL61" s="1392">
        <f t="shared" si="307"/>
        <v>8470</v>
      </c>
      <c r="GM61" s="1393">
        <f t="shared" ref="GM61" si="931">SUM(GM62:GM63)</f>
        <v>17453</v>
      </c>
      <c r="GN61" s="830">
        <f>SUM(GN62:GN63)</f>
        <v>442397</v>
      </c>
      <c r="GO61" s="830">
        <f t="shared" ref="GO61:GQ61" si="932">SUM(GO62:GO63)</f>
        <v>424944</v>
      </c>
      <c r="GP61" s="1336">
        <f t="shared" si="932"/>
        <v>-955</v>
      </c>
      <c r="GQ61" s="1336">
        <f t="shared" si="932"/>
        <v>16805</v>
      </c>
      <c r="GR61" s="1406">
        <f t="shared" si="341"/>
        <v>-8983</v>
      </c>
      <c r="GS61" s="1748">
        <f>'26R7'!K59</f>
        <v>461794</v>
      </c>
      <c r="GT61" s="1332">
        <f>'26R7'!E59</f>
        <v>78339</v>
      </c>
      <c r="GU61" s="1398">
        <v>461794</v>
      </c>
      <c r="GV61" s="1392">
        <f t="shared" si="309"/>
        <v>-10952</v>
      </c>
      <c r="GW61" s="1393">
        <f t="shared" ref="GW61" si="933">SUM(GW62:GW63)</f>
        <v>-1969</v>
      </c>
      <c r="GX61" s="830">
        <f>SUM(GX62:GX63)</f>
        <v>444894</v>
      </c>
      <c r="GY61" s="830">
        <f t="shared" ref="GY61:HA61" si="934">SUM(GY62:GY63)</f>
        <v>446863</v>
      </c>
      <c r="GZ61" s="1336">
        <f t="shared" si="934"/>
        <v>-961</v>
      </c>
      <c r="HA61" s="1336">
        <f t="shared" si="934"/>
        <v>11376</v>
      </c>
      <c r="HB61" s="1406">
        <f t="shared" si="344"/>
        <v>-8983</v>
      </c>
      <c r="HC61" s="1748">
        <f>'27R8'!U59</f>
        <v>452642</v>
      </c>
      <c r="HD61" s="1690">
        <f>'27R8'!O59</f>
        <v>-11752</v>
      </c>
      <c r="HE61" s="1398">
        <v>462229</v>
      </c>
      <c r="HF61" s="1392">
        <f t="shared" si="311"/>
        <v>-14932</v>
      </c>
      <c r="HG61" s="1393">
        <f t="shared" ref="HG61" si="935">SUM(HG62:HG63)</f>
        <v>-5949</v>
      </c>
      <c r="HH61" s="830">
        <f>SUM(HH62:HH63)</f>
        <v>451645</v>
      </c>
      <c r="HI61" s="830">
        <f t="shared" ref="HI61:HK61" si="936">SUM(HI62:HI63)</f>
        <v>457594</v>
      </c>
      <c r="HJ61" s="1336">
        <f t="shared" si="936"/>
        <v>-976</v>
      </c>
      <c r="HK61" s="1336">
        <f t="shared" si="936"/>
        <v>11376</v>
      </c>
      <c r="HL61" s="1406">
        <f t="shared" si="347"/>
        <v>-8983</v>
      </c>
      <c r="HM61" s="1748">
        <f>'28R9'!U59</f>
        <v>452642</v>
      </c>
      <c r="HN61" s="1332">
        <f>'28R9'!O59</f>
        <v>-11752</v>
      </c>
      <c r="HO61" s="1398">
        <v>464253</v>
      </c>
      <c r="HP61" s="830"/>
      <c r="HQ61" s="1310">
        <f>市町名目!J60</f>
        <v>474718</v>
      </c>
      <c r="HR61" s="1310">
        <f>市町名目!K60</f>
        <v>453080</v>
      </c>
      <c r="HS61" s="1310">
        <f>市町名目!L60</f>
        <v>460054</v>
      </c>
      <c r="HT61" s="1310">
        <f>市町名目!M60</f>
        <v>464432</v>
      </c>
      <c r="HU61" s="1310">
        <f>市町名目!N60</f>
        <v>481731</v>
      </c>
      <c r="HV61" s="1333">
        <v>475660</v>
      </c>
      <c r="HW61" s="1725">
        <v>525863</v>
      </c>
      <c r="HX61" s="1725">
        <v>462229</v>
      </c>
      <c r="HY61" s="1725">
        <v>464253</v>
      </c>
    </row>
    <row r="62" spans="1:233" ht="12.5">
      <c r="A62" s="1334">
        <v>221</v>
      </c>
      <c r="B62" s="1335" t="s">
        <v>1144</v>
      </c>
      <c r="C62" s="1316">
        <f>+L62-J62</f>
        <v>-10009</v>
      </c>
      <c r="D62" s="1248">
        <f>C62-I62</f>
        <v>-11487</v>
      </c>
      <c r="E62" s="850">
        <f>ROUND(E$5*L62/L$6,0)</f>
        <v>127100</v>
      </c>
      <c r="F62" s="1248">
        <f>ROUND(F$5*J62/J$6,0)</f>
        <v>135966</v>
      </c>
      <c r="G62" s="830">
        <f>ROUND(G$5*L62/L$6,0)</f>
        <v>-203</v>
      </c>
      <c r="H62" s="830">
        <f>ROUND(H$5*K62/K$6,0)</f>
        <v>14639</v>
      </c>
      <c r="I62" s="1317">
        <f>ROUND(I$5*L62/L$6,0)</f>
        <v>1478</v>
      </c>
      <c r="J62" s="1318">
        <f>'7H18'!K60</f>
        <v>159334</v>
      </c>
      <c r="K62" s="1248">
        <f>+'7H18'!E60</f>
        <v>22513</v>
      </c>
      <c r="L62" s="1317">
        <f>'7H18'!C60</f>
        <v>149325</v>
      </c>
      <c r="M62" s="1316">
        <f>+V62-T62</f>
        <v>-7044</v>
      </c>
      <c r="N62" s="1248">
        <f>M62-S62</f>
        <v>-9474</v>
      </c>
      <c r="O62" s="850">
        <f>ROUND(O$5*V62/V$6,0)</f>
        <v>134065</v>
      </c>
      <c r="P62" s="1248">
        <f>ROUND(P$5*T62/T$6,0)</f>
        <v>136514</v>
      </c>
      <c r="Q62" s="830">
        <f>ROUND(Q$5*V62/V$6,0)</f>
        <v>-321</v>
      </c>
      <c r="R62" s="830">
        <f>ROUND(R$5*U62/U$6,0)</f>
        <v>14554</v>
      </c>
      <c r="S62" s="1317">
        <f>ROUND(S$5*V62/V$6,0)</f>
        <v>2430</v>
      </c>
      <c r="T62" s="1318">
        <f>+'8H19'!K60</f>
        <v>153563</v>
      </c>
      <c r="U62" s="1248">
        <f>+'8H19'!E60</f>
        <v>22570</v>
      </c>
      <c r="V62" s="1317">
        <f>'8H19'!C60</f>
        <v>146519</v>
      </c>
      <c r="W62" s="1316">
        <f>+AF62-AD62</f>
        <v>-1992</v>
      </c>
      <c r="X62" s="1248">
        <f>W62-AC62</f>
        <v>-4047</v>
      </c>
      <c r="Y62" s="850">
        <f>ROUND(Y$5*AF62/AF$6,0)</f>
        <v>122733</v>
      </c>
      <c r="Z62" s="1248">
        <f>ROUND(Z$5*AD62/AD$6,0)</f>
        <v>130982</v>
      </c>
      <c r="AA62" s="830">
        <f>ROUND(AA$5*AF62/AF$6,0)</f>
        <v>-790</v>
      </c>
      <c r="AB62" s="830">
        <f>ROUND(AB$5*AE62/AE$6,0)</f>
        <v>13142</v>
      </c>
      <c r="AC62" s="1317">
        <f>ROUND(AC$5*AF62/AF$6,0)</f>
        <v>2055</v>
      </c>
      <c r="AD62" s="1318">
        <f>+'9H20'!K60</f>
        <v>148444</v>
      </c>
      <c r="AE62" s="1248">
        <f>+'9H20'!E60</f>
        <v>22010</v>
      </c>
      <c r="AF62" s="1317">
        <f>'9H20'!C60</f>
        <v>146452</v>
      </c>
      <c r="AG62" s="1316">
        <f>+AP62-AN62</f>
        <v>10867</v>
      </c>
      <c r="AH62" s="1248">
        <f>AG62-AM62</f>
        <v>12532</v>
      </c>
      <c r="AI62" s="850">
        <f>ROUND(AI$5*AP62/AP$6,0)</f>
        <v>111642</v>
      </c>
      <c r="AJ62" s="1248">
        <f>ROUND(AJ$5*AN62/AN$6,0)</f>
        <v>116775</v>
      </c>
      <c r="AK62" s="830">
        <f>ROUND(AK$5*AP62/AP$6,0)</f>
        <v>106</v>
      </c>
      <c r="AL62" s="830">
        <f>ROUND(AL$5*AO62/AO$6,0)</f>
        <v>12280</v>
      </c>
      <c r="AM62" s="1317">
        <f>ROUND(AM$5*AP62/AP$6,0)</f>
        <v>-1665</v>
      </c>
      <c r="AN62" s="1318">
        <f>+'10H21'!K60</f>
        <v>142219</v>
      </c>
      <c r="AO62" s="1248">
        <f>+'10H21'!E60</f>
        <v>21947</v>
      </c>
      <c r="AP62" s="1317">
        <f>'10H21'!C60</f>
        <v>153086</v>
      </c>
      <c r="AQ62" s="1316">
        <f>+AZ62-AX62</f>
        <v>13561</v>
      </c>
      <c r="AR62" s="1248">
        <f>AQ62-AW62</f>
        <v>11778</v>
      </c>
      <c r="AS62" s="850">
        <f>ROUND(AS$5*AZ62/AZ$6,0)</f>
        <v>118211</v>
      </c>
      <c r="AT62" s="1248">
        <f>ROUND(AT$5*AX62/AX$6,0)</f>
        <v>120741</v>
      </c>
      <c r="AU62" s="830">
        <f>ROUND(AU$5*AZ62/AZ$6,0)</f>
        <v>-866</v>
      </c>
      <c r="AV62" s="830">
        <f>ROUND(AV$5*AY62/AY$6,0)</f>
        <v>13243</v>
      </c>
      <c r="AW62" s="1317">
        <f>ROUND(AW$5*AZ62/AZ$6,0)</f>
        <v>1783</v>
      </c>
      <c r="AX62" s="1318">
        <f>+'11H22'!K60</f>
        <v>143631</v>
      </c>
      <c r="AY62" s="1248">
        <f>+'11H22'!E60</f>
        <v>22455</v>
      </c>
      <c r="AZ62" s="1317">
        <f>'11H22'!C60</f>
        <v>157192</v>
      </c>
      <c r="BA62" s="1316">
        <f>+BJ62-BH62</f>
        <v>-31439</v>
      </c>
      <c r="BB62" s="1248">
        <f>BA62-BG62</f>
        <v>-32582</v>
      </c>
      <c r="BC62" s="850">
        <f>ROUND(BC$5*BJ62/BJ$6,0)</f>
        <v>91581</v>
      </c>
      <c r="BD62" s="1248">
        <f>ROUND(BD$5*BH62/BH$6,0)</f>
        <v>126042</v>
      </c>
      <c r="BE62" s="830">
        <f>ROUND(BE$5*BJ62/BJ$6,0)</f>
        <v>-460</v>
      </c>
      <c r="BF62" s="830">
        <f>ROUND(BF$5*BI62/BI$6,0)</f>
        <v>13457</v>
      </c>
      <c r="BG62" s="1317">
        <f>ROUND(BG$5*BJ62/BJ$6,0)</f>
        <v>1143</v>
      </c>
      <c r="BH62" s="1318">
        <f>+'12H23'!K60</f>
        <v>146911</v>
      </c>
      <c r="BI62" s="1248">
        <f>+'12H23'!E60</f>
        <v>23612</v>
      </c>
      <c r="BJ62" s="1317">
        <f>'12H23'!C60</f>
        <v>115472</v>
      </c>
      <c r="BK62" s="1316">
        <f>+BT62-BR62</f>
        <v>-95594</v>
      </c>
      <c r="BL62" s="1248">
        <f>BK62-BQ62</f>
        <v>-96424</v>
      </c>
      <c r="BM62" s="850">
        <f>ROUND(BM$5*BT62/BT$6,0)</f>
        <v>38984</v>
      </c>
      <c r="BN62" s="1248">
        <f>ROUND(BN$5*BR62/BR$6,0)</f>
        <v>124689</v>
      </c>
      <c r="BO62" s="830">
        <f>ROUND(BO$5*BT62/BT$6,0)</f>
        <v>-162</v>
      </c>
      <c r="BP62" s="830">
        <f>ROUND(BP$5*BS62/BS$6,0)</f>
        <v>13176</v>
      </c>
      <c r="BQ62" s="1317">
        <f>ROUND(BQ$5*BT62/BT$6,0)</f>
        <v>830</v>
      </c>
      <c r="BR62" s="1318">
        <f>+'13H24'!K60</f>
        <v>145633</v>
      </c>
      <c r="BS62" s="1248">
        <f>+'13H24'!E60</f>
        <v>24068</v>
      </c>
      <c r="BT62" s="1317">
        <f>'13H24'!C60</f>
        <v>50039</v>
      </c>
      <c r="BU62" s="1316">
        <f>+CD62-CB62</f>
        <v>-4635</v>
      </c>
      <c r="BV62" s="1248">
        <f>BU62-CA62</f>
        <v>-6692</v>
      </c>
      <c r="BW62" s="850">
        <f>ROUND(BW$5*CD62/CD$6,0)</f>
        <v>114398</v>
      </c>
      <c r="BX62" s="1248">
        <f>ROUND(BX$5*CB62/CB$6,0)</f>
        <v>129411</v>
      </c>
      <c r="BY62" s="830">
        <f>ROUND(BY$5*CD62/CD$6,0)</f>
        <v>-471</v>
      </c>
      <c r="BZ62" s="830">
        <f>ROUND(BZ$5*CC62/CC$6,0)</f>
        <v>13266</v>
      </c>
      <c r="CA62" s="1317">
        <f>ROUND(CA$5*CD62/CD$6,0)</f>
        <v>2057</v>
      </c>
      <c r="CB62" s="1318">
        <f>+'14H25'!K60</f>
        <v>151239</v>
      </c>
      <c r="CC62" s="1248">
        <f>+'14H25'!E60</f>
        <v>25212</v>
      </c>
      <c r="CD62" s="1317">
        <f>'14H25'!C60</f>
        <v>146604</v>
      </c>
      <c r="CE62" s="1316">
        <f>+CN62-CL62</f>
        <v>-5158</v>
      </c>
      <c r="CF62" s="1248">
        <f>CE62-CK62</f>
        <v>-3576</v>
      </c>
      <c r="CG62" s="850">
        <f>ROUND(CG$5*CN62/CN$6,0)</f>
        <v>117145</v>
      </c>
      <c r="CH62" s="1248">
        <f>ROUND(CH$5*CL62/CL$6,0)</f>
        <v>129458</v>
      </c>
      <c r="CI62" s="830">
        <f>ROUND(CI$5*CN62/CN$6,0)</f>
        <v>-509</v>
      </c>
      <c r="CJ62" s="830">
        <f>ROUND(CJ$5*CM62/CM$6,0)</f>
        <v>13685</v>
      </c>
      <c r="CK62" s="1317">
        <f>ROUND(CK$5*CN62/CN$6,0)</f>
        <v>-1582</v>
      </c>
      <c r="CL62" s="1318">
        <f>+'15H26'!K60</f>
        <v>150610</v>
      </c>
      <c r="CM62" s="1248">
        <f>+'15H26'!E60</f>
        <v>26117</v>
      </c>
      <c r="CN62" s="1317">
        <f>'15H26'!C60</f>
        <v>145452</v>
      </c>
      <c r="CO62" s="1316">
        <f>+CX62-CV62</f>
        <v>3257</v>
      </c>
      <c r="CP62" s="1248">
        <f>CO62-CU62</f>
        <v>1463</v>
      </c>
      <c r="CQ62" s="850">
        <f>ROUND(CQ$5*CX62/CX$6,0)</f>
        <v>122659</v>
      </c>
      <c r="CR62" s="1248">
        <f>ROUND(CR$5*CV62/CV$6,0)</f>
        <v>128819</v>
      </c>
      <c r="CS62" s="830">
        <f>ROUND(CS$5*CX62/CX$6,0)</f>
        <v>-553</v>
      </c>
      <c r="CT62" s="830">
        <f>ROUND(CT$5*CW62/CW$6,0)</f>
        <v>13630</v>
      </c>
      <c r="CU62" s="1317">
        <f>ROUND(CU$5*CX62/CX$6,0)</f>
        <v>1794</v>
      </c>
      <c r="CV62" s="1318">
        <f>+'16H27'!K60</f>
        <v>154955</v>
      </c>
      <c r="CW62" s="1248">
        <f>+'16H27'!E60</f>
        <v>26801</v>
      </c>
      <c r="CX62" s="1317">
        <f>'16H27'!C60</f>
        <v>158212</v>
      </c>
      <c r="CY62" s="1316">
        <f>+DH62-DF62</f>
        <v>14002</v>
      </c>
      <c r="CZ62" s="1248">
        <f>CY62-DE62</f>
        <v>14135</v>
      </c>
      <c r="DA62" s="850">
        <f>ROUND(DA$5*DH62/DH$6,0)</f>
        <v>120489</v>
      </c>
      <c r="DB62" s="1248">
        <f>ROUND(DB$5*DF62/DF$6,0)</f>
        <v>119026</v>
      </c>
      <c r="DC62" s="830">
        <f>ROUND(DC$5*DH62/DH$6,0)</f>
        <v>-509</v>
      </c>
      <c r="DD62" s="830">
        <f>ROUND(DD$5*DG62/DG$6,0)</f>
        <v>13813</v>
      </c>
      <c r="DE62" s="1317">
        <f>ROUND(DE$5*DH62/DH$6,0)</f>
        <v>-133</v>
      </c>
      <c r="DF62" s="1318">
        <f>+'17H28'!K60</f>
        <v>147182</v>
      </c>
      <c r="DG62" s="1248">
        <f>+'17H28'!E60</f>
        <v>26863</v>
      </c>
      <c r="DH62" s="1317">
        <f>'17H28'!C60</f>
        <v>161184</v>
      </c>
      <c r="DI62" s="1316">
        <f>+DR62-DP62</f>
        <v>17531</v>
      </c>
      <c r="DJ62" s="1248">
        <f>DI62-DO62</f>
        <v>23537</v>
      </c>
      <c r="DK62" s="850">
        <f>ROUND(DK$5*DR62/DR$6,0)</f>
        <v>130335</v>
      </c>
      <c r="DL62" s="1248">
        <f>ROUND(DL$5*DP62/DP$6,0)</f>
        <v>124114</v>
      </c>
      <c r="DM62" s="830">
        <f>ROUND(DM$5*DR62/DR$6,0)</f>
        <v>-416</v>
      </c>
      <c r="DN62" s="830">
        <f>ROUND(DN$5*DQ62/DQ$6,0)</f>
        <v>11903</v>
      </c>
      <c r="DO62" s="1317">
        <f>ROUND(DO$5*DR62/DR$6,0)</f>
        <v>-6006</v>
      </c>
      <c r="DP62" s="1318">
        <f>+'18H29'!K60</f>
        <v>149535</v>
      </c>
      <c r="DQ62" s="1248">
        <f>+'18H29'!E60</f>
        <v>25834</v>
      </c>
      <c r="DR62" s="1317">
        <f>+'18H29'!C60</f>
        <v>167066</v>
      </c>
      <c r="DS62" s="1316">
        <f>+EB62-DZ62</f>
        <v>23208</v>
      </c>
      <c r="DT62" s="1248">
        <f>DS62-DY62</f>
        <v>33271</v>
      </c>
      <c r="DU62" s="850">
        <f>ROUND(DU$5*EB62/EB$6,0)</f>
        <v>144620</v>
      </c>
      <c r="DV62" s="1248">
        <f>ROUND(DV$5*DZ62/DZ$6,0)</f>
        <v>136129</v>
      </c>
      <c r="DW62" s="830">
        <f>ROUND(DW$5*EB62/EB$6,0)</f>
        <v>-472</v>
      </c>
      <c r="DX62" s="830">
        <f>ROUND(DX$5*EA62/EA$6,0)</f>
        <v>12204</v>
      </c>
      <c r="DY62" s="1317">
        <f>ROUND(DY$5*EB62/EB$6,0)</f>
        <v>-10063</v>
      </c>
      <c r="DZ62" s="1318">
        <f>+'19H30'!K60</f>
        <v>159850</v>
      </c>
      <c r="EA62" s="1248">
        <f>+'19H30'!E60</f>
        <v>25924</v>
      </c>
      <c r="EB62" s="1317">
        <f>+'19H30'!C60</f>
        <v>183058</v>
      </c>
      <c r="EC62" s="1316">
        <f>+EL62-EJ62</f>
        <v>51276</v>
      </c>
      <c r="ED62" s="1248">
        <f>EC62-EI62</f>
        <v>68080</v>
      </c>
      <c r="EE62" s="850">
        <f>ROUND(EE$5*EL62/EL$6,0)</f>
        <v>167615</v>
      </c>
      <c r="EF62" s="1248">
        <f>ROUND(EF$5*EJ62/EJ$6,0)</f>
        <v>138382</v>
      </c>
      <c r="EG62" s="830">
        <f>ROUND(EG$5*EL62/EL$6,0)</f>
        <v>-524</v>
      </c>
      <c r="EH62" s="830">
        <f>ROUND(EH$5*EK62/EK$6,0)</f>
        <v>12557</v>
      </c>
      <c r="EI62" s="1317">
        <f>ROUND(EI$5*EL62/EL$6,0)</f>
        <v>-16804</v>
      </c>
      <c r="EJ62" s="1318">
        <f>+'20R1'!K60</f>
        <v>165211</v>
      </c>
      <c r="EK62" s="1248">
        <f>+'20R1'!E60</f>
        <v>27400</v>
      </c>
      <c r="EL62" s="1317">
        <f>+'20R1'!C60</f>
        <v>216487</v>
      </c>
      <c r="EM62" s="1316">
        <f>+EV62-ET62</f>
        <v>58708</v>
      </c>
      <c r="EN62" s="1248">
        <f>EM62-ES62</f>
        <v>62478</v>
      </c>
      <c r="EO62" s="850">
        <f>ROUND(EO$5*EV62/EV$6,0)</f>
        <v>147858</v>
      </c>
      <c r="EP62" s="1248">
        <f>ROUND(EP$5*ET62/ET$6,0)</f>
        <v>118085</v>
      </c>
      <c r="EQ62" s="1336">
        <f>ROUND(EQ$5*EV62/EV$6,0)</f>
        <v>-387</v>
      </c>
      <c r="ER62" s="1336">
        <f>ROUND(ER$5*EU62/EU$6,0)</f>
        <v>12912</v>
      </c>
      <c r="ES62" s="850">
        <f>ROUND(ES$5*EV62/EV$6,0)</f>
        <v>-3770</v>
      </c>
      <c r="ET62" s="1331">
        <f>'21R2'!K60</f>
        <v>147179</v>
      </c>
      <c r="EU62" s="1248">
        <f>'21R2'!E60</f>
        <v>28495</v>
      </c>
      <c r="EV62" s="1317">
        <f>+'21R2'!C60</f>
        <v>205887</v>
      </c>
      <c r="EW62" s="1392">
        <f t="shared" si="851"/>
        <v>19912</v>
      </c>
      <c r="EX62" s="1310">
        <f>EY62-EZ62</f>
        <v>23816</v>
      </c>
      <c r="EY62" s="850">
        <f>ROUND(EY$5*FF62/FF$6,0)</f>
        <v>157283</v>
      </c>
      <c r="EZ62" s="1248">
        <f>ROUND(EZ$5*FD62/FD$6,0)</f>
        <v>133467</v>
      </c>
      <c r="FA62" s="1336">
        <f>ROUND(FA$5*FF62/FF$6,0)</f>
        <v>-207</v>
      </c>
      <c r="FB62" s="1336">
        <f>ROUND(FB$5*FE62/FE$6,0)</f>
        <v>13131</v>
      </c>
      <c r="FC62" s="1689">
        <f t="shared" si="363"/>
        <v>-3904</v>
      </c>
      <c r="FD62" s="1414">
        <f>'22R3'!K60</f>
        <v>154288</v>
      </c>
      <c r="FE62" s="1310">
        <f>'22R3'!E60</f>
        <v>29808</v>
      </c>
      <c r="FF62" s="1690">
        <f>'22R3'!C60</f>
        <v>199933</v>
      </c>
      <c r="FG62" s="1392">
        <f t="shared" si="852"/>
        <v>9403</v>
      </c>
      <c r="FH62" s="1310">
        <f>FI62-FJ62</f>
        <v>13307</v>
      </c>
      <c r="FI62" s="850">
        <f>ROUND(FI$5*FP62/FP$6,0)</f>
        <v>165445</v>
      </c>
      <c r="FJ62" s="1248">
        <f>ROUND(FJ$5*FN62/FN$6,0)</f>
        <v>152138</v>
      </c>
      <c r="FK62" s="1336">
        <f>ROUND(FK$5*FP62/FP$6,0)</f>
        <v>-371</v>
      </c>
      <c r="FL62" s="1336">
        <f>ROUND(FL$5*FO62/FO$6,0)</f>
        <v>14140</v>
      </c>
      <c r="FM62" s="1398">
        <f t="shared" si="853"/>
        <v>-3904</v>
      </c>
      <c r="FN62" s="1748">
        <f>'23R4'!K60</f>
        <v>163975</v>
      </c>
      <c r="FO62" s="1332">
        <f>'23R4'!E60</f>
        <v>30972</v>
      </c>
      <c r="FP62" s="1690">
        <f>'23R4'!C60</f>
        <v>203897</v>
      </c>
      <c r="FQ62" s="1310"/>
      <c r="FR62" s="1392">
        <f t="shared" si="303"/>
        <v>41928</v>
      </c>
      <c r="FS62" s="1310">
        <f>FT62-FU62</f>
        <v>45832</v>
      </c>
      <c r="FT62" s="868">
        <f>ROUND(FT$5*GA62/GA$6,0)</f>
        <v>188578</v>
      </c>
      <c r="FU62" s="1248">
        <f>ROUND(FU$5*FY62/FY$6,0)</f>
        <v>142746</v>
      </c>
      <c r="FV62" s="1336">
        <f>ROUND(FV$5*GA62/GA$6,0)</f>
        <v>-416</v>
      </c>
      <c r="FW62" s="1336">
        <f>ROUND(FW$5*FZ62/FZ$6,0)</f>
        <v>14761</v>
      </c>
      <c r="FX62" s="1398">
        <f t="shared" si="335"/>
        <v>-3904</v>
      </c>
      <c r="FY62" s="1332">
        <f>'24R5'!K60</f>
        <v>156297</v>
      </c>
      <c r="FZ62" s="1332">
        <f>'24R5'!E60</f>
        <v>32322</v>
      </c>
      <c r="GA62" s="1319">
        <v>196222</v>
      </c>
      <c r="GB62" s="1392">
        <f t="shared" si="305"/>
        <v>27831</v>
      </c>
      <c r="GC62" s="1310">
        <f>GD62-GE62</f>
        <v>31735</v>
      </c>
      <c r="GD62" s="868">
        <f>ROUND(GD$5*GK62/GK$6,0)</f>
        <v>201569</v>
      </c>
      <c r="GE62" s="1248">
        <f>ROUND(GE$5*GI62/GI$6,0)</f>
        <v>169834</v>
      </c>
      <c r="GF62" s="1336">
        <f>ROUND(GF$5*GK62/GK$6,0)</f>
        <v>-435</v>
      </c>
      <c r="GG62" s="1336">
        <f>ROUND(GG$5*GJ62/GJ$6,0)</f>
        <v>7633</v>
      </c>
      <c r="GH62" s="1398">
        <f t="shared" si="338"/>
        <v>-3904</v>
      </c>
      <c r="GI62" s="1332">
        <f>'25R6'!K60</f>
        <v>183258</v>
      </c>
      <c r="GJ62" s="1332">
        <f>'25R6'!E60</f>
        <v>34062</v>
      </c>
      <c r="GK62" s="1319">
        <v>196222</v>
      </c>
      <c r="GL62" s="1392">
        <f t="shared" si="307"/>
        <v>3263</v>
      </c>
      <c r="GM62" s="1310">
        <f>GN62-GO62</f>
        <v>7167</v>
      </c>
      <c r="GN62" s="868">
        <f>ROUND(GN$5*GU62/GU$6,0)</f>
        <v>181663</v>
      </c>
      <c r="GO62" s="1248">
        <f>ROUND(GO$5*GS62/GS$6,0)</f>
        <v>174496</v>
      </c>
      <c r="GP62" s="1336">
        <f>ROUND(GP$5*GU62/GU$6,0)</f>
        <v>-392</v>
      </c>
      <c r="GQ62" s="1336">
        <f>ROUND(GQ$5*GT62/GT$6,0)</f>
        <v>7480</v>
      </c>
      <c r="GR62" s="1406">
        <f t="shared" si="341"/>
        <v>-3904</v>
      </c>
      <c r="GS62" s="1748">
        <f>'26R7'!K60</f>
        <v>189628</v>
      </c>
      <c r="GT62" s="1332">
        <f>'26R7'!E60</f>
        <v>34868</v>
      </c>
      <c r="GU62" s="1398">
        <v>189628</v>
      </c>
      <c r="GV62" s="1392">
        <f t="shared" si="309"/>
        <v>-3669</v>
      </c>
      <c r="GW62" s="1310">
        <f>GX62-GY62</f>
        <v>235</v>
      </c>
      <c r="GX62" s="868">
        <f>ROUND(GX$5*HE62/HE$6,0)</f>
        <v>182242</v>
      </c>
      <c r="GY62" s="1248">
        <f>ROUND(GY$5*HC62/HC$6,0)</f>
        <v>182007</v>
      </c>
      <c r="GZ62" s="1336">
        <f>ROUND(GZ$5*HE62/HE$6,0)</f>
        <v>-394</v>
      </c>
      <c r="HA62" s="1336">
        <f>ROUND(HA$5*HD62/HD$6,0)</f>
        <v>3115</v>
      </c>
      <c r="HB62" s="1406">
        <f t="shared" si="344"/>
        <v>-3904</v>
      </c>
      <c r="HC62" s="1748">
        <f>'27R8'!U60</f>
        <v>184361</v>
      </c>
      <c r="HD62" s="1690">
        <f>'27R8'!O60</f>
        <v>-3218</v>
      </c>
      <c r="HE62" s="1398">
        <v>189343</v>
      </c>
      <c r="HF62" s="1392">
        <f t="shared" si="311"/>
        <v>-6588</v>
      </c>
      <c r="HG62" s="1310">
        <f>HH62-HI62</f>
        <v>-2684</v>
      </c>
      <c r="HH62" s="868">
        <f>ROUND(HH$5*HO62/HO$6,0)</f>
        <v>183694</v>
      </c>
      <c r="HI62" s="1248">
        <f>ROUND(HI$5*HM62/HM$6,0)</f>
        <v>186378</v>
      </c>
      <c r="HJ62" s="1336">
        <f>ROUND(HJ$5*HO62/HO$6,0)</f>
        <v>-397</v>
      </c>
      <c r="HK62" s="1336">
        <f>ROUND(HK$5*HN62/HN$6,0)</f>
        <v>3115</v>
      </c>
      <c r="HL62" s="1406">
        <f t="shared" si="347"/>
        <v>-3904</v>
      </c>
      <c r="HM62" s="1748">
        <f>'28R9'!U60</f>
        <v>184361</v>
      </c>
      <c r="HN62" s="1332">
        <f>'28R9'!O60</f>
        <v>-3218</v>
      </c>
      <c r="HO62" s="1398">
        <v>188822</v>
      </c>
      <c r="HQ62" s="1310">
        <f>市町名目!J61</f>
        <v>216487</v>
      </c>
      <c r="HR62" s="1310">
        <f>市町名目!K61</f>
        <v>205887</v>
      </c>
      <c r="HS62" s="1310">
        <f>市町名目!L61</f>
        <v>199933</v>
      </c>
      <c r="HT62" s="1310">
        <f>市町名目!M61</f>
        <v>203897</v>
      </c>
      <c r="HU62" s="1310">
        <f>市町名目!N61</f>
        <v>214565</v>
      </c>
      <c r="HV62" s="1054">
        <v>208808</v>
      </c>
      <c r="HW62" s="1030">
        <v>227537</v>
      </c>
      <c r="HX62" s="1030">
        <v>189343</v>
      </c>
      <c r="HY62" s="1030">
        <v>188822</v>
      </c>
    </row>
    <row r="63" spans="1:233" ht="12.5">
      <c r="A63" s="1334">
        <v>223</v>
      </c>
      <c r="B63" s="1335" t="s">
        <v>223</v>
      </c>
      <c r="C63" s="1316">
        <f>+L63-J63</f>
        <v>8981</v>
      </c>
      <c r="D63" s="1248">
        <f>C63-I63</f>
        <v>6643</v>
      </c>
      <c r="E63" s="850">
        <f>ROUND(E$5*L63/L$6,0)</f>
        <v>201151</v>
      </c>
      <c r="F63" s="1248">
        <f>ROUND(F$5*J63/J$6,0)</f>
        <v>194002</v>
      </c>
      <c r="G63" s="830">
        <f>ROUND(G$5*L63/L$6,0)</f>
        <v>-321</v>
      </c>
      <c r="H63" s="830">
        <f>ROUND(H$5*K63/K$6,0)</f>
        <v>18458</v>
      </c>
      <c r="I63" s="1317">
        <f>ROUND(I$5*L63/L$6,0)</f>
        <v>2338</v>
      </c>
      <c r="J63" s="1318">
        <f>'7H18'!K61</f>
        <v>227344</v>
      </c>
      <c r="K63" s="1248">
        <f>+'7H18'!E61</f>
        <v>28385</v>
      </c>
      <c r="L63" s="1317">
        <f>'7H18'!C61</f>
        <v>236325</v>
      </c>
      <c r="M63" s="1316">
        <f>+V63-T63</f>
        <v>4751</v>
      </c>
      <c r="N63" s="1248">
        <f>M63-S63</f>
        <v>782</v>
      </c>
      <c r="O63" s="850">
        <f>ROUND(O$5*V63/V$6,0)</f>
        <v>219014</v>
      </c>
      <c r="P63" s="1248">
        <f>ROUND(P$5*T63/T$6,0)</f>
        <v>208562</v>
      </c>
      <c r="Q63" s="830">
        <f>ROUND(Q$5*V63/V$6,0)</f>
        <v>-525</v>
      </c>
      <c r="R63" s="830">
        <f>ROUND(R$5*U63/U$6,0)</f>
        <v>18930</v>
      </c>
      <c r="S63" s="1317">
        <f>ROUND(S$5*V63/V$6,0)</f>
        <v>3969</v>
      </c>
      <c r="T63" s="1318">
        <f>+'8H19'!K61</f>
        <v>234609</v>
      </c>
      <c r="U63" s="1248">
        <f>+'8H19'!E61</f>
        <v>29357</v>
      </c>
      <c r="V63" s="1317">
        <f>'8H19'!C61</f>
        <v>239360</v>
      </c>
      <c r="W63" s="1316">
        <f>+AF63-AD63</f>
        <v>-2691</v>
      </c>
      <c r="X63" s="1248">
        <f>W63-AC63</f>
        <v>-5875</v>
      </c>
      <c r="Y63" s="850">
        <f>ROUND(Y$5*AF63/AF$6,0)</f>
        <v>190161</v>
      </c>
      <c r="Z63" s="1248">
        <f>ROUND(Z$5*AD63/AD$6,0)</f>
        <v>202594</v>
      </c>
      <c r="AA63" s="830">
        <f>ROUND(AA$5*AF63/AF$6,0)</f>
        <v>-1224</v>
      </c>
      <c r="AB63" s="830">
        <f>ROUND(AB$5*AE63/AE$6,0)</f>
        <v>18945</v>
      </c>
      <c r="AC63" s="1317">
        <f>ROUND(AC$5*AF63/AF$6,0)</f>
        <v>3184</v>
      </c>
      <c r="AD63" s="1318">
        <f>+'9H20'!K61</f>
        <v>229602</v>
      </c>
      <c r="AE63" s="1248">
        <f>+'9H20'!E61</f>
        <v>31728</v>
      </c>
      <c r="AF63" s="1317">
        <f>'9H20'!C61</f>
        <v>226911</v>
      </c>
      <c r="AG63" s="1316">
        <f>+AP63-AN63</f>
        <v>15978</v>
      </c>
      <c r="AH63" s="1248">
        <f>AG63-AM63</f>
        <v>18458</v>
      </c>
      <c r="AI63" s="850">
        <f>ROUND(AI$5*AP63/AP$6,0)</f>
        <v>166248</v>
      </c>
      <c r="AJ63" s="1248">
        <f>ROUND(AJ$5*AN63/AN$6,0)</f>
        <v>174060</v>
      </c>
      <c r="AK63" s="830">
        <f>ROUND(AK$5*AP63/AP$6,0)</f>
        <v>158</v>
      </c>
      <c r="AL63" s="830">
        <f>ROUND(AL$5*AO63/AO$6,0)</f>
        <v>19028</v>
      </c>
      <c r="AM63" s="1317">
        <f>ROUND(AM$5*AP63/AP$6,0)</f>
        <v>-2480</v>
      </c>
      <c r="AN63" s="1318">
        <f>+'10H21'!K61</f>
        <v>211986</v>
      </c>
      <c r="AO63" s="1248">
        <f>+'10H21'!E61</f>
        <v>34008</v>
      </c>
      <c r="AP63" s="1317">
        <f>'10H21'!C61</f>
        <v>227964</v>
      </c>
      <c r="AQ63" s="1316">
        <f>+AZ63-AX63</f>
        <v>19359</v>
      </c>
      <c r="AR63" s="1248">
        <f>AQ63-AW63</f>
        <v>16723</v>
      </c>
      <c r="AS63" s="850">
        <f>ROUND(AS$5*AZ63/AZ$6,0)</f>
        <v>174806</v>
      </c>
      <c r="AT63" s="1248">
        <f>ROUND(AT$5*AX63/AX$6,0)</f>
        <v>179131</v>
      </c>
      <c r="AU63" s="830">
        <f>ROUND(AU$5*AZ63/AZ$6,0)</f>
        <v>-1281</v>
      </c>
      <c r="AV63" s="830">
        <f>ROUND(AV$5*AY63/AY$6,0)</f>
        <v>19748</v>
      </c>
      <c r="AW63" s="1317">
        <f>ROUND(AW$5*AZ63/AZ$6,0)</f>
        <v>2636</v>
      </c>
      <c r="AX63" s="1318">
        <f>+'11H22'!K61</f>
        <v>213090</v>
      </c>
      <c r="AY63" s="1248">
        <f>+'11H22'!E61</f>
        <v>33485</v>
      </c>
      <c r="AZ63" s="1317">
        <f>'11H22'!C61</f>
        <v>232449</v>
      </c>
      <c r="BA63" s="1316">
        <f>+BJ63-BH63</f>
        <v>24477</v>
      </c>
      <c r="BB63" s="1248">
        <f>BA63-BG63</f>
        <v>22104</v>
      </c>
      <c r="BC63" s="850">
        <f>ROUND(BC$5*BJ63/BJ$6,0)</f>
        <v>190222</v>
      </c>
      <c r="BD63" s="1248">
        <f>ROUND(BD$5*BH63/BH$6,0)</f>
        <v>184775</v>
      </c>
      <c r="BE63" s="830">
        <f>ROUND(BE$5*BJ63/BJ$6,0)</f>
        <v>-955</v>
      </c>
      <c r="BF63" s="830">
        <f>ROUND(BF$5*BI63/BI$6,0)</f>
        <v>19770</v>
      </c>
      <c r="BG63" s="1317">
        <f>ROUND(BG$5*BJ63/BJ$6,0)</f>
        <v>2373</v>
      </c>
      <c r="BH63" s="1318">
        <f>+'12H23'!K61</f>
        <v>215369</v>
      </c>
      <c r="BI63" s="1248">
        <f>+'12H23'!E61</f>
        <v>34689</v>
      </c>
      <c r="BJ63" s="1317">
        <f>'12H23'!C61</f>
        <v>239846</v>
      </c>
      <c r="BK63" s="1316">
        <f>+BT63-BR63</f>
        <v>16423</v>
      </c>
      <c r="BL63" s="1248">
        <f>BK63-BQ63</f>
        <v>12518</v>
      </c>
      <c r="BM63" s="850">
        <f>ROUND(BM$5*BT63/BT$6,0)</f>
        <v>183444</v>
      </c>
      <c r="BN63" s="1248">
        <f>ROUND(BN$5*BR63/BR$6,0)</f>
        <v>187539</v>
      </c>
      <c r="BO63" s="830">
        <f>ROUND(BO$5*BT63/BT$6,0)</f>
        <v>-762</v>
      </c>
      <c r="BP63" s="830">
        <f>ROUND(BP$5*BS63/BS$6,0)</f>
        <v>18500</v>
      </c>
      <c r="BQ63" s="1317">
        <f>ROUND(BQ$5*BT63/BT$6,0)</f>
        <v>3905</v>
      </c>
      <c r="BR63" s="1318">
        <f>+'13H24'!K61</f>
        <v>219040</v>
      </c>
      <c r="BS63" s="1248">
        <f>+'13H24'!E61</f>
        <v>33794</v>
      </c>
      <c r="BT63" s="1317">
        <f>'13H24'!C61</f>
        <v>235463</v>
      </c>
      <c r="BU63" s="1316">
        <f>+CD63-CB63</f>
        <v>27467</v>
      </c>
      <c r="BV63" s="1248">
        <f>BU63-CA63</f>
        <v>23941</v>
      </c>
      <c r="BW63" s="850">
        <f>ROUND(BW$5*CD63/CD$6,0)</f>
        <v>196048</v>
      </c>
      <c r="BX63" s="1248">
        <f>ROUND(BX$5*CB63/CB$6,0)</f>
        <v>191478</v>
      </c>
      <c r="BY63" s="830">
        <f>ROUND(BY$5*CD63/CD$6,0)</f>
        <v>-808</v>
      </c>
      <c r="BZ63" s="830">
        <f>ROUND(BZ$5*CC63/CC$6,0)</f>
        <v>18214</v>
      </c>
      <c r="CA63" s="1317">
        <f>ROUND(CA$5*CD63/CD$6,0)</f>
        <v>3526</v>
      </c>
      <c r="CB63" s="1318">
        <f>+'14H25'!K61</f>
        <v>223774</v>
      </c>
      <c r="CC63" s="1248">
        <f>+'14H25'!E61</f>
        <v>34617</v>
      </c>
      <c r="CD63" s="1317">
        <f>'14H25'!C61</f>
        <v>251241</v>
      </c>
      <c r="CE63" s="1316">
        <f>+CN63-CL63</f>
        <v>-21835</v>
      </c>
      <c r="CF63" s="1248">
        <f>CE63-CK63</f>
        <v>-19159</v>
      </c>
      <c r="CG63" s="850">
        <f>ROUND(CG$5*CN63/CN$6,0)</f>
        <v>198157</v>
      </c>
      <c r="CH63" s="1248">
        <f>ROUND(CH$5*CL63/CL$6,0)</f>
        <v>230255</v>
      </c>
      <c r="CI63" s="830">
        <f>ROUND(CI$5*CN63/CN$6,0)</f>
        <v>-862</v>
      </c>
      <c r="CJ63" s="830">
        <f>ROUND(CJ$5*CM63/CM$6,0)</f>
        <v>19475</v>
      </c>
      <c r="CK63" s="1317">
        <f>ROUND(CK$5*CN63/CN$6,0)</f>
        <v>-2676</v>
      </c>
      <c r="CL63" s="1318">
        <f>+'15H26'!K61</f>
        <v>267876</v>
      </c>
      <c r="CM63" s="1248">
        <f>+'15H26'!E61</f>
        <v>37166</v>
      </c>
      <c r="CN63" s="1317">
        <f>'15H26'!C61</f>
        <v>246041</v>
      </c>
      <c r="CO63" s="1316">
        <f>+CX63-CV63</f>
        <v>-11578</v>
      </c>
      <c r="CP63" s="1248">
        <f>CO63-CU63</f>
        <v>-14528</v>
      </c>
      <c r="CQ63" s="850">
        <f>ROUND(CQ$5*CX63/CX$6,0)</f>
        <v>201710</v>
      </c>
      <c r="CR63" s="1248">
        <f>ROUND(CR$5*CV63/CV$6,0)</f>
        <v>225918</v>
      </c>
      <c r="CS63" s="830">
        <f>ROUND(CS$5*CX63/CX$6,0)</f>
        <v>-909</v>
      </c>
      <c r="CT63" s="830">
        <f>ROUND(CT$5*CW63/CW$6,0)</f>
        <v>19559</v>
      </c>
      <c r="CU63" s="1317">
        <f>ROUND(CU$5*CX63/CX$6,0)</f>
        <v>2950</v>
      </c>
      <c r="CV63" s="1318">
        <f>+'16H27'!K61</f>
        <v>271754</v>
      </c>
      <c r="CW63" s="1248">
        <f>+'16H27'!E61</f>
        <v>38459</v>
      </c>
      <c r="CX63" s="1317">
        <f>'16H27'!C61</f>
        <v>260176</v>
      </c>
      <c r="CY63" s="1316">
        <f>+DH63-DF63</f>
        <v>25236</v>
      </c>
      <c r="CZ63" s="1248">
        <f>CY63-DE63</f>
        <v>25452</v>
      </c>
      <c r="DA63" s="850">
        <f>ROUND(DA$5*DH63/DH$6,0)</f>
        <v>195405</v>
      </c>
      <c r="DB63" s="1248">
        <f>ROUND(DB$5*DF63/DF$6,0)</f>
        <v>190988</v>
      </c>
      <c r="DC63" s="830">
        <f>ROUND(DC$5*DH63/DH$6,0)</f>
        <v>-826</v>
      </c>
      <c r="DD63" s="830">
        <f>ROUND(DD$5*DG63/DG$6,0)</f>
        <v>20132</v>
      </c>
      <c r="DE63" s="1317">
        <f>ROUND(DE$5*DH63/DH$6,0)</f>
        <v>-216</v>
      </c>
      <c r="DF63" s="1318">
        <f>+'17H28'!K61</f>
        <v>236166</v>
      </c>
      <c r="DG63" s="1248">
        <f>+'17H28'!E61</f>
        <v>39151</v>
      </c>
      <c r="DH63" s="1317">
        <f>'17H28'!C61</f>
        <v>261402</v>
      </c>
      <c r="DI63" s="1316">
        <f>+DR63-DP63</f>
        <v>34527</v>
      </c>
      <c r="DJ63" s="1248">
        <f>DI63-DO63</f>
        <v>43860</v>
      </c>
      <c r="DK63" s="850">
        <f>ROUND(DK$5*DR63/DR$6,0)</f>
        <v>202546</v>
      </c>
      <c r="DL63" s="1248">
        <f>ROUND(DL$5*DP63/DP$6,0)</f>
        <v>186833</v>
      </c>
      <c r="DM63" s="830">
        <f>ROUND(DM$5*DR63/DR$6,0)</f>
        <v>-646</v>
      </c>
      <c r="DN63" s="830">
        <f>ROUND(DN$5*DQ63/DQ$6,0)</f>
        <v>17023</v>
      </c>
      <c r="DO63" s="1317">
        <f>ROUND(DO$5*DR63/DR$6,0)</f>
        <v>-9333</v>
      </c>
      <c r="DP63" s="1318">
        <f>+'18H29'!K61</f>
        <v>225100</v>
      </c>
      <c r="DQ63" s="1248">
        <f>+'18H29'!E61</f>
        <v>36947</v>
      </c>
      <c r="DR63" s="1317">
        <f>+'18H29'!C61</f>
        <v>259627</v>
      </c>
      <c r="DS63" s="1316">
        <f>+EB63-DZ63</f>
        <v>11706</v>
      </c>
      <c r="DT63" s="1248">
        <f>DS63-DY63</f>
        <v>25747</v>
      </c>
      <c r="DU63" s="850">
        <f>ROUND(DU$5*EB63/EB$6,0)</f>
        <v>201784</v>
      </c>
      <c r="DV63" s="1248">
        <f>ROUND(DV$5*DZ63/DZ$6,0)</f>
        <v>207543</v>
      </c>
      <c r="DW63" s="830">
        <f>ROUND(DW$5*EB63/EB$6,0)</f>
        <v>-658</v>
      </c>
      <c r="DX63" s="830">
        <f>ROUND(DX$5*EA63/EA$6,0)</f>
        <v>17339</v>
      </c>
      <c r="DY63" s="1317">
        <f>ROUND(DY$5*EB63/EB$6,0)</f>
        <v>-14041</v>
      </c>
      <c r="DZ63" s="1318">
        <f>+'19H30'!K61</f>
        <v>243709</v>
      </c>
      <c r="EA63" s="1248">
        <f>+'19H30'!E61</f>
        <v>36830</v>
      </c>
      <c r="EB63" s="1317">
        <f>+'19H30'!C61</f>
        <v>255415</v>
      </c>
      <c r="EC63" s="1316">
        <f>+EL63-EJ63</f>
        <v>16344</v>
      </c>
      <c r="ED63" s="1248">
        <f>EC63-EI63</f>
        <v>36389</v>
      </c>
      <c r="EE63" s="850">
        <f>ROUND(EE$5*EL63/EL$6,0)</f>
        <v>199935</v>
      </c>
      <c r="EF63" s="1248">
        <f>ROUND(EF$5*EJ63/EJ$6,0)</f>
        <v>202606</v>
      </c>
      <c r="EG63" s="830">
        <f>ROUND(EG$5*EL63/EL$6,0)</f>
        <v>-625</v>
      </c>
      <c r="EH63" s="830">
        <f>ROUND(EH$5*EK63/EK$6,0)</f>
        <v>17344</v>
      </c>
      <c r="EI63" s="1317">
        <f>ROUND(EI$5*EL63/EL$6,0)</f>
        <v>-20045</v>
      </c>
      <c r="EJ63" s="1318">
        <f>+'20R1'!K61</f>
        <v>241887</v>
      </c>
      <c r="EK63" s="1248">
        <f>+'20R1'!E61</f>
        <v>37846</v>
      </c>
      <c r="EL63" s="1317">
        <f>+'20R1'!C61</f>
        <v>258231</v>
      </c>
      <c r="EM63" s="1316">
        <f>+EV63-ET63</f>
        <v>18354</v>
      </c>
      <c r="EN63" s="1248">
        <f>EM63-ES63</f>
        <v>22880</v>
      </c>
      <c r="EO63" s="850">
        <f>ROUND(EO$5*EV63/EV$6,0)</f>
        <v>177522</v>
      </c>
      <c r="EP63" s="1248">
        <f>ROUND(EP$5*ET63/ET$6,0)</f>
        <v>183602</v>
      </c>
      <c r="EQ63" s="1336">
        <f>ROUND(EQ$5*EV63/EV$6,0)</f>
        <v>-465</v>
      </c>
      <c r="ER63" s="1336">
        <f>ROUND(ER$5*EU63/EU$6,0)</f>
        <v>17021</v>
      </c>
      <c r="ES63" s="850">
        <f>ROUND(ES$5*EV63/EV$6,0)</f>
        <v>-4526</v>
      </c>
      <c r="ET63" s="1331">
        <f>'21R2'!K61</f>
        <v>228839</v>
      </c>
      <c r="EU63" s="1248">
        <f>'21R2'!E61</f>
        <v>37563</v>
      </c>
      <c r="EV63" s="1317">
        <f>+'21R2'!C61</f>
        <v>247193</v>
      </c>
      <c r="EW63" s="1392">
        <f t="shared" si="851"/>
        <v>-235</v>
      </c>
      <c r="EX63" s="1310">
        <f>EY63-EZ63</f>
        <v>4844</v>
      </c>
      <c r="EY63" s="850">
        <f>ROUND(EY$5*FF63/FF$6,0)</f>
        <v>204631</v>
      </c>
      <c r="EZ63" s="1248">
        <f>ROUND(EZ$5*FD63/FD$6,0)</f>
        <v>199787</v>
      </c>
      <c r="FA63" s="1336">
        <f>ROUND(FA$5*FF63/FF$6,0)</f>
        <v>-269</v>
      </c>
      <c r="FB63" s="1336">
        <f>ROUND(FB$5*FE63/FE$6,0)</f>
        <v>16684</v>
      </c>
      <c r="FC63" s="1689">
        <f t="shared" si="363"/>
        <v>-5079</v>
      </c>
      <c r="FD63" s="1414">
        <f>'22R3'!K61</f>
        <v>230953</v>
      </c>
      <c r="FE63" s="1310">
        <f>'22R3'!E61</f>
        <v>37875</v>
      </c>
      <c r="FF63" s="1690">
        <f>'22R3'!C61</f>
        <v>260121</v>
      </c>
      <c r="FG63" s="1392">
        <f t="shared" si="852"/>
        <v>-35669</v>
      </c>
      <c r="FH63" s="1310">
        <f>FI63-FJ63</f>
        <v>-30590</v>
      </c>
      <c r="FI63" s="850">
        <f>ROUND(FI$5*FP63/FP$6,0)</f>
        <v>211402</v>
      </c>
      <c r="FJ63" s="1248">
        <f>ROUND(FJ$5*FN63/FN$6,0)</f>
        <v>241992</v>
      </c>
      <c r="FK63" s="1336">
        <f>ROUND(FK$5*FP63/FP$6,0)</f>
        <v>-473</v>
      </c>
      <c r="FL63" s="1336">
        <f>ROUND(FL$5*FO63/FO$6,0)</f>
        <v>17175</v>
      </c>
      <c r="FM63" s="1398">
        <f t="shared" si="853"/>
        <v>-5079</v>
      </c>
      <c r="FN63" s="1748">
        <f>'23R4'!K61</f>
        <v>260821</v>
      </c>
      <c r="FO63" s="1332">
        <f>'23R4'!E61</f>
        <v>37620</v>
      </c>
      <c r="FP63" s="1690">
        <f>'23R4'!C61</f>
        <v>260535</v>
      </c>
      <c r="FQ63" s="1310"/>
      <c r="FR63" s="1392">
        <f t="shared" si="303"/>
        <v>35516</v>
      </c>
      <c r="FS63" s="1310">
        <f>FT63-FU63</f>
        <v>40595</v>
      </c>
      <c r="FT63" s="868">
        <f>ROUND(FT$5*GA63/GA$6,0)</f>
        <v>252890</v>
      </c>
      <c r="FU63" s="1248">
        <f>ROUND(FU$5*FY63/FY$6,0)</f>
        <v>212295</v>
      </c>
      <c r="FV63" s="1336">
        <f>ROUND(FV$5*GA63/GA$6,0)</f>
        <v>-557</v>
      </c>
      <c r="FW63" s="1336">
        <f>ROUND(FW$5*FZ63/FZ$6,0)</f>
        <v>18689</v>
      </c>
      <c r="FX63" s="1398">
        <f t="shared" si="335"/>
        <v>-5079</v>
      </c>
      <c r="FY63" s="1332">
        <f>'24R5'!K61</f>
        <v>232448</v>
      </c>
      <c r="FZ63" s="1332">
        <f>'24R5'!E61</f>
        <v>40923</v>
      </c>
      <c r="GA63" s="1319">
        <v>263141</v>
      </c>
      <c r="GB63" s="1392">
        <f t="shared" si="305"/>
        <v>23747</v>
      </c>
      <c r="GC63" s="1310">
        <f>GD63-GE63</f>
        <v>28826</v>
      </c>
      <c r="GD63" s="868">
        <f>ROUND(GD$5*GK63/GK$6,0)</f>
        <v>270311</v>
      </c>
      <c r="GE63" s="1248">
        <f>ROUND(GE$5*GI63/GI$6,0)</f>
        <v>241485</v>
      </c>
      <c r="GF63" s="1336">
        <f>ROUND(GF$5*GK63/GK$6,0)</f>
        <v>-583</v>
      </c>
      <c r="GG63" s="1336">
        <f>ROUND(GG$5*GJ63/GJ$6,0)</f>
        <v>9608</v>
      </c>
      <c r="GH63" s="1398">
        <f t="shared" si="338"/>
        <v>-5079</v>
      </c>
      <c r="GI63" s="1332">
        <f>'25R6'!K61</f>
        <v>260573</v>
      </c>
      <c r="GJ63" s="1332">
        <f>'25R6'!E61</f>
        <v>42875</v>
      </c>
      <c r="GK63" s="1319">
        <v>263141</v>
      </c>
      <c r="GL63" s="1392">
        <f t="shared" si="307"/>
        <v>5207</v>
      </c>
      <c r="GM63" s="1310">
        <f>GN63-GO63</f>
        <v>10286</v>
      </c>
      <c r="GN63" s="868">
        <f>ROUND(GN$5*GU63/GU$6,0)</f>
        <v>260734</v>
      </c>
      <c r="GO63" s="1248">
        <f>ROUND(GO$5*GS63/GS$6,0)</f>
        <v>250448</v>
      </c>
      <c r="GP63" s="1336">
        <f>ROUND(GP$5*GU63/GU$6,0)</f>
        <v>-563</v>
      </c>
      <c r="GQ63" s="1336">
        <f>ROUND(GQ$5*GT63/GT$6,0)</f>
        <v>9325</v>
      </c>
      <c r="GR63" s="1406">
        <f t="shared" si="341"/>
        <v>-5079</v>
      </c>
      <c r="GS63" s="1748">
        <f>'26R7'!K61</f>
        <v>272166</v>
      </c>
      <c r="GT63" s="1332">
        <f>'26R7'!E61</f>
        <v>43471</v>
      </c>
      <c r="GU63" s="1398">
        <v>272166</v>
      </c>
      <c r="GV63" s="1392">
        <f t="shared" si="309"/>
        <v>-7283</v>
      </c>
      <c r="GW63" s="1310">
        <f>GX63-GY63</f>
        <v>-2204</v>
      </c>
      <c r="GX63" s="868">
        <f>ROUND(GX$5*HE63/HE$6,0)</f>
        <v>262652</v>
      </c>
      <c r="GY63" s="1248">
        <f>ROUND(GY$5*HC63/HC$6,0)</f>
        <v>264856</v>
      </c>
      <c r="GZ63" s="1336">
        <f>ROUND(GZ$5*HE63/HE$6,0)</f>
        <v>-567</v>
      </c>
      <c r="HA63" s="1336">
        <f>ROUND(HA$5*HD63/HD$6,0)</f>
        <v>8261</v>
      </c>
      <c r="HB63" s="1406">
        <f t="shared" si="344"/>
        <v>-5079</v>
      </c>
      <c r="HC63" s="1748">
        <f>'27R8'!U61</f>
        <v>268281</v>
      </c>
      <c r="HD63" s="1690">
        <f>'27R8'!O61</f>
        <v>-8534</v>
      </c>
      <c r="HE63" s="1398">
        <v>272886</v>
      </c>
      <c r="HF63" s="1392">
        <f t="shared" si="311"/>
        <v>-8344</v>
      </c>
      <c r="HG63" s="1310">
        <f>HH63-HI63</f>
        <v>-3265</v>
      </c>
      <c r="HH63" s="868">
        <f>ROUND(HH$5*HO63/HO$6,0)</f>
        <v>267951</v>
      </c>
      <c r="HI63" s="1248">
        <f>ROUND(HI$5*HM63/HM$6,0)</f>
        <v>271216</v>
      </c>
      <c r="HJ63" s="1336">
        <f>ROUND(HJ$5*HO63/HO$6,0)</f>
        <v>-579</v>
      </c>
      <c r="HK63" s="1336">
        <f>ROUND(HK$5*HN63/HN$6,0)</f>
        <v>8261</v>
      </c>
      <c r="HL63" s="1406">
        <f t="shared" si="347"/>
        <v>-5079</v>
      </c>
      <c r="HM63" s="1748">
        <f>'28R9'!U61</f>
        <v>268281</v>
      </c>
      <c r="HN63" s="1332">
        <f>'28R9'!O61</f>
        <v>-8534</v>
      </c>
      <c r="HO63" s="1398">
        <v>275431</v>
      </c>
      <c r="HQ63" s="1310">
        <f>市町名目!J62</f>
        <v>258231</v>
      </c>
      <c r="HR63" s="1310">
        <f>市町名目!K62</f>
        <v>247193</v>
      </c>
      <c r="HS63" s="1310">
        <f>市町名目!L62</f>
        <v>260121</v>
      </c>
      <c r="HT63" s="1310">
        <f>市町名目!M62</f>
        <v>260535</v>
      </c>
      <c r="HU63" s="1310">
        <f>市町名目!N62</f>
        <v>267166</v>
      </c>
      <c r="HV63" s="1054">
        <v>266852</v>
      </c>
      <c r="HW63" s="1030">
        <v>298326</v>
      </c>
      <c r="HX63" s="1030">
        <v>272886</v>
      </c>
      <c r="HY63" s="1030">
        <v>275431</v>
      </c>
    </row>
    <row r="64" spans="1:233" ht="12.5">
      <c r="A64" s="1302"/>
      <c r="B64" s="1341" t="s">
        <v>212</v>
      </c>
      <c r="C64" s="856">
        <f>SUM(C65:C67)</f>
        <v>11617</v>
      </c>
      <c r="D64" s="830">
        <f t="shared" ref="D64:I64" si="937">SUM(D65:D67)</f>
        <v>6765</v>
      </c>
      <c r="E64" s="830">
        <f>SUM(E65:E67)</f>
        <v>417316</v>
      </c>
      <c r="F64" s="830">
        <f t="shared" si="937"/>
        <v>408472</v>
      </c>
      <c r="G64" s="830">
        <f t="shared" si="937"/>
        <v>-666</v>
      </c>
      <c r="H64" s="830">
        <f t="shared" si="937"/>
        <v>43283</v>
      </c>
      <c r="I64" s="1337">
        <f t="shared" si="937"/>
        <v>4852</v>
      </c>
      <c r="J64" s="1338">
        <f>SUM(J65:J67)</f>
        <v>478672</v>
      </c>
      <c r="K64" s="1248">
        <f>+'7H18'!E62</f>
        <v>66561</v>
      </c>
      <c r="L64" s="1337">
        <f t="shared" ref="L64:S64" si="938">SUM(L65:L67)</f>
        <v>490289</v>
      </c>
      <c r="M64" s="856">
        <f t="shared" si="938"/>
        <v>11340</v>
      </c>
      <c r="N64" s="830">
        <f t="shared" si="938"/>
        <v>3578</v>
      </c>
      <c r="O64" s="830">
        <f>SUM(O65:O67)</f>
        <v>428326</v>
      </c>
      <c r="P64" s="830">
        <f t="shared" si="938"/>
        <v>406065</v>
      </c>
      <c r="Q64" s="830">
        <f t="shared" si="938"/>
        <v>-1026</v>
      </c>
      <c r="R64" s="830">
        <f t="shared" si="938"/>
        <v>42056</v>
      </c>
      <c r="S64" s="1337">
        <f t="shared" si="938"/>
        <v>7762</v>
      </c>
      <c r="T64" s="1338">
        <f>+'8H19'!K62</f>
        <v>456778</v>
      </c>
      <c r="U64" s="1248">
        <f>+'8H19'!E62</f>
        <v>65221</v>
      </c>
      <c r="V64" s="1337">
        <f t="shared" ref="V64:AC64" si="939">SUM(V65:V67)</f>
        <v>468118</v>
      </c>
      <c r="W64" s="856">
        <f t="shared" si="939"/>
        <v>21764</v>
      </c>
      <c r="X64" s="830">
        <f t="shared" si="939"/>
        <v>15145</v>
      </c>
      <c r="Y64" s="830">
        <f>SUM(Y65:Y67)</f>
        <v>395274</v>
      </c>
      <c r="Z64" s="830">
        <f t="shared" si="939"/>
        <v>396976</v>
      </c>
      <c r="AA64" s="830">
        <f t="shared" si="939"/>
        <v>-2543</v>
      </c>
      <c r="AB64" s="830">
        <f t="shared" si="939"/>
        <v>40249</v>
      </c>
      <c r="AC64" s="1337">
        <f t="shared" si="939"/>
        <v>6619</v>
      </c>
      <c r="AD64" s="1338">
        <f>+'9H20'!K62</f>
        <v>449898</v>
      </c>
      <c r="AE64" s="1248">
        <f>+'9H20'!E62</f>
        <v>67408</v>
      </c>
      <c r="AF64" s="1337">
        <f t="shared" ref="AF64:AM64" si="940">SUM(AF65:AF67)</f>
        <v>471662</v>
      </c>
      <c r="AG64" s="856">
        <f t="shared" si="940"/>
        <v>35735</v>
      </c>
      <c r="AH64" s="830">
        <f t="shared" si="940"/>
        <v>41056</v>
      </c>
      <c r="AI64" s="830">
        <f>SUM(AI65:AI67)</f>
        <v>356759</v>
      </c>
      <c r="AJ64" s="830">
        <f t="shared" si="940"/>
        <v>372335</v>
      </c>
      <c r="AK64" s="830">
        <f t="shared" si="940"/>
        <v>338</v>
      </c>
      <c r="AL64" s="830">
        <f t="shared" si="940"/>
        <v>40964</v>
      </c>
      <c r="AM64" s="1337">
        <f t="shared" si="940"/>
        <v>-5321</v>
      </c>
      <c r="AN64" s="1338">
        <f>+'10H21'!K62</f>
        <v>453462</v>
      </c>
      <c r="AO64" s="1248">
        <f>+'10H21'!E62</f>
        <v>73213</v>
      </c>
      <c r="AP64" s="1337">
        <f>'10H21'!C62</f>
        <v>489197</v>
      </c>
      <c r="AQ64" s="856">
        <f t="shared" ref="AQ64:AW64" si="941">SUM(AQ65:AQ67)</f>
        <v>46320</v>
      </c>
      <c r="AR64" s="830">
        <f t="shared" si="941"/>
        <v>40670</v>
      </c>
      <c r="AS64" s="830">
        <f>SUM(AS65:AS67)</f>
        <v>374605</v>
      </c>
      <c r="AT64" s="830">
        <f t="shared" si="941"/>
        <v>379810</v>
      </c>
      <c r="AU64" s="830">
        <f t="shared" si="941"/>
        <v>-2744</v>
      </c>
      <c r="AV64" s="830">
        <f t="shared" si="941"/>
        <v>41443</v>
      </c>
      <c r="AW64" s="1337">
        <f t="shared" si="941"/>
        <v>5650</v>
      </c>
      <c r="AX64" s="1338">
        <f>+'11H22'!K62</f>
        <v>451813</v>
      </c>
      <c r="AY64" s="1248">
        <f>+'11H22'!E62</f>
        <v>70271</v>
      </c>
      <c r="AZ64" s="1337">
        <f>'11H22'!C62</f>
        <v>498133</v>
      </c>
      <c r="BA64" s="856">
        <f t="shared" ref="BA64:BG64" si="942">SUM(BA65:BA67)</f>
        <v>-10105</v>
      </c>
      <c r="BB64" s="830">
        <f t="shared" si="942"/>
        <v>-14469</v>
      </c>
      <c r="BC64" s="830">
        <f>SUM(BC65:BC67)</f>
        <v>349783</v>
      </c>
      <c r="BD64" s="830">
        <f t="shared" si="942"/>
        <v>387052</v>
      </c>
      <c r="BE64" s="830">
        <f t="shared" si="942"/>
        <v>-1755</v>
      </c>
      <c r="BF64" s="830">
        <f t="shared" si="942"/>
        <v>42393</v>
      </c>
      <c r="BG64" s="1337">
        <f t="shared" si="942"/>
        <v>4364</v>
      </c>
      <c r="BH64" s="1338">
        <f>+'12H23'!K62</f>
        <v>451139</v>
      </c>
      <c r="BI64" s="1248">
        <f>+'12H23'!E62</f>
        <v>74382</v>
      </c>
      <c r="BJ64" s="1337">
        <f>'12H23'!C62</f>
        <v>441034</v>
      </c>
      <c r="BK64" s="856">
        <f t="shared" ref="BK64:BQ64" si="943">SUM(BK65:BK67)</f>
        <v>-23272</v>
      </c>
      <c r="BL64" s="830">
        <f t="shared" si="943"/>
        <v>-30536</v>
      </c>
      <c r="BM64" s="830">
        <f>SUM(BM65:BM67)</f>
        <v>341247</v>
      </c>
      <c r="BN64" s="830">
        <f t="shared" si="943"/>
        <v>394948</v>
      </c>
      <c r="BO64" s="830">
        <f t="shared" si="943"/>
        <v>-1418</v>
      </c>
      <c r="BP64" s="830">
        <f t="shared" si="943"/>
        <v>40699</v>
      </c>
      <c r="BQ64" s="1337">
        <f t="shared" si="943"/>
        <v>7264</v>
      </c>
      <c r="BR64" s="1338">
        <f>+'13H24'!K62</f>
        <v>461288</v>
      </c>
      <c r="BS64" s="1248">
        <f>+'13H24'!E62</f>
        <v>74346</v>
      </c>
      <c r="BT64" s="1337">
        <f>'13H24'!C62</f>
        <v>438016</v>
      </c>
      <c r="BU64" s="856">
        <f t="shared" ref="BU64:CA64" si="944">SUM(BU65:BU67)</f>
        <v>-25131</v>
      </c>
      <c r="BV64" s="830">
        <f t="shared" si="944"/>
        <v>-31420</v>
      </c>
      <c r="BW64" s="830">
        <f>SUM(BW65:BW67)</f>
        <v>349712</v>
      </c>
      <c r="BX64" s="830">
        <f t="shared" si="944"/>
        <v>404987</v>
      </c>
      <c r="BY64" s="830">
        <f t="shared" si="944"/>
        <v>-1442</v>
      </c>
      <c r="BZ64" s="830">
        <f t="shared" si="944"/>
        <v>42115</v>
      </c>
      <c r="CA64" s="1337">
        <f t="shared" si="944"/>
        <v>6289</v>
      </c>
      <c r="CB64" s="1338">
        <f>+'14H25'!K62</f>
        <v>473296</v>
      </c>
      <c r="CC64" s="1248">
        <f>+'14H25'!E62</f>
        <v>80041</v>
      </c>
      <c r="CD64" s="1337">
        <f>'14H25'!C62</f>
        <v>448165</v>
      </c>
      <c r="CE64" s="856">
        <f t="shared" ref="CE64:CK64" si="945">SUM(CE65:CE67)</f>
        <v>-14769</v>
      </c>
      <c r="CF64" s="830">
        <f t="shared" si="945"/>
        <v>-9940</v>
      </c>
      <c r="CG64" s="830">
        <f>SUM(CG65:CG67)</f>
        <v>357523</v>
      </c>
      <c r="CH64" s="830">
        <f t="shared" si="945"/>
        <v>394268</v>
      </c>
      <c r="CI64" s="830">
        <f t="shared" si="945"/>
        <v>-1555</v>
      </c>
      <c r="CJ64" s="830">
        <f t="shared" si="945"/>
        <v>42122</v>
      </c>
      <c r="CK64" s="1337">
        <f t="shared" si="945"/>
        <v>-4829</v>
      </c>
      <c r="CL64" s="1338">
        <f>+'15H26'!K62</f>
        <v>458686</v>
      </c>
      <c r="CM64" s="1248">
        <f>+'15H26'!E62</f>
        <v>80385</v>
      </c>
      <c r="CN64" s="1337">
        <f>'15H26'!C62</f>
        <v>443917</v>
      </c>
      <c r="CO64" s="856">
        <f t="shared" ref="CO64:CU64" si="946">SUM(CO65:CO67)</f>
        <v>-14755</v>
      </c>
      <c r="CP64" s="830">
        <f t="shared" si="946"/>
        <v>-20031</v>
      </c>
      <c r="CQ64" s="830">
        <f>SUM(CQ65:CQ67)</f>
        <v>360669</v>
      </c>
      <c r="CR64" s="830">
        <f t="shared" si="946"/>
        <v>399011</v>
      </c>
      <c r="CS64" s="830">
        <f t="shared" si="946"/>
        <v>-1625</v>
      </c>
      <c r="CT64" s="830">
        <f t="shared" si="946"/>
        <v>43532</v>
      </c>
      <c r="CU64" s="1337">
        <f t="shared" si="946"/>
        <v>5276</v>
      </c>
      <c r="CV64" s="1338">
        <f>+'16H27'!K62</f>
        <v>479966</v>
      </c>
      <c r="CW64" s="1248">
        <f>+'16H27'!E62</f>
        <v>85600</v>
      </c>
      <c r="CX64" s="1337">
        <f>'16H27'!C62</f>
        <v>465211</v>
      </c>
      <c r="CY64" s="856">
        <f t="shared" ref="CY64:DE64" si="947">SUM(CY65:CY67)</f>
        <v>5836</v>
      </c>
      <c r="CZ64" s="830">
        <f t="shared" si="947"/>
        <v>6225</v>
      </c>
      <c r="DA64" s="830">
        <f>SUM(DA65:DA67)</f>
        <v>351674</v>
      </c>
      <c r="DB64" s="830">
        <f t="shared" si="947"/>
        <v>375736</v>
      </c>
      <c r="DC64" s="830">
        <f t="shared" si="947"/>
        <v>-1486</v>
      </c>
      <c r="DD64" s="830">
        <f t="shared" si="947"/>
        <v>43282</v>
      </c>
      <c r="DE64" s="1337">
        <f t="shared" si="947"/>
        <v>-389</v>
      </c>
      <c r="DF64" s="1338">
        <f>+'17H28'!K62</f>
        <v>464615</v>
      </c>
      <c r="DG64" s="1248">
        <f>+'17H28'!E62</f>
        <v>84172</v>
      </c>
      <c r="DH64" s="1337">
        <f>'17H28'!C62</f>
        <v>470451</v>
      </c>
      <c r="DI64" s="856">
        <f t="shared" ref="DI64:DO64" si="948">SUM(DI65:DI67)</f>
        <v>4428</v>
      </c>
      <c r="DJ64" s="830">
        <f t="shared" si="948"/>
        <v>21250</v>
      </c>
      <c r="DK64" s="830">
        <f>SUM(DK65:DK67)</f>
        <v>365063</v>
      </c>
      <c r="DL64" s="830">
        <f t="shared" si="948"/>
        <v>384720</v>
      </c>
      <c r="DM64" s="830">
        <f t="shared" si="948"/>
        <v>-1165</v>
      </c>
      <c r="DN64" s="830">
        <f t="shared" si="948"/>
        <v>37168</v>
      </c>
      <c r="DO64" s="1337">
        <f t="shared" si="948"/>
        <v>-16822</v>
      </c>
      <c r="DP64" s="1338">
        <f>+'18H29'!K62</f>
        <v>463517</v>
      </c>
      <c r="DQ64" s="1248">
        <f>+'18H29'!E62</f>
        <v>80668</v>
      </c>
      <c r="DR64" s="1337">
        <f>+'18H29'!C62</f>
        <v>467945</v>
      </c>
      <c r="DS64" s="856">
        <f t="shared" ref="DS64:DY64" si="949">SUM(DS65:DS67)</f>
        <v>18571</v>
      </c>
      <c r="DT64" s="830">
        <f t="shared" si="949"/>
        <v>44135</v>
      </c>
      <c r="DU64" s="830">
        <f>SUM(DU65:DU67)</f>
        <v>367388</v>
      </c>
      <c r="DV64" s="830">
        <f t="shared" si="949"/>
        <v>380209</v>
      </c>
      <c r="DW64" s="830">
        <f t="shared" si="949"/>
        <v>-1198</v>
      </c>
      <c r="DX64" s="830">
        <f t="shared" si="949"/>
        <v>38705</v>
      </c>
      <c r="DY64" s="1337">
        <f t="shared" si="949"/>
        <v>-25564</v>
      </c>
      <c r="DZ64" s="1338">
        <f>+'19H30'!K62</f>
        <v>446463</v>
      </c>
      <c r="EA64" s="1248">
        <f>+'19H30'!E62</f>
        <v>82215</v>
      </c>
      <c r="EB64" s="1337">
        <f>+'19H30'!C62</f>
        <v>465034</v>
      </c>
      <c r="EC64" s="856">
        <f t="shared" ref="EC64:EI64" si="950">SUM(EC65:EC67)</f>
        <v>-3955</v>
      </c>
      <c r="ED64" s="830">
        <f t="shared" si="950"/>
        <v>32450</v>
      </c>
      <c r="EE64" s="830">
        <f>SUM(EE65:EE67)</f>
        <v>363119</v>
      </c>
      <c r="EF64" s="830">
        <f t="shared" si="950"/>
        <v>396146</v>
      </c>
      <c r="EG64" s="830">
        <f t="shared" si="950"/>
        <v>-1134</v>
      </c>
      <c r="EH64" s="830">
        <f t="shared" si="950"/>
        <v>40364</v>
      </c>
      <c r="EI64" s="1337">
        <f t="shared" si="950"/>
        <v>-36405</v>
      </c>
      <c r="EJ64" s="1338">
        <f>+'20R1'!K62</f>
        <v>472950</v>
      </c>
      <c r="EK64" s="1248">
        <f>+'20R1'!E62</f>
        <v>88079</v>
      </c>
      <c r="EL64" s="1337">
        <f>+'20R1'!C62</f>
        <v>468995</v>
      </c>
      <c r="EM64" s="856">
        <f t="shared" ref="EM64" si="951">SUM(EM65:EM67)</f>
        <v>5853</v>
      </c>
      <c r="EN64" s="830">
        <f t="shared" ref="EN64" si="952">SUM(EN65:EN67)</f>
        <v>13938</v>
      </c>
      <c r="EO64" s="830">
        <f>SUM(EO65:EO67)</f>
        <v>317132</v>
      </c>
      <c r="EP64" s="830">
        <f t="shared" ref="EP64:EU64" si="953">SUM(EP65:EP67)</f>
        <v>349604</v>
      </c>
      <c r="EQ64" s="1336">
        <f t="shared" si="953"/>
        <v>-831</v>
      </c>
      <c r="ER64" s="1336">
        <f t="shared" si="953"/>
        <v>43323</v>
      </c>
      <c r="ES64" s="850">
        <f t="shared" si="953"/>
        <v>-8085</v>
      </c>
      <c r="ET64" s="1338">
        <f t="shared" si="953"/>
        <v>435741</v>
      </c>
      <c r="EU64" s="830">
        <f t="shared" si="953"/>
        <v>95607</v>
      </c>
      <c r="EV64" s="1317">
        <f>+'21R2'!C62</f>
        <v>441594</v>
      </c>
      <c r="EW64" s="1392">
        <f t="shared" si="851"/>
        <v>-73891</v>
      </c>
      <c r="EX64" s="1393">
        <f t="shared" ref="EX64:FC64" si="954">SUM(EX65:EX67)</f>
        <v>-65063</v>
      </c>
      <c r="EY64" s="1393">
        <f t="shared" si="954"/>
        <v>355681</v>
      </c>
      <c r="EZ64" s="1393">
        <f t="shared" si="954"/>
        <v>420744</v>
      </c>
      <c r="FA64" s="1393">
        <f t="shared" si="954"/>
        <v>-469</v>
      </c>
      <c r="FB64" s="1393">
        <f t="shared" si="954"/>
        <v>46884</v>
      </c>
      <c r="FC64" s="1693">
        <f t="shared" si="954"/>
        <v>-8828</v>
      </c>
      <c r="FD64" s="1414">
        <f>'22R3'!K62</f>
        <v>486379</v>
      </c>
      <c r="FE64" s="1310">
        <f>'22R3'!E62</f>
        <v>106432</v>
      </c>
      <c r="FF64" s="1690">
        <f>'22R3'!C62</f>
        <v>452131</v>
      </c>
      <c r="FG64" s="1392">
        <f t="shared" si="852"/>
        <v>-93228</v>
      </c>
      <c r="FH64" s="1393">
        <f t="shared" ref="FH64" si="955">SUM(FH65:FH67)</f>
        <v>-84400</v>
      </c>
      <c r="FI64" s="830">
        <f>SUM(FI65:FI67)</f>
        <v>385760</v>
      </c>
      <c r="FJ64" s="830">
        <f t="shared" ref="FJ64:FL64" si="956">SUM(FJ65:FJ67)</f>
        <v>470160</v>
      </c>
      <c r="FK64" s="1336">
        <f t="shared" si="956"/>
        <v>-863</v>
      </c>
      <c r="FL64" s="1336">
        <f t="shared" si="956"/>
        <v>44924</v>
      </c>
      <c r="FM64" s="1398">
        <f t="shared" si="853"/>
        <v>-8828</v>
      </c>
      <c r="FN64" s="1748">
        <f>'23R4'!K62</f>
        <v>506743</v>
      </c>
      <c r="FO64" s="1332">
        <f>'23R4'!E62</f>
        <v>98397</v>
      </c>
      <c r="FP64" s="1690">
        <f>'23R4'!C62</f>
        <v>475417</v>
      </c>
      <c r="FQ64" s="1310"/>
      <c r="FR64" s="1392">
        <f t="shared" si="303"/>
        <v>44009</v>
      </c>
      <c r="FS64" s="1393">
        <f t="shared" ref="FS64" si="957">SUM(FS65:FS67)</f>
        <v>52837</v>
      </c>
      <c r="FT64" s="830">
        <f>SUM(FT65:FT67)</f>
        <v>508834</v>
      </c>
      <c r="FU64" s="830">
        <f t="shared" ref="FU64:FW64" si="958">SUM(FU65:FU67)</f>
        <v>455997</v>
      </c>
      <c r="FV64" s="1336">
        <f t="shared" si="958"/>
        <v>-1121</v>
      </c>
      <c r="FW64" s="1336">
        <f t="shared" si="958"/>
        <v>46350</v>
      </c>
      <c r="FX64" s="1398">
        <f t="shared" si="335"/>
        <v>-8828</v>
      </c>
      <c r="FY64" s="1332">
        <f>'24R5'!K62</f>
        <v>499285</v>
      </c>
      <c r="FZ64" s="1332">
        <f>'24R5'!E62</f>
        <v>101490</v>
      </c>
      <c r="GA64" s="1319">
        <v>529460</v>
      </c>
      <c r="GB64" s="1392">
        <f t="shared" si="305"/>
        <v>38801</v>
      </c>
      <c r="GC64" s="1393">
        <f t="shared" ref="GC64" si="959">SUM(GC65:GC67)</f>
        <v>47629</v>
      </c>
      <c r="GD64" s="830">
        <f>SUM(GD65:GD67)</f>
        <v>543887</v>
      </c>
      <c r="GE64" s="830">
        <f t="shared" ref="GE64:GG64" si="960">SUM(GE65:GE67)</f>
        <v>496258</v>
      </c>
      <c r="GF64" s="1336">
        <f t="shared" si="960"/>
        <v>-1173</v>
      </c>
      <c r="GG64" s="1336">
        <f t="shared" si="960"/>
        <v>23108</v>
      </c>
      <c r="GH64" s="1398">
        <f t="shared" si="338"/>
        <v>-8828</v>
      </c>
      <c r="GI64" s="1332">
        <f>'25R6'!K62</f>
        <v>535484</v>
      </c>
      <c r="GJ64" s="1332">
        <f>'25R6'!E62</f>
        <v>103121</v>
      </c>
      <c r="GK64" s="1319">
        <v>529460</v>
      </c>
      <c r="GL64" s="1392">
        <f t="shared" si="307"/>
        <v>12650</v>
      </c>
      <c r="GM64" s="1393">
        <f t="shared" ref="GM64" si="961">SUM(GM65:GM67)</f>
        <v>21478</v>
      </c>
      <c r="GN64" s="830">
        <f>SUM(GN65:GN67)</f>
        <v>544428</v>
      </c>
      <c r="GO64" s="830">
        <f t="shared" ref="GO64:GQ64" si="962">SUM(GO65:GO67)</f>
        <v>522950</v>
      </c>
      <c r="GP64" s="1336">
        <f t="shared" si="962"/>
        <v>-1176</v>
      </c>
      <c r="GQ64" s="1336">
        <f t="shared" si="962"/>
        <v>23283</v>
      </c>
      <c r="GR64" s="1406">
        <f t="shared" si="341"/>
        <v>-8828</v>
      </c>
      <c r="GS64" s="1748">
        <f>'26R7'!K62</f>
        <v>568299</v>
      </c>
      <c r="GT64" s="1332">
        <f>'26R7'!E62</f>
        <v>108536</v>
      </c>
      <c r="GU64" s="1398">
        <v>568299</v>
      </c>
      <c r="GV64" s="1392">
        <f t="shared" si="309"/>
        <v>-26173</v>
      </c>
      <c r="GW64" s="1393">
        <f t="shared" ref="GW64" si="963">SUM(GW65:GW67)</f>
        <v>-17345</v>
      </c>
      <c r="GX64" s="830">
        <f>SUM(GX65:GX67)</f>
        <v>542455</v>
      </c>
      <c r="GY64" s="830">
        <f t="shared" ref="GY64:HA64" si="964">SUM(GY65:GY67)</f>
        <v>559800</v>
      </c>
      <c r="GZ64" s="1336">
        <f t="shared" si="964"/>
        <v>-1172</v>
      </c>
      <c r="HA64" s="1336">
        <f t="shared" si="964"/>
        <v>33370</v>
      </c>
      <c r="HB64" s="1406">
        <f t="shared" si="344"/>
        <v>-8828</v>
      </c>
      <c r="HC64" s="1748">
        <f>'27R8'!U62</f>
        <v>567041</v>
      </c>
      <c r="HD64" s="1690">
        <f>'27R8'!O62</f>
        <v>-34473</v>
      </c>
      <c r="HE64" s="1398">
        <v>563592</v>
      </c>
      <c r="HF64" s="1392">
        <f t="shared" si="311"/>
        <v>-39556</v>
      </c>
      <c r="HG64" s="1393">
        <f t="shared" ref="HG64" si="965">SUM(HG65:HG67)</f>
        <v>-30728</v>
      </c>
      <c r="HH64" s="830">
        <f>SUM(HH65:HH67)</f>
        <v>542516</v>
      </c>
      <c r="HI64" s="830">
        <f t="shared" ref="HI64:HK64" si="966">SUM(HI65:HI67)</f>
        <v>573244</v>
      </c>
      <c r="HJ64" s="1336">
        <f t="shared" si="966"/>
        <v>-1172</v>
      </c>
      <c r="HK64" s="1336">
        <f t="shared" si="966"/>
        <v>33370</v>
      </c>
      <c r="HL64" s="1406">
        <f t="shared" si="347"/>
        <v>-8828</v>
      </c>
      <c r="HM64" s="1748">
        <f>'28R9'!U62</f>
        <v>567041</v>
      </c>
      <c r="HN64" s="1332">
        <f>'28R9'!O62</f>
        <v>-34473</v>
      </c>
      <c r="HO64" s="1398">
        <v>557660</v>
      </c>
      <c r="HP64" s="830"/>
      <c r="HQ64" s="1310">
        <f>市町名目!J63</f>
        <v>468995</v>
      </c>
      <c r="HR64" s="1310">
        <f>市町名目!K63</f>
        <v>441594</v>
      </c>
      <c r="HS64" s="1310">
        <f>市町名目!L63</f>
        <v>452131</v>
      </c>
      <c r="HT64" s="1310">
        <f>市町名目!M63</f>
        <v>475417</v>
      </c>
      <c r="HU64" s="1310">
        <f>市町名目!N63</f>
        <v>501130</v>
      </c>
      <c r="HV64" s="539">
        <v>519874</v>
      </c>
      <c r="HW64" s="1473">
        <v>579029</v>
      </c>
      <c r="HX64" s="1473">
        <v>563592</v>
      </c>
      <c r="HY64" s="1473">
        <v>557660</v>
      </c>
    </row>
    <row r="65" spans="1:233" ht="12.5">
      <c r="A65" s="1269">
        <v>205</v>
      </c>
      <c r="B65" s="1270" t="s">
        <v>241</v>
      </c>
      <c r="C65" s="1316">
        <f>+L65-J65</f>
        <v>27600</v>
      </c>
      <c r="D65" s="1248">
        <f>C65-I65</f>
        <v>25667</v>
      </c>
      <c r="E65" s="850">
        <f>ROUND(E$5*L65/L$6,0)</f>
        <v>166272</v>
      </c>
      <c r="F65" s="1248">
        <f>ROUND(F$5*J65/J$6,0)</f>
        <v>143146</v>
      </c>
      <c r="G65" s="830">
        <f>ROUND(G$5*L65/L$6,0)</f>
        <v>-265</v>
      </c>
      <c r="H65" s="830">
        <f t="shared" ref="H65:I67" si="967">ROUND(H$5*K65/K$6,0)</f>
        <v>12940</v>
      </c>
      <c r="I65" s="1317">
        <f t="shared" si="967"/>
        <v>1933</v>
      </c>
      <c r="J65" s="1318">
        <f>'7H18'!K63</f>
        <v>167747</v>
      </c>
      <c r="K65" s="1248">
        <f>+'7H18'!E63</f>
        <v>19899</v>
      </c>
      <c r="L65" s="1317">
        <f>'7H18'!C63</f>
        <v>195347</v>
      </c>
      <c r="M65" s="1316">
        <f>+V65-T65</f>
        <v>25852</v>
      </c>
      <c r="N65" s="1248">
        <f>M65-S65</f>
        <v>22836</v>
      </c>
      <c r="O65" s="850">
        <f>ROUND(O$5*V65/V$6,0)</f>
        <v>166424</v>
      </c>
      <c r="P65" s="1248">
        <f>ROUND(P$5*T65/T$6,0)</f>
        <v>138710</v>
      </c>
      <c r="Q65" s="830">
        <f>ROUND(Q$5*V65/V$6,0)</f>
        <v>-399</v>
      </c>
      <c r="R65" s="830">
        <f t="shared" ref="R65:S67" si="968">ROUND(R$5*U65/U$6,0)</f>
        <v>12414</v>
      </c>
      <c r="S65" s="1317">
        <f t="shared" si="968"/>
        <v>3016</v>
      </c>
      <c r="T65" s="1318">
        <f>+'8H19'!K63</f>
        <v>156033</v>
      </c>
      <c r="U65" s="1248">
        <f>+'8H19'!E63</f>
        <v>19252</v>
      </c>
      <c r="V65" s="1317">
        <f>'8H19'!C63</f>
        <v>181885</v>
      </c>
      <c r="W65" s="1316">
        <f>+AF65-AD65</f>
        <v>21354</v>
      </c>
      <c r="X65" s="1248">
        <f>W65-AC65</f>
        <v>18853</v>
      </c>
      <c r="Y65" s="850">
        <f>ROUND(Y$5*AF65/AF$6,0)</f>
        <v>149328</v>
      </c>
      <c r="Z65" s="1248">
        <f>ROUND(Z$5*AD65/AD$6,0)</f>
        <v>138384</v>
      </c>
      <c r="AA65" s="830">
        <f>ROUND(AA$5*AF65/AF$6,0)</f>
        <v>-961</v>
      </c>
      <c r="AB65" s="830">
        <f t="shared" ref="AB65:AC67" si="969">ROUND(AB$5*AE65/AE$6,0)</f>
        <v>11966</v>
      </c>
      <c r="AC65" s="1317">
        <f t="shared" si="969"/>
        <v>2501</v>
      </c>
      <c r="AD65" s="1318">
        <f>+'9H20'!K63</f>
        <v>156832</v>
      </c>
      <c r="AE65" s="1248">
        <f>+'9H20'!E63</f>
        <v>20041</v>
      </c>
      <c r="AF65" s="1317">
        <f>'9H20'!C63</f>
        <v>178186</v>
      </c>
      <c r="AG65" s="1316">
        <f>+AP65-AN65</f>
        <v>31551</v>
      </c>
      <c r="AH65" s="1248">
        <f>AG65-AM65</f>
        <v>33602</v>
      </c>
      <c r="AI65" s="850">
        <f>ROUND(AI$5*AP65/AP$6,0)</f>
        <v>137534</v>
      </c>
      <c r="AJ65" s="1248">
        <f>ROUND(AJ$5*AN65/AN$6,0)</f>
        <v>128944</v>
      </c>
      <c r="AK65" s="830">
        <f>ROUND(AK$5*AP65/AP$6,0)</f>
        <v>130</v>
      </c>
      <c r="AL65" s="830">
        <f t="shared" ref="AL65:AM67" si="970">ROUND(AL$5*AO65/AO$6,0)</f>
        <v>12096</v>
      </c>
      <c r="AM65" s="1317">
        <f t="shared" si="970"/>
        <v>-2051</v>
      </c>
      <c r="AN65" s="1318">
        <f>+'10H21'!K63</f>
        <v>157039</v>
      </c>
      <c r="AO65" s="1248">
        <f>+'10H21'!E63</f>
        <v>21618</v>
      </c>
      <c r="AP65" s="1317">
        <f>'10H21'!C63</f>
        <v>188590</v>
      </c>
      <c r="AQ65" s="1316">
        <f>+AZ65-AX65</f>
        <v>17649</v>
      </c>
      <c r="AR65" s="1248">
        <f>AQ65-AW65</f>
        <v>15485</v>
      </c>
      <c r="AS65" s="850">
        <f>ROUND(AS$5*AZ65/AZ$6,0)</f>
        <v>143493</v>
      </c>
      <c r="AT65" s="1248">
        <f>ROUND(AT$5*AX65/AX$6,0)</f>
        <v>145565</v>
      </c>
      <c r="AU65" s="830">
        <f>ROUND(AU$5*AZ65/AZ$6,0)</f>
        <v>-1051</v>
      </c>
      <c r="AV65" s="830">
        <f t="shared" ref="AV65:AW67" si="971">ROUND(AV$5*AY65/AY$6,0)</f>
        <v>12441</v>
      </c>
      <c r="AW65" s="1317">
        <f t="shared" si="971"/>
        <v>2164</v>
      </c>
      <c r="AX65" s="1318">
        <f>+'11H22'!K63</f>
        <v>173161</v>
      </c>
      <c r="AY65" s="1248">
        <f>+'11H22'!E63</f>
        <v>21095</v>
      </c>
      <c r="AZ65" s="1317">
        <f>'11H22'!C63</f>
        <v>190810</v>
      </c>
      <c r="BA65" s="1316">
        <f>+BJ65-BH65</f>
        <v>2884</v>
      </c>
      <c r="BB65" s="1248">
        <f>BA65-BG65</f>
        <v>1343</v>
      </c>
      <c r="BC65" s="850">
        <f>ROUND(BC$5*BJ65/BJ$6,0)</f>
        <v>123520</v>
      </c>
      <c r="BD65" s="1248">
        <f>ROUND(BD$5*BH65/BH$6,0)</f>
        <v>131145</v>
      </c>
      <c r="BE65" s="830">
        <f>ROUND(BE$5*BJ65/BJ$6,0)</f>
        <v>-620</v>
      </c>
      <c r="BF65" s="830">
        <f t="shared" ref="BF65:BG67" si="972">ROUND(BF$5*BI65/BI$6,0)</f>
        <v>12682</v>
      </c>
      <c r="BG65" s="1317">
        <f t="shared" si="972"/>
        <v>1541</v>
      </c>
      <c r="BH65" s="1318">
        <f>+'12H23'!K63</f>
        <v>152860</v>
      </c>
      <c r="BI65" s="1248">
        <f>+'12H23'!E63</f>
        <v>22251</v>
      </c>
      <c r="BJ65" s="1317">
        <f>'12H23'!C63</f>
        <v>155744</v>
      </c>
      <c r="BK65" s="1316">
        <f>+BT65-BR65</f>
        <v>-457</v>
      </c>
      <c r="BL65" s="1248">
        <f>BK65-BQ65</f>
        <v>-3018</v>
      </c>
      <c r="BM65" s="850">
        <f>ROUND(BM$5*BT65/BT$6,0)</f>
        <v>120336</v>
      </c>
      <c r="BN65" s="1248">
        <f>ROUND(BN$5*BR65/BR$6,0)</f>
        <v>132638</v>
      </c>
      <c r="BO65" s="830">
        <f>ROUND(BO$5*BT65/BT$6,0)</f>
        <v>-500</v>
      </c>
      <c r="BP65" s="830">
        <f t="shared" ref="BP65:BQ67" si="973">ROUND(BP$5*BS65/BS$6,0)</f>
        <v>12473</v>
      </c>
      <c r="BQ65" s="1317">
        <f t="shared" si="973"/>
        <v>2561</v>
      </c>
      <c r="BR65" s="1318">
        <f>+'13H24'!K63</f>
        <v>154917</v>
      </c>
      <c r="BS65" s="1248">
        <f>+'13H24'!E63</f>
        <v>22785</v>
      </c>
      <c r="BT65" s="1317">
        <f>'13H24'!C63</f>
        <v>154460</v>
      </c>
      <c r="BU65" s="1316">
        <f>+CD65-CB65</f>
        <v>-5078</v>
      </c>
      <c r="BV65" s="1248">
        <f>BU65-CA65</f>
        <v>-7291</v>
      </c>
      <c r="BW65" s="850">
        <f>ROUND(BW$5*CD65/CD$6,0)</f>
        <v>123051</v>
      </c>
      <c r="BX65" s="1248">
        <f>ROUND(BX$5*CB65/CB$6,0)</f>
        <v>139279</v>
      </c>
      <c r="BY65" s="830">
        <f>ROUND(BY$5*CD65/CD$6,0)</f>
        <v>-507</v>
      </c>
      <c r="BZ65" s="830">
        <f t="shared" ref="BZ65:CA67" si="974">ROUND(BZ$5*CC65/CC$6,0)</f>
        <v>13088</v>
      </c>
      <c r="CA65" s="1317">
        <f t="shared" si="974"/>
        <v>2213</v>
      </c>
      <c r="CB65" s="1318">
        <f>+'14H25'!K63</f>
        <v>162771</v>
      </c>
      <c r="CC65" s="1248">
        <f>+'14H25'!E63</f>
        <v>24875</v>
      </c>
      <c r="CD65" s="1317">
        <f>'14H25'!C63</f>
        <v>157693</v>
      </c>
      <c r="CE65" s="1316">
        <f>+CN65-CL65</f>
        <v>5069</v>
      </c>
      <c r="CF65" s="1248">
        <f>CE65-CK65</f>
        <v>6753</v>
      </c>
      <c r="CG65" s="850">
        <f>ROUND(CG$5*CN65/CN$6,0)</f>
        <v>124678</v>
      </c>
      <c r="CH65" s="1248">
        <f>ROUND(CH$5*CL65/CL$6,0)</f>
        <v>128708</v>
      </c>
      <c r="CI65" s="830">
        <f>ROUND(CI$5*CN65/CN$6,0)</f>
        <v>-542</v>
      </c>
      <c r="CJ65" s="830">
        <f t="shared" ref="CJ65:CK67" si="975">ROUND(CJ$5*CM65/CM$6,0)</f>
        <v>12601</v>
      </c>
      <c r="CK65" s="1317">
        <f t="shared" si="975"/>
        <v>-1684</v>
      </c>
      <c r="CL65" s="1318">
        <f>+'15H26'!K63</f>
        <v>149737</v>
      </c>
      <c r="CM65" s="1248">
        <f>+'15H26'!E63</f>
        <v>24048</v>
      </c>
      <c r="CN65" s="1317">
        <f>'15H26'!C63</f>
        <v>154806</v>
      </c>
      <c r="CO65" s="1316">
        <f>+CX65-CV65</f>
        <v>8344</v>
      </c>
      <c r="CP65" s="1248">
        <f>CO65-CU65</f>
        <v>6457</v>
      </c>
      <c r="CQ65" s="850">
        <f>ROUND(CQ$5*CX65/CX$6,0)</f>
        <v>129010</v>
      </c>
      <c r="CR65" s="1248">
        <f>ROUND(CR$5*CV65/CV$6,0)</f>
        <v>131400</v>
      </c>
      <c r="CS65" s="830">
        <f>ROUND(CS$5*CX65/CX$6,0)</f>
        <v>-581</v>
      </c>
      <c r="CT65" s="830">
        <f t="shared" ref="CT65:CU67" si="976">ROUND(CT$5*CW65/CW$6,0)</f>
        <v>12873</v>
      </c>
      <c r="CU65" s="1317">
        <f t="shared" si="976"/>
        <v>1887</v>
      </c>
      <c r="CV65" s="1318">
        <f>+'16H27'!K63</f>
        <v>158060</v>
      </c>
      <c r="CW65" s="1248">
        <f>+'16H27'!E63</f>
        <v>25313</v>
      </c>
      <c r="CX65" s="1317">
        <f>'16H27'!C63</f>
        <v>166404</v>
      </c>
      <c r="CY65" s="1316">
        <f>+DH65-DF65</f>
        <v>-4935</v>
      </c>
      <c r="CZ65" s="1248">
        <f>CY65-DE65</f>
        <v>-4803</v>
      </c>
      <c r="DA65" s="850">
        <f>ROUND(DA$5*DH65/DH$6,0)</f>
        <v>119567</v>
      </c>
      <c r="DB65" s="1248">
        <f>ROUND(DB$5*DF65/DF$6,0)</f>
        <v>133343</v>
      </c>
      <c r="DC65" s="830">
        <f>ROUND(DC$5*DH65/DH$6,0)</f>
        <v>-505</v>
      </c>
      <c r="DD65" s="830">
        <f t="shared" ref="DD65:DE67" si="977">ROUND(DD$5*DG65/DG$6,0)</f>
        <v>13263</v>
      </c>
      <c r="DE65" s="1317">
        <f t="shared" si="977"/>
        <v>-132</v>
      </c>
      <c r="DF65" s="1318">
        <f>+'17H28'!K63</f>
        <v>164885</v>
      </c>
      <c r="DG65" s="1248">
        <f>+'17H28'!E63</f>
        <v>25793</v>
      </c>
      <c r="DH65" s="1317">
        <f>'17H28'!C63</f>
        <v>159950</v>
      </c>
      <c r="DI65" s="1316">
        <f>+DR65-DP65</f>
        <v>-6428</v>
      </c>
      <c r="DJ65" s="1248">
        <f>DI65-DO65</f>
        <v>-707</v>
      </c>
      <c r="DK65" s="850">
        <f>ROUND(DK$5*DR65/DR$6,0)</f>
        <v>124152</v>
      </c>
      <c r="DL65" s="1248">
        <f>ROUND(DL$5*DP65/DP$6,0)</f>
        <v>137422</v>
      </c>
      <c r="DM65" s="830">
        <f>ROUND(DM$5*DR65/DR$6,0)</f>
        <v>-396</v>
      </c>
      <c r="DN65" s="830">
        <f t="shared" ref="DN65:DO67" si="978">ROUND(DN$5*DQ65/DQ$6,0)</f>
        <v>11840</v>
      </c>
      <c r="DO65" s="1317">
        <f t="shared" si="978"/>
        <v>-5721</v>
      </c>
      <c r="DP65" s="1318">
        <f>+'18H29'!K63</f>
        <v>165568</v>
      </c>
      <c r="DQ65" s="1248">
        <f>+'18H29'!E63</f>
        <v>25696</v>
      </c>
      <c r="DR65" s="1317">
        <f>+'18H29'!C63</f>
        <v>159140</v>
      </c>
      <c r="DS65" s="1316">
        <f>+EB65-DZ65</f>
        <v>8007</v>
      </c>
      <c r="DT65" s="1248">
        <f>DS65-DY65</f>
        <v>16692</v>
      </c>
      <c r="DU65" s="850">
        <f>ROUND(DU$5*EB65/EB$6,0)</f>
        <v>124809</v>
      </c>
      <c r="DV65" s="1248">
        <f>ROUND(DV$5*DZ65/DZ$6,0)</f>
        <v>127718</v>
      </c>
      <c r="DW65" s="830">
        <f>ROUND(DW$5*EB65/EB$6,0)</f>
        <v>-407</v>
      </c>
      <c r="DX65" s="830">
        <f t="shared" ref="DX65:DY67" si="979">ROUND(DX$5*EA65/EA$6,0)</f>
        <v>12199</v>
      </c>
      <c r="DY65" s="1317">
        <f t="shared" si="979"/>
        <v>-8685</v>
      </c>
      <c r="DZ65" s="1318">
        <f>+'19H30'!K63</f>
        <v>149974</v>
      </c>
      <c r="EA65" s="1248">
        <f>+'19H30'!E63</f>
        <v>25913</v>
      </c>
      <c r="EB65" s="1317">
        <f>+'19H30'!C63</f>
        <v>157981</v>
      </c>
      <c r="EC65" s="1316">
        <f>+EL65-EJ65</f>
        <v>-2556</v>
      </c>
      <c r="ED65" s="1248">
        <f>EC65-EI65</f>
        <v>9668</v>
      </c>
      <c r="EE65" s="850">
        <f>ROUND(EE$5*EL65/EL$6,0)</f>
        <v>121924</v>
      </c>
      <c r="EF65" s="1248">
        <f>ROUND(EF$5*EJ65/EJ$6,0)</f>
        <v>134042</v>
      </c>
      <c r="EG65" s="830">
        <f>ROUND(EG$5*EL65/EL$6,0)</f>
        <v>-381</v>
      </c>
      <c r="EH65" s="830">
        <f t="shared" ref="EH65:EI67" si="980">ROUND(EH$5*EK65/EK$6,0)</f>
        <v>13021</v>
      </c>
      <c r="EI65" s="1317">
        <f t="shared" si="980"/>
        <v>-12224</v>
      </c>
      <c r="EJ65" s="1318">
        <f>+'20R1'!K63</f>
        <v>160030</v>
      </c>
      <c r="EK65" s="1248">
        <f>+'20R1'!E63</f>
        <v>28414</v>
      </c>
      <c r="EL65" s="1317">
        <f>+'20R1'!C63</f>
        <v>157474</v>
      </c>
      <c r="EM65" s="1316">
        <f>+EV65-ET65</f>
        <v>-1129</v>
      </c>
      <c r="EN65" s="1248">
        <f>EM65-ES65</f>
        <v>1590</v>
      </c>
      <c r="EO65" s="850">
        <f>ROUND(EO$5*EV65/EV$6,0)</f>
        <v>106661</v>
      </c>
      <c r="EP65" s="1248">
        <f>ROUND(EP$5*ET65/ET$6,0)</f>
        <v>120067</v>
      </c>
      <c r="EQ65" s="1336">
        <f>ROUND(EQ$5*EV65/EV$6,0)</f>
        <v>-279</v>
      </c>
      <c r="ER65" s="1336">
        <f t="shared" ref="ER65:ER67" si="981">ROUND(ER$5*EU65/EU$6,0)</f>
        <v>15552</v>
      </c>
      <c r="ES65" s="850">
        <f t="shared" ref="ES65:ES67" si="982">ROUND(ES$5*EV65/EV$6,0)</f>
        <v>-2719</v>
      </c>
      <c r="ET65" s="1331">
        <f>'21R2'!K63</f>
        <v>149650</v>
      </c>
      <c r="EU65" s="1248">
        <f>'21R2'!E63</f>
        <v>34321</v>
      </c>
      <c r="EV65" s="1317">
        <f>+'21R2'!C63</f>
        <v>148521</v>
      </c>
      <c r="EW65" s="1392">
        <f t="shared" si="851"/>
        <v>-33609</v>
      </c>
      <c r="EX65" s="1310">
        <f>EY65-EZ65</f>
        <v>-30598</v>
      </c>
      <c r="EY65" s="850">
        <f>ROUND(EY$5*FF65/FF$6,0)</f>
        <v>121305</v>
      </c>
      <c r="EZ65" s="1248">
        <f>ROUND(EZ$5*FD65/FD$6,0)</f>
        <v>151903</v>
      </c>
      <c r="FA65" s="1336">
        <f>ROUND(FA$5*FF65/FF$6,0)</f>
        <v>-160</v>
      </c>
      <c r="FB65" s="1336">
        <f t="shared" ref="FB65:FB67" si="983">ROUND(FB$5*FE65/FE$6,0)</f>
        <v>19126</v>
      </c>
      <c r="FC65" s="1689">
        <f t="shared" si="363"/>
        <v>-3011</v>
      </c>
      <c r="FD65" s="1414">
        <f>'22R3'!K63</f>
        <v>175600</v>
      </c>
      <c r="FE65" s="1310">
        <f>'22R3'!E63</f>
        <v>43418</v>
      </c>
      <c r="FF65" s="1690">
        <f>'22R3'!C63</f>
        <v>154199</v>
      </c>
      <c r="FG65" s="1392">
        <f t="shared" si="852"/>
        <v>-21475</v>
      </c>
      <c r="FH65" s="1310">
        <f>FI65-FJ65</f>
        <v>-18464</v>
      </c>
      <c r="FI65" s="850">
        <f>ROUND(FI$5*FP65/FP$6,0)</f>
        <v>135924</v>
      </c>
      <c r="FJ65" s="1248">
        <f>ROUND(FJ$5*FN65/FN$6,0)</f>
        <v>154388</v>
      </c>
      <c r="FK65" s="1336">
        <f>ROUND(FK$5*FP65/FP$6,0)</f>
        <v>-304</v>
      </c>
      <c r="FL65" s="1336">
        <f t="shared" ref="FL65:FL67" si="984">ROUND(FL$5*FO65/FO$6,0)</f>
        <v>14363</v>
      </c>
      <c r="FM65" s="1398">
        <f t="shared" si="853"/>
        <v>-3011</v>
      </c>
      <c r="FN65" s="1748">
        <f>'23R4'!K63</f>
        <v>166401</v>
      </c>
      <c r="FO65" s="1332">
        <f>'23R4'!E63</f>
        <v>31459</v>
      </c>
      <c r="FP65" s="1690">
        <f>'23R4'!C63</f>
        <v>167515</v>
      </c>
      <c r="FQ65" s="1310"/>
      <c r="FR65" s="1392">
        <f t="shared" si="303"/>
        <v>33468</v>
      </c>
      <c r="FS65" s="1310">
        <f>FT65-FU65</f>
        <v>36479</v>
      </c>
      <c r="FT65" s="868">
        <f>ROUND(FT$5*GA65/GA$6,0)</f>
        <v>176418</v>
      </c>
      <c r="FU65" s="1248">
        <f>ROUND(FU$5*FY65/FY$6,0)</f>
        <v>139939</v>
      </c>
      <c r="FV65" s="1336">
        <f>ROUND(FV$5*GA65/GA$6,0)</f>
        <v>-389</v>
      </c>
      <c r="FW65" s="1336">
        <f t="shared" ref="FW65:FW67" si="985">ROUND(FW$5*FZ65/FZ$6,0)</f>
        <v>13105</v>
      </c>
      <c r="FX65" s="1398">
        <f t="shared" si="335"/>
        <v>-3011</v>
      </c>
      <c r="FY65" s="1332">
        <f>'24R5'!K63</f>
        <v>153224</v>
      </c>
      <c r="FZ65" s="1332">
        <f>'24R5'!E63</f>
        <v>28695</v>
      </c>
      <c r="GA65" s="1319">
        <v>183569</v>
      </c>
      <c r="GB65" s="1392">
        <f t="shared" si="305"/>
        <v>21232</v>
      </c>
      <c r="GC65" s="1310">
        <f>GD65-GE65</f>
        <v>24243</v>
      </c>
      <c r="GD65" s="868">
        <f>ROUND(GD$5*GK65/GK$6,0)</f>
        <v>188571</v>
      </c>
      <c r="GE65" s="1248">
        <f>ROUND(GE$5*GI65/GI$6,0)</f>
        <v>164328</v>
      </c>
      <c r="GF65" s="1336">
        <f>ROUND(GF$5*GK65/GK$6,0)</f>
        <v>-407</v>
      </c>
      <c r="GG65" s="1336">
        <f t="shared" ref="GG65:GG67" si="986">ROUND(GG$5*GJ65/GJ$6,0)</f>
        <v>6264</v>
      </c>
      <c r="GH65" s="1398">
        <f t="shared" si="338"/>
        <v>-3011</v>
      </c>
      <c r="GI65" s="1332">
        <f>'25R6'!K63</f>
        <v>177317</v>
      </c>
      <c r="GJ65" s="1332">
        <f>'25R6'!E63</f>
        <v>27955</v>
      </c>
      <c r="GK65" s="1319">
        <v>183569</v>
      </c>
      <c r="GL65" s="1392">
        <f t="shared" si="307"/>
        <v>4161</v>
      </c>
      <c r="GM65" s="1310">
        <f>GN65-GO65</f>
        <v>7172</v>
      </c>
      <c r="GN65" s="868">
        <f>ROUND(GN$5*GU65/GU$6,0)</f>
        <v>181799</v>
      </c>
      <c r="GO65" s="1248">
        <f>ROUND(GO$5*GS65/GS$6,0)</f>
        <v>174627</v>
      </c>
      <c r="GP65" s="1336">
        <f>ROUND(GP$5*GU65/GU$6,0)</f>
        <v>-393</v>
      </c>
      <c r="GQ65" s="1336">
        <f t="shared" ref="GQ65:GQ67" si="987">ROUND(GQ$5*GT65/GT$6,0)</f>
        <v>6778</v>
      </c>
      <c r="GR65" s="1406">
        <f t="shared" si="341"/>
        <v>-3011</v>
      </c>
      <c r="GS65" s="1748">
        <f>'26R7'!K63</f>
        <v>189770</v>
      </c>
      <c r="GT65" s="1332">
        <f>'26R7'!E63</f>
        <v>31595</v>
      </c>
      <c r="GU65" s="1398">
        <v>189770</v>
      </c>
      <c r="GV65" s="1392">
        <f t="shared" si="309"/>
        <v>-15665</v>
      </c>
      <c r="GW65" s="1310">
        <f>GX65-GY65</f>
        <v>-12654</v>
      </c>
      <c r="GX65" s="868">
        <f>ROUND(GX$5*HE65/HE$6,0)</f>
        <v>180544</v>
      </c>
      <c r="GY65" s="1248">
        <f>ROUND(GY$5*HC65/HC$6,0)</f>
        <v>193198</v>
      </c>
      <c r="GZ65" s="1336">
        <f>ROUND(GZ$5*HE65/HE$6,0)</f>
        <v>-390</v>
      </c>
      <c r="HA65" s="1336">
        <f t="shared" ref="HA65:HA67" si="988">ROUND(HA$5*HD65/HD$6,0)</f>
        <v>6348</v>
      </c>
      <c r="HB65" s="1406">
        <f t="shared" si="344"/>
        <v>-3011</v>
      </c>
      <c r="HC65" s="1748">
        <f>'27R8'!U63</f>
        <v>195697</v>
      </c>
      <c r="HD65" s="1690">
        <f>'27R8'!O63</f>
        <v>-6558</v>
      </c>
      <c r="HE65" s="1398">
        <v>187579</v>
      </c>
      <c r="HF65" s="1392">
        <f t="shared" si="311"/>
        <v>-18904</v>
      </c>
      <c r="HG65" s="1310">
        <f>HH65-HI65</f>
        <v>-15893</v>
      </c>
      <c r="HH65" s="868">
        <f>ROUND(HH$5*HO65/HO$6,0)</f>
        <v>181945</v>
      </c>
      <c r="HI65" s="1248">
        <f>ROUND(HI$5*HM65/HM$6,0)</f>
        <v>197838</v>
      </c>
      <c r="HJ65" s="1336">
        <f>ROUND(HJ$5*HO65/HO$6,0)</f>
        <v>-393</v>
      </c>
      <c r="HK65" s="1336">
        <f t="shared" ref="HK65:HK67" si="989">ROUND(HK$5*HN65/HN$6,0)</f>
        <v>6348</v>
      </c>
      <c r="HL65" s="1406">
        <f t="shared" si="347"/>
        <v>-3011</v>
      </c>
      <c r="HM65" s="1748">
        <f>'28R9'!U63</f>
        <v>195697</v>
      </c>
      <c r="HN65" s="1332">
        <f>'28R9'!O63</f>
        <v>-6558</v>
      </c>
      <c r="HO65" s="1398">
        <v>187024</v>
      </c>
      <c r="HQ65" s="1310">
        <f>市町名目!J64</f>
        <v>157474</v>
      </c>
      <c r="HR65" s="1310">
        <f>市町名目!K64</f>
        <v>148521</v>
      </c>
      <c r="HS65" s="1310">
        <f>市町名目!L64</f>
        <v>154199</v>
      </c>
      <c r="HT65" s="1310">
        <f>市町名目!M64</f>
        <v>167515</v>
      </c>
      <c r="HU65" s="1310">
        <f>市町名目!N64</f>
        <v>175079</v>
      </c>
      <c r="HV65" s="1054">
        <v>179454</v>
      </c>
      <c r="HW65" s="1030">
        <v>196730</v>
      </c>
      <c r="HX65" s="1030">
        <v>187579</v>
      </c>
      <c r="HY65" s="1030">
        <v>187024</v>
      </c>
    </row>
    <row r="66" spans="1:233" ht="12.5">
      <c r="A66" s="1334">
        <v>224</v>
      </c>
      <c r="B66" s="1335" t="s">
        <v>224</v>
      </c>
      <c r="C66" s="1316">
        <f>+L66-J66</f>
        <v>10670</v>
      </c>
      <c r="D66" s="1248">
        <f>C66-I66</f>
        <v>9121</v>
      </c>
      <c r="E66" s="850">
        <f>ROUND(E$5*L66/L$6,0)</f>
        <v>133219</v>
      </c>
      <c r="F66" s="1248">
        <f>ROUND(F$5*J66/J$6,0)</f>
        <v>124455</v>
      </c>
      <c r="G66" s="830">
        <f>ROUND(G$5*L66/L$6,0)</f>
        <v>-213</v>
      </c>
      <c r="H66" s="830">
        <f t="shared" si="967"/>
        <v>14980</v>
      </c>
      <c r="I66" s="1317">
        <f t="shared" si="967"/>
        <v>1549</v>
      </c>
      <c r="J66" s="1318">
        <f>'7H18'!K64</f>
        <v>145844</v>
      </c>
      <c r="K66" s="1248">
        <f>+'7H18'!E64</f>
        <v>23037</v>
      </c>
      <c r="L66" s="1317">
        <f>'7H18'!C64</f>
        <v>156514</v>
      </c>
      <c r="M66" s="1316">
        <f>+V66-T66</f>
        <v>1204</v>
      </c>
      <c r="N66" s="1248">
        <f>M66-S66</f>
        <v>-1277</v>
      </c>
      <c r="O66" s="850">
        <f>ROUND(O$5*V66/V$6,0)</f>
        <v>136922</v>
      </c>
      <c r="P66" s="1248">
        <f>ROUND(P$5*T66/T$6,0)</f>
        <v>131958</v>
      </c>
      <c r="Q66" s="830">
        <f>ROUND(Q$5*V66/V$6,0)</f>
        <v>-328</v>
      </c>
      <c r="R66" s="830">
        <f t="shared" si="968"/>
        <v>14855</v>
      </c>
      <c r="S66" s="1317">
        <f t="shared" si="968"/>
        <v>2481</v>
      </c>
      <c r="T66" s="1318">
        <f>+'8H19'!K64</f>
        <v>148438</v>
      </c>
      <c r="U66" s="1248">
        <f>+'8H19'!E64</f>
        <v>23037</v>
      </c>
      <c r="V66" s="1317">
        <f>'8H19'!C64</f>
        <v>149642</v>
      </c>
      <c r="W66" s="1316">
        <f>+AF66-AD66</f>
        <v>7250</v>
      </c>
      <c r="X66" s="1248">
        <f>W66-AC66</f>
        <v>5079</v>
      </c>
      <c r="Y66" s="850">
        <f>ROUND(Y$5*AF66/AF$6,0)</f>
        <v>129653</v>
      </c>
      <c r="Z66" s="1248">
        <f>ROUND(Z$5*AD66/AD$6,0)</f>
        <v>130113</v>
      </c>
      <c r="AA66" s="830">
        <f>ROUND(AA$5*AF66/AF$6,0)</f>
        <v>-834</v>
      </c>
      <c r="AB66" s="830">
        <f t="shared" si="969"/>
        <v>14530</v>
      </c>
      <c r="AC66" s="1317">
        <f t="shared" si="969"/>
        <v>2171</v>
      </c>
      <c r="AD66" s="1318">
        <f>+'9H20'!K64</f>
        <v>147459</v>
      </c>
      <c r="AE66" s="1248">
        <f>+'9H20'!E64</f>
        <v>24334</v>
      </c>
      <c r="AF66" s="1317">
        <f>'9H20'!C64</f>
        <v>154709</v>
      </c>
      <c r="AG66" s="1316">
        <f>+AP66-AN66</f>
        <v>15897</v>
      </c>
      <c r="AH66" s="1248">
        <f>AG66-AM66</f>
        <v>17609</v>
      </c>
      <c r="AI66" s="850">
        <f>ROUND(AI$5*AP66/AP$6,0)</f>
        <v>114789</v>
      </c>
      <c r="AJ66" s="1248">
        <f>ROUND(AJ$5*AN66/AN$6,0)</f>
        <v>116189</v>
      </c>
      <c r="AK66" s="830">
        <f>ROUND(AK$5*AP66/AP$6,0)</f>
        <v>109</v>
      </c>
      <c r="AL66" s="830">
        <f t="shared" si="970"/>
        <v>14726</v>
      </c>
      <c r="AM66" s="1317">
        <f t="shared" si="970"/>
        <v>-1712</v>
      </c>
      <c r="AN66" s="1318">
        <f>+'10H21'!K64</f>
        <v>141505</v>
      </c>
      <c r="AO66" s="1248">
        <f>+'10H21'!E64</f>
        <v>26320</v>
      </c>
      <c r="AP66" s="1317">
        <f>'10H21'!C64</f>
        <v>157402</v>
      </c>
      <c r="AQ66" s="1316">
        <f>+AZ66-AX66</f>
        <v>23894</v>
      </c>
      <c r="AR66" s="1248">
        <f>AQ66-AW66</f>
        <v>22025</v>
      </c>
      <c r="AS66" s="850">
        <f>ROUND(AS$5*AZ66/AZ$6,0)</f>
        <v>123913</v>
      </c>
      <c r="AT66" s="1248">
        <f>ROUND(AT$5*AX66/AX$6,0)</f>
        <v>118429</v>
      </c>
      <c r="AU66" s="830">
        <f>ROUND(AU$5*AZ66/AZ$6,0)</f>
        <v>-908</v>
      </c>
      <c r="AV66" s="830">
        <f t="shared" si="971"/>
        <v>15062</v>
      </c>
      <c r="AW66" s="1317">
        <f t="shared" si="971"/>
        <v>1869</v>
      </c>
      <c r="AX66" s="1318">
        <f>+'11H22'!K64</f>
        <v>140880</v>
      </c>
      <c r="AY66" s="1248">
        <f>+'11H22'!E64</f>
        <v>25539</v>
      </c>
      <c r="AZ66" s="1317">
        <f>'11H22'!C64</f>
        <v>164774</v>
      </c>
      <c r="BA66" s="1316">
        <f>+BJ66-BH66</f>
        <v>7728</v>
      </c>
      <c r="BB66" s="1248">
        <f>BA66-BG66</f>
        <v>6208</v>
      </c>
      <c r="BC66" s="850">
        <f>ROUND(BC$5*BJ66/BJ$6,0)</f>
        <v>121795</v>
      </c>
      <c r="BD66" s="1248">
        <f>ROUND(BD$5*BH66/BH$6,0)</f>
        <v>125124</v>
      </c>
      <c r="BE66" s="830">
        <f>ROUND(BE$5*BJ66/BJ$6,0)</f>
        <v>-611</v>
      </c>
      <c r="BF66" s="830">
        <f t="shared" si="972"/>
        <v>15212</v>
      </c>
      <c r="BG66" s="1317">
        <f t="shared" si="972"/>
        <v>1520</v>
      </c>
      <c r="BH66" s="1318">
        <f>+'12H23'!K64</f>
        <v>145841</v>
      </c>
      <c r="BI66" s="1248">
        <f>+'12H23'!E64</f>
        <v>26691</v>
      </c>
      <c r="BJ66" s="1317">
        <f>'12H23'!C64</f>
        <v>153569</v>
      </c>
      <c r="BK66" s="1316">
        <f>+BT66-BR66</f>
        <v>-2393</v>
      </c>
      <c r="BL66" s="1248">
        <f>BK66-BQ66</f>
        <v>-4831</v>
      </c>
      <c r="BM66" s="850">
        <f>ROUND(BM$5*BT66/BT$6,0)</f>
        <v>114523</v>
      </c>
      <c r="BN66" s="1248">
        <f>ROUND(BN$5*BR66/BR$6,0)</f>
        <v>127907</v>
      </c>
      <c r="BO66" s="830">
        <f>ROUND(BO$5*BT66/BT$6,0)</f>
        <v>-476</v>
      </c>
      <c r="BP66" s="830">
        <f t="shared" si="973"/>
        <v>13851</v>
      </c>
      <c r="BQ66" s="1317">
        <f t="shared" si="973"/>
        <v>2438</v>
      </c>
      <c r="BR66" s="1318">
        <f>+'13H24'!K64</f>
        <v>149392</v>
      </c>
      <c r="BS66" s="1248">
        <f>+'13H24'!E64</f>
        <v>25302</v>
      </c>
      <c r="BT66" s="1317">
        <f>'13H24'!C64</f>
        <v>146999</v>
      </c>
      <c r="BU66" s="1316">
        <f>+CD66-CB66</f>
        <v>4931</v>
      </c>
      <c r="BV66" s="1248">
        <f>BU66-CA66</f>
        <v>2769</v>
      </c>
      <c r="BW66" s="850">
        <f>ROUND(BW$5*CD66/CD$6,0)</f>
        <v>120224</v>
      </c>
      <c r="BX66" s="1248">
        <f>ROUND(BX$5*CB66/CB$6,0)</f>
        <v>127614</v>
      </c>
      <c r="BY66" s="830">
        <f>ROUND(BY$5*CD66/CD$6,0)</f>
        <v>-496</v>
      </c>
      <c r="BZ66" s="830">
        <f t="shared" si="974"/>
        <v>14403</v>
      </c>
      <c r="CA66" s="1317">
        <f t="shared" si="974"/>
        <v>2162</v>
      </c>
      <c r="CB66" s="1318">
        <f>+'14H25'!K64</f>
        <v>149139</v>
      </c>
      <c r="CC66" s="1248">
        <f>+'14H25'!E64</f>
        <v>27373</v>
      </c>
      <c r="CD66" s="1317">
        <f>'14H25'!C64</f>
        <v>154070</v>
      </c>
      <c r="CE66" s="1316">
        <f>+CN66-CL66</f>
        <v>-2255</v>
      </c>
      <c r="CF66" s="1248">
        <f>CE66-CK66</f>
        <v>-584</v>
      </c>
      <c r="CG66" s="850">
        <f>ROUND(CG$5*CN66/CN$6,0)</f>
        <v>123732</v>
      </c>
      <c r="CH66" s="1248">
        <f>ROUND(CH$5*CL66/CL$6,0)</f>
        <v>133993</v>
      </c>
      <c r="CI66" s="830">
        <f>ROUND(CI$5*CN66/CN$6,0)</f>
        <v>-538</v>
      </c>
      <c r="CJ66" s="830">
        <f t="shared" si="975"/>
        <v>14121</v>
      </c>
      <c r="CK66" s="1317">
        <f t="shared" si="975"/>
        <v>-1671</v>
      </c>
      <c r="CL66" s="1318">
        <f>+'15H26'!K64</f>
        <v>155886</v>
      </c>
      <c r="CM66" s="1248">
        <f>+'15H26'!E64</f>
        <v>26948</v>
      </c>
      <c r="CN66" s="1317">
        <f>'15H26'!C64</f>
        <v>153631</v>
      </c>
      <c r="CO66" s="1316">
        <f>+CX66-CV66</f>
        <v>3228</v>
      </c>
      <c r="CP66" s="1248">
        <f>CO66-CU66</f>
        <v>1392</v>
      </c>
      <c r="CQ66" s="850">
        <f>ROUND(CQ$5*CX66/CX$6,0)</f>
        <v>125518</v>
      </c>
      <c r="CR66" s="1248">
        <f>ROUND(CR$5*CV66/CV$6,0)</f>
        <v>131909</v>
      </c>
      <c r="CS66" s="830">
        <f>ROUND(CS$5*CX66/CX$6,0)</f>
        <v>-566</v>
      </c>
      <c r="CT66" s="830">
        <f t="shared" si="976"/>
        <v>15386</v>
      </c>
      <c r="CU66" s="1317">
        <f t="shared" si="976"/>
        <v>1836</v>
      </c>
      <c r="CV66" s="1318">
        <f>+'16H27'!K64</f>
        <v>158672</v>
      </c>
      <c r="CW66" s="1248">
        <f>+'16H27'!E64</f>
        <v>30254</v>
      </c>
      <c r="CX66" s="1317">
        <f>'16H27'!C64</f>
        <v>161900</v>
      </c>
      <c r="CY66" s="1316">
        <f>+DH66-DF66</f>
        <v>12732</v>
      </c>
      <c r="CZ66" s="1248">
        <f>CY66-DE66</f>
        <v>12867</v>
      </c>
      <c r="DA66" s="850">
        <f>ROUND(DA$5*DH66/DH$6,0)</f>
        <v>121578</v>
      </c>
      <c r="DB66" s="1248">
        <f>ROUND(DB$5*DF66/DF$6,0)</f>
        <v>121232</v>
      </c>
      <c r="DC66" s="830">
        <f>ROUND(DC$5*DH66/DH$6,0)</f>
        <v>-514</v>
      </c>
      <c r="DD66" s="830">
        <f t="shared" si="977"/>
        <v>14836</v>
      </c>
      <c r="DE66" s="1317">
        <f t="shared" si="977"/>
        <v>-135</v>
      </c>
      <c r="DF66" s="1318">
        <f>+'17H28'!K64</f>
        <v>149909</v>
      </c>
      <c r="DG66" s="1248">
        <f>+'17H28'!E64</f>
        <v>28852</v>
      </c>
      <c r="DH66" s="1317">
        <f>'17H28'!C64</f>
        <v>162641</v>
      </c>
      <c r="DI66" s="1316">
        <f>+DR66-DP66</f>
        <v>15555</v>
      </c>
      <c r="DJ66" s="1248">
        <f>DI66-DO66</f>
        <v>21429</v>
      </c>
      <c r="DK66" s="850">
        <f>ROUND(DK$5*DR66/DR$6,0)</f>
        <v>127470</v>
      </c>
      <c r="DL66" s="1248">
        <f>ROUND(DL$5*DP66/DP$6,0)</f>
        <v>122707</v>
      </c>
      <c r="DM66" s="830">
        <f>ROUND(DM$5*DR66/DR$6,0)</f>
        <v>-407</v>
      </c>
      <c r="DN66" s="830">
        <f t="shared" si="978"/>
        <v>12480</v>
      </c>
      <c r="DO66" s="1317">
        <f t="shared" si="978"/>
        <v>-5874</v>
      </c>
      <c r="DP66" s="1318">
        <f>+'18H29'!K64</f>
        <v>147839</v>
      </c>
      <c r="DQ66" s="1248">
        <f>+'18H29'!E64</f>
        <v>27087</v>
      </c>
      <c r="DR66" s="1317">
        <f>+'18H29'!C64</f>
        <v>163394</v>
      </c>
      <c r="DS66" s="1316">
        <f>+EB66-DZ66</f>
        <v>14689</v>
      </c>
      <c r="DT66" s="1248">
        <f>DS66-DY66</f>
        <v>23602</v>
      </c>
      <c r="DU66" s="850">
        <f>ROUND(DU$5*EB66/EB$6,0)</f>
        <v>128097</v>
      </c>
      <c r="DV66" s="1248">
        <f>ROUND(DV$5*DZ66/DZ$6,0)</f>
        <v>125572</v>
      </c>
      <c r="DW66" s="830">
        <f>ROUND(DW$5*EB66/EB$6,0)</f>
        <v>-418</v>
      </c>
      <c r="DX66" s="830">
        <f t="shared" si="979"/>
        <v>13405</v>
      </c>
      <c r="DY66" s="1317">
        <f t="shared" si="979"/>
        <v>-8913</v>
      </c>
      <c r="DZ66" s="1318">
        <f>+'19H30'!K64</f>
        <v>147454</v>
      </c>
      <c r="EA66" s="1248">
        <f>+'19H30'!E64</f>
        <v>28474</v>
      </c>
      <c r="EB66" s="1317">
        <f>+'19H30'!C64</f>
        <v>162143</v>
      </c>
      <c r="EC66" s="1316">
        <f>+EL66-EJ66</f>
        <v>10281</v>
      </c>
      <c r="ED66" s="1248">
        <f>EC66-EI66</f>
        <v>22868</v>
      </c>
      <c r="EE66" s="850">
        <f>ROUND(EE$5*EL66/EL$6,0)</f>
        <v>125547</v>
      </c>
      <c r="EF66" s="1248">
        <f>ROUND(EF$5*EJ66/EJ$6,0)</f>
        <v>127209</v>
      </c>
      <c r="EG66" s="830">
        <f>ROUND(EG$5*EL66/EL$6,0)</f>
        <v>-392</v>
      </c>
      <c r="EH66" s="830">
        <f t="shared" si="980"/>
        <v>13510</v>
      </c>
      <c r="EI66" s="1317">
        <f t="shared" si="980"/>
        <v>-12587</v>
      </c>
      <c r="EJ66" s="1318">
        <f>+'20R1'!K64</f>
        <v>151872</v>
      </c>
      <c r="EK66" s="1248">
        <f>+'20R1'!E64</f>
        <v>29480</v>
      </c>
      <c r="EL66" s="1317">
        <f>+'20R1'!C64</f>
        <v>162153</v>
      </c>
      <c r="EM66" s="1316">
        <f>+EV66-ET66</f>
        <v>12648</v>
      </c>
      <c r="EN66" s="1248">
        <f>EM66-ES66</f>
        <v>15410</v>
      </c>
      <c r="EO66" s="850">
        <f>ROUND(EO$5*EV66/EV$6,0)</f>
        <v>108329</v>
      </c>
      <c r="EP66" s="1248">
        <f>ROUND(EP$5*ET66/ET$6,0)</f>
        <v>110878</v>
      </c>
      <c r="EQ66" s="1336">
        <f>ROUND(EQ$5*EV66/EV$6,0)</f>
        <v>-284</v>
      </c>
      <c r="ER66" s="1336">
        <f t="shared" si="981"/>
        <v>13692</v>
      </c>
      <c r="ES66" s="850">
        <f t="shared" si="982"/>
        <v>-2762</v>
      </c>
      <c r="ET66" s="1331">
        <f>'21R2'!K64</f>
        <v>138196</v>
      </c>
      <c r="EU66" s="1248">
        <f>'21R2'!E64</f>
        <v>30217</v>
      </c>
      <c r="EV66" s="1317">
        <f>+'21R2'!C64</f>
        <v>150844</v>
      </c>
      <c r="EW66" s="1392">
        <f t="shared" si="851"/>
        <v>-15836</v>
      </c>
      <c r="EX66" s="1310">
        <f>EY66-EZ66</f>
        <v>-12932</v>
      </c>
      <c r="EY66" s="850">
        <f>ROUND(EY$5*FF66/FF$6,0)</f>
        <v>117021</v>
      </c>
      <c r="EZ66" s="1248">
        <f>ROUND(EZ$5*FD66/FD$6,0)</f>
        <v>129953</v>
      </c>
      <c r="FA66" s="1336">
        <f>ROUND(FA$5*FF66/FF$6,0)</f>
        <v>-154</v>
      </c>
      <c r="FB66" s="1336">
        <f t="shared" si="983"/>
        <v>13789</v>
      </c>
      <c r="FC66" s="1689">
        <f t="shared" si="363"/>
        <v>-2904</v>
      </c>
      <c r="FD66" s="1414">
        <f>'22R3'!K64</f>
        <v>150225</v>
      </c>
      <c r="FE66" s="1310">
        <f>'22R3'!E64</f>
        <v>31303</v>
      </c>
      <c r="FF66" s="1690">
        <f>'22R3'!C64</f>
        <v>148754</v>
      </c>
      <c r="FG66" s="1392">
        <f t="shared" si="852"/>
        <v>-36259</v>
      </c>
      <c r="FH66" s="1310">
        <f>FI66-FJ66</f>
        <v>-33355</v>
      </c>
      <c r="FI66" s="850">
        <f>ROUND(FI$5*FP66/FP$6,0)</f>
        <v>124610</v>
      </c>
      <c r="FJ66" s="1248">
        <f>ROUND(FJ$5*FN66/FN$6,0)</f>
        <v>157965</v>
      </c>
      <c r="FK66" s="1336">
        <f>ROUND(FK$5*FP66/FP$6,0)</f>
        <v>-279</v>
      </c>
      <c r="FL66" s="1336">
        <f t="shared" si="984"/>
        <v>14916</v>
      </c>
      <c r="FM66" s="1398">
        <f t="shared" si="853"/>
        <v>-2904</v>
      </c>
      <c r="FN66" s="1748">
        <f>'23R4'!K64</f>
        <v>170256</v>
      </c>
      <c r="FO66" s="1332">
        <f>'23R4'!E64</f>
        <v>32671</v>
      </c>
      <c r="FP66" s="1690">
        <f>'23R4'!C64</f>
        <v>153571</v>
      </c>
      <c r="FQ66" s="1310"/>
      <c r="FR66" s="1392">
        <f t="shared" si="303"/>
        <v>18177</v>
      </c>
      <c r="FS66" s="1310">
        <f>FT66-FU66</f>
        <v>21081</v>
      </c>
      <c r="FT66" s="868">
        <f>ROUND(FT$5*GA66/GA$6,0)</f>
        <v>166728</v>
      </c>
      <c r="FU66" s="1248">
        <f>ROUND(FU$5*FY66/FY$6,0)</f>
        <v>145647</v>
      </c>
      <c r="FV66" s="1336">
        <f>ROUND(FV$5*GA66/GA$6,0)</f>
        <v>-367</v>
      </c>
      <c r="FW66" s="1336">
        <f t="shared" si="985"/>
        <v>15747</v>
      </c>
      <c r="FX66" s="1398">
        <f t="shared" si="335"/>
        <v>-2904</v>
      </c>
      <c r="FY66" s="1332">
        <f>'24R5'!K64</f>
        <v>159473</v>
      </c>
      <c r="FZ66" s="1332">
        <f>'24R5'!E64</f>
        <v>34480</v>
      </c>
      <c r="GA66" s="1319">
        <v>173487</v>
      </c>
      <c r="GB66" s="1392">
        <f t="shared" si="305"/>
        <v>15297</v>
      </c>
      <c r="GC66" s="1310">
        <f>GD66-GE66</f>
        <v>18201</v>
      </c>
      <c r="GD66" s="868">
        <f>ROUND(GD$5*GK66/GK$6,0)</f>
        <v>178214</v>
      </c>
      <c r="GE66" s="1248">
        <f>ROUND(GE$5*GI66/GI$6,0)</f>
        <v>160013</v>
      </c>
      <c r="GF66" s="1336">
        <f>ROUND(GF$5*GK66/GK$6,0)</f>
        <v>-384</v>
      </c>
      <c r="GG66" s="1336">
        <f t="shared" si="986"/>
        <v>7821</v>
      </c>
      <c r="GH66" s="1398">
        <f t="shared" si="338"/>
        <v>-2904</v>
      </c>
      <c r="GI66" s="1332">
        <f>'25R6'!K64</f>
        <v>172661</v>
      </c>
      <c r="GJ66" s="1332">
        <f>'25R6'!E64</f>
        <v>34901</v>
      </c>
      <c r="GK66" s="1319">
        <v>173487</v>
      </c>
      <c r="GL66" s="1392">
        <f t="shared" si="307"/>
        <v>4023</v>
      </c>
      <c r="GM66" s="1310">
        <f>GN66-GO66</f>
        <v>6927</v>
      </c>
      <c r="GN66" s="868">
        <f>ROUND(GN$5*GU66/GU$6,0)</f>
        <v>175576</v>
      </c>
      <c r="GO66" s="1248">
        <f>ROUND(GO$5*GS66/GS$6,0)</f>
        <v>168649</v>
      </c>
      <c r="GP66" s="1336">
        <f>ROUND(GP$5*GU66/GU$6,0)</f>
        <v>-379</v>
      </c>
      <c r="GQ66" s="1336">
        <f t="shared" si="987"/>
        <v>7840</v>
      </c>
      <c r="GR66" s="1406">
        <f t="shared" si="341"/>
        <v>-2904</v>
      </c>
      <c r="GS66" s="1748">
        <f>'26R7'!K64</f>
        <v>183274</v>
      </c>
      <c r="GT66" s="1332">
        <f>'26R7'!E64</f>
        <v>36547</v>
      </c>
      <c r="GU66" s="1398">
        <v>183274</v>
      </c>
      <c r="GV66" s="1392">
        <f t="shared" si="309"/>
        <v>-9251</v>
      </c>
      <c r="GW66" s="1310">
        <f>GX66-GY66</f>
        <v>-6347</v>
      </c>
      <c r="GX66" s="868">
        <f>ROUND(GX$5*HE66/HE$6,0)</f>
        <v>174172</v>
      </c>
      <c r="GY66" s="1248">
        <f>ROUND(GY$5*HC66/HC$6,0)</f>
        <v>180519</v>
      </c>
      <c r="GZ66" s="1336">
        <f>ROUND(GZ$5*HE66/HE$6,0)</f>
        <v>-376</v>
      </c>
      <c r="HA66" s="1336">
        <f t="shared" si="988"/>
        <v>11262</v>
      </c>
      <c r="HB66" s="1406">
        <f t="shared" si="344"/>
        <v>-2904</v>
      </c>
      <c r="HC66" s="1748">
        <f>'27R8'!U64</f>
        <v>182854</v>
      </c>
      <c r="HD66" s="1690">
        <f>'27R8'!O64</f>
        <v>-11634</v>
      </c>
      <c r="HE66" s="1398">
        <v>180959</v>
      </c>
      <c r="HF66" s="1392">
        <f t="shared" si="311"/>
        <v>-12968</v>
      </c>
      <c r="HG66" s="1310">
        <f>HH66-HI66</f>
        <v>-10064</v>
      </c>
      <c r="HH66" s="868">
        <f>ROUND(HH$5*HO66/HO$6,0)</f>
        <v>174790</v>
      </c>
      <c r="HI66" s="1248">
        <f>ROUND(HI$5*HM66/HM$6,0)</f>
        <v>184854</v>
      </c>
      <c r="HJ66" s="1336">
        <f>ROUND(HJ$5*HO66/HO$6,0)</f>
        <v>-378</v>
      </c>
      <c r="HK66" s="1336">
        <f t="shared" si="989"/>
        <v>11262</v>
      </c>
      <c r="HL66" s="1406">
        <f t="shared" si="347"/>
        <v>-2904</v>
      </c>
      <c r="HM66" s="1748">
        <f>'28R9'!U64</f>
        <v>182854</v>
      </c>
      <c r="HN66" s="1332">
        <f>'28R9'!O64</f>
        <v>-11634</v>
      </c>
      <c r="HO66" s="1398">
        <v>179669</v>
      </c>
      <c r="HQ66" s="1310">
        <f>市町名目!J65</f>
        <v>162153</v>
      </c>
      <c r="HR66" s="1310">
        <f>市町名目!K65</f>
        <v>150844</v>
      </c>
      <c r="HS66" s="1310">
        <f>市町名目!L65</f>
        <v>148754</v>
      </c>
      <c r="HT66" s="1310">
        <f>市町名目!M65</f>
        <v>153571</v>
      </c>
      <c r="HU66" s="1310">
        <f>市町名目!N65</f>
        <v>162495</v>
      </c>
      <c r="HV66" s="1054">
        <v>173019</v>
      </c>
      <c r="HW66" s="1030">
        <v>190919</v>
      </c>
      <c r="HX66" s="1030">
        <v>180959</v>
      </c>
      <c r="HY66" s="1030">
        <v>179669</v>
      </c>
    </row>
    <row r="67" spans="1:233" ht="13" thickBot="1">
      <c r="A67" s="1342">
        <v>226</v>
      </c>
      <c r="B67" s="1343" t="s">
        <v>225</v>
      </c>
      <c r="C67" s="1344">
        <f>+L67-J67</f>
        <v>-26653</v>
      </c>
      <c r="D67" s="1345">
        <f>C67-I67</f>
        <v>-28023</v>
      </c>
      <c r="E67" s="885">
        <f>ROUND(E$5*L67/L$6,0)</f>
        <v>117825</v>
      </c>
      <c r="F67" s="1345">
        <f>ROUND(F$5*J67/J$6,0)</f>
        <v>140871</v>
      </c>
      <c r="G67" s="837">
        <f>ROUND(G$5*L67/L$6,0)</f>
        <v>-188</v>
      </c>
      <c r="H67" s="837">
        <f t="shared" si="967"/>
        <v>15363</v>
      </c>
      <c r="I67" s="1346">
        <f t="shared" si="967"/>
        <v>1370</v>
      </c>
      <c r="J67" s="1347">
        <f>'7H18'!K65</f>
        <v>165081</v>
      </c>
      <c r="K67" s="1348">
        <f>+'7H18'!E65</f>
        <v>23625</v>
      </c>
      <c r="L67" s="1349">
        <f>'7H18'!C65</f>
        <v>138428</v>
      </c>
      <c r="M67" s="1344">
        <f>+V67-T67</f>
        <v>-15716</v>
      </c>
      <c r="N67" s="1345">
        <f>M67-S67</f>
        <v>-17981</v>
      </c>
      <c r="O67" s="885">
        <f>ROUND(O$5*V67/V$6,0)</f>
        <v>124980</v>
      </c>
      <c r="P67" s="1345">
        <f>ROUND(P$5*T67/T$6,0)</f>
        <v>135397</v>
      </c>
      <c r="Q67" s="837">
        <f>ROUND(Q$5*V67/V$6,0)</f>
        <v>-299</v>
      </c>
      <c r="R67" s="837">
        <f t="shared" si="968"/>
        <v>14787</v>
      </c>
      <c r="S67" s="1346">
        <f t="shared" si="968"/>
        <v>2265</v>
      </c>
      <c r="T67" s="1347">
        <f>+'8H19'!K65</f>
        <v>152307</v>
      </c>
      <c r="U67" s="1348">
        <f>+'8H19'!E65</f>
        <v>22932</v>
      </c>
      <c r="V67" s="1349">
        <f>'8H19'!C65</f>
        <v>136591</v>
      </c>
      <c r="W67" s="1344">
        <f>+AF67-AD67</f>
        <v>-6840</v>
      </c>
      <c r="X67" s="1345">
        <f>W67-AC67</f>
        <v>-8787</v>
      </c>
      <c r="Y67" s="885">
        <f>ROUND(Y$5*AF67/AF$6,0)</f>
        <v>116293</v>
      </c>
      <c r="Z67" s="1345">
        <f>ROUND(Z$5*AD67/AD$6,0)</f>
        <v>128479</v>
      </c>
      <c r="AA67" s="837">
        <f>ROUND(AA$5*AF67/AF$6,0)</f>
        <v>-748</v>
      </c>
      <c r="AB67" s="837">
        <f t="shared" si="969"/>
        <v>13753</v>
      </c>
      <c r="AC67" s="1346">
        <f t="shared" si="969"/>
        <v>1947</v>
      </c>
      <c r="AD67" s="1347">
        <f>+'9H20'!K65</f>
        <v>145607</v>
      </c>
      <c r="AE67" s="1348">
        <f>+'9H20'!E65</f>
        <v>23033</v>
      </c>
      <c r="AF67" s="1349">
        <f>'9H20'!C65</f>
        <v>138767</v>
      </c>
      <c r="AG67" s="1344">
        <f>+AP67-AN67</f>
        <v>-11713</v>
      </c>
      <c r="AH67" s="1345">
        <f>AG67-AM67</f>
        <v>-10155</v>
      </c>
      <c r="AI67" s="885">
        <f>ROUND(AI$5*AP67/AP$6,0)</f>
        <v>104436</v>
      </c>
      <c r="AJ67" s="1345">
        <f>ROUND(AJ$5*AN67/AN$6,0)</f>
        <v>127202</v>
      </c>
      <c r="AK67" s="837">
        <f>ROUND(AK$5*AP67/AP$6,0)</f>
        <v>99</v>
      </c>
      <c r="AL67" s="837">
        <f t="shared" si="970"/>
        <v>14142</v>
      </c>
      <c r="AM67" s="1346">
        <f t="shared" si="970"/>
        <v>-1558</v>
      </c>
      <c r="AN67" s="1347">
        <f>+'10H21'!K65</f>
        <v>154918</v>
      </c>
      <c r="AO67" s="1348">
        <f>+'10H21'!E65</f>
        <v>25275</v>
      </c>
      <c r="AP67" s="1349">
        <f>'10H21'!C65</f>
        <v>143205</v>
      </c>
      <c r="AQ67" s="1344">
        <f>+AZ67-AX67</f>
        <v>4777</v>
      </c>
      <c r="AR67" s="1345">
        <f>AQ67-AW67</f>
        <v>3160</v>
      </c>
      <c r="AS67" s="885">
        <f>ROUND(AS$5*AZ67/AZ$6,0)</f>
        <v>107199</v>
      </c>
      <c r="AT67" s="1345">
        <f>ROUND(AT$5*AX67/AX$6,0)</f>
        <v>115816</v>
      </c>
      <c r="AU67" s="837">
        <f>ROUND(AU$5*AZ67/AZ$6,0)</f>
        <v>-785</v>
      </c>
      <c r="AV67" s="837">
        <f t="shared" si="971"/>
        <v>13940</v>
      </c>
      <c r="AW67" s="1346">
        <f t="shared" si="971"/>
        <v>1617</v>
      </c>
      <c r="AX67" s="1347">
        <f>+'11H22'!K65</f>
        <v>137772</v>
      </c>
      <c r="AY67" s="1348">
        <f>+'11H22'!E65</f>
        <v>23637</v>
      </c>
      <c r="AZ67" s="1349">
        <f>'11H22'!C65</f>
        <v>142549</v>
      </c>
      <c r="BA67" s="1344">
        <f>+BJ67-BH67</f>
        <v>-20717</v>
      </c>
      <c r="BB67" s="1345">
        <f>BA67-BG67</f>
        <v>-22020</v>
      </c>
      <c r="BC67" s="885">
        <f>ROUND(BC$5*BJ67/BJ$6,0)</f>
        <v>104468</v>
      </c>
      <c r="BD67" s="1345">
        <f>ROUND(BD$5*BH67/BH$6,0)</f>
        <v>130783</v>
      </c>
      <c r="BE67" s="837">
        <f>ROUND(BE$5*BJ67/BJ$6,0)</f>
        <v>-524</v>
      </c>
      <c r="BF67" s="837">
        <f t="shared" si="972"/>
        <v>14499</v>
      </c>
      <c r="BG67" s="1346">
        <f t="shared" si="972"/>
        <v>1303</v>
      </c>
      <c r="BH67" s="1347">
        <f>+'12H23'!K65</f>
        <v>152438</v>
      </c>
      <c r="BI67" s="1348">
        <f>+'12H23'!E65</f>
        <v>25440</v>
      </c>
      <c r="BJ67" s="1349">
        <f>'12H23'!C65</f>
        <v>131721</v>
      </c>
      <c r="BK67" s="1344">
        <f>+BT67-BR67</f>
        <v>-20422</v>
      </c>
      <c r="BL67" s="1345">
        <f>BK67-BQ67</f>
        <v>-22687</v>
      </c>
      <c r="BM67" s="885">
        <f>ROUND(BM$5*BT67/BT$6,0)</f>
        <v>106388</v>
      </c>
      <c r="BN67" s="1345">
        <f>ROUND(BN$5*BR67/BR$6,0)</f>
        <v>134403</v>
      </c>
      <c r="BO67" s="837">
        <f>ROUND(BO$5*BT67/BT$6,0)</f>
        <v>-442</v>
      </c>
      <c r="BP67" s="837">
        <f t="shared" si="973"/>
        <v>14375</v>
      </c>
      <c r="BQ67" s="1346">
        <f t="shared" si="973"/>
        <v>2265</v>
      </c>
      <c r="BR67" s="1347">
        <f>+'13H24'!K65</f>
        <v>156979</v>
      </c>
      <c r="BS67" s="1348">
        <f>+'13H24'!E65</f>
        <v>26259</v>
      </c>
      <c r="BT67" s="1349">
        <f>'13H24'!C65</f>
        <v>136557</v>
      </c>
      <c r="BU67" s="1344">
        <f>+CD67-CB67</f>
        <v>-24984</v>
      </c>
      <c r="BV67" s="1345">
        <f>BU67-CA67</f>
        <v>-26898</v>
      </c>
      <c r="BW67" s="885">
        <f>ROUND(BW$5*CD67/CD$6,0)</f>
        <v>106437</v>
      </c>
      <c r="BX67" s="1345">
        <f>ROUND(BX$5*CB67/CB$6,0)</f>
        <v>138094</v>
      </c>
      <c r="BY67" s="837">
        <f>ROUND(BY$5*CD67/CD$6,0)</f>
        <v>-439</v>
      </c>
      <c r="BZ67" s="837">
        <f t="shared" si="974"/>
        <v>14624</v>
      </c>
      <c r="CA67" s="1346">
        <f t="shared" si="974"/>
        <v>1914</v>
      </c>
      <c r="CB67" s="1347">
        <f>+'14H25'!K65</f>
        <v>161386</v>
      </c>
      <c r="CC67" s="1348">
        <f>+'14H25'!E65</f>
        <v>27793</v>
      </c>
      <c r="CD67" s="1349">
        <f>'14H25'!C65</f>
        <v>136402</v>
      </c>
      <c r="CE67" s="1344">
        <f>+CN67-CL67</f>
        <v>-17583</v>
      </c>
      <c r="CF67" s="1345">
        <f>CE67-CK67</f>
        <v>-16109</v>
      </c>
      <c r="CG67" s="885">
        <f>ROUND(CG$5*CN67/CN$6,0)</f>
        <v>109113</v>
      </c>
      <c r="CH67" s="1345">
        <f>ROUND(CH$5*CL67/CL$6,0)</f>
        <v>131567</v>
      </c>
      <c r="CI67" s="837">
        <f>ROUND(CI$5*CN67/CN$6,0)</f>
        <v>-475</v>
      </c>
      <c r="CJ67" s="837">
        <f t="shared" si="975"/>
        <v>15400</v>
      </c>
      <c r="CK67" s="1346">
        <f t="shared" si="975"/>
        <v>-1474</v>
      </c>
      <c r="CL67" s="1347">
        <f>+'15H26'!K65</f>
        <v>153063</v>
      </c>
      <c r="CM67" s="1348">
        <f>+'15H26'!E65</f>
        <v>29389</v>
      </c>
      <c r="CN67" s="1349">
        <f>'15H26'!C65</f>
        <v>135480</v>
      </c>
      <c r="CO67" s="1344">
        <f>+CX67-CV67</f>
        <v>-26327</v>
      </c>
      <c r="CP67" s="1345">
        <f>CO67-CU67</f>
        <v>-27880</v>
      </c>
      <c r="CQ67" s="885">
        <f>ROUND(CQ$5*CX67/CX$6,0)</f>
        <v>106141</v>
      </c>
      <c r="CR67" s="1345">
        <f>ROUND(CR$5*CV67/CV$6,0)</f>
        <v>135702</v>
      </c>
      <c r="CS67" s="837">
        <f>ROUND(CS$5*CX67/CX$6,0)</f>
        <v>-478</v>
      </c>
      <c r="CT67" s="837">
        <f t="shared" si="976"/>
        <v>15273</v>
      </c>
      <c r="CU67" s="1346">
        <f t="shared" si="976"/>
        <v>1553</v>
      </c>
      <c r="CV67" s="1347">
        <f>+'16H27'!K65</f>
        <v>163234</v>
      </c>
      <c r="CW67" s="1348">
        <f>+'16H27'!E65</f>
        <v>30033</v>
      </c>
      <c r="CX67" s="1349">
        <f>'16H27'!C65</f>
        <v>136907</v>
      </c>
      <c r="CY67" s="1344">
        <f>+DH67-DF67</f>
        <v>-1961</v>
      </c>
      <c r="CZ67" s="1345">
        <f>CY67-DE67</f>
        <v>-1839</v>
      </c>
      <c r="DA67" s="885">
        <f>ROUND(DA$5*DH67/DH$6,0)</f>
        <v>110529</v>
      </c>
      <c r="DB67" s="1345">
        <f>ROUND(DB$5*DF67/DF$6,0)</f>
        <v>121161</v>
      </c>
      <c r="DC67" s="837">
        <f>ROUND(DC$5*DH67/DH$6,0)</f>
        <v>-467</v>
      </c>
      <c r="DD67" s="837">
        <f t="shared" si="977"/>
        <v>15183</v>
      </c>
      <c r="DE67" s="1346">
        <f t="shared" si="977"/>
        <v>-122</v>
      </c>
      <c r="DF67" s="1347">
        <f>+'17H28'!K65</f>
        <v>149821</v>
      </c>
      <c r="DG67" s="1348">
        <f>+'17H28'!E65</f>
        <v>29527</v>
      </c>
      <c r="DH67" s="1349">
        <f>'17H28'!C65</f>
        <v>147860</v>
      </c>
      <c r="DI67" s="1344">
        <f>+DR67-DP67</f>
        <v>-4699</v>
      </c>
      <c r="DJ67" s="1345">
        <f>DI67-DO67</f>
        <v>528</v>
      </c>
      <c r="DK67" s="885">
        <f>ROUND(DK$5*DR67/DR$6,0)</f>
        <v>113441</v>
      </c>
      <c r="DL67" s="1345">
        <f>ROUND(DL$5*DP67/DP$6,0)</f>
        <v>124591</v>
      </c>
      <c r="DM67" s="837">
        <f>ROUND(DM$5*DR67/DR$6,0)</f>
        <v>-362</v>
      </c>
      <c r="DN67" s="837">
        <f t="shared" si="978"/>
        <v>12848</v>
      </c>
      <c r="DO67" s="1346">
        <f t="shared" si="978"/>
        <v>-5227</v>
      </c>
      <c r="DP67" s="1347">
        <f>+'18H29'!K65</f>
        <v>150110</v>
      </c>
      <c r="DQ67" s="1348">
        <f>+'18H29'!E65</f>
        <v>27885</v>
      </c>
      <c r="DR67" s="1349">
        <f>+'18H29'!C65</f>
        <v>145411</v>
      </c>
      <c r="DS67" s="1344">
        <f>+EB67-DZ67</f>
        <v>-4125</v>
      </c>
      <c r="DT67" s="1345">
        <f>DS67-DY67</f>
        <v>3841</v>
      </c>
      <c r="DU67" s="885">
        <f>ROUND(DU$5*EB67/EB$6,0)</f>
        <v>114482</v>
      </c>
      <c r="DV67" s="1345">
        <f>ROUND(DV$5*DZ67/DZ$6,0)</f>
        <v>126919</v>
      </c>
      <c r="DW67" s="837">
        <f>ROUND(DW$5*EB67/EB$6,0)</f>
        <v>-373</v>
      </c>
      <c r="DX67" s="837">
        <f t="shared" si="979"/>
        <v>13101</v>
      </c>
      <c r="DY67" s="1346">
        <f t="shared" si="979"/>
        <v>-7966</v>
      </c>
      <c r="DZ67" s="1347">
        <f>+'19H30'!K65</f>
        <v>149035</v>
      </c>
      <c r="EA67" s="1348">
        <f>+'19H30'!E65</f>
        <v>27828</v>
      </c>
      <c r="EB67" s="1349">
        <f>+'19H30'!C65</f>
        <v>144910</v>
      </c>
      <c r="EC67" s="1344">
        <f>+EL67-EJ67</f>
        <v>-11680</v>
      </c>
      <c r="ED67" s="1345">
        <f>EC67-EI67</f>
        <v>-86</v>
      </c>
      <c r="EE67" s="885">
        <f>ROUND(EE$5*EL67/EL$6,0)</f>
        <v>115648</v>
      </c>
      <c r="EF67" s="1345">
        <f>ROUND(EF$5*EJ67/EJ$6,0)</f>
        <v>134895</v>
      </c>
      <c r="EG67" s="837">
        <f>ROUND(EG$5*EL67/EL$6,0)</f>
        <v>-361</v>
      </c>
      <c r="EH67" s="837">
        <f t="shared" si="980"/>
        <v>13833</v>
      </c>
      <c r="EI67" s="1346">
        <f t="shared" si="980"/>
        <v>-11594</v>
      </c>
      <c r="EJ67" s="1347">
        <f>+'20R1'!K65</f>
        <v>161048</v>
      </c>
      <c r="EK67" s="1348">
        <f>+'20R1'!E65</f>
        <v>30185</v>
      </c>
      <c r="EL67" s="1349">
        <f>+'20R1'!C65</f>
        <v>149368</v>
      </c>
      <c r="EM67" s="1344">
        <f>+EV67-ET67</f>
        <v>-5666</v>
      </c>
      <c r="EN67" s="1348">
        <f>EM67-ES67</f>
        <v>-3062</v>
      </c>
      <c r="EO67" s="1350">
        <f>ROUND(EO$5*EV67/EV$6,0)</f>
        <v>102142</v>
      </c>
      <c r="EP67" s="1348">
        <f>ROUND(EP$5*ET67/ET$6,0)</f>
        <v>118659</v>
      </c>
      <c r="EQ67" s="1351">
        <f>ROUND(EQ$5*EV67/EV$6,0)</f>
        <v>-268</v>
      </c>
      <c r="ER67" s="1351">
        <f t="shared" si="981"/>
        <v>14079</v>
      </c>
      <c r="ES67" s="1350">
        <f t="shared" si="982"/>
        <v>-2604</v>
      </c>
      <c r="ET67" s="1352">
        <f>'21R2'!K65</f>
        <v>147895</v>
      </c>
      <c r="EU67" s="1348">
        <f>'21R2'!E65</f>
        <v>31069</v>
      </c>
      <c r="EV67" s="1349">
        <f>+'21R2'!C65</f>
        <v>142229</v>
      </c>
      <c r="EW67" s="1394">
        <f t="shared" si="851"/>
        <v>-24446</v>
      </c>
      <c r="EX67" s="1395">
        <f>EY67-EZ67</f>
        <v>-21533</v>
      </c>
      <c r="EY67" s="885">
        <f>ROUND(EY$5*FF67/FF$6,0)</f>
        <v>117355</v>
      </c>
      <c r="EZ67" s="1345">
        <f>ROUND(EZ$5*FD67/FD$6,0)</f>
        <v>138888</v>
      </c>
      <c r="FA67" s="1396">
        <f>ROUND(FA$5*FF67/FF$6,0)</f>
        <v>-155</v>
      </c>
      <c r="FB67" s="1396">
        <f t="shared" si="983"/>
        <v>13969</v>
      </c>
      <c r="FC67" s="877">
        <f t="shared" ref="FC67" si="990">ROUND(FC$5*FF67/FF$6,0)</f>
        <v>-2913</v>
      </c>
      <c r="FD67" s="1694">
        <f>'22R3'!K65</f>
        <v>160554</v>
      </c>
      <c r="FE67" s="1395">
        <f>'22R3'!E65</f>
        <v>31711</v>
      </c>
      <c r="FF67" s="1691">
        <f>'22R3'!C65</f>
        <v>149178</v>
      </c>
      <c r="FG67" s="1394">
        <f t="shared" si="852"/>
        <v>-35494</v>
      </c>
      <c r="FH67" s="1395">
        <f>FI67-FJ67</f>
        <v>-32581</v>
      </c>
      <c r="FI67" s="885">
        <f>ROUND(FI$5*FP67/FP$6,0)</f>
        <v>125226</v>
      </c>
      <c r="FJ67" s="1345">
        <f>ROUND(FJ$5*FN67/FN$6,0)</f>
        <v>157807</v>
      </c>
      <c r="FK67" s="1396">
        <f>ROUND(FK$5*FP67/FP$6,0)</f>
        <v>-280</v>
      </c>
      <c r="FL67" s="1396">
        <f t="shared" si="984"/>
        <v>15645</v>
      </c>
      <c r="FM67" s="1399">
        <f t="shared" si="853"/>
        <v>-2913</v>
      </c>
      <c r="FN67" s="1749">
        <f>'23R4'!K65</f>
        <v>170086</v>
      </c>
      <c r="FO67" s="1418">
        <f>'23R4'!E65</f>
        <v>34267</v>
      </c>
      <c r="FP67" s="1691">
        <f>'23R4'!C65</f>
        <v>154331</v>
      </c>
      <c r="FQ67" s="1310"/>
      <c r="FR67" s="1394">
        <f t="shared" si="303"/>
        <v>-7636</v>
      </c>
      <c r="FS67" s="1395">
        <f>FT67-FU67</f>
        <v>-4723</v>
      </c>
      <c r="FT67" s="872">
        <f>ROUND(FT$5*GA67/GA$6,0)</f>
        <v>165688</v>
      </c>
      <c r="FU67" s="1345">
        <f>ROUND(FU$5*FY67/FY$6,0)</f>
        <v>170411</v>
      </c>
      <c r="FV67" s="1396">
        <f>ROUND(FV$5*GA67/GA$6,0)</f>
        <v>-365</v>
      </c>
      <c r="FW67" s="1396">
        <f t="shared" si="985"/>
        <v>17498</v>
      </c>
      <c r="FX67" s="1399">
        <f t="shared" si="335"/>
        <v>-2913</v>
      </c>
      <c r="FY67" s="1353">
        <f>'24R5'!K65</f>
        <v>186588</v>
      </c>
      <c r="FZ67" s="1353">
        <f>'24R5'!E65</f>
        <v>38315</v>
      </c>
      <c r="GA67" s="1400">
        <v>172404</v>
      </c>
      <c r="GB67" s="1394">
        <f t="shared" si="305"/>
        <v>2272</v>
      </c>
      <c r="GC67" s="1395">
        <f>GD67-GE67</f>
        <v>5185</v>
      </c>
      <c r="GD67" s="872">
        <f>ROUND(GD$5*GK67/GK$6,0)</f>
        <v>177102</v>
      </c>
      <c r="GE67" s="1345">
        <f>ROUND(GE$5*GI67/GI$6,0)</f>
        <v>171917</v>
      </c>
      <c r="GF67" s="1396">
        <f>ROUND(GF$5*GK67/GK$6,0)</f>
        <v>-382</v>
      </c>
      <c r="GG67" s="1396">
        <f t="shared" si="986"/>
        <v>9023</v>
      </c>
      <c r="GH67" s="1399">
        <f t="shared" si="338"/>
        <v>-2913</v>
      </c>
      <c r="GI67" s="1418">
        <f>'25R6'!K65</f>
        <v>185506</v>
      </c>
      <c r="GJ67" s="1418">
        <f>'25R6'!E65</f>
        <v>40265</v>
      </c>
      <c r="GK67" s="1729">
        <v>172404</v>
      </c>
      <c r="GL67" s="1394">
        <f t="shared" si="307"/>
        <v>4466</v>
      </c>
      <c r="GM67" s="1395">
        <f>GN67-GO67</f>
        <v>7379</v>
      </c>
      <c r="GN67" s="872">
        <f>ROUND(GN$5*GU67/GU$6,0)</f>
        <v>187053</v>
      </c>
      <c r="GO67" s="1345">
        <f>ROUND(GO$5*GS67/GS$6,0)</f>
        <v>179674</v>
      </c>
      <c r="GP67" s="1396">
        <f>ROUND(GP$5*GU67/GU$6,0)</f>
        <v>-404</v>
      </c>
      <c r="GQ67" s="1396">
        <f t="shared" si="987"/>
        <v>8665</v>
      </c>
      <c r="GR67" s="1746">
        <f t="shared" si="341"/>
        <v>-2913</v>
      </c>
      <c r="GS67" s="1749">
        <f>'26R7'!K65</f>
        <v>195255</v>
      </c>
      <c r="GT67" s="1418">
        <f>'26R7'!E65</f>
        <v>40394</v>
      </c>
      <c r="GU67" s="1399">
        <v>195255</v>
      </c>
      <c r="GV67" s="1394">
        <f t="shared" si="309"/>
        <v>-1257</v>
      </c>
      <c r="GW67" s="1395">
        <f>GX67-GY67</f>
        <v>1656</v>
      </c>
      <c r="GX67" s="872">
        <f>ROUND(GX$5*HE67/HE$6,0)</f>
        <v>187739</v>
      </c>
      <c r="GY67" s="1345">
        <f>ROUND(GY$5*HC67/HC$6,0)</f>
        <v>186083</v>
      </c>
      <c r="GZ67" s="1396">
        <f>ROUND(GZ$5*HE67/HE$6,0)</f>
        <v>-406</v>
      </c>
      <c r="HA67" s="1396">
        <f t="shared" si="988"/>
        <v>15760</v>
      </c>
      <c r="HB67" s="1746">
        <f t="shared" si="344"/>
        <v>-2913</v>
      </c>
      <c r="HC67" s="1749">
        <f>'27R8'!U65</f>
        <v>188490</v>
      </c>
      <c r="HD67" s="1691">
        <f>'27R8'!O65</f>
        <v>-16281</v>
      </c>
      <c r="HE67" s="1399">
        <v>195054</v>
      </c>
      <c r="HF67" s="1394">
        <f t="shared" si="311"/>
        <v>-7684</v>
      </c>
      <c r="HG67" s="1395">
        <f>HH67-HI67</f>
        <v>-4771</v>
      </c>
      <c r="HH67" s="872">
        <f>ROUND(HH$5*HO67/HO$6,0)</f>
        <v>185781</v>
      </c>
      <c r="HI67" s="1345">
        <f>ROUND(HI$5*HM67/HM$6,0)</f>
        <v>190552</v>
      </c>
      <c r="HJ67" s="1396">
        <f>ROUND(HJ$5*HO67/HO$6,0)</f>
        <v>-401</v>
      </c>
      <c r="HK67" s="1396">
        <f t="shared" si="989"/>
        <v>15760</v>
      </c>
      <c r="HL67" s="1746">
        <f t="shared" si="347"/>
        <v>-2913</v>
      </c>
      <c r="HM67" s="1749">
        <f>'28R9'!U65</f>
        <v>188490</v>
      </c>
      <c r="HN67" s="1418">
        <f>'28R9'!O65</f>
        <v>-16281</v>
      </c>
      <c r="HO67" s="1399">
        <v>190967</v>
      </c>
      <c r="HQ67" s="1310">
        <f>市町名目!J66</f>
        <v>149368</v>
      </c>
      <c r="HR67" s="1310">
        <f>市町名目!K66</f>
        <v>142229</v>
      </c>
      <c r="HS67" s="1310">
        <f>市町名目!L66</f>
        <v>149178</v>
      </c>
      <c r="HT67" s="1310">
        <f>市町名目!M66</f>
        <v>154331</v>
      </c>
      <c r="HU67" s="1310">
        <f>市町名目!N66</f>
        <v>163556</v>
      </c>
      <c r="HV67" s="1054">
        <v>167401</v>
      </c>
      <c r="HW67" s="1030">
        <v>191380</v>
      </c>
      <c r="HX67" s="1030">
        <v>195054</v>
      </c>
      <c r="HY67" s="1030">
        <v>190967</v>
      </c>
    </row>
    <row r="68" spans="1:233" ht="12.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V68" s="239"/>
      <c r="BF68" s="239"/>
      <c r="BP68" s="239"/>
      <c r="BZ68" s="239"/>
      <c r="CJ68" s="239"/>
      <c r="CT68" s="239"/>
      <c r="DD68" s="239"/>
      <c r="DN68" s="239"/>
      <c r="DX68" s="239"/>
      <c r="EH68" s="239"/>
      <c r="FC68" s="239" t="s">
        <v>11</v>
      </c>
      <c r="FM68" s="239" t="s">
        <v>11</v>
      </c>
      <c r="FX68" s="239" t="s">
        <v>1759</v>
      </c>
      <c r="GH68" s="239" t="str">
        <f>FX68</f>
        <v>R4固定</v>
      </c>
      <c r="GR68" s="239" t="str">
        <f>GH68</f>
        <v>R4固定</v>
      </c>
      <c r="HB68" s="239" t="str">
        <f>GR68</f>
        <v>R4固定</v>
      </c>
      <c r="HL68" s="239" t="str">
        <f>HB68</f>
        <v>R4固定</v>
      </c>
    </row>
    <row r="69" spans="1:233">
      <c r="AQ69" s="495"/>
      <c r="AR69" s="495"/>
      <c r="AS69" s="495"/>
      <c r="AT69" s="495"/>
      <c r="AU69" s="495"/>
      <c r="AW69" s="495"/>
      <c r="AX69" s="495"/>
      <c r="AY69" s="495"/>
      <c r="AZ69" s="495"/>
      <c r="BA69" s="495"/>
      <c r="BB69" s="495"/>
      <c r="BC69" s="495"/>
      <c r="BD69" s="495"/>
      <c r="BE69" s="495"/>
      <c r="BG69" s="495"/>
      <c r="BH69" s="495"/>
      <c r="BI69" s="495"/>
      <c r="BJ69" s="495"/>
      <c r="BK69" s="495"/>
      <c r="BL69" s="495"/>
      <c r="BM69" s="495"/>
      <c r="BN69" s="495"/>
      <c r="BO69" s="495"/>
      <c r="BQ69" s="495"/>
      <c r="BR69" s="495"/>
      <c r="BS69" s="495"/>
      <c r="BT69" s="495"/>
      <c r="BU69" s="495"/>
      <c r="BV69" s="495"/>
      <c r="BW69" s="495"/>
      <c r="BX69" s="495"/>
      <c r="BY69" s="495"/>
      <c r="CA69" s="495"/>
      <c r="CB69" s="495"/>
      <c r="CC69" s="495"/>
      <c r="CD69" s="495"/>
      <c r="CE69" s="495"/>
      <c r="CF69" s="495"/>
      <c r="CG69" s="495"/>
      <c r="CH69" s="495"/>
      <c r="CI69" s="495"/>
      <c r="CK69" s="495"/>
      <c r="CL69" s="495"/>
      <c r="CM69" s="495"/>
      <c r="CN69" s="495"/>
      <c r="CO69" s="495"/>
      <c r="CP69" s="495"/>
      <c r="CQ69" s="495"/>
      <c r="CR69" s="495"/>
      <c r="CS69" s="495"/>
      <c r="CU69" s="495"/>
      <c r="CV69" s="495"/>
      <c r="CW69" s="495"/>
      <c r="CX69" s="75"/>
      <c r="CY69" s="495"/>
      <c r="CZ69" s="495"/>
      <c r="DA69" s="495"/>
      <c r="DB69" s="495"/>
      <c r="DC69" s="495"/>
      <c r="DE69" s="495"/>
      <c r="DF69" s="495"/>
      <c r="DG69" s="495"/>
      <c r="DH69" s="495"/>
      <c r="DI69" s="495"/>
      <c r="DJ69" s="495"/>
      <c r="DK69" s="495"/>
      <c r="DL69" s="495"/>
      <c r="DM69" s="495"/>
      <c r="DO69" s="495"/>
      <c r="DP69" s="495"/>
      <c r="DQ69" s="495"/>
      <c r="DR69" s="495"/>
      <c r="DS69" s="495"/>
      <c r="DT69" s="495"/>
      <c r="DU69" s="495"/>
      <c r="DV69" s="495"/>
      <c r="DW69" s="495"/>
      <c r="DY69" s="495"/>
      <c r="DZ69" s="495"/>
      <c r="EA69" s="495"/>
      <c r="EB69" s="495"/>
      <c r="EC69" s="495"/>
      <c r="ED69" s="495"/>
      <c r="EE69" s="495"/>
      <c r="EF69" s="495"/>
      <c r="EG69" s="495"/>
      <c r="EI69" s="495"/>
      <c r="EJ69" s="495"/>
      <c r="EK69" s="495"/>
      <c r="EL69" s="495"/>
      <c r="ER69" s="239" t="s">
        <v>1582</v>
      </c>
    </row>
  </sheetData>
  <phoneticPr fontId="12"/>
  <pageMargins left="0.75" right="0.75" top="1" bottom="1" header="0.51200000000000001" footer="0.51200000000000001"/>
  <pageSetup paperSize="9" orientation="portrait"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5"/>
  <dimension ref="A1:X66"/>
  <sheetViews>
    <sheetView workbookViewId="0">
      <pane xSplit="2" ySplit="4" topLeftCell="N30" activePane="bottomRight" state="frozen"/>
      <selection pane="topRight" activeCell="C1" sqref="C1"/>
      <selection pane="bottomLeft" activeCell="A5" sqref="A5"/>
      <selection pane="bottomRight" activeCell="W40" sqref="W40"/>
    </sheetView>
  </sheetViews>
  <sheetFormatPr defaultColWidth="8.7109375" defaultRowHeight="13"/>
  <cols>
    <col min="1" max="1" width="4" style="75" customWidth="1"/>
    <col min="2" max="2" width="9.5" style="75" customWidth="1"/>
    <col min="3" max="15" width="10" style="75" customWidth="1"/>
    <col min="16" max="16" width="9.7109375" style="75" customWidth="1"/>
    <col min="17" max="17" width="9.92578125" style="75" customWidth="1"/>
    <col min="18" max="18" width="9.2109375" style="75" customWidth="1"/>
    <col min="19" max="16384" width="8.7109375" style="75"/>
  </cols>
  <sheetData>
    <row r="1" spans="1:24">
      <c r="B1" s="65" t="s">
        <v>833</v>
      </c>
      <c r="U1" s="935" t="s">
        <v>948</v>
      </c>
      <c r="V1" s="935" t="s">
        <v>14</v>
      </c>
      <c r="W1" s="935" t="s">
        <v>14</v>
      </c>
      <c r="X1" s="935" t="s">
        <v>14</v>
      </c>
    </row>
    <row r="2" spans="1:24">
      <c r="A2" s="728"/>
      <c r="B2" s="729" t="s">
        <v>319</v>
      </c>
      <c r="C2" s="1375">
        <v>2006</v>
      </c>
      <c r="D2" s="1375">
        <v>2007</v>
      </c>
      <c r="E2" s="1375">
        <v>2008</v>
      </c>
      <c r="F2" s="1375">
        <v>2009</v>
      </c>
      <c r="G2" s="1375">
        <v>2010</v>
      </c>
      <c r="H2" s="1375">
        <v>2011</v>
      </c>
      <c r="I2" s="1376">
        <v>2012</v>
      </c>
      <c r="J2" s="1376">
        <v>2013</v>
      </c>
      <c r="K2" s="1376">
        <v>2014</v>
      </c>
      <c r="L2" s="1376">
        <v>2015</v>
      </c>
      <c r="M2" s="1376">
        <v>2016</v>
      </c>
      <c r="N2" s="1376">
        <v>2017</v>
      </c>
      <c r="O2" s="1376">
        <v>2018</v>
      </c>
      <c r="P2" s="1376">
        <v>2019</v>
      </c>
      <c r="Q2" s="1376">
        <v>2020</v>
      </c>
      <c r="R2" s="1377">
        <v>2021</v>
      </c>
      <c r="S2" s="1377">
        <v>2022</v>
      </c>
      <c r="T2" s="1377">
        <v>2023</v>
      </c>
      <c r="U2" s="1377">
        <v>2024</v>
      </c>
      <c r="V2" s="1377">
        <v>2025</v>
      </c>
      <c r="W2" s="1377">
        <v>2026</v>
      </c>
      <c r="X2" s="1077">
        <v>2027</v>
      </c>
    </row>
    <row r="3" spans="1:24">
      <c r="A3" s="730"/>
      <c r="B3" s="730"/>
      <c r="C3" s="77" t="s">
        <v>837</v>
      </c>
      <c r="D3" s="77" t="s">
        <v>838</v>
      </c>
      <c r="E3" s="77" t="s">
        <v>869</v>
      </c>
      <c r="F3" s="77" t="s">
        <v>870</v>
      </c>
      <c r="G3" s="77" t="s">
        <v>13</v>
      </c>
      <c r="H3" s="77" t="s">
        <v>104</v>
      </c>
      <c r="I3" s="628" t="s">
        <v>118</v>
      </c>
      <c r="J3" s="628" t="s">
        <v>119</v>
      </c>
      <c r="K3" s="628" t="s">
        <v>67</v>
      </c>
      <c r="L3" s="628" t="s">
        <v>157</v>
      </c>
      <c r="M3" s="628" t="s">
        <v>1000</v>
      </c>
      <c r="N3" s="628" t="s">
        <v>1036</v>
      </c>
      <c r="O3" s="628" t="s">
        <v>1062</v>
      </c>
      <c r="P3" s="628" t="s">
        <v>1161</v>
      </c>
      <c r="Q3" s="628" t="s">
        <v>1129</v>
      </c>
      <c r="R3" s="935" t="s">
        <v>1160</v>
      </c>
      <c r="S3" s="935" t="s">
        <v>1200</v>
      </c>
      <c r="T3" s="935" t="s">
        <v>1234</v>
      </c>
      <c r="U3" s="935" t="s">
        <v>1561</v>
      </c>
      <c r="V3" s="935" t="s">
        <v>1603</v>
      </c>
      <c r="W3" s="935" t="s">
        <v>1745</v>
      </c>
      <c r="X3" s="453" t="s">
        <v>1783</v>
      </c>
    </row>
    <row r="4" spans="1:24">
      <c r="A4" s="730"/>
      <c r="B4" s="730" t="s">
        <v>320</v>
      </c>
      <c r="C4" s="259"/>
      <c r="D4" s="259" t="s">
        <v>839</v>
      </c>
      <c r="E4" s="259" t="s">
        <v>839</v>
      </c>
      <c r="F4" s="259" t="s">
        <v>839</v>
      </c>
      <c r="G4" s="259" t="s">
        <v>839</v>
      </c>
      <c r="H4" s="259" t="s">
        <v>839</v>
      </c>
      <c r="I4" s="132"/>
      <c r="R4" s="453"/>
      <c r="S4" s="453"/>
      <c r="T4" s="453"/>
      <c r="U4" s="453"/>
      <c r="V4" s="453"/>
      <c r="W4" s="453"/>
      <c r="X4" s="450"/>
    </row>
    <row r="5" spans="1:24">
      <c r="A5" s="728"/>
      <c r="B5" s="728" t="s">
        <v>322</v>
      </c>
      <c r="C5" s="1224">
        <f>移輸出!C5-移輸入!C5</f>
        <v>812930.05164396018</v>
      </c>
      <c r="D5" s="1224">
        <f>移輸出!D5-移輸入!D5</f>
        <v>1299466.795611959</v>
      </c>
      <c r="E5" s="1224">
        <f>移輸出!E5-移輸入!E5</f>
        <v>444960.13382253796</v>
      </c>
      <c r="F5" s="1224">
        <f>移輸出!F5-移輸入!F5</f>
        <v>478370.31854407676</v>
      </c>
      <c r="G5" s="1224">
        <f>移輸出!G5-移輸入!G5</f>
        <v>945134.46931903064</v>
      </c>
      <c r="H5" s="1224">
        <f>移輸出!H5-移輸入!H5</f>
        <v>115732.65056151524</v>
      </c>
      <c r="I5" s="1224">
        <f>移輸出!I5-移輸入!I5</f>
        <v>-204195.72380791791</v>
      </c>
      <c r="J5" s="1224">
        <f>移輸出!J5-移輸入!J5</f>
        <v>-323418.79504583776</v>
      </c>
      <c r="K5" s="1224">
        <f>移輸出!K5-移輸入!K5</f>
        <v>405439.14776409045</v>
      </c>
      <c r="L5" s="1224">
        <f>移輸出!L5-移輸入!L5</f>
        <v>698543.6537200287</v>
      </c>
      <c r="M5" s="1224">
        <f>移輸出!M5-移輸入!M5</f>
        <v>938525.4852191098</v>
      </c>
      <c r="N5" s="1224">
        <f>移輸出!N5-移輸入!N5</f>
        <v>973016.83426259831</v>
      </c>
      <c r="O5" s="1224">
        <f>移輸出!O5-移輸入!O5</f>
        <v>716501.29187541083</v>
      </c>
      <c r="P5" s="1224">
        <f>移輸出!P5-移輸入!P5</f>
        <v>504954.94520617649</v>
      </c>
      <c r="Q5" s="1224">
        <f>移輸出!Q5-移輸入!Q5</f>
        <v>494775.68825399876</v>
      </c>
      <c r="R5" s="1845">
        <f>移輸出!R5-移輸入!R5</f>
        <v>-804879</v>
      </c>
      <c r="S5" s="1845">
        <f>移輸出!S5-移輸入!S5</f>
        <v>-2399390</v>
      </c>
      <c r="T5" s="1845">
        <f>移輸出!T5-移輸入!T5</f>
        <v>294496</v>
      </c>
      <c r="U5" s="1845">
        <f>移輸出!U5-移輸入!U5</f>
        <v>872485</v>
      </c>
      <c r="V5" s="1845">
        <f>移輸出!V5-移輸入!V5</f>
        <v>935201</v>
      </c>
      <c r="W5" s="1845">
        <f>移輸出!W5-移輸入!W5</f>
        <v>961055</v>
      </c>
      <c r="X5" s="1845">
        <f>移輸出!X5-移輸入!X5</f>
        <v>-2256053</v>
      </c>
    </row>
    <row r="6" spans="1:24">
      <c r="A6" s="730">
        <v>100</v>
      </c>
      <c r="B6" s="730" t="s">
        <v>172</v>
      </c>
      <c r="C6" s="1225">
        <f>移輸出!C6-移輸入!C6</f>
        <v>504896.05164396204</v>
      </c>
      <c r="D6" s="1225">
        <f>移輸出!D6-移輸入!D6</f>
        <v>694988.79561196081</v>
      </c>
      <c r="E6" s="1225">
        <f>移輸出!E6-移輸入!E6</f>
        <v>470048.13382253703</v>
      </c>
      <c r="F6" s="1225">
        <f>移輸出!F6-移輸入!F6</f>
        <v>641010.31854407676</v>
      </c>
      <c r="G6" s="1225">
        <f>移輸出!G6-移輸入!G6</f>
        <v>717967.46931903157</v>
      </c>
      <c r="H6" s="1225">
        <f>移輸出!H6-移輸入!H6</f>
        <v>512771.65056151524</v>
      </c>
      <c r="I6" s="1225">
        <f>移輸出!I6-移輸入!I6</f>
        <v>410179.27619208302</v>
      </c>
      <c r="J6" s="1225">
        <f>移輸出!J6-移輸入!J6</f>
        <v>167530.20495416131</v>
      </c>
      <c r="K6" s="1225">
        <f>移輸出!K6-移輸入!K6</f>
        <v>531784.14776409045</v>
      </c>
      <c r="L6" s="1225">
        <f>移輸出!L6-移輸入!L6</f>
        <v>541330.6537200259</v>
      </c>
      <c r="M6" s="1225">
        <f>移輸出!M6-移輸入!M6</f>
        <v>557120.48521911073</v>
      </c>
      <c r="N6" s="1225">
        <f>移輸出!N6-移輸入!N6</f>
        <v>475014.83426259924</v>
      </c>
      <c r="O6" s="1225">
        <f>移輸出!O6-移輸入!O6</f>
        <v>476019.29187541083</v>
      </c>
      <c r="P6" s="1225">
        <f>移輸出!P6-移輸入!P6</f>
        <v>422009.94520618021</v>
      </c>
      <c r="Q6" s="1225">
        <f>移輸出!Q6-移輸入!Q6</f>
        <v>321871.68825399689</v>
      </c>
      <c r="R6" s="1846">
        <f>移輸出!R6-移輸入!R6</f>
        <v>-278489</v>
      </c>
      <c r="S6" s="1846">
        <f>移輸出!S6-移輸入!S6</f>
        <v>-651755</v>
      </c>
      <c r="T6" s="1846">
        <f>移輸出!T6-移輸入!T6</f>
        <v>231079</v>
      </c>
      <c r="U6" s="1846">
        <f>移輸出!U6-移輸入!U6</f>
        <v>700198</v>
      </c>
      <c r="V6" s="1846">
        <f>移輸出!V6-移輸入!V6</f>
        <v>273720</v>
      </c>
      <c r="W6" s="1846">
        <f>移輸出!W6-移輸入!W6</f>
        <v>196454</v>
      </c>
      <c r="X6" s="1846">
        <f>移輸出!X6-移輸入!X6</f>
        <v>-552188</v>
      </c>
    </row>
    <row r="7" spans="1:24">
      <c r="A7" s="730">
        <v>1</v>
      </c>
      <c r="B7" s="730" t="s">
        <v>323</v>
      </c>
      <c r="C7" s="1225">
        <f>移輸出!C7-移輸入!C7</f>
        <v>-588101</v>
      </c>
      <c r="D7" s="1225">
        <f>移輸出!D7-移輸入!D7</f>
        <v>-507612</v>
      </c>
      <c r="E7" s="1225">
        <f>移輸出!E7-移輸入!E7</f>
        <v>-791861</v>
      </c>
      <c r="F7" s="1225">
        <f>移輸出!F7-移輸入!F7</f>
        <v>-628940</v>
      </c>
      <c r="G7" s="1225">
        <f>移輸出!G7-移輸入!G7</f>
        <v>-364727</v>
      </c>
      <c r="H7" s="1225">
        <f>移輸出!H7-移輸入!H7</f>
        <v>-405274</v>
      </c>
      <c r="I7" s="1225">
        <f>移輸出!I7-移輸入!I7</f>
        <v>-461406</v>
      </c>
      <c r="J7" s="1225">
        <f>移輸出!J7-移輸入!J7</f>
        <v>-496664</v>
      </c>
      <c r="K7" s="1225">
        <f>移輸出!K7-移輸入!K7</f>
        <v>-365936</v>
      </c>
      <c r="L7" s="1225">
        <f>移輸出!L7-移輸入!L7</f>
        <v>-356961</v>
      </c>
      <c r="M7" s="1225">
        <f>移輸出!M7-移輸入!M7</f>
        <v>-289414</v>
      </c>
      <c r="N7" s="1225">
        <f>移輸出!N7-移輸入!N7</f>
        <v>-164483</v>
      </c>
      <c r="O7" s="1225">
        <f>移輸出!O7-移輸入!O7</f>
        <v>-263850</v>
      </c>
      <c r="P7" s="1225">
        <f>移輸出!P7-移輸入!P7</f>
        <v>-233118</v>
      </c>
      <c r="Q7" s="1225">
        <f>移輸出!Q7-移輸入!Q7</f>
        <v>-301952</v>
      </c>
      <c r="R7" s="1846">
        <f>移輸出!R7-移輸入!R7</f>
        <v>-526244</v>
      </c>
      <c r="S7" s="1846">
        <f>移輸出!S7-移輸入!S7</f>
        <v>-807228</v>
      </c>
      <c r="T7" s="1846">
        <f>移輸出!T7-移輸入!T7</f>
        <v>-198453</v>
      </c>
      <c r="U7" s="1846">
        <f>移輸出!U7-移輸入!U7</f>
        <v>-27079</v>
      </c>
      <c r="V7" s="1846">
        <f>移輸出!V7-移輸入!V7</f>
        <v>166455</v>
      </c>
      <c r="W7" s="1846">
        <f>移輸出!W7-移輸入!W7</f>
        <v>189686</v>
      </c>
      <c r="X7" s="1846">
        <f>移輸出!X7-移輸入!X7</f>
        <v>-436032</v>
      </c>
    </row>
    <row r="8" spans="1:24">
      <c r="A8" s="730">
        <v>2</v>
      </c>
      <c r="B8" s="730" t="s">
        <v>324</v>
      </c>
      <c r="C8" s="1225">
        <f>移輸出!C8-移輸入!C8</f>
        <v>-288419</v>
      </c>
      <c r="D8" s="1225">
        <f>移輸出!D8-移輸入!D8</f>
        <v>-274069</v>
      </c>
      <c r="E8" s="1225">
        <f>移輸出!E8-移輸入!E8</f>
        <v>-374139</v>
      </c>
      <c r="F8" s="1225">
        <f>移輸出!F8-移輸入!F8</f>
        <v>-296877</v>
      </c>
      <c r="G8" s="1225">
        <f>移輸出!G8-移輸入!G8</f>
        <v>-242387</v>
      </c>
      <c r="H8" s="1225">
        <f>移輸出!H8-移輸入!H8</f>
        <v>-278254</v>
      </c>
      <c r="I8" s="1225">
        <f>移輸出!I8-移輸入!I8</f>
        <v>-315022</v>
      </c>
      <c r="J8" s="1225">
        <f>移輸出!J8-移輸入!J8</f>
        <v>-379072</v>
      </c>
      <c r="K8" s="1225">
        <f>移輸出!K8-移輸入!K8</f>
        <v>-374036</v>
      </c>
      <c r="L8" s="1225">
        <f>移輸出!L8-移輸入!L8</f>
        <v>-318067</v>
      </c>
      <c r="M8" s="1225">
        <f>移輸出!M8-移輸入!M8</f>
        <v>-207277</v>
      </c>
      <c r="N8" s="1225">
        <f>移輸出!N8-移輸入!N8</f>
        <v>-253388</v>
      </c>
      <c r="O8" s="1225">
        <f>移輸出!O8-移輸入!O8</f>
        <v>-288453</v>
      </c>
      <c r="P8" s="1225">
        <f>移輸出!P8-移輸入!P8</f>
        <v>-361591</v>
      </c>
      <c r="Q8" s="1225">
        <f>移輸出!Q8-移輸入!Q8</f>
        <v>-284850</v>
      </c>
      <c r="R8" s="1846">
        <f>移輸出!R8-移輸入!R8</f>
        <v>-403421</v>
      </c>
      <c r="S8" s="1846">
        <f>移輸出!S8-移輸入!S8</f>
        <v>-663535</v>
      </c>
      <c r="T8" s="1846">
        <f>移輸出!T8-移輸入!T8</f>
        <v>-68300</v>
      </c>
      <c r="U8" s="1846">
        <f>移輸出!U8-移輸入!U8</f>
        <v>-439934</v>
      </c>
      <c r="V8" s="1846">
        <f>移輸出!V8-移輸入!V8</f>
        <v>115598</v>
      </c>
      <c r="W8" s="1846">
        <f>移輸出!W8-移輸入!W8</f>
        <v>282868</v>
      </c>
      <c r="X8" s="1846">
        <f>移輸出!X8-移輸入!X8</f>
        <v>-485329</v>
      </c>
    </row>
    <row r="9" spans="1:24">
      <c r="A9" s="730">
        <v>3</v>
      </c>
      <c r="B9" s="730" t="s">
        <v>192</v>
      </c>
      <c r="C9" s="1225">
        <f>移輸出!C9-移輸入!C9</f>
        <v>301512</v>
      </c>
      <c r="D9" s="1225">
        <f>移輸出!D9-移輸入!D9</f>
        <v>409810</v>
      </c>
      <c r="E9" s="1225">
        <f>移輸出!E9-移輸入!E9</f>
        <v>263995</v>
      </c>
      <c r="F9" s="1225">
        <f>移輸出!F9-移輸入!F9</f>
        <v>32886</v>
      </c>
      <c r="G9" s="1225">
        <f>移輸出!G9-移輸入!G9</f>
        <v>198469</v>
      </c>
      <c r="H9" s="1225">
        <f>移輸出!H9-移輸入!H9</f>
        <v>-73142</v>
      </c>
      <c r="I9" s="1225">
        <f>移輸出!I9-移輸入!I9</f>
        <v>44734</v>
      </c>
      <c r="J9" s="1225">
        <f>移輸出!J9-移輸入!J9</f>
        <v>23730</v>
      </c>
      <c r="K9" s="1225">
        <f>移輸出!K9-移輸入!K9</f>
        <v>-23422</v>
      </c>
      <c r="L9" s="1225">
        <f>移輸出!L9-移輸入!L9</f>
        <v>197581</v>
      </c>
      <c r="M9" s="1225">
        <f>移輸出!M9-移輸入!M9</f>
        <v>139171</v>
      </c>
      <c r="N9" s="1225">
        <f>移輸出!N9-移輸入!N9</f>
        <v>78201</v>
      </c>
      <c r="O9" s="1225">
        <f>移輸出!O9-移輸入!O9</f>
        <v>104627</v>
      </c>
      <c r="P9" s="1225">
        <f>移輸出!P9-移輸入!P9</f>
        <v>55480</v>
      </c>
      <c r="Q9" s="1225">
        <f>移輸出!Q9-移輸入!Q9</f>
        <v>104739</v>
      </c>
      <c r="R9" s="1846">
        <f>移輸出!R9-移輸入!R9</f>
        <v>-119754</v>
      </c>
      <c r="S9" s="1846">
        <f>移輸出!S9-移輸入!S9</f>
        <v>-152866</v>
      </c>
      <c r="T9" s="1846">
        <f>移輸出!T9-移輸入!T9</f>
        <v>-296605</v>
      </c>
      <c r="U9" s="1846">
        <f>移輸出!U9-移輸入!U9</f>
        <v>-54035</v>
      </c>
      <c r="V9" s="1846">
        <f>移輸出!V9-移輸入!V9</f>
        <v>128993</v>
      </c>
      <c r="W9" s="1846">
        <f>移輸出!W9-移輸入!W9</f>
        <v>183230</v>
      </c>
      <c r="X9" s="1846">
        <f>移輸出!X9-移輸入!X9</f>
        <v>-377676</v>
      </c>
    </row>
    <row r="10" spans="1:24">
      <c r="A10" s="730">
        <v>4</v>
      </c>
      <c r="B10" s="730" t="s">
        <v>325</v>
      </c>
      <c r="C10" s="1225">
        <f>移輸出!C10-移輸入!C10</f>
        <v>274486</v>
      </c>
      <c r="D10" s="1225">
        <f>移輸出!D10-移輸入!D10</f>
        <v>256148</v>
      </c>
      <c r="E10" s="1225">
        <f>移輸出!E10-移輸入!E10</f>
        <v>260384</v>
      </c>
      <c r="F10" s="1225">
        <f>移輸出!F10-移輸入!F10</f>
        <v>268465</v>
      </c>
      <c r="G10" s="1225">
        <f>移輸出!G10-移輸入!G10</f>
        <v>290467</v>
      </c>
      <c r="H10" s="1225">
        <f>移輸出!H10-移輸入!H10</f>
        <v>116784</v>
      </c>
      <c r="I10" s="1225">
        <f>移輸出!I10-移輸入!I10</f>
        <v>83282</v>
      </c>
      <c r="J10" s="1225">
        <f>移輸出!J10-移輸入!J10</f>
        <v>100433</v>
      </c>
      <c r="K10" s="1225">
        <f>移輸出!K10-移輸入!K10</f>
        <v>212814</v>
      </c>
      <c r="L10" s="1225">
        <f>移輸出!L10-移輸入!L10</f>
        <v>212040</v>
      </c>
      <c r="M10" s="1225">
        <f>移輸出!M10-移輸入!M10</f>
        <v>236345</v>
      </c>
      <c r="N10" s="1225">
        <f>移輸出!N10-移輸入!N10</f>
        <v>294982</v>
      </c>
      <c r="O10" s="1225">
        <f>移輸出!O10-移輸入!O10</f>
        <v>268480</v>
      </c>
      <c r="P10" s="1225">
        <f>移輸出!P10-移輸入!P10</f>
        <v>221971</v>
      </c>
      <c r="Q10" s="1225">
        <f>移輸出!Q10-移輸入!Q10</f>
        <v>260363</v>
      </c>
      <c r="R10" s="1846">
        <f>移輸出!R10-移輸入!R10</f>
        <v>220066</v>
      </c>
      <c r="S10" s="1846">
        <f>移輸出!S10-移輸入!S10</f>
        <v>111905</v>
      </c>
      <c r="T10" s="1846">
        <f>移輸出!T10-移輸入!T10</f>
        <v>228183</v>
      </c>
      <c r="U10" s="1846">
        <f>移輸出!U10-移輸入!U10</f>
        <v>124748</v>
      </c>
      <c r="V10" s="1846">
        <f>移輸出!V10-移輸入!V10</f>
        <v>45185</v>
      </c>
      <c r="W10" s="1846">
        <f>移輸出!W10-移輸入!W10</f>
        <v>35627</v>
      </c>
      <c r="X10" s="1846">
        <f>移輸出!X10-移輸入!X10</f>
        <v>-101400</v>
      </c>
    </row>
    <row r="11" spans="1:24">
      <c r="A11" s="730">
        <v>5</v>
      </c>
      <c r="B11" s="730" t="s">
        <v>326</v>
      </c>
      <c r="C11" s="1225">
        <f>移輸出!C11-移輸入!C11</f>
        <v>423415</v>
      </c>
      <c r="D11" s="1225">
        <f>移輸出!D11-移輸入!D11</f>
        <v>450391</v>
      </c>
      <c r="E11" s="1225">
        <f>移輸出!E11-移輸入!E11</f>
        <v>488427</v>
      </c>
      <c r="F11" s="1225">
        <f>移輸出!F11-移輸入!F11</f>
        <v>312448</v>
      </c>
      <c r="G11" s="1225">
        <f>移輸出!G11-移輸入!G11</f>
        <v>138415</v>
      </c>
      <c r="H11" s="1225">
        <f>移輸出!H11-移輸入!H11</f>
        <v>222016</v>
      </c>
      <c r="I11" s="1225">
        <f>移輸出!I11-移輸入!I11</f>
        <v>126821</v>
      </c>
      <c r="J11" s="1225">
        <f>移輸出!J11-移輸入!J11</f>
        <v>219738</v>
      </c>
      <c r="K11" s="1225">
        <f>移輸出!K11-移輸入!K11</f>
        <v>335790</v>
      </c>
      <c r="L11" s="1225">
        <f>移輸出!L11-移輸入!L11</f>
        <v>331875</v>
      </c>
      <c r="M11" s="1225">
        <f>移輸出!M11-移輸入!M11</f>
        <v>331764</v>
      </c>
      <c r="N11" s="1225">
        <f>移輸出!N11-移輸入!N11</f>
        <v>336344</v>
      </c>
      <c r="O11" s="1225">
        <f>移輸出!O11-移輸入!O11</f>
        <v>212787</v>
      </c>
      <c r="P11" s="1225">
        <f>移輸出!P11-移輸入!P11</f>
        <v>222670</v>
      </c>
      <c r="Q11" s="1225">
        <f>移輸出!Q11-移輸入!Q11</f>
        <v>133747</v>
      </c>
      <c r="R11" s="1846">
        <f>移輸出!R11-移輸入!R11</f>
        <v>236516</v>
      </c>
      <c r="S11" s="1846">
        <f>移輸出!S11-移輸入!S11</f>
        <v>17521</v>
      </c>
      <c r="T11" s="1846">
        <f>移輸出!T11-移輸入!T11</f>
        <v>-27029</v>
      </c>
      <c r="U11" s="1846">
        <f>移輸出!U11-移輸入!U11</f>
        <v>269963</v>
      </c>
      <c r="V11" s="1846">
        <f>移輸出!V11-移輸入!V11</f>
        <v>98041</v>
      </c>
      <c r="W11" s="1846">
        <f>移輸出!W11-移輸入!W11</f>
        <v>97218</v>
      </c>
      <c r="X11" s="1846">
        <f>移輸出!X11-移輸入!X11</f>
        <v>-232601</v>
      </c>
    </row>
    <row r="12" spans="1:24">
      <c r="A12" s="730">
        <v>6</v>
      </c>
      <c r="B12" s="730" t="s">
        <v>327</v>
      </c>
      <c r="C12" s="1225">
        <f>移輸出!C12-移輸入!C12</f>
        <v>79882</v>
      </c>
      <c r="D12" s="1225">
        <f>移輸出!D12-移輸入!D12</f>
        <v>123392</v>
      </c>
      <c r="E12" s="1225">
        <f>移輸出!E12-移輸入!E12</f>
        <v>76437</v>
      </c>
      <c r="F12" s="1225">
        <f>移輸出!F12-移輸入!F12</f>
        <v>92853</v>
      </c>
      <c r="G12" s="1225">
        <f>移輸出!G12-移輸入!G12</f>
        <v>119942</v>
      </c>
      <c r="H12" s="1225">
        <f>移輸出!H12-移輸入!H12</f>
        <v>57652</v>
      </c>
      <c r="I12" s="1225">
        <f>移輸出!I12-移輸入!I12</f>
        <v>29328</v>
      </c>
      <c r="J12" s="1225">
        <f>移輸出!J12-移輸入!J12</f>
        <v>51920</v>
      </c>
      <c r="K12" s="1225">
        <f>移輸出!K12-移輸入!K12</f>
        <v>95533</v>
      </c>
      <c r="L12" s="1225">
        <f>移輸出!L12-移輸入!L12</f>
        <v>75765</v>
      </c>
      <c r="M12" s="1225">
        <f>移輸出!M12-移輸入!M12</f>
        <v>100833</v>
      </c>
      <c r="N12" s="1225">
        <f>移輸出!N12-移輸入!N12</f>
        <v>163962</v>
      </c>
      <c r="O12" s="1225">
        <f>移輸出!O12-移輸入!O12</f>
        <v>139486</v>
      </c>
      <c r="P12" s="1225">
        <f>移輸出!P12-移輸入!P12</f>
        <v>110207</v>
      </c>
      <c r="Q12" s="1225">
        <f>移輸出!Q12-移輸入!Q12</f>
        <v>156664</v>
      </c>
      <c r="R12" s="1846">
        <f>移輸出!R12-移輸入!R12</f>
        <v>150553</v>
      </c>
      <c r="S12" s="1846">
        <f>移輸出!S12-移輸入!S12</f>
        <v>-24608</v>
      </c>
      <c r="T12" s="1846">
        <f>移輸出!T12-移輸入!T12</f>
        <v>161861</v>
      </c>
      <c r="U12" s="1846">
        <f>移輸出!U12-移輸入!U12</f>
        <v>113698</v>
      </c>
      <c r="V12" s="1846">
        <f>移輸出!V12-移輸入!V12</f>
        <v>40464</v>
      </c>
      <c r="W12" s="1846">
        <f>移輸出!W12-移輸入!W12</f>
        <v>10470</v>
      </c>
      <c r="X12" s="1846">
        <f>移輸出!X12-移輸入!X12</f>
        <v>-56050</v>
      </c>
    </row>
    <row r="13" spans="1:24">
      <c r="A13" s="730">
        <v>7</v>
      </c>
      <c r="B13" s="730" t="s">
        <v>210</v>
      </c>
      <c r="C13" s="1225">
        <f>移輸出!C13-移輸入!C13</f>
        <v>22942</v>
      </c>
      <c r="D13" s="1225">
        <f>移輸出!D13-移輸入!D13</f>
        <v>42486</v>
      </c>
      <c r="E13" s="1225">
        <f>移輸出!E13-移輸入!E13</f>
        <v>6274</v>
      </c>
      <c r="F13" s="1225">
        <f>移輸出!F13-移輸入!F13</f>
        <v>12172</v>
      </c>
      <c r="G13" s="1225">
        <f>移輸出!G13-移輸入!G13</f>
        <v>29505</v>
      </c>
      <c r="H13" s="1225">
        <f>移輸出!H13-移輸入!H13</f>
        <v>-42988</v>
      </c>
      <c r="I13" s="1225">
        <f>移輸出!I13-移輸入!I13</f>
        <v>-48644</v>
      </c>
      <c r="J13" s="1225">
        <f>移輸出!J13-移輸入!J13</f>
        <v>-16190</v>
      </c>
      <c r="K13" s="1225">
        <f>移輸出!K13-移輸入!K13</f>
        <v>1712</v>
      </c>
      <c r="L13" s="1225">
        <f>移輸出!L13-移輸入!L13</f>
        <v>10056</v>
      </c>
      <c r="M13" s="1225">
        <f>移輸出!M13-移輸入!M13</f>
        <v>13759</v>
      </c>
      <c r="N13" s="1225">
        <f>移輸出!N13-移輸入!N13</f>
        <v>-23760</v>
      </c>
      <c r="O13" s="1225">
        <f>移輸出!O13-移輸入!O13</f>
        <v>11574</v>
      </c>
      <c r="P13" s="1225">
        <f>移輸出!P13-移輸入!P13</f>
        <v>5809</v>
      </c>
      <c r="Q13" s="1225">
        <f>移輸出!Q13-移輸入!Q13</f>
        <v>41399</v>
      </c>
      <c r="R13" s="1846">
        <f>移輸出!R13-移輸入!R13</f>
        <v>-47703</v>
      </c>
      <c r="S13" s="1846">
        <f>移輸出!S13-移輸入!S13</f>
        <v>-127141</v>
      </c>
      <c r="T13" s="1846">
        <f>移輸出!T13-移輸入!T13</f>
        <v>124496</v>
      </c>
      <c r="U13" s="1846">
        <f>移輸出!U13-移輸入!U13</f>
        <v>76736</v>
      </c>
      <c r="V13" s="1846">
        <f>移輸出!V13-移輸入!V13</f>
        <v>27814</v>
      </c>
      <c r="W13" s="1846">
        <f>移輸出!W13-移輸入!W13</f>
        <v>-15184</v>
      </c>
      <c r="X13" s="1846">
        <f>移輸出!X13-移輸入!X13</f>
        <v>473</v>
      </c>
    </row>
    <row r="14" spans="1:24">
      <c r="A14" s="730">
        <v>8</v>
      </c>
      <c r="B14" s="730" t="s">
        <v>211</v>
      </c>
      <c r="C14" s="1225">
        <f>移輸出!C14-移輸入!C14</f>
        <v>30856</v>
      </c>
      <c r="D14" s="1225">
        <f>移輸出!D14-移輸入!D14</f>
        <v>40641</v>
      </c>
      <c r="E14" s="1225">
        <f>移輸出!E14-移輸入!E14</f>
        <v>9391</v>
      </c>
      <c r="F14" s="1225">
        <f>移輸出!F14-移輸入!F14</f>
        <v>18627</v>
      </c>
      <c r="G14" s="1225">
        <f>移輸出!G14-移輸入!G14</f>
        <v>23989</v>
      </c>
      <c r="H14" s="1225">
        <f>移輸出!H14-移輸入!H14</f>
        <v>2798</v>
      </c>
      <c r="I14" s="1225">
        <f>移輸出!I14-移輸入!I14</f>
        <v>-59048</v>
      </c>
      <c r="J14" s="1225">
        <f>移輸出!J14-移輸入!J14</f>
        <v>19758</v>
      </c>
      <c r="K14" s="1225">
        <f>移輸出!K14-移輸入!K14</f>
        <v>-12622</v>
      </c>
      <c r="L14" s="1225">
        <f>移輸出!L14-移輸入!L14</f>
        <v>1359</v>
      </c>
      <c r="M14" s="1225">
        <f>移輸出!M14-移輸入!M14</f>
        <v>38490</v>
      </c>
      <c r="N14" s="1225">
        <f>移輸出!N14-移輸入!N14</f>
        <v>49798</v>
      </c>
      <c r="O14" s="1225">
        <f>移輸出!O14-移輸入!O14</f>
        <v>31145</v>
      </c>
      <c r="P14" s="1225">
        <f>移輸出!P14-移輸入!P14</f>
        <v>55314</v>
      </c>
      <c r="Q14" s="1225">
        <f>移輸出!Q14-移輸入!Q14</f>
        <v>52774</v>
      </c>
      <c r="R14" s="1846">
        <f>移輸出!R14-移輸入!R14</f>
        <v>28660</v>
      </c>
      <c r="S14" s="1846">
        <f>移輸出!S14-移輸入!S14</f>
        <v>-17283</v>
      </c>
      <c r="T14" s="1846">
        <f>移輸出!T14-移輸入!T14</f>
        <v>86427</v>
      </c>
      <c r="U14" s="1846">
        <f>移輸出!U14-移輸入!U14</f>
        <v>60561</v>
      </c>
      <c r="V14" s="1846">
        <f>移輸出!V14-移輸入!V14</f>
        <v>17453</v>
      </c>
      <c r="W14" s="1846">
        <f>移輸出!W14-移輸入!W14</f>
        <v>-1969</v>
      </c>
      <c r="X14" s="1846">
        <f>移輸出!X14-移輸入!X14</f>
        <v>-17390</v>
      </c>
    </row>
    <row r="15" spans="1:24">
      <c r="A15" s="731">
        <v>9</v>
      </c>
      <c r="B15" s="731" t="s">
        <v>212</v>
      </c>
      <c r="C15" s="1226">
        <f>移輸出!C15-移輸入!C15</f>
        <v>51461</v>
      </c>
      <c r="D15" s="1226">
        <f>移輸出!D15-移輸入!D15</f>
        <v>63291</v>
      </c>
      <c r="E15" s="1226">
        <f>移輸出!E15-移輸入!E15</f>
        <v>36004</v>
      </c>
      <c r="F15" s="1226">
        <f>移輸出!F15-移輸入!F15</f>
        <v>25726</v>
      </c>
      <c r="G15" s="1226">
        <f>移輸出!G15-移輸入!G15</f>
        <v>33494</v>
      </c>
      <c r="H15" s="1226">
        <f>移輸出!H15-移輸入!H15</f>
        <v>3369</v>
      </c>
      <c r="I15" s="1226">
        <f>移輸出!I15-移輸入!I15</f>
        <v>-14420</v>
      </c>
      <c r="J15" s="1226">
        <f>移輸出!J15-移輸入!J15</f>
        <v>-14602</v>
      </c>
      <c r="K15" s="1226">
        <f>移輸出!K15-移輸入!K15</f>
        <v>3822</v>
      </c>
      <c r="L15" s="1226">
        <f>移輸出!L15-移輸入!L15</f>
        <v>3565</v>
      </c>
      <c r="M15" s="1226">
        <f>移輸出!M15-移輸入!M15</f>
        <v>17734</v>
      </c>
      <c r="N15" s="1226">
        <f>移輸出!N15-移輸入!N15</f>
        <v>16346</v>
      </c>
      <c r="O15" s="1226">
        <f>移輸出!O15-移輸入!O15</f>
        <v>24686</v>
      </c>
      <c r="P15" s="1226">
        <f>移輸出!P15-移輸入!P15</f>
        <v>6203</v>
      </c>
      <c r="Q15" s="1226">
        <f>移輸出!Q15-移輸入!Q15</f>
        <v>10020</v>
      </c>
      <c r="R15" s="1847">
        <f>移輸出!R15-移輸入!R15</f>
        <v>-65063</v>
      </c>
      <c r="S15" s="1847">
        <f>移輸出!S15-移輸入!S15</f>
        <v>-84400</v>
      </c>
      <c r="T15" s="1847">
        <f>移輸出!T15-移輸入!T15</f>
        <v>52837</v>
      </c>
      <c r="U15" s="1847">
        <f>移輸出!U15-移輸入!U15</f>
        <v>47629</v>
      </c>
      <c r="V15" s="1847">
        <f>移輸出!V15-移輸入!V15</f>
        <v>21478</v>
      </c>
      <c r="W15" s="1847">
        <f>移輸出!W15-移輸入!W15</f>
        <v>-17345</v>
      </c>
      <c r="X15" s="1847">
        <f>移輸出!X15-移輸入!X15</f>
        <v>2140</v>
      </c>
    </row>
    <row r="16" spans="1:24">
      <c r="A16" s="730" t="s">
        <v>840</v>
      </c>
      <c r="B16" s="730" t="s">
        <v>840</v>
      </c>
      <c r="C16" s="1227"/>
      <c r="D16" s="1227"/>
      <c r="E16" s="1227"/>
      <c r="F16" s="1227"/>
      <c r="G16" s="1227"/>
      <c r="H16" s="1227"/>
      <c r="R16" s="453"/>
      <c r="S16" s="453"/>
      <c r="T16" s="453"/>
      <c r="U16" s="453"/>
      <c r="V16" s="453"/>
      <c r="W16" s="453"/>
      <c r="X16" s="453"/>
    </row>
    <row r="17" spans="1:24">
      <c r="A17" s="732">
        <v>100</v>
      </c>
      <c r="B17" s="732" t="s">
        <v>172</v>
      </c>
      <c r="C17" s="1228">
        <f>移輸出!C17-移輸入!C17</f>
        <v>504896.05164396204</v>
      </c>
      <c r="D17" s="1228">
        <f>移輸出!D17-移輸入!D17</f>
        <v>694988.79561196081</v>
      </c>
      <c r="E17" s="1228">
        <f>移輸出!E17-移輸入!E17</f>
        <v>470048.13382253703</v>
      </c>
      <c r="F17" s="1228">
        <f>移輸出!F17-移輸入!F17</f>
        <v>641010.31854407676</v>
      </c>
      <c r="G17" s="1228">
        <f>移輸出!G17-移輸入!G17</f>
        <v>717967.46931903157</v>
      </c>
      <c r="H17" s="1228">
        <f>移輸出!H17-移輸入!H17</f>
        <v>512771.65056151524</v>
      </c>
      <c r="I17" s="1228">
        <f>移輸出!I17-移輸入!I17</f>
        <v>410179.27619208302</v>
      </c>
      <c r="J17" s="1228">
        <f>移輸出!J17-移輸入!J17</f>
        <v>167530.20495416131</v>
      </c>
      <c r="K17" s="1228">
        <f>移輸出!K17-移輸入!K17</f>
        <v>531784.14776409045</v>
      </c>
      <c r="L17" s="1228">
        <f>移輸出!L17-移輸入!L17</f>
        <v>541330.6537200259</v>
      </c>
      <c r="M17" s="1228">
        <f>移輸出!M17-移輸入!M17</f>
        <v>557120.48521911073</v>
      </c>
      <c r="N17" s="1228">
        <f>移輸出!N17-移輸入!N17</f>
        <v>475014.83426259924</v>
      </c>
      <c r="O17" s="1228">
        <f>移輸出!O17-移輸入!O17</f>
        <v>476019.29187541083</v>
      </c>
      <c r="P17" s="1228">
        <f>移輸出!P17-移輸入!P17</f>
        <v>422009.94520618021</v>
      </c>
      <c r="Q17" s="1228">
        <f>移輸出!Q17-移輸入!Q17</f>
        <v>321871.68825399689</v>
      </c>
      <c r="R17" s="1848">
        <f>移輸出!R17-移輸入!R17</f>
        <v>-278489</v>
      </c>
      <c r="S17" s="1848">
        <f>移輸出!S17-移輸入!S17</f>
        <v>-651755</v>
      </c>
      <c r="T17" s="1848">
        <f>移輸出!T17-移輸入!T17</f>
        <v>231079</v>
      </c>
      <c r="U17" s="1848">
        <f>移輸出!U17-移輸入!U17</f>
        <v>700198</v>
      </c>
      <c r="V17" s="1848">
        <f>移輸出!V17-移輸入!V17</f>
        <v>273720</v>
      </c>
      <c r="W17" s="1848">
        <f>移輸出!W17-移輸入!W17</f>
        <v>196454</v>
      </c>
      <c r="X17" s="1848">
        <f>移輸出!X17-移輸入!X17</f>
        <v>-200485</v>
      </c>
    </row>
    <row r="18" spans="1:24">
      <c r="A18" s="730">
        <v>1</v>
      </c>
      <c r="B18" s="730" t="s">
        <v>328</v>
      </c>
      <c r="C18" s="1227">
        <f>移輸出!C18-移輸入!C18</f>
        <v>-588101</v>
      </c>
      <c r="D18" s="1227">
        <f>移輸出!D18-移輸入!D18</f>
        <v>-507612</v>
      </c>
      <c r="E18" s="1227">
        <f>移輸出!E18-移輸入!E18</f>
        <v>-791861</v>
      </c>
      <c r="F18" s="1227">
        <f>移輸出!F18-移輸入!F18</f>
        <v>-628940</v>
      </c>
      <c r="G18" s="1227">
        <f>移輸出!G18-移輸入!G18</f>
        <v>-364727</v>
      </c>
      <c r="H18" s="1227">
        <f>移輸出!H18-移輸入!H18</f>
        <v>-405274</v>
      </c>
      <c r="I18" s="1227">
        <f>移輸出!I18-移輸入!I18</f>
        <v>-461406</v>
      </c>
      <c r="J18" s="1227">
        <f>移輸出!J18-移輸入!J18</f>
        <v>-496664</v>
      </c>
      <c r="K18" s="1227">
        <f>移輸出!K18-移輸入!K18</f>
        <v>-365936</v>
      </c>
      <c r="L18" s="1227">
        <f>移輸出!L18-移輸入!L18</f>
        <v>-356961</v>
      </c>
      <c r="M18" s="1227">
        <f>移輸出!M18-移輸入!M18</f>
        <v>-289414</v>
      </c>
      <c r="N18" s="1227">
        <f>移輸出!N18-移輸入!N18</f>
        <v>-164483</v>
      </c>
      <c r="O18" s="1227">
        <f>移輸出!O18-移輸入!O18</f>
        <v>-263850</v>
      </c>
      <c r="P18" s="1227">
        <f>移輸出!P18-移輸入!P18</f>
        <v>-233118</v>
      </c>
      <c r="Q18" s="1227">
        <f>移輸出!Q18-移輸入!Q18</f>
        <v>-301952</v>
      </c>
      <c r="R18" s="1849">
        <f>移輸出!R18-移輸入!R18</f>
        <v>-526244</v>
      </c>
      <c r="S18" s="1849">
        <f>移輸出!S18-移輸入!S18</f>
        <v>-807228</v>
      </c>
      <c r="T18" s="1849">
        <f>移輸出!T18-移輸入!T18</f>
        <v>-198453</v>
      </c>
      <c r="U18" s="1849">
        <f>移輸出!U18-移輸入!U18</f>
        <v>-27079</v>
      </c>
      <c r="V18" s="1849">
        <f>移輸出!V18-移輸入!V18</f>
        <v>166455</v>
      </c>
      <c r="W18" s="1849">
        <f>移輸出!W18-移輸入!W18</f>
        <v>189686</v>
      </c>
      <c r="X18" s="1849">
        <f>移輸出!X18-移輸入!X18</f>
        <v>-123889</v>
      </c>
    </row>
    <row r="19" spans="1:24">
      <c r="A19" s="730">
        <v>202</v>
      </c>
      <c r="B19" s="730" t="s">
        <v>183</v>
      </c>
      <c r="C19" s="1227">
        <f>移輸出!C19-移輸入!C19</f>
        <v>-161551</v>
      </c>
      <c r="D19" s="1227">
        <f>移輸出!D19-移輸入!D19</f>
        <v>-70028</v>
      </c>
      <c r="E19" s="1227">
        <f>移輸出!E19-移輸入!E19</f>
        <v>-297217</v>
      </c>
      <c r="F19" s="1227">
        <f>移輸出!F19-移輸入!F19</f>
        <v>-265071</v>
      </c>
      <c r="G19" s="1227">
        <f>移輸出!G19-移輸入!G19</f>
        <v>-23704</v>
      </c>
      <c r="H19" s="1227">
        <f>移輸出!H19-移輸入!H19</f>
        <v>-42879</v>
      </c>
      <c r="I19" s="1227">
        <f>移輸出!I19-移輸入!I19</f>
        <v>-61993</v>
      </c>
      <c r="J19" s="1227">
        <f>移輸出!J19-移輸入!J19</f>
        <v>-78081</v>
      </c>
      <c r="K19" s="1227">
        <f>移輸出!K19-移輸入!K19</f>
        <v>-5984</v>
      </c>
      <c r="L19" s="1227">
        <f>移輸出!L19-移輸入!L19</f>
        <v>9411</v>
      </c>
      <c r="M19" s="1227">
        <f>移輸出!M19-移輸入!M19</f>
        <v>52149</v>
      </c>
      <c r="N19" s="1227">
        <f>移輸出!N19-移輸入!N19</f>
        <v>149711</v>
      </c>
      <c r="O19" s="1227">
        <f>移輸出!O19-移輸入!O19</f>
        <v>93481</v>
      </c>
      <c r="P19" s="1227">
        <f>移輸出!P19-移輸入!P19</f>
        <v>106030</v>
      </c>
      <c r="Q19" s="1227">
        <f>移輸出!Q19-移輸入!Q19</f>
        <v>33878</v>
      </c>
      <c r="R19" s="1849">
        <f>移輸出!R19-移輸入!R19</f>
        <v>-16321</v>
      </c>
      <c r="S19" s="1849">
        <f>移輸出!S19-移輸入!S19</f>
        <v>-120984</v>
      </c>
      <c r="T19" s="1849">
        <f>移輸出!T19-移輸入!T19</f>
        <v>-25405</v>
      </c>
      <c r="U19" s="1849">
        <f>移輸出!U19-移輸入!U19</f>
        <v>83308</v>
      </c>
      <c r="V19" s="1849">
        <f>移輸出!V19-移輸入!V19</f>
        <v>77281</v>
      </c>
      <c r="W19" s="1849">
        <f>移輸出!W19-移輸入!W19</f>
        <v>122193</v>
      </c>
      <c r="X19" s="1849">
        <f>移輸出!X19-移輸入!X19</f>
        <v>-58407</v>
      </c>
    </row>
    <row r="20" spans="1:24">
      <c r="A20" s="730">
        <v>204</v>
      </c>
      <c r="B20" s="730" t="s">
        <v>184</v>
      </c>
      <c r="C20" s="1227">
        <f>移輸出!C20-移輸入!C20</f>
        <v>-331132</v>
      </c>
      <c r="D20" s="1227">
        <f>移輸出!D20-移輸入!D20</f>
        <v>-336152</v>
      </c>
      <c r="E20" s="1227">
        <f>移輸出!E20-移輸入!E20</f>
        <v>-390553</v>
      </c>
      <c r="F20" s="1227">
        <f>移輸出!F20-移輸入!F20</f>
        <v>-279329</v>
      </c>
      <c r="G20" s="1227">
        <f>移輸出!G20-移輸入!G20</f>
        <v>-273586</v>
      </c>
      <c r="H20" s="1227">
        <f>移輸出!H20-移輸入!H20</f>
        <v>-275767</v>
      </c>
      <c r="I20" s="1227">
        <f>移輸出!I20-移輸入!I20</f>
        <v>-305608</v>
      </c>
      <c r="J20" s="1227">
        <f>移輸出!J20-移輸入!J20</f>
        <v>-309246</v>
      </c>
      <c r="K20" s="1227">
        <f>移輸出!K20-移輸入!K20</f>
        <v>-255227</v>
      </c>
      <c r="L20" s="1227">
        <f>移輸出!L20-移輸入!L20</f>
        <v>-264025</v>
      </c>
      <c r="M20" s="1227">
        <f>移輸出!M20-移輸入!M20</f>
        <v>-234005</v>
      </c>
      <c r="N20" s="1227">
        <f>移輸出!N20-移輸入!N20</f>
        <v>-223167</v>
      </c>
      <c r="O20" s="1227">
        <f>移輸出!O20-移輸入!O20</f>
        <v>-248609</v>
      </c>
      <c r="P20" s="1227">
        <f>移輸出!P20-移輸入!P20</f>
        <v>-240994</v>
      </c>
      <c r="Q20" s="1227">
        <f>移輸出!Q20-移輸入!Q20</f>
        <v>-247937</v>
      </c>
      <c r="R20" s="1849">
        <f>移輸出!R20-移輸入!R20</f>
        <v>-393233</v>
      </c>
      <c r="S20" s="1849">
        <f>移輸出!S20-移輸入!S20</f>
        <v>-538049</v>
      </c>
      <c r="T20" s="1849">
        <f>移輸出!T20-移輸入!T20</f>
        <v>-175256</v>
      </c>
      <c r="U20" s="1849">
        <f>移輸出!U20-移輸入!U20</f>
        <v>-61450</v>
      </c>
      <c r="V20" s="1849">
        <f>移輸出!V20-移輸入!V20</f>
        <v>73414</v>
      </c>
      <c r="W20" s="1849">
        <f>移輸出!W20-移輸入!W20</f>
        <v>63567</v>
      </c>
      <c r="X20" s="1849">
        <f>移輸出!X20-移輸入!X20</f>
        <v>-53932</v>
      </c>
    </row>
    <row r="21" spans="1:24">
      <c r="A21" s="730">
        <v>206</v>
      </c>
      <c r="B21" s="730" t="s">
        <v>185</v>
      </c>
      <c r="C21" s="1227">
        <f>移輸出!C21-移輸入!C21</f>
        <v>-95418</v>
      </c>
      <c r="D21" s="1227">
        <f>移輸出!D21-移輸入!D21</f>
        <v>-101432</v>
      </c>
      <c r="E21" s="1227">
        <f>移輸出!E21-移輸入!E21</f>
        <v>-104091</v>
      </c>
      <c r="F21" s="1227">
        <f>移輸出!F21-移輸入!F21</f>
        <v>-84540</v>
      </c>
      <c r="G21" s="1227">
        <f>移輸出!G21-移輸入!G21</f>
        <v>-67437</v>
      </c>
      <c r="H21" s="1227">
        <f>移輸出!H21-移輸入!H21</f>
        <v>-86628</v>
      </c>
      <c r="I21" s="1227">
        <f>移輸出!I21-移輸入!I21</f>
        <v>-93805</v>
      </c>
      <c r="J21" s="1227">
        <f>移輸出!J21-移輸入!J21</f>
        <v>-109337</v>
      </c>
      <c r="K21" s="1227">
        <f>移輸出!K21-移輸入!K21</f>
        <v>-104725</v>
      </c>
      <c r="L21" s="1227">
        <f>移輸出!L21-移輸入!L21</f>
        <v>-102347</v>
      </c>
      <c r="M21" s="1227">
        <f>移輸出!M21-移輸入!M21</f>
        <v>-107558</v>
      </c>
      <c r="N21" s="1227">
        <f>移輸出!N21-移輸入!N21</f>
        <v>-91027</v>
      </c>
      <c r="O21" s="1227">
        <f>移輸出!O21-移輸入!O21</f>
        <v>-108722</v>
      </c>
      <c r="P21" s="1227">
        <f>移輸出!P21-移輸入!P21</f>
        <v>-98154</v>
      </c>
      <c r="Q21" s="1227">
        <f>移輸出!Q21-移輸入!Q21</f>
        <v>-87893</v>
      </c>
      <c r="R21" s="1849">
        <f>移輸出!R21-移輸入!R21</f>
        <v>-116690</v>
      </c>
      <c r="S21" s="1849">
        <f>移輸出!S21-移輸入!S21</f>
        <v>-148195</v>
      </c>
      <c r="T21" s="1849">
        <f>移輸出!T21-移輸入!T21</f>
        <v>2208</v>
      </c>
      <c r="U21" s="1849">
        <f>移輸出!U21-移輸入!U21</f>
        <v>-48937</v>
      </c>
      <c r="V21" s="1849">
        <f>移輸出!V21-移輸入!V21</f>
        <v>15760</v>
      </c>
      <c r="W21" s="1849">
        <f>移輸出!W21-移輸入!W21</f>
        <v>3926</v>
      </c>
      <c r="X21" s="1849">
        <f>移輸出!X21-移輸入!X21</f>
        <v>-11550</v>
      </c>
    </row>
    <row r="22" spans="1:24">
      <c r="A22" s="728">
        <v>2</v>
      </c>
      <c r="B22" s="728" t="s">
        <v>324</v>
      </c>
      <c r="C22" s="1224">
        <f>移輸出!C22-移輸入!C22</f>
        <v>-288419</v>
      </c>
      <c r="D22" s="1224">
        <f>移輸出!D22-移輸入!D22</f>
        <v>-274069</v>
      </c>
      <c r="E22" s="1224">
        <f>移輸出!E22-移輸入!E22</f>
        <v>-374139</v>
      </c>
      <c r="F22" s="1224">
        <f>移輸出!F22-移輸入!F22</f>
        <v>-296877</v>
      </c>
      <c r="G22" s="1224">
        <f>移輸出!G22-移輸入!G22</f>
        <v>-242387</v>
      </c>
      <c r="H22" s="1224">
        <f>移輸出!H22-移輸入!H22</f>
        <v>-278254</v>
      </c>
      <c r="I22" s="1224">
        <f>移輸出!I22-移輸入!I22</f>
        <v>-315022</v>
      </c>
      <c r="J22" s="1224">
        <f>移輸出!J22-移輸入!J22</f>
        <v>-379072</v>
      </c>
      <c r="K22" s="1224">
        <f>移輸出!K22-移輸入!K22</f>
        <v>-374036</v>
      </c>
      <c r="L22" s="1224">
        <f>移輸出!L22-移輸入!L22</f>
        <v>-318067</v>
      </c>
      <c r="M22" s="1224">
        <f>移輸出!M22-移輸入!M22</f>
        <v>-207277</v>
      </c>
      <c r="N22" s="1224">
        <f>移輸出!N22-移輸入!N22</f>
        <v>-253388</v>
      </c>
      <c r="O22" s="1224">
        <f>移輸出!O22-移輸入!O22</f>
        <v>-288453</v>
      </c>
      <c r="P22" s="1224">
        <f>移輸出!P22-移輸入!P22</f>
        <v>-361591</v>
      </c>
      <c r="Q22" s="1224">
        <f>移輸出!Q22-移輸入!Q22</f>
        <v>-284850</v>
      </c>
      <c r="R22" s="1845">
        <f>移輸出!R22-移輸入!R22</f>
        <v>-403421</v>
      </c>
      <c r="S22" s="1845">
        <f>移輸出!S22-移輸入!S22</f>
        <v>-663535</v>
      </c>
      <c r="T22" s="1845">
        <f>移輸出!T22-移輸入!T22</f>
        <v>-68300</v>
      </c>
      <c r="U22" s="1845">
        <f>移輸出!U22-移輸入!U22</f>
        <v>-439934</v>
      </c>
      <c r="V22" s="1845">
        <f>移輸出!V22-移輸入!V22</f>
        <v>115598</v>
      </c>
      <c r="W22" s="1845">
        <f>移輸出!W22-移輸入!W22</f>
        <v>282868</v>
      </c>
      <c r="X22" s="1845">
        <f>移輸出!X22-移輸入!X22</f>
        <v>-87307</v>
      </c>
    </row>
    <row r="23" spans="1:24">
      <c r="A23" s="730">
        <v>207</v>
      </c>
      <c r="B23" s="730" t="s">
        <v>187</v>
      </c>
      <c r="C23" s="1225">
        <f>移輸出!C23-移輸入!C23</f>
        <v>-2146</v>
      </c>
      <c r="D23" s="1225">
        <f>移輸出!D23-移輸入!D23</f>
        <v>22391</v>
      </c>
      <c r="E23" s="1225">
        <f>移輸出!E23-移輸入!E23</f>
        <v>-28685</v>
      </c>
      <c r="F23" s="1225">
        <f>移輸出!F23-移輸入!F23</f>
        <v>-38162</v>
      </c>
      <c r="G23" s="1225">
        <f>移輸出!G23-移輸入!G23</f>
        <v>-2266</v>
      </c>
      <c r="H23" s="1225">
        <f>移輸出!H23-移輸入!H23</f>
        <v>-18877</v>
      </c>
      <c r="I23" s="1225">
        <f>移輸出!I23-移輸入!I23</f>
        <v>-21368</v>
      </c>
      <c r="J23" s="1225">
        <f>移輸出!J23-移輸入!J23</f>
        <v>-36412</v>
      </c>
      <c r="K23" s="1225">
        <f>移輸出!K23-移輸入!K23</f>
        <v>-4139</v>
      </c>
      <c r="L23" s="1225">
        <f>移輸出!L23-移輸入!L23</f>
        <v>-16861</v>
      </c>
      <c r="M23" s="1225">
        <f>移輸出!M23-移輸入!M23</f>
        <v>12142</v>
      </c>
      <c r="N23" s="1225">
        <f>移輸出!N23-移輸入!N23</f>
        <v>2487</v>
      </c>
      <c r="O23" s="1225">
        <f>移輸出!O23-移輸入!O23</f>
        <v>-9319</v>
      </c>
      <c r="P23" s="1225">
        <f>移輸出!P23-移輸入!P23</f>
        <v>-36350</v>
      </c>
      <c r="Q23" s="1225">
        <f>移輸出!Q23-移輸入!Q23</f>
        <v>-6742</v>
      </c>
      <c r="R23" s="1846">
        <f>移輸出!R23-移輸入!R23</f>
        <v>-25716</v>
      </c>
      <c r="S23" s="1846">
        <f>移輸出!S23-移輸入!S23</f>
        <v>-112777</v>
      </c>
      <c r="T23" s="1846">
        <f>移輸出!T23-移輸入!T23</f>
        <v>-4174</v>
      </c>
      <c r="U23" s="1846">
        <f>移輸出!U23-移輸入!U23</f>
        <v>-53525</v>
      </c>
      <c r="V23" s="1846">
        <f>移輸出!V23-移輸入!V23</f>
        <v>33205</v>
      </c>
      <c r="W23" s="1846">
        <f>移輸出!W23-移輸入!W23</f>
        <v>58669</v>
      </c>
      <c r="X23" s="1846">
        <f>移輸出!X23-移輸入!X23</f>
        <v>-25212</v>
      </c>
    </row>
    <row r="24" spans="1:24">
      <c r="A24" s="730">
        <v>214</v>
      </c>
      <c r="B24" s="730" t="s">
        <v>188</v>
      </c>
      <c r="C24" s="1225">
        <f>移輸出!C24-移輸入!C24</f>
        <v>-193332</v>
      </c>
      <c r="D24" s="1225">
        <f>移輸出!D24-移輸入!D24</f>
        <v>-211444</v>
      </c>
      <c r="E24" s="1225">
        <f>移輸出!E24-移輸入!E24</f>
        <v>-225120</v>
      </c>
      <c r="F24" s="1225">
        <f>移輸出!F24-移輸入!F24</f>
        <v>-175888</v>
      </c>
      <c r="G24" s="1225">
        <f>移輸出!G24-移輸入!G24</f>
        <v>-197191</v>
      </c>
      <c r="H24" s="1225">
        <f>移輸出!H24-移輸入!H24</f>
        <v>-204774</v>
      </c>
      <c r="I24" s="1225">
        <f>移輸出!I24-移輸入!I24</f>
        <v>-220282</v>
      </c>
      <c r="J24" s="1225">
        <f>移輸出!J24-移輸入!J24</f>
        <v>-240926</v>
      </c>
      <c r="K24" s="1225">
        <f>移輸出!K24-移輸入!K24</f>
        <v>-233951</v>
      </c>
      <c r="L24" s="1225">
        <f>移輸出!L24-移輸入!L24</f>
        <v>-215401</v>
      </c>
      <c r="M24" s="1225">
        <f>移輸出!M24-移輸入!M24</f>
        <v>-183584</v>
      </c>
      <c r="N24" s="1225">
        <f>移輸出!N24-移輸入!N24</f>
        <v>-205124</v>
      </c>
      <c r="O24" s="1225">
        <f>移輸出!O24-移輸入!O24</f>
        <v>-205060</v>
      </c>
      <c r="P24" s="1225">
        <f>移輸出!P24-移輸入!P24</f>
        <v>-218609</v>
      </c>
      <c r="Q24" s="1225">
        <f>移輸出!Q24-移輸入!Q24</f>
        <v>-181521</v>
      </c>
      <c r="R24" s="1846">
        <f>移輸出!R24-移輸入!R24</f>
        <v>-277460</v>
      </c>
      <c r="S24" s="1846">
        <f>移輸出!S24-移輸入!S24</f>
        <v>-365237</v>
      </c>
      <c r="T24" s="1846">
        <f>移輸出!T24-移輸入!T24</f>
        <v>-88758</v>
      </c>
      <c r="U24" s="1846">
        <f>移輸出!U24-移輸入!U24</f>
        <v>-112118</v>
      </c>
      <c r="V24" s="1846">
        <f>移輸出!V24-移輸入!V24</f>
        <v>33857</v>
      </c>
      <c r="W24" s="1846">
        <f>移輸出!W24-移輸入!W24</f>
        <v>41482</v>
      </c>
      <c r="X24" s="1846">
        <f>移輸出!X24-移輸入!X24</f>
        <v>-24701</v>
      </c>
    </row>
    <row r="25" spans="1:24">
      <c r="A25" s="730">
        <v>217</v>
      </c>
      <c r="B25" s="730" t="s">
        <v>189</v>
      </c>
      <c r="C25" s="1225">
        <f>移輸出!C25-移輸入!C25</f>
        <v>-130700</v>
      </c>
      <c r="D25" s="1225">
        <f>移輸出!D25-移輸入!D25</f>
        <v>-146866</v>
      </c>
      <c r="E25" s="1225">
        <f>移輸出!E25-移輸入!E25</f>
        <v>-156352</v>
      </c>
      <c r="F25" s="1225">
        <f>移輸出!F25-移輸入!F25</f>
        <v>-123037</v>
      </c>
      <c r="G25" s="1225">
        <f>移輸出!G25-移輸入!G25</f>
        <v>-114416</v>
      </c>
      <c r="H25" s="1225">
        <f>移輸出!H25-移輸入!H25</f>
        <v>-115182</v>
      </c>
      <c r="I25" s="1225">
        <f>移輸出!I25-移輸入!I25</f>
        <v>-123086</v>
      </c>
      <c r="J25" s="1225">
        <f>移輸出!J25-移輸入!J25</f>
        <v>-145641</v>
      </c>
      <c r="K25" s="1225">
        <f>移輸出!K25-移輸入!K25</f>
        <v>-139643</v>
      </c>
      <c r="L25" s="1225">
        <f>移輸出!L25-移輸入!L25</f>
        <v>-135637</v>
      </c>
      <c r="M25" s="1225">
        <f>移輸出!M25-移輸入!M25</f>
        <v>-113408</v>
      </c>
      <c r="N25" s="1225">
        <f>移輸出!N25-移輸入!N25</f>
        <v>-133017</v>
      </c>
      <c r="O25" s="1225">
        <f>移輸出!O25-移輸入!O25</f>
        <v>-120399</v>
      </c>
      <c r="P25" s="1225">
        <f>移輸出!P25-移輸入!P25</f>
        <v>-129759</v>
      </c>
      <c r="Q25" s="1225">
        <f>移輸出!Q25-移輸入!Q25</f>
        <v>-123959</v>
      </c>
      <c r="R25" s="1846">
        <f>移輸出!R25-移輸入!R25</f>
        <v>-164316</v>
      </c>
      <c r="S25" s="1846">
        <f>移輸出!S25-移輸入!S25</f>
        <v>-228746</v>
      </c>
      <c r="T25" s="1846">
        <f>移輸出!T25-移輸入!T25</f>
        <v>-45102</v>
      </c>
      <c r="U25" s="1846">
        <f>移輸出!U25-移輸入!U25</f>
        <v>-65464</v>
      </c>
      <c r="V25" s="1846">
        <f>移輸出!V25-移輸入!V25</f>
        <v>22540</v>
      </c>
      <c r="W25" s="1846">
        <f>移輸出!W25-移輸入!W25</f>
        <v>28359</v>
      </c>
      <c r="X25" s="1846">
        <f>移輸出!X25-移輸入!X25</f>
        <v>-16688</v>
      </c>
    </row>
    <row r="26" spans="1:24">
      <c r="A26" s="730">
        <v>219</v>
      </c>
      <c r="B26" s="730" t="s">
        <v>190</v>
      </c>
      <c r="C26" s="1225">
        <f>移輸出!C26-移輸入!C26</f>
        <v>54108</v>
      </c>
      <c r="D26" s="1225">
        <f>移輸出!D26-移輸入!D26</f>
        <v>81868</v>
      </c>
      <c r="E26" s="1225">
        <f>移輸出!E26-移輸入!E26</f>
        <v>58003</v>
      </c>
      <c r="F26" s="1225">
        <f>移輸出!F26-移輸入!F26</f>
        <v>56444</v>
      </c>
      <c r="G26" s="1225">
        <f>移輸出!G26-移輸入!G26</f>
        <v>87223</v>
      </c>
      <c r="H26" s="1225">
        <f>移輸出!H26-移輸入!H26</f>
        <v>80642</v>
      </c>
      <c r="I26" s="1225">
        <f>移輸出!I26-移輸入!I26</f>
        <v>71222</v>
      </c>
      <c r="J26" s="1225">
        <f>移輸出!J26-移輸入!J26</f>
        <v>65089</v>
      </c>
      <c r="K26" s="1225">
        <f>移輸出!K26-移輸入!K26</f>
        <v>25928</v>
      </c>
      <c r="L26" s="1225">
        <f>移輸出!L26-移輸入!L26</f>
        <v>70015</v>
      </c>
      <c r="M26" s="1225">
        <f>移輸出!M26-移輸入!M26</f>
        <v>94373</v>
      </c>
      <c r="N26" s="1225">
        <f>移輸出!N26-移輸入!N26</f>
        <v>100427</v>
      </c>
      <c r="O26" s="1225">
        <f>移輸出!O26-移輸入!O26</f>
        <v>66938</v>
      </c>
      <c r="P26" s="1225">
        <f>移輸出!P26-移輸入!P26</f>
        <v>47862</v>
      </c>
      <c r="Q26" s="1225">
        <f>移輸出!Q26-移輸入!Q26</f>
        <v>46263</v>
      </c>
      <c r="R26" s="1846">
        <f>移輸出!R26-移輸入!R26</f>
        <v>91678</v>
      </c>
      <c r="S26" s="1846">
        <f>移輸出!S26-移輸入!S26</f>
        <v>79804</v>
      </c>
      <c r="T26" s="1846">
        <f>移輸出!T26-移輸入!T26</f>
        <v>65302</v>
      </c>
      <c r="U26" s="1846">
        <f>移輸出!U26-移輸入!U26</f>
        <v>17198</v>
      </c>
      <c r="V26" s="1846">
        <f>移輸出!V26-移輸入!V26</f>
        <v>17933</v>
      </c>
      <c r="W26" s="1846">
        <f>移輸出!W26-移輸入!W26</f>
        <v>30760</v>
      </c>
      <c r="X26" s="1846">
        <f>移輸出!X26-移輸入!X26</f>
        <v>-13423</v>
      </c>
    </row>
    <row r="27" spans="1:24">
      <c r="A27" s="731">
        <v>301</v>
      </c>
      <c r="B27" s="731" t="s">
        <v>191</v>
      </c>
      <c r="C27" s="1226">
        <f>移輸出!C27-移輸入!C27</f>
        <v>-16349</v>
      </c>
      <c r="D27" s="1226">
        <f>移輸出!D27-移輸入!D27</f>
        <v>-20018</v>
      </c>
      <c r="E27" s="1226">
        <f>移輸出!E27-移輸入!E27</f>
        <v>-21985</v>
      </c>
      <c r="F27" s="1226">
        <f>移輸出!F27-移輸入!F27</f>
        <v>-16234</v>
      </c>
      <c r="G27" s="1226">
        <f>移輸出!G27-移輸入!G27</f>
        <v>-15737</v>
      </c>
      <c r="H27" s="1226">
        <f>移輸出!H27-移輸入!H27</f>
        <v>-20063</v>
      </c>
      <c r="I27" s="1226">
        <f>移輸出!I27-移輸入!I27</f>
        <v>-21508</v>
      </c>
      <c r="J27" s="1226">
        <f>移輸出!J27-移輸入!J27</f>
        <v>-21182</v>
      </c>
      <c r="K27" s="1226">
        <f>移輸出!K27-移輸入!K27</f>
        <v>-22231</v>
      </c>
      <c r="L27" s="1226">
        <f>移輸出!L27-移輸入!L27</f>
        <v>-20183</v>
      </c>
      <c r="M27" s="1226">
        <f>移輸出!M27-移輸入!M27</f>
        <v>-16800</v>
      </c>
      <c r="N27" s="1226">
        <f>移輸出!N27-移輸入!N27</f>
        <v>-18161</v>
      </c>
      <c r="O27" s="1226">
        <f>移輸出!O27-移輸入!O27</f>
        <v>-20613</v>
      </c>
      <c r="P27" s="1226">
        <f>移輸出!P27-移輸入!P27</f>
        <v>-24735</v>
      </c>
      <c r="Q27" s="1226">
        <f>移輸出!Q27-移輸入!Q27</f>
        <v>-18891</v>
      </c>
      <c r="R27" s="1847">
        <f>移輸出!R27-移輸入!R27</f>
        <v>-27607</v>
      </c>
      <c r="S27" s="1847">
        <f>移輸出!S27-移輸入!S27</f>
        <v>-36579</v>
      </c>
      <c r="T27" s="1847">
        <f>移輸出!T27-移輸入!T27</f>
        <v>4432</v>
      </c>
      <c r="U27" s="1847">
        <f>移輸出!U27-移輸入!U27</f>
        <v>-226025</v>
      </c>
      <c r="V27" s="1847">
        <f>移輸出!V27-移輸入!V27</f>
        <v>8063</v>
      </c>
      <c r="W27" s="1847">
        <f>移輸出!W27-移輸入!W27</f>
        <v>123598</v>
      </c>
      <c r="X27" s="1847">
        <f>移輸出!X27-移輸入!X27</f>
        <v>-7283</v>
      </c>
    </row>
    <row r="28" spans="1:24">
      <c r="A28" s="730">
        <v>3</v>
      </c>
      <c r="B28" s="730" t="s">
        <v>192</v>
      </c>
      <c r="C28" s="1227">
        <f>移輸出!C28-移輸入!C28</f>
        <v>301512</v>
      </c>
      <c r="D28" s="1227">
        <f>移輸出!D28-移輸入!D28</f>
        <v>409810</v>
      </c>
      <c r="E28" s="1227">
        <f>移輸出!E28-移輸入!E28</f>
        <v>263995</v>
      </c>
      <c r="F28" s="1227">
        <f>移輸出!F28-移輸入!F28</f>
        <v>32886</v>
      </c>
      <c r="G28" s="1227">
        <f>移輸出!G28-移輸入!G28</f>
        <v>198469</v>
      </c>
      <c r="H28" s="1227">
        <f>移輸出!H28-移輸入!H28</f>
        <v>-73142</v>
      </c>
      <c r="I28" s="1227">
        <f>移輸出!I28-移輸入!I28</f>
        <v>44734</v>
      </c>
      <c r="J28" s="1227">
        <f>移輸出!J28-移輸入!J28</f>
        <v>23730</v>
      </c>
      <c r="K28" s="1227">
        <f>移輸出!K28-移輸入!K28</f>
        <v>-23422</v>
      </c>
      <c r="L28" s="1227">
        <f>移輸出!L28-移輸入!L28</f>
        <v>197581</v>
      </c>
      <c r="M28" s="1227">
        <f>移輸出!M28-移輸入!M28</f>
        <v>139171</v>
      </c>
      <c r="N28" s="1227">
        <f>移輸出!N28-移輸入!N28</f>
        <v>78201</v>
      </c>
      <c r="O28" s="1227">
        <f>移輸出!O28-移輸入!O28</f>
        <v>104627</v>
      </c>
      <c r="P28" s="1227">
        <f>移輸出!P28-移輸入!P28</f>
        <v>55480</v>
      </c>
      <c r="Q28" s="1227">
        <f>移輸出!Q28-移輸入!Q28</f>
        <v>104739</v>
      </c>
      <c r="R28" s="1849">
        <f>移輸出!R28-移輸入!R28</f>
        <v>-119754</v>
      </c>
      <c r="S28" s="1849">
        <f>移輸出!S28-移輸入!S28</f>
        <v>-152866</v>
      </c>
      <c r="T28" s="1849">
        <f>移輸出!T28-移輸入!T28</f>
        <v>-296605</v>
      </c>
      <c r="U28" s="1849">
        <f>移輸出!U28-移輸入!U28</f>
        <v>-54035</v>
      </c>
      <c r="V28" s="1849">
        <f>移輸出!V28-移輸入!V28</f>
        <v>128993</v>
      </c>
      <c r="W28" s="1849">
        <f>移輸出!W28-移輸入!W28</f>
        <v>183230</v>
      </c>
      <c r="X28" s="1849">
        <f>移輸出!X28-移輸入!X28</f>
        <v>-96071</v>
      </c>
    </row>
    <row r="29" spans="1:24">
      <c r="A29" s="730">
        <v>203</v>
      </c>
      <c r="B29" s="730" t="s">
        <v>193</v>
      </c>
      <c r="C29" s="1227">
        <f>移輸出!C29-移輸入!C29</f>
        <v>109056</v>
      </c>
      <c r="D29" s="1227">
        <f>移輸出!D29-移輸入!D29</f>
        <v>149218</v>
      </c>
      <c r="E29" s="1227">
        <f>移輸出!E29-移輸入!E29</f>
        <v>67746</v>
      </c>
      <c r="F29" s="1227">
        <f>移輸出!F29-移輸入!F29</f>
        <v>40220</v>
      </c>
      <c r="G29" s="1227">
        <f>移輸出!G29-移輸入!G29</f>
        <v>50312</v>
      </c>
      <c r="H29" s="1227">
        <f>移輸出!H29-移輸入!H29</f>
        <v>-5801</v>
      </c>
      <c r="I29" s="1227">
        <f>移輸出!I29-移輸入!I29</f>
        <v>53197</v>
      </c>
      <c r="J29" s="1227">
        <f>移輸出!J29-移輸入!J29</f>
        <v>-27125</v>
      </c>
      <c r="K29" s="1227">
        <f>移輸出!K29-移輸入!K29</f>
        <v>52112</v>
      </c>
      <c r="L29" s="1227">
        <f>移輸出!L29-移輸入!L29</f>
        <v>78148</v>
      </c>
      <c r="M29" s="1227">
        <f>移輸出!M29-移輸入!M29</f>
        <v>48849</v>
      </c>
      <c r="N29" s="1227">
        <f>移輸出!N29-移輸入!N29</f>
        <v>15009</v>
      </c>
      <c r="O29" s="1227">
        <f>移輸出!O29-移輸入!O29</f>
        <v>23935</v>
      </c>
      <c r="P29" s="1227">
        <f>移輸出!P29-移輸入!P29</f>
        <v>32347</v>
      </c>
      <c r="Q29" s="1227">
        <f>移輸出!Q29-移輸入!Q29</f>
        <v>34595</v>
      </c>
      <c r="R29" s="1849">
        <f>移輸出!R29-移輸入!R29</f>
        <v>-109782</v>
      </c>
      <c r="S29" s="1849">
        <f>移輸出!S29-移輸入!S29</f>
        <v>-118100</v>
      </c>
      <c r="T29" s="1849">
        <f>移輸出!T29-移輸入!T29</f>
        <v>-445566</v>
      </c>
      <c r="U29" s="1849">
        <f>移輸出!U29-移輸入!U29</f>
        <v>-34690</v>
      </c>
      <c r="V29" s="1849">
        <f>移輸出!V29-移輸入!V29</f>
        <v>52743</v>
      </c>
      <c r="W29" s="1849">
        <f>移輸出!W29-移輸入!W29</f>
        <v>93149</v>
      </c>
      <c r="X29" s="1849">
        <f>移輸出!X29-移輸入!X29</f>
        <v>-39341</v>
      </c>
    </row>
    <row r="30" spans="1:24">
      <c r="A30" s="730">
        <v>210</v>
      </c>
      <c r="B30" s="730" t="s">
        <v>194</v>
      </c>
      <c r="C30" s="1227">
        <f>移輸出!C30-移輸入!C30</f>
        <v>-2354</v>
      </c>
      <c r="D30" s="1227">
        <f>移輸出!D30-移輸入!D30</f>
        <v>24171</v>
      </c>
      <c r="E30" s="1227">
        <f>移輸出!E30-移輸入!E30</f>
        <v>-8249</v>
      </c>
      <c r="F30" s="1227">
        <f>移輸出!F30-移輸入!F30</f>
        <v>-145190</v>
      </c>
      <c r="G30" s="1227">
        <f>移輸出!G30-移輸入!G30</f>
        <v>-85778</v>
      </c>
      <c r="H30" s="1227">
        <f>移輸出!H30-移輸入!H30</f>
        <v>-257018</v>
      </c>
      <c r="I30" s="1227">
        <f>移輸出!I30-移輸入!I30</f>
        <v>-218477</v>
      </c>
      <c r="J30" s="1227">
        <f>移輸出!J30-移輸入!J30</f>
        <v>-154954</v>
      </c>
      <c r="K30" s="1227">
        <f>移輸出!K30-移輸入!K30</f>
        <v>-172263</v>
      </c>
      <c r="L30" s="1227">
        <f>移輸出!L30-移輸入!L30</f>
        <v>-107559</v>
      </c>
      <c r="M30" s="1227">
        <f>移輸出!M30-移輸入!M30</f>
        <v>-106285</v>
      </c>
      <c r="N30" s="1227">
        <f>移輸出!N30-移輸入!N30</f>
        <v>-117927</v>
      </c>
      <c r="O30" s="1227">
        <f>移輸出!O30-移輸入!O30</f>
        <v>-74717</v>
      </c>
      <c r="P30" s="1227">
        <f>移輸出!P30-移輸入!P30</f>
        <v>-80679</v>
      </c>
      <c r="Q30" s="1227">
        <f>移輸出!Q30-移輸入!Q30</f>
        <v>-129820</v>
      </c>
      <c r="R30" s="1849">
        <f>移輸出!R30-移輸入!R30</f>
        <v>-139072</v>
      </c>
      <c r="S30" s="1849">
        <f>移輸出!S30-移輸入!S30</f>
        <v>-257962</v>
      </c>
      <c r="T30" s="1849">
        <f>移輸出!T30-移輸入!T30</f>
        <v>24276</v>
      </c>
      <c r="U30" s="1849">
        <f>移輸出!U30-移輸入!U30</f>
        <v>-33743</v>
      </c>
      <c r="V30" s="1849">
        <f>移輸出!V30-移輸入!V30</f>
        <v>43801</v>
      </c>
      <c r="W30" s="1849">
        <f>移輸出!W30-移輸入!W30</f>
        <v>59408</v>
      </c>
      <c r="X30" s="1849">
        <f>移輸出!X30-移輸入!X30</f>
        <v>-32398</v>
      </c>
    </row>
    <row r="31" spans="1:24">
      <c r="A31" s="730">
        <v>216</v>
      </c>
      <c r="B31" s="730" t="s">
        <v>195</v>
      </c>
      <c r="C31" s="1227">
        <f>移輸出!C31-移輸入!C31</f>
        <v>135328</v>
      </c>
      <c r="D31" s="1227">
        <f>移輸出!D31-移輸入!D31</f>
        <v>177297</v>
      </c>
      <c r="E31" s="1227">
        <f>移輸出!E31-移輸入!E31</f>
        <v>153081</v>
      </c>
      <c r="F31" s="1227">
        <f>移輸出!F31-移輸入!F31</f>
        <v>98685</v>
      </c>
      <c r="G31" s="1227">
        <f>移輸出!G31-移輸入!G31</f>
        <v>197442</v>
      </c>
      <c r="H31" s="1227">
        <f>移輸出!H31-移輸入!H31</f>
        <v>147157</v>
      </c>
      <c r="I31" s="1227">
        <f>移輸出!I31-移輸入!I31</f>
        <v>152211</v>
      </c>
      <c r="J31" s="1227">
        <f>移輸出!J31-移輸入!J31</f>
        <v>157265</v>
      </c>
      <c r="K31" s="1227">
        <f>移輸出!K31-移輸入!K31</f>
        <v>12576</v>
      </c>
      <c r="L31" s="1227">
        <f>移輸出!L31-移輸入!L31</f>
        <v>134188</v>
      </c>
      <c r="M31" s="1227">
        <f>移輸出!M31-移輸入!M31</f>
        <v>111191</v>
      </c>
      <c r="N31" s="1227">
        <f>移輸出!N31-移輸入!N31</f>
        <v>104622</v>
      </c>
      <c r="O31" s="1227">
        <f>移輸出!O31-移輸入!O31</f>
        <v>75201</v>
      </c>
      <c r="P31" s="1227">
        <f>移輸出!P31-移輸入!P31</f>
        <v>20662</v>
      </c>
      <c r="Q31" s="1227">
        <f>移輸出!Q31-移輸入!Q31</f>
        <v>107714</v>
      </c>
      <c r="R31" s="1849">
        <f>移輸出!R31-移輸入!R31</f>
        <v>52013</v>
      </c>
      <c r="S31" s="1849">
        <f>移輸出!S31-移輸入!S31</f>
        <v>94391</v>
      </c>
      <c r="T31" s="1849">
        <f>移輸出!T31-移輸入!T31</f>
        <v>62397</v>
      </c>
      <c r="U31" s="1849">
        <f>移輸出!U31-移輸入!U31</f>
        <v>-17416</v>
      </c>
      <c r="V31" s="1849">
        <f>移輸出!V31-移輸入!V31</f>
        <v>20690</v>
      </c>
      <c r="W31" s="1849">
        <f>移輸出!W31-移輸入!W31</f>
        <v>24647</v>
      </c>
      <c r="X31" s="1849">
        <f>移輸出!X31-移輸入!X31</f>
        <v>-15525</v>
      </c>
    </row>
    <row r="32" spans="1:24">
      <c r="A32" s="730">
        <v>381</v>
      </c>
      <c r="B32" s="730" t="s">
        <v>196</v>
      </c>
      <c r="C32" s="1227">
        <f>移輸出!C32-移輸入!C32</f>
        <v>43667</v>
      </c>
      <c r="D32" s="1227">
        <f>移輸出!D32-移輸入!D32</f>
        <v>46912</v>
      </c>
      <c r="E32" s="1227">
        <f>移輸出!E32-移輸入!E32</f>
        <v>41949</v>
      </c>
      <c r="F32" s="1227">
        <f>移輸出!F32-移輸入!F32</f>
        <v>28919</v>
      </c>
      <c r="G32" s="1227">
        <f>移輸出!G32-移輸入!G32</f>
        <v>37316</v>
      </c>
      <c r="H32" s="1227">
        <f>移輸出!H32-移輸入!H32</f>
        <v>45567</v>
      </c>
      <c r="I32" s="1227">
        <f>移輸出!I32-移輸入!I32</f>
        <v>49231</v>
      </c>
      <c r="J32" s="1227">
        <f>移輸出!J32-移輸入!J32</f>
        <v>53805</v>
      </c>
      <c r="K32" s="1227">
        <f>移輸出!K32-移輸入!K32</f>
        <v>62597</v>
      </c>
      <c r="L32" s="1227">
        <f>移輸出!L32-移輸入!L32</f>
        <v>69423</v>
      </c>
      <c r="M32" s="1227">
        <f>移輸出!M32-移輸入!M32</f>
        <v>64929</v>
      </c>
      <c r="N32" s="1227">
        <f>移輸出!N32-移輸入!N32</f>
        <v>66800</v>
      </c>
      <c r="O32" s="1227">
        <f>移輸出!O32-移輸入!O32</f>
        <v>58493</v>
      </c>
      <c r="P32" s="1227">
        <f>移輸出!P32-移輸入!P32</f>
        <v>50622</v>
      </c>
      <c r="Q32" s="1227">
        <f>移輸出!Q32-移輸入!Q32</f>
        <v>37238</v>
      </c>
      <c r="R32" s="1849">
        <f>移輸出!R32-移輸入!R32</f>
        <v>2671</v>
      </c>
      <c r="S32" s="1849">
        <f>移輸出!S32-移輸入!S32</f>
        <v>28073</v>
      </c>
      <c r="T32" s="1849">
        <f>移輸出!T32-移輸入!T32</f>
        <v>28482</v>
      </c>
      <c r="U32" s="1849">
        <f>移輸出!U32-移輸入!U32</f>
        <v>21013</v>
      </c>
      <c r="V32" s="1849">
        <f>移輸出!V32-移輸入!V32</f>
        <v>5016</v>
      </c>
      <c r="W32" s="1849">
        <f>移輸出!W32-移輸入!W32</f>
        <v>1444</v>
      </c>
      <c r="X32" s="1849">
        <f>移輸出!X32-移輸入!X32</f>
        <v>-3731</v>
      </c>
    </row>
    <row r="33" spans="1:24">
      <c r="A33" s="730">
        <v>382</v>
      </c>
      <c r="B33" s="730" t="s">
        <v>197</v>
      </c>
      <c r="C33" s="1227">
        <f>移輸出!C33-移輸入!C33</f>
        <v>15815</v>
      </c>
      <c r="D33" s="1227">
        <f>移輸出!D33-移輸入!D33</f>
        <v>12212</v>
      </c>
      <c r="E33" s="1227">
        <f>移輸出!E33-移輸入!E33</f>
        <v>9468</v>
      </c>
      <c r="F33" s="1227">
        <f>移輸出!F33-移輸入!F33</f>
        <v>10252</v>
      </c>
      <c r="G33" s="1227">
        <f>移輸出!G33-移輸入!G33</f>
        <v>-823</v>
      </c>
      <c r="H33" s="1227">
        <f>移輸出!H33-移輸入!H33</f>
        <v>-3047</v>
      </c>
      <c r="I33" s="1227">
        <f>移輸出!I33-移輸入!I33</f>
        <v>8572</v>
      </c>
      <c r="J33" s="1227">
        <f>移輸出!J33-移輸入!J33</f>
        <v>-5261</v>
      </c>
      <c r="K33" s="1227">
        <f>移輸出!K33-移輸入!K33</f>
        <v>21556</v>
      </c>
      <c r="L33" s="1227">
        <f>移輸出!L33-移輸入!L33</f>
        <v>23381</v>
      </c>
      <c r="M33" s="1227">
        <f>移輸出!M33-移輸入!M33</f>
        <v>20487</v>
      </c>
      <c r="N33" s="1227">
        <f>移輸出!N33-移輸入!N33</f>
        <v>9697</v>
      </c>
      <c r="O33" s="1227">
        <f>移輸出!O33-移輸入!O33</f>
        <v>21715</v>
      </c>
      <c r="P33" s="1227">
        <f>移輸出!P33-移輸入!P33</f>
        <v>32528</v>
      </c>
      <c r="Q33" s="1227">
        <f>移輸出!Q33-移輸入!Q33</f>
        <v>55012</v>
      </c>
      <c r="R33" s="1849">
        <f>移輸出!R33-移輸入!R33</f>
        <v>74416</v>
      </c>
      <c r="S33" s="1849">
        <f>移輸出!S33-移輸入!S33</f>
        <v>100732</v>
      </c>
      <c r="T33" s="1849">
        <f>移輸出!T33-移輸入!T33</f>
        <v>33806</v>
      </c>
      <c r="U33" s="1849">
        <f>移輸出!U33-移輸入!U33</f>
        <v>10801</v>
      </c>
      <c r="V33" s="1849">
        <f>移輸出!V33-移輸入!V33</f>
        <v>6743</v>
      </c>
      <c r="W33" s="1849">
        <f>移輸出!W33-移輸入!W33</f>
        <v>4582</v>
      </c>
      <c r="X33" s="1849">
        <f>移輸出!X33-移輸入!X33</f>
        <v>-5076</v>
      </c>
    </row>
    <row r="34" spans="1:24">
      <c r="A34" s="728">
        <v>4</v>
      </c>
      <c r="B34" s="728" t="s">
        <v>325</v>
      </c>
      <c r="C34" s="1224">
        <f>移輸出!C34-移輸入!C34</f>
        <v>274486</v>
      </c>
      <c r="D34" s="1224">
        <f>移輸出!D34-移輸入!D34</f>
        <v>256148</v>
      </c>
      <c r="E34" s="1224">
        <f>移輸出!E34-移輸入!E34</f>
        <v>260384</v>
      </c>
      <c r="F34" s="1224">
        <f>移輸出!F34-移輸入!F34</f>
        <v>268465</v>
      </c>
      <c r="G34" s="1224">
        <f>移輸出!G34-移輸入!G34</f>
        <v>290467</v>
      </c>
      <c r="H34" s="1224">
        <f>移輸出!H34-移輸入!H34</f>
        <v>116784</v>
      </c>
      <c r="I34" s="1224">
        <f>移輸出!I34-移輸入!I34</f>
        <v>83282</v>
      </c>
      <c r="J34" s="1224">
        <f>移輸出!J34-移輸入!J34</f>
        <v>100433</v>
      </c>
      <c r="K34" s="1224">
        <f>移輸出!K34-移輸入!K34</f>
        <v>212814</v>
      </c>
      <c r="L34" s="1224">
        <f>移輸出!L34-移輸入!L34</f>
        <v>212040</v>
      </c>
      <c r="M34" s="1224">
        <f>移輸出!M34-移輸入!M34</f>
        <v>236345</v>
      </c>
      <c r="N34" s="1224">
        <f>移輸出!N34-移輸入!N34</f>
        <v>294982</v>
      </c>
      <c r="O34" s="1224">
        <f>移輸出!O34-移輸入!O34</f>
        <v>268480</v>
      </c>
      <c r="P34" s="1224">
        <f>移輸出!P34-移輸入!P34</f>
        <v>221971</v>
      </c>
      <c r="Q34" s="1224">
        <f>移輸出!Q34-移輸入!Q34</f>
        <v>260363</v>
      </c>
      <c r="R34" s="1845">
        <f>移輸出!R34-移輸入!R34</f>
        <v>220066</v>
      </c>
      <c r="S34" s="1845">
        <f>移輸出!S34-移輸入!S34</f>
        <v>111905</v>
      </c>
      <c r="T34" s="1845">
        <f>移輸出!T34-移輸入!T34</f>
        <v>228183</v>
      </c>
      <c r="U34" s="1845">
        <f>移輸出!U34-移輸入!U34</f>
        <v>124748</v>
      </c>
      <c r="V34" s="1845">
        <f>移輸出!V34-移輸入!V34</f>
        <v>45185</v>
      </c>
      <c r="W34" s="1845">
        <f>移輸出!W34-移輸入!W34</f>
        <v>35627</v>
      </c>
      <c r="X34" s="1845">
        <f>移輸出!X34-移輸入!X34</f>
        <v>-33589</v>
      </c>
    </row>
    <row r="35" spans="1:24">
      <c r="A35" s="730">
        <v>213</v>
      </c>
      <c r="B35" s="730" t="s">
        <v>199</v>
      </c>
      <c r="C35" s="1225">
        <f>移輸出!C35-移輸入!C35</f>
        <v>24607</v>
      </c>
      <c r="D35" s="1225">
        <f>移輸出!D35-移輸入!D35</f>
        <v>10449</v>
      </c>
      <c r="E35" s="1225">
        <f>移輸出!E35-移輸入!E35</f>
        <v>21320</v>
      </c>
      <c r="F35" s="1225">
        <f>移輸出!F35-移輸入!F35</f>
        <v>27037</v>
      </c>
      <c r="G35" s="1225">
        <f>移輸出!G35-移輸入!G35</f>
        <v>30491</v>
      </c>
      <c r="H35" s="1225">
        <f>移輸出!H35-移輸入!H35</f>
        <v>-23660</v>
      </c>
      <c r="I35" s="1225">
        <f>移輸出!I35-移輸入!I35</f>
        <v>-4563</v>
      </c>
      <c r="J35" s="1225">
        <f>移輸出!J35-移輸入!J35</f>
        <v>5992</v>
      </c>
      <c r="K35" s="1225">
        <f>移輸出!K35-移輸入!K35</f>
        <v>9144</v>
      </c>
      <c r="L35" s="1225">
        <f>移輸出!L35-移輸入!L35</f>
        <v>13144</v>
      </c>
      <c r="M35" s="1225">
        <f>移輸出!M35-移輸入!M35</f>
        <v>13481</v>
      </c>
      <c r="N35" s="1225">
        <f>移輸出!N35-移輸入!N35</f>
        <v>16198</v>
      </c>
      <c r="O35" s="1225">
        <f>移輸出!O35-移輸入!O35</f>
        <v>12204</v>
      </c>
      <c r="P35" s="1225">
        <f>移輸出!P35-移輸入!P35</f>
        <v>12407</v>
      </c>
      <c r="Q35" s="1225">
        <f>移輸出!Q35-移輸入!Q35</f>
        <v>2965</v>
      </c>
      <c r="R35" s="1846">
        <f>移輸出!R35-移輸入!R35</f>
        <v>11513</v>
      </c>
      <c r="S35" s="1846">
        <f>移輸出!S35-移輸入!S35</f>
        <v>2506</v>
      </c>
      <c r="T35" s="1846">
        <f>移輸出!T35-移輸入!T35</f>
        <v>27787</v>
      </c>
      <c r="U35" s="1846">
        <f>移輸出!U35-移輸入!U35</f>
        <v>14666</v>
      </c>
      <c r="V35" s="1846">
        <f>移輸出!V35-移輸入!V35</f>
        <v>5710</v>
      </c>
      <c r="W35" s="1846">
        <f>移輸出!W35-移輸入!W35</f>
        <v>-4623</v>
      </c>
      <c r="X35" s="1846">
        <f>移輸出!X35-移輸入!X35</f>
        <v>-4062</v>
      </c>
    </row>
    <row r="36" spans="1:24">
      <c r="A36" s="730">
        <v>215</v>
      </c>
      <c r="B36" s="730" t="s">
        <v>329</v>
      </c>
      <c r="C36" s="1225">
        <f>移輸出!C36-移輸入!C36</f>
        <v>44459</v>
      </c>
      <c r="D36" s="1225">
        <f>移輸出!D36-移輸入!D36</f>
        <v>47359</v>
      </c>
      <c r="E36" s="1225">
        <f>移輸出!E36-移輸入!E36</f>
        <v>35244</v>
      </c>
      <c r="F36" s="1225">
        <f>移輸出!F36-移輸入!F36</f>
        <v>34113</v>
      </c>
      <c r="G36" s="1225">
        <f>移輸出!G36-移輸入!G36</f>
        <v>43130</v>
      </c>
      <c r="H36" s="1225">
        <f>移輸出!H36-移輸入!H36</f>
        <v>26125</v>
      </c>
      <c r="I36" s="1225">
        <f>移輸出!I36-移輸入!I36</f>
        <v>-1478</v>
      </c>
      <c r="J36" s="1225">
        <f>移輸出!J36-移輸入!J36</f>
        <v>8186</v>
      </c>
      <c r="K36" s="1225">
        <f>移輸出!K36-移輸入!K36</f>
        <v>13707</v>
      </c>
      <c r="L36" s="1225">
        <f>移輸出!L36-移輸入!L36</f>
        <v>17872</v>
      </c>
      <c r="M36" s="1225">
        <f>移輸出!M36-移輸入!M36</f>
        <v>30839</v>
      </c>
      <c r="N36" s="1225">
        <f>移輸出!N36-移輸入!N36</f>
        <v>40371</v>
      </c>
      <c r="O36" s="1225">
        <f>移輸出!O36-移輸入!O36</f>
        <v>37705</v>
      </c>
      <c r="P36" s="1225">
        <f>移輸出!P36-移輸入!P36</f>
        <v>27111</v>
      </c>
      <c r="Q36" s="1225">
        <f>移輸出!Q36-移輸入!Q36</f>
        <v>45341</v>
      </c>
      <c r="R36" s="1846">
        <f>移輸出!R36-移輸入!R36</f>
        <v>32896</v>
      </c>
      <c r="S36" s="1846">
        <f>移輸出!S36-移輸入!S36</f>
        <v>5857</v>
      </c>
      <c r="T36" s="1846">
        <f>移輸出!T36-移輸入!T36</f>
        <v>49542</v>
      </c>
      <c r="U36" s="1846">
        <f>移輸出!U36-移輸入!U36</f>
        <v>20810</v>
      </c>
      <c r="V36" s="1846">
        <f>移輸出!V36-移輸入!V36</f>
        <v>12035</v>
      </c>
      <c r="W36" s="1846">
        <f>移輸出!W36-移輸入!W36</f>
        <v>8070</v>
      </c>
      <c r="X36" s="1846">
        <f>移輸出!X36-移輸入!X36</f>
        <v>-8900</v>
      </c>
    </row>
    <row r="37" spans="1:24">
      <c r="A37" s="730">
        <v>218</v>
      </c>
      <c r="B37" s="730" t="s">
        <v>200</v>
      </c>
      <c r="C37" s="1225">
        <f>移輸出!C37-移輸入!C37</f>
        <v>46093</v>
      </c>
      <c r="D37" s="1225">
        <f>移輸出!D37-移輸入!D37</f>
        <v>64093</v>
      </c>
      <c r="E37" s="1225">
        <f>移輸出!E37-移輸入!E37</f>
        <v>59088</v>
      </c>
      <c r="F37" s="1225">
        <f>移輸出!F37-移輸入!F37</f>
        <v>57257</v>
      </c>
      <c r="G37" s="1225">
        <f>移輸出!G37-移輸入!G37</f>
        <v>66133</v>
      </c>
      <c r="H37" s="1225">
        <f>移輸出!H37-移輸入!H37</f>
        <v>51604</v>
      </c>
      <c r="I37" s="1225">
        <f>移輸出!I37-移輸入!I37</f>
        <v>24888</v>
      </c>
      <c r="J37" s="1225">
        <f>移輸出!J37-移輸入!J37</f>
        <v>1006</v>
      </c>
      <c r="K37" s="1225">
        <f>移輸出!K37-移輸入!K37</f>
        <v>61649</v>
      </c>
      <c r="L37" s="1225">
        <f>移輸出!L37-移輸入!L37</f>
        <v>68021</v>
      </c>
      <c r="M37" s="1225">
        <f>移輸出!M37-移輸入!M37</f>
        <v>45609</v>
      </c>
      <c r="N37" s="1225">
        <f>移輸出!N37-移輸入!N37</f>
        <v>73277</v>
      </c>
      <c r="O37" s="1225">
        <f>移輸出!O37-移輸入!O37</f>
        <v>67340</v>
      </c>
      <c r="P37" s="1225">
        <f>移輸出!P37-移輸入!P37</f>
        <v>51690</v>
      </c>
      <c r="Q37" s="1225">
        <f>移輸出!Q37-移輸入!Q37</f>
        <v>62862</v>
      </c>
      <c r="R37" s="1846">
        <f>移輸出!R37-移輸入!R37</f>
        <v>54433</v>
      </c>
      <c r="S37" s="1846">
        <f>移輸出!S37-移輸入!S37</f>
        <v>40133</v>
      </c>
      <c r="T37" s="1846">
        <f>移輸出!T37-移輸入!T37</f>
        <v>54028</v>
      </c>
      <c r="U37" s="1846">
        <f>移輸出!U37-移輸入!U37</f>
        <v>31183</v>
      </c>
      <c r="V37" s="1846">
        <f>移輸出!V37-移輸入!V37</f>
        <v>8366</v>
      </c>
      <c r="W37" s="1846">
        <f>移輸出!W37-移輸入!W37</f>
        <v>13140</v>
      </c>
      <c r="X37" s="1846">
        <f>移輸出!X37-移輸入!X37</f>
        <v>-6461</v>
      </c>
    </row>
    <row r="38" spans="1:24">
      <c r="A38" s="730">
        <v>220</v>
      </c>
      <c r="B38" s="730" t="s">
        <v>201</v>
      </c>
      <c r="C38" s="1225">
        <f>移輸出!C38-移輸入!C38</f>
        <v>43418</v>
      </c>
      <c r="D38" s="1225">
        <f>移輸出!D38-移輸入!D38</f>
        <v>48206</v>
      </c>
      <c r="E38" s="1225">
        <f>移輸出!E38-移輸入!E38</f>
        <v>45029</v>
      </c>
      <c r="F38" s="1225">
        <f>移輸出!F38-移輸入!F38</f>
        <v>50550</v>
      </c>
      <c r="G38" s="1225">
        <f>移輸出!G38-移輸入!G38</f>
        <v>46140</v>
      </c>
      <c r="H38" s="1225">
        <f>移輸出!H38-移輸入!H38</f>
        <v>5709</v>
      </c>
      <c r="I38" s="1225">
        <f>移輸出!I38-移輸入!I38</f>
        <v>2156</v>
      </c>
      <c r="J38" s="1225">
        <f>移輸出!J38-移輸入!J38</f>
        <v>28141</v>
      </c>
      <c r="K38" s="1225">
        <f>移輸出!K38-移輸入!K38</f>
        <v>39487</v>
      </c>
      <c r="L38" s="1225">
        <f>移輸出!L38-移輸入!L38</f>
        <v>43771</v>
      </c>
      <c r="M38" s="1225">
        <f>移輸出!M38-移輸入!M38</f>
        <v>50818</v>
      </c>
      <c r="N38" s="1225">
        <f>移輸出!N38-移輸入!N38</f>
        <v>69775</v>
      </c>
      <c r="O38" s="1225">
        <f>移輸出!O38-移輸入!O38</f>
        <v>74795</v>
      </c>
      <c r="P38" s="1225">
        <f>移輸出!P38-移輸入!P38</f>
        <v>58468</v>
      </c>
      <c r="Q38" s="1225">
        <f>移輸出!Q38-移輸入!Q38</f>
        <v>61588</v>
      </c>
      <c r="R38" s="1846">
        <f>移輸出!R38-移輸入!R38</f>
        <v>67181</v>
      </c>
      <c r="S38" s="1846">
        <f>移輸出!S38-移輸入!S38</f>
        <v>33357</v>
      </c>
      <c r="T38" s="1846">
        <f>移輸出!T38-移輸入!T38</f>
        <v>38616</v>
      </c>
      <c r="U38" s="1846">
        <f>移輸出!U38-移輸入!U38</f>
        <v>24884</v>
      </c>
      <c r="V38" s="1846">
        <f>移輸出!V38-移輸入!V38</f>
        <v>7866</v>
      </c>
      <c r="W38" s="1846">
        <f>移輸出!W38-移輸入!W38</f>
        <v>9827</v>
      </c>
      <c r="X38" s="1846">
        <f>移輸出!X38-移輸入!X38</f>
        <v>-5822</v>
      </c>
    </row>
    <row r="39" spans="1:24">
      <c r="A39" s="730">
        <v>228</v>
      </c>
      <c r="B39" s="730" t="s">
        <v>330</v>
      </c>
      <c r="C39" s="1225">
        <f>移輸出!C39-移輸入!C39</f>
        <v>109993</v>
      </c>
      <c r="D39" s="1225">
        <f>移輸出!D39-移輸入!D39</f>
        <v>79225</v>
      </c>
      <c r="E39" s="1225">
        <f>移輸出!E39-移輸入!E39</f>
        <v>96094</v>
      </c>
      <c r="F39" s="1225">
        <f>移輸出!F39-移輸入!F39</f>
        <v>99374</v>
      </c>
      <c r="G39" s="1225">
        <f>移輸出!G39-移輸入!G39</f>
        <v>104385</v>
      </c>
      <c r="H39" s="1225">
        <f>移輸出!H39-移輸入!H39</f>
        <v>56395</v>
      </c>
      <c r="I39" s="1225">
        <f>移輸出!I39-移輸入!I39</f>
        <v>66546</v>
      </c>
      <c r="J39" s="1225">
        <f>移輸出!J39-移輸入!J39</f>
        <v>59376</v>
      </c>
      <c r="K39" s="1225">
        <f>移輸出!K39-移輸入!K39</f>
        <v>85007</v>
      </c>
      <c r="L39" s="1225">
        <f>移輸出!L39-移輸入!L39</f>
        <v>67106</v>
      </c>
      <c r="M39" s="1225">
        <f>移輸出!M39-移輸入!M39</f>
        <v>90529</v>
      </c>
      <c r="N39" s="1225">
        <f>移輸出!N39-移輸入!N39</f>
        <v>89566</v>
      </c>
      <c r="O39" s="1225">
        <f>移輸出!O39-移輸入!O39</f>
        <v>77594</v>
      </c>
      <c r="P39" s="1225">
        <f>移輸出!P39-移輸入!P39</f>
        <v>69525</v>
      </c>
      <c r="Q39" s="1225">
        <f>移輸出!Q39-移輸入!Q39</f>
        <v>81448</v>
      </c>
      <c r="R39" s="1846">
        <f>移輸出!R39-移輸入!R39</f>
        <v>52907</v>
      </c>
      <c r="S39" s="1846">
        <f>移輸出!S39-移輸入!S39</f>
        <v>40538</v>
      </c>
      <c r="T39" s="1846">
        <f>移輸出!T39-移輸入!T39</f>
        <v>49463</v>
      </c>
      <c r="U39" s="1846">
        <f>移輸出!U39-移輸入!U39</f>
        <v>36971</v>
      </c>
      <c r="V39" s="1846">
        <f>移輸出!V39-移輸入!V39</f>
        <v>8182</v>
      </c>
      <c r="W39" s="1846">
        <f>移輸出!W39-移輸入!W39</f>
        <v>663</v>
      </c>
      <c r="X39" s="1846">
        <f>移輸出!X39-移輸入!X39</f>
        <v>-6033</v>
      </c>
    </row>
    <row r="40" spans="1:24">
      <c r="A40" s="731">
        <v>365</v>
      </c>
      <c r="B40" s="731" t="s">
        <v>331</v>
      </c>
      <c r="C40" s="1226">
        <f>移輸出!C40-移輸入!C40</f>
        <v>5916</v>
      </c>
      <c r="D40" s="1226">
        <f>移輸出!D40-移輸入!D40</f>
        <v>6816</v>
      </c>
      <c r="E40" s="1226">
        <f>移輸出!E40-移輸入!E40</f>
        <v>3609</v>
      </c>
      <c r="F40" s="1226">
        <f>移輸出!F40-移輸入!F40</f>
        <v>134</v>
      </c>
      <c r="G40" s="1226">
        <f>移輸出!G40-移輸入!G40</f>
        <v>188</v>
      </c>
      <c r="H40" s="1226">
        <f>移輸出!H40-移輸入!H40</f>
        <v>611</v>
      </c>
      <c r="I40" s="1226">
        <f>移輸出!I40-移輸入!I40</f>
        <v>-4267</v>
      </c>
      <c r="J40" s="1226">
        <f>移輸出!J40-移輸入!J40</f>
        <v>-2268</v>
      </c>
      <c r="K40" s="1226">
        <f>移輸出!K40-移輸入!K40</f>
        <v>3820</v>
      </c>
      <c r="L40" s="1226">
        <f>移輸出!L40-移輸入!L40</f>
        <v>2126</v>
      </c>
      <c r="M40" s="1226">
        <f>移輸出!M40-移輸入!M40</f>
        <v>5069</v>
      </c>
      <c r="N40" s="1226">
        <f>移輸出!N40-移輸入!N40</f>
        <v>5795</v>
      </c>
      <c r="O40" s="1226">
        <f>移輸出!O40-移輸入!O40</f>
        <v>-1158</v>
      </c>
      <c r="P40" s="1226">
        <f>移輸出!P40-移輸入!P40</f>
        <v>2770</v>
      </c>
      <c r="Q40" s="1226">
        <f>移輸出!Q40-移輸入!Q40</f>
        <v>6159</v>
      </c>
      <c r="R40" s="1847">
        <f>移輸出!R40-移輸入!R40</f>
        <v>1136</v>
      </c>
      <c r="S40" s="1847">
        <f>移輸出!S40-移輸入!S40</f>
        <v>-10486</v>
      </c>
      <c r="T40" s="1847">
        <f>移輸出!T40-移輸入!T40</f>
        <v>8747</v>
      </c>
      <c r="U40" s="1847">
        <f>移輸出!U40-移輸入!U40</f>
        <v>-3766</v>
      </c>
      <c r="V40" s="1847">
        <f>移輸出!V40-移輸入!V40</f>
        <v>3026</v>
      </c>
      <c r="W40" s="1847">
        <f>移輸出!W40-移輸入!W40</f>
        <v>8550</v>
      </c>
      <c r="X40" s="1847">
        <f>移輸出!X40-移輸入!X40</f>
        <v>-2311</v>
      </c>
    </row>
    <row r="41" spans="1:24">
      <c r="A41" s="730">
        <v>5</v>
      </c>
      <c r="B41" s="730" t="s">
        <v>326</v>
      </c>
      <c r="C41" s="1227">
        <f>移輸出!C41-移輸入!C41</f>
        <v>423415</v>
      </c>
      <c r="D41" s="1227">
        <f>移輸出!D41-移輸入!D41</f>
        <v>450391</v>
      </c>
      <c r="E41" s="1227">
        <f>移輸出!E41-移輸入!E41</f>
        <v>488427</v>
      </c>
      <c r="F41" s="1227">
        <f>移輸出!F41-移輸入!F41</f>
        <v>312448</v>
      </c>
      <c r="G41" s="1227">
        <f>移輸出!G41-移輸入!G41</f>
        <v>138415</v>
      </c>
      <c r="H41" s="1227">
        <f>移輸出!H41-移輸入!H41</f>
        <v>222016</v>
      </c>
      <c r="I41" s="1227">
        <f>移輸出!I41-移輸入!I41</f>
        <v>126821</v>
      </c>
      <c r="J41" s="1227">
        <f>移輸出!J41-移輸入!J41</f>
        <v>219738</v>
      </c>
      <c r="K41" s="1227">
        <f>移輸出!K41-移輸入!K41</f>
        <v>335790</v>
      </c>
      <c r="L41" s="1227">
        <f>移輸出!L41-移輸入!L41</f>
        <v>331875</v>
      </c>
      <c r="M41" s="1227">
        <f>移輸出!M41-移輸入!M41</f>
        <v>331764</v>
      </c>
      <c r="N41" s="1227">
        <f>移輸出!N41-移輸入!N41</f>
        <v>336344</v>
      </c>
      <c r="O41" s="1227">
        <f>移輸出!O41-移輸入!O41</f>
        <v>212787</v>
      </c>
      <c r="P41" s="1227">
        <f>移輸出!P41-移輸入!P41</f>
        <v>222670</v>
      </c>
      <c r="Q41" s="1227">
        <f>移輸出!Q41-移輸入!Q41</f>
        <v>133747</v>
      </c>
      <c r="R41" s="1849">
        <f>移輸出!R41-移輸入!R41</f>
        <v>236516</v>
      </c>
      <c r="S41" s="1849">
        <f>移輸出!S41-移輸入!S41</f>
        <v>17521</v>
      </c>
      <c r="T41" s="1849">
        <f>移輸出!T41-移輸入!T41</f>
        <v>-27029</v>
      </c>
      <c r="U41" s="1849">
        <f>移輸出!U41-移輸入!U41</f>
        <v>269963</v>
      </c>
      <c r="V41" s="1849">
        <f>移輸出!V41-移輸入!V41</f>
        <v>98041</v>
      </c>
      <c r="W41" s="1849">
        <f>移輸出!W41-移輸入!W41</f>
        <v>97218</v>
      </c>
      <c r="X41" s="1849">
        <f>移輸出!X41-移輸入!X41</f>
        <v>-72557</v>
      </c>
    </row>
    <row r="42" spans="1:24">
      <c r="A42" s="730">
        <v>201</v>
      </c>
      <c r="B42" s="730" t="s">
        <v>332</v>
      </c>
      <c r="C42" s="1227">
        <f>移輸出!C42-移輸入!C42</f>
        <v>345994</v>
      </c>
      <c r="D42" s="1227">
        <f>移輸出!D42-移輸入!D42</f>
        <v>376078</v>
      </c>
      <c r="E42" s="1227">
        <f>移輸出!E42-移輸入!E42</f>
        <v>420064</v>
      </c>
      <c r="F42" s="1227">
        <f>移輸出!F42-移輸入!F42</f>
        <v>246903</v>
      </c>
      <c r="G42" s="1227">
        <f>移輸出!G42-移輸入!G42</f>
        <v>65936</v>
      </c>
      <c r="H42" s="1227">
        <f>移輸出!H42-移輸入!H42</f>
        <v>165989</v>
      </c>
      <c r="I42" s="1227">
        <f>移輸出!I42-移輸入!I42</f>
        <v>75946</v>
      </c>
      <c r="J42" s="1227">
        <f>移輸出!J42-移輸入!J42</f>
        <v>154388</v>
      </c>
      <c r="K42" s="1227">
        <f>移輸出!K42-移輸入!K42</f>
        <v>270703</v>
      </c>
      <c r="L42" s="1227">
        <f>移輸出!L42-移輸入!L42</f>
        <v>262602</v>
      </c>
      <c r="M42" s="1227">
        <f>移輸出!M42-移輸入!M42</f>
        <v>251344</v>
      </c>
      <c r="N42" s="1227">
        <f>移輸出!N42-移輸入!N42</f>
        <v>256151</v>
      </c>
      <c r="O42" s="1227">
        <f>移輸出!O42-移輸入!O42</f>
        <v>149139</v>
      </c>
      <c r="P42" s="1227">
        <f>移輸出!P42-移輸入!P42</f>
        <v>164283</v>
      </c>
      <c r="Q42" s="1227">
        <f>移輸出!Q42-移輸入!Q42</f>
        <v>96901</v>
      </c>
      <c r="R42" s="1849">
        <f>移輸出!R42-移輸入!R42</f>
        <v>171724</v>
      </c>
      <c r="S42" s="1849">
        <f>移輸出!S42-移輸入!S42</f>
        <v>-46546</v>
      </c>
      <c r="T42" s="1849">
        <f>移輸出!T42-移輸入!T42</f>
        <v>-85976</v>
      </c>
      <c r="U42" s="1849">
        <f>移輸出!U42-移輸入!U42</f>
        <v>245894</v>
      </c>
      <c r="V42" s="1849">
        <f>移輸出!V42-移輸入!V42</f>
        <v>89970</v>
      </c>
      <c r="W42" s="1849">
        <f>移輸出!W42-移輸入!W42</f>
        <v>85543</v>
      </c>
      <c r="X42" s="1849">
        <f>移輸出!X42-移輸入!X42</f>
        <v>-66634</v>
      </c>
    </row>
    <row r="43" spans="1:24">
      <c r="A43" s="730">
        <v>442</v>
      </c>
      <c r="B43" s="730" t="s">
        <v>203</v>
      </c>
      <c r="C43" s="1227">
        <f>移輸出!C43-移輸入!C43</f>
        <v>6136</v>
      </c>
      <c r="D43" s="1227">
        <f>移輸出!D43-移輸入!D43</f>
        <v>4493</v>
      </c>
      <c r="E43" s="1227">
        <f>移輸出!E43-移輸入!E43</f>
        <v>-215</v>
      </c>
      <c r="F43" s="1227">
        <f>移輸出!F43-移輸入!F43</f>
        <v>626</v>
      </c>
      <c r="G43" s="1227">
        <f>移輸出!G43-移輸入!G43</f>
        <v>-339</v>
      </c>
      <c r="H43" s="1227">
        <f>移輸出!H43-移輸入!H43</f>
        <v>-4469</v>
      </c>
      <c r="I43" s="1227">
        <f>移輸出!I43-移輸入!I43</f>
        <v>-2604</v>
      </c>
      <c r="J43" s="1227">
        <f>移輸出!J43-移輸入!J43</f>
        <v>-1289</v>
      </c>
      <c r="K43" s="1227">
        <f>移輸出!K43-移輸入!K43</f>
        <v>-1202</v>
      </c>
      <c r="L43" s="1227">
        <f>移輸出!L43-移輸入!L43</f>
        <v>-1640</v>
      </c>
      <c r="M43" s="1227">
        <f>移輸出!M43-移輸入!M43</f>
        <v>1680</v>
      </c>
      <c r="N43" s="1227">
        <f>移輸出!N43-移輸入!N43</f>
        <v>-1529</v>
      </c>
      <c r="O43" s="1227">
        <f>移輸出!O43-移輸入!O43</f>
        <v>-4640</v>
      </c>
      <c r="P43" s="1227">
        <f>移輸出!P43-移輸入!P43</f>
        <v>-2512</v>
      </c>
      <c r="Q43" s="1227">
        <f>移輸出!Q43-移輸入!Q43</f>
        <v>-802</v>
      </c>
      <c r="R43" s="1849">
        <f>移輸出!R43-移輸入!R43</f>
        <v>-1488</v>
      </c>
      <c r="S43" s="1849">
        <f>移輸出!S43-移輸入!S43</f>
        <v>-6823</v>
      </c>
      <c r="T43" s="1849">
        <f>移輸出!T43-移輸入!T43</f>
        <v>6207</v>
      </c>
      <c r="U43" s="1849">
        <f>移輸出!U43-移輸入!U43</f>
        <v>-2540</v>
      </c>
      <c r="V43" s="1849">
        <f>移輸出!V43-移輸入!V43</f>
        <v>1942</v>
      </c>
      <c r="W43" s="1849">
        <f>移輸出!W43-移輸入!W43</f>
        <v>1358</v>
      </c>
      <c r="X43" s="1849">
        <f>移輸出!X43-移輸入!X43</f>
        <v>-1369</v>
      </c>
    </row>
    <row r="44" spans="1:24">
      <c r="A44" s="730">
        <v>443</v>
      </c>
      <c r="B44" s="730" t="s">
        <v>204</v>
      </c>
      <c r="C44" s="1227">
        <f>移輸出!C44-移輸入!C44</f>
        <v>68258</v>
      </c>
      <c r="D44" s="1227">
        <f>移輸出!D44-移輸入!D44</f>
        <v>75377</v>
      </c>
      <c r="E44" s="1227">
        <f>移輸出!E44-移輸入!E44</f>
        <v>68722</v>
      </c>
      <c r="F44" s="1227">
        <f>移輸出!F44-移輸入!F44</f>
        <v>65251</v>
      </c>
      <c r="G44" s="1227">
        <f>移輸出!G44-移輸入!G44</f>
        <v>76736</v>
      </c>
      <c r="H44" s="1227">
        <f>移輸出!H44-移輸入!H44</f>
        <v>64706</v>
      </c>
      <c r="I44" s="1227">
        <f>移輸出!I44-移輸入!I44</f>
        <v>62974</v>
      </c>
      <c r="J44" s="1227">
        <f>移輸出!J44-移輸入!J44</f>
        <v>70117</v>
      </c>
      <c r="K44" s="1227">
        <f>移輸出!K44-移輸入!K44</f>
        <v>70866</v>
      </c>
      <c r="L44" s="1227">
        <f>移輸出!L44-移輸入!L44</f>
        <v>74372</v>
      </c>
      <c r="M44" s="1227">
        <f>移輸出!M44-移輸入!M44</f>
        <v>81004</v>
      </c>
      <c r="N44" s="1227">
        <f>移輸出!N44-移輸入!N44</f>
        <v>88172</v>
      </c>
      <c r="O44" s="1227">
        <f>移輸出!O44-移輸入!O44</f>
        <v>79793</v>
      </c>
      <c r="P44" s="1227">
        <f>移輸出!P44-移輸入!P44</f>
        <v>73877</v>
      </c>
      <c r="Q44" s="1227">
        <f>移輸出!Q44-移輸入!Q44</f>
        <v>44609</v>
      </c>
      <c r="R44" s="1849">
        <f>移輸出!R44-移輸入!R44</f>
        <v>74832</v>
      </c>
      <c r="S44" s="1849">
        <f>移輸出!S44-移輸入!S44</f>
        <v>78056</v>
      </c>
      <c r="T44" s="1849">
        <f>移輸出!T44-移輸入!T44</f>
        <v>46123</v>
      </c>
      <c r="U44" s="1849">
        <f>移輸出!U44-移輸入!U44</f>
        <v>35932</v>
      </c>
      <c r="V44" s="1849">
        <f>移輸出!V44-移輸入!V44</f>
        <v>3934</v>
      </c>
      <c r="W44" s="1849">
        <f>移輸出!W44-移輸入!W44</f>
        <v>4341</v>
      </c>
      <c r="X44" s="1849">
        <f>移輸出!X44-移輸入!X44</f>
        <v>-2917</v>
      </c>
    </row>
    <row r="45" spans="1:24">
      <c r="A45" s="730">
        <v>446</v>
      </c>
      <c r="B45" s="730" t="s">
        <v>333</v>
      </c>
      <c r="C45" s="1227">
        <f>移輸出!C45-移輸入!C45</f>
        <v>3027</v>
      </c>
      <c r="D45" s="1227">
        <f>移輸出!D45-移輸入!D45</f>
        <v>-5557</v>
      </c>
      <c r="E45" s="1227">
        <f>移輸出!E45-移輸入!E45</f>
        <v>-144</v>
      </c>
      <c r="F45" s="1227">
        <f>移輸出!F45-移輸入!F45</f>
        <v>-332</v>
      </c>
      <c r="G45" s="1227">
        <f>移輸出!G45-移輸入!G45</f>
        <v>-3918</v>
      </c>
      <c r="H45" s="1227">
        <f>移輸出!H45-移輸入!H45</f>
        <v>-4210</v>
      </c>
      <c r="I45" s="1227">
        <f>移輸出!I45-移輸入!I45</f>
        <v>-9495</v>
      </c>
      <c r="J45" s="1227">
        <f>移輸出!J45-移輸入!J45</f>
        <v>-3478</v>
      </c>
      <c r="K45" s="1227">
        <f>移輸出!K45-移輸入!K45</f>
        <v>-4577</v>
      </c>
      <c r="L45" s="1227">
        <f>移輸出!L45-移輸入!L45</f>
        <v>-3459</v>
      </c>
      <c r="M45" s="1227">
        <f>移輸出!M45-移輸入!M45</f>
        <v>-2264</v>
      </c>
      <c r="N45" s="1227">
        <f>移輸出!N45-移輸入!N45</f>
        <v>-6450</v>
      </c>
      <c r="O45" s="1227">
        <f>移輸出!O45-移輸入!O45</f>
        <v>-11505</v>
      </c>
      <c r="P45" s="1227">
        <f>移輸出!P45-移輸入!P45</f>
        <v>-12978</v>
      </c>
      <c r="Q45" s="1227">
        <f>移輸出!Q45-移輸入!Q45</f>
        <v>-6961</v>
      </c>
      <c r="R45" s="1849">
        <f>移輸出!R45-移輸入!R45</f>
        <v>-8552</v>
      </c>
      <c r="S45" s="1849">
        <f>移輸出!S45-移輸入!S45</f>
        <v>-7166</v>
      </c>
      <c r="T45" s="1849">
        <f>移輸出!T45-移輸入!T45</f>
        <v>6617</v>
      </c>
      <c r="U45" s="1849">
        <f>移輸出!U45-移輸入!U45</f>
        <v>-9323</v>
      </c>
      <c r="V45" s="1849">
        <f>移輸出!V45-移輸入!V45</f>
        <v>2195</v>
      </c>
      <c r="W45" s="1849">
        <f>移輸出!W45-移輸入!W45</f>
        <v>5976</v>
      </c>
      <c r="X45" s="1849">
        <f>移輸出!X45-移輸入!X45</f>
        <v>-1637</v>
      </c>
    </row>
    <row r="46" spans="1:24">
      <c r="A46" s="728">
        <v>6</v>
      </c>
      <c r="B46" s="728" t="s">
        <v>327</v>
      </c>
      <c r="C46" s="1224">
        <f>移輸出!C46-移輸入!C46</f>
        <v>79882</v>
      </c>
      <c r="D46" s="1224">
        <f>移輸出!D46-移輸入!D46</f>
        <v>123392</v>
      </c>
      <c r="E46" s="1224">
        <f>移輸出!E46-移輸入!E46</f>
        <v>76437</v>
      </c>
      <c r="F46" s="1224">
        <f>移輸出!F46-移輸入!F46</f>
        <v>92853</v>
      </c>
      <c r="G46" s="1224">
        <f>移輸出!G46-移輸入!G46</f>
        <v>119942</v>
      </c>
      <c r="H46" s="1224">
        <f>移輸出!H46-移輸入!H46</f>
        <v>57652</v>
      </c>
      <c r="I46" s="1224">
        <f>移輸出!I46-移輸入!I46</f>
        <v>29328</v>
      </c>
      <c r="J46" s="1224">
        <f>移輸出!J46-移輸入!J46</f>
        <v>51920</v>
      </c>
      <c r="K46" s="1224">
        <f>移輸出!K46-移輸入!K46</f>
        <v>95533</v>
      </c>
      <c r="L46" s="1224">
        <f>移輸出!L46-移輸入!L46</f>
        <v>75765</v>
      </c>
      <c r="M46" s="1224">
        <f>移輸出!M46-移輸入!M46</f>
        <v>100833</v>
      </c>
      <c r="N46" s="1224">
        <f>移輸出!N46-移輸入!N46</f>
        <v>163962</v>
      </c>
      <c r="O46" s="1224">
        <f>移輸出!O46-移輸入!O46</f>
        <v>139486</v>
      </c>
      <c r="P46" s="1224">
        <f>移輸出!P46-移輸入!P46</f>
        <v>110207</v>
      </c>
      <c r="Q46" s="1224">
        <f>移輸出!Q46-移輸入!Q46</f>
        <v>156664</v>
      </c>
      <c r="R46" s="1845">
        <f>移輸出!R46-移輸入!R46</f>
        <v>150553</v>
      </c>
      <c r="S46" s="1845">
        <f>移輸出!S46-移輸入!S46</f>
        <v>-24608</v>
      </c>
      <c r="T46" s="1845">
        <f>移輸出!T46-移輸入!T46</f>
        <v>161861</v>
      </c>
      <c r="U46" s="1845">
        <f>移輸出!U46-移輸入!U46</f>
        <v>113698</v>
      </c>
      <c r="V46" s="1845">
        <f>移輸出!V46-移輸入!V46</f>
        <v>40464</v>
      </c>
      <c r="W46" s="1845">
        <f>移輸出!W46-移輸入!W46</f>
        <v>10470</v>
      </c>
      <c r="X46" s="1845">
        <f>移輸出!X46-移輸入!X46</f>
        <v>-29341</v>
      </c>
    </row>
    <row r="47" spans="1:24">
      <c r="A47" s="730">
        <v>208</v>
      </c>
      <c r="B47" s="730" t="s">
        <v>206</v>
      </c>
      <c r="C47" s="1225">
        <f>移輸出!C47-移輸入!C47</f>
        <v>25952</v>
      </c>
      <c r="D47" s="1225">
        <f>移輸出!D47-移輸入!D47</f>
        <v>27510</v>
      </c>
      <c r="E47" s="1225">
        <f>移輸出!E47-移輸入!E47</f>
        <v>25498</v>
      </c>
      <c r="F47" s="1225">
        <f>移輸出!F47-移輸入!F47</f>
        <v>27448</v>
      </c>
      <c r="G47" s="1225">
        <f>移輸出!G47-移輸入!G47</f>
        <v>23058</v>
      </c>
      <c r="H47" s="1225">
        <f>移輸出!H47-移輸入!H47</f>
        <v>-6308</v>
      </c>
      <c r="I47" s="1225">
        <f>移輸出!I47-移輸入!I47</f>
        <v>-15170</v>
      </c>
      <c r="J47" s="1225">
        <f>移輸出!J47-移輸入!J47</f>
        <v>-6835</v>
      </c>
      <c r="K47" s="1225">
        <f>移輸出!K47-移輸入!K47</f>
        <v>5794</v>
      </c>
      <c r="L47" s="1225">
        <f>移輸出!L47-移輸入!L47</f>
        <v>19752</v>
      </c>
      <c r="M47" s="1225">
        <f>移輸出!M47-移輸入!M47</f>
        <v>-3203</v>
      </c>
      <c r="N47" s="1225">
        <f>移輸出!N47-移輸入!N47</f>
        <v>13864</v>
      </c>
      <c r="O47" s="1225">
        <f>移輸出!O47-移輸入!O47</f>
        <v>28109</v>
      </c>
      <c r="P47" s="1225">
        <f>移輸出!P47-移輸入!P47</f>
        <v>32809</v>
      </c>
      <c r="Q47" s="1225">
        <f>移輸出!Q47-移輸入!Q47</f>
        <v>51756</v>
      </c>
      <c r="R47" s="1846">
        <f>移輸出!R47-移輸入!R47</f>
        <v>57028</v>
      </c>
      <c r="S47" s="1846">
        <f>移輸出!S47-移輸入!S47</f>
        <v>58410</v>
      </c>
      <c r="T47" s="1846">
        <f>移輸出!T47-移輸入!T47</f>
        <v>40256</v>
      </c>
      <c r="U47" s="1846">
        <f>移輸出!U47-移輸入!U47</f>
        <v>34804</v>
      </c>
      <c r="V47" s="1846">
        <f>移輸出!V47-移輸入!V47</f>
        <v>4488</v>
      </c>
      <c r="W47" s="1846">
        <f>移輸出!W47-移輸入!W47</f>
        <v>1001</v>
      </c>
      <c r="X47" s="1846">
        <f>移輸出!X47-移輸入!X47</f>
        <v>-3185</v>
      </c>
    </row>
    <row r="48" spans="1:24">
      <c r="A48" s="730">
        <v>212</v>
      </c>
      <c r="B48" s="730" t="s">
        <v>207</v>
      </c>
      <c r="C48" s="1225">
        <f>移輸出!C48-移輸入!C48</f>
        <v>22215</v>
      </c>
      <c r="D48" s="1225">
        <f>移輸出!D48-移輸入!D48</f>
        <v>20604</v>
      </c>
      <c r="E48" s="1225">
        <f>移輸出!E48-移輸入!E48</f>
        <v>1346</v>
      </c>
      <c r="F48" s="1225">
        <f>移輸出!F48-移輸入!F48</f>
        <v>26767</v>
      </c>
      <c r="G48" s="1225">
        <f>移輸出!G48-移輸入!G48</f>
        <v>32030</v>
      </c>
      <c r="H48" s="1225">
        <f>移輸出!H48-移輸入!H48</f>
        <v>22953</v>
      </c>
      <c r="I48" s="1225">
        <f>移輸出!I48-移輸入!I48</f>
        <v>20164</v>
      </c>
      <c r="J48" s="1225">
        <f>移輸出!J48-移輸入!J48</f>
        <v>17346</v>
      </c>
      <c r="K48" s="1225">
        <f>移輸出!K48-移輸入!K48</f>
        <v>16576</v>
      </c>
      <c r="L48" s="1225">
        <f>移輸出!L48-移輸入!L48</f>
        <v>22236</v>
      </c>
      <c r="M48" s="1225">
        <f>移輸出!M48-移輸入!M48</f>
        <v>29660</v>
      </c>
      <c r="N48" s="1225">
        <f>移輸出!N48-移輸入!N48</f>
        <v>42108</v>
      </c>
      <c r="O48" s="1225">
        <f>移輸出!O48-移輸入!O48</f>
        <v>39290</v>
      </c>
      <c r="P48" s="1225">
        <f>移輸出!P48-移輸入!P48</f>
        <v>29269</v>
      </c>
      <c r="Q48" s="1225">
        <f>移輸出!Q48-移輸入!Q48</f>
        <v>36033</v>
      </c>
      <c r="R48" s="1846">
        <f>移輸出!R48-移輸入!R48</f>
        <v>26487</v>
      </c>
      <c r="S48" s="1846">
        <f>移輸出!S48-移輸入!S48</f>
        <v>2079</v>
      </c>
      <c r="T48" s="1846">
        <f>移輸出!T48-移輸入!T48</f>
        <v>39166</v>
      </c>
      <c r="U48" s="1846">
        <f>移輸出!U48-移輸入!U48</f>
        <v>36079</v>
      </c>
      <c r="V48" s="1846">
        <f>移輸出!V48-移輸入!V48</f>
        <v>8599</v>
      </c>
      <c r="W48" s="1846">
        <f>移輸出!W48-移輸入!W48</f>
        <v>2589</v>
      </c>
      <c r="X48" s="1846">
        <f>移輸出!X48-移輸入!X48</f>
        <v>-6176</v>
      </c>
    </row>
    <row r="49" spans="1:24">
      <c r="A49" s="730">
        <v>227</v>
      </c>
      <c r="B49" s="730" t="s">
        <v>219</v>
      </c>
      <c r="C49" s="1225">
        <f>移輸出!C49-移輸入!C49</f>
        <v>15296</v>
      </c>
      <c r="D49" s="1225">
        <f>移輸出!D49-移輸入!D49</f>
        <v>16190</v>
      </c>
      <c r="E49" s="1225">
        <f>移輸出!E49-移輸入!E49</f>
        <v>8001</v>
      </c>
      <c r="F49" s="1225">
        <f>移輸出!F49-移輸入!F49</f>
        <v>1256</v>
      </c>
      <c r="G49" s="1225">
        <f>移輸出!G49-移輸入!G49</f>
        <v>2372</v>
      </c>
      <c r="H49" s="1225">
        <f>移輸出!H49-移輸入!H49</f>
        <v>-3986</v>
      </c>
      <c r="I49" s="1225">
        <f>移輸出!I49-移輸入!I49</f>
        <v>-1832</v>
      </c>
      <c r="J49" s="1225">
        <f>移輸出!J49-移輸入!J49</f>
        <v>465</v>
      </c>
      <c r="K49" s="1225">
        <f>移輸出!K49-移輸入!K49</f>
        <v>3435</v>
      </c>
      <c r="L49" s="1225">
        <f>移輸出!L49-移輸入!L49</f>
        <v>4403</v>
      </c>
      <c r="M49" s="1225">
        <f>移輸出!M49-移輸入!M49</f>
        <v>6527</v>
      </c>
      <c r="N49" s="1225">
        <f>移輸出!N49-移輸入!N49</f>
        <v>5431</v>
      </c>
      <c r="O49" s="1225">
        <f>移輸出!O49-移輸入!O49</f>
        <v>-1075</v>
      </c>
      <c r="P49" s="1225">
        <f>移輸出!P49-移輸入!P49</f>
        <v>-5254</v>
      </c>
      <c r="Q49" s="1225">
        <f>移輸出!Q49-移輸入!Q49</f>
        <v>-2003</v>
      </c>
      <c r="R49" s="1846">
        <f>移輸出!R49-移輸入!R49</f>
        <v>-7892</v>
      </c>
      <c r="S49" s="1846">
        <f>移輸出!S49-移輸入!S49</f>
        <v>-21761</v>
      </c>
      <c r="T49" s="1846">
        <f>移輸出!T49-移輸入!T49</f>
        <v>20691</v>
      </c>
      <c r="U49" s="1846">
        <f>移輸出!U49-移輸入!U49</f>
        <v>12777</v>
      </c>
      <c r="V49" s="1846">
        <f>移輸出!V49-移輸入!V49</f>
        <v>5365</v>
      </c>
      <c r="W49" s="1846">
        <f>移輸出!W49-移輸入!W49</f>
        <v>-3492</v>
      </c>
      <c r="X49" s="1846">
        <f>移輸出!X49-移輸入!X49</f>
        <v>-3733</v>
      </c>
    </row>
    <row r="50" spans="1:24">
      <c r="A50" s="730">
        <v>229</v>
      </c>
      <c r="B50" s="730" t="s">
        <v>334</v>
      </c>
      <c r="C50" s="1225">
        <f>移輸出!C50-移輸入!C50</f>
        <v>54423</v>
      </c>
      <c r="D50" s="1225">
        <f>移輸出!D50-移輸入!D50</f>
        <v>54524</v>
      </c>
      <c r="E50" s="1225">
        <f>移輸出!E50-移輸入!E50</f>
        <v>51909</v>
      </c>
      <c r="F50" s="1225">
        <f>移輸出!F50-移輸入!F50</f>
        <v>47066</v>
      </c>
      <c r="G50" s="1225">
        <f>移輸出!G50-移輸入!G50</f>
        <v>61192</v>
      </c>
      <c r="H50" s="1225">
        <f>移輸出!H50-移輸入!H50</f>
        <v>53439</v>
      </c>
      <c r="I50" s="1225">
        <f>移輸出!I50-移輸入!I50</f>
        <v>48205</v>
      </c>
      <c r="J50" s="1225">
        <f>移輸出!J50-移輸入!J50</f>
        <v>63685</v>
      </c>
      <c r="K50" s="1225">
        <f>移輸出!K50-移輸入!K50</f>
        <v>71075</v>
      </c>
      <c r="L50" s="1225">
        <f>移輸出!L50-移輸入!L50</f>
        <v>68487</v>
      </c>
      <c r="M50" s="1225">
        <f>移輸出!M50-移輸入!M50</f>
        <v>72020</v>
      </c>
      <c r="N50" s="1225">
        <f>移輸出!N50-移輸入!N50</f>
        <v>96248</v>
      </c>
      <c r="O50" s="1225">
        <f>移輸出!O50-移輸入!O50</f>
        <v>72961</v>
      </c>
      <c r="P50" s="1225">
        <f>移輸出!P50-移輸入!P50</f>
        <v>66781</v>
      </c>
      <c r="Q50" s="1225">
        <f>移輸出!Q50-移輸入!Q50</f>
        <v>60763</v>
      </c>
      <c r="R50" s="1846">
        <f>移輸出!R50-移輸入!R50</f>
        <v>54303</v>
      </c>
      <c r="S50" s="1846">
        <f>移輸出!S50-移輸入!S50</f>
        <v>15192</v>
      </c>
      <c r="T50" s="1846">
        <f>移輸出!T50-移輸入!T50</f>
        <v>65040</v>
      </c>
      <c r="U50" s="1846">
        <f>移輸出!U50-移輸入!U50</f>
        <v>38887</v>
      </c>
      <c r="V50" s="1846">
        <f>移輸出!V50-移輸入!V50</f>
        <v>11734</v>
      </c>
      <c r="W50" s="1846">
        <f>移輸出!W50-移輸入!W50</f>
        <v>6696</v>
      </c>
      <c r="X50" s="1846">
        <f>移輸出!X50-移輸入!X50</f>
        <v>-8764</v>
      </c>
    </row>
    <row r="51" spans="1:24">
      <c r="A51" s="730">
        <v>464</v>
      </c>
      <c r="B51" s="730" t="s">
        <v>208</v>
      </c>
      <c r="C51" s="1225">
        <f>移輸出!C51-移輸入!C51</f>
        <v>-38133</v>
      </c>
      <c r="D51" s="1225">
        <f>移輸出!D51-移輸入!D51</f>
        <v>3771</v>
      </c>
      <c r="E51" s="1225">
        <f>移輸出!E51-移輸入!E51</f>
        <v>-6840</v>
      </c>
      <c r="F51" s="1225">
        <f>移輸出!F51-移輸入!F51</f>
        <v>-1383</v>
      </c>
      <c r="G51" s="1225">
        <f>移輸出!G51-移輸入!G51</f>
        <v>6187</v>
      </c>
      <c r="H51" s="1225">
        <f>移輸出!H51-移輸入!H51</f>
        <v>2135</v>
      </c>
      <c r="I51" s="1225">
        <f>移輸出!I51-移輸入!I51</f>
        <v>-7478</v>
      </c>
      <c r="J51" s="1225">
        <f>移輸出!J51-移輸入!J51</f>
        <v>-13367</v>
      </c>
      <c r="K51" s="1225">
        <f>移輸出!K51-移輸入!K51</f>
        <v>-238</v>
      </c>
      <c r="L51" s="1225">
        <f>移輸出!L51-移輸入!L51</f>
        <v>-40248</v>
      </c>
      <c r="M51" s="1225">
        <f>移輸出!M51-移輸入!M51</f>
        <v>-13441</v>
      </c>
      <c r="N51" s="1225">
        <f>移輸出!N51-移輸入!N51</f>
        <v>-1744</v>
      </c>
      <c r="O51" s="1225">
        <f>移輸出!O51-移輸入!O51</f>
        <v>-6649</v>
      </c>
      <c r="P51" s="1225">
        <f>移輸出!P51-移輸入!P51</f>
        <v>-13663</v>
      </c>
      <c r="Q51" s="1225">
        <f>移輸出!Q51-移輸入!Q51</f>
        <v>8582</v>
      </c>
      <c r="R51" s="1846">
        <f>移輸出!R51-移輸入!R51</f>
        <v>20582</v>
      </c>
      <c r="S51" s="1846">
        <f>移輸出!S51-移輸入!S51</f>
        <v>-69987</v>
      </c>
      <c r="T51" s="1846">
        <f>移輸出!T51-移輸入!T51</f>
        <v>-25808</v>
      </c>
      <c r="U51" s="1846">
        <f>移輸出!U51-移輸入!U51</f>
        <v>-17190</v>
      </c>
      <c r="V51" s="1846">
        <f>移輸出!V51-移輸入!V51</f>
        <v>5308</v>
      </c>
      <c r="W51" s="1846">
        <f>移輸出!W51-移輸入!W51</f>
        <v>6302</v>
      </c>
      <c r="X51" s="1846">
        <f>移輸出!X51-移輸入!X51</f>
        <v>-4028</v>
      </c>
    </row>
    <row r="52" spans="1:24">
      <c r="A52" s="730">
        <v>481</v>
      </c>
      <c r="B52" s="730" t="s">
        <v>209</v>
      </c>
      <c r="C52" s="1225">
        <f>移輸出!C52-移輸入!C52</f>
        <v>-3756</v>
      </c>
      <c r="D52" s="1225">
        <f>移輸出!D52-移輸入!D52</f>
        <v>-3892</v>
      </c>
      <c r="E52" s="1225">
        <f>移輸出!E52-移輸入!E52</f>
        <v>-5550</v>
      </c>
      <c r="F52" s="1225">
        <f>移輸出!F52-移輸入!F52</f>
        <v>-4514</v>
      </c>
      <c r="G52" s="1225">
        <f>移輸出!G52-移輸入!G52</f>
        <v>-3580</v>
      </c>
      <c r="H52" s="1225">
        <f>移輸出!H52-移輸入!H52</f>
        <v>-7044</v>
      </c>
      <c r="I52" s="1225">
        <f>移輸出!I52-移輸入!I52</f>
        <v>-9979</v>
      </c>
      <c r="J52" s="1225">
        <f>移輸出!J52-移輸入!J52</f>
        <v>-7939</v>
      </c>
      <c r="K52" s="1225">
        <f>移輸出!K52-移輸入!K52</f>
        <v>-1611</v>
      </c>
      <c r="L52" s="1225">
        <f>移輸出!L52-移輸入!L52</f>
        <v>-698</v>
      </c>
      <c r="M52" s="1225">
        <f>移輸出!M52-移輸入!M52</f>
        <v>5396</v>
      </c>
      <c r="N52" s="1225">
        <f>移輸出!N52-移輸入!N52</f>
        <v>1506</v>
      </c>
      <c r="O52" s="1225">
        <f>移輸出!O52-移輸入!O52</f>
        <v>1772</v>
      </c>
      <c r="P52" s="1225">
        <f>移輸出!P52-移輸入!P52</f>
        <v>-2230</v>
      </c>
      <c r="Q52" s="1225">
        <f>移輸出!Q52-移輸入!Q52</f>
        <v>406</v>
      </c>
      <c r="R52" s="1846">
        <f>移輸出!R52-移輸入!R52</f>
        <v>104</v>
      </c>
      <c r="S52" s="1846">
        <f>移輸出!S52-移輸入!S52</f>
        <v>-4005</v>
      </c>
      <c r="T52" s="1846">
        <f>移輸出!T52-移輸入!T52</f>
        <v>8682</v>
      </c>
      <c r="U52" s="1846">
        <f>移輸出!U52-移輸入!U52</f>
        <v>-2013</v>
      </c>
      <c r="V52" s="1846">
        <f>移輸出!V52-移輸入!V52</f>
        <v>2412</v>
      </c>
      <c r="W52" s="1846">
        <f>移輸出!W52-移輸入!W52</f>
        <v>1299</v>
      </c>
      <c r="X52" s="1846">
        <f>移輸出!X52-移輸入!X52</f>
        <v>-1700</v>
      </c>
    </row>
    <row r="53" spans="1:24">
      <c r="A53" s="731">
        <v>501</v>
      </c>
      <c r="B53" s="731" t="s">
        <v>335</v>
      </c>
      <c r="C53" s="1226">
        <f>移輸出!C53-移輸入!C53</f>
        <v>3885</v>
      </c>
      <c r="D53" s="1226">
        <f>移輸出!D53-移輸入!D53</f>
        <v>4685</v>
      </c>
      <c r="E53" s="1226">
        <f>移輸出!E53-移輸入!E53</f>
        <v>2073</v>
      </c>
      <c r="F53" s="1226">
        <f>移輸出!F53-移輸入!F53</f>
        <v>-3787</v>
      </c>
      <c r="G53" s="1226">
        <f>移輸出!G53-移輸入!G53</f>
        <v>-1317</v>
      </c>
      <c r="H53" s="1226">
        <f>移輸出!H53-移輸入!H53</f>
        <v>-3537</v>
      </c>
      <c r="I53" s="1226">
        <f>移輸出!I53-移輸入!I53</f>
        <v>-4582</v>
      </c>
      <c r="J53" s="1226">
        <f>移輸出!J53-移輸入!J53</f>
        <v>-1435</v>
      </c>
      <c r="K53" s="1226">
        <f>移輸出!K53-移輸入!K53</f>
        <v>502</v>
      </c>
      <c r="L53" s="1226">
        <f>移輸出!L53-移輸入!L53</f>
        <v>1833</v>
      </c>
      <c r="M53" s="1226">
        <f>移輸出!M53-移輸入!M53</f>
        <v>3874</v>
      </c>
      <c r="N53" s="1226">
        <f>移輸出!N53-移輸入!N53</f>
        <v>6549</v>
      </c>
      <c r="O53" s="1226">
        <f>移輸出!O53-移輸入!O53</f>
        <v>5078</v>
      </c>
      <c r="P53" s="1226">
        <f>移輸出!P53-移輸入!P53</f>
        <v>2495</v>
      </c>
      <c r="Q53" s="1226">
        <f>移輸出!Q53-移輸入!Q53</f>
        <v>1127</v>
      </c>
      <c r="R53" s="1847">
        <f>移輸出!R53-移輸入!R53</f>
        <v>-59</v>
      </c>
      <c r="S53" s="1847">
        <f>移輸出!S53-移輸入!S53</f>
        <v>-4536</v>
      </c>
      <c r="T53" s="1847">
        <f>移輸出!T53-移輸入!T53</f>
        <v>13834</v>
      </c>
      <c r="U53" s="1847">
        <f>移輸出!U53-移輸入!U53</f>
        <v>10354</v>
      </c>
      <c r="V53" s="1847">
        <f>移輸出!V53-移輸入!V53</f>
        <v>2558</v>
      </c>
      <c r="W53" s="1847">
        <f>移輸出!W53-移輸入!W53</f>
        <v>-3925</v>
      </c>
      <c r="X53" s="1847">
        <f>移輸出!X53-移輸入!X53</f>
        <v>-1755</v>
      </c>
    </row>
    <row r="54" spans="1:24">
      <c r="A54" s="730">
        <v>7</v>
      </c>
      <c r="B54" s="730" t="s">
        <v>210</v>
      </c>
      <c r="C54" s="1227">
        <f>移輸出!C54-移輸入!C54</f>
        <v>22942</v>
      </c>
      <c r="D54" s="1227">
        <f>移輸出!D54-移輸入!D54</f>
        <v>42486</v>
      </c>
      <c r="E54" s="1227">
        <f>移輸出!E54-移輸入!E54</f>
        <v>6274</v>
      </c>
      <c r="F54" s="1227">
        <f>移輸出!F54-移輸入!F54</f>
        <v>12172</v>
      </c>
      <c r="G54" s="1227">
        <f>移輸出!G54-移輸入!G54</f>
        <v>29505</v>
      </c>
      <c r="H54" s="1227">
        <f>移輸出!H54-移輸入!H54</f>
        <v>-42988</v>
      </c>
      <c r="I54" s="1227">
        <f>移輸出!I54-移輸入!I54</f>
        <v>-48644</v>
      </c>
      <c r="J54" s="1227">
        <f>移輸出!J54-移輸入!J54</f>
        <v>-16190</v>
      </c>
      <c r="K54" s="1227">
        <f>移輸出!K54-移輸入!K54</f>
        <v>1712</v>
      </c>
      <c r="L54" s="1227">
        <f>移輸出!L54-移輸入!L54</f>
        <v>10056</v>
      </c>
      <c r="M54" s="1227">
        <f>移輸出!M54-移輸入!M54</f>
        <v>13759</v>
      </c>
      <c r="N54" s="1227">
        <f>移輸出!N54-移輸入!N54</f>
        <v>-23760</v>
      </c>
      <c r="O54" s="1227">
        <f>移輸出!O54-移輸入!O54</f>
        <v>11574</v>
      </c>
      <c r="P54" s="1227">
        <f>移輸出!P54-移輸入!P54</f>
        <v>5809</v>
      </c>
      <c r="Q54" s="1227">
        <f>移輸出!Q54-移輸入!Q54</f>
        <v>41399</v>
      </c>
      <c r="R54" s="1849">
        <f>移輸出!R54-移輸入!R54</f>
        <v>-47703</v>
      </c>
      <c r="S54" s="1849">
        <f>移輸出!S54-移輸入!S54</f>
        <v>-127141</v>
      </c>
      <c r="T54" s="1849">
        <f>移輸出!T54-移輸入!T54</f>
        <v>124496</v>
      </c>
      <c r="U54" s="1849">
        <f>移輸出!U54-移輸入!U54</f>
        <v>76736</v>
      </c>
      <c r="V54" s="1849">
        <f>移輸出!V54-移輸入!V54</f>
        <v>27814</v>
      </c>
      <c r="W54" s="1849">
        <f>移輸出!W54-移輸入!W54</f>
        <v>-15184</v>
      </c>
      <c r="X54" s="1849">
        <f>移輸出!X54-移輸入!X54</f>
        <v>-19320</v>
      </c>
    </row>
    <row r="55" spans="1:24">
      <c r="A55" s="730">
        <v>209</v>
      </c>
      <c r="B55" s="730" t="s">
        <v>336</v>
      </c>
      <c r="C55" s="1227">
        <f>移輸出!C55-移輸入!C55</f>
        <v>19622</v>
      </c>
      <c r="D55" s="1227">
        <f>移輸出!D55-移輸入!D55</f>
        <v>29780</v>
      </c>
      <c r="E55" s="1227">
        <f>移輸出!E55-移輸入!E55</f>
        <v>11934</v>
      </c>
      <c r="F55" s="1227">
        <f>移輸出!F55-移輸入!F55</f>
        <v>17192</v>
      </c>
      <c r="G55" s="1227">
        <f>移輸出!G55-移輸入!G55</f>
        <v>32107</v>
      </c>
      <c r="H55" s="1227">
        <f>移輸出!H55-移輸入!H55</f>
        <v>-19946</v>
      </c>
      <c r="I55" s="1227">
        <f>移輸出!I55-移輸入!I55</f>
        <v>-21619</v>
      </c>
      <c r="J55" s="1227">
        <f>移輸出!J55-移輸入!J55</f>
        <v>1335</v>
      </c>
      <c r="K55" s="1227">
        <f>移輸出!K55-移輸入!K55</f>
        <v>10450</v>
      </c>
      <c r="L55" s="1227">
        <f>移輸出!L55-移輸入!L55</f>
        <v>16676</v>
      </c>
      <c r="M55" s="1227">
        <f>移輸出!M55-移輸入!M55</f>
        <v>17200</v>
      </c>
      <c r="N55" s="1227">
        <f>移輸出!N55-移輸入!N55</f>
        <v>25758</v>
      </c>
      <c r="O55" s="1227">
        <f>移輸出!O55-移輸入!O55</f>
        <v>17392</v>
      </c>
      <c r="P55" s="1227">
        <f>移輸出!P55-移輸入!P55</f>
        <v>9083</v>
      </c>
      <c r="Q55" s="1227">
        <f>移輸出!Q55-移輸入!Q55</f>
        <v>15505</v>
      </c>
      <c r="R55" s="1849">
        <f>移輸出!R55-移輸入!R55</f>
        <v>-13833</v>
      </c>
      <c r="S55" s="1849">
        <f>移輸出!S55-移輸入!S55</f>
        <v>-53315</v>
      </c>
      <c r="T55" s="1849">
        <f>移輸出!T55-移輸入!T55</f>
        <v>49276</v>
      </c>
      <c r="U55" s="1849">
        <f>移輸出!U55-移輸入!U55</f>
        <v>32976</v>
      </c>
      <c r="V55" s="1849">
        <f>移輸出!V55-移輸入!V55</f>
        <v>12915</v>
      </c>
      <c r="W55" s="1849">
        <f>移輸出!W55-移輸入!W55</f>
        <v>-10446</v>
      </c>
      <c r="X55" s="1849">
        <f>移輸出!X55-移輸入!X55</f>
        <v>-9006</v>
      </c>
    </row>
    <row r="56" spans="1:24">
      <c r="A56" s="730">
        <v>222</v>
      </c>
      <c r="B56" s="730" t="s">
        <v>337</v>
      </c>
      <c r="C56" s="1227">
        <f>移輸出!C56-移輸入!C56</f>
        <v>3650</v>
      </c>
      <c r="D56" s="1227">
        <f>移輸出!D56-移輸入!D56</f>
        <v>1171</v>
      </c>
      <c r="E56" s="1227">
        <f>移輸出!E56-移輸入!E56</f>
        <v>-3470</v>
      </c>
      <c r="F56" s="1227">
        <f>移輸出!F56-移輸入!F56</f>
        <v>-10370</v>
      </c>
      <c r="G56" s="1227">
        <f>移輸出!G56-移輸入!G56</f>
        <v>-5429</v>
      </c>
      <c r="H56" s="1227">
        <f>移輸出!H56-移輸入!H56</f>
        <v>-4301</v>
      </c>
      <c r="I56" s="1227">
        <f>移輸出!I56-移輸入!I56</f>
        <v>-2315</v>
      </c>
      <c r="J56" s="1227">
        <f>移輸出!J56-移輸入!J56</f>
        <v>3015</v>
      </c>
      <c r="K56" s="1227">
        <f>移輸出!K56-移輸入!K56</f>
        <v>-423</v>
      </c>
      <c r="L56" s="1227">
        <f>移輸出!L56-移輸入!L56</f>
        <v>-4113</v>
      </c>
      <c r="M56" s="1227">
        <f>移輸出!M56-移輸入!M56</f>
        <v>220</v>
      </c>
      <c r="N56" s="1227">
        <f>移輸出!N56-移輸入!N56</f>
        <v>3271</v>
      </c>
      <c r="O56" s="1227">
        <f>移輸出!O56-移輸入!O56</f>
        <v>-3523</v>
      </c>
      <c r="P56" s="1227">
        <f>移輸出!P56-移輸入!P56</f>
        <v>-5049</v>
      </c>
      <c r="Q56" s="1227">
        <f>移輸出!Q56-移輸入!Q56</f>
        <v>-6118</v>
      </c>
      <c r="R56" s="1849">
        <f>移輸出!R56-移輸入!R56</f>
        <v>-11854</v>
      </c>
      <c r="S56" s="1849">
        <f>移輸出!S56-移輸入!S56</f>
        <v>-15368</v>
      </c>
      <c r="T56" s="1849">
        <f>移輸出!T56-移輸入!T56</f>
        <v>16662</v>
      </c>
      <c r="U56" s="1849">
        <f>移輸出!U56-移輸入!U56</f>
        <v>10153</v>
      </c>
      <c r="V56" s="1849">
        <f>移輸出!V56-移輸入!V56</f>
        <v>3884</v>
      </c>
      <c r="W56" s="1849">
        <f>移輸出!W56-移輸入!W56</f>
        <v>-3716</v>
      </c>
      <c r="X56" s="1849">
        <f>移輸出!X56-移輸入!X56</f>
        <v>-2664</v>
      </c>
    </row>
    <row r="57" spans="1:24">
      <c r="A57" s="730">
        <v>225</v>
      </c>
      <c r="B57" s="730" t="s">
        <v>222</v>
      </c>
      <c r="C57" s="1227">
        <f>移輸出!C57-移輸入!C57</f>
        <v>1058</v>
      </c>
      <c r="D57" s="1227">
        <f>移輸出!D57-移輸入!D57</f>
        <v>14258</v>
      </c>
      <c r="E57" s="1227">
        <f>移輸出!E57-移輸入!E57</f>
        <v>7343</v>
      </c>
      <c r="F57" s="1227">
        <f>移輸出!F57-移輸入!F57</f>
        <v>13562</v>
      </c>
      <c r="G57" s="1227">
        <f>移輸出!G57-移輸入!G57</f>
        <v>11091</v>
      </c>
      <c r="H57" s="1227">
        <f>移輸出!H57-移輸入!H57</f>
        <v>-907</v>
      </c>
      <c r="I57" s="1227">
        <f>移輸出!I57-移輸入!I57</f>
        <v>-4268</v>
      </c>
      <c r="J57" s="1227">
        <f>移輸出!J57-移輸入!J57</f>
        <v>-3141</v>
      </c>
      <c r="K57" s="1227">
        <f>移輸出!K57-移輸入!K57</f>
        <v>2953</v>
      </c>
      <c r="L57" s="1227">
        <f>移輸出!L57-移輸入!L57</f>
        <v>1521</v>
      </c>
      <c r="M57" s="1227">
        <f>移輸出!M57-移輸入!M57</f>
        <v>1207</v>
      </c>
      <c r="N57" s="1227">
        <f>移輸出!N57-移輸入!N57</f>
        <v>-47363</v>
      </c>
      <c r="O57" s="1227">
        <f>移輸出!O57-移輸入!O57</f>
        <v>6650</v>
      </c>
      <c r="P57" s="1227">
        <f>移輸出!P57-移輸入!P57</f>
        <v>13163</v>
      </c>
      <c r="Q57" s="1227">
        <f>移輸出!Q57-移輸入!Q57</f>
        <v>42752</v>
      </c>
      <c r="R57" s="1849">
        <f>移輸出!R57-移輸入!R57</f>
        <v>1461</v>
      </c>
      <c r="S57" s="1849">
        <f>移輸出!S57-移輸入!S57</f>
        <v>-24126</v>
      </c>
      <c r="T57" s="1849">
        <f>移輸出!T57-移輸入!T57</f>
        <v>45337</v>
      </c>
      <c r="U57" s="1849">
        <f>移輸出!U57-移輸入!U57</f>
        <v>23101</v>
      </c>
      <c r="V57" s="1849">
        <f>移輸出!V57-移輸入!V57</f>
        <v>5900</v>
      </c>
      <c r="W57" s="1849">
        <f>移輸出!W57-移輸入!W57</f>
        <v>3576</v>
      </c>
      <c r="X57" s="1849">
        <f>移輸出!X57-移輸入!X57</f>
        <v>-4159</v>
      </c>
    </row>
    <row r="58" spans="1:24">
      <c r="A58" s="730">
        <v>585</v>
      </c>
      <c r="B58" s="730" t="s">
        <v>220</v>
      </c>
      <c r="C58" s="1227">
        <f>移輸出!C58-移輸入!C58</f>
        <v>2152</v>
      </c>
      <c r="D58" s="1227">
        <f>移輸出!D58-移輸入!D58</f>
        <v>1411</v>
      </c>
      <c r="E58" s="1227">
        <f>移輸出!E58-移輸入!E58</f>
        <v>-2736</v>
      </c>
      <c r="F58" s="1227">
        <f>移輸出!F58-移輸入!F58</f>
        <v>-1036</v>
      </c>
      <c r="G58" s="1227">
        <f>移輸出!G58-移輸入!G58</f>
        <v>-1701</v>
      </c>
      <c r="H58" s="1227">
        <f>移輸出!H58-移輸入!H58</f>
        <v>-7467</v>
      </c>
      <c r="I58" s="1227">
        <f>移輸出!I58-移輸入!I58</f>
        <v>-9347</v>
      </c>
      <c r="J58" s="1227">
        <f>移輸出!J58-移輸入!J58</f>
        <v>-7846</v>
      </c>
      <c r="K58" s="1227">
        <f>移輸出!K58-移輸入!K58</f>
        <v>-6046</v>
      </c>
      <c r="L58" s="1227">
        <f>移輸出!L58-移輸入!L58</f>
        <v>-4662</v>
      </c>
      <c r="M58" s="1227">
        <f>移輸出!M58-移輸入!M58</f>
        <v>-1960</v>
      </c>
      <c r="N58" s="1227">
        <f>移輸出!N58-移輸入!N58</f>
        <v>-3081</v>
      </c>
      <c r="O58" s="1227">
        <f>移輸出!O58-移輸入!O58</f>
        <v>-7564</v>
      </c>
      <c r="P58" s="1227">
        <f>移輸出!P58-移輸入!P58</f>
        <v>-5483</v>
      </c>
      <c r="Q58" s="1227">
        <f>移輸出!Q58-移輸入!Q58</f>
        <v>-5529</v>
      </c>
      <c r="R58" s="1849">
        <f>移輸出!R58-移輸入!R58</f>
        <v>-14474</v>
      </c>
      <c r="S58" s="1849">
        <f>移輸出!S58-移輸入!S58</f>
        <v>-18344</v>
      </c>
      <c r="T58" s="1849">
        <f>移輸出!T58-移輸入!T58</f>
        <v>9420</v>
      </c>
      <c r="U58" s="1849">
        <f>移輸出!U58-移輸入!U58</f>
        <v>6983</v>
      </c>
      <c r="V58" s="1849">
        <f>移輸出!V58-移輸入!V58</f>
        <v>2738</v>
      </c>
      <c r="W58" s="1849">
        <f>移輸出!W58-移輸入!W58</f>
        <v>-4487</v>
      </c>
      <c r="X58" s="1849">
        <f>移輸出!X58-移輸入!X58</f>
        <v>-1848</v>
      </c>
    </row>
    <row r="59" spans="1:24">
      <c r="A59" s="730">
        <v>586</v>
      </c>
      <c r="B59" s="730" t="s">
        <v>338</v>
      </c>
      <c r="C59" s="1227">
        <f>移輸出!C59-移輸入!C59</f>
        <v>-3540</v>
      </c>
      <c r="D59" s="1227">
        <f>移輸出!D59-移輸入!D59</f>
        <v>-4134</v>
      </c>
      <c r="E59" s="1227">
        <f>移輸出!E59-移輸入!E59</f>
        <v>-6797</v>
      </c>
      <c r="F59" s="1227">
        <f>移輸出!F59-移輸入!F59</f>
        <v>-7176</v>
      </c>
      <c r="G59" s="1227">
        <f>移輸出!G59-移輸入!G59</f>
        <v>-6563</v>
      </c>
      <c r="H59" s="1227">
        <f>移輸出!H59-移輸入!H59</f>
        <v>-10367</v>
      </c>
      <c r="I59" s="1227">
        <f>移輸出!I59-移輸入!I59</f>
        <v>-11095</v>
      </c>
      <c r="J59" s="1227">
        <f>移輸出!J59-移輸入!J59</f>
        <v>-9553</v>
      </c>
      <c r="K59" s="1227">
        <f>移輸出!K59-移輸入!K59</f>
        <v>-5222</v>
      </c>
      <c r="L59" s="1227">
        <f>移輸出!L59-移輸入!L59</f>
        <v>634</v>
      </c>
      <c r="M59" s="1227">
        <f>移輸出!M59-移輸入!M59</f>
        <v>-2908</v>
      </c>
      <c r="N59" s="1227">
        <f>移輸出!N59-移輸入!N59</f>
        <v>-2345</v>
      </c>
      <c r="O59" s="1227">
        <f>移輸出!O59-移輸入!O59</f>
        <v>-1381</v>
      </c>
      <c r="P59" s="1227">
        <f>移輸出!P59-移輸入!P59</f>
        <v>-5905</v>
      </c>
      <c r="Q59" s="1227">
        <f>移輸出!Q59-移輸入!Q59</f>
        <v>-5211</v>
      </c>
      <c r="R59" s="1849">
        <f>移輸出!R59-移輸入!R59</f>
        <v>-9003</v>
      </c>
      <c r="S59" s="1849">
        <f>移輸出!S59-移輸入!S59</f>
        <v>-15988</v>
      </c>
      <c r="T59" s="1849">
        <f>移輸出!T59-移輸入!T59</f>
        <v>3801</v>
      </c>
      <c r="U59" s="1849">
        <f>移輸出!U59-移輸入!U59</f>
        <v>3523</v>
      </c>
      <c r="V59" s="1849">
        <f>移輸出!V59-移輸入!V59</f>
        <v>2377</v>
      </c>
      <c r="W59" s="1849">
        <f>移輸出!W59-移輸入!W59</f>
        <v>-111</v>
      </c>
      <c r="X59" s="1849">
        <f>移輸出!X59-移輸入!X59</f>
        <v>-1643</v>
      </c>
    </row>
    <row r="60" spans="1:24">
      <c r="A60" s="728">
        <v>8</v>
      </c>
      <c r="B60" s="728" t="s">
        <v>211</v>
      </c>
      <c r="C60" s="1224">
        <f>移輸出!C60-移輸入!C60</f>
        <v>30856</v>
      </c>
      <c r="D60" s="1224">
        <f>移輸出!D60-移輸入!D60</f>
        <v>40641</v>
      </c>
      <c r="E60" s="1224">
        <f>移輸出!E60-移輸入!E60</f>
        <v>9391</v>
      </c>
      <c r="F60" s="1224">
        <f>移輸出!F60-移輸入!F60</f>
        <v>18627</v>
      </c>
      <c r="G60" s="1224">
        <f>移輸出!G60-移輸入!G60</f>
        <v>23989</v>
      </c>
      <c r="H60" s="1224">
        <f>移輸出!H60-移輸入!H60</f>
        <v>2798</v>
      </c>
      <c r="I60" s="1224">
        <f>移輸出!I60-移輸入!I60</f>
        <v>-59048</v>
      </c>
      <c r="J60" s="1224">
        <f>移輸出!J60-移輸入!J60</f>
        <v>19758</v>
      </c>
      <c r="K60" s="1224">
        <f>移輸出!K60-移輸入!K60</f>
        <v>-12622</v>
      </c>
      <c r="L60" s="1224">
        <f>移輸出!L60-移輸入!L60</f>
        <v>1359</v>
      </c>
      <c r="M60" s="1224">
        <f>移輸出!M60-移輸入!M60</f>
        <v>38490</v>
      </c>
      <c r="N60" s="1224">
        <f>移輸出!N60-移輸入!N60</f>
        <v>49798</v>
      </c>
      <c r="O60" s="1224">
        <f>移輸出!O60-移輸入!O60</f>
        <v>31145</v>
      </c>
      <c r="P60" s="1224">
        <f>移輸出!P60-移輸入!P60</f>
        <v>55314</v>
      </c>
      <c r="Q60" s="1224">
        <f>移輸出!Q60-移輸入!Q60</f>
        <v>52774</v>
      </c>
      <c r="R60" s="1845">
        <f>移輸出!R60-移輸入!R60</f>
        <v>28660</v>
      </c>
      <c r="S60" s="1845">
        <f>移輸出!S60-移輸入!S60</f>
        <v>-17283</v>
      </c>
      <c r="T60" s="1845">
        <f>移輸出!T60-移輸入!T60</f>
        <v>86427</v>
      </c>
      <c r="U60" s="1845">
        <f>移輸出!U60-移輸入!U60</f>
        <v>60561</v>
      </c>
      <c r="V60" s="1845">
        <f>移輸出!V60-移輸入!V60</f>
        <v>17453</v>
      </c>
      <c r="W60" s="1845">
        <f>移輸出!W60-移輸入!W60</f>
        <v>-1969</v>
      </c>
      <c r="X60" s="1845">
        <f>移輸出!X60-移輸入!X60</f>
        <v>-12608</v>
      </c>
    </row>
    <row r="61" spans="1:24">
      <c r="A61" s="730">
        <v>221</v>
      </c>
      <c r="B61" s="730" t="s">
        <v>1157</v>
      </c>
      <c r="C61" s="1225">
        <f>移輸出!C61-移輸入!C61</f>
        <v>5570</v>
      </c>
      <c r="D61" s="1225">
        <f>移輸出!D61-移輸入!D61</f>
        <v>11784</v>
      </c>
      <c r="E61" s="1225">
        <f>移輸出!E61-移輸入!E61</f>
        <v>4103</v>
      </c>
      <c r="F61" s="1225">
        <f>移輸出!F61-移輸入!F61</f>
        <v>7253</v>
      </c>
      <c r="G61" s="1225">
        <f>移輸出!G61-移輸入!G61</f>
        <v>9847</v>
      </c>
      <c r="H61" s="1225">
        <f>移輸出!H61-移輸入!H61</f>
        <v>-21464</v>
      </c>
      <c r="I61" s="1225">
        <f>移輸出!I61-移輸入!I61</f>
        <v>-72691</v>
      </c>
      <c r="J61" s="1225">
        <f>移輸出!J61-移輸入!J61</f>
        <v>-2218</v>
      </c>
      <c r="K61" s="1225">
        <f>移輸出!K61-移輸入!K61</f>
        <v>863</v>
      </c>
      <c r="L61" s="1225">
        <f>移輸出!L61-移輸入!L61</f>
        <v>6917</v>
      </c>
      <c r="M61" s="1225">
        <f>移輸出!M61-移輸入!M61</f>
        <v>14767</v>
      </c>
      <c r="N61" s="1225">
        <f>移輸出!N61-移輸入!N61</f>
        <v>17708</v>
      </c>
      <c r="O61" s="1225">
        <f>移輸出!O61-移輸入!O61</f>
        <v>20223</v>
      </c>
      <c r="P61" s="1225">
        <f>移輸出!P61-移輸入!P61</f>
        <v>41266</v>
      </c>
      <c r="Q61" s="1225">
        <f>移輸出!Q61-移輸入!Q61</f>
        <v>42298</v>
      </c>
      <c r="R61" s="1846">
        <f>移輸出!R61-移輸入!R61</f>
        <v>23816</v>
      </c>
      <c r="S61" s="1846">
        <f>移輸出!S61-移輸入!S61</f>
        <v>13307</v>
      </c>
      <c r="T61" s="1846">
        <f>移輸出!T61-移輸入!T61</f>
        <v>45832</v>
      </c>
      <c r="U61" s="1846">
        <f>移輸出!U61-移輸入!U61</f>
        <v>31735</v>
      </c>
      <c r="V61" s="1846">
        <f>移輸出!V61-移輸入!V61</f>
        <v>7167</v>
      </c>
      <c r="W61" s="1846">
        <f>移輸出!W61-移輸入!W61</f>
        <v>235</v>
      </c>
      <c r="X61" s="1846">
        <f>移輸出!X61-移輸入!X61</f>
        <v>-5128</v>
      </c>
    </row>
    <row r="62" spans="1:24">
      <c r="A62" s="731">
        <v>223</v>
      </c>
      <c r="B62" s="731" t="s">
        <v>223</v>
      </c>
      <c r="C62" s="1226">
        <f>移輸出!C62-移輸入!C62</f>
        <v>25286</v>
      </c>
      <c r="D62" s="1226">
        <f>移輸出!D62-移輸入!D62</f>
        <v>28857</v>
      </c>
      <c r="E62" s="1226">
        <f>移輸出!E62-移輸入!E62</f>
        <v>5288</v>
      </c>
      <c r="F62" s="1226">
        <f>移輸出!F62-移輸入!F62</f>
        <v>11374</v>
      </c>
      <c r="G62" s="1226">
        <f>移輸出!G62-移輸入!G62</f>
        <v>14142</v>
      </c>
      <c r="H62" s="1226">
        <f>移輸出!H62-移輸入!H62</f>
        <v>24262</v>
      </c>
      <c r="I62" s="1226">
        <f>移輸出!I62-移輸入!I62</f>
        <v>13643</v>
      </c>
      <c r="J62" s="1226">
        <f>移輸出!J62-移輸入!J62</f>
        <v>21976</v>
      </c>
      <c r="K62" s="1226">
        <f>移輸出!K62-移輸入!K62</f>
        <v>-13485</v>
      </c>
      <c r="L62" s="1226">
        <f>移輸出!L62-移輸入!L62</f>
        <v>-5558</v>
      </c>
      <c r="M62" s="1226">
        <f>移輸出!M62-移輸入!M62</f>
        <v>23723</v>
      </c>
      <c r="N62" s="1226">
        <f>移輸出!N62-移輸入!N62</f>
        <v>32090</v>
      </c>
      <c r="O62" s="1226">
        <f>移輸出!O62-移輸入!O62</f>
        <v>10922</v>
      </c>
      <c r="P62" s="1226">
        <f>移輸出!P62-移輸入!P62</f>
        <v>14048</v>
      </c>
      <c r="Q62" s="1226">
        <f>移輸出!Q62-移輸入!Q62</f>
        <v>10476</v>
      </c>
      <c r="R62" s="1847">
        <f>移輸出!R62-移輸入!R62</f>
        <v>4844</v>
      </c>
      <c r="S62" s="1847">
        <f>移輸出!S62-移輸入!S62</f>
        <v>-30590</v>
      </c>
      <c r="T62" s="1847">
        <f>移輸出!T62-移輸入!T62</f>
        <v>40595</v>
      </c>
      <c r="U62" s="1847">
        <f>移輸出!U62-移輸入!U62</f>
        <v>28826</v>
      </c>
      <c r="V62" s="1847">
        <f>移輸出!V62-移輸入!V62</f>
        <v>10286</v>
      </c>
      <c r="W62" s="1847">
        <f>移輸出!W62-移輸入!W62</f>
        <v>-2204</v>
      </c>
      <c r="X62" s="1847">
        <f>移輸出!X62-移輸入!X62</f>
        <v>-7480</v>
      </c>
    </row>
    <row r="63" spans="1:24">
      <c r="A63" s="730">
        <v>9</v>
      </c>
      <c r="B63" s="730" t="s">
        <v>212</v>
      </c>
      <c r="C63" s="1227">
        <f>移輸出!C63-移輸入!C63</f>
        <v>51461</v>
      </c>
      <c r="D63" s="1227">
        <f>移輸出!D63-移輸入!D63</f>
        <v>63291</v>
      </c>
      <c r="E63" s="1227">
        <f>移輸出!E63-移輸入!E63</f>
        <v>36004</v>
      </c>
      <c r="F63" s="1227">
        <f>移輸出!F63-移輸入!F63</f>
        <v>25726</v>
      </c>
      <c r="G63" s="1227">
        <f>移輸出!G63-移輸入!G63</f>
        <v>33494</v>
      </c>
      <c r="H63" s="1227">
        <f>移輸出!H63-移輸入!H63</f>
        <v>3369</v>
      </c>
      <c r="I63" s="1227">
        <f>移輸出!I63-移輸入!I63</f>
        <v>-14420</v>
      </c>
      <c r="J63" s="1227">
        <f>移輸出!J63-移輸入!J63</f>
        <v>-14602</v>
      </c>
      <c r="K63" s="1227">
        <f>移輸出!K63-移輸入!K63</f>
        <v>3822</v>
      </c>
      <c r="L63" s="1227">
        <f>移輸出!L63-移輸入!L63</f>
        <v>3565</v>
      </c>
      <c r="M63" s="1227">
        <f>移輸出!M63-移輸入!M63</f>
        <v>17734</v>
      </c>
      <c r="N63" s="1227">
        <f>移輸出!N63-移輸入!N63</f>
        <v>16346</v>
      </c>
      <c r="O63" s="1227">
        <f>移輸出!O63-移輸入!O63</f>
        <v>24686</v>
      </c>
      <c r="P63" s="1227">
        <f>移輸出!P63-移輸入!P63</f>
        <v>6203</v>
      </c>
      <c r="Q63" s="1227">
        <f>移輸出!Q63-移輸入!Q63</f>
        <v>10020</v>
      </c>
      <c r="R63" s="1849">
        <f>移輸出!R63-移輸入!R63</f>
        <v>-65063</v>
      </c>
      <c r="S63" s="1849">
        <f>移輸出!S63-移輸入!S63</f>
        <v>-84400</v>
      </c>
      <c r="T63" s="1849">
        <f>移輸出!T63-移輸入!T63</f>
        <v>52837</v>
      </c>
      <c r="U63" s="1849">
        <f>移輸出!U63-移輸入!U63</f>
        <v>47629</v>
      </c>
      <c r="V63" s="1849">
        <f>移輸出!V63-移輸入!V63</f>
        <v>21478</v>
      </c>
      <c r="W63" s="1849">
        <f>移輸出!W63-移輸入!W63</f>
        <v>-17345</v>
      </c>
      <c r="X63" s="1849">
        <f>移輸出!X63-移輸入!X63</f>
        <v>-15144</v>
      </c>
    </row>
    <row r="64" spans="1:24">
      <c r="A64" s="730">
        <v>205</v>
      </c>
      <c r="B64" s="730" t="s">
        <v>339</v>
      </c>
      <c r="C64" s="1227">
        <f>移輸出!C64-移輸入!C64</f>
        <v>35801</v>
      </c>
      <c r="D64" s="1227">
        <f>移輸出!D64-移輸入!D64</f>
        <v>39729</v>
      </c>
      <c r="E64" s="1227">
        <f>移輸出!E64-移輸入!E64</f>
        <v>21949</v>
      </c>
      <c r="F64" s="1227">
        <f>移輸出!F64-移輸入!F64</f>
        <v>20816</v>
      </c>
      <c r="G64" s="1227">
        <f>移輸出!G64-移輸入!G64</f>
        <v>9318</v>
      </c>
      <c r="H64" s="1227">
        <f>移輸出!H64-移輸入!H64</f>
        <v>4437</v>
      </c>
      <c r="I64" s="1227">
        <f>移輸出!I64-移輸入!I64</f>
        <v>-329</v>
      </c>
      <c r="J64" s="1227">
        <f>移輸出!J64-移輸入!J64</f>
        <v>-3647</v>
      </c>
      <c r="K64" s="1227">
        <f>移輸出!K64-移輸入!K64</f>
        <v>8029</v>
      </c>
      <c r="L64" s="1227">
        <f>移輸出!L64-移輸入!L64</f>
        <v>9902</v>
      </c>
      <c r="M64" s="1227">
        <f>移輸出!M64-移輸入!M64</f>
        <v>-1018</v>
      </c>
      <c r="N64" s="1227">
        <f>移輸出!N64-移輸入!N64</f>
        <v>-1826</v>
      </c>
      <c r="O64" s="1227">
        <f>移輸出!O64-移輸入!O64</f>
        <v>8883</v>
      </c>
      <c r="P64" s="1227">
        <f>移輸出!P64-移輸入!P64</f>
        <v>522</v>
      </c>
      <c r="Q64" s="1227">
        <f>移輸出!Q64-移輸入!Q64</f>
        <v>1867</v>
      </c>
      <c r="R64" s="1849">
        <f>移輸出!R64-移輸入!R64</f>
        <v>-30598</v>
      </c>
      <c r="S64" s="1849">
        <f>移輸出!S64-移輸入!S64</f>
        <v>-18464</v>
      </c>
      <c r="T64" s="1849">
        <f>移輸出!T64-移輸入!T64</f>
        <v>36479</v>
      </c>
      <c r="U64" s="1849">
        <f>移輸出!U64-移輸入!U64</f>
        <v>24243</v>
      </c>
      <c r="V64" s="1849">
        <f>移輸出!V64-移輸入!V64</f>
        <v>7172</v>
      </c>
      <c r="W64" s="1849">
        <f>移輸出!W64-移輸入!W64</f>
        <v>-12654</v>
      </c>
      <c r="X64" s="1849">
        <f>移輸出!X64-移輸入!X64</f>
        <v>-5079</v>
      </c>
    </row>
    <row r="65" spans="1:24">
      <c r="A65" s="730">
        <v>224</v>
      </c>
      <c r="B65" s="730" t="s">
        <v>224</v>
      </c>
      <c r="C65" s="1227">
        <f>移輸出!C65-移輸入!C65</f>
        <v>23531</v>
      </c>
      <c r="D65" s="1227">
        <f>移輸出!D65-移輸入!D65</f>
        <v>19491</v>
      </c>
      <c r="E65" s="1227">
        <f>移輸出!E65-移輸入!E65</f>
        <v>13236</v>
      </c>
      <c r="F65" s="1227">
        <f>移輸出!F65-移輸入!F65</f>
        <v>13435</v>
      </c>
      <c r="G65" s="1227">
        <f>移輸出!G65-移輸入!G65</f>
        <v>19638</v>
      </c>
      <c r="H65" s="1227">
        <f>移輸出!H65-移輸入!H65</f>
        <v>11272</v>
      </c>
      <c r="I65" s="1227">
        <f>移輸出!I65-移輸入!I65</f>
        <v>-9</v>
      </c>
      <c r="J65" s="1227">
        <f>移輸出!J65-移輸入!J65</f>
        <v>6517</v>
      </c>
      <c r="K65" s="1227">
        <f>移輸出!K65-移輸入!K65</f>
        <v>3322</v>
      </c>
      <c r="L65" s="1227">
        <f>移輸出!L65-移輸入!L65</f>
        <v>8429</v>
      </c>
      <c r="M65" s="1227">
        <f>移輸出!M65-移輸入!M65</f>
        <v>14668</v>
      </c>
      <c r="N65" s="1227">
        <f>移輸出!N65-移輸入!N65</f>
        <v>16836</v>
      </c>
      <c r="O65" s="1227">
        <f>移輸出!O65-移輸入!O65</f>
        <v>15512</v>
      </c>
      <c r="P65" s="1227">
        <f>移輸出!P65-移輸入!P65</f>
        <v>11456</v>
      </c>
      <c r="Q65" s="1227">
        <f>移輸出!Q65-移輸入!Q65</f>
        <v>10859</v>
      </c>
      <c r="R65" s="1849">
        <f>移輸出!R65-移輸入!R65</f>
        <v>-12932</v>
      </c>
      <c r="S65" s="1849">
        <f>移輸出!S65-移輸入!S65</f>
        <v>-33355</v>
      </c>
      <c r="T65" s="1849">
        <f>移輸出!T65-移輸入!T65</f>
        <v>21081</v>
      </c>
      <c r="U65" s="1849">
        <f>移輸出!U65-移輸入!U65</f>
        <v>18201</v>
      </c>
      <c r="V65" s="1849">
        <f>移輸出!V65-移輸入!V65</f>
        <v>6927</v>
      </c>
      <c r="W65" s="1849">
        <f>移輸出!W65-移輸入!W65</f>
        <v>-6347</v>
      </c>
      <c r="X65" s="1849">
        <f>移輸出!X65-移輸入!X65</f>
        <v>-4879</v>
      </c>
    </row>
    <row r="66" spans="1:24">
      <c r="A66" s="731">
        <v>226</v>
      </c>
      <c r="B66" s="731" t="s">
        <v>225</v>
      </c>
      <c r="C66" s="1226">
        <f>移輸出!C66-移輸入!C66</f>
        <v>-7871</v>
      </c>
      <c r="D66" s="1226">
        <f>移輸出!D66-移輸入!D66</f>
        <v>4071</v>
      </c>
      <c r="E66" s="1226">
        <f>移輸出!E66-移輸入!E66</f>
        <v>819</v>
      </c>
      <c r="F66" s="1226">
        <f>移輸出!F66-移輸入!F66</f>
        <v>-8525</v>
      </c>
      <c r="G66" s="1226">
        <f>移輸出!G66-移輸入!G66</f>
        <v>4538</v>
      </c>
      <c r="H66" s="1226">
        <f>移輸出!H66-移輸入!H66</f>
        <v>-12340</v>
      </c>
      <c r="I66" s="1226">
        <f>移輸出!I66-移輸入!I66</f>
        <v>-14082</v>
      </c>
      <c r="J66" s="1226">
        <f>移輸出!J66-移輸入!J66</f>
        <v>-17472</v>
      </c>
      <c r="K66" s="1226">
        <f>移輸出!K66-移輸入!K66</f>
        <v>-7529</v>
      </c>
      <c r="L66" s="1226">
        <f>移輸出!L66-移輸入!L66</f>
        <v>-14766</v>
      </c>
      <c r="M66" s="1226">
        <f>移輸出!M66-移輸入!M66</f>
        <v>4084</v>
      </c>
      <c r="N66" s="1226">
        <f>移輸出!N66-移輸入!N66</f>
        <v>1336</v>
      </c>
      <c r="O66" s="1226">
        <f>移輸出!O66-移輸入!O66</f>
        <v>291</v>
      </c>
      <c r="P66" s="1226">
        <f>移輸出!P66-移輸入!P66</f>
        <v>-5775</v>
      </c>
      <c r="Q66" s="1226">
        <f>移輸出!Q66-移輸入!Q66</f>
        <v>-2706</v>
      </c>
      <c r="R66" s="1847">
        <f>移輸出!R66-移輸入!R66</f>
        <v>-21533</v>
      </c>
      <c r="S66" s="1847">
        <f>移輸出!S66-移輸入!S66</f>
        <v>-32581</v>
      </c>
      <c r="T66" s="1847">
        <f>移輸出!T66-移輸入!T66</f>
        <v>-4723</v>
      </c>
      <c r="U66" s="1847">
        <f>移輸出!U66-移輸入!U66</f>
        <v>5185</v>
      </c>
      <c r="V66" s="1847">
        <f>移輸出!V66-移輸入!V66</f>
        <v>7379</v>
      </c>
      <c r="W66" s="1847">
        <f>移輸出!W66-移輸入!W66</f>
        <v>1656</v>
      </c>
      <c r="X66" s="1847">
        <f>移輸出!X66-移輸入!X66</f>
        <v>-5186</v>
      </c>
    </row>
  </sheetData>
  <phoneticPr fontId="13"/>
  <pageMargins left="0.75" right="0.75" top="1" bottom="1" header="0.51200000000000001" footer="0.5120000000000000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2BD25-CFDE-4FB1-9B32-02016CDD2469}">
  <sheetPr codeName="Sheet1">
    <tabColor theme="9" tint="0.79998168889431442"/>
  </sheetPr>
  <dimension ref="A1:O142"/>
  <sheetViews>
    <sheetView workbookViewId="0">
      <pane xSplit="2" ySplit="1" topLeftCell="C125" activePane="bottomRight" state="frozen"/>
      <selection pane="topRight" activeCell="C1" sqref="C1"/>
      <selection pane="bottomLeft" activeCell="A4" sqref="A4"/>
      <selection pane="bottomRight" activeCell="K10" sqref="K10"/>
    </sheetView>
  </sheetViews>
  <sheetFormatPr defaultColWidth="8.7109375" defaultRowHeight="13"/>
  <cols>
    <col min="1" max="1" width="3.7109375" style="75" customWidth="1"/>
    <col min="2" max="16384" width="8.7109375" style="75"/>
  </cols>
  <sheetData>
    <row r="1" spans="1:15">
      <c r="A1" s="499" t="s">
        <v>1557</v>
      </c>
      <c r="B1" s="453"/>
      <c r="C1" s="453"/>
      <c r="D1" s="453"/>
      <c r="E1" s="453"/>
      <c r="F1" s="453"/>
      <c r="G1" s="500" t="s">
        <v>1835</v>
      </c>
      <c r="H1" s="500"/>
      <c r="I1" s="500"/>
      <c r="J1" s="500"/>
      <c r="K1" s="500"/>
      <c r="L1" s="500"/>
      <c r="M1" s="500"/>
      <c r="N1" s="500" t="s">
        <v>818</v>
      </c>
      <c r="O1" s="500"/>
    </row>
    <row r="2" spans="1:15">
      <c r="A2" s="501"/>
      <c r="B2" s="502" t="s">
        <v>930</v>
      </c>
      <c r="C2" s="2302" t="s">
        <v>817</v>
      </c>
      <c r="D2" s="2302" t="s">
        <v>667</v>
      </c>
      <c r="E2" s="2302" t="s">
        <v>668</v>
      </c>
      <c r="F2" s="2306" t="s">
        <v>669</v>
      </c>
      <c r="G2" s="503"/>
      <c r="H2" s="503"/>
      <c r="I2" s="455"/>
      <c r="J2" s="2302" t="s">
        <v>670</v>
      </c>
      <c r="K2" s="2302" t="s">
        <v>671</v>
      </c>
      <c r="L2" s="503" t="s">
        <v>816</v>
      </c>
      <c r="M2" s="503"/>
      <c r="N2" s="503"/>
      <c r="O2" s="455"/>
    </row>
    <row r="3" spans="1:15" ht="25">
      <c r="A3" s="504"/>
      <c r="B3" s="505" t="s">
        <v>9</v>
      </c>
      <c r="C3" s="2308"/>
      <c r="D3" s="2308"/>
      <c r="E3" s="2308"/>
      <c r="F3" s="2309"/>
      <c r="G3" s="506" t="s">
        <v>814</v>
      </c>
      <c r="H3" s="507" t="s">
        <v>815</v>
      </c>
      <c r="I3" s="455" t="s">
        <v>826</v>
      </c>
      <c r="J3" s="2308"/>
      <c r="K3" s="2308"/>
      <c r="L3" s="508" t="s">
        <v>827</v>
      </c>
      <c r="M3" s="506" t="s">
        <v>895</v>
      </c>
      <c r="N3" s="507" t="s">
        <v>896</v>
      </c>
      <c r="O3" s="455" t="s">
        <v>897</v>
      </c>
    </row>
    <row r="4" spans="1:15">
      <c r="A4" s="509"/>
      <c r="B4" s="510" t="s">
        <v>166</v>
      </c>
      <c r="C4" s="1361">
        <f>'24R5'!C4</f>
        <v>23989541</v>
      </c>
      <c r="D4" s="1122">
        <f>'24R5'!D4</f>
        <v>14024566</v>
      </c>
      <c r="E4" s="1122">
        <f>'24R5'!E4</f>
        <v>2996589</v>
      </c>
      <c r="F4" s="1122">
        <f>'24R5'!F4</f>
        <v>5416280</v>
      </c>
      <c r="G4" s="1122">
        <f>'24R5'!G4</f>
        <v>777461</v>
      </c>
      <c r="H4" s="1122">
        <f>'24R5'!H4</f>
        <v>4641804</v>
      </c>
      <c r="I4" s="1122">
        <f>'24R5'!I4</f>
        <v>-2985</v>
      </c>
      <c r="J4" s="1122">
        <f>'24R5'!J4</f>
        <v>884533</v>
      </c>
      <c r="K4" s="1122">
        <f>'24R5'!K4</f>
        <v>23321968</v>
      </c>
      <c r="L4" s="1122">
        <f>'24R5'!L4</f>
        <v>667573</v>
      </c>
      <c r="M4" s="1122">
        <f>'24R5'!M4</f>
        <v>22117281</v>
      </c>
      <c r="N4" s="1122">
        <f>'24R5'!N4</f>
        <v>20723416</v>
      </c>
      <c r="O4" s="1123">
        <f>'24R5'!O4</f>
        <v>-726292</v>
      </c>
    </row>
    <row r="5" spans="1:15">
      <c r="A5" s="511">
        <v>1</v>
      </c>
      <c r="B5" s="453" t="s">
        <v>172</v>
      </c>
      <c r="C5" s="1362">
        <f>'24R5'!C5</f>
        <v>7529880</v>
      </c>
      <c r="D5" s="513">
        <f>'24R5'!D5</f>
        <v>4454481</v>
      </c>
      <c r="E5" s="513">
        <f>'24R5'!E5</f>
        <v>1009028</v>
      </c>
      <c r="F5" s="513">
        <f>'24R5'!F5</f>
        <v>1236045</v>
      </c>
      <c r="G5" s="513">
        <f>'24R5'!G5</f>
        <v>211657</v>
      </c>
      <c r="H5" s="513">
        <f>'24R5'!H5</f>
        <v>1025292</v>
      </c>
      <c r="I5" s="513">
        <f>'24R5'!I5</f>
        <v>-904</v>
      </c>
      <c r="J5" s="513">
        <f>'24R5'!J5</f>
        <v>350318</v>
      </c>
      <c r="K5" s="513">
        <f>'24R5'!K5</f>
        <v>7049872</v>
      </c>
      <c r="L5" s="513">
        <f>'24R5'!L5</f>
        <v>480008</v>
      </c>
      <c r="M5" s="513">
        <f>'24R5'!M5</f>
        <v>6973817</v>
      </c>
      <c r="N5" s="513">
        <f>'24R5'!N5</f>
        <v>6264372</v>
      </c>
      <c r="O5" s="514">
        <f>'24R5'!O5</f>
        <v>-229437</v>
      </c>
    </row>
    <row r="6" spans="1:15">
      <c r="A6" s="511">
        <v>2</v>
      </c>
      <c r="B6" s="453" t="s">
        <v>323</v>
      </c>
      <c r="C6" s="1362">
        <f>'24R5'!C6</f>
        <v>3908745</v>
      </c>
      <c r="D6" s="513">
        <f>'24R5'!D6</f>
        <v>2855253</v>
      </c>
      <c r="E6" s="513">
        <f>'24R5'!E6</f>
        <v>492474</v>
      </c>
      <c r="F6" s="513">
        <f>'24R5'!F6</f>
        <v>793543</v>
      </c>
      <c r="G6" s="513">
        <f>'24R5'!G6</f>
        <v>181521</v>
      </c>
      <c r="H6" s="513">
        <f>'24R5'!H6</f>
        <v>612564</v>
      </c>
      <c r="I6" s="513">
        <f>'24R5'!I6</f>
        <v>-542</v>
      </c>
      <c r="J6" s="513">
        <f>'24R5'!J6</f>
        <v>96450</v>
      </c>
      <c r="K6" s="513">
        <f>'24R5'!K6</f>
        <v>4237720</v>
      </c>
      <c r="L6" s="513">
        <f>'24R5'!L6</f>
        <v>-328975</v>
      </c>
      <c r="M6" s="513">
        <f>'24R5'!M6</f>
        <v>3605638</v>
      </c>
      <c r="N6" s="513">
        <f>'24R5'!N6</f>
        <v>3765550</v>
      </c>
      <c r="O6" s="514">
        <f>'24R5'!O6</f>
        <v>-169063</v>
      </c>
    </row>
    <row r="7" spans="1:15">
      <c r="A7" s="511">
        <v>3</v>
      </c>
      <c r="B7" s="453" t="s">
        <v>324</v>
      </c>
      <c r="C7" s="1362">
        <f>'24R5'!C7</f>
        <v>2397898</v>
      </c>
      <c r="D7" s="513">
        <f>'24R5'!D7</f>
        <v>1671230</v>
      </c>
      <c r="E7" s="513">
        <f>'24R5'!E7</f>
        <v>328471</v>
      </c>
      <c r="F7" s="513">
        <f>'24R5'!F7</f>
        <v>489212</v>
      </c>
      <c r="G7" s="513">
        <f>'24R5'!G7</f>
        <v>89160</v>
      </c>
      <c r="H7" s="513">
        <f>'24R5'!H7</f>
        <v>400381</v>
      </c>
      <c r="I7" s="513">
        <f>'24R5'!I7</f>
        <v>-329</v>
      </c>
      <c r="J7" s="513">
        <f>'24R5'!J7</f>
        <v>78569</v>
      </c>
      <c r="K7" s="513">
        <f>'24R5'!K7</f>
        <v>2567482</v>
      </c>
      <c r="L7" s="513">
        <f>'24R5'!L7</f>
        <v>-169584</v>
      </c>
      <c r="M7" s="513">
        <f>'24R5'!M7</f>
        <v>2224114</v>
      </c>
      <c r="N7" s="513">
        <f>'24R5'!N7</f>
        <v>2281410</v>
      </c>
      <c r="O7" s="514">
        <f>'24R5'!O7</f>
        <v>-112288</v>
      </c>
    </row>
    <row r="8" spans="1:15">
      <c r="A8" s="511">
        <v>4</v>
      </c>
      <c r="B8" s="453" t="s">
        <v>192</v>
      </c>
      <c r="C8" s="1362">
        <f>'24R5'!C8</f>
        <v>3149681</v>
      </c>
      <c r="D8" s="513">
        <f>'24R5'!D8</f>
        <v>1720068</v>
      </c>
      <c r="E8" s="513">
        <f>'24R5'!E8</f>
        <v>311956</v>
      </c>
      <c r="F8" s="513">
        <f>'24R5'!F8</f>
        <v>1293628</v>
      </c>
      <c r="G8" s="513">
        <f>'24R5'!G8</f>
        <v>103022</v>
      </c>
      <c r="H8" s="513">
        <f>'24R5'!H8</f>
        <v>1191043</v>
      </c>
      <c r="I8" s="513">
        <f>'24R5'!I8</f>
        <v>-437</v>
      </c>
      <c r="J8" s="513">
        <f>'24R5'!J8</f>
        <v>88843</v>
      </c>
      <c r="K8" s="513">
        <f>'24R5'!K8</f>
        <v>3414495</v>
      </c>
      <c r="L8" s="513">
        <f>'24R5'!L8</f>
        <v>-264814</v>
      </c>
      <c r="M8" s="513">
        <f>'24R5'!M8</f>
        <v>2866251</v>
      </c>
      <c r="N8" s="513">
        <f>'24R5'!N8</f>
        <v>3034050</v>
      </c>
      <c r="O8" s="514">
        <f>'24R5'!O8</f>
        <v>-97015</v>
      </c>
    </row>
    <row r="9" spans="1:15">
      <c r="A9" s="511">
        <v>5</v>
      </c>
      <c r="B9" s="453" t="s">
        <v>325</v>
      </c>
      <c r="C9" s="1362">
        <f>'24R5'!C9</f>
        <v>1356148</v>
      </c>
      <c r="D9" s="513">
        <f>'24R5'!D9</f>
        <v>553099</v>
      </c>
      <c r="E9" s="513">
        <f>'24R5'!E9</f>
        <v>146835</v>
      </c>
      <c r="F9" s="513">
        <f>'24R5'!F9</f>
        <v>230591</v>
      </c>
      <c r="G9" s="513">
        <f>'24R5'!G9</f>
        <v>28563</v>
      </c>
      <c r="H9" s="513">
        <f>'24R5'!H9</f>
        <v>202153</v>
      </c>
      <c r="I9" s="513">
        <f>'24R5'!I9</f>
        <v>-125</v>
      </c>
      <c r="J9" s="513">
        <f>'24R5'!J9</f>
        <v>47190</v>
      </c>
      <c r="K9" s="513">
        <f>'24R5'!K9</f>
        <v>977715</v>
      </c>
      <c r="L9" s="513">
        <f>'24R5'!L9</f>
        <v>378433</v>
      </c>
      <c r="M9" s="513">
        <f>'24R5'!M9</f>
        <v>1239891</v>
      </c>
      <c r="N9" s="513">
        <f>'24R5'!N9</f>
        <v>868777</v>
      </c>
      <c r="O9" s="514">
        <f>'24R5'!O9</f>
        <v>7319</v>
      </c>
    </row>
    <row r="10" spans="1:15">
      <c r="A10" s="511">
        <v>6</v>
      </c>
      <c r="B10" s="453" t="s">
        <v>326</v>
      </c>
      <c r="C10" s="1362">
        <f>'24R5'!C10</f>
        <v>2930515</v>
      </c>
      <c r="D10" s="513">
        <f>'24R5'!D10</f>
        <v>1428956</v>
      </c>
      <c r="E10" s="513">
        <f>'24R5'!E10</f>
        <v>272757</v>
      </c>
      <c r="F10" s="513">
        <f>'24R5'!F10</f>
        <v>846323</v>
      </c>
      <c r="G10" s="513">
        <f>'24R5'!G10</f>
        <v>105978</v>
      </c>
      <c r="H10" s="513">
        <f>'24R5'!H10</f>
        <v>740683</v>
      </c>
      <c r="I10" s="513">
        <f>'24R5'!I10</f>
        <v>-338</v>
      </c>
      <c r="J10" s="513">
        <f>'24R5'!J10</f>
        <v>96011</v>
      </c>
      <c r="K10" s="513">
        <f>'24R5'!K10</f>
        <v>2644047</v>
      </c>
      <c r="L10" s="513">
        <f>'24R5'!L10</f>
        <v>286468</v>
      </c>
      <c r="M10" s="513">
        <f>'24R5'!M10</f>
        <v>2658731</v>
      </c>
      <c r="N10" s="513">
        <f>'24R5'!N10</f>
        <v>2349445</v>
      </c>
      <c r="O10" s="514">
        <f>'24R5'!O10</f>
        <v>-22818</v>
      </c>
    </row>
    <row r="11" spans="1:15">
      <c r="A11" s="511">
        <v>7</v>
      </c>
      <c r="B11" s="453" t="s">
        <v>327</v>
      </c>
      <c r="C11" s="1362">
        <f>'24R5'!C11</f>
        <v>1129678</v>
      </c>
      <c r="D11" s="513">
        <f>'24R5'!D11</f>
        <v>508778</v>
      </c>
      <c r="E11" s="513">
        <f>'24R5'!E11</f>
        <v>134294</v>
      </c>
      <c r="F11" s="513">
        <f>'24R5'!F11</f>
        <v>247192</v>
      </c>
      <c r="G11" s="513">
        <f>'24R5'!G11</f>
        <v>21456</v>
      </c>
      <c r="H11" s="513">
        <f>'24R5'!H11</f>
        <v>225854</v>
      </c>
      <c r="I11" s="513">
        <f>'24R5'!I11</f>
        <v>-118</v>
      </c>
      <c r="J11" s="513">
        <f>'24R5'!J11</f>
        <v>36862</v>
      </c>
      <c r="K11" s="513">
        <f>'24R5'!K11</f>
        <v>927126</v>
      </c>
      <c r="L11" s="513">
        <f>'24R5'!L11</f>
        <v>202552</v>
      </c>
      <c r="M11" s="513">
        <f>'24R5'!M11</f>
        <v>1038367</v>
      </c>
      <c r="N11" s="513">
        <f>'24R5'!N11</f>
        <v>823825</v>
      </c>
      <c r="O11" s="514">
        <f>'24R5'!O11</f>
        <v>-11990</v>
      </c>
    </row>
    <row r="12" spans="1:15">
      <c r="A12" s="511">
        <v>8</v>
      </c>
      <c r="B12" s="453" t="s">
        <v>210</v>
      </c>
      <c r="C12" s="1362">
        <f>'24R5'!C12</f>
        <v>604135</v>
      </c>
      <c r="D12" s="513">
        <f>'24R5'!D12</f>
        <v>346358</v>
      </c>
      <c r="E12" s="513">
        <f>'24R5'!E12</f>
        <v>126039</v>
      </c>
      <c r="F12" s="513">
        <f>'24R5'!F12</f>
        <v>105670</v>
      </c>
      <c r="G12" s="513">
        <f>'24R5'!G12</f>
        <v>10985</v>
      </c>
      <c r="H12" s="513">
        <f>'24R5'!H12</f>
        <v>94763</v>
      </c>
      <c r="I12" s="513">
        <f>'24R5'!I12</f>
        <v>-78</v>
      </c>
      <c r="J12" s="513">
        <f>'24R5'!J12</f>
        <v>37414</v>
      </c>
      <c r="K12" s="513">
        <f>'24R5'!K12</f>
        <v>615481</v>
      </c>
      <c r="L12" s="513">
        <f>'24R5'!L12</f>
        <v>-11346</v>
      </c>
      <c r="M12" s="513">
        <f>'24R5'!M12</f>
        <v>580332</v>
      </c>
      <c r="N12" s="513">
        <f>'24R5'!N12</f>
        <v>546903</v>
      </c>
      <c r="O12" s="514">
        <f>'24R5'!O12</f>
        <v>-44775</v>
      </c>
    </row>
    <row r="13" spans="1:15">
      <c r="A13" s="511">
        <v>9</v>
      </c>
      <c r="B13" s="453" t="s">
        <v>211</v>
      </c>
      <c r="C13" s="1362">
        <f>'24R5'!C13</f>
        <v>481731</v>
      </c>
      <c r="D13" s="513">
        <f>'24R5'!D13</f>
        <v>223660</v>
      </c>
      <c r="E13" s="513">
        <f>'24R5'!E13</f>
        <v>73245</v>
      </c>
      <c r="F13" s="513">
        <f>'24R5'!F13</f>
        <v>79916</v>
      </c>
      <c r="G13" s="513">
        <f>'24R5'!G13</f>
        <v>9033</v>
      </c>
      <c r="H13" s="513">
        <f>'24R5'!H13</f>
        <v>70933</v>
      </c>
      <c r="I13" s="513">
        <f>'24R5'!I13</f>
        <v>-50</v>
      </c>
      <c r="J13" s="513">
        <f>'24R5'!J13</f>
        <v>11924</v>
      </c>
      <c r="K13" s="513">
        <f>'24R5'!K13</f>
        <v>388745</v>
      </c>
      <c r="L13" s="513">
        <f>'24R5'!L13</f>
        <v>92986</v>
      </c>
      <c r="M13" s="513">
        <f>'24R5'!M13</f>
        <v>450168</v>
      </c>
      <c r="N13" s="513">
        <f>'24R5'!N13</f>
        <v>345430</v>
      </c>
      <c r="O13" s="514">
        <f>'24R5'!O13</f>
        <v>-11752</v>
      </c>
    </row>
    <row r="14" spans="1:15">
      <c r="A14" s="515">
        <v>10</v>
      </c>
      <c r="B14" s="450" t="s">
        <v>212</v>
      </c>
      <c r="C14" s="1363">
        <f>'24R5'!C14</f>
        <v>501130</v>
      </c>
      <c r="D14" s="517">
        <f>'24R5'!D14</f>
        <v>262683</v>
      </c>
      <c r="E14" s="517">
        <f>'24R5'!E14</f>
        <v>101490</v>
      </c>
      <c r="F14" s="517">
        <f>'24R5'!F14</f>
        <v>94160</v>
      </c>
      <c r="G14" s="517">
        <f>'24R5'!G14</f>
        <v>16086</v>
      </c>
      <c r="H14" s="517">
        <f>'24R5'!H14</f>
        <v>78138</v>
      </c>
      <c r="I14" s="517">
        <f>'24R5'!I14</f>
        <v>-64</v>
      </c>
      <c r="J14" s="517">
        <f>'24R5'!J14</f>
        <v>40952</v>
      </c>
      <c r="K14" s="517">
        <f>'24R5'!K14</f>
        <v>499285</v>
      </c>
      <c r="L14" s="517">
        <f>'24R5'!L14</f>
        <v>1845</v>
      </c>
      <c r="M14" s="517">
        <f>'24R5'!M14</f>
        <v>479972</v>
      </c>
      <c r="N14" s="517">
        <f>'24R5'!N14</f>
        <v>443654</v>
      </c>
      <c r="O14" s="518">
        <f>'24R5'!O14</f>
        <v>-34473</v>
      </c>
    </row>
    <row r="17" spans="1:15">
      <c r="A17" s="681" t="s">
        <v>1719</v>
      </c>
      <c r="B17" s="456"/>
      <c r="C17" s="456"/>
      <c r="D17" s="456"/>
      <c r="E17" s="456"/>
      <c r="F17" s="456"/>
      <c r="G17" s="500"/>
      <c r="H17" s="500"/>
      <c r="I17" s="500"/>
      <c r="J17" s="500"/>
      <c r="K17" s="500"/>
      <c r="L17" s="500"/>
      <c r="M17" s="500"/>
      <c r="N17" s="500" t="s">
        <v>818</v>
      </c>
      <c r="O17" s="500"/>
    </row>
    <row r="18" spans="1:15">
      <c r="A18" s="501"/>
      <c r="B18" s="502" t="s">
        <v>930</v>
      </c>
      <c r="C18" s="2302" t="s">
        <v>817</v>
      </c>
      <c r="D18" s="2304" t="s">
        <v>667</v>
      </c>
      <c r="E18" s="2302" t="s">
        <v>668</v>
      </c>
      <c r="F18" s="2306" t="s">
        <v>669</v>
      </c>
      <c r="G18" s="503"/>
      <c r="H18" s="503"/>
      <c r="I18" s="455"/>
      <c r="J18" s="2302" t="s">
        <v>670</v>
      </c>
      <c r="K18" s="2302" t="s">
        <v>671</v>
      </c>
      <c r="L18" s="503" t="s">
        <v>816</v>
      </c>
      <c r="M18" s="503"/>
      <c r="N18" s="503"/>
      <c r="O18" s="455"/>
    </row>
    <row r="19" spans="1:15" ht="25">
      <c r="A19" s="504"/>
      <c r="B19" s="505" t="s">
        <v>9</v>
      </c>
      <c r="C19" s="2303"/>
      <c r="D19" s="2305"/>
      <c r="E19" s="2303"/>
      <c r="F19" s="2307"/>
      <c r="G19" s="506" t="s">
        <v>814</v>
      </c>
      <c r="H19" s="507" t="s">
        <v>815</v>
      </c>
      <c r="I19" s="455" t="s">
        <v>826</v>
      </c>
      <c r="J19" s="2303"/>
      <c r="K19" s="2303"/>
      <c r="L19" s="508" t="s">
        <v>827</v>
      </c>
      <c r="M19" s="506" t="s">
        <v>895</v>
      </c>
      <c r="N19" s="507" t="s">
        <v>896</v>
      </c>
      <c r="O19" s="455" t="s">
        <v>897</v>
      </c>
    </row>
    <row r="20" spans="1:15">
      <c r="A20" s="509"/>
      <c r="B20" s="521" t="s">
        <v>166</v>
      </c>
      <c r="C20" s="1361">
        <f>'25R6'!C4</f>
        <v>24764561.02952414</v>
      </c>
      <c r="D20" s="1361">
        <f>'25R6'!D4</f>
        <v>14348115</v>
      </c>
      <c r="E20" s="1361">
        <f>'25R6'!E4</f>
        <v>3137399</v>
      </c>
      <c r="F20" s="1361">
        <f>'25R6'!F4</f>
        <v>5574619</v>
      </c>
      <c r="G20" s="1361">
        <f>'25R6'!G4</f>
        <v>766156</v>
      </c>
      <c r="H20" s="1361">
        <f>'25R6'!H4</f>
        <v>4822905</v>
      </c>
      <c r="I20" s="1361">
        <f>'25R6'!I4</f>
        <v>-14442</v>
      </c>
      <c r="J20" s="1361">
        <f>'25R6'!J4</f>
        <v>904932</v>
      </c>
      <c r="K20" s="1121">
        <f>'25R6'!K4</f>
        <v>23965065</v>
      </c>
      <c r="L20" s="1361">
        <f>'25R6'!L4</f>
        <v>799496.0295241382</v>
      </c>
      <c r="M20" s="1122">
        <f>'25R6'!M4</f>
        <v>23735349.02952414</v>
      </c>
      <c r="N20" s="1122">
        <f>'25R6'!N4</f>
        <v>22209561</v>
      </c>
      <c r="O20" s="1123">
        <f>'25R6'!O4</f>
        <v>-726292</v>
      </c>
    </row>
    <row r="21" spans="1:15">
      <c r="A21" s="511">
        <v>1</v>
      </c>
      <c r="B21" s="519" t="s">
        <v>172</v>
      </c>
      <c r="C21" s="1362">
        <f>'25R6'!C5</f>
        <v>7631737.0295241382</v>
      </c>
      <c r="D21" s="1362">
        <f>'25R6'!D5</f>
        <v>4248698</v>
      </c>
      <c r="E21" s="1362">
        <f>'25R6'!E5</f>
        <v>1067351</v>
      </c>
      <c r="F21" s="1362">
        <f>'25R6'!F5</f>
        <v>1379674</v>
      </c>
      <c r="G21" s="1362">
        <f>'25R6'!G5</f>
        <v>197822</v>
      </c>
      <c r="H21" s="1362">
        <f>'25R6'!H5</f>
        <v>1186108</v>
      </c>
      <c r="I21" s="1362">
        <f>'25R6'!I5</f>
        <v>-4256</v>
      </c>
      <c r="J21" s="1362">
        <f>'25R6'!J5</f>
        <v>241435</v>
      </c>
      <c r="K21" s="512">
        <f>'25R6'!K5</f>
        <v>6937158</v>
      </c>
      <c r="L21" s="1362">
        <f>'25R6'!L5</f>
        <v>694579.0295241382</v>
      </c>
      <c r="M21" s="513">
        <f>'25R6'!M5</f>
        <v>7353009.0295241382</v>
      </c>
      <c r="N21" s="513">
        <f>'25R6'!N5</f>
        <v>6428993</v>
      </c>
      <c r="O21" s="514">
        <f>'25R6'!O5</f>
        <v>-229437</v>
      </c>
    </row>
    <row r="22" spans="1:15">
      <c r="A22" s="511">
        <v>2</v>
      </c>
      <c r="B22" s="519" t="s">
        <v>323</v>
      </c>
      <c r="C22" s="1362">
        <f>'25R6'!C6</f>
        <v>4172900</v>
      </c>
      <c r="D22" s="1362">
        <f>'25R6'!D6</f>
        <v>2774440</v>
      </c>
      <c r="E22" s="1362">
        <f>'25R6'!E6</f>
        <v>505394</v>
      </c>
      <c r="F22" s="1362">
        <f>'25R6'!F6</f>
        <v>871661</v>
      </c>
      <c r="G22" s="1362">
        <f>'25R6'!G6</f>
        <v>177532</v>
      </c>
      <c r="H22" s="1362">
        <f>'25R6'!H6</f>
        <v>696702</v>
      </c>
      <c r="I22" s="1362">
        <f>'25R6'!I6</f>
        <v>-2573</v>
      </c>
      <c r="J22" s="1362">
        <f>'25R6'!J6</f>
        <v>112754</v>
      </c>
      <c r="K22" s="512">
        <f>'25R6'!K6</f>
        <v>4264249</v>
      </c>
      <c r="L22" s="1362">
        <f>'25R6'!L6</f>
        <v>-91349</v>
      </c>
      <c r="M22" s="513">
        <f>'25R6'!M6</f>
        <v>4029596</v>
      </c>
      <c r="N22" s="513">
        <f>'25R6'!N6</f>
        <v>3951882</v>
      </c>
      <c r="O22" s="514">
        <f>'25R6'!O6</f>
        <v>-169063</v>
      </c>
    </row>
    <row r="23" spans="1:15">
      <c r="A23" s="511">
        <v>3</v>
      </c>
      <c r="B23" s="519" t="s">
        <v>324</v>
      </c>
      <c r="C23" s="1362">
        <f>'25R6'!C7</f>
        <v>2619097</v>
      </c>
      <c r="D23" s="1362">
        <f>'25R6'!D7</f>
        <v>1821201</v>
      </c>
      <c r="E23" s="1362">
        <f>'25R6'!E7</f>
        <v>339629</v>
      </c>
      <c r="F23" s="1362">
        <f>'25R6'!F7</f>
        <v>619003</v>
      </c>
      <c r="G23" s="1362">
        <f>'25R6'!G7</f>
        <v>103307</v>
      </c>
      <c r="H23" s="1362">
        <f>'25R6'!H7</f>
        <v>517398</v>
      </c>
      <c r="I23" s="1362">
        <f>'25R6'!I7</f>
        <v>-1702</v>
      </c>
      <c r="J23" s="1362">
        <f>'25R6'!J7</f>
        <v>320626</v>
      </c>
      <c r="K23" s="512">
        <f>'25R6'!K7</f>
        <v>3100459</v>
      </c>
      <c r="L23" s="1362">
        <f>'25R6'!L7</f>
        <v>-481362</v>
      </c>
      <c r="M23" s="513">
        <f>'25R6'!M7</f>
        <v>2504269</v>
      </c>
      <c r="N23" s="513">
        <f>'25R6'!N7</f>
        <v>2873343</v>
      </c>
      <c r="O23" s="514">
        <f>'25R6'!O7</f>
        <v>-112288</v>
      </c>
    </row>
    <row r="24" spans="1:15">
      <c r="A24" s="511">
        <v>4</v>
      </c>
      <c r="B24" s="519" t="s">
        <v>192</v>
      </c>
      <c r="C24" s="1362">
        <f>'25R6'!C8</f>
        <v>3229129</v>
      </c>
      <c r="D24" s="1362">
        <f>'25R6'!D8</f>
        <v>1887919</v>
      </c>
      <c r="E24" s="1362">
        <f>'25R6'!E8</f>
        <v>328970</v>
      </c>
      <c r="F24" s="1362">
        <f>'25R6'!F8</f>
        <v>1006518</v>
      </c>
      <c r="G24" s="1362">
        <f>'25R6'!G8</f>
        <v>120441</v>
      </c>
      <c r="H24" s="1362">
        <f>'25R6'!H8</f>
        <v>888047</v>
      </c>
      <c r="I24" s="1362">
        <f>'25R6'!I8</f>
        <v>-1970</v>
      </c>
      <c r="J24" s="1362">
        <f>'25R6'!J8</f>
        <v>89555</v>
      </c>
      <c r="K24" s="512">
        <f>'25R6'!K8</f>
        <v>3312962</v>
      </c>
      <c r="L24" s="1362">
        <f>'25R6'!L8</f>
        <v>-83833</v>
      </c>
      <c r="M24" s="513">
        <f>'25R6'!M8</f>
        <v>3083461</v>
      </c>
      <c r="N24" s="513">
        <f>'25R6'!N8</f>
        <v>3070279</v>
      </c>
      <c r="O24" s="514">
        <f>'25R6'!O8</f>
        <v>-97015</v>
      </c>
    </row>
    <row r="25" spans="1:15">
      <c r="A25" s="511">
        <v>5</v>
      </c>
      <c r="B25" s="519" t="s">
        <v>325</v>
      </c>
      <c r="C25" s="1362">
        <f>'25R6'!C9</f>
        <v>1322637</v>
      </c>
      <c r="D25" s="1362">
        <f>'25R6'!D9</f>
        <v>654485</v>
      </c>
      <c r="E25" s="1362">
        <f>'25R6'!E9</f>
        <v>154744</v>
      </c>
      <c r="F25" s="1362">
        <f>'25R6'!F9</f>
        <v>301375</v>
      </c>
      <c r="G25" s="1362">
        <f>'25R6'!G9</f>
        <v>24430</v>
      </c>
      <c r="H25" s="1362">
        <f>'25R6'!H9</f>
        <v>277654</v>
      </c>
      <c r="I25" s="1362">
        <f>'25R6'!I9</f>
        <v>-709</v>
      </c>
      <c r="J25" s="1362">
        <f>'25R6'!J9</f>
        <v>47873</v>
      </c>
      <c r="K25" s="512">
        <f>'25R6'!K9</f>
        <v>1158477</v>
      </c>
      <c r="L25" s="1362">
        <f>'25R6'!L9</f>
        <v>164160</v>
      </c>
      <c r="M25" s="513">
        <f>'25R6'!M9</f>
        <v>1230456</v>
      </c>
      <c r="N25" s="513">
        <f>'25R6'!N9</f>
        <v>1073615</v>
      </c>
      <c r="O25" s="514">
        <f>'25R6'!O9</f>
        <v>7319</v>
      </c>
    </row>
    <row r="26" spans="1:15">
      <c r="A26" s="511">
        <v>6</v>
      </c>
      <c r="B26" s="519" t="s">
        <v>326</v>
      </c>
      <c r="C26" s="1362">
        <f>'25R6'!C10</f>
        <v>2768310</v>
      </c>
      <c r="D26" s="1362">
        <f>'25R6'!D10</f>
        <v>1383797</v>
      </c>
      <c r="E26" s="1362">
        <f>'25R6'!E10</f>
        <v>285419</v>
      </c>
      <c r="F26" s="1362">
        <f>'25R6'!F10</f>
        <v>767837</v>
      </c>
      <c r="G26" s="1362">
        <f>'25R6'!G10</f>
        <v>81229</v>
      </c>
      <c r="H26" s="1362">
        <f>'25R6'!H10</f>
        <v>688130</v>
      </c>
      <c r="I26" s="1362">
        <f>'25R6'!I10</f>
        <v>-1522</v>
      </c>
      <c r="J26" s="1362">
        <f>'25R6'!J10</f>
        <v>25653</v>
      </c>
      <c r="K26" s="512">
        <f>'25R6'!K10</f>
        <v>2462706</v>
      </c>
      <c r="L26" s="1362">
        <f>'25R6'!L10</f>
        <v>305604</v>
      </c>
      <c r="M26" s="513">
        <f>'25R6'!M10</f>
        <v>2610728</v>
      </c>
      <c r="N26" s="513">
        <f>'25R6'!N10</f>
        <v>2282306</v>
      </c>
      <c r="O26" s="514">
        <f>'25R6'!O10</f>
        <v>-22818</v>
      </c>
    </row>
    <row r="27" spans="1:15">
      <c r="A27" s="511">
        <v>7</v>
      </c>
      <c r="B27" s="519" t="s">
        <v>327</v>
      </c>
      <c r="C27" s="1362">
        <f>'25R6'!C11</f>
        <v>1171474</v>
      </c>
      <c r="D27" s="1362">
        <f>'25R6'!D11</f>
        <v>597615</v>
      </c>
      <c r="E27" s="1362">
        <f>'25R6'!E11</f>
        <v>140457</v>
      </c>
      <c r="F27" s="1362">
        <f>'25R6'!F11</f>
        <v>268584</v>
      </c>
      <c r="G27" s="1362">
        <f>'25R6'!G11</f>
        <v>23414</v>
      </c>
      <c r="H27" s="1362">
        <f>'25R6'!H11</f>
        <v>245809</v>
      </c>
      <c r="I27" s="1362">
        <f>'25R6'!I11</f>
        <v>-639</v>
      </c>
      <c r="J27" s="1362">
        <f>'25R6'!J11</f>
        <v>33959</v>
      </c>
      <c r="K27" s="512">
        <f>'25R6'!K11</f>
        <v>1040615</v>
      </c>
      <c r="L27" s="1362">
        <f>'25R6'!L11</f>
        <v>130859</v>
      </c>
      <c r="M27" s="513">
        <f>'25R6'!M11</f>
        <v>1107236</v>
      </c>
      <c r="N27" s="513">
        <f>'25R6'!N11</f>
        <v>964387</v>
      </c>
      <c r="O27" s="514">
        <f>'25R6'!O11</f>
        <v>-11990</v>
      </c>
    </row>
    <row r="28" spans="1:15">
      <c r="A28" s="511">
        <v>8</v>
      </c>
      <c r="B28" s="519" t="s">
        <v>210</v>
      </c>
      <c r="C28" s="1362">
        <f>'25R6'!C12</f>
        <v>769839</v>
      </c>
      <c r="D28" s="1362">
        <f>'25R6'!D12</f>
        <v>404610</v>
      </c>
      <c r="E28" s="1362">
        <f>'25R6'!E12</f>
        <v>135377</v>
      </c>
      <c r="F28" s="1362">
        <f>'25R6'!F12</f>
        <v>151037</v>
      </c>
      <c r="G28" s="1362">
        <f>'25R6'!G12</f>
        <v>11386</v>
      </c>
      <c r="H28" s="1362">
        <f>'25R6'!H12</f>
        <v>140095</v>
      </c>
      <c r="I28" s="1362">
        <f>'25R6'!I12</f>
        <v>-444</v>
      </c>
      <c r="J28" s="1362">
        <f>'25R6'!J12</f>
        <v>18100</v>
      </c>
      <c r="K28" s="512">
        <f>'25R6'!K12</f>
        <v>709124</v>
      </c>
      <c r="L28" s="1362">
        <f>'25R6'!L12</f>
        <v>60715</v>
      </c>
      <c r="M28" s="513">
        <f>'25R6'!M12</f>
        <v>762669</v>
      </c>
      <c r="N28" s="513">
        <f>'25R6'!N12</f>
        <v>657179</v>
      </c>
      <c r="O28" s="514">
        <f>'25R6'!O12</f>
        <v>-44775</v>
      </c>
    </row>
    <row r="29" spans="1:15">
      <c r="A29" s="511">
        <v>9</v>
      </c>
      <c r="B29" s="519" t="s">
        <v>211</v>
      </c>
      <c r="C29" s="1362">
        <f>'25R6'!C13</f>
        <v>508863</v>
      </c>
      <c r="D29" s="1362">
        <f>'25R6'!D13</f>
        <v>263937</v>
      </c>
      <c r="E29" s="1362">
        <f>'25R6'!E13</f>
        <v>76937</v>
      </c>
      <c r="F29" s="1362">
        <f>'25R6'!F13</f>
        <v>97987</v>
      </c>
      <c r="G29" s="1362">
        <f>'25R6'!G13</f>
        <v>11065</v>
      </c>
      <c r="H29" s="1362">
        <f>'25R6'!H13</f>
        <v>87200</v>
      </c>
      <c r="I29" s="1362">
        <f>'25R6'!I13</f>
        <v>-278</v>
      </c>
      <c r="J29" s="1362">
        <f>'25R6'!J13</f>
        <v>4970</v>
      </c>
      <c r="K29" s="512">
        <f>'25R6'!K13</f>
        <v>443831</v>
      </c>
      <c r="L29" s="1362">
        <f>'25R6'!L13</f>
        <v>65032</v>
      </c>
      <c r="M29" s="513">
        <f>'25R6'!M13</f>
        <v>488103</v>
      </c>
      <c r="N29" s="513">
        <f>'25R6'!N13</f>
        <v>411319</v>
      </c>
      <c r="O29" s="514">
        <f>'25R6'!O13</f>
        <v>-11752</v>
      </c>
    </row>
    <row r="30" spans="1:15">
      <c r="A30" s="515">
        <v>10</v>
      </c>
      <c r="B30" s="520" t="s">
        <v>212</v>
      </c>
      <c r="C30" s="1363">
        <f>'25R6'!C14</f>
        <v>570575</v>
      </c>
      <c r="D30" s="1363">
        <f>'25R6'!D14</f>
        <v>311413</v>
      </c>
      <c r="E30" s="1363">
        <f>'25R6'!E14</f>
        <v>103121</v>
      </c>
      <c r="F30" s="1363">
        <f>'25R6'!F14</f>
        <v>110943</v>
      </c>
      <c r="G30" s="1363">
        <f>'25R6'!G14</f>
        <v>15530</v>
      </c>
      <c r="H30" s="1363">
        <f>'25R6'!H14</f>
        <v>95762</v>
      </c>
      <c r="I30" s="1363">
        <f>'25R6'!I14</f>
        <v>-349</v>
      </c>
      <c r="J30" s="1363">
        <f>'25R6'!J14</f>
        <v>10007</v>
      </c>
      <c r="K30" s="516">
        <f>'25R6'!K14</f>
        <v>535484</v>
      </c>
      <c r="L30" s="1363">
        <f>'25R6'!L14</f>
        <v>35091</v>
      </c>
      <c r="M30" s="517">
        <f>'25R6'!M14</f>
        <v>565822</v>
      </c>
      <c r="N30" s="517">
        <f>'25R6'!N14</f>
        <v>496258</v>
      </c>
      <c r="O30" s="518">
        <f>'25R6'!O14</f>
        <v>-34473</v>
      </c>
    </row>
    <row r="33" spans="1:15">
      <c r="A33" s="681" t="s">
        <v>1718</v>
      </c>
      <c r="B33" s="456"/>
      <c r="C33" s="456"/>
      <c r="D33" s="456"/>
      <c r="E33" s="456"/>
      <c r="F33" s="456"/>
      <c r="G33" s="500"/>
      <c r="H33" s="500"/>
      <c r="I33" s="500"/>
      <c r="J33" s="500"/>
      <c r="K33" s="500"/>
      <c r="L33" s="500"/>
      <c r="M33" s="500"/>
      <c r="N33" s="500" t="s">
        <v>818</v>
      </c>
      <c r="O33" s="500"/>
    </row>
    <row r="34" spans="1:15">
      <c r="A34" s="501"/>
      <c r="B34" s="502" t="s">
        <v>930</v>
      </c>
      <c r="C34" s="2302" t="s">
        <v>817</v>
      </c>
      <c r="D34" s="2304" t="s">
        <v>667</v>
      </c>
      <c r="E34" s="2302" t="s">
        <v>668</v>
      </c>
      <c r="F34" s="2306" t="s">
        <v>669</v>
      </c>
      <c r="G34" s="503"/>
      <c r="H34" s="503"/>
      <c r="I34" s="455"/>
      <c r="J34" s="2302" t="s">
        <v>670</v>
      </c>
      <c r="K34" s="2302" t="s">
        <v>671</v>
      </c>
      <c r="L34" s="503" t="s">
        <v>816</v>
      </c>
      <c r="M34" s="503"/>
      <c r="N34" s="503"/>
      <c r="O34" s="455"/>
    </row>
    <row r="35" spans="1:15" ht="25">
      <c r="A35" s="504"/>
      <c r="B35" s="505" t="s">
        <v>9</v>
      </c>
      <c r="C35" s="2303"/>
      <c r="D35" s="2305"/>
      <c r="E35" s="2303"/>
      <c r="F35" s="2307"/>
      <c r="G35" s="506" t="s">
        <v>814</v>
      </c>
      <c r="H35" s="507" t="s">
        <v>815</v>
      </c>
      <c r="I35" s="455" t="s">
        <v>826</v>
      </c>
      <c r="J35" s="2303"/>
      <c r="K35" s="2303"/>
      <c r="L35" s="508" t="s">
        <v>827</v>
      </c>
      <c r="M35" s="506" t="s">
        <v>895</v>
      </c>
      <c r="N35" s="507" t="s">
        <v>896</v>
      </c>
      <c r="O35" s="455" t="s">
        <v>897</v>
      </c>
    </row>
    <row r="36" spans="1:15">
      <c r="A36" s="509"/>
      <c r="B36" s="521" t="s">
        <v>166</v>
      </c>
      <c r="C36" s="1736">
        <f t="shared" ref="C36:O36" si="0">ROUND((C20-C4)/C4*100,1)</f>
        <v>3.2</v>
      </c>
      <c r="D36" s="578">
        <f t="shared" si="0"/>
        <v>2.2999999999999998</v>
      </c>
      <c r="E36" s="578">
        <f t="shared" si="0"/>
        <v>4.7</v>
      </c>
      <c r="F36" s="578">
        <f t="shared" si="0"/>
        <v>2.9</v>
      </c>
      <c r="G36" s="578">
        <f t="shared" si="0"/>
        <v>-1.5</v>
      </c>
      <c r="H36" s="578">
        <f t="shared" si="0"/>
        <v>3.9</v>
      </c>
      <c r="I36" s="578">
        <f t="shared" si="0"/>
        <v>383.8</v>
      </c>
      <c r="J36" s="578">
        <f t="shared" si="0"/>
        <v>2.2999999999999998</v>
      </c>
      <c r="K36" s="578">
        <f t="shared" si="0"/>
        <v>2.8</v>
      </c>
      <c r="L36" s="578">
        <f t="shared" si="0"/>
        <v>19.8</v>
      </c>
      <c r="M36" s="578">
        <f t="shared" si="0"/>
        <v>7.3</v>
      </c>
      <c r="N36" s="578">
        <f t="shared" si="0"/>
        <v>7.2</v>
      </c>
      <c r="O36" s="579">
        <f t="shared" si="0"/>
        <v>0</v>
      </c>
    </row>
    <row r="37" spans="1:15">
      <c r="A37" s="511">
        <v>1</v>
      </c>
      <c r="B37" s="519" t="s">
        <v>172</v>
      </c>
      <c r="C37" s="1737">
        <f t="shared" ref="C37:O37" si="1">ROUND((C21-C5)/C5*100,1)</f>
        <v>1.4</v>
      </c>
      <c r="D37" s="574">
        <f t="shared" si="1"/>
        <v>-4.5999999999999996</v>
      </c>
      <c r="E37" s="574">
        <f t="shared" si="1"/>
        <v>5.8</v>
      </c>
      <c r="F37" s="574">
        <f t="shared" si="1"/>
        <v>11.6</v>
      </c>
      <c r="G37" s="574">
        <f t="shared" si="1"/>
        <v>-6.5</v>
      </c>
      <c r="H37" s="574">
        <f t="shared" si="1"/>
        <v>15.7</v>
      </c>
      <c r="I37" s="574">
        <f t="shared" si="1"/>
        <v>370.8</v>
      </c>
      <c r="J37" s="574">
        <f t="shared" si="1"/>
        <v>-31.1</v>
      </c>
      <c r="K37" s="574">
        <f t="shared" si="1"/>
        <v>-1.6</v>
      </c>
      <c r="L37" s="574">
        <f t="shared" si="1"/>
        <v>44.7</v>
      </c>
      <c r="M37" s="574">
        <f t="shared" si="1"/>
        <v>5.4</v>
      </c>
      <c r="N37" s="574">
        <f t="shared" si="1"/>
        <v>2.6</v>
      </c>
      <c r="O37" s="575">
        <f t="shared" si="1"/>
        <v>0</v>
      </c>
    </row>
    <row r="38" spans="1:15">
      <c r="A38" s="511">
        <v>2</v>
      </c>
      <c r="B38" s="519" t="s">
        <v>323</v>
      </c>
      <c r="C38" s="1737">
        <f t="shared" ref="C38:O38" si="2">ROUND((C22-C6)/C6*100,1)</f>
        <v>6.8</v>
      </c>
      <c r="D38" s="574">
        <f t="shared" si="2"/>
        <v>-2.8</v>
      </c>
      <c r="E38" s="574">
        <f t="shared" si="2"/>
        <v>2.6</v>
      </c>
      <c r="F38" s="574">
        <f t="shared" si="2"/>
        <v>9.8000000000000007</v>
      </c>
      <c r="G38" s="574">
        <f t="shared" si="2"/>
        <v>-2.2000000000000002</v>
      </c>
      <c r="H38" s="574">
        <f t="shared" si="2"/>
        <v>13.7</v>
      </c>
      <c r="I38" s="574">
        <f t="shared" si="2"/>
        <v>374.7</v>
      </c>
      <c r="J38" s="574">
        <f t="shared" si="2"/>
        <v>16.899999999999999</v>
      </c>
      <c r="K38" s="574">
        <f t="shared" si="2"/>
        <v>0.6</v>
      </c>
      <c r="L38" s="574">
        <f t="shared" si="2"/>
        <v>-72.2</v>
      </c>
      <c r="M38" s="574">
        <f t="shared" si="2"/>
        <v>11.8</v>
      </c>
      <c r="N38" s="574">
        <f t="shared" si="2"/>
        <v>4.9000000000000004</v>
      </c>
      <c r="O38" s="575">
        <f t="shared" si="2"/>
        <v>0</v>
      </c>
    </row>
    <row r="39" spans="1:15">
      <c r="A39" s="511">
        <v>3</v>
      </c>
      <c r="B39" s="519" t="s">
        <v>324</v>
      </c>
      <c r="C39" s="1737">
        <f t="shared" ref="C39:O39" si="3">ROUND((C23-C7)/C7*100,1)</f>
        <v>9.1999999999999993</v>
      </c>
      <c r="D39" s="574">
        <f t="shared" si="3"/>
        <v>9</v>
      </c>
      <c r="E39" s="574">
        <f t="shared" si="3"/>
        <v>3.4</v>
      </c>
      <c r="F39" s="574">
        <f t="shared" si="3"/>
        <v>26.5</v>
      </c>
      <c r="G39" s="574">
        <f t="shared" si="3"/>
        <v>15.9</v>
      </c>
      <c r="H39" s="574">
        <f t="shared" si="3"/>
        <v>29.2</v>
      </c>
      <c r="I39" s="574">
        <f t="shared" si="3"/>
        <v>417.3</v>
      </c>
      <c r="J39" s="574">
        <f t="shared" si="3"/>
        <v>308.10000000000002</v>
      </c>
      <c r="K39" s="574">
        <f t="shared" si="3"/>
        <v>20.8</v>
      </c>
      <c r="L39" s="574">
        <f t="shared" si="3"/>
        <v>183.8</v>
      </c>
      <c r="M39" s="574">
        <f t="shared" si="3"/>
        <v>12.6</v>
      </c>
      <c r="N39" s="574">
        <f t="shared" si="3"/>
        <v>25.9</v>
      </c>
      <c r="O39" s="575">
        <f t="shared" si="3"/>
        <v>0</v>
      </c>
    </row>
    <row r="40" spans="1:15">
      <c r="A40" s="511">
        <v>4</v>
      </c>
      <c r="B40" s="519" t="s">
        <v>192</v>
      </c>
      <c r="C40" s="1737">
        <f t="shared" ref="C40:O40" si="4">ROUND((C24-C8)/C8*100,1)</f>
        <v>2.5</v>
      </c>
      <c r="D40" s="574">
        <f t="shared" si="4"/>
        <v>9.8000000000000007</v>
      </c>
      <c r="E40" s="574">
        <f t="shared" si="4"/>
        <v>5.5</v>
      </c>
      <c r="F40" s="574">
        <f t="shared" si="4"/>
        <v>-22.2</v>
      </c>
      <c r="G40" s="574">
        <f t="shared" si="4"/>
        <v>16.899999999999999</v>
      </c>
      <c r="H40" s="574">
        <f t="shared" si="4"/>
        <v>-25.4</v>
      </c>
      <c r="I40" s="574">
        <f t="shared" si="4"/>
        <v>350.8</v>
      </c>
      <c r="J40" s="574">
        <f t="shared" si="4"/>
        <v>0.8</v>
      </c>
      <c r="K40" s="574">
        <f t="shared" si="4"/>
        <v>-3</v>
      </c>
      <c r="L40" s="574">
        <f t="shared" si="4"/>
        <v>-68.3</v>
      </c>
      <c r="M40" s="574">
        <f t="shared" si="4"/>
        <v>7.6</v>
      </c>
      <c r="N40" s="574">
        <f t="shared" si="4"/>
        <v>1.2</v>
      </c>
      <c r="O40" s="575">
        <f t="shared" si="4"/>
        <v>0</v>
      </c>
    </row>
    <row r="41" spans="1:15">
      <c r="A41" s="511">
        <v>5</v>
      </c>
      <c r="B41" s="519" t="s">
        <v>325</v>
      </c>
      <c r="C41" s="1737">
        <f t="shared" ref="C41:O41" si="5">ROUND((C25-C9)/C9*100,1)</f>
        <v>-2.5</v>
      </c>
      <c r="D41" s="574">
        <f t="shared" si="5"/>
        <v>18.3</v>
      </c>
      <c r="E41" s="574">
        <f t="shared" si="5"/>
        <v>5.4</v>
      </c>
      <c r="F41" s="574">
        <f t="shared" si="5"/>
        <v>30.7</v>
      </c>
      <c r="G41" s="574">
        <f t="shared" si="5"/>
        <v>-14.5</v>
      </c>
      <c r="H41" s="574">
        <f t="shared" si="5"/>
        <v>37.299999999999997</v>
      </c>
      <c r="I41" s="574">
        <f t="shared" si="5"/>
        <v>467.2</v>
      </c>
      <c r="J41" s="574">
        <f t="shared" si="5"/>
        <v>1.4</v>
      </c>
      <c r="K41" s="574">
        <f t="shared" si="5"/>
        <v>18.5</v>
      </c>
      <c r="L41" s="574">
        <f t="shared" si="5"/>
        <v>-56.6</v>
      </c>
      <c r="M41" s="574">
        <f t="shared" si="5"/>
        <v>-0.8</v>
      </c>
      <c r="N41" s="574">
        <f t="shared" si="5"/>
        <v>23.6</v>
      </c>
      <c r="O41" s="575">
        <f t="shared" si="5"/>
        <v>0</v>
      </c>
    </row>
    <row r="42" spans="1:15">
      <c r="A42" s="511">
        <v>6</v>
      </c>
      <c r="B42" s="519" t="s">
        <v>326</v>
      </c>
      <c r="C42" s="1737">
        <f t="shared" ref="C42:O42" si="6">ROUND((C26-C10)/C10*100,1)</f>
        <v>-5.5</v>
      </c>
      <c r="D42" s="574">
        <f t="shared" si="6"/>
        <v>-3.2</v>
      </c>
      <c r="E42" s="574">
        <f t="shared" si="6"/>
        <v>4.5999999999999996</v>
      </c>
      <c r="F42" s="574">
        <f t="shared" si="6"/>
        <v>-9.3000000000000007</v>
      </c>
      <c r="G42" s="574">
        <f t="shared" si="6"/>
        <v>-23.4</v>
      </c>
      <c r="H42" s="574">
        <f t="shared" si="6"/>
        <v>-7.1</v>
      </c>
      <c r="I42" s="574">
        <f t="shared" si="6"/>
        <v>350.3</v>
      </c>
      <c r="J42" s="574">
        <f t="shared" si="6"/>
        <v>-73.3</v>
      </c>
      <c r="K42" s="574">
        <f t="shared" si="6"/>
        <v>-6.9</v>
      </c>
      <c r="L42" s="574">
        <f t="shared" si="6"/>
        <v>6.7</v>
      </c>
      <c r="M42" s="574">
        <f t="shared" si="6"/>
        <v>-1.8</v>
      </c>
      <c r="N42" s="574">
        <f t="shared" si="6"/>
        <v>-2.9</v>
      </c>
      <c r="O42" s="575">
        <f t="shared" si="6"/>
        <v>0</v>
      </c>
    </row>
    <row r="43" spans="1:15">
      <c r="A43" s="511">
        <v>7</v>
      </c>
      <c r="B43" s="519" t="s">
        <v>327</v>
      </c>
      <c r="C43" s="1737">
        <f t="shared" ref="C43:O43" si="7">ROUND((C27-C11)/C11*100,1)</f>
        <v>3.7</v>
      </c>
      <c r="D43" s="574">
        <f t="shared" si="7"/>
        <v>17.5</v>
      </c>
      <c r="E43" s="574">
        <f t="shared" si="7"/>
        <v>4.5999999999999996</v>
      </c>
      <c r="F43" s="574">
        <f t="shared" si="7"/>
        <v>8.6999999999999993</v>
      </c>
      <c r="G43" s="574">
        <f t="shared" si="7"/>
        <v>9.1</v>
      </c>
      <c r="H43" s="574">
        <f t="shared" si="7"/>
        <v>8.8000000000000007</v>
      </c>
      <c r="I43" s="574">
        <f t="shared" si="7"/>
        <v>441.5</v>
      </c>
      <c r="J43" s="574">
        <f t="shared" si="7"/>
        <v>-7.9</v>
      </c>
      <c r="K43" s="574">
        <f t="shared" si="7"/>
        <v>12.2</v>
      </c>
      <c r="L43" s="574">
        <f t="shared" si="7"/>
        <v>-35.4</v>
      </c>
      <c r="M43" s="574">
        <f t="shared" si="7"/>
        <v>6.6</v>
      </c>
      <c r="N43" s="574">
        <f t="shared" si="7"/>
        <v>17.100000000000001</v>
      </c>
      <c r="O43" s="575">
        <f t="shared" si="7"/>
        <v>0</v>
      </c>
    </row>
    <row r="44" spans="1:15">
      <c r="A44" s="511">
        <v>8</v>
      </c>
      <c r="B44" s="519" t="s">
        <v>210</v>
      </c>
      <c r="C44" s="1737">
        <f t="shared" ref="C44:O44" si="8">ROUND((C28-C12)/C12*100,1)</f>
        <v>27.4</v>
      </c>
      <c r="D44" s="574">
        <f t="shared" si="8"/>
        <v>16.8</v>
      </c>
      <c r="E44" s="574">
        <f t="shared" si="8"/>
        <v>7.4</v>
      </c>
      <c r="F44" s="574">
        <f t="shared" si="8"/>
        <v>42.9</v>
      </c>
      <c r="G44" s="574">
        <f t="shared" si="8"/>
        <v>3.7</v>
      </c>
      <c r="H44" s="574">
        <f t="shared" si="8"/>
        <v>47.8</v>
      </c>
      <c r="I44" s="574">
        <f t="shared" si="8"/>
        <v>469.2</v>
      </c>
      <c r="J44" s="574">
        <f t="shared" si="8"/>
        <v>-51.6</v>
      </c>
      <c r="K44" s="574">
        <f t="shared" si="8"/>
        <v>15.2</v>
      </c>
      <c r="L44" s="574">
        <f t="shared" si="8"/>
        <v>-635.1</v>
      </c>
      <c r="M44" s="574">
        <f t="shared" si="8"/>
        <v>31.4</v>
      </c>
      <c r="N44" s="574">
        <f t="shared" si="8"/>
        <v>20.2</v>
      </c>
      <c r="O44" s="575">
        <f t="shared" si="8"/>
        <v>0</v>
      </c>
    </row>
    <row r="45" spans="1:15">
      <c r="A45" s="511">
        <v>9</v>
      </c>
      <c r="B45" s="519" t="s">
        <v>211</v>
      </c>
      <c r="C45" s="1737">
        <f t="shared" ref="C45:O45" si="9">ROUND((C29-C13)/C13*100,1)</f>
        <v>5.6</v>
      </c>
      <c r="D45" s="574">
        <f t="shared" si="9"/>
        <v>18</v>
      </c>
      <c r="E45" s="574">
        <f t="shared" si="9"/>
        <v>5</v>
      </c>
      <c r="F45" s="574">
        <f t="shared" si="9"/>
        <v>22.6</v>
      </c>
      <c r="G45" s="574">
        <f t="shared" si="9"/>
        <v>22.5</v>
      </c>
      <c r="H45" s="574">
        <f t="shared" si="9"/>
        <v>22.9</v>
      </c>
      <c r="I45" s="574">
        <f t="shared" si="9"/>
        <v>456</v>
      </c>
      <c r="J45" s="574">
        <f t="shared" si="9"/>
        <v>-58.3</v>
      </c>
      <c r="K45" s="574">
        <f t="shared" si="9"/>
        <v>14.2</v>
      </c>
      <c r="L45" s="574">
        <f t="shared" si="9"/>
        <v>-30.1</v>
      </c>
      <c r="M45" s="574">
        <f t="shared" si="9"/>
        <v>8.4</v>
      </c>
      <c r="N45" s="574">
        <f t="shared" si="9"/>
        <v>19.100000000000001</v>
      </c>
      <c r="O45" s="575">
        <f t="shared" si="9"/>
        <v>0</v>
      </c>
    </row>
    <row r="46" spans="1:15">
      <c r="A46" s="515">
        <v>10</v>
      </c>
      <c r="B46" s="520" t="s">
        <v>212</v>
      </c>
      <c r="C46" s="1738">
        <f t="shared" ref="C46:O46" si="10">ROUND((C30-C14)/C14*100,1)</f>
        <v>13.9</v>
      </c>
      <c r="D46" s="576">
        <f t="shared" si="10"/>
        <v>18.600000000000001</v>
      </c>
      <c r="E46" s="576">
        <f t="shared" si="10"/>
        <v>1.6</v>
      </c>
      <c r="F46" s="576">
        <f t="shared" si="10"/>
        <v>17.8</v>
      </c>
      <c r="G46" s="576">
        <f t="shared" si="10"/>
        <v>-3.5</v>
      </c>
      <c r="H46" s="576">
        <f t="shared" si="10"/>
        <v>22.6</v>
      </c>
      <c r="I46" s="576">
        <f t="shared" si="10"/>
        <v>445.3</v>
      </c>
      <c r="J46" s="576">
        <f t="shared" si="10"/>
        <v>-75.599999999999994</v>
      </c>
      <c r="K46" s="576">
        <f t="shared" si="10"/>
        <v>7.3</v>
      </c>
      <c r="L46" s="576">
        <f t="shared" si="10"/>
        <v>1802</v>
      </c>
      <c r="M46" s="576">
        <f t="shared" si="10"/>
        <v>17.899999999999999</v>
      </c>
      <c r="N46" s="576">
        <f t="shared" si="10"/>
        <v>11.9</v>
      </c>
      <c r="O46" s="577">
        <f t="shared" si="10"/>
        <v>0</v>
      </c>
    </row>
    <row r="49" spans="1:15">
      <c r="A49" s="681" t="s">
        <v>1736</v>
      </c>
      <c r="B49" s="456"/>
      <c r="C49" s="456"/>
      <c r="D49" s="456"/>
      <c r="E49" s="456"/>
      <c r="F49" s="456"/>
      <c r="G49" s="500"/>
      <c r="H49" s="500"/>
      <c r="I49" s="500"/>
      <c r="J49" s="500"/>
      <c r="K49" s="500"/>
      <c r="L49" s="500"/>
      <c r="M49" s="500"/>
      <c r="N49" s="500" t="s">
        <v>818</v>
      </c>
      <c r="O49" s="500"/>
    </row>
    <row r="50" spans="1:15">
      <c r="A50" s="501"/>
      <c r="B50" s="502" t="s">
        <v>930</v>
      </c>
      <c r="C50" s="2302" t="s">
        <v>817</v>
      </c>
      <c r="D50" s="2304" t="s">
        <v>667</v>
      </c>
      <c r="E50" s="2302" t="s">
        <v>668</v>
      </c>
      <c r="F50" s="2306" t="s">
        <v>669</v>
      </c>
      <c r="G50" s="503"/>
      <c r="H50" s="503"/>
      <c r="I50" s="455"/>
      <c r="J50" s="2302" t="s">
        <v>670</v>
      </c>
      <c r="K50" s="2302" t="s">
        <v>671</v>
      </c>
      <c r="L50" s="503" t="s">
        <v>816</v>
      </c>
      <c r="M50" s="503"/>
      <c r="N50" s="503"/>
      <c r="O50" s="455"/>
    </row>
    <row r="51" spans="1:15" ht="25">
      <c r="A51" s="504"/>
      <c r="B51" s="505" t="s">
        <v>9</v>
      </c>
      <c r="C51" s="2303"/>
      <c r="D51" s="2305"/>
      <c r="E51" s="2303"/>
      <c r="F51" s="2307"/>
      <c r="G51" s="506" t="s">
        <v>814</v>
      </c>
      <c r="H51" s="507" t="s">
        <v>815</v>
      </c>
      <c r="I51" s="455" t="s">
        <v>826</v>
      </c>
      <c r="J51" s="2303"/>
      <c r="K51" s="2303"/>
      <c r="L51" s="508" t="s">
        <v>827</v>
      </c>
      <c r="M51" s="506" t="s">
        <v>895</v>
      </c>
      <c r="N51" s="507" t="s">
        <v>896</v>
      </c>
      <c r="O51" s="455" t="s">
        <v>897</v>
      </c>
    </row>
    <row r="52" spans="1:15">
      <c r="A52" s="509"/>
      <c r="B52" s="510" t="s">
        <v>166</v>
      </c>
      <c r="C52" s="1361">
        <f>'26R7'!C4</f>
        <v>25606106.31116347</v>
      </c>
      <c r="D52" s="1122">
        <f>'26R7'!D4</f>
        <v>14852478</v>
      </c>
      <c r="E52" s="1122">
        <f>'26R7'!E4</f>
        <v>3277424</v>
      </c>
      <c r="F52" s="1122">
        <f>'26R7'!F4</f>
        <v>5798859.2816393301</v>
      </c>
      <c r="G52" s="1122">
        <f>'26R7'!G4</f>
        <v>760372.28163933067</v>
      </c>
      <c r="H52" s="1122">
        <f>'26R7'!H4</f>
        <v>5047977</v>
      </c>
      <c r="I52" s="1122">
        <f>'26R7'!I4</f>
        <v>-9490</v>
      </c>
      <c r="J52" s="1122">
        <f>'26R7'!J4</f>
        <v>816574</v>
      </c>
      <c r="K52" s="1122">
        <f>'26R7'!K4</f>
        <v>24745335.28163933</v>
      </c>
      <c r="L52" s="1122">
        <f>'26R7'!L4</f>
        <v>860771.0295241382</v>
      </c>
      <c r="M52" s="1122">
        <f>'26R7'!M4</f>
        <v>24357789.02952414</v>
      </c>
      <c r="N52" s="1122">
        <f>'26R7'!N4</f>
        <v>22770726</v>
      </c>
      <c r="O52" s="1123">
        <f>'26R7'!O4</f>
        <v>-726292</v>
      </c>
    </row>
    <row r="53" spans="1:15">
      <c r="A53" s="511">
        <v>1</v>
      </c>
      <c r="B53" s="453" t="s">
        <v>172</v>
      </c>
      <c r="C53" s="1362">
        <f>'26R7'!C5</f>
        <v>7513418.3111634683</v>
      </c>
      <c r="D53" s="513">
        <f>'26R7'!D5</f>
        <v>4399875</v>
      </c>
      <c r="E53" s="513">
        <f>'26R7'!E5</f>
        <v>1125791</v>
      </c>
      <c r="F53" s="513">
        <f>'26R7'!F5</f>
        <v>1441357.2816393306</v>
      </c>
      <c r="G53" s="513">
        <f>'26R7'!G5</f>
        <v>201920.28163933067</v>
      </c>
      <c r="H53" s="513">
        <f>'26R7'!H5</f>
        <v>1242231</v>
      </c>
      <c r="I53" s="513">
        <f>'26R7'!I5</f>
        <v>-2794</v>
      </c>
      <c r="J53" s="513">
        <f>'26R7'!J5</f>
        <v>275598</v>
      </c>
      <c r="K53" s="513">
        <f>'26R7'!K5</f>
        <v>7242621.2816393301</v>
      </c>
      <c r="L53" s="513">
        <f>'26R7'!L5</f>
        <v>270797.0295241382</v>
      </c>
      <c r="M53" s="513">
        <f>'26R7'!M5</f>
        <v>7164914.0295241382</v>
      </c>
      <c r="N53" s="513">
        <f>'26R7'!N5</f>
        <v>6664680</v>
      </c>
      <c r="O53" s="514">
        <f>'26R7'!O5</f>
        <v>-229437</v>
      </c>
    </row>
    <row r="54" spans="1:15">
      <c r="A54" s="511">
        <v>2</v>
      </c>
      <c r="B54" s="453" t="s">
        <v>323</v>
      </c>
      <c r="C54" s="1362">
        <f>'26R7'!C6</f>
        <v>4506521</v>
      </c>
      <c r="D54" s="513">
        <f>'26R7'!D6</f>
        <v>2878133</v>
      </c>
      <c r="E54" s="513">
        <f>'26R7'!E6</f>
        <v>530814</v>
      </c>
      <c r="F54" s="513">
        <f>'26R7'!F6</f>
        <v>898444</v>
      </c>
      <c r="G54" s="513">
        <f>'26R7'!G6</f>
        <v>171477</v>
      </c>
      <c r="H54" s="513">
        <f>'26R7'!H6</f>
        <v>728658</v>
      </c>
      <c r="I54" s="513">
        <f>'26R7'!I6</f>
        <v>-1691</v>
      </c>
      <c r="J54" s="513">
        <f>'26R7'!J6</f>
        <v>96982</v>
      </c>
      <c r="K54" s="513">
        <f>'26R7'!K6</f>
        <v>4404373</v>
      </c>
      <c r="L54" s="513">
        <f>'26R7'!L6</f>
        <v>102148</v>
      </c>
      <c r="M54" s="513">
        <f>'26R7'!M6</f>
        <v>4324127</v>
      </c>
      <c r="N54" s="513">
        <f>'26R7'!N6</f>
        <v>4052916</v>
      </c>
      <c r="O54" s="514">
        <f>'26R7'!O6</f>
        <v>-169063</v>
      </c>
    </row>
    <row r="55" spans="1:15">
      <c r="A55" s="511">
        <v>3</v>
      </c>
      <c r="B55" s="453" t="s">
        <v>324</v>
      </c>
      <c r="C55" s="1362">
        <f>'26R7'!C7</f>
        <v>3131557</v>
      </c>
      <c r="D55" s="513">
        <f>'26R7'!D7</f>
        <v>1886056</v>
      </c>
      <c r="E55" s="513">
        <f>'26R7'!E7</f>
        <v>353613</v>
      </c>
      <c r="F55" s="513">
        <f>'26R7'!F7</f>
        <v>639900</v>
      </c>
      <c r="G55" s="513">
        <f>'26R7'!G7</f>
        <v>99695</v>
      </c>
      <c r="H55" s="513">
        <f>'26R7'!H7</f>
        <v>541324</v>
      </c>
      <c r="I55" s="513">
        <f>'26R7'!I7</f>
        <v>-1119</v>
      </c>
      <c r="J55" s="513">
        <f>'26R7'!J7</f>
        <v>179150</v>
      </c>
      <c r="K55" s="513">
        <f>'26R7'!K7</f>
        <v>3058719</v>
      </c>
      <c r="L55" s="513">
        <f>'26R7'!L7</f>
        <v>72838</v>
      </c>
      <c r="M55" s="513">
        <f>'26R7'!M7</f>
        <v>2999767</v>
      </c>
      <c r="N55" s="513">
        <f>'26R7'!N7</f>
        <v>2814641</v>
      </c>
      <c r="O55" s="514">
        <f>'26R7'!O7</f>
        <v>-112288</v>
      </c>
    </row>
    <row r="56" spans="1:15">
      <c r="A56" s="511">
        <v>4</v>
      </c>
      <c r="B56" s="453" t="s">
        <v>192</v>
      </c>
      <c r="C56" s="1362">
        <f>'26R7'!C8</f>
        <v>3510935</v>
      </c>
      <c r="D56" s="513">
        <f>'26R7'!D8</f>
        <v>1955744</v>
      </c>
      <c r="E56" s="513">
        <f>'26R7'!E8</f>
        <v>339761</v>
      </c>
      <c r="F56" s="513">
        <f>'26R7'!F8</f>
        <v>1039973</v>
      </c>
      <c r="G56" s="513">
        <f>'26R7'!G8</f>
        <v>109947</v>
      </c>
      <c r="H56" s="513">
        <f>'26R7'!H8</f>
        <v>931321</v>
      </c>
      <c r="I56" s="513">
        <f>'26R7'!I8</f>
        <v>-1295</v>
      </c>
      <c r="J56" s="513">
        <f>'26R7'!J8</f>
        <v>77658</v>
      </c>
      <c r="K56" s="513">
        <f>'26R7'!K8</f>
        <v>3413136</v>
      </c>
      <c r="L56" s="513">
        <f>'26R7'!L8</f>
        <v>97799</v>
      </c>
      <c r="M56" s="513">
        <f>'26R7'!M8</f>
        <v>3335591</v>
      </c>
      <c r="N56" s="513">
        <f>'26R7'!N8</f>
        <v>3140777</v>
      </c>
      <c r="O56" s="514">
        <f>'26R7'!O8</f>
        <v>-97015</v>
      </c>
    </row>
    <row r="57" spans="1:15">
      <c r="A57" s="511">
        <v>5</v>
      </c>
      <c r="B57" s="453" t="s">
        <v>325</v>
      </c>
      <c r="C57" s="1362">
        <f>'26R7'!C9</f>
        <v>1279789</v>
      </c>
      <c r="D57" s="513">
        <f>'26R7'!D9</f>
        <v>678416</v>
      </c>
      <c r="E57" s="513">
        <f>'26R7'!E9</f>
        <v>159233</v>
      </c>
      <c r="F57" s="513">
        <f>'26R7'!F9</f>
        <v>316665</v>
      </c>
      <c r="G57" s="513">
        <f>'26R7'!G9</f>
        <v>26203</v>
      </c>
      <c r="H57" s="513">
        <f>'26R7'!H9</f>
        <v>290927</v>
      </c>
      <c r="I57" s="513">
        <f>'26R7'!I9</f>
        <v>-465</v>
      </c>
      <c r="J57" s="513">
        <f>'26R7'!J9</f>
        <v>41287</v>
      </c>
      <c r="K57" s="513">
        <f>'26R7'!K9</f>
        <v>1195601</v>
      </c>
      <c r="L57" s="513">
        <f>'26R7'!L9</f>
        <v>84188</v>
      </c>
      <c r="M57" s="513">
        <f>'26R7'!M9</f>
        <v>1177065</v>
      </c>
      <c r="N57" s="513">
        <f>'26R7'!N9</f>
        <v>1100196</v>
      </c>
      <c r="O57" s="514">
        <f>'26R7'!O9</f>
        <v>7319</v>
      </c>
    </row>
    <row r="58" spans="1:15">
      <c r="A58" s="511">
        <v>6</v>
      </c>
      <c r="B58" s="453" t="s">
        <v>326</v>
      </c>
      <c r="C58" s="1362">
        <f>'26R7'!C10</f>
        <v>2727648</v>
      </c>
      <c r="D58" s="513">
        <f>'26R7'!D10</f>
        <v>1433956</v>
      </c>
      <c r="E58" s="513">
        <f>'26R7'!E10</f>
        <v>296552</v>
      </c>
      <c r="F58" s="513">
        <f>'26R7'!F10</f>
        <v>809662</v>
      </c>
      <c r="G58" s="513">
        <f>'26R7'!G10</f>
        <v>93561</v>
      </c>
      <c r="H58" s="513">
        <f>'26R7'!H10</f>
        <v>717101</v>
      </c>
      <c r="I58" s="513">
        <f>'26R7'!I10</f>
        <v>-1000</v>
      </c>
      <c r="J58" s="513">
        <f>'26R7'!J10</f>
        <v>54006</v>
      </c>
      <c r="K58" s="513">
        <f>'26R7'!K10</f>
        <v>2594176</v>
      </c>
      <c r="L58" s="513">
        <f>'26R7'!L10</f>
        <v>133472</v>
      </c>
      <c r="M58" s="513">
        <f>'26R7'!M10</f>
        <v>2543459</v>
      </c>
      <c r="N58" s="513">
        <f>'26R7'!N10</f>
        <v>2387169</v>
      </c>
      <c r="O58" s="514">
        <f>'26R7'!O10</f>
        <v>-22818</v>
      </c>
    </row>
    <row r="59" spans="1:15">
      <c r="A59" s="511">
        <v>7</v>
      </c>
      <c r="B59" s="453" t="s">
        <v>327</v>
      </c>
      <c r="C59" s="1362">
        <f>'26R7'!C11</f>
        <v>1128143</v>
      </c>
      <c r="D59" s="513">
        <f>'26R7'!D11</f>
        <v>614774</v>
      </c>
      <c r="E59" s="513">
        <f>'26R7'!E11</f>
        <v>145410</v>
      </c>
      <c r="F59" s="513">
        <f>'26R7'!F11</f>
        <v>278111</v>
      </c>
      <c r="G59" s="513">
        <f>'26R7'!G11</f>
        <v>21244</v>
      </c>
      <c r="H59" s="513">
        <f>'26R7'!H11</f>
        <v>257287</v>
      </c>
      <c r="I59" s="513">
        <f>'26R7'!I11</f>
        <v>-420</v>
      </c>
      <c r="J59" s="513">
        <f>'26R7'!J11</f>
        <v>32397</v>
      </c>
      <c r="K59" s="513">
        <f>'26R7'!K11</f>
        <v>1070692</v>
      </c>
      <c r="L59" s="513">
        <f>'26R7'!L11</f>
        <v>57451</v>
      </c>
      <c r="M59" s="513">
        <f>'26R7'!M11</f>
        <v>1054695</v>
      </c>
      <c r="N59" s="513">
        <f>'26R7'!N11</f>
        <v>985254</v>
      </c>
      <c r="O59" s="514">
        <f>'26R7'!O11</f>
        <v>-11990</v>
      </c>
    </row>
    <row r="60" spans="1:15">
      <c r="A60" s="511">
        <v>8</v>
      </c>
      <c r="B60" s="453" t="s">
        <v>210</v>
      </c>
      <c r="C60" s="1362">
        <f>'26R7'!C12</f>
        <v>747339</v>
      </c>
      <c r="D60" s="513">
        <f>'26R7'!D12</f>
        <v>413437</v>
      </c>
      <c r="E60" s="513">
        <f>'26R7'!E12</f>
        <v>139375</v>
      </c>
      <c r="F60" s="513">
        <f>'26R7'!F12</f>
        <v>158662</v>
      </c>
      <c r="G60" s="513">
        <f>'26R7'!G12</f>
        <v>11528</v>
      </c>
      <c r="H60" s="513">
        <f>'26R7'!H12</f>
        <v>147427</v>
      </c>
      <c r="I60" s="513">
        <f>'26R7'!I12</f>
        <v>-293</v>
      </c>
      <c r="J60" s="513">
        <f>'26R7'!J12</f>
        <v>24450</v>
      </c>
      <c r="K60" s="513">
        <f>'26R7'!K12</f>
        <v>735924</v>
      </c>
      <c r="L60" s="513">
        <f>'26R7'!L12</f>
        <v>11415</v>
      </c>
      <c r="M60" s="513">
        <f>'26R7'!M12</f>
        <v>733389</v>
      </c>
      <c r="N60" s="513">
        <f>'26R7'!N12</f>
        <v>677199</v>
      </c>
      <c r="O60" s="514">
        <f>'26R7'!O12</f>
        <v>-44775</v>
      </c>
    </row>
    <row r="61" spans="1:15">
      <c r="A61" s="511">
        <v>9</v>
      </c>
      <c r="B61" s="453" t="s">
        <v>211</v>
      </c>
      <c r="C61" s="1362">
        <f>'26R7'!C13</f>
        <v>483345</v>
      </c>
      <c r="D61" s="513">
        <f>'26R7'!D13</f>
        <v>271758</v>
      </c>
      <c r="E61" s="513">
        <f>'26R7'!E13</f>
        <v>78339</v>
      </c>
      <c r="F61" s="513">
        <f>'26R7'!F13</f>
        <v>101136</v>
      </c>
      <c r="G61" s="513">
        <f>'26R7'!G13</f>
        <v>10072</v>
      </c>
      <c r="H61" s="513">
        <f>'26R7'!H13</f>
        <v>91248</v>
      </c>
      <c r="I61" s="513">
        <f>'26R7'!I13</f>
        <v>-184</v>
      </c>
      <c r="J61" s="513">
        <f>'26R7'!J13</f>
        <v>10561</v>
      </c>
      <c r="K61" s="513">
        <f>'26R7'!K13</f>
        <v>461794</v>
      </c>
      <c r="L61" s="513">
        <f>'26R7'!L13</f>
        <v>21551</v>
      </c>
      <c r="M61" s="513">
        <f>'26R7'!M13</f>
        <v>458247</v>
      </c>
      <c r="N61" s="513">
        <f>'26R7'!N13</f>
        <v>424944</v>
      </c>
      <c r="O61" s="514">
        <f>'26R7'!O13</f>
        <v>-11752</v>
      </c>
    </row>
    <row r="62" spans="1:15">
      <c r="A62" s="515">
        <v>10</v>
      </c>
      <c r="B62" s="450" t="s">
        <v>212</v>
      </c>
      <c r="C62" s="1363">
        <f>'26R7'!C14</f>
        <v>577411</v>
      </c>
      <c r="D62" s="517">
        <f>'26R7'!D14</f>
        <v>320329</v>
      </c>
      <c r="E62" s="517">
        <f>'26R7'!E14</f>
        <v>108536</v>
      </c>
      <c r="F62" s="517">
        <f>'26R7'!F14</f>
        <v>114949</v>
      </c>
      <c r="G62" s="517">
        <f>'26R7'!G14</f>
        <v>14725</v>
      </c>
      <c r="H62" s="517">
        <f>'26R7'!H14</f>
        <v>100453</v>
      </c>
      <c r="I62" s="517">
        <f>'26R7'!I14</f>
        <v>-229</v>
      </c>
      <c r="J62" s="517">
        <f>'26R7'!J14</f>
        <v>24485</v>
      </c>
      <c r="K62" s="517">
        <f>'26R7'!K14</f>
        <v>568299</v>
      </c>
      <c r="L62" s="517">
        <f>'26R7'!L14</f>
        <v>9112</v>
      </c>
      <c r="M62" s="517">
        <f>'26R7'!M14</f>
        <v>566535</v>
      </c>
      <c r="N62" s="517">
        <f>'26R7'!N14</f>
        <v>522950</v>
      </c>
      <c r="O62" s="518">
        <f>'26R7'!O14</f>
        <v>-34473</v>
      </c>
    </row>
    <row r="65" spans="1:15">
      <c r="A65" s="681" t="s">
        <v>1737</v>
      </c>
      <c r="B65" s="456"/>
      <c r="C65" s="456"/>
      <c r="D65" s="456"/>
      <c r="E65" s="456"/>
      <c r="F65" s="456"/>
      <c r="G65" s="500"/>
      <c r="H65" s="500"/>
      <c r="I65" s="500"/>
      <c r="J65" s="500"/>
      <c r="K65" s="500"/>
      <c r="L65" s="500"/>
      <c r="M65" s="500"/>
      <c r="N65" s="500" t="s">
        <v>818</v>
      </c>
      <c r="O65" s="500"/>
    </row>
    <row r="66" spans="1:15">
      <c r="A66" s="501"/>
      <c r="B66" s="502" t="s">
        <v>930</v>
      </c>
      <c r="C66" s="2302" t="s">
        <v>817</v>
      </c>
      <c r="D66" s="2304" t="s">
        <v>667</v>
      </c>
      <c r="E66" s="2302" t="s">
        <v>668</v>
      </c>
      <c r="F66" s="2306" t="s">
        <v>669</v>
      </c>
      <c r="G66" s="503"/>
      <c r="H66" s="503"/>
      <c r="I66" s="455"/>
      <c r="J66" s="2302" t="s">
        <v>670</v>
      </c>
      <c r="K66" s="2302" t="s">
        <v>671</v>
      </c>
      <c r="L66" s="503" t="s">
        <v>816</v>
      </c>
      <c r="M66" s="503"/>
      <c r="N66" s="503"/>
      <c r="O66" s="455"/>
    </row>
    <row r="67" spans="1:15" ht="25">
      <c r="A67" s="504"/>
      <c r="B67" s="505" t="s">
        <v>9</v>
      </c>
      <c r="C67" s="2303"/>
      <c r="D67" s="2305"/>
      <c r="E67" s="2303"/>
      <c r="F67" s="2307"/>
      <c r="G67" s="506" t="s">
        <v>814</v>
      </c>
      <c r="H67" s="507" t="s">
        <v>815</v>
      </c>
      <c r="I67" s="455" t="s">
        <v>826</v>
      </c>
      <c r="J67" s="2303"/>
      <c r="K67" s="2303"/>
      <c r="L67" s="508" t="s">
        <v>827</v>
      </c>
      <c r="M67" s="506" t="s">
        <v>895</v>
      </c>
      <c r="N67" s="507" t="s">
        <v>896</v>
      </c>
      <c r="O67" s="455" t="s">
        <v>897</v>
      </c>
    </row>
    <row r="68" spans="1:15">
      <c r="A68" s="509"/>
      <c r="B68" s="521" t="s">
        <v>166</v>
      </c>
      <c r="C68" s="1736">
        <f>ROUND((C52-C20)/C20*100,1)</f>
        <v>3.4</v>
      </c>
      <c r="D68" s="578">
        <f t="shared" ref="D68:O68" si="11">ROUND((D52-D20)/D20*100,1)</f>
        <v>3.5</v>
      </c>
      <c r="E68" s="578">
        <f t="shared" si="11"/>
        <v>4.5</v>
      </c>
      <c r="F68" s="578">
        <f t="shared" si="11"/>
        <v>4</v>
      </c>
      <c r="G68" s="578">
        <f t="shared" si="11"/>
        <v>-0.8</v>
      </c>
      <c r="H68" s="578">
        <f t="shared" si="11"/>
        <v>4.7</v>
      </c>
      <c r="I68" s="578">
        <f t="shared" si="11"/>
        <v>-34.299999999999997</v>
      </c>
      <c r="J68" s="578">
        <f t="shared" si="11"/>
        <v>-9.8000000000000007</v>
      </c>
      <c r="K68" s="578">
        <f t="shared" si="11"/>
        <v>3.3</v>
      </c>
      <c r="L68" s="578">
        <f t="shared" si="11"/>
        <v>7.7</v>
      </c>
      <c r="M68" s="578">
        <f t="shared" si="11"/>
        <v>2.6</v>
      </c>
      <c r="N68" s="578">
        <f t="shared" si="11"/>
        <v>2.5</v>
      </c>
      <c r="O68" s="579">
        <f t="shared" si="11"/>
        <v>0</v>
      </c>
    </row>
    <row r="69" spans="1:15">
      <c r="A69" s="511">
        <v>1</v>
      </c>
      <c r="B69" s="519" t="s">
        <v>172</v>
      </c>
      <c r="C69" s="1737">
        <f t="shared" ref="C69:O69" si="12">ROUND((C53-C21)/C21*100,1)</f>
        <v>-1.6</v>
      </c>
      <c r="D69" s="574">
        <f t="shared" si="12"/>
        <v>3.6</v>
      </c>
      <c r="E69" s="574">
        <f t="shared" si="12"/>
        <v>5.5</v>
      </c>
      <c r="F69" s="574">
        <f t="shared" si="12"/>
        <v>4.5</v>
      </c>
      <c r="G69" s="574">
        <f t="shared" si="12"/>
        <v>2.1</v>
      </c>
      <c r="H69" s="574">
        <f t="shared" si="12"/>
        <v>4.7</v>
      </c>
      <c r="I69" s="574">
        <f t="shared" si="12"/>
        <v>-34.4</v>
      </c>
      <c r="J69" s="574">
        <f t="shared" si="12"/>
        <v>14.1</v>
      </c>
      <c r="K69" s="574">
        <f t="shared" si="12"/>
        <v>4.4000000000000004</v>
      </c>
      <c r="L69" s="574">
        <f t="shared" si="12"/>
        <v>-61</v>
      </c>
      <c r="M69" s="574">
        <f t="shared" si="12"/>
        <v>-2.6</v>
      </c>
      <c r="N69" s="574">
        <f t="shared" si="12"/>
        <v>3.7</v>
      </c>
      <c r="O69" s="575">
        <f t="shared" si="12"/>
        <v>0</v>
      </c>
    </row>
    <row r="70" spans="1:15">
      <c r="A70" s="511">
        <v>2</v>
      </c>
      <c r="B70" s="519" t="s">
        <v>323</v>
      </c>
      <c r="C70" s="1737">
        <f t="shared" ref="C70:O70" si="13">ROUND((C54-C22)/C22*100,1)</f>
        <v>8</v>
      </c>
      <c r="D70" s="574">
        <f t="shared" si="13"/>
        <v>3.7</v>
      </c>
      <c r="E70" s="574">
        <f t="shared" si="13"/>
        <v>5</v>
      </c>
      <c r="F70" s="574">
        <f t="shared" si="13"/>
        <v>3.1</v>
      </c>
      <c r="G70" s="574">
        <f t="shared" si="13"/>
        <v>-3.4</v>
      </c>
      <c r="H70" s="574">
        <f t="shared" si="13"/>
        <v>4.5999999999999996</v>
      </c>
      <c r="I70" s="574">
        <f t="shared" si="13"/>
        <v>-34.299999999999997</v>
      </c>
      <c r="J70" s="574">
        <f t="shared" si="13"/>
        <v>-14</v>
      </c>
      <c r="K70" s="574">
        <f t="shared" si="13"/>
        <v>3.3</v>
      </c>
      <c r="L70" s="574">
        <f t="shared" si="13"/>
        <v>-211.8</v>
      </c>
      <c r="M70" s="574">
        <f t="shared" si="13"/>
        <v>7.3</v>
      </c>
      <c r="N70" s="574">
        <f t="shared" si="13"/>
        <v>2.6</v>
      </c>
      <c r="O70" s="575">
        <f t="shared" si="13"/>
        <v>0</v>
      </c>
    </row>
    <row r="71" spans="1:15">
      <c r="A71" s="511">
        <v>3</v>
      </c>
      <c r="B71" s="519" t="s">
        <v>324</v>
      </c>
      <c r="C71" s="1737">
        <f t="shared" ref="C71:O71" si="14">ROUND((C55-C23)/C23*100,1)</f>
        <v>19.600000000000001</v>
      </c>
      <c r="D71" s="574">
        <f t="shared" si="14"/>
        <v>3.6</v>
      </c>
      <c r="E71" s="574">
        <f t="shared" si="14"/>
        <v>4.0999999999999996</v>
      </c>
      <c r="F71" s="574">
        <f t="shared" si="14"/>
        <v>3.4</v>
      </c>
      <c r="G71" s="574">
        <f t="shared" si="14"/>
        <v>-3.5</v>
      </c>
      <c r="H71" s="574">
        <f t="shared" si="14"/>
        <v>4.5999999999999996</v>
      </c>
      <c r="I71" s="574">
        <f t="shared" si="14"/>
        <v>-34.299999999999997</v>
      </c>
      <c r="J71" s="574">
        <f t="shared" si="14"/>
        <v>-44.1</v>
      </c>
      <c r="K71" s="574">
        <f t="shared" si="14"/>
        <v>-1.3</v>
      </c>
      <c r="L71" s="574">
        <f t="shared" si="14"/>
        <v>-115.1</v>
      </c>
      <c r="M71" s="574">
        <f t="shared" si="14"/>
        <v>19.8</v>
      </c>
      <c r="N71" s="574">
        <f t="shared" si="14"/>
        <v>-2</v>
      </c>
      <c r="O71" s="575">
        <f t="shared" si="14"/>
        <v>0</v>
      </c>
    </row>
    <row r="72" spans="1:15">
      <c r="A72" s="511">
        <v>4</v>
      </c>
      <c r="B72" s="519" t="s">
        <v>192</v>
      </c>
      <c r="C72" s="1737">
        <f t="shared" ref="C72:O72" si="15">ROUND((C56-C24)/C24*100,1)</f>
        <v>8.6999999999999993</v>
      </c>
      <c r="D72" s="574">
        <f t="shared" si="15"/>
        <v>3.6</v>
      </c>
      <c r="E72" s="574">
        <f t="shared" si="15"/>
        <v>3.3</v>
      </c>
      <c r="F72" s="574">
        <f t="shared" si="15"/>
        <v>3.3</v>
      </c>
      <c r="G72" s="574">
        <f t="shared" si="15"/>
        <v>-8.6999999999999993</v>
      </c>
      <c r="H72" s="574">
        <f t="shared" si="15"/>
        <v>4.9000000000000004</v>
      </c>
      <c r="I72" s="574">
        <f t="shared" si="15"/>
        <v>-34.299999999999997</v>
      </c>
      <c r="J72" s="574">
        <f t="shared" si="15"/>
        <v>-13.3</v>
      </c>
      <c r="K72" s="574">
        <f t="shared" si="15"/>
        <v>3</v>
      </c>
      <c r="L72" s="574">
        <f t="shared" si="15"/>
        <v>-216.7</v>
      </c>
      <c r="M72" s="574">
        <f t="shared" si="15"/>
        <v>8.1999999999999993</v>
      </c>
      <c r="N72" s="574">
        <f t="shared" si="15"/>
        <v>2.2999999999999998</v>
      </c>
      <c r="O72" s="575">
        <f t="shared" si="15"/>
        <v>0</v>
      </c>
    </row>
    <row r="73" spans="1:15">
      <c r="A73" s="511">
        <v>5</v>
      </c>
      <c r="B73" s="519" t="s">
        <v>325</v>
      </c>
      <c r="C73" s="1737">
        <f t="shared" ref="C73:O73" si="16">ROUND((C57-C25)/C25*100,1)</f>
        <v>-3.2</v>
      </c>
      <c r="D73" s="574">
        <f t="shared" si="16"/>
        <v>3.7</v>
      </c>
      <c r="E73" s="574">
        <f t="shared" si="16"/>
        <v>2.9</v>
      </c>
      <c r="F73" s="574">
        <f t="shared" si="16"/>
        <v>5.0999999999999996</v>
      </c>
      <c r="G73" s="574">
        <f t="shared" si="16"/>
        <v>7.3</v>
      </c>
      <c r="H73" s="574">
        <f t="shared" si="16"/>
        <v>4.8</v>
      </c>
      <c r="I73" s="574">
        <f t="shared" si="16"/>
        <v>-34.4</v>
      </c>
      <c r="J73" s="574">
        <f t="shared" si="16"/>
        <v>-13.8</v>
      </c>
      <c r="K73" s="574">
        <f t="shared" si="16"/>
        <v>3.2</v>
      </c>
      <c r="L73" s="574">
        <f t="shared" si="16"/>
        <v>-48.7</v>
      </c>
      <c r="M73" s="574">
        <f t="shared" si="16"/>
        <v>-4.3</v>
      </c>
      <c r="N73" s="574">
        <f t="shared" si="16"/>
        <v>2.5</v>
      </c>
      <c r="O73" s="575">
        <f t="shared" si="16"/>
        <v>0</v>
      </c>
    </row>
    <row r="74" spans="1:15">
      <c r="A74" s="511">
        <v>6</v>
      </c>
      <c r="B74" s="519" t="s">
        <v>326</v>
      </c>
      <c r="C74" s="1737">
        <f t="shared" ref="C74:O74" si="17">ROUND((C58-C26)/C26*100,1)</f>
        <v>-1.5</v>
      </c>
      <c r="D74" s="574">
        <f t="shared" si="17"/>
        <v>3.6</v>
      </c>
      <c r="E74" s="574">
        <f t="shared" si="17"/>
        <v>3.9</v>
      </c>
      <c r="F74" s="574">
        <f t="shared" si="17"/>
        <v>5.4</v>
      </c>
      <c r="G74" s="574">
        <f t="shared" si="17"/>
        <v>15.2</v>
      </c>
      <c r="H74" s="574">
        <f t="shared" si="17"/>
        <v>4.2</v>
      </c>
      <c r="I74" s="574">
        <f t="shared" si="17"/>
        <v>-34.299999999999997</v>
      </c>
      <c r="J74" s="574">
        <f t="shared" si="17"/>
        <v>110.5</v>
      </c>
      <c r="K74" s="574">
        <f t="shared" si="17"/>
        <v>5.3</v>
      </c>
      <c r="L74" s="574">
        <f t="shared" si="17"/>
        <v>-56.3</v>
      </c>
      <c r="M74" s="574">
        <f t="shared" si="17"/>
        <v>-2.6</v>
      </c>
      <c r="N74" s="574">
        <f t="shared" si="17"/>
        <v>4.5999999999999996</v>
      </c>
      <c r="O74" s="575">
        <f t="shared" si="17"/>
        <v>0</v>
      </c>
    </row>
    <row r="75" spans="1:15">
      <c r="A75" s="511">
        <v>7</v>
      </c>
      <c r="B75" s="519" t="s">
        <v>327</v>
      </c>
      <c r="C75" s="1737">
        <f t="shared" ref="C75:O75" si="18">ROUND((C59-C27)/C27*100,1)</f>
        <v>-3.7</v>
      </c>
      <c r="D75" s="574">
        <f t="shared" si="18"/>
        <v>2.9</v>
      </c>
      <c r="E75" s="574">
        <f t="shared" si="18"/>
        <v>3.5</v>
      </c>
      <c r="F75" s="574">
        <f t="shared" si="18"/>
        <v>3.5</v>
      </c>
      <c r="G75" s="574">
        <f t="shared" si="18"/>
        <v>-9.3000000000000007</v>
      </c>
      <c r="H75" s="574">
        <f t="shared" si="18"/>
        <v>4.7</v>
      </c>
      <c r="I75" s="574">
        <f t="shared" si="18"/>
        <v>-34.299999999999997</v>
      </c>
      <c r="J75" s="574">
        <f t="shared" si="18"/>
        <v>-4.5999999999999996</v>
      </c>
      <c r="K75" s="574">
        <f t="shared" si="18"/>
        <v>2.9</v>
      </c>
      <c r="L75" s="574">
        <f t="shared" si="18"/>
        <v>-56.1</v>
      </c>
      <c r="M75" s="574">
        <f t="shared" si="18"/>
        <v>-4.7</v>
      </c>
      <c r="N75" s="574">
        <f t="shared" si="18"/>
        <v>2.2000000000000002</v>
      </c>
      <c r="O75" s="575">
        <f t="shared" si="18"/>
        <v>0</v>
      </c>
    </row>
    <row r="76" spans="1:15">
      <c r="A76" s="511">
        <v>8</v>
      </c>
      <c r="B76" s="519" t="s">
        <v>210</v>
      </c>
      <c r="C76" s="1737">
        <f t="shared" ref="C76:O76" si="19">ROUND((C60-C28)/C28*100,1)</f>
        <v>-2.9</v>
      </c>
      <c r="D76" s="574">
        <f t="shared" si="19"/>
        <v>2.2000000000000002</v>
      </c>
      <c r="E76" s="574">
        <f t="shared" si="19"/>
        <v>3</v>
      </c>
      <c r="F76" s="574">
        <f t="shared" si="19"/>
        <v>5</v>
      </c>
      <c r="G76" s="574">
        <f t="shared" si="19"/>
        <v>1.2</v>
      </c>
      <c r="H76" s="574">
        <f t="shared" si="19"/>
        <v>5.2</v>
      </c>
      <c r="I76" s="574">
        <f t="shared" si="19"/>
        <v>-34</v>
      </c>
      <c r="J76" s="574">
        <f t="shared" si="19"/>
        <v>35.1</v>
      </c>
      <c r="K76" s="574">
        <f t="shared" si="19"/>
        <v>3.8</v>
      </c>
      <c r="L76" s="574">
        <f t="shared" si="19"/>
        <v>-81.2</v>
      </c>
      <c r="M76" s="574">
        <f t="shared" si="19"/>
        <v>-3.8</v>
      </c>
      <c r="N76" s="574">
        <f t="shared" si="19"/>
        <v>3</v>
      </c>
      <c r="O76" s="575">
        <f t="shared" si="19"/>
        <v>0</v>
      </c>
    </row>
    <row r="77" spans="1:15">
      <c r="A77" s="511">
        <v>9</v>
      </c>
      <c r="B77" s="519" t="s">
        <v>211</v>
      </c>
      <c r="C77" s="1737">
        <f t="shared" ref="C77:O77" si="20">ROUND((C61-C29)/C29*100,1)</f>
        <v>-5</v>
      </c>
      <c r="D77" s="574">
        <f t="shared" si="20"/>
        <v>3</v>
      </c>
      <c r="E77" s="574">
        <f t="shared" si="20"/>
        <v>1.8</v>
      </c>
      <c r="F77" s="574">
        <f t="shared" si="20"/>
        <v>3.2</v>
      </c>
      <c r="G77" s="574">
        <f t="shared" si="20"/>
        <v>-9</v>
      </c>
      <c r="H77" s="574">
        <f t="shared" si="20"/>
        <v>4.5999999999999996</v>
      </c>
      <c r="I77" s="574">
        <f t="shared" si="20"/>
        <v>-33.799999999999997</v>
      </c>
      <c r="J77" s="574">
        <f t="shared" si="20"/>
        <v>112.5</v>
      </c>
      <c r="K77" s="574">
        <f t="shared" si="20"/>
        <v>4</v>
      </c>
      <c r="L77" s="574">
        <f t="shared" si="20"/>
        <v>-66.900000000000006</v>
      </c>
      <c r="M77" s="574">
        <f t="shared" si="20"/>
        <v>-6.1</v>
      </c>
      <c r="N77" s="574">
        <f t="shared" si="20"/>
        <v>3.3</v>
      </c>
      <c r="O77" s="575">
        <f t="shared" si="20"/>
        <v>0</v>
      </c>
    </row>
    <row r="78" spans="1:15">
      <c r="A78" s="515">
        <v>10</v>
      </c>
      <c r="B78" s="520" t="s">
        <v>212</v>
      </c>
      <c r="C78" s="1738">
        <f t="shared" ref="C78:O78" si="21">ROUND((C62-C30)/C30*100,1)</f>
        <v>1.2</v>
      </c>
      <c r="D78" s="576">
        <f t="shared" si="21"/>
        <v>2.9</v>
      </c>
      <c r="E78" s="576">
        <f t="shared" si="21"/>
        <v>5.3</v>
      </c>
      <c r="F78" s="576">
        <f t="shared" si="21"/>
        <v>3.6</v>
      </c>
      <c r="G78" s="576">
        <f t="shared" si="21"/>
        <v>-5.2</v>
      </c>
      <c r="H78" s="576">
        <f t="shared" si="21"/>
        <v>4.9000000000000004</v>
      </c>
      <c r="I78" s="576">
        <f t="shared" si="21"/>
        <v>-34.4</v>
      </c>
      <c r="J78" s="576">
        <f t="shared" si="21"/>
        <v>144.69999999999999</v>
      </c>
      <c r="K78" s="576">
        <f t="shared" si="21"/>
        <v>6.1</v>
      </c>
      <c r="L78" s="576">
        <f t="shared" si="21"/>
        <v>-74</v>
      </c>
      <c r="M78" s="576">
        <f t="shared" si="21"/>
        <v>0.1</v>
      </c>
      <c r="N78" s="576">
        <f t="shared" si="21"/>
        <v>5.4</v>
      </c>
      <c r="O78" s="577">
        <f t="shared" si="21"/>
        <v>0</v>
      </c>
    </row>
    <row r="81" spans="1:15">
      <c r="A81" s="681" t="s">
        <v>1777</v>
      </c>
      <c r="B81" s="456"/>
      <c r="C81" s="456"/>
      <c r="D81" s="456"/>
      <c r="E81" s="456"/>
      <c r="F81" s="456"/>
      <c r="G81" s="500"/>
      <c r="H81" s="500"/>
      <c r="I81" s="500"/>
      <c r="J81" s="500"/>
      <c r="K81" s="500"/>
      <c r="L81" s="500"/>
      <c r="M81" s="500"/>
      <c r="N81" s="500" t="s">
        <v>818</v>
      </c>
      <c r="O81" s="500"/>
    </row>
    <row r="82" spans="1:15">
      <c r="A82" s="501"/>
      <c r="B82" s="502" t="s">
        <v>930</v>
      </c>
      <c r="C82" s="2302" t="s">
        <v>817</v>
      </c>
      <c r="D82" s="2304" t="s">
        <v>667</v>
      </c>
      <c r="E82" s="2302" t="s">
        <v>668</v>
      </c>
      <c r="F82" s="2306" t="s">
        <v>669</v>
      </c>
      <c r="G82" s="503"/>
      <c r="H82" s="503"/>
      <c r="I82" s="455"/>
      <c r="J82" s="2302" t="s">
        <v>670</v>
      </c>
      <c r="K82" s="2302" t="s">
        <v>671</v>
      </c>
      <c r="L82" s="503" t="s">
        <v>816</v>
      </c>
      <c r="M82" s="503"/>
      <c r="N82" s="503"/>
      <c r="O82" s="455"/>
    </row>
    <row r="83" spans="1:15" ht="25">
      <c r="A83" s="504"/>
      <c r="B83" s="505" t="s">
        <v>9</v>
      </c>
      <c r="C83" s="2303"/>
      <c r="D83" s="2305"/>
      <c r="E83" s="2303"/>
      <c r="F83" s="2307"/>
      <c r="G83" s="506" t="s">
        <v>814</v>
      </c>
      <c r="H83" s="507" t="s">
        <v>815</v>
      </c>
      <c r="I83" s="455" t="s">
        <v>826</v>
      </c>
      <c r="J83" s="2303"/>
      <c r="K83" s="2303"/>
      <c r="L83" s="508" t="s">
        <v>827</v>
      </c>
      <c r="M83" s="506" t="s">
        <v>895</v>
      </c>
      <c r="N83" s="507" t="s">
        <v>896</v>
      </c>
      <c r="O83" s="455" t="s">
        <v>897</v>
      </c>
    </row>
    <row r="84" spans="1:15">
      <c r="A84" s="509"/>
      <c r="B84" s="510" t="s">
        <v>166</v>
      </c>
      <c r="C84" s="1121">
        <f>'27R8'!C4</f>
        <v>25950450.02952414</v>
      </c>
      <c r="D84" s="1122">
        <f>'27R8'!D4</f>
        <v>15020812</v>
      </c>
      <c r="E84" s="1122">
        <f>'27R8'!E4</f>
        <v>3300383</v>
      </c>
      <c r="F84" s="1122">
        <f>'27R8'!F4</f>
        <v>5928738</v>
      </c>
      <c r="G84" s="1122">
        <f>'27R8'!G4</f>
        <v>761253</v>
      </c>
      <c r="H84" s="1122">
        <f>'27R8'!H4</f>
        <v>5176975</v>
      </c>
      <c r="I84" s="1122">
        <f>'27R8'!I4</f>
        <v>-9490</v>
      </c>
      <c r="J84" s="1122">
        <f>'27R8'!J4</f>
        <v>814797</v>
      </c>
      <c r="K84" s="1122">
        <f>'27R8'!K4</f>
        <v>25064730</v>
      </c>
      <c r="L84" s="1122">
        <f>'27R8'!L4</f>
        <v>885720.0295241382</v>
      </c>
      <c r="M84" s="1122">
        <f>'27R8'!M4</f>
        <v>24775650.02952414</v>
      </c>
      <c r="N84" s="1122">
        <f>'27R8'!N4</f>
        <v>23163638</v>
      </c>
      <c r="O84" s="1123">
        <f>'27R8'!O4</f>
        <v>-726292</v>
      </c>
    </row>
    <row r="85" spans="1:15">
      <c r="A85" s="511">
        <v>1</v>
      </c>
      <c r="B85" s="453" t="s">
        <v>172</v>
      </c>
      <c r="C85" s="512">
        <f>'27R8'!C5</f>
        <v>7474528.0295241382</v>
      </c>
      <c r="D85" s="513">
        <f>'27R8'!D5</f>
        <v>4444399</v>
      </c>
      <c r="E85" s="513">
        <f>'27R8'!E5</f>
        <v>1122755</v>
      </c>
      <c r="F85" s="513">
        <f>'27R8'!F5</f>
        <v>1472676</v>
      </c>
      <c r="G85" s="513">
        <f>'27R8'!G5</f>
        <v>201966</v>
      </c>
      <c r="H85" s="513">
        <f>'27R8'!H5</f>
        <v>1273504</v>
      </c>
      <c r="I85" s="513">
        <f>'27R8'!I5</f>
        <v>-2794</v>
      </c>
      <c r="J85" s="513">
        <f>'27R8'!J5</f>
        <v>260758</v>
      </c>
      <c r="K85" s="513">
        <f>'27R8'!K5</f>
        <v>7300588</v>
      </c>
      <c r="L85" s="513">
        <f>'27R8'!L5</f>
        <v>173940.0295241382</v>
      </c>
      <c r="M85" s="513">
        <f>'27R8'!M5</f>
        <v>7233706.0295241382</v>
      </c>
      <c r="N85" s="513">
        <f>'27R8'!N5</f>
        <v>6830329</v>
      </c>
      <c r="O85" s="514">
        <f>'27R8'!O5</f>
        <v>-229437</v>
      </c>
    </row>
    <row r="86" spans="1:15">
      <c r="A86" s="511">
        <v>2</v>
      </c>
      <c r="B86" s="453" t="s">
        <v>323</v>
      </c>
      <c r="C86" s="512">
        <f>'27R8'!C6</f>
        <v>4658812</v>
      </c>
      <c r="D86" s="513">
        <f>'27R8'!D6</f>
        <v>2929962</v>
      </c>
      <c r="E86" s="513">
        <f>'27R8'!E6</f>
        <v>536069</v>
      </c>
      <c r="F86" s="513">
        <f>'27R8'!F6</f>
        <v>920841</v>
      </c>
      <c r="G86" s="513">
        <f>'27R8'!G6</f>
        <v>175213</v>
      </c>
      <c r="H86" s="513">
        <f>'27R8'!H6</f>
        <v>747319</v>
      </c>
      <c r="I86" s="513">
        <f>'27R8'!I6</f>
        <v>-1691</v>
      </c>
      <c r="J86" s="513">
        <f>'27R8'!J6</f>
        <v>96983</v>
      </c>
      <c r="K86" s="513">
        <f>'27R8'!K6</f>
        <v>4483855</v>
      </c>
      <c r="L86" s="513">
        <f>'27R8'!L6</f>
        <v>174957</v>
      </c>
      <c r="M86" s="513">
        <f>'27R8'!M6</f>
        <v>4470025</v>
      </c>
      <c r="N86" s="513">
        <f>'27R8'!N6</f>
        <v>4126005</v>
      </c>
      <c r="O86" s="514">
        <f>'27R8'!O6</f>
        <v>-169063</v>
      </c>
    </row>
    <row r="87" spans="1:15">
      <c r="A87" s="511">
        <v>3</v>
      </c>
      <c r="B87" s="453" t="s">
        <v>324</v>
      </c>
      <c r="C87" s="512">
        <f>'27R8'!C7</f>
        <v>3402636</v>
      </c>
      <c r="D87" s="513">
        <f>'27R8'!D7</f>
        <v>1918658</v>
      </c>
      <c r="E87" s="513">
        <f>'27R8'!E7</f>
        <v>358322</v>
      </c>
      <c r="F87" s="513">
        <f>'27R8'!F7</f>
        <v>650655</v>
      </c>
      <c r="G87" s="513">
        <f>'27R8'!G7</f>
        <v>96615</v>
      </c>
      <c r="H87" s="513">
        <f>'27R8'!H7</f>
        <v>555159</v>
      </c>
      <c r="I87" s="513">
        <f>'27R8'!I7</f>
        <v>-1119</v>
      </c>
      <c r="J87" s="513">
        <f>'27R8'!J7</f>
        <v>202231</v>
      </c>
      <c r="K87" s="513">
        <f>'27R8'!K7</f>
        <v>3129866</v>
      </c>
      <c r="L87" s="513">
        <f>'27R8'!L7</f>
        <v>272770</v>
      </c>
      <c r="M87" s="513">
        <f>'27R8'!M7</f>
        <v>3114672</v>
      </c>
      <c r="N87" s="513">
        <f>'27R8'!N7</f>
        <v>2729614</v>
      </c>
      <c r="O87" s="514">
        <f>'27R8'!O7</f>
        <v>-112288</v>
      </c>
    </row>
    <row r="88" spans="1:15">
      <c r="A88" s="511">
        <v>4</v>
      </c>
      <c r="B88" s="453" t="s">
        <v>192</v>
      </c>
      <c r="C88" s="512">
        <f>'27R8'!C8</f>
        <v>3646400</v>
      </c>
      <c r="D88" s="513">
        <f>'27R8'!D8</f>
        <v>1986167</v>
      </c>
      <c r="E88" s="513">
        <f>'27R8'!E8</f>
        <v>343952</v>
      </c>
      <c r="F88" s="513">
        <f>'27R8'!F8</f>
        <v>1063431</v>
      </c>
      <c r="G88" s="513">
        <f>'27R8'!G8</f>
        <v>110200</v>
      </c>
      <c r="H88" s="513">
        <f>'27R8'!H8</f>
        <v>954526</v>
      </c>
      <c r="I88" s="513">
        <f>'27R8'!I8</f>
        <v>-1295</v>
      </c>
      <c r="J88" s="513">
        <f>'27R8'!J8</f>
        <v>79943</v>
      </c>
      <c r="K88" s="513">
        <f>'27R8'!K8</f>
        <v>3473493</v>
      </c>
      <c r="L88" s="513">
        <f>'27R8'!L8</f>
        <v>172907</v>
      </c>
      <c r="M88" s="513">
        <f>'27R8'!M8</f>
        <v>3429914</v>
      </c>
      <c r="N88" s="513">
        <f>'27R8'!N8</f>
        <v>3159992</v>
      </c>
      <c r="O88" s="514">
        <f>'27R8'!O8</f>
        <v>-97015</v>
      </c>
    </row>
    <row r="89" spans="1:15">
      <c r="A89" s="511">
        <v>5</v>
      </c>
      <c r="B89" s="453" t="s">
        <v>325</v>
      </c>
      <c r="C89" s="512">
        <f>'27R8'!C9</f>
        <v>1250042</v>
      </c>
      <c r="D89" s="513">
        <f>'27R8'!D9</f>
        <v>688840</v>
      </c>
      <c r="E89" s="513">
        <f>'27R8'!E9</f>
        <v>161627</v>
      </c>
      <c r="F89" s="513">
        <f>'27R8'!F9</f>
        <v>323645</v>
      </c>
      <c r="G89" s="513">
        <f>'27R8'!G9</f>
        <v>26173</v>
      </c>
      <c r="H89" s="513">
        <f>'27R8'!H9</f>
        <v>297937</v>
      </c>
      <c r="I89" s="513">
        <f>'27R8'!I9</f>
        <v>-465</v>
      </c>
      <c r="J89" s="513">
        <f>'27R8'!J9</f>
        <v>42598</v>
      </c>
      <c r="K89" s="513">
        <f>'27R8'!K9</f>
        <v>1216710</v>
      </c>
      <c r="L89" s="513">
        <f>'27R8'!L9</f>
        <v>33332</v>
      </c>
      <c r="M89" s="513">
        <f>'27R8'!M9</f>
        <v>1161464</v>
      </c>
      <c r="N89" s="513">
        <f>'27R8'!N9</f>
        <v>1135451</v>
      </c>
      <c r="O89" s="514">
        <f>'27R8'!O9</f>
        <v>7319</v>
      </c>
    </row>
    <row r="90" spans="1:15">
      <c r="A90" s="511">
        <v>6</v>
      </c>
      <c r="B90" s="453" t="s">
        <v>326</v>
      </c>
      <c r="C90" s="512">
        <f>'27R8'!C10</f>
        <v>2726270</v>
      </c>
      <c r="D90" s="513">
        <f>'27R8'!D10</f>
        <v>1458805</v>
      </c>
      <c r="E90" s="513">
        <f>'27R8'!E10</f>
        <v>299756</v>
      </c>
      <c r="F90" s="513">
        <f>'27R8'!F10</f>
        <v>828239</v>
      </c>
      <c r="G90" s="513">
        <f>'27R8'!G10</f>
        <v>92734</v>
      </c>
      <c r="H90" s="513">
        <f>'27R8'!H10</f>
        <v>736505</v>
      </c>
      <c r="I90" s="513">
        <f>'27R8'!I10</f>
        <v>-1000</v>
      </c>
      <c r="J90" s="513">
        <f>'27R8'!J10</f>
        <v>48461</v>
      </c>
      <c r="K90" s="513">
        <f>'27R8'!K10</f>
        <v>2635261</v>
      </c>
      <c r="L90" s="513">
        <f>'27R8'!L10</f>
        <v>91009</v>
      </c>
      <c r="M90" s="513">
        <f>'27R8'!M10</f>
        <v>2553036</v>
      </c>
      <c r="N90" s="513">
        <f>'27R8'!N10</f>
        <v>2439209</v>
      </c>
      <c r="O90" s="514">
        <f>'27R8'!O10</f>
        <v>-22818</v>
      </c>
    </row>
    <row r="91" spans="1:15">
      <c r="A91" s="511">
        <v>7</v>
      </c>
      <c r="B91" s="453" t="s">
        <v>327</v>
      </c>
      <c r="C91" s="512">
        <f>'27R8'!C11</f>
        <v>1083061</v>
      </c>
      <c r="D91" s="513">
        <f>'27R8'!D11</f>
        <v>610895</v>
      </c>
      <c r="E91" s="513">
        <f>'27R8'!E11</f>
        <v>147360</v>
      </c>
      <c r="F91" s="513">
        <f>'27R8'!F11</f>
        <v>285016</v>
      </c>
      <c r="G91" s="513">
        <f>'27R8'!G11</f>
        <v>21845</v>
      </c>
      <c r="H91" s="513">
        <f>'27R8'!H11</f>
        <v>263591</v>
      </c>
      <c r="I91" s="513">
        <f>'27R8'!I11</f>
        <v>-420</v>
      </c>
      <c r="J91" s="513">
        <f>'27R8'!J11</f>
        <v>31938</v>
      </c>
      <c r="K91" s="513">
        <f>'27R8'!K11</f>
        <v>1075209</v>
      </c>
      <c r="L91" s="513">
        <f>'27R8'!L11</f>
        <v>7852</v>
      </c>
      <c r="M91" s="513">
        <f>'27R8'!M11</f>
        <v>1044256</v>
      </c>
      <c r="N91" s="513">
        <f>'27R8'!N11</f>
        <v>1024414</v>
      </c>
      <c r="O91" s="514">
        <f>'27R8'!O11</f>
        <v>-11990</v>
      </c>
    </row>
    <row r="92" spans="1:15">
      <c r="A92" s="511">
        <v>8</v>
      </c>
      <c r="B92" s="453" t="s">
        <v>210</v>
      </c>
      <c r="C92" s="512">
        <f>'27R8'!C12</f>
        <v>705806</v>
      </c>
      <c r="D92" s="513">
        <f>'27R8'!D12</f>
        <v>397450</v>
      </c>
      <c r="E92" s="513">
        <f>'27R8'!E12</f>
        <v>140565</v>
      </c>
      <c r="F92" s="513">
        <f>'27R8'!F12</f>
        <v>162708</v>
      </c>
      <c r="G92" s="513">
        <f>'27R8'!G12</f>
        <v>11225</v>
      </c>
      <c r="H92" s="513">
        <f>'27R8'!H12</f>
        <v>151776</v>
      </c>
      <c r="I92" s="513">
        <f>'27R8'!I12</f>
        <v>-293</v>
      </c>
      <c r="J92" s="513">
        <f>'27R8'!J12</f>
        <v>23204</v>
      </c>
      <c r="K92" s="513">
        <f>'27R8'!K12</f>
        <v>723927</v>
      </c>
      <c r="L92" s="513">
        <f>'27R8'!L12</f>
        <v>-18121</v>
      </c>
      <c r="M92" s="513">
        <f>'27R8'!M12</f>
        <v>738615</v>
      </c>
      <c r="N92" s="513">
        <f>'27R8'!N12</f>
        <v>711961</v>
      </c>
      <c r="O92" s="514">
        <f>'27R8'!O12</f>
        <v>-44775</v>
      </c>
    </row>
    <row r="93" spans="1:15">
      <c r="A93" s="511">
        <v>9</v>
      </c>
      <c r="B93" s="453" t="s">
        <v>211</v>
      </c>
      <c r="C93" s="512">
        <f>'27R8'!C13</f>
        <v>458923</v>
      </c>
      <c r="D93" s="513">
        <f>'27R8'!D13</f>
        <v>270760</v>
      </c>
      <c r="E93" s="513">
        <f>'27R8'!E13</f>
        <v>80164</v>
      </c>
      <c r="F93" s="513">
        <f>'27R8'!F13</f>
        <v>103369</v>
      </c>
      <c r="G93" s="513">
        <f>'27R8'!G13</f>
        <v>9992</v>
      </c>
      <c r="H93" s="513">
        <f>'27R8'!H13</f>
        <v>93561</v>
      </c>
      <c r="I93" s="513">
        <f>'27R8'!I13</f>
        <v>-184</v>
      </c>
      <c r="J93" s="513">
        <f>'27R8'!J13</f>
        <v>7936</v>
      </c>
      <c r="K93" s="513">
        <f>'27R8'!K13</f>
        <v>462229</v>
      </c>
      <c r="L93" s="513">
        <f>'27R8'!L13</f>
        <v>-3306</v>
      </c>
      <c r="M93" s="513">
        <f>'27R8'!M13</f>
        <v>455309</v>
      </c>
      <c r="N93" s="513">
        <f>'27R8'!N13</f>
        <v>446863</v>
      </c>
      <c r="O93" s="514">
        <f>'27R8'!O13</f>
        <v>-11752</v>
      </c>
    </row>
    <row r="94" spans="1:15">
      <c r="A94" s="515">
        <v>10</v>
      </c>
      <c r="B94" s="450" t="s">
        <v>212</v>
      </c>
      <c r="C94" s="516">
        <f>'27R8'!C14</f>
        <v>543972</v>
      </c>
      <c r="D94" s="517">
        <f>'27R8'!D14</f>
        <v>314876</v>
      </c>
      <c r="E94" s="517">
        <f>'27R8'!E14</f>
        <v>109813</v>
      </c>
      <c r="F94" s="517">
        <f>'27R8'!F14</f>
        <v>118158</v>
      </c>
      <c r="G94" s="517">
        <f>'27R8'!G14</f>
        <v>15290</v>
      </c>
      <c r="H94" s="517">
        <f>'27R8'!H14</f>
        <v>103097</v>
      </c>
      <c r="I94" s="517">
        <f>'27R8'!I14</f>
        <v>-229</v>
      </c>
      <c r="J94" s="517">
        <f>'27R8'!J14</f>
        <v>20745</v>
      </c>
      <c r="K94" s="517">
        <f>'27R8'!K14</f>
        <v>563592</v>
      </c>
      <c r="L94" s="517">
        <f>'27R8'!L14</f>
        <v>-19620</v>
      </c>
      <c r="M94" s="517">
        <f>'27R8'!M14</f>
        <v>574653</v>
      </c>
      <c r="N94" s="517">
        <f>'27R8'!N14</f>
        <v>559800</v>
      </c>
      <c r="O94" s="518">
        <f>'27R8'!O14</f>
        <v>-34473</v>
      </c>
    </row>
    <row r="97" spans="1:15">
      <c r="A97" s="681" t="s">
        <v>1778</v>
      </c>
      <c r="B97" s="456"/>
      <c r="C97" s="456"/>
      <c r="D97" s="456"/>
      <c r="E97" s="456"/>
      <c r="F97" s="456"/>
      <c r="G97" s="500"/>
      <c r="H97" s="500"/>
      <c r="I97" s="500"/>
      <c r="J97" s="500"/>
      <c r="K97" s="500"/>
      <c r="L97" s="500"/>
      <c r="M97" s="500"/>
      <c r="N97" s="500" t="s">
        <v>818</v>
      </c>
      <c r="O97" s="500"/>
    </row>
    <row r="98" spans="1:15">
      <c r="A98" s="501"/>
      <c r="B98" s="502" t="s">
        <v>930</v>
      </c>
      <c r="C98" s="2302" t="s">
        <v>817</v>
      </c>
      <c r="D98" s="2304" t="s">
        <v>667</v>
      </c>
      <c r="E98" s="2302" t="s">
        <v>668</v>
      </c>
      <c r="F98" s="2306" t="s">
        <v>669</v>
      </c>
      <c r="G98" s="503"/>
      <c r="H98" s="503"/>
      <c r="I98" s="455"/>
      <c r="J98" s="2302" t="s">
        <v>670</v>
      </c>
      <c r="K98" s="2302" t="s">
        <v>671</v>
      </c>
      <c r="L98" s="503" t="s">
        <v>816</v>
      </c>
      <c r="M98" s="503"/>
      <c r="N98" s="503"/>
      <c r="O98" s="455"/>
    </row>
    <row r="99" spans="1:15" ht="25">
      <c r="A99" s="504"/>
      <c r="B99" s="505" t="s">
        <v>9</v>
      </c>
      <c r="C99" s="2303"/>
      <c r="D99" s="2305"/>
      <c r="E99" s="2303"/>
      <c r="F99" s="2307"/>
      <c r="G99" s="506" t="s">
        <v>814</v>
      </c>
      <c r="H99" s="507" t="s">
        <v>815</v>
      </c>
      <c r="I99" s="455" t="s">
        <v>826</v>
      </c>
      <c r="J99" s="2303"/>
      <c r="K99" s="2303"/>
      <c r="L99" s="508" t="s">
        <v>827</v>
      </c>
      <c r="M99" s="506" t="s">
        <v>895</v>
      </c>
      <c r="N99" s="507" t="s">
        <v>896</v>
      </c>
      <c r="O99" s="455" t="s">
        <v>897</v>
      </c>
    </row>
    <row r="100" spans="1:15">
      <c r="A100" s="509"/>
      <c r="B100" s="521" t="s">
        <v>166</v>
      </c>
      <c r="C100" s="1736">
        <f>ROUND((C84-C52)/C52*100,1)</f>
        <v>1.3</v>
      </c>
      <c r="D100" s="578">
        <f t="shared" ref="D100:O100" si="22">ROUND((D84-D52)/D52*100,1)</f>
        <v>1.1000000000000001</v>
      </c>
      <c r="E100" s="578">
        <f t="shared" si="22"/>
        <v>0.7</v>
      </c>
      <c r="F100" s="578">
        <f t="shared" si="22"/>
        <v>2.2000000000000002</v>
      </c>
      <c r="G100" s="578">
        <f t="shared" si="22"/>
        <v>0.1</v>
      </c>
      <c r="H100" s="578">
        <f t="shared" si="22"/>
        <v>2.6</v>
      </c>
      <c r="I100" s="578">
        <f t="shared" si="22"/>
        <v>0</v>
      </c>
      <c r="J100" s="578">
        <f t="shared" si="22"/>
        <v>-0.2</v>
      </c>
      <c r="K100" s="578">
        <f t="shared" si="22"/>
        <v>1.3</v>
      </c>
      <c r="L100" s="578">
        <f t="shared" si="22"/>
        <v>2.9</v>
      </c>
      <c r="M100" s="578">
        <f t="shared" si="22"/>
        <v>1.7</v>
      </c>
      <c r="N100" s="578">
        <f t="shared" si="22"/>
        <v>1.7</v>
      </c>
      <c r="O100" s="579">
        <f t="shared" si="22"/>
        <v>0</v>
      </c>
    </row>
    <row r="101" spans="1:15">
      <c r="A101" s="511">
        <v>1</v>
      </c>
      <c r="B101" s="519" t="s">
        <v>172</v>
      </c>
      <c r="C101" s="1737">
        <f t="shared" ref="C101:O101" si="23">ROUND((C85-C53)/C53*100,1)</f>
        <v>-0.5</v>
      </c>
      <c r="D101" s="574">
        <f t="shared" si="23"/>
        <v>1</v>
      </c>
      <c r="E101" s="574">
        <f t="shared" si="23"/>
        <v>-0.3</v>
      </c>
      <c r="F101" s="574">
        <f t="shared" si="23"/>
        <v>2.2000000000000002</v>
      </c>
      <c r="G101" s="574">
        <f t="shared" si="23"/>
        <v>0</v>
      </c>
      <c r="H101" s="574">
        <f t="shared" si="23"/>
        <v>2.5</v>
      </c>
      <c r="I101" s="574">
        <f t="shared" si="23"/>
        <v>0</v>
      </c>
      <c r="J101" s="574">
        <f t="shared" si="23"/>
        <v>-5.4</v>
      </c>
      <c r="K101" s="574">
        <f t="shared" si="23"/>
        <v>0.8</v>
      </c>
      <c r="L101" s="574">
        <f t="shared" si="23"/>
        <v>-35.799999999999997</v>
      </c>
      <c r="M101" s="574">
        <f t="shared" si="23"/>
        <v>1</v>
      </c>
      <c r="N101" s="574">
        <f t="shared" si="23"/>
        <v>2.5</v>
      </c>
      <c r="O101" s="575">
        <f t="shared" si="23"/>
        <v>0</v>
      </c>
    </row>
    <row r="102" spans="1:15">
      <c r="A102" s="511">
        <v>2</v>
      </c>
      <c r="B102" s="519" t="s">
        <v>323</v>
      </c>
      <c r="C102" s="1737">
        <f t="shared" ref="C102:O102" si="24">ROUND((C86-C54)/C54*100,1)</f>
        <v>3.4</v>
      </c>
      <c r="D102" s="574">
        <f t="shared" si="24"/>
        <v>1.8</v>
      </c>
      <c r="E102" s="574">
        <f t="shared" si="24"/>
        <v>1</v>
      </c>
      <c r="F102" s="574">
        <f t="shared" si="24"/>
        <v>2.5</v>
      </c>
      <c r="G102" s="574">
        <f t="shared" si="24"/>
        <v>2.2000000000000002</v>
      </c>
      <c r="H102" s="574">
        <f t="shared" si="24"/>
        <v>2.6</v>
      </c>
      <c r="I102" s="574">
        <f t="shared" si="24"/>
        <v>0</v>
      </c>
      <c r="J102" s="574">
        <f t="shared" si="24"/>
        <v>0</v>
      </c>
      <c r="K102" s="574">
        <f t="shared" si="24"/>
        <v>1.8</v>
      </c>
      <c r="L102" s="574">
        <f t="shared" si="24"/>
        <v>71.3</v>
      </c>
      <c r="M102" s="574">
        <f t="shared" si="24"/>
        <v>3.4</v>
      </c>
      <c r="N102" s="574">
        <f t="shared" si="24"/>
        <v>1.8</v>
      </c>
      <c r="O102" s="575">
        <f t="shared" si="24"/>
        <v>0</v>
      </c>
    </row>
    <row r="103" spans="1:15">
      <c r="A103" s="511">
        <v>3</v>
      </c>
      <c r="B103" s="519" t="s">
        <v>324</v>
      </c>
      <c r="C103" s="1737">
        <f t="shared" ref="C103:O103" si="25">ROUND((C87-C55)/C55*100,1)</f>
        <v>8.6999999999999993</v>
      </c>
      <c r="D103" s="574">
        <f t="shared" si="25"/>
        <v>1.7</v>
      </c>
      <c r="E103" s="574">
        <f t="shared" si="25"/>
        <v>1.3</v>
      </c>
      <c r="F103" s="574">
        <f t="shared" si="25"/>
        <v>1.7</v>
      </c>
      <c r="G103" s="574">
        <f t="shared" si="25"/>
        <v>-3.1</v>
      </c>
      <c r="H103" s="574">
        <f t="shared" si="25"/>
        <v>2.6</v>
      </c>
      <c r="I103" s="574">
        <f t="shared" si="25"/>
        <v>0</v>
      </c>
      <c r="J103" s="574">
        <f t="shared" si="25"/>
        <v>12.9</v>
      </c>
      <c r="K103" s="574">
        <f t="shared" si="25"/>
        <v>2.2999999999999998</v>
      </c>
      <c r="L103" s="574">
        <f t="shared" si="25"/>
        <v>274.5</v>
      </c>
      <c r="M103" s="574">
        <f t="shared" si="25"/>
        <v>3.8</v>
      </c>
      <c r="N103" s="574">
        <f t="shared" si="25"/>
        <v>-3</v>
      </c>
      <c r="O103" s="575">
        <f t="shared" si="25"/>
        <v>0</v>
      </c>
    </row>
    <row r="104" spans="1:15">
      <c r="A104" s="511">
        <v>4</v>
      </c>
      <c r="B104" s="519" t="s">
        <v>192</v>
      </c>
      <c r="C104" s="1737">
        <f t="shared" ref="C104:O104" si="26">ROUND((C88-C56)/C56*100,1)</f>
        <v>3.9</v>
      </c>
      <c r="D104" s="574">
        <f t="shared" si="26"/>
        <v>1.6</v>
      </c>
      <c r="E104" s="574">
        <f t="shared" si="26"/>
        <v>1.2</v>
      </c>
      <c r="F104" s="574">
        <f t="shared" si="26"/>
        <v>2.2999999999999998</v>
      </c>
      <c r="G104" s="574">
        <f t="shared" si="26"/>
        <v>0.2</v>
      </c>
      <c r="H104" s="574">
        <f t="shared" si="26"/>
        <v>2.5</v>
      </c>
      <c r="I104" s="574">
        <f t="shared" si="26"/>
        <v>0</v>
      </c>
      <c r="J104" s="574">
        <f t="shared" si="26"/>
        <v>2.9</v>
      </c>
      <c r="K104" s="574">
        <f t="shared" si="26"/>
        <v>1.8</v>
      </c>
      <c r="L104" s="574">
        <f t="shared" si="26"/>
        <v>76.8</v>
      </c>
      <c r="M104" s="574">
        <f t="shared" si="26"/>
        <v>2.8</v>
      </c>
      <c r="N104" s="574">
        <f t="shared" si="26"/>
        <v>0.6</v>
      </c>
      <c r="O104" s="575">
        <f t="shared" si="26"/>
        <v>0</v>
      </c>
    </row>
    <row r="105" spans="1:15">
      <c r="A105" s="511">
        <v>5</v>
      </c>
      <c r="B105" s="519" t="s">
        <v>325</v>
      </c>
      <c r="C105" s="1737">
        <f t="shared" ref="C105:O105" si="27">ROUND((C89-C57)/C57*100,1)</f>
        <v>-2.2999999999999998</v>
      </c>
      <c r="D105" s="574">
        <f t="shared" si="27"/>
        <v>1.5</v>
      </c>
      <c r="E105" s="574">
        <f t="shared" si="27"/>
        <v>1.5</v>
      </c>
      <c r="F105" s="574">
        <f t="shared" si="27"/>
        <v>2.2000000000000002</v>
      </c>
      <c r="G105" s="574">
        <f t="shared" si="27"/>
        <v>-0.1</v>
      </c>
      <c r="H105" s="574">
        <f t="shared" si="27"/>
        <v>2.4</v>
      </c>
      <c r="I105" s="574">
        <f t="shared" si="27"/>
        <v>0</v>
      </c>
      <c r="J105" s="574">
        <f t="shared" si="27"/>
        <v>3.2</v>
      </c>
      <c r="K105" s="574">
        <f t="shared" si="27"/>
        <v>1.8</v>
      </c>
      <c r="L105" s="574">
        <f t="shared" si="27"/>
        <v>-60.4</v>
      </c>
      <c r="M105" s="574">
        <f t="shared" si="27"/>
        <v>-1.3</v>
      </c>
      <c r="N105" s="574">
        <f t="shared" si="27"/>
        <v>3.2</v>
      </c>
      <c r="O105" s="575">
        <f t="shared" si="27"/>
        <v>0</v>
      </c>
    </row>
    <row r="106" spans="1:15">
      <c r="A106" s="511">
        <v>6</v>
      </c>
      <c r="B106" s="519" t="s">
        <v>326</v>
      </c>
      <c r="C106" s="1737">
        <f t="shared" ref="C106:O106" si="28">ROUND((C90-C58)/C58*100,1)</f>
        <v>-0.1</v>
      </c>
      <c r="D106" s="574">
        <f t="shared" si="28"/>
        <v>1.7</v>
      </c>
      <c r="E106" s="574">
        <f t="shared" si="28"/>
        <v>1.1000000000000001</v>
      </c>
      <c r="F106" s="574">
        <f t="shared" si="28"/>
        <v>2.2999999999999998</v>
      </c>
      <c r="G106" s="574">
        <f t="shared" si="28"/>
        <v>-0.9</v>
      </c>
      <c r="H106" s="574">
        <f t="shared" si="28"/>
        <v>2.7</v>
      </c>
      <c r="I106" s="574">
        <f t="shared" si="28"/>
        <v>0</v>
      </c>
      <c r="J106" s="574">
        <f t="shared" si="28"/>
        <v>-10.3</v>
      </c>
      <c r="K106" s="574">
        <f t="shared" si="28"/>
        <v>1.6</v>
      </c>
      <c r="L106" s="574">
        <f t="shared" si="28"/>
        <v>-31.8</v>
      </c>
      <c r="M106" s="574">
        <f t="shared" si="28"/>
        <v>0.4</v>
      </c>
      <c r="N106" s="574">
        <f t="shared" si="28"/>
        <v>2.2000000000000002</v>
      </c>
      <c r="O106" s="575">
        <f t="shared" si="28"/>
        <v>0</v>
      </c>
    </row>
    <row r="107" spans="1:15">
      <c r="A107" s="511">
        <v>7</v>
      </c>
      <c r="B107" s="519" t="s">
        <v>327</v>
      </c>
      <c r="C107" s="1737">
        <f t="shared" ref="C107:O107" si="29">ROUND((C91-C59)/C59*100,1)</f>
        <v>-4</v>
      </c>
      <c r="D107" s="574">
        <f t="shared" si="29"/>
        <v>-0.6</v>
      </c>
      <c r="E107" s="574">
        <f t="shared" si="29"/>
        <v>1.3</v>
      </c>
      <c r="F107" s="574">
        <f t="shared" si="29"/>
        <v>2.5</v>
      </c>
      <c r="G107" s="574">
        <f t="shared" si="29"/>
        <v>2.8</v>
      </c>
      <c r="H107" s="574">
        <f t="shared" si="29"/>
        <v>2.5</v>
      </c>
      <c r="I107" s="574">
        <f t="shared" si="29"/>
        <v>0</v>
      </c>
      <c r="J107" s="574">
        <f t="shared" si="29"/>
        <v>-1.4</v>
      </c>
      <c r="K107" s="574">
        <f t="shared" si="29"/>
        <v>0.4</v>
      </c>
      <c r="L107" s="574">
        <f t="shared" si="29"/>
        <v>-86.3</v>
      </c>
      <c r="M107" s="574">
        <f t="shared" si="29"/>
        <v>-1</v>
      </c>
      <c r="N107" s="574">
        <f t="shared" si="29"/>
        <v>4</v>
      </c>
      <c r="O107" s="575">
        <f t="shared" si="29"/>
        <v>0</v>
      </c>
    </row>
    <row r="108" spans="1:15">
      <c r="A108" s="511">
        <v>8</v>
      </c>
      <c r="B108" s="519" t="s">
        <v>210</v>
      </c>
      <c r="C108" s="1737">
        <f t="shared" ref="C108:O108" si="30">ROUND((C92-C60)/C60*100,1)</f>
        <v>-5.6</v>
      </c>
      <c r="D108" s="574">
        <f t="shared" si="30"/>
        <v>-3.9</v>
      </c>
      <c r="E108" s="574">
        <f t="shared" si="30"/>
        <v>0.9</v>
      </c>
      <c r="F108" s="574">
        <f t="shared" si="30"/>
        <v>2.6</v>
      </c>
      <c r="G108" s="574">
        <f t="shared" si="30"/>
        <v>-2.6</v>
      </c>
      <c r="H108" s="574">
        <f t="shared" si="30"/>
        <v>2.9</v>
      </c>
      <c r="I108" s="574">
        <f t="shared" si="30"/>
        <v>0</v>
      </c>
      <c r="J108" s="574">
        <f t="shared" si="30"/>
        <v>-5.0999999999999996</v>
      </c>
      <c r="K108" s="574">
        <f t="shared" si="30"/>
        <v>-1.6</v>
      </c>
      <c r="L108" s="574">
        <f t="shared" si="30"/>
        <v>-258.7</v>
      </c>
      <c r="M108" s="574">
        <f t="shared" si="30"/>
        <v>0.7</v>
      </c>
      <c r="N108" s="574">
        <f t="shared" si="30"/>
        <v>5.0999999999999996</v>
      </c>
      <c r="O108" s="575">
        <f t="shared" si="30"/>
        <v>0</v>
      </c>
    </row>
    <row r="109" spans="1:15">
      <c r="A109" s="511">
        <v>9</v>
      </c>
      <c r="B109" s="519" t="s">
        <v>211</v>
      </c>
      <c r="C109" s="1737">
        <f t="shared" ref="C109:O109" si="31">ROUND((C93-C61)/C61*100,1)</f>
        <v>-5.0999999999999996</v>
      </c>
      <c r="D109" s="574">
        <f t="shared" si="31"/>
        <v>-0.4</v>
      </c>
      <c r="E109" s="574">
        <f t="shared" si="31"/>
        <v>2.2999999999999998</v>
      </c>
      <c r="F109" s="574">
        <f t="shared" si="31"/>
        <v>2.2000000000000002</v>
      </c>
      <c r="G109" s="574">
        <f t="shared" si="31"/>
        <v>-0.8</v>
      </c>
      <c r="H109" s="574">
        <f t="shared" si="31"/>
        <v>2.5</v>
      </c>
      <c r="I109" s="574">
        <f t="shared" si="31"/>
        <v>0</v>
      </c>
      <c r="J109" s="574">
        <f t="shared" si="31"/>
        <v>-24.9</v>
      </c>
      <c r="K109" s="574">
        <f t="shared" si="31"/>
        <v>0.1</v>
      </c>
      <c r="L109" s="574">
        <f t="shared" si="31"/>
        <v>-115.3</v>
      </c>
      <c r="M109" s="574">
        <f t="shared" si="31"/>
        <v>-0.6</v>
      </c>
      <c r="N109" s="574">
        <f t="shared" si="31"/>
        <v>5.2</v>
      </c>
      <c r="O109" s="575">
        <f t="shared" si="31"/>
        <v>0</v>
      </c>
    </row>
    <row r="110" spans="1:15">
      <c r="A110" s="515">
        <v>10</v>
      </c>
      <c r="B110" s="520" t="s">
        <v>212</v>
      </c>
      <c r="C110" s="1738">
        <f t="shared" ref="C110:O110" si="32">ROUND((C94-C62)/C62*100,1)</f>
        <v>-5.8</v>
      </c>
      <c r="D110" s="576">
        <f t="shared" si="32"/>
        <v>-1.7</v>
      </c>
      <c r="E110" s="576">
        <f t="shared" si="32"/>
        <v>1.2</v>
      </c>
      <c r="F110" s="576">
        <f t="shared" si="32"/>
        <v>2.8</v>
      </c>
      <c r="G110" s="576">
        <f t="shared" si="32"/>
        <v>3.8</v>
      </c>
      <c r="H110" s="576">
        <f t="shared" si="32"/>
        <v>2.6</v>
      </c>
      <c r="I110" s="576">
        <f t="shared" si="32"/>
        <v>0</v>
      </c>
      <c r="J110" s="576">
        <f t="shared" si="32"/>
        <v>-15.3</v>
      </c>
      <c r="K110" s="576">
        <f t="shared" si="32"/>
        <v>-0.8</v>
      </c>
      <c r="L110" s="576">
        <f t="shared" si="32"/>
        <v>-315.3</v>
      </c>
      <c r="M110" s="576">
        <f t="shared" si="32"/>
        <v>1.4</v>
      </c>
      <c r="N110" s="576">
        <f t="shared" si="32"/>
        <v>7</v>
      </c>
      <c r="O110" s="577">
        <f t="shared" si="32"/>
        <v>0</v>
      </c>
    </row>
    <row r="113" spans="1:15">
      <c r="A113" s="681" t="s">
        <v>1817</v>
      </c>
      <c r="B113" s="456"/>
      <c r="C113" s="456"/>
      <c r="D113" s="456"/>
      <c r="E113" s="456"/>
      <c r="F113" s="456"/>
      <c r="G113" s="500"/>
      <c r="H113" s="500"/>
      <c r="I113" s="500"/>
      <c r="J113" s="500"/>
      <c r="K113" s="500"/>
      <c r="L113" s="500"/>
      <c r="M113" s="500"/>
      <c r="N113" s="500" t="s">
        <v>818</v>
      </c>
      <c r="O113" s="500"/>
    </row>
    <row r="114" spans="1:15">
      <c r="A114" s="501"/>
      <c r="B114" s="502" t="s">
        <v>930</v>
      </c>
      <c r="C114" s="2302" t="s">
        <v>817</v>
      </c>
      <c r="D114" s="2304" t="s">
        <v>667</v>
      </c>
      <c r="E114" s="2302" t="s">
        <v>668</v>
      </c>
      <c r="F114" s="2306" t="s">
        <v>669</v>
      </c>
      <c r="G114" s="503"/>
      <c r="H114" s="503"/>
      <c r="I114" s="455"/>
      <c r="J114" s="2302" t="s">
        <v>670</v>
      </c>
      <c r="K114" s="2302" t="s">
        <v>671</v>
      </c>
      <c r="L114" s="503" t="s">
        <v>816</v>
      </c>
      <c r="M114" s="503"/>
      <c r="N114" s="503"/>
      <c r="O114" s="455"/>
    </row>
    <row r="115" spans="1:15" ht="25">
      <c r="A115" s="504"/>
      <c r="B115" s="505" t="s">
        <v>9</v>
      </c>
      <c r="C115" s="2303"/>
      <c r="D115" s="2305"/>
      <c r="E115" s="2303"/>
      <c r="F115" s="2307"/>
      <c r="G115" s="506" t="s">
        <v>814</v>
      </c>
      <c r="H115" s="507" t="s">
        <v>815</v>
      </c>
      <c r="I115" s="455" t="s">
        <v>826</v>
      </c>
      <c r="J115" s="2303"/>
      <c r="K115" s="2303"/>
      <c r="L115" s="508" t="s">
        <v>827</v>
      </c>
      <c r="M115" s="506" t="s">
        <v>895</v>
      </c>
      <c r="N115" s="507" t="s">
        <v>896</v>
      </c>
      <c r="O115" s="455" t="s">
        <v>897</v>
      </c>
    </row>
    <row r="116" spans="1:15">
      <c r="A116" s="509"/>
      <c r="B116" s="510" t="s">
        <v>166</v>
      </c>
      <c r="C116" s="1122">
        <f>'28R9'!C4</f>
        <v>26352545.02952414</v>
      </c>
      <c r="D116" s="1122">
        <f>'28R9'!D4</f>
        <v>15196542</v>
      </c>
      <c r="E116" s="1122">
        <f>'28R9'!E4</f>
        <v>3323342</v>
      </c>
      <c r="F116" s="1122">
        <f>'28R9'!F4</f>
        <v>6075107</v>
      </c>
      <c r="G116" s="1122">
        <f>'28R9'!G4</f>
        <v>761253</v>
      </c>
      <c r="H116" s="1122">
        <f>'28R9'!H4</f>
        <v>5323344</v>
      </c>
      <c r="I116" s="1122">
        <f>'28R9'!I4</f>
        <v>-9490</v>
      </c>
      <c r="J116" s="1122">
        <f>'28R9'!J4</f>
        <v>824700</v>
      </c>
      <c r="K116" s="1122">
        <f>'28R9'!K4</f>
        <v>25419691</v>
      </c>
      <c r="L116" s="1122">
        <f>'28R9'!L4</f>
        <v>932854.0295241382</v>
      </c>
      <c r="M116" s="1122">
        <f>'28R9'!M4</f>
        <v>25379031.02952414</v>
      </c>
      <c r="N116" s="1122">
        <f>'28R9'!N4</f>
        <v>23719885</v>
      </c>
      <c r="O116" s="1123">
        <f>'28R9'!O4</f>
        <v>-726292</v>
      </c>
    </row>
    <row r="117" spans="1:15">
      <c r="A117" s="511">
        <v>1</v>
      </c>
      <c r="B117" s="453" t="s">
        <v>172</v>
      </c>
      <c r="C117" s="513">
        <f>'28R9'!C5</f>
        <v>7547353.0295241382</v>
      </c>
      <c r="D117" s="513">
        <f>'28R9'!D5</f>
        <v>4491190</v>
      </c>
      <c r="E117" s="513">
        <f>'28R9'!E5</f>
        <v>1134219</v>
      </c>
      <c r="F117" s="513">
        <f>'28R9'!F5</f>
        <v>1507023</v>
      </c>
      <c r="G117" s="513">
        <f>'28R9'!G5</f>
        <v>200261</v>
      </c>
      <c r="H117" s="513">
        <f>'28R9'!H5</f>
        <v>1309556</v>
      </c>
      <c r="I117" s="513">
        <f>'28R9'!I5</f>
        <v>-2794</v>
      </c>
      <c r="J117" s="513">
        <f>'28R9'!J5</f>
        <v>250085</v>
      </c>
      <c r="K117" s="513">
        <f>'28R9'!K5</f>
        <v>7382517</v>
      </c>
      <c r="L117" s="513">
        <f>'28R9'!L5</f>
        <v>164836.0295241382</v>
      </c>
      <c r="M117" s="513">
        <f>'28R9'!M5</f>
        <v>7388622.0295241382</v>
      </c>
      <c r="N117" s="513">
        <f>'28R9'!N5</f>
        <v>6994349</v>
      </c>
      <c r="O117" s="514">
        <f>'28R9'!O5</f>
        <v>-229437</v>
      </c>
    </row>
    <row r="118" spans="1:15">
      <c r="A118" s="511">
        <v>2</v>
      </c>
      <c r="B118" s="453" t="s">
        <v>323</v>
      </c>
      <c r="C118" s="513">
        <f>'28R9'!C6</f>
        <v>4760106</v>
      </c>
      <c r="D118" s="513">
        <f>'28R9'!D6</f>
        <v>2982957</v>
      </c>
      <c r="E118" s="513">
        <f>'28R9'!E6</f>
        <v>537775</v>
      </c>
      <c r="F118" s="513">
        <f>'28R9'!F6</f>
        <v>941324</v>
      </c>
      <c r="G118" s="513">
        <f>'28R9'!G6</f>
        <v>174400</v>
      </c>
      <c r="H118" s="513">
        <f>'28R9'!H6</f>
        <v>768615</v>
      </c>
      <c r="I118" s="513">
        <f>'28R9'!I6</f>
        <v>-1691</v>
      </c>
      <c r="J118" s="513">
        <f>'28R9'!J6</f>
        <v>99981</v>
      </c>
      <c r="K118" s="513">
        <f>'28R9'!K6</f>
        <v>4562037</v>
      </c>
      <c r="L118" s="513">
        <f>'28R9'!L6</f>
        <v>198069</v>
      </c>
      <c r="M118" s="513">
        <f>'28R9'!M6</f>
        <v>4592218</v>
      </c>
      <c r="N118" s="513">
        <f>'28R9'!N6</f>
        <v>4225086</v>
      </c>
      <c r="O118" s="514">
        <f>'28R9'!O6</f>
        <v>-169063</v>
      </c>
    </row>
    <row r="119" spans="1:15">
      <c r="A119" s="511">
        <v>3</v>
      </c>
      <c r="B119" s="453" t="s">
        <v>324</v>
      </c>
      <c r="C119" s="513">
        <f>'28R9'!C7</f>
        <v>3537070</v>
      </c>
      <c r="D119" s="513">
        <f>'28R9'!D7</f>
        <v>1952040</v>
      </c>
      <c r="E119" s="513">
        <f>'28R9'!E7</f>
        <v>359711</v>
      </c>
      <c r="F119" s="513">
        <f>'28R9'!F7</f>
        <v>669484</v>
      </c>
      <c r="G119" s="513">
        <f>'28R9'!G7</f>
        <v>99672</v>
      </c>
      <c r="H119" s="513">
        <f>'28R9'!H7</f>
        <v>570931</v>
      </c>
      <c r="I119" s="513">
        <f>'28R9'!I7</f>
        <v>-1119</v>
      </c>
      <c r="J119" s="513">
        <f>'28R9'!J7</f>
        <v>233708</v>
      </c>
      <c r="K119" s="513">
        <f>'28R9'!K7</f>
        <v>3214943</v>
      </c>
      <c r="L119" s="513">
        <f>'28R9'!L7</f>
        <v>322127</v>
      </c>
      <c r="M119" s="513">
        <f>'28R9'!M7</f>
        <v>3229577</v>
      </c>
      <c r="N119" s="513">
        <f>'28R9'!N7</f>
        <v>2795162</v>
      </c>
      <c r="O119" s="514">
        <f>'28R9'!O7</f>
        <v>-112288</v>
      </c>
    </row>
    <row r="120" spans="1:15">
      <c r="A120" s="511">
        <v>4</v>
      </c>
      <c r="B120" s="453" t="s">
        <v>192</v>
      </c>
      <c r="C120" s="513">
        <f>'28R9'!C8</f>
        <v>3732853</v>
      </c>
      <c r="D120" s="513">
        <f>'28R9'!D8</f>
        <v>2017448</v>
      </c>
      <c r="E120" s="513">
        <f>'28R9'!E8</f>
        <v>346463</v>
      </c>
      <c r="F120" s="513">
        <f>'28R9'!F8</f>
        <v>1093265</v>
      </c>
      <c r="G120" s="513">
        <f>'28R9'!G8</f>
        <v>113280</v>
      </c>
      <c r="H120" s="513">
        <f>'28R9'!H8</f>
        <v>981280</v>
      </c>
      <c r="I120" s="513">
        <f>'28R9'!I8</f>
        <v>-1295</v>
      </c>
      <c r="J120" s="513">
        <f>'28R9'!J8</f>
        <v>80492</v>
      </c>
      <c r="K120" s="513">
        <f>'28R9'!K8</f>
        <v>3537668</v>
      </c>
      <c r="L120" s="513">
        <f>'28R9'!L8</f>
        <v>195185</v>
      </c>
      <c r="M120" s="513">
        <f>'28R9'!M8</f>
        <v>3528076</v>
      </c>
      <c r="N120" s="513">
        <f>'28R9'!N8</f>
        <v>3235876</v>
      </c>
      <c r="O120" s="514">
        <f>'28R9'!O8</f>
        <v>-97015</v>
      </c>
    </row>
    <row r="121" spans="1:15">
      <c r="A121" s="511">
        <v>5</v>
      </c>
      <c r="B121" s="453" t="s">
        <v>325</v>
      </c>
      <c r="C121" s="513">
        <f>'28R9'!C9</f>
        <v>1275031</v>
      </c>
      <c r="D121" s="513">
        <f>'28R9'!D9</f>
        <v>699563</v>
      </c>
      <c r="E121" s="513">
        <f>'28R9'!E9</f>
        <v>162721</v>
      </c>
      <c r="F121" s="513">
        <f>'28R9'!F9</f>
        <v>331647</v>
      </c>
      <c r="G121" s="513">
        <f>'28R9'!G9</f>
        <v>25570</v>
      </c>
      <c r="H121" s="513">
        <f>'28R9'!H9</f>
        <v>306542</v>
      </c>
      <c r="I121" s="513">
        <f>'28R9'!I9</f>
        <v>-465</v>
      </c>
      <c r="J121" s="513">
        <f>'28R9'!J9</f>
        <v>42920</v>
      </c>
      <c r="K121" s="513">
        <f>'28R9'!K9</f>
        <v>1236851</v>
      </c>
      <c r="L121" s="513">
        <f>'28R9'!L9</f>
        <v>38180</v>
      </c>
      <c r="M121" s="513">
        <f>'28R9'!M9</f>
        <v>1193578</v>
      </c>
      <c r="N121" s="513">
        <f>'28R9'!N9</f>
        <v>1162717</v>
      </c>
      <c r="O121" s="514">
        <f>'28R9'!O9</f>
        <v>7319</v>
      </c>
    </row>
    <row r="122" spans="1:15">
      <c r="A122" s="511">
        <v>6</v>
      </c>
      <c r="B122" s="453" t="s">
        <v>326</v>
      </c>
      <c r="C122" s="513">
        <f>'28R9'!C10</f>
        <v>2766933</v>
      </c>
      <c r="D122" s="513">
        <f>'28R9'!D10</f>
        <v>1484247</v>
      </c>
      <c r="E122" s="513">
        <f>'28R9'!E10</f>
        <v>301635</v>
      </c>
      <c r="F122" s="513">
        <f>'28R9'!F10</f>
        <v>845813</v>
      </c>
      <c r="G122" s="513">
        <f>'28R9'!G10</f>
        <v>89119</v>
      </c>
      <c r="H122" s="513">
        <f>'28R9'!H10</f>
        <v>757694</v>
      </c>
      <c r="I122" s="513">
        <f>'28R9'!I10</f>
        <v>-1000</v>
      </c>
      <c r="J122" s="513">
        <f>'28R9'!J10</f>
        <v>40115</v>
      </c>
      <c r="K122" s="513">
        <f>'28R9'!K10</f>
        <v>2671810</v>
      </c>
      <c r="L122" s="513">
        <f>'28R9'!L10</f>
        <v>95123</v>
      </c>
      <c r="M122" s="513">
        <f>'28R9'!M10</f>
        <v>2615726</v>
      </c>
      <c r="N122" s="513">
        <f>'28R9'!N10</f>
        <v>2497785</v>
      </c>
      <c r="O122" s="514">
        <f>'28R9'!O10</f>
        <v>-22818</v>
      </c>
    </row>
    <row r="123" spans="1:15">
      <c r="A123" s="511">
        <v>7</v>
      </c>
      <c r="B123" s="453" t="s">
        <v>327</v>
      </c>
      <c r="C123" s="513">
        <f>'28R9'!C11</f>
        <v>1079919</v>
      </c>
      <c r="D123" s="513">
        <f>'28R9'!D11</f>
        <v>607477</v>
      </c>
      <c r="E123" s="513">
        <f>'28R9'!E11</f>
        <v>148209</v>
      </c>
      <c r="F123" s="513">
        <f>'28R9'!F11</f>
        <v>292904</v>
      </c>
      <c r="G123" s="513">
        <f>'28R9'!G11</f>
        <v>22096</v>
      </c>
      <c r="H123" s="513">
        <f>'28R9'!H11</f>
        <v>271228</v>
      </c>
      <c r="I123" s="513">
        <f>'28R9'!I11</f>
        <v>-420</v>
      </c>
      <c r="J123" s="513">
        <f>'28R9'!J11</f>
        <v>31874</v>
      </c>
      <c r="K123" s="513">
        <f>'28R9'!K11</f>
        <v>1080464</v>
      </c>
      <c r="L123" s="513">
        <f>'28R9'!L11</f>
        <v>-545</v>
      </c>
      <c r="M123" s="513">
        <f>'28R9'!M11</f>
        <v>1060459</v>
      </c>
      <c r="N123" s="513">
        <f>'28R9'!N11</f>
        <v>1049014</v>
      </c>
      <c r="O123" s="514">
        <f>'28R9'!O11</f>
        <v>-11990</v>
      </c>
    </row>
    <row r="124" spans="1:15">
      <c r="A124" s="511">
        <v>8</v>
      </c>
      <c r="B124" s="453" t="s">
        <v>210</v>
      </c>
      <c r="C124" s="513">
        <f>'28R9'!C12</f>
        <v>671671</v>
      </c>
      <c r="D124" s="513">
        <f>'28R9'!D12</f>
        <v>381957</v>
      </c>
      <c r="E124" s="513">
        <f>'28R9'!E12</f>
        <v>142102</v>
      </c>
      <c r="F124" s="513">
        <f>'28R9'!F12</f>
        <v>166459</v>
      </c>
      <c r="G124" s="513">
        <f>'28R9'!G12</f>
        <v>11362</v>
      </c>
      <c r="H124" s="513">
        <f>'28R9'!H12</f>
        <v>155390</v>
      </c>
      <c r="I124" s="513">
        <f>'28R9'!I12</f>
        <v>-293</v>
      </c>
      <c r="J124" s="513">
        <f>'28R9'!J12</f>
        <v>20970</v>
      </c>
      <c r="K124" s="513">
        <f>'28R9'!K12</f>
        <v>711488</v>
      </c>
      <c r="L124" s="513">
        <f>'28R9'!L12</f>
        <v>-39817</v>
      </c>
      <c r="M124" s="513">
        <f>'28R9'!M12</f>
        <v>734016</v>
      </c>
      <c r="N124" s="513">
        <f>'28R9'!N12</f>
        <v>729058</v>
      </c>
      <c r="O124" s="514">
        <f>'28R9'!O12</f>
        <v>-44775</v>
      </c>
    </row>
    <row r="125" spans="1:15">
      <c r="A125" s="511">
        <v>9</v>
      </c>
      <c r="B125" s="453" t="s">
        <v>211</v>
      </c>
      <c r="C125" s="513">
        <f>'28R9'!C13</f>
        <v>456952</v>
      </c>
      <c r="D125" s="513">
        <f>'28R9'!D13</f>
        <v>269954</v>
      </c>
      <c r="E125" s="513">
        <f>'28R9'!E13</f>
        <v>80560</v>
      </c>
      <c r="F125" s="513">
        <f>'28R9'!F13</f>
        <v>106387</v>
      </c>
      <c r="G125" s="513">
        <f>'28R9'!G13</f>
        <v>10344</v>
      </c>
      <c r="H125" s="513">
        <f>'28R9'!H13</f>
        <v>96227</v>
      </c>
      <c r="I125" s="513">
        <f>'28R9'!I13</f>
        <v>-184</v>
      </c>
      <c r="J125" s="513">
        <f>'28R9'!J13</f>
        <v>7352</v>
      </c>
      <c r="K125" s="513">
        <f>'28R9'!K13</f>
        <v>464253</v>
      </c>
      <c r="L125" s="513">
        <f>'28R9'!L13</f>
        <v>-7301</v>
      </c>
      <c r="M125" s="513">
        <f>'28R9'!M13</f>
        <v>462045</v>
      </c>
      <c r="N125" s="513">
        <f>'28R9'!N13</f>
        <v>457594</v>
      </c>
      <c r="O125" s="514">
        <f>'28R9'!O13</f>
        <v>-11752</v>
      </c>
    </row>
    <row r="126" spans="1:15">
      <c r="A126" s="515">
        <v>10</v>
      </c>
      <c r="B126" s="450" t="s">
        <v>212</v>
      </c>
      <c r="C126" s="517">
        <f>'28R9'!C14</f>
        <v>524657</v>
      </c>
      <c r="D126" s="517">
        <f>'28R9'!D14</f>
        <v>309709</v>
      </c>
      <c r="E126" s="517">
        <f>'28R9'!E14</f>
        <v>109947</v>
      </c>
      <c r="F126" s="517">
        <f>'28R9'!F14</f>
        <v>120801</v>
      </c>
      <c r="G126" s="517">
        <f>'28R9'!G14</f>
        <v>15149</v>
      </c>
      <c r="H126" s="517">
        <f>'28R9'!H14</f>
        <v>105881</v>
      </c>
      <c r="I126" s="517">
        <f>'28R9'!I14</f>
        <v>-229</v>
      </c>
      <c r="J126" s="517">
        <f>'28R9'!J14</f>
        <v>17203</v>
      </c>
      <c r="K126" s="517">
        <f>'28R9'!K14</f>
        <v>557660</v>
      </c>
      <c r="L126" s="517">
        <f>'28R9'!L14</f>
        <v>-33003</v>
      </c>
      <c r="M126" s="517">
        <f>'28R9'!M14</f>
        <v>574714</v>
      </c>
      <c r="N126" s="517">
        <f>'28R9'!N14</f>
        <v>573244</v>
      </c>
      <c r="O126" s="518">
        <f>'28R9'!O14</f>
        <v>-34473</v>
      </c>
    </row>
    <row r="129" spans="1:15">
      <c r="A129" s="681" t="s">
        <v>1818</v>
      </c>
      <c r="B129" s="456"/>
      <c r="C129" s="456"/>
      <c r="D129" s="456"/>
      <c r="E129" s="456"/>
      <c r="F129" s="456"/>
      <c r="G129" s="500"/>
      <c r="H129" s="500"/>
      <c r="I129" s="500"/>
      <c r="J129" s="500"/>
      <c r="K129" s="500"/>
      <c r="L129" s="500"/>
      <c r="M129" s="500"/>
      <c r="N129" s="500" t="s">
        <v>818</v>
      </c>
      <c r="O129" s="500"/>
    </row>
    <row r="130" spans="1:15">
      <c r="A130" s="501"/>
      <c r="B130" s="502" t="s">
        <v>930</v>
      </c>
      <c r="C130" s="2302" t="s">
        <v>817</v>
      </c>
      <c r="D130" s="2304" t="s">
        <v>667</v>
      </c>
      <c r="E130" s="2302" t="s">
        <v>668</v>
      </c>
      <c r="F130" s="2306" t="s">
        <v>669</v>
      </c>
      <c r="G130" s="503"/>
      <c r="H130" s="503"/>
      <c r="I130" s="455"/>
      <c r="J130" s="2302" t="s">
        <v>670</v>
      </c>
      <c r="K130" s="2302" t="s">
        <v>671</v>
      </c>
      <c r="L130" s="503" t="s">
        <v>816</v>
      </c>
      <c r="M130" s="503"/>
      <c r="N130" s="503"/>
      <c r="O130" s="455"/>
    </row>
    <row r="131" spans="1:15" ht="25">
      <c r="A131" s="504"/>
      <c r="B131" s="505" t="s">
        <v>9</v>
      </c>
      <c r="C131" s="2303"/>
      <c r="D131" s="2305"/>
      <c r="E131" s="2303"/>
      <c r="F131" s="2307"/>
      <c r="G131" s="506" t="s">
        <v>814</v>
      </c>
      <c r="H131" s="507" t="s">
        <v>815</v>
      </c>
      <c r="I131" s="455" t="s">
        <v>826</v>
      </c>
      <c r="J131" s="2303"/>
      <c r="K131" s="2303"/>
      <c r="L131" s="508" t="s">
        <v>827</v>
      </c>
      <c r="M131" s="506" t="s">
        <v>895</v>
      </c>
      <c r="N131" s="507" t="s">
        <v>896</v>
      </c>
      <c r="O131" s="455" t="s">
        <v>897</v>
      </c>
    </row>
    <row r="132" spans="1:15">
      <c r="A132" s="509"/>
      <c r="B132" s="521" t="s">
        <v>166</v>
      </c>
      <c r="C132" s="1736">
        <f>ROUND((C116-C84)/C84*100,1)</f>
        <v>1.5</v>
      </c>
      <c r="D132" s="578">
        <f t="shared" ref="D132:O132" si="33">ROUND((D116-D84)/D84*100,1)</f>
        <v>1.2</v>
      </c>
      <c r="E132" s="578">
        <f t="shared" si="33"/>
        <v>0.7</v>
      </c>
      <c r="F132" s="578">
        <f t="shared" si="33"/>
        <v>2.5</v>
      </c>
      <c r="G132" s="578">
        <f t="shared" si="33"/>
        <v>0</v>
      </c>
      <c r="H132" s="578">
        <f t="shared" si="33"/>
        <v>2.8</v>
      </c>
      <c r="I132" s="578">
        <f t="shared" si="33"/>
        <v>0</v>
      </c>
      <c r="J132" s="578">
        <f t="shared" si="33"/>
        <v>1.2</v>
      </c>
      <c r="K132" s="578">
        <f t="shared" si="33"/>
        <v>1.4</v>
      </c>
      <c r="L132" s="578">
        <f t="shared" si="33"/>
        <v>5.3</v>
      </c>
      <c r="M132" s="578">
        <f t="shared" si="33"/>
        <v>2.4</v>
      </c>
      <c r="N132" s="578">
        <f t="shared" si="33"/>
        <v>2.4</v>
      </c>
      <c r="O132" s="579">
        <f t="shared" si="33"/>
        <v>0</v>
      </c>
    </row>
    <row r="133" spans="1:15">
      <c r="A133" s="511">
        <v>1</v>
      </c>
      <c r="B133" s="519" t="s">
        <v>172</v>
      </c>
      <c r="C133" s="1737">
        <f t="shared" ref="C133:O133" si="34">ROUND((C117-C85)/C85*100,1)</f>
        <v>1</v>
      </c>
      <c r="D133" s="574">
        <f t="shared" si="34"/>
        <v>1.1000000000000001</v>
      </c>
      <c r="E133" s="574">
        <f t="shared" si="34"/>
        <v>1</v>
      </c>
      <c r="F133" s="574">
        <f t="shared" si="34"/>
        <v>2.2999999999999998</v>
      </c>
      <c r="G133" s="574">
        <f t="shared" si="34"/>
        <v>-0.8</v>
      </c>
      <c r="H133" s="574">
        <f t="shared" si="34"/>
        <v>2.8</v>
      </c>
      <c r="I133" s="574">
        <f t="shared" si="34"/>
        <v>0</v>
      </c>
      <c r="J133" s="574">
        <f t="shared" si="34"/>
        <v>-4.0999999999999996</v>
      </c>
      <c r="K133" s="574">
        <f t="shared" si="34"/>
        <v>1.1000000000000001</v>
      </c>
      <c r="L133" s="574">
        <f t="shared" si="34"/>
        <v>-5.2</v>
      </c>
      <c r="M133" s="574">
        <f t="shared" si="34"/>
        <v>2.1</v>
      </c>
      <c r="N133" s="574">
        <f t="shared" si="34"/>
        <v>2.4</v>
      </c>
      <c r="O133" s="575">
        <f t="shared" si="34"/>
        <v>0</v>
      </c>
    </row>
    <row r="134" spans="1:15">
      <c r="A134" s="511">
        <v>2</v>
      </c>
      <c r="B134" s="519" t="s">
        <v>323</v>
      </c>
      <c r="C134" s="1737">
        <f t="shared" ref="C134:O134" si="35">ROUND((C118-C86)/C86*100,1)</f>
        <v>2.2000000000000002</v>
      </c>
      <c r="D134" s="574">
        <f t="shared" si="35"/>
        <v>1.8</v>
      </c>
      <c r="E134" s="574">
        <f t="shared" si="35"/>
        <v>0.3</v>
      </c>
      <c r="F134" s="574">
        <f t="shared" si="35"/>
        <v>2.2000000000000002</v>
      </c>
      <c r="G134" s="574">
        <f t="shared" si="35"/>
        <v>-0.5</v>
      </c>
      <c r="H134" s="574">
        <f t="shared" si="35"/>
        <v>2.8</v>
      </c>
      <c r="I134" s="574">
        <f t="shared" si="35"/>
        <v>0</v>
      </c>
      <c r="J134" s="574">
        <f t="shared" si="35"/>
        <v>3.1</v>
      </c>
      <c r="K134" s="574">
        <f t="shared" si="35"/>
        <v>1.7</v>
      </c>
      <c r="L134" s="574">
        <f t="shared" si="35"/>
        <v>13.2</v>
      </c>
      <c r="M134" s="574">
        <f t="shared" si="35"/>
        <v>2.7</v>
      </c>
      <c r="N134" s="574">
        <f t="shared" si="35"/>
        <v>2.4</v>
      </c>
      <c r="O134" s="575">
        <f t="shared" si="35"/>
        <v>0</v>
      </c>
    </row>
    <row r="135" spans="1:15">
      <c r="A135" s="511">
        <v>3</v>
      </c>
      <c r="B135" s="519" t="s">
        <v>324</v>
      </c>
      <c r="C135" s="1737">
        <f t="shared" ref="C135:O135" si="36">ROUND((C119-C87)/C87*100,1)</f>
        <v>4</v>
      </c>
      <c r="D135" s="574">
        <f t="shared" si="36"/>
        <v>1.7</v>
      </c>
      <c r="E135" s="574">
        <f t="shared" si="36"/>
        <v>0.4</v>
      </c>
      <c r="F135" s="574">
        <f t="shared" si="36"/>
        <v>2.9</v>
      </c>
      <c r="G135" s="574">
        <f t="shared" si="36"/>
        <v>3.2</v>
      </c>
      <c r="H135" s="574">
        <f t="shared" si="36"/>
        <v>2.8</v>
      </c>
      <c r="I135" s="574">
        <f t="shared" si="36"/>
        <v>0</v>
      </c>
      <c r="J135" s="574">
        <f t="shared" si="36"/>
        <v>15.6</v>
      </c>
      <c r="K135" s="574">
        <f t="shared" si="36"/>
        <v>2.7</v>
      </c>
      <c r="L135" s="574">
        <f t="shared" si="36"/>
        <v>18.100000000000001</v>
      </c>
      <c r="M135" s="574">
        <f t="shared" si="36"/>
        <v>3.7</v>
      </c>
      <c r="N135" s="574">
        <f t="shared" si="36"/>
        <v>2.4</v>
      </c>
      <c r="O135" s="575">
        <f t="shared" si="36"/>
        <v>0</v>
      </c>
    </row>
    <row r="136" spans="1:15">
      <c r="A136" s="511">
        <v>4</v>
      </c>
      <c r="B136" s="519" t="s">
        <v>192</v>
      </c>
      <c r="C136" s="1737">
        <f t="shared" ref="C136:O136" si="37">ROUND((C120-C88)/C88*100,1)</f>
        <v>2.4</v>
      </c>
      <c r="D136" s="574">
        <f t="shared" si="37"/>
        <v>1.6</v>
      </c>
      <c r="E136" s="574">
        <f t="shared" si="37"/>
        <v>0.7</v>
      </c>
      <c r="F136" s="574">
        <f t="shared" si="37"/>
        <v>2.8</v>
      </c>
      <c r="G136" s="574">
        <f t="shared" si="37"/>
        <v>2.8</v>
      </c>
      <c r="H136" s="574">
        <f t="shared" si="37"/>
        <v>2.8</v>
      </c>
      <c r="I136" s="574">
        <f t="shared" si="37"/>
        <v>0</v>
      </c>
      <c r="J136" s="574">
        <f t="shared" si="37"/>
        <v>0.7</v>
      </c>
      <c r="K136" s="574">
        <f t="shared" si="37"/>
        <v>1.8</v>
      </c>
      <c r="L136" s="574">
        <f t="shared" si="37"/>
        <v>12.9</v>
      </c>
      <c r="M136" s="574">
        <f t="shared" si="37"/>
        <v>2.9</v>
      </c>
      <c r="N136" s="574">
        <f t="shared" si="37"/>
        <v>2.4</v>
      </c>
      <c r="O136" s="575">
        <f t="shared" si="37"/>
        <v>0</v>
      </c>
    </row>
    <row r="137" spans="1:15">
      <c r="A137" s="511">
        <v>5</v>
      </c>
      <c r="B137" s="519" t="s">
        <v>325</v>
      </c>
      <c r="C137" s="1737">
        <f t="shared" ref="C137:O137" si="38">ROUND((C121-C89)/C89*100,1)</f>
        <v>2</v>
      </c>
      <c r="D137" s="574">
        <f t="shared" si="38"/>
        <v>1.6</v>
      </c>
      <c r="E137" s="574">
        <f t="shared" si="38"/>
        <v>0.7</v>
      </c>
      <c r="F137" s="574">
        <f t="shared" si="38"/>
        <v>2.5</v>
      </c>
      <c r="G137" s="574">
        <f t="shared" si="38"/>
        <v>-2.2999999999999998</v>
      </c>
      <c r="H137" s="574">
        <f t="shared" si="38"/>
        <v>2.9</v>
      </c>
      <c r="I137" s="574">
        <f t="shared" si="38"/>
        <v>0</v>
      </c>
      <c r="J137" s="574">
        <f t="shared" si="38"/>
        <v>0.8</v>
      </c>
      <c r="K137" s="574">
        <f t="shared" si="38"/>
        <v>1.7</v>
      </c>
      <c r="L137" s="574">
        <f t="shared" si="38"/>
        <v>14.5</v>
      </c>
      <c r="M137" s="574">
        <f t="shared" si="38"/>
        <v>2.8</v>
      </c>
      <c r="N137" s="574">
        <f t="shared" si="38"/>
        <v>2.4</v>
      </c>
      <c r="O137" s="575">
        <f t="shared" si="38"/>
        <v>0</v>
      </c>
    </row>
    <row r="138" spans="1:15">
      <c r="A138" s="511">
        <v>6</v>
      </c>
      <c r="B138" s="519" t="s">
        <v>326</v>
      </c>
      <c r="C138" s="1737">
        <f t="shared" ref="C138:O138" si="39">ROUND((C122-C90)/C90*100,1)</f>
        <v>1.5</v>
      </c>
      <c r="D138" s="574">
        <f t="shared" si="39"/>
        <v>1.7</v>
      </c>
      <c r="E138" s="574">
        <f t="shared" si="39"/>
        <v>0.6</v>
      </c>
      <c r="F138" s="574">
        <f t="shared" si="39"/>
        <v>2.1</v>
      </c>
      <c r="G138" s="574">
        <f t="shared" si="39"/>
        <v>-3.9</v>
      </c>
      <c r="H138" s="574">
        <f t="shared" si="39"/>
        <v>2.9</v>
      </c>
      <c r="I138" s="574">
        <f t="shared" si="39"/>
        <v>0</v>
      </c>
      <c r="J138" s="574">
        <f t="shared" si="39"/>
        <v>-17.2</v>
      </c>
      <c r="K138" s="574">
        <f t="shared" si="39"/>
        <v>1.4</v>
      </c>
      <c r="L138" s="574">
        <f t="shared" si="39"/>
        <v>4.5</v>
      </c>
      <c r="M138" s="574">
        <f t="shared" si="39"/>
        <v>2.5</v>
      </c>
      <c r="N138" s="574">
        <f t="shared" si="39"/>
        <v>2.4</v>
      </c>
      <c r="O138" s="575">
        <f t="shared" si="39"/>
        <v>0</v>
      </c>
    </row>
    <row r="139" spans="1:15">
      <c r="A139" s="511">
        <v>7</v>
      </c>
      <c r="B139" s="519" t="s">
        <v>327</v>
      </c>
      <c r="C139" s="1737">
        <f t="shared" ref="C139:O139" si="40">ROUND((C123-C91)/C91*100,1)</f>
        <v>-0.3</v>
      </c>
      <c r="D139" s="574">
        <f t="shared" si="40"/>
        <v>-0.6</v>
      </c>
      <c r="E139" s="574">
        <f t="shared" si="40"/>
        <v>0.6</v>
      </c>
      <c r="F139" s="574">
        <f t="shared" si="40"/>
        <v>2.8</v>
      </c>
      <c r="G139" s="574">
        <f t="shared" si="40"/>
        <v>1.1000000000000001</v>
      </c>
      <c r="H139" s="574">
        <f t="shared" si="40"/>
        <v>2.9</v>
      </c>
      <c r="I139" s="574">
        <f t="shared" si="40"/>
        <v>0</v>
      </c>
      <c r="J139" s="574">
        <f t="shared" si="40"/>
        <v>-0.2</v>
      </c>
      <c r="K139" s="574">
        <f t="shared" si="40"/>
        <v>0.5</v>
      </c>
      <c r="L139" s="574">
        <f t="shared" si="40"/>
        <v>-106.9</v>
      </c>
      <c r="M139" s="574">
        <f t="shared" si="40"/>
        <v>1.6</v>
      </c>
      <c r="N139" s="574">
        <f t="shared" si="40"/>
        <v>2.4</v>
      </c>
      <c r="O139" s="575">
        <f t="shared" si="40"/>
        <v>0</v>
      </c>
    </row>
    <row r="140" spans="1:15">
      <c r="A140" s="511">
        <v>8</v>
      </c>
      <c r="B140" s="519" t="s">
        <v>210</v>
      </c>
      <c r="C140" s="1737">
        <f t="shared" ref="C140:O140" si="41">ROUND((C124-C92)/C92*100,1)</f>
        <v>-4.8</v>
      </c>
      <c r="D140" s="574">
        <f t="shared" si="41"/>
        <v>-3.9</v>
      </c>
      <c r="E140" s="574">
        <f t="shared" si="41"/>
        <v>1.1000000000000001</v>
      </c>
      <c r="F140" s="574">
        <f t="shared" si="41"/>
        <v>2.2999999999999998</v>
      </c>
      <c r="G140" s="574">
        <f t="shared" si="41"/>
        <v>1.2</v>
      </c>
      <c r="H140" s="574">
        <f t="shared" si="41"/>
        <v>2.4</v>
      </c>
      <c r="I140" s="574">
        <f t="shared" si="41"/>
        <v>0</v>
      </c>
      <c r="J140" s="574">
        <f t="shared" si="41"/>
        <v>-9.6</v>
      </c>
      <c r="K140" s="574">
        <f t="shared" si="41"/>
        <v>-1.7</v>
      </c>
      <c r="L140" s="574">
        <f t="shared" si="41"/>
        <v>119.7</v>
      </c>
      <c r="M140" s="574">
        <f t="shared" si="41"/>
        <v>-0.6</v>
      </c>
      <c r="N140" s="574">
        <f t="shared" si="41"/>
        <v>2.4</v>
      </c>
      <c r="O140" s="575">
        <f t="shared" si="41"/>
        <v>0</v>
      </c>
    </row>
    <row r="141" spans="1:15">
      <c r="A141" s="511">
        <v>9</v>
      </c>
      <c r="B141" s="519" t="s">
        <v>211</v>
      </c>
      <c r="C141" s="1737">
        <f t="shared" ref="C141:O141" si="42">ROUND((C125-C93)/C93*100,1)</f>
        <v>-0.4</v>
      </c>
      <c r="D141" s="574">
        <f t="shared" si="42"/>
        <v>-0.3</v>
      </c>
      <c r="E141" s="574">
        <f t="shared" si="42"/>
        <v>0.5</v>
      </c>
      <c r="F141" s="574">
        <f t="shared" si="42"/>
        <v>2.9</v>
      </c>
      <c r="G141" s="574">
        <f t="shared" si="42"/>
        <v>3.5</v>
      </c>
      <c r="H141" s="574">
        <f t="shared" si="42"/>
        <v>2.8</v>
      </c>
      <c r="I141" s="574">
        <f t="shared" si="42"/>
        <v>0</v>
      </c>
      <c r="J141" s="574">
        <f t="shared" si="42"/>
        <v>-7.4</v>
      </c>
      <c r="K141" s="574">
        <f t="shared" si="42"/>
        <v>0.4</v>
      </c>
      <c r="L141" s="574">
        <f t="shared" si="42"/>
        <v>120.8</v>
      </c>
      <c r="M141" s="574">
        <f t="shared" si="42"/>
        <v>1.5</v>
      </c>
      <c r="N141" s="574">
        <f t="shared" si="42"/>
        <v>2.4</v>
      </c>
      <c r="O141" s="575">
        <f t="shared" si="42"/>
        <v>0</v>
      </c>
    </row>
    <row r="142" spans="1:15">
      <c r="A142" s="515">
        <v>10</v>
      </c>
      <c r="B142" s="520" t="s">
        <v>212</v>
      </c>
      <c r="C142" s="1738">
        <f t="shared" ref="C142:O142" si="43">ROUND((C126-C94)/C94*100,1)</f>
        <v>-3.6</v>
      </c>
      <c r="D142" s="576">
        <f t="shared" si="43"/>
        <v>-1.6</v>
      </c>
      <c r="E142" s="576">
        <f t="shared" si="43"/>
        <v>0.1</v>
      </c>
      <c r="F142" s="576">
        <f t="shared" si="43"/>
        <v>2.2000000000000002</v>
      </c>
      <c r="G142" s="576">
        <f t="shared" si="43"/>
        <v>-0.9</v>
      </c>
      <c r="H142" s="576">
        <f t="shared" si="43"/>
        <v>2.7</v>
      </c>
      <c r="I142" s="576">
        <f t="shared" si="43"/>
        <v>0</v>
      </c>
      <c r="J142" s="576">
        <f t="shared" si="43"/>
        <v>-17.100000000000001</v>
      </c>
      <c r="K142" s="576">
        <f t="shared" si="43"/>
        <v>-1.1000000000000001</v>
      </c>
      <c r="L142" s="576">
        <f t="shared" si="43"/>
        <v>68.2</v>
      </c>
      <c r="M142" s="576">
        <f t="shared" si="43"/>
        <v>0</v>
      </c>
      <c r="N142" s="576">
        <f t="shared" si="43"/>
        <v>2.4</v>
      </c>
      <c r="O142" s="577">
        <f t="shared" si="43"/>
        <v>0</v>
      </c>
    </row>
  </sheetData>
  <mergeCells count="54">
    <mergeCell ref="K114:K115"/>
    <mergeCell ref="C130:C131"/>
    <mergeCell ref="D130:D131"/>
    <mergeCell ref="E130:E131"/>
    <mergeCell ref="F130:F131"/>
    <mergeCell ref="J130:J131"/>
    <mergeCell ref="K130:K131"/>
    <mergeCell ref="C114:C115"/>
    <mergeCell ref="D114:D115"/>
    <mergeCell ref="E114:E115"/>
    <mergeCell ref="F114:F115"/>
    <mergeCell ref="J114:J115"/>
    <mergeCell ref="K82:K83"/>
    <mergeCell ref="C98:C99"/>
    <mergeCell ref="D98:D99"/>
    <mergeCell ref="E98:E99"/>
    <mergeCell ref="F98:F99"/>
    <mergeCell ref="J98:J99"/>
    <mergeCell ref="K98:K99"/>
    <mergeCell ref="C82:C83"/>
    <mergeCell ref="D82:D83"/>
    <mergeCell ref="E82:E83"/>
    <mergeCell ref="F82:F83"/>
    <mergeCell ref="J82:J83"/>
    <mergeCell ref="K2:K3"/>
    <mergeCell ref="C2:C3"/>
    <mergeCell ref="D2:D3"/>
    <mergeCell ref="E2:E3"/>
    <mergeCell ref="F2:F3"/>
    <mergeCell ref="J2:J3"/>
    <mergeCell ref="K18:K19"/>
    <mergeCell ref="C34:C35"/>
    <mergeCell ref="D34:D35"/>
    <mergeCell ref="E34:E35"/>
    <mergeCell ref="F34:F35"/>
    <mergeCell ref="J34:J35"/>
    <mergeCell ref="K34:K35"/>
    <mergeCell ref="C18:C19"/>
    <mergeCell ref="D18:D19"/>
    <mergeCell ref="E18:E19"/>
    <mergeCell ref="F18:F19"/>
    <mergeCell ref="J18:J19"/>
    <mergeCell ref="K50:K51"/>
    <mergeCell ref="C66:C67"/>
    <mergeCell ref="D66:D67"/>
    <mergeCell ref="E66:E67"/>
    <mergeCell ref="F66:F67"/>
    <mergeCell ref="J66:J67"/>
    <mergeCell ref="K66:K67"/>
    <mergeCell ref="C50:C51"/>
    <mergeCell ref="D50:D51"/>
    <mergeCell ref="E50:E51"/>
    <mergeCell ref="F50:F51"/>
    <mergeCell ref="J50:J51"/>
  </mergeCells>
  <phoneticPr fontId="13"/>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3"/>
  <dimension ref="A1:Z67"/>
  <sheetViews>
    <sheetView workbookViewId="0">
      <pane xSplit="2" ySplit="4" topLeftCell="S27" activePane="bottomRight" state="frozen"/>
      <selection pane="topRight" activeCell="C1" sqref="C1"/>
      <selection pane="bottomLeft" activeCell="A5" sqref="A5"/>
      <selection pane="bottomRight" activeCell="V30" sqref="V30"/>
    </sheetView>
  </sheetViews>
  <sheetFormatPr defaultColWidth="8.7109375" defaultRowHeight="13"/>
  <cols>
    <col min="1" max="1" width="4" style="75" customWidth="1"/>
    <col min="2" max="2" width="9.5" style="75" customWidth="1"/>
    <col min="3" max="4" width="8.5" style="75" customWidth="1"/>
    <col min="5" max="24" width="8.7109375" style="75"/>
    <col min="25" max="26" width="8" style="75" customWidth="1"/>
    <col min="27" max="16384" width="8.7109375" style="75"/>
  </cols>
  <sheetData>
    <row r="1" spans="1:26">
      <c r="B1" s="65" t="s">
        <v>841</v>
      </c>
      <c r="C1" s="74"/>
      <c r="F1" s="74" t="s">
        <v>835</v>
      </c>
      <c r="Q1" s="935"/>
      <c r="R1" s="935"/>
      <c r="S1" s="935"/>
      <c r="U1" s="935" t="s">
        <v>948</v>
      </c>
      <c r="V1" s="935" t="s">
        <v>14</v>
      </c>
      <c r="W1" s="75" t="s">
        <v>14</v>
      </c>
      <c r="X1" s="75" t="s">
        <v>14</v>
      </c>
    </row>
    <row r="2" spans="1:26">
      <c r="A2" s="728"/>
      <c r="B2" s="729" t="s">
        <v>319</v>
      </c>
      <c r="C2" s="1375">
        <v>2006</v>
      </c>
      <c r="D2" s="1375">
        <v>2007</v>
      </c>
      <c r="E2" s="1375">
        <v>2008</v>
      </c>
      <c r="F2" s="1375">
        <v>2009</v>
      </c>
      <c r="G2" s="1375">
        <v>2010</v>
      </c>
      <c r="H2" s="1375">
        <v>2011</v>
      </c>
      <c r="I2" s="1376">
        <v>2012</v>
      </c>
      <c r="J2" s="1376">
        <v>2013</v>
      </c>
      <c r="K2" s="1376">
        <v>2014</v>
      </c>
      <c r="L2" s="1376">
        <v>2015</v>
      </c>
      <c r="M2" s="1376">
        <v>2016</v>
      </c>
      <c r="N2" s="1376">
        <v>2017</v>
      </c>
      <c r="O2" s="1376">
        <v>2018</v>
      </c>
      <c r="P2" s="1377">
        <v>2019</v>
      </c>
      <c r="Q2" s="1376">
        <v>2020</v>
      </c>
      <c r="R2" s="1377">
        <v>2021</v>
      </c>
      <c r="S2" s="1377">
        <v>2022</v>
      </c>
      <c r="T2" s="1377">
        <v>2023</v>
      </c>
      <c r="U2" s="1377">
        <v>2024</v>
      </c>
      <c r="V2" s="1077">
        <v>2025</v>
      </c>
      <c r="W2" s="1077">
        <v>2026</v>
      </c>
      <c r="X2" s="1077">
        <v>2027</v>
      </c>
    </row>
    <row r="3" spans="1:26">
      <c r="A3" s="730"/>
      <c r="B3" s="730"/>
      <c r="C3" s="77" t="s">
        <v>837</v>
      </c>
      <c r="D3" s="77" t="s">
        <v>838</v>
      </c>
      <c r="E3" s="77" t="s">
        <v>869</v>
      </c>
      <c r="F3" s="77" t="s">
        <v>870</v>
      </c>
      <c r="G3" s="77" t="s">
        <v>13</v>
      </c>
      <c r="H3" s="77" t="s">
        <v>104</v>
      </c>
      <c r="I3" s="628" t="s">
        <v>118</v>
      </c>
      <c r="J3" s="628" t="s">
        <v>119</v>
      </c>
      <c r="K3" s="628" t="s">
        <v>67</v>
      </c>
      <c r="L3" s="628" t="s">
        <v>157</v>
      </c>
      <c r="M3" s="628" t="s">
        <v>1000</v>
      </c>
      <c r="N3" s="628" t="s">
        <v>1036</v>
      </c>
      <c r="O3" s="628" t="s">
        <v>1062</v>
      </c>
      <c r="P3" s="935" t="s">
        <v>1161</v>
      </c>
      <c r="Q3" s="628" t="s">
        <v>1129</v>
      </c>
      <c r="R3" s="935" t="s">
        <v>1160</v>
      </c>
      <c r="S3" s="935" t="s">
        <v>1200</v>
      </c>
      <c r="T3" s="935" t="s">
        <v>1234</v>
      </c>
      <c r="U3" s="935" t="s">
        <v>1561</v>
      </c>
      <c r="V3" s="453" t="s">
        <v>1603</v>
      </c>
      <c r="W3" s="453" t="s">
        <v>1745</v>
      </c>
      <c r="X3" s="453" t="s">
        <v>1783</v>
      </c>
      <c r="Y3" s="628" t="s">
        <v>1562</v>
      </c>
      <c r="Z3" s="628" t="s">
        <v>1722</v>
      </c>
    </row>
    <row r="4" spans="1:26">
      <c r="A4" s="730"/>
      <c r="B4" s="730" t="s">
        <v>320</v>
      </c>
      <c r="C4" s="259"/>
      <c r="D4" s="259" t="s">
        <v>839</v>
      </c>
      <c r="E4" s="259" t="s">
        <v>839</v>
      </c>
      <c r="F4" s="259" t="s">
        <v>839</v>
      </c>
      <c r="G4" s="259" t="s">
        <v>839</v>
      </c>
      <c r="H4" s="259" t="s">
        <v>839</v>
      </c>
      <c r="I4" s="132"/>
      <c r="K4" s="132"/>
      <c r="L4" s="132"/>
      <c r="P4" s="453"/>
      <c r="R4" s="453"/>
      <c r="S4" s="453"/>
      <c r="T4" s="453"/>
      <c r="U4" s="453"/>
      <c r="V4" s="453"/>
      <c r="W4" s="453"/>
      <c r="X4" s="450"/>
    </row>
    <row r="5" spans="1:26">
      <c r="A5" s="728"/>
      <c r="B5" s="728" t="s">
        <v>322</v>
      </c>
      <c r="C5" s="797">
        <f>移出入推計WS!E6+移出入推計WS!G6+移出入推計WS!H6</f>
        <v>18278658.05164396</v>
      </c>
      <c r="D5" s="797">
        <f>移出入推計WS!O6+移出入推計WS!Q6+移出入推計WS!R6</f>
        <v>19437431.795611959</v>
      </c>
      <c r="E5" s="739">
        <f>移出入推計WS!Y6+移出入推計WS!AA6+移出入推計WS!AB6</f>
        <v>18393588.133822538</v>
      </c>
      <c r="F5" s="739">
        <f>移出入推計WS!AI6+移出入推計WS!AK6+移出入推計WS!AL6</f>
        <v>16381948.318544077</v>
      </c>
      <c r="G5" s="740">
        <f>移出入推計WS!AS6+移出入推計WS!AU6+移出入推計WS!AV6</f>
        <v>17534957.469319031</v>
      </c>
      <c r="H5" s="740">
        <f>移出入推計WS!BC6+移出入推計WS!BE6+移出入推計WS!BF6</f>
        <v>17086366.650561515</v>
      </c>
      <c r="I5" s="739">
        <f>移出入推計WS!BM6+移出入推計WS!BO6+移出入推計WS!BP6</f>
        <v>16690981.276192082</v>
      </c>
      <c r="J5" s="739">
        <f>移出入推計WS!BW6+移出入推計WS!BY6+移出入推計WS!BZ6</f>
        <v>17240822.204954162</v>
      </c>
      <c r="K5" s="75">
        <f>移出入推計WS!CG6+移出入推計WS!CI6+移出入推計WS!CJ6</f>
        <v>17915790.14776409</v>
      </c>
      <c r="L5" s="75">
        <f>移出入推計WS!CQ6+移出入推計WS!CS6+移出入推計WS!CT6</f>
        <v>18064939.653720029</v>
      </c>
      <c r="M5" s="130">
        <f>移出入推計WS!DA6+移出入推計WS!DC6+移出入推計WS!DD6</f>
        <v>17654160.48521911</v>
      </c>
      <c r="N5" s="130">
        <f>移出入推計WS!DK6+移出入推計WS!DM6+移出入推計WS!DN6</f>
        <v>18556147.834262598</v>
      </c>
      <c r="O5" s="130">
        <f>移出入推計WS!DU6+移出入推計WS!DW6+移出入推計WS!DX6</f>
        <v>18770137.291875411</v>
      </c>
      <c r="P5" s="75">
        <f>移出入推計WS!EE6+移出入推計WS!EG6+移出入推計WS!EH6</f>
        <v>18622893.945206176</v>
      </c>
      <c r="Q5" s="130">
        <f>移出入推計WS!EO6+移出入推計WS!EQ6+移出入推計WS!ER6</f>
        <v>16942267.688253999</v>
      </c>
      <c r="R5" s="915">
        <f>移出入推計WS!EY6</f>
        <v>17776477</v>
      </c>
      <c r="S5" s="915">
        <f>移出入推計WS!FI6</f>
        <v>18956344</v>
      </c>
      <c r="T5" s="1072">
        <f>移出入推計WS!FT6</f>
        <v>21594435</v>
      </c>
      <c r="U5" s="1072">
        <f>移出入推計WS!GD6</f>
        <v>23082046</v>
      </c>
      <c r="V5" s="1072">
        <f>移出入推計WS!GN6</f>
        <v>23705927</v>
      </c>
      <c r="W5" s="1072">
        <f>移出入推計WS!GX6</f>
        <v>24124693</v>
      </c>
      <c r="X5" s="1072">
        <f>移出入推計WS!GY6</f>
        <v>23163638</v>
      </c>
      <c r="Y5" s="588">
        <f>(純移出入!U5-純移出入!T5)/ABS(純移出入!T5)*100</f>
        <v>196.26378626534827</v>
      </c>
      <c r="Z5" s="588">
        <f>(純移出入!V5-純移出入!U5)/ABS(純移出入!U5)*100</f>
        <v>7.1882038086614672</v>
      </c>
    </row>
    <row r="6" spans="1:26">
      <c r="A6" s="730">
        <v>100</v>
      </c>
      <c r="B6" s="730" t="s">
        <v>172</v>
      </c>
      <c r="C6" s="797">
        <f>移出入推計WS!E7+移出入推計WS!G7+移出入推計WS!H7</f>
        <v>5610309.051643962</v>
      </c>
      <c r="D6" s="797">
        <f>移出入推計WS!O7+移出入推計WS!Q7+移出入推計WS!R7</f>
        <v>5951629.7956119608</v>
      </c>
      <c r="E6" s="737">
        <f>移出入推計WS!Y7+移出入推計WS!AA7+移出入推計WS!AB7</f>
        <v>5655318.133822537</v>
      </c>
      <c r="F6" s="737">
        <f>移出入推計WS!AI7+移出入推計WS!AK7+移出入推計WS!AL7</f>
        <v>5219251.3185440768</v>
      </c>
      <c r="G6" s="740">
        <f>移出入推計WS!AS7+移出入推計WS!AU7+移出入推計WS!AV7</f>
        <v>5556602.4693190316</v>
      </c>
      <c r="H6" s="740">
        <f>移出入推計WS!BC7+移出入推計WS!BE7+移出入推計WS!BF7</f>
        <v>5456138.6505615152</v>
      </c>
      <c r="I6" s="737">
        <f>移出入推計WS!BM7+移出入推計WS!BO7+移出入推計WS!BP7</f>
        <v>5295326.276192083</v>
      </c>
      <c r="J6" s="737">
        <f>移出入推計WS!BW7+移出入推計WS!BY7+移出入推計WS!BZ7</f>
        <v>5350854.2049541613</v>
      </c>
      <c r="K6" s="75">
        <f>移出入推計WS!CG7+移出入推計WS!CI7+移出入推計WS!CJ7</f>
        <v>5617793.1477640904</v>
      </c>
      <c r="L6" s="75">
        <f>移出入推計WS!CQ7+移出入推計WS!CS7+移出入推計WS!CT7</f>
        <v>5662801.6537200259</v>
      </c>
      <c r="M6" s="75">
        <f>移出入推計WS!DA7+移出入推計WS!DC7+移出入推計WS!DD7</f>
        <v>5494650.4852191107</v>
      </c>
      <c r="N6" s="75">
        <f>移出入推計WS!DK7+移出入推計WS!DM7+移出入推計WS!DN7</f>
        <v>5860539.8342625992</v>
      </c>
      <c r="O6" s="75">
        <f>移出入推計WS!DU7+移出入推計WS!DW7+移出入推計WS!DX7</f>
        <v>5917188.2918754108</v>
      </c>
      <c r="P6" s="75">
        <f>移出入推計WS!EE7+移出入推計WS!EG7+移出入推計WS!EH7</f>
        <v>5917887.9452061802</v>
      </c>
      <c r="Q6" s="75">
        <f>移出入推計WS!EO7+移出入推計WS!EQ7+移出入推計WS!ER7</f>
        <v>5325081.6882539969</v>
      </c>
      <c r="R6" s="453">
        <f>移出入推計WS!EY7</f>
        <v>5465833</v>
      </c>
      <c r="S6" s="453">
        <f>移出入推計WS!FI7</f>
        <v>5913117</v>
      </c>
      <c r="T6" s="1071">
        <f>移出入推計WS!FT7</f>
        <v>6669719</v>
      </c>
      <c r="U6" s="1071">
        <f>移出入推計WS!GD7</f>
        <v>7129191</v>
      </c>
      <c r="V6" s="1071">
        <f>移出入推計WS!GN7</f>
        <v>6938400</v>
      </c>
      <c r="W6" s="1071">
        <f>移出入推計WS!GX7</f>
        <v>7026783</v>
      </c>
      <c r="X6" s="1071">
        <f>移出入推計WS!GY7</f>
        <v>6830329</v>
      </c>
      <c r="Y6" s="588">
        <f>(純移出入!U6-純移出入!T6)/ABS(純移出入!T6)*100</f>
        <v>203.01238970222303</v>
      </c>
      <c r="Z6" s="588">
        <f>(純移出入!V6-純移出入!U6)/ABS(純移出入!U6)*100</f>
        <v>-60.908200251928733</v>
      </c>
    </row>
    <row r="7" spans="1:26">
      <c r="A7" s="730">
        <v>1</v>
      </c>
      <c r="B7" s="730" t="s">
        <v>323</v>
      </c>
      <c r="C7" s="797">
        <f>移出入推計WS!E8+移出入推計WS!G8+移出入推計WS!H8</f>
        <v>2838199</v>
      </c>
      <c r="D7" s="797">
        <f>移出入推計WS!O8+移出入推計WS!Q8+移出入推計WS!R8</f>
        <v>3038113</v>
      </c>
      <c r="E7" s="737">
        <f>移出入推計WS!Y8+移出入推計WS!AA8+移出入推計WS!AB8</f>
        <v>2828724</v>
      </c>
      <c r="F7" s="737">
        <f>移出入推計WS!AI8+移出入推計WS!AK8+移出入推計WS!AL8</f>
        <v>2552256</v>
      </c>
      <c r="G7" s="740">
        <f>移出入推計WS!AS8+移出入推計WS!AU8+移出入推計WS!AV8</f>
        <v>2817469</v>
      </c>
      <c r="H7" s="740">
        <f>移出入推計WS!BC8+移出入推計WS!BE8+移出入推計WS!BF8</f>
        <v>2789297</v>
      </c>
      <c r="I7" s="737">
        <f>移出入推計WS!BM8+移出入推計WS!BO8+移出入推計WS!BP8</f>
        <v>2681494</v>
      </c>
      <c r="J7" s="737">
        <f>移出入推計WS!BW8+移出入推計WS!BY8+移出入推計WS!BZ8</f>
        <v>2798260</v>
      </c>
      <c r="K7" s="75">
        <f>移出入推計WS!CG8+移出入推計WS!CI8+移出入推計WS!CJ8</f>
        <v>2882457</v>
      </c>
      <c r="L7" s="75">
        <f>移出入推計WS!CQ8+移出入推計WS!CS8+移出入推計WS!CT8</f>
        <v>2960299</v>
      </c>
      <c r="M7" s="75">
        <f>移出入推計WS!DA8+移出入推計WS!DC8+移出入推計WS!DD8</f>
        <v>2883730</v>
      </c>
      <c r="N7" s="75">
        <f>移出入推計WS!DK8+移出入推計WS!DM8+移出入推計WS!DN8</f>
        <v>3055561</v>
      </c>
      <c r="O7" s="75">
        <f>移出入推計WS!DU8+移出入推計WS!DW8+移出入推計WS!DX8</f>
        <v>3074196</v>
      </c>
      <c r="P7" s="75">
        <f>移出入推計WS!EE8+移出入推計WS!EG8+移出入推計WS!EH8</f>
        <v>3061088</v>
      </c>
      <c r="Q7" s="75">
        <f>移出入推計WS!EO8+移出入推計WS!EQ8+移出入推計WS!ER8</f>
        <v>2727720</v>
      </c>
      <c r="R7" s="453">
        <f>移出入推計WS!EY8</f>
        <v>2907700</v>
      </c>
      <c r="S7" s="453">
        <f>移出入推計WS!FI8</f>
        <v>3055091</v>
      </c>
      <c r="T7" s="1071">
        <f>移出入推計WS!FT8</f>
        <v>3671855</v>
      </c>
      <c r="U7" s="1071">
        <f>移出入推計WS!GD8</f>
        <v>3924803</v>
      </c>
      <c r="V7" s="1071">
        <f>移出入推計WS!GN8</f>
        <v>4219371</v>
      </c>
      <c r="W7" s="1071">
        <f>移出入推計WS!GX8</f>
        <v>4315691</v>
      </c>
      <c r="X7" s="1071">
        <f>移出入推計WS!GY8</f>
        <v>4126005</v>
      </c>
      <c r="Y7" s="588">
        <f>(純移出入!U7-純移出入!T7)/ABS(純移出入!T7)*100</f>
        <v>86.354955581422303</v>
      </c>
      <c r="Z7" s="588">
        <f>(純移出入!V7-純移出入!U7)/ABS(純移出入!U7)*100</f>
        <v>714.70142915174119</v>
      </c>
    </row>
    <row r="8" spans="1:26">
      <c r="A8" s="730">
        <v>2</v>
      </c>
      <c r="B8" s="730" t="s">
        <v>324</v>
      </c>
      <c r="C8" s="797">
        <f>移出入推計WS!E9+移出入推計WS!G9+移出入推計WS!H9</f>
        <v>1732251</v>
      </c>
      <c r="D8" s="797">
        <f>移出入推計WS!O9+移出入推計WS!Q9+移出入推計WS!R9</f>
        <v>1832108</v>
      </c>
      <c r="E8" s="737">
        <f>移出入推計WS!Y9+移出入推計WS!AA9+移出入推計WS!AB9</f>
        <v>1691435</v>
      </c>
      <c r="F8" s="737">
        <f>移出入推計WS!AI9+移出入推計WS!AK9+移出入推計WS!AL9</f>
        <v>1527079</v>
      </c>
      <c r="G8" s="740">
        <f>移出入推計WS!AS9+移出入推計WS!AU9+移出入推計WS!AV9</f>
        <v>1630629</v>
      </c>
      <c r="H8" s="740">
        <f>移出入推計WS!BC9+移出入推計WS!BE9+移出入推計WS!BF9</f>
        <v>1664381</v>
      </c>
      <c r="I8" s="737">
        <f>移出入推計WS!BM9+移出入推計WS!BO9+移出入推計WS!BP9</f>
        <v>1663719</v>
      </c>
      <c r="J8" s="737">
        <f>移出入推計WS!BW9+移出入推計WS!BY9+移出入推計WS!BZ9</f>
        <v>1678146</v>
      </c>
      <c r="K8" s="75">
        <f>移出入推計WS!CG9+移出入推計WS!CI9+移出入推計WS!CJ9</f>
        <v>1714410</v>
      </c>
      <c r="L8" s="75">
        <f>移出入推計WS!CQ9+移出入推計WS!CS9+移出入推計WS!CT9</f>
        <v>1736780</v>
      </c>
      <c r="M8" s="75">
        <f>移出入推計WS!DA9+移出入推計WS!DC9+移出入推計WS!DD9</f>
        <v>1752577</v>
      </c>
      <c r="N8" s="75">
        <f>移出入推計WS!DK9+移出入推計WS!DM9+移出入推計WS!DN9</f>
        <v>1778753</v>
      </c>
      <c r="O8" s="75">
        <f>移出入推計WS!DU9+移出入推計WS!DW9+移出入推計WS!DX9</f>
        <v>1795298</v>
      </c>
      <c r="P8" s="75">
        <f>移出入推計WS!EE9+移出入推計WS!EG9+移出入推計WS!EH9</f>
        <v>1737677</v>
      </c>
      <c r="Q8" s="75">
        <f>移出入推計WS!EO9+移出入推計WS!EQ9+移出入推計WS!ER9</f>
        <v>1603001</v>
      </c>
      <c r="R8" s="453">
        <f>移出入推計WS!EY9</f>
        <v>1735442</v>
      </c>
      <c r="S8" s="453">
        <f>移出入推計WS!FI9</f>
        <v>1839854</v>
      </c>
      <c r="T8" s="1071">
        <f>移出入推計WS!FT9</f>
        <v>2276580</v>
      </c>
      <c r="U8" s="1071">
        <f>移出入推計WS!GD9</f>
        <v>2433409</v>
      </c>
      <c r="V8" s="1071">
        <f>移出入推計WS!GN9</f>
        <v>2930239</v>
      </c>
      <c r="W8" s="1071">
        <f>移出入推計WS!GX9</f>
        <v>3012482</v>
      </c>
      <c r="X8" s="1071">
        <f>移出入推計WS!GY9</f>
        <v>2729614</v>
      </c>
      <c r="Y8" s="588">
        <f>(純移出入!U8-純移出入!T8)/ABS(純移出入!T8)*100</f>
        <v>-544.12005856515373</v>
      </c>
      <c r="Z8" s="588">
        <f>(純移出入!V8-純移出入!U8)/ABS(純移出入!U8)*100</f>
        <v>126.27621415939663</v>
      </c>
    </row>
    <row r="9" spans="1:26">
      <c r="A9" s="730">
        <v>3</v>
      </c>
      <c r="B9" s="730" t="s">
        <v>192</v>
      </c>
      <c r="C9" s="797">
        <f>移出入推計WS!E10+移出入推計WS!G10+移出入推計WS!H10</f>
        <v>2476289</v>
      </c>
      <c r="D9" s="797">
        <f>移出入推計WS!O10+移出入推計WS!Q10+移出入推計WS!R10</f>
        <v>2701531</v>
      </c>
      <c r="E9" s="737">
        <f>移出入推計WS!Y10+移出入推計WS!AA10+移出入推計WS!AB10</f>
        <v>2602795</v>
      </c>
      <c r="F9" s="737">
        <f>移出入推計WS!AI10+移出入推計WS!AK10+移出入推計WS!AL10</f>
        <v>2146897</v>
      </c>
      <c r="G9" s="740">
        <f>移出入推計WS!AS10+移出入推計WS!AU10+移出入推計WS!AV10</f>
        <v>2285527</v>
      </c>
      <c r="H9" s="740">
        <f>移出入推計WS!BC10+移出入推計WS!BE10+移出入推計WS!BF10</f>
        <v>2186946</v>
      </c>
      <c r="I9" s="737">
        <f>移出入推計WS!BM10+移出入推計WS!BO10+移出入推計WS!BP10</f>
        <v>2268128</v>
      </c>
      <c r="J9" s="737">
        <f>移出入推計WS!BW10+移出入推計WS!BY10+移出入推計WS!BZ10</f>
        <v>2307995</v>
      </c>
      <c r="K9" s="75">
        <f>移出入推計WS!CG10+移出入推計WS!CI10+移出入推計WS!CJ10</f>
        <v>2404814</v>
      </c>
      <c r="L9" s="75">
        <f>移出入推計WS!CQ10+移出入推計WS!CS10+移出入推計WS!CT10</f>
        <v>2422870</v>
      </c>
      <c r="M9" s="75">
        <f>移出入推計WS!DA10+移出入推計WS!DC10+移出入推計WS!DD10</f>
        <v>2309209</v>
      </c>
      <c r="N9" s="75">
        <f>移出入推計WS!DK10+移出入推計WS!DM10+移出入推計WS!DN10</f>
        <v>2398060</v>
      </c>
      <c r="O9" s="75">
        <f>移出入推計WS!DU10+移出入推計WS!DW10+移出入推計WS!DX10</f>
        <v>2462275</v>
      </c>
      <c r="P9" s="75">
        <f>移出入推計WS!EE10+移出入推計WS!EG10+移出入推計WS!EH10</f>
        <v>2446959</v>
      </c>
      <c r="Q9" s="75">
        <f>移出入推計WS!EO10+移出入推計WS!EQ10+移出入推計WS!ER10</f>
        <v>2256260</v>
      </c>
      <c r="R9" s="453">
        <f>移出入推計WS!EY10</f>
        <v>2328718</v>
      </c>
      <c r="S9" s="453">
        <f>移出入推計WS!FI10</f>
        <v>2589631</v>
      </c>
      <c r="T9" s="1071">
        <f>移出入推計WS!FT10</f>
        <v>2821851</v>
      </c>
      <c r="U9" s="1071">
        <f>移出入推計WS!GD10</f>
        <v>3016244</v>
      </c>
      <c r="V9" s="1071">
        <f>移出入推計WS!GN10</f>
        <v>3269770</v>
      </c>
      <c r="W9" s="1071">
        <f>移出入推計WS!GX10</f>
        <v>3343222</v>
      </c>
      <c r="X9" s="1071">
        <f>移出入推計WS!GY10</f>
        <v>3159992</v>
      </c>
      <c r="Y9" s="588">
        <f>(純移出入!U9-純移出入!T9)/ABS(純移出入!T9)*100</f>
        <v>81.782168203502977</v>
      </c>
      <c r="Z9" s="588">
        <f>(純移出入!V9-純移出入!U9)/ABS(純移出入!U9)*100</f>
        <v>338.721199222726</v>
      </c>
    </row>
    <row r="10" spans="1:26">
      <c r="A10" s="730">
        <v>4</v>
      </c>
      <c r="B10" s="730" t="s">
        <v>325</v>
      </c>
      <c r="C10" s="797">
        <f>移出入推計WS!E11+移出入推計WS!G11+移出入推計WS!H11</f>
        <v>1057849</v>
      </c>
      <c r="D10" s="797">
        <f>移出入推計WS!O11+移出入推計WS!Q11+移出入推計WS!R11</f>
        <v>1115059</v>
      </c>
      <c r="E10" s="737">
        <f>移出入推計WS!Y11+移出入推計WS!AA11+移出入推計WS!AB11</f>
        <v>1052282</v>
      </c>
      <c r="F10" s="737">
        <f>移出入推計WS!AI11+移出入推計WS!AK11+移出入推計WS!AL11</f>
        <v>954552</v>
      </c>
      <c r="G10" s="740">
        <f>移出入推計WS!AS11+移出入推計WS!AU11+移出入推計WS!AV11</f>
        <v>992502</v>
      </c>
      <c r="H10" s="740">
        <f>移出入推計WS!BC11+移出入推計WS!BE11+移出入推計WS!BF11</f>
        <v>944177</v>
      </c>
      <c r="I10" s="737">
        <f>移出入推計WS!BM11+移出入推計WS!BO11+移出入推計WS!BP11</f>
        <v>912186</v>
      </c>
      <c r="J10" s="737">
        <f>移出入推計WS!BW11+移出入推計WS!BY11+移出入推計WS!BZ11</f>
        <v>957706</v>
      </c>
      <c r="K10" s="75">
        <f>移出入推計WS!CG11+移出入推計WS!CI11+移出入推計WS!CJ11</f>
        <v>988043</v>
      </c>
      <c r="L10" s="75">
        <f>移出入推計WS!CQ11+移出入推計WS!CS11+移出入推計WS!CT11</f>
        <v>989128</v>
      </c>
      <c r="M10" s="75">
        <f>移出入推計WS!DA11+移出入推計WS!DC11+移出入推計WS!DD11</f>
        <v>1003697</v>
      </c>
      <c r="N10" s="75">
        <f>移出入推計WS!DK11+移出入推計WS!DM11+移出入推計WS!DN11</f>
        <v>1076205</v>
      </c>
      <c r="O10" s="75">
        <f>移出入推計WS!DU11+移出入推計WS!DW11+移出入推計WS!DX11</f>
        <v>1078360</v>
      </c>
      <c r="P10" s="75">
        <f>移出入推計WS!EE11+移出入推計WS!EG11+移出入推計WS!EH11</f>
        <v>1069776</v>
      </c>
      <c r="Q10" s="75">
        <f>移出入推計WS!EO11+移出入推計WS!EQ11+移出入推計WS!ER11</f>
        <v>992999</v>
      </c>
      <c r="R10" s="453">
        <f>移出入推計WS!EY11</f>
        <v>1038361</v>
      </c>
      <c r="S10" s="453">
        <f>移出入推計WS!FI11</f>
        <v>1059137</v>
      </c>
      <c r="T10" s="1071">
        <f>移出入推計WS!FT11</f>
        <v>1121130</v>
      </c>
      <c r="U10" s="1071">
        <f>移出入推計WS!GD11</f>
        <v>1198363</v>
      </c>
      <c r="V10" s="1071">
        <f>移出入推計WS!GN11</f>
        <v>1145381</v>
      </c>
      <c r="W10" s="1071">
        <f>移出入推計WS!GX11</f>
        <v>1171078</v>
      </c>
      <c r="X10" s="1071">
        <f>移出入推計WS!GY11</f>
        <v>1135451</v>
      </c>
      <c r="Y10" s="588">
        <f>(純移出入!U10-純移出入!T10)/ABS(純移出入!T10)*100</f>
        <v>-45.329844905185752</v>
      </c>
      <c r="Z10" s="588">
        <f>(純移出入!V10-純移出入!U10)/ABS(純移出入!U10)*100</f>
        <v>-63.778978420495726</v>
      </c>
    </row>
    <row r="11" spans="1:26">
      <c r="A11" s="730">
        <v>5</v>
      </c>
      <c r="B11" s="730" t="s">
        <v>326</v>
      </c>
      <c r="C11" s="797">
        <f>移出入推計WS!E12+移出入推計WS!G12+移出入推計WS!H12</f>
        <v>2254267</v>
      </c>
      <c r="D11" s="797">
        <f>移出入推計WS!O12+移出入推計WS!Q12+移出入推計WS!R12</f>
        <v>2382272</v>
      </c>
      <c r="E11" s="737">
        <f>移出入推計WS!Y12+移出入推計WS!AA12+移出入推計WS!AB12</f>
        <v>2348230</v>
      </c>
      <c r="F11" s="737">
        <f>移出入推計WS!AI12+移出入推計WS!AK12+移出入推計WS!AL12</f>
        <v>1958260</v>
      </c>
      <c r="G11" s="740">
        <f>移出入推計WS!AS12+移出入推計WS!AU12+移出入推計WS!AV12</f>
        <v>2136751</v>
      </c>
      <c r="H11" s="740">
        <f>移出入推計WS!BC12+移出入推計WS!BE12+移出入推計WS!BF12</f>
        <v>2002019</v>
      </c>
      <c r="I11" s="737">
        <f>移出入推計WS!BM12+移出入推計WS!BO12+移出入推計WS!BP12</f>
        <v>1916893</v>
      </c>
      <c r="J11" s="737">
        <f>移出入推計WS!BW12+移出入推計WS!BY12+移出入推計WS!BZ12</f>
        <v>2067254</v>
      </c>
      <c r="K11" s="75">
        <f>移出入推計WS!CG12+移出入推計WS!CI12+移出入推計WS!CJ12</f>
        <v>2155348</v>
      </c>
      <c r="L11" s="75">
        <f>移出入推計WS!CQ12+移出入推計WS!CS12+移出入推計WS!CT12</f>
        <v>2139029</v>
      </c>
      <c r="M11" s="75">
        <f>移出入推計WS!DA12+移出入推計WS!DC12+移出入推計WS!DD12</f>
        <v>2116290</v>
      </c>
      <c r="N11" s="75">
        <f>移出入推計WS!DK12+移出入推計WS!DM12+移出入推計WS!DN12</f>
        <v>2193713</v>
      </c>
      <c r="O11" s="75">
        <f>移出入推計WS!DU12+移出入推計WS!DW12+移出入推計WS!DX12</f>
        <v>2218878</v>
      </c>
      <c r="P11" s="75">
        <f>移出入推計WS!EE12+移出入推計WS!EG12+移出入推計WS!EH12</f>
        <v>2158148</v>
      </c>
      <c r="Q11" s="75">
        <f>移出入推計WS!EO12+移出入推計WS!EQ12+移出入推計WS!ER12</f>
        <v>1965496</v>
      </c>
      <c r="R11" s="453">
        <f>移出入推計WS!EY12</f>
        <v>2220516</v>
      </c>
      <c r="S11" s="453">
        <f>移出入推計WS!FI12</f>
        <v>2354303</v>
      </c>
      <c r="T11" s="1071">
        <f>移出入推計WS!FT12</f>
        <v>2387778</v>
      </c>
      <c r="U11" s="1071">
        <f>移出入推計WS!GD12</f>
        <v>2552269</v>
      </c>
      <c r="V11" s="1071">
        <f>移出入推計WS!GN12</f>
        <v>2485210</v>
      </c>
      <c r="W11" s="1071">
        <f>移出入推計WS!GX12</f>
        <v>2536427</v>
      </c>
      <c r="X11" s="1071">
        <f>移出入推計WS!GY12</f>
        <v>2439209</v>
      </c>
      <c r="Y11" s="588">
        <f>(純移出入!U11-純移出入!T11)/ABS(純移出入!T11)*100</f>
        <v>1098.7901883162529</v>
      </c>
      <c r="Z11" s="588">
        <f>(純移出入!V11-純移出入!U11)/ABS(純移出入!U11)*100</f>
        <v>-63.683541818693669</v>
      </c>
    </row>
    <row r="12" spans="1:26">
      <c r="A12" s="730">
        <v>6</v>
      </c>
      <c r="B12" s="730" t="s">
        <v>327</v>
      </c>
      <c r="C12" s="797">
        <f>移出入推計WS!E13+移出入推計WS!G13+移出入推計WS!H13</f>
        <v>895266</v>
      </c>
      <c r="D12" s="797">
        <f>移出入推計WS!O13+移出入推計WS!Q13+移出入推計WS!R13</f>
        <v>942585</v>
      </c>
      <c r="E12" s="737">
        <f>移出入推計WS!Y13+移出入推計WS!AA13+移出入推計WS!AB13</f>
        <v>871677</v>
      </c>
      <c r="F12" s="737">
        <f>移出入推計WS!AI13+移出入推計WS!AK13+移出入推計WS!AL13</f>
        <v>798385</v>
      </c>
      <c r="G12" s="740">
        <f>移出入推計WS!AS13+移出入推計WS!AU13+移出入推計WS!AV13</f>
        <v>845856</v>
      </c>
      <c r="H12" s="740">
        <f>移出入推計WS!BC13+移出入推計WS!BE13+移出入推計WS!BF13</f>
        <v>826938</v>
      </c>
      <c r="I12" s="737">
        <f>移出入推計WS!BM13+移出入推計WS!BO13+移出入推計WS!BP13</f>
        <v>811936</v>
      </c>
      <c r="J12" s="737">
        <f>移出入推計WS!BW13+移出入推計WS!BY13+移出入推計WS!BZ13</f>
        <v>813267</v>
      </c>
      <c r="K12" s="75">
        <f>移出入推計WS!CG13+移出入推計WS!CI13+移出入推計WS!CJ13</f>
        <v>854400</v>
      </c>
      <c r="L12" s="75">
        <f>移出入推計WS!CQ13+移出入推計WS!CS13+移出入推計WS!CT13</f>
        <v>848601</v>
      </c>
      <c r="M12" s="75">
        <f>移出入推計WS!DA13+移出入推計WS!DC13+移出入推計WS!DD13</f>
        <v>826380</v>
      </c>
      <c r="N12" s="75">
        <f>移出入推計WS!DK13+移出入推計WS!DM13+移出入推計WS!DN13</f>
        <v>883717</v>
      </c>
      <c r="O12" s="75">
        <f>移出入推計WS!DU13+移出入推計WS!DW13+移出入推計WS!DX13</f>
        <v>899875</v>
      </c>
      <c r="P12" s="75">
        <f>移出入推計WS!EE13+移出入推計WS!EG13+移出入推計WS!EH13</f>
        <v>889454</v>
      </c>
      <c r="Q12" s="75">
        <f>移出入推計WS!EO13+移出入推計WS!EQ13+移出入推計WS!ER13</f>
        <v>845511</v>
      </c>
      <c r="R12" s="453">
        <f>移出入推計WS!EY13</f>
        <v>886779</v>
      </c>
      <c r="S12" s="453">
        <f>移出入推計WS!FI13</f>
        <v>900999</v>
      </c>
      <c r="T12" s="1071">
        <f>移出入推計WS!FT13</f>
        <v>1008604</v>
      </c>
      <c r="U12" s="1071">
        <f>移出入推計WS!GD13</f>
        <v>1078085</v>
      </c>
      <c r="V12" s="1071">
        <f>移出入推計WS!GN13</f>
        <v>1025718</v>
      </c>
      <c r="W12" s="1071">
        <f>移出入推計WS!GX13</f>
        <v>1034884</v>
      </c>
      <c r="X12" s="1071">
        <f>移出入推計WS!GY13</f>
        <v>1024414</v>
      </c>
      <c r="Y12" s="588">
        <f>(純移出入!U12-純移出入!T12)/ABS(純移出入!T12)*100</f>
        <v>-29.755778105905684</v>
      </c>
      <c r="Z12" s="588">
        <f>(純移出入!V12-純移出入!U12)/ABS(純移出入!U12)*100</f>
        <v>-64.410983482559061</v>
      </c>
    </row>
    <row r="13" spans="1:26">
      <c r="A13" s="730">
        <v>7</v>
      </c>
      <c r="B13" s="730" t="s">
        <v>210</v>
      </c>
      <c r="C13" s="797">
        <f>移出入推計WS!E14+移出入推計WS!G14+移出入推計WS!H14</f>
        <v>593471</v>
      </c>
      <c r="D13" s="797">
        <f>移出入推計WS!O14+移出入推計WS!Q14+移出入推計WS!R14</f>
        <v>619061</v>
      </c>
      <c r="E13" s="737">
        <f>移出入推計WS!Y14+移出入推計WS!AA14+移出入推計WS!AB14</f>
        <v>567180</v>
      </c>
      <c r="F13" s="737">
        <f>移出入推計WS!AI14+移出入推計WS!AK14+移出入推計WS!AL14</f>
        <v>517745</v>
      </c>
      <c r="G13" s="740">
        <f>移出入推計WS!AS14+移出入推計WS!AU14+移出入推計WS!AV14</f>
        <v>532456</v>
      </c>
      <c r="H13" s="740">
        <f>移出入推計WS!BC14+移出入推計WS!BE14+移出入推計WS!BF14</f>
        <v>512434</v>
      </c>
      <c r="I13" s="737">
        <f>移出入推計WS!BM14+移出入推計WS!BO14+移出入推計WS!BP14</f>
        <v>507591</v>
      </c>
      <c r="J13" s="737">
        <f>移出入推計WS!BW14+移出入推計WS!BY14+移出入推計WS!BZ14</f>
        <v>536308</v>
      </c>
      <c r="K13" s="75">
        <f>移出入推計WS!CG14+移出入推計WS!CI14+移出入推計WS!CJ14</f>
        <v>553344</v>
      </c>
      <c r="L13" s="75">
        <f>移出入推計WS!CQ14+移出入推計WS!CS14+移出入推計WS!CT14</f>
        <v>546759</v>
      </c>
      <c r="M13" s="75">
        <f>移出入推計WS!DA14+移出入推計WS!DC14+移出入推計WS!DD14</f>
        <v>525653</v>
      </c>
      <c r="N13" s="75">
        <f>移出入推計WS!DK14+移出入推計WS!DM14+移出入推計WS!DN14</f>
        <v>547788</v>
      </c>
      <c r="O13" s="75">
        <f>移出入推計WS!DU14+移出入推計WS!DW14+移出入推計WS!DX14</f>
        <v>544355</v>
      </c>
      <c r="P13" s="75">
        <f>移出入推計WS!EE14+移出入推計WS!EG14+移出入推計WS!EH14</f>
        <v>543253</v>
      </c>
      <c r="Q13" s="75">
        <f>移出入推計WS!EO14+移出入推計WS!EQ14+移出入推計WS!ER14</f>
        <v>512114</v>
      </c>
      <c r="R13" s="453">
        <f>移出入推計WS!EY14</f>
        <v>475533</v>
      </c>
      <c r="S13" s="453">
        <f>移出入推計WS!FI14</f>
        <v>481605</v>
      </c>
      <c r="T13" s="1071">
        <f>移出入推計WS!FT14</f>
        <v>686616</v>
      </c>
      <c r="U13" s="1071">
        <f>移出入推計WS!GD14</f>
        <v>733915</v>
      </c>
      <c r="V13" s="1071">
        <f>移出入推計WS!GN14</f>
        <v>705013</v>
      </c>
      <c r="W13" s="1071">
        <f>移出入推計WS!GX14</f>
        <v>696777</v>
      </c>
      <c r="X13" s="1071">
        <f>移出入推計WS!GY14</f>
        <v>711961</v>
      </c>
      <c r="Y13" s="588">
        <f>(純移出入!U13-純移出入!T13)/ABS(純移出入!T13)*100</f>
        <v>-38.362678318982134</v>
      </c>
      <c r="Z13" s="588">
        <f>(純移出入!V13-純移出入!U13)/ABS(純移出入!U13)*100</f>
        <v>-63.753648874061717</v>
      </c>
    </row>
    <row r="14" spans="1:26">
      <c r="A14" s="730">
        <v>8</v>
      </c>
      <c r="B14" s="730" t="s">
        <v>211</v>
      </c>
      <c r="C14" s="797">
        <f>移出入推計WS!E15+移出入推計WS!G15+移出入推計WS!H15</f>
        <v>360824</v>
      </c>
      <c r="D14" s="797">
        <f>移出入推計WS!O15+移出入推計WS!Q15+移出入推計WS!R15</f>
        <v>385717</v>
      </c>
      <c r="E14" s="737">
        <f>移出入推計WS!Y15+移出入推計WS!AA15+移出入推計WS!AB15</f>
        <v>342967</v>
      </c>
      <c r="F14" s="737">
        <f>移出入推計WS!AI15+移出入推計WS!AK15+移出入推計WS!AL15</f>
        <v>309462</v>
      </c>
      <c r="G14" s="740">
        <f>移出入推計WS!AS15+移出入推計WS!AU15+移出入推計WS!AV15</f>
        <v>323861</v>
      </c>
      <c r="H14" s="740">
        <f>移出入推計WS!BC15+移出入推計WS!BE15+移出入推計WS!BF15</f>
        <v>313615</v>
      </c>
      <c r="I14" s="737">
        <f>移出入推計WS!BM15+移出入推計WS!BO15+移出入推計WS!BP15</f>
        <v>253180</v>
      </c>
      <c r="J14" s="737">
        <f>移出入推計WS!BW15+移出入推計WS!BY15+移出入推計WS!BZ15</f>
        <v>340647</v>
      </c>
      <c r="K14" s="75">
        <f>移出入推計WS!CG15+移出入推計WS!CI15+移出入推計WS!CJ15</f>
        <v>347091</v>
      </c>
      <c r="L14" s="75">
        <f>移出入推計WS!CQ15+移出入推計WS!CS15+移出入推計WS!CT15</f>
        <v>356096</v>
      </c>
      <c r="M14" s="75">
        <f>移出入推計WS!DA15+移出入推計WS!DC15+移出入推計WS!DD15</f>
        <v>348504</v>
      </c>
      <c r="N14" s="75">
        <f>移出入推計WS!DK15+移出入推計WS!DM15+移出入推計WS!DN15</f>
        <v>360745</v>
      </c>
      <c r="O14" s="75">
        <f>移出入推計WS!DU15+移出入推計WS!DW15+移出入推計WS!DX15</f>
        <v>374817</v>
      </c>
      <c r="P14" s="75">
        <f>移出入推計WS!EE15+移出入推計WS!EG15+移出入推計WS!EH15</f>
        <v>396302</v>
      </c>
      <c r="Q14" s="75">
        <f>移出入推計WS!EO15+移出入推計WS!EQ15+移出入推計WS!ER15</f>
        <v>354461</v>
      </c>
      <c r="R14" s="453">
        <f>移出入推計WS!EY15</f>
        <v>361914</v>
      </c>
      <c r="S14" s="453">
        <f>移出入推計WS!FI15</f>
        <v>376847</v>
      </c>
      <c r="T14" s="1071">
        <f>移出入推計WS!FT15</f>
        <v>441468</v>
      </c>
      <c r="U14" s="1071">
        <f>移出入推計WS!GD15</f>
        <v>471880</v>
      </c>
      <c r="V14" s="1071">
        <f>移出入推計WS!GN15</f>
        <v>442397</v>
      </c>
      <c r="W14" s="1071">
        <f>移出入推計WS!GX15</f>
        <v>444894</v>
      </c>
      <c r="X14" s="1071">
        <f>移出入推計WS!GY15</f>
        <v>446863</v>
      </c>
      <c r="Y14" s="588">
        <f>(純移出入!U14-純移出入!T14)/ABS(純移出入!T14)*100</f>
        <v>-29.928147453920651</v>
      </c>
      <c r="Z14" s="588">
        <f>(純移出入!V14-純移出入!U14)/ABS(純移出入!U14)*100</f>
        <v>-71.181123165073231</v>
      </c>
    </row>
    <row r="15" spans="1:26">
      <c r="A15" s="730">
        <v>9</v>
      </c>
      <c r="B15" s="730" t="s">
        <v>212</v>
      </c>
      <c r="C15" s="797">
        <f>移出入推計WS!E16+移出入推計WS!G16+移出入推計WS!H16</f>
        <v>459933</v>
      </c>
      <c r="D15" s="797">
        <f>移出入推計WS!O16+移出入推計WS!Q16+移出入推計WS!R16</f>
        <v>469356</v>
      </c>
      <c r="E15" s="737">
        <f>移出入推計WS!Y16+移出入推計WS!AA16+移出入推計WS!AB16</f>
        <v>432980</v>
      </c>
      <c r="F15" s="737">
        <f>移出入推計WS!AI16+移出入推計WS!AK16+移出入推計WS!AL16</f>
        <v>398061</v>
      </c>
      <c r="G15" s="740">
        <f>移出入推計WS!AS16+移出入推計WS!AU16+移出入推計WS!AV16</f>
        <v>413304</v>
      </c>
      <c r="H15" s="740">
        <f>移出入推計WS!BC16+移出入推計WS!BE16+移出入推計WS!BF16</f>
        <v>390421</v>
      </c>
      <c r="I15" s="737">
        <f>移出入推計WS!BM16+移出入推計WS!BO16+移出入推計WS!BP16</f>
        <v>380528</v>
      </c>
      <c r="J15" s="737">
        <f>移出入推計WS!BW16+移出入推計WS!BY16+移出入推計WS!BZ16</f>
        <v>390385</v>
      </c>
      <c r="K15" s="75">
        <f>移出入推計WS!CG16+移出入推計WS!CI16+移出入推計WS!CJ16</f>
        <v>398090</v>
      </c>
      <c r="L15" s="75">
        <f>移出入推計WS!CQ16+移出入推計WS!CS16+移出入推計WS!CT16</f>
        <v>402576</v>
      </c>
      <c r="M15" s="132">
        <f>移出入推計WS!DA16+移出入推計WS!DC16+移出入推計WS!DD16</f>
        <v>393470</v>
      </c>
      <c r="N15" s="132">
        <f>移出入推計WS!DK16+移出入推計WS!DM16+移出入推計WS!DN16</f>
        <v>401066</v>
      </c>
      <c r="O15" s="132">
        <f>移出入推計WS!DU16+移出入推計WS!DW16+移出入推計WS!DX16</f>
        <v>404895</v>
      </c>
      <c r="P15" s="75">
        <f>移出入推計WS!EE16+移出入推計WS!EG16+移出入推計WS!EH16</f>
        <v>402349</v>
      </c>
      <c r="Q15" s="132">
        <f>移出入推計WS!EO16+移出入推計WS!EQ16+移出入推計WS!ER16</f>
        <v>359624</v>
      </c>
      <c r="R15" s="450">
        <f>移出入推計WS!EY16</f>
        <v>355681</v>
      </c>
      <c r="S15" s="450">
        <f>移出入推計WS!FI16</f>
        <v>385760</v>
      </c>
      <c r="T15" s="2240">
        <f>移出入推計WS!FT16</f>
        <v>508834</v>
      </c>
      <c r="U15" s="2240">
        <f>移出入推計WS!GD16</f>
        <v>543887</v>
      </c>
      <c r="V15" s="1071">
        <f>移出入推計WS!GN16</f>
        <v>544428</v>
      </c>
      <c r="W15" s="1071">
        <f>移出入推計WS!GX16</f>
        <v>542455</v>
      </c>
      <c r="X15" s="1071">
        <f>移出入推計WS!GY16</f>
        <v>559800</v>
      </c>
      <c r="Y15" s="588">
        <f>(純移出入!U15-純移出入!T15)/ABS(純移出入!T15)*100</f>
        <v>-9.856729185987092</v>
      </c>
      <c r="Z15" s="588">
        <f>(純移出入!V15-純移出入!U15)/ABS(純移出入!U15)*100</f>
        <v>-54.905624724432592</v>
      </c>
    </row>
    <row r="16" spans="1:26">
      <c r="A16" s="732" t="s">
        <v>840</v>
      </c>
      <c r="B16" s="732" t="s">
        <v>840</v>
      </c>
      <c r="C16" s="732"/>
      <c r="D16" s="732"/>
      <c r="E16" s="1222" t="s">
        <v>678</v>
      </c>
      <c r="F16" s="1222" t="s">
        <v>678</v>
      </c>
      <c r="G16" s="1222" t="s">
        <v>347</v>
      </c>
      <c r="H16" s="1222" t="s">
        <v>347</v>
      </c>
      <c r="I16" s="1222" t="s">
        <v>678</v>
      </c>
      <c r="J16" s="1222" t="s">
        <v>347</v>
      </c>
      <c r="K16" s="382"/>
      <c r="L16" s="382"/>
      <c r="M16" s="75" t="s">
        <v>1067</v>
      </c>
      <c r="N16" s="75" t="s">
        <v>1067</v>
      </c>
      <c r="O16" s="75" t="s">
        <v>1096</v>
      </c>
      <c r="P16" s="382" t="s">
        <v>1138</v>
      </c>
      <c r="Q16" s="75" t="s">
        <v>1515</v>
      </c>
      <c r="R16" s="453" t="s">
        <v>1515</v>
      </c>
      <c r="S16" s="453" t="s">
        <v>1515</v>
      </c>
      <c r="T16" s="2240" t="s">
        <v>11</v>
      </c>
      <c r="U16" s="1071" t="s">
        <v>1598</v>
      </c>
      <c r="V16" s="2241"/>
      <c r="W16" s="2241"/>
      <c r="X16" s="2241"/>
      <c r="Y16" s="588"/>
      <c r="Z16" s="588"/>
    </row>
    <row r="17" spans="1:26">
      <c r="A17" s="730">
        <v>100</v>
      </c>
      <c r="B17" s="730" t="s">
        <v>172</v>
      </c>
      <c r="C17" s="797">
        <f>移出入推計WS!E18+移出入推計WS!G18+移出入推計WS!H18</f>
        <v>5610309.051643962</v>
      </c>
      <c r="D17" s="797">
        <f>移出入推計WS!O18+移出入推計WS!Q18+移出入推計WS!R18</f>
        <v>5951629.7956119608</v>
      </c>
      <c r="E17" s="737">
        <f>移出入推計WS!Y18+移出入推計WS!AA18+移出入推計WS!AB18</f>
        <v>5655318.133822537</v>
      </c>
      <c r="F17" s="737">
        <f>移出入推計WS!AI18+移出入推計WS!AK18+移出入推計WS!AL18</f>
        <v>5219251.3185440768</v>
      </c>
      <c r="G17" s="740">
        <f>移出入推計WS!AS18+移出入推計WS!AU18+移出入推計WS!AV18</f>
        <v>5556602.4693190316</v>
      </c>
      <c r="H17" s="740">
        <f>移出入推計WS!BC18+移出入推計WS!BE18+移出入推計WS!BF18</f>
        <v>5456138.6505615152</v>
      </c>
      <c r="I17" s="737">
        <f>移出入推計WS!BM18+移出入推計WS!BO18+移出入推計WS!BP18</f>
        <v>5295326.276192083</v>
      </c>
      <c r="J17" s="737">
        <f>移出入推計WS!BW18+移出入推計WS!BY18+移出入推計WS!BZ18</f>
        <v>5350854.2049541613</v>
      </c>
      <c r="K17" s="75">
        <f>移出入推計WS!CG18+移出入推計WS!CI18+移出入推計WS!CJ18</f>
        <v>5617793.1477640904</v>
      </c>
      <c r="L17" s="75">
        <f>移出入推計WS!CQ18+移出入推計WS!CS18+移出入推計WS!CT18</f>
        <v>5662801.6537200259</v>
      </c>
      <c r="M17" s="382">
        <f>移出入推計WS!DA18+移出入推計WS!DC18+移出入推計WS!DD18</f>
        <v>5494650.4852191107</v>
      </c>
      <c r="N17" s="382">
        <f>移出入推計WS!DK18+移出入推計WS!DM18+移出入推計WS!DN18</f>
        <v>5860539.8342625992</v>
      </c>
      <c r="O17" s="382">
        <f>移出入推計WS!DU18+移出入推計WS!DW18+移出入推計WS!DX18</f>
        <v>5917188.2918754108</v>
      </c>
      <c r="P17" s="75">
        <f>移出入推計WS!EE18+移出入推計WS!EG18+移出入推計WS!EH18</f>
        <v>5917887.9452061802</v>
      </c>
      <c r="Q17" s="382">
        <f>移出入推計WS!EO18+移出入推計WS!EQ18+移出入推計WS!ER18</f>
        <v>5325081.6882539969</v>
      </c>
      <c r="R17" s="929">
        <f>移出入推計WS!EY18</f>
        <v>5465833</v>
      </c>
      <c r="S17" s="929">
        <f>移出入推計WS!FI18</f>
        <v>5913117</v>
      </c>
      <c r="T17" s="1071">
        <f>移出入推計WS!FT18</f>
        <v>6669719</v>
      </c>
      <c r="U17" s="2241">
        <f>移出入推計WS!GD18</f>
        <v>7129191</v>
      </c>
      <c r="V17" s="1071">
        <f>移出入推計WS!GN18</f>
        <v>6938400</v>
      </c>
      <c r="W17" s="1071">
        <f>移出入推計WS!GX18</f>
        <v>7026783</v>
      </c>
      <c r="X17" s="1072">
        <f>移出入推計WS!HH18</f>
        <v>7182032</v>
      </c>
      <c r="Y17" s="588">
        <f>(純移出入!U17-純移出入!T17)/ABS(純移出入!T17)*100</f>
        <v>203.01238970222303</v>
      </c>
      <c r="Z17" s="588">
        <f>(純移出入!V17-純移出入!U17)/ABS(純移出入!U17)*100</f>
        <v>-60.908200251928733</v>
      </c>
    </row>
    <row r="18" spans="1:26">
      <c r="A18" s="728">
        <v>1</v>
      </c>
      <c r="B18" s="728" t="s">
        <v>328</v>
      </c>
      <c r="C18" s="728">
        <f>移出入推計WS!E19+移出入推計WS!G19+移出入推計WS!H19</f>
        <v>2838199</v>
      </c>
      <c r="D18" s="728">
        <f>移出入推計WS!O19+移出入推計WS!Q19+移出入推計WS!R19</f>
        <v>3038113</v>
      </c>
      <c r="E18" s="739">
        <f>移出入推計WS!Y19+移出入推計WS!AA19+移出入推計WS!AB19</f>
        <v>2828724</v>
      </c>
      <c r="F18" s="739">
        <f>移出入推計WS!AI19+移出入推計WS!AK19+移出入推計WS!AL19</f>
        <v>2552256</v>
      </c>
      <c r="G18" s="739">
        <f>移出入推計WS!AS19+移出入推計WS!AU19+移出入推計WS!AV19</f>
        <v>2817469</v>
      </c>
      <c r="H18" s="739">
        <f>移出入推計WS!BC19+移出入推計WS!BE19+移出入推計WS!BF19</f>
        <v>2789297</v>
      </c>
      <c r="I18" s="739">
        <f>移出入推計WS!BM19+移出入推計WS!BO19+移出入推計WS!BP19</f>
        <v>2681494</v>
      </c>
      <c r="J18" s="739">
        <f>移出入推計WS!BW19+移出入推計WS!BY19+移出入推計WS!BZ19</f>
        <v>2798260</v>
      </c>
      <c r="K18" s="130">
        <f>移出入推計WS!CG19+移出入推計WS!CI19+移出入推計WS!CJ19</f>
        <v>2882457</v>
      </c>
      <c r="L18" s="130">
        <f>移出入推計WS!CQ19+移出入推計WS!CS19+移出入推計WS!CT19</f>
        <v>2960299</v>
      </c>
      <c r="M18" s="130">
        <f>移出入推計WS!DA19+移出入推計WS!DC19+移出入推計WS!DD19</f>
        <v>2883730</v>
      </c>
      <c r="N18" s="130">
        <f>移出入推計WS!DK19+移出入推計WS!DM19+移出入推計WS!DN19</f>
        <v>3055561</v>
      </c>
      <c r="O18" s="75">
        <f>移出入推計WS!DU19+移出入推計WS!DW19+移出入推計WS!DX19</f>
        <v>3074196</v>
      </c>
      <c r="P18" s="130">
        <f>移出入推計WS!EE19+移出入推計WS!EG19+移出入推計WS!EH19</f>
        <v>3061088</v>
      </c>
      <c r="Q18" s="75">
        <f>移出入推計WS!EO19+移出入推計WS!EQ19+移出入推計WS!ER19</f>
        <v>2727720</v>
      </c>
      <c r="R18" s="453">
        <f>移出入推計WS!EY19</f>
        <v>2907700</v>
      </c>
      <c r="S18" s="453">
        <f>移出入推計WS!FI19</f>
        <v>3055091</v>
      </c>
      <c r="T18" s="1072">
        <f>移出入推計WS!FT19</f>
        <v>3671855</v>
      </c>
      <c r="U18" s="1071">
        <f>移出入推計WS!GD19</f>
        <v>3924803</v>
      </c>
      <c r="V18" s="1072">
        <f>移出入推計WS!GN19</f>
        <v>4219371</v>
      </c>
      <c r="W18" s="1072">
        <f>移出入推計WS!GX19</f>
        <v>4315691</v>
      </c>
      <c r="X18" s="1071">
        <f>移出入推計WS!HH19</f>
        <v>4438148</v>
      </c>
      <c r="Y18" s="588">
        <f>(純移出入!U18-純移出入!T18)/ABS(純移出入!T18)*100</f>
        <v>86.354955581422303</v>
      </c>
      <c r="Z18" s="588">
        <f>(純移出入!V18-純移出入!U18)/ABS(純移出入!U18)*100</f>
        <v>714.70142915174119</v>
      </c>
    </row>
    <row r="19" spans="1:26">
      <c r="A19" s="730">
        <v>202</v>
      </c>
      <c r="B19" s="730" t="s">
        <v>183</v>
      </c>
      <c r="C19" s="730">
        <f>移出入推計WS!E20+移出入推計WS!G20+移出入推計WS!H20</f>
        <v>1573752</v>
      </c>
      <c r="D19" s="730">
        <f>移出入推計WS!O20+移出入推計WS!Q20+移出入推計WS!R20</f>
        <v>1698394</v>
      </c>
      <c r="E19" s="737">
        <f>移出入推計WS!Y20+移出入推計WS!AA20+移出入推計WS!AB20</f>
        <v>1535659</v>
      </c>
      <c r="F19" s="737">
        <f>移出入推計WS!AI20+移出入推計WS!AK20+移出入推計WS!AL20</f>
        <v>1370461</v>
      </c>
      <c r="G19" s="737">
        <f>移出入推計WS!AS20+移出入推計WS!AU20+移出入推計WS!AV20</f>
        <v>1544976</v>
      </c>
      <c r="H19" s="737">
        <f>移出入推計WS!BC20+移出入推計WS!BE20+移出入推計WS!BF20</f>
        <v>1476476</v>
      </c>
      <c r="I19" s="737">
        <f>移出入推計WS!BM20+移出入推計WS!BO20+移出入推計WS!BP20</f>
        <v>1402269</v>
      </c>
      <c r="J19" s="737">
        <f>移出入推計WS!BW20+移出入推計WS!BY20+移出入推計WS!BZ20</f>
        <v>1450525</v>
      </c>
      <c r="K19" s="75">
        <f>移出入推計WS!CG20+移出入推計WS!CI20+移出入推計WS!CJ20</f>
        <v>1513125</v>
      </c>
      <c r="L19" s="75">
        <f>移出入推計WS!CQ20+移出入推計WS!CS20+移出入推計WS!CT20</f>
        <v>1548906</v>
      </c>
      <c r="M19" s="75">
        <f>移出入推計WS!DA20+移出入推計WS!DC20+移出入推計WS!DD20</f>
        <v>1529889</v>
      </c>
      <c r="N19" s="75">
        <f>移出入推計WS!DK20+移出入推計WS!DM20+移出入推計WS!DN20</f>
        <v>1628562</v>
      </c>
      <c r="O19" s="75">
        <f>移出入推計WS!DU20+移出入推計WS!DW20+移出入推計WS!DX20</f>
        <v>1632180</v>
      </c>
      <c r="P19" s="75">
        <f>移出入推計WS!EE20+移出入推計WS!EG20+移出入推計WS!EH20</f>
        <v>1632988</v>
      </c>
      <c r="Q19" s="75">
        <f>移出入推計WS!EO20+移出入推計WS!EQ20+移出入推計WS!ER20</f>
        <v>1425928</v>
      </c>
      <c r="R19" s="453">
        <f>移出入推計WS!EY20</f>
        <v>1582587</v>
      </c>
      <c r="S19" s="453">
        <f>移出入推計WS!FI20</f>
        <v>1669082</v>
      </c>
      <c r="T19" s="1071">
        <f>移出入推計WS!FT20</f>
        <v>1795568</v>
      </c>
      <c r="U19" s="1071">
        <f>移出入推計WS!GD20</f>
        <v>1919262</v>
      </c>
      <c r="V19" s="1071">
        <f>移出入推計WS!GN20</f>
        <v>1958953</v>
      </c>
      <c r="W19" s="1071">
        <f>移出入推計WS!GX20</f>
        <v>2020460</v>
      </c>
      <c r="X19" s="1071">
        <f>移出入推計WS!HH20</f>
        <v>2092361</v>
      </c>
      <c r="Y19" s="588">
        <f>(純移出入!U19-純移出入!T19)/ABS(純移出入!T19)*100</f>
        <v>427.91970084629014</v>
      </c>
      <c r="Z19" s="588">
        <f>(純移出入!V19-純移出入!U19)/ABS(純移出入!U19)*100</f>
        <v>-7.2345993181927302</v>
      </c>
    </row>
    <row r="20" spans="1:26">
      <c r="A20" s="730">
        <v>204</v>
      </c>
      <c r="B20" s="730" t="s">
        <v>184</v>
      </c>
      <c r="C20" s="730">
        <f>移出入推計WS!E21+移出入推計WS!G21+移出入推計WS!H21</f>
        <v>1074915</v>
      </c>
      <c r="D20" s="730">
        <f>移出入推計WS!O21+移出入推計WS!Q21+移出入推計WS!R21</f>
        <v>1142261</v>
      </c>
      <c r="E20" s="737">
        <f>移出入推計WS!Y21+移出入推計WS!AA21+移出入推計WS!AB21</f>
        <v>1105111</v>
      </c>
      <c r="F20" s="737">
        <f>移出入推計WS!AI21+移出入推計WS!AK21+移出入推計WS!AL21</f>
        <v>1004308</v>
      </c>
      <c r="G20" s="737">
        <f>移出入推計WS!AS21+移出入推計WS!AU21+移出入推計WS!AV21</f>
        <v>1079794</v>
      </c>
      <c r="H20" s="737">
        <f>移出入推計WS!BC21+移出入推計WS!BE21+移出入推計WS!BF21</f>
        <v>1123699</v>
      </c>
      <c r="I20" s="737">
        <f>移出入推計WS!BM21+移出入推計WS!BO21+移出入推計WS!BP21</f>
        <v>1092531</v>
      </c>
      <c r="J20" s="737">
        <f>移出入推計WS!BW21+移出入推計WS!BY21+移出入推計WS!BZ21</f>
        <v>1148576</v>
      </c>
      <c r="K20" s="75">
        <f>移出入推計WS!CG21+移出入推計WS!CI21+移出入推計WS!CJ21</f>
        <v>1175439</v>
      </c>
      <c r="L20" s="75">
        <f>移出入推計WS!CQ21+移出入推計WS!CS21+移出入推計WS!CT21</f>
        <v>1202272</v>
      </c>
      <c r="M20" s="75">
        <f>移出入推計WS!DA21+移出入推計WS!DC21+移出入推計WS!DD21</f>
        <v>1160443</v>
      </c>
      <c r="N20" s="75">
        <f>移出入推計WS!DK21+移出入推計WS!DM21+移出入推計WS!DN21</f>
        <v>1222456</v>
      </c>
      <c r="O20" s="75">
        <f>移出入推計WS!DU21+移出入推計WS!DW21+移出入推計WS!DX21</f>
        <v>1240965</v>
      </c>
      <c r="P20" s="75">
        <f>移出入推計WS!EE21+移出入推計WS!EG21+移出入推計WS!EH21</f>
        <v>1223956</v>
      </c>
      <c r="Q20" s="75">
        <f>移出入推計WS!EO21+移出入推計WS!EQ21+移出入推計WS!ER21</f>
        <v>1114812</v>
      </c>
      <c r="R20" s="453">
        <f>移出入推計WS!EY21</f>
        <v>1141657</v>
      </c>
      <c r="S20" s="453">
        <f>移出入推計WS!FI21</f>
        <v>1193082</v>
      </c>
      <c r="T20" s="1071">
        <f>移出入推計WS!FT21</f>
        <v>1561944</v>
      </c>
      <c r="U20" s="1071">
        <f>移出入推計WS!GD21</f>
        <v>1669544</v>
      </c>
      <c r="V20" s="1071">
        <f>移出入推計WS!GN21</f>
        <v>1860932</v>
      </c>
      <c r="W20" s="1071">
        <f>移出入推計WS!GX21</f>
        <v>1890566</v>
      </c>
      <c r="X20" s="1071">
        <f>移出入推計WS!HH21</f>
        <v>1932019</v>
      </c>
      <c r="Y20" s="588">
        <f>(純移出入!U20-純移出入!T20)/ABS(純移出入!T20)*100</f>
        <v>64.937006436298901</v>
      </c>
      <c r="Z20" s="588">
        <f>(純移出入!V20-純移出入!U20)/ABS(純移出入!U20)*100</f>
        <v>219.46948738812046</v>
      </c>
    </row>
    <row r="21" spans="1:26">
      <c r="A21" s="731">
        <v>206</v>
      </c>
      <c r="B21" s="731" t="s">
        <v>185</v>
      </c>
      <c r="C21" s="731">
        <f>移出入推計WS!E22+移出入推計WS!G22+移出入推計WS!H22</f>
        <v>189532</v>
      </c>
      <c r="D21" s="731">
        <f>移出入推計WS!O22+移出入推計WS!Q22+移出入推計WS!R22</f>
        <v>197458</v>
      </c>
      <c r="E21" s="738">
        <f>移出入推計WS!Y22+移出入推計WS!AA22+移出入推計WS!AB22</f>
        <v>187954</v>
      </c>
      <c r="F21" s="738">
        <f>移出入推計WS!AI22+移出入推計WS!AK22+移出入推計WS!AL22</f>
        <v>177487</v>
      </c>
      <c r="G21" s="738">
        <f>移出入推計WS!AS22+移出入推計WS!AU22+移出入推計WS!AV22</f>
        <v>192699</v>
      </c>
      <c r="H21" s="738">
        <f>移出入推計WS!BC22+移出入推計WS!BE22+移出入推計WS!BF22</f>
        <v>189122</v>
      </c>
      <c r="I21" s="738">
        <f>移出入推計WS!BM22+移出入推計WS!BO22+移出入推計WS!BP22</f>
        <v>186694</v>
      </c>
      <c r="J21" s="738">
        <f>移出入推計WS!BW22+移出入推計WS!BY22+移出入推計WS!BZ22</f>
        <v>199159</v>
      </c>
      <c r="K21" s="132">
        <f>移出入推計WS!CG22+移出入推計WS!CI22+移出入推計WS!CJ22</f>
        <v>193893</v>
      </c>
      <c r="L21" s="132">
        <f>移出入推計WS!CQ22+移出入推計WS!CS22+移出入推計WS!CT22</f>
        <v>209121</v>
      </c>
      <c r="M21" s="132">
        <f>移出入推計WS!DA22+移出入推計WS!DC22+移出入推計WS!DD22</f>
        <v>193398</v>
      </c>
      <c r="N21" s="132">
        <f>移出入推計WS!DK22+移出入推計WS!DM22+移出入推計WS!DN22</f>
        <v>204543</v>
      </c>
      <c r="O21" s="75">
        <f>移出入推計WS!DU22+移出入推計WS!DW22+移出入推計WS!DX22</f>
        <v>201051</v>
      </c>
      <c r="P21" s="132">
        <f>移出入推計WS!EE22+移出入推計WS!EG22+移出入推計WS!EH22</f>
        <v>204144</v>
      </c>
      <c r="Q21" s="75">
        <f>移出入推計WS!EO22+移出入推計WS!EQ22+移出入推計WS!ER22</f>
        <v>186980</v>
      </c>
      <c r="R21" s="453">
        <f>移出入推計WS!EY22</f>
        <v>183456</v>
      </c>
      <c r="S21" s="453">
        <f>移出入推計WS!FI22</f>
        <v>192927</v>
      </c>
      <c r="T21" s="2240">
        <f>移出入推計WS!FT22</f>
        <v>314343</v>
      </c>
      <c r="U21" s="1071">
        <f>移出入推計WS!GD22</f>
        <v>335997</v>
      </c>
      <c r="V21" s="2240">
        <f>移出入推計WS!GN22</f>
        <v>399486</v>
      </c>
      <c r="W21" s="2240">
        <f>移出入推計WS!GX22</f>
        <v>404665</v>
      </c>
      <c r="X21" s="1071">
        <f>移出入推計WS!HH22</f>
        <v>413768</v>
      </c>
      <c r="Y21" s="588">
        <f>(純移出入!U21-純移出入!T21)/ABS(純移出入!T21)*100</f>
        <v>-2316.3496376811595</v>
      </c>
      <c r="Z21" s="588">
        <f>(純移出入!V21-純移出入!U21)/ABS(純移出入!U21)*100</f>
        <v>132.20467131209514</v>
      </c>
    </row>
    <row r="22" spans="1:26">
      <c r="A22" s="730">
        <v>2</v>
      </c>
      <c r="B22" s="730" t="s">
        <v>324</v>
      </c>
      <c r="C22" s="797">
        <f>移出入推計WS!E23+移出入推計WS!G23+移出入推計WS!H23</f>
        <v>1732251</v>
      </c>
      <c r="D22" s="797">
        <f>移出入推計WS!O23+移出入推計WS!Q23+移出入推計WS!R23</f>
        <v>1832108</v>
      </c>
      <c r="E22" s="737">
        <f>移出入推計WS!Y23+移出入推計WS!AA23+移出入推計WS!AB23</f>
        <v>1691435</v>
      </c>
      <c r="F22" s="737">
        <f>移出入推計WS!AI23+移出入推計WS!AK23+移出入推計WS!AL23</f>
        <v>1527079</v>
      </c>
      <c r="G22" s="740">
        <f>移出入推計WS!AS23+移出入推計WS!AU23+移出入推計WS!AV23</f>
        <v>1630629</v>
      </c>
      <c r="H22" s="740">
        <f>移出入推計WS!BC23+移出入推計WS!BE23+移出入推計WS!BF23</f>
        <v>1664381</v>
      </c>
      <c r="I22" s="737">
        <f>移出入推計WS!BM23+移出入推計WS!BO23+移出入推計WS!BP23</f>
        <v>1663719</v>
      </c>
      <c r="J22" s="737">
        <f>移出入推計WS!BW23+移出入推計WS!BY23+移出入推計WS!BZ23</f>
        <v>1678146</v>
      </c>
      <c r="K22" s="75">
        <f>移出入推計WS!CG23+移出入推計WS!CI23+移出入推計WS!CJ23</f>
        <v>1714410</v>
      </c>
      <c r="L22" s="75">
        <f>移出入推計WS!CQ23+移出入推計WS!CS23+移出入推計WS!CT23</f>
        <v>1736780</v>
      </c>
      <c r="M22" s="75">
        <f>移出入推計WS!DA23+移出入推計WS!DC23+移出入推計WS!DD23</f>
        <v>1752577</v>
      </c>
      <c r="N22" s="75">
        <f>移出入推計WS!DK23+移出入推計WS!DM23+移出入推計WS!DN23</f>
        <v>1778753</v>
      </c>
      <c r="O22" s="130">
        <f>移出入推計WS!DU23+移出入推計WS!DW23+移出入推計WS!DX23</f>
        <v>1795298</v>
      </c>
      <c r="P22" s="75">
        <f>移出入推計WS!EE23+移出入推計WS!EG23+移出入推計WS!EH23</f>
        <v>1737677</v>
      </c>
      <c r="Q22" s="130">
        <f>移出入推計WS!EO23+移出入推計WS!EQ23+移出入推計WS!ER23</f>
        <v>1603001</v>
      </c>
      <c r="R22" s="915">
        <f>移出入推計WS!EY23</f>
        <v>1735442</v>
      </c>
      <c r="S22" s="915">
        <f>移出入推計WS!FI23</f>
        <v>1839854</v>
      </c>
      <c r="T22" s="1071">
        <f>移出入推計WS!FT23</f>
        <v>2276580</v>
      </c>
      <c r="U22" s="1072">
        <f>移出入推計WS!GD23</f>
        <v>2433409</v>
      </c>
      <c r="V22" s="1071">
        <f>移出入推計WS!GN23</f>
        <v>2930239</v>
      </c>
      <c r="W22" s="1071">
        <f>移出入推計WS!GX23</f>
        <v>3012482</v>
      </c>
      <c r="X22" s="1071">
        <f>移出入推計WS!HH23</f>
        <v>3127636</v>
      </c>
      <c r="Y22" s="588">
        <f>(純移出入!U22-純移出入!T22)/ABS(純移出入!T22)*100</f>
        <v>-544.12005856515373</v>
      </c>
      <c r="Z22" s="588">
        <f>(純移出入!V22-純移出入!U22)/ABS(純移出入!U22)*100</f>
        <v>126.27621415939663</v>
      </c>
    </row>
    <row r="23" spans="1:26">
      <c r="A23" s="730">
        <v>207</v>
      </c>
      <c r="B23" s="730" t="s">
        <v>187</v>
      </c>
      <c r="C23" s="797">
        <f>移出入推計WS!E24+移出入推計WS!G24+移出入推計WS!H24</f>
        <v>590894</v>
      </c>
      <c r="D23" s="797">
        <f>移出入推計WS!O24+移出入推計WS!Q24+移出入推計WS!R24</f>
        <v>634135</v>
      </c>
      <c r="E23" s="737">
        <f>移出入推計WS!Y24+移出入推計WS!AA24+移出入推計WS!AB24</f>
        <v>561752</v>
      </c>
      <c r="F23" s="737">
        <f>移出入推計WS!AI24+移出入推計WS!AK24+移出入推計WS!AL24</f>
        <v>482538</v>
      </c>
      <c r="G23" s="740">
        <f>移出入推計WS!AS24+移出入推計WS!AU24+移出入推計WS!AV24</f>
        <v>525213</v>
      </c>
      <c r="H23" s="740">
        <f>移出入推計WS!BC24+移出入推計WS!BE24+移出入推計WS!BF24</f>
        <v>544741</v>
      </c>
      <c r="I23" s="737">
        <f>移出入推計WS!BM24+移出入推計WS!BO24+移出入推計WS!BP24</f>
        <v>532796</v>
      </c>
      <c r="J23" s="737">
        <f>移出入推計WS!BW24+移出入推計WS!BY24+移出入推計WS!BZ24</f>
        <v>559920</v>
      </c>
      <c r="K23" s="75">
        <f>移出入推計WS!CG24+移出入推計WS!CI24+移出入推計WS!CJ24</f>
        <v>581347</v>
      </c>
      <c r="L23" s="75">
        <f>移出入推計WS!CQ24+移出入推計WS!CS24+移出入推計WS!CT24</f>
        <v>575415</v>
      </c>
      <c r="M23" s="75">
        <f>移出入推計WS!DA24+移出入推計WS!DC24+移出入推計WS!DD24</f>
        <v>584016</v>
      </c>
      <c r="N23" s="75">
        <f>移出入推計WS!DK24+移出入推計WS!DM24+移出入推計WS!DN24</f>
        <v>588040</v>
      </c>
      <c r="O23" s="75">
        <f>移出入推計WS!DU24+移出入推計WS!DW24+移出入推計WS!DX24</f>
        <v>592016</v>
      </c>
      <c r="P23" s="75">
        <f>移出入推計WS!EE24+移出入推計WS!EG24+移出入推計WS!EH24</f>
        <v>576747</v>
      </c>
      <c r="Q23" s="75">
        <f>移出入推計WS!EO24+移出入推計WS!EQ24+移出入推計WS!ER24</f>
        <v>544190</v>
      </c>
      <c r="R23" s="453">
        <f>移出入推計WS!EY24</f>
        <v>613567</v>
      </c>
      <c r="S23" s="453">
        <f>移出入推計WS!FI24</f>
        <v>636047</v>
      </c>
      <c r="T23" s="1071">
        <f>移出入推計WS!FT24</f>
        <v>683713</v>
      </c>
      <c r="U23" s="1071">
        <f>移出入推計WS!GD24</f>
        <v>730813</v>
      </c>
      <c r="V23" s="1071">
        <f>移出入推計WS!GN24</f>
        <v>841698</v>
      </c>
      <c r="W23" s="1071">
        <f>移出入推計WS!GX24</f>
        <v>866577</v>
      </c>
      <c r="X23" s="1071">
        <f>移出入推計WS!HH24</f>
        <v>903167</v>
      </c>
      <c r="Y23" s="588">
        <f>(純移出入!U23-純移出入!T23)/ABS(純移出入!T23)*100</f>
        <v>-1182.3430761859129</v>
      </c>
      <c r="Z23" s="588">
        <f>(純移出入!V23-純移出入!U23)/ABS(純移出入!U23)*100</f>
        <v>162.03643157403081</v>
      </c>
    </row>
    <row r="24" spans="1:26">
      <c r="A24" s="730">
        <v>214</v>
      </c>
      <c r="B24" s="730" t="s">
        <v>188</v>
      </c>
      <c r="C24" s="797">
        <f>移出入推計WS!E25+移出入推計WS!G25+移出入推計WS!H25</f>
        <v>434354</v>
      </c>
      <c r="D24" s="797">
        <f>移出入推計WS!O25+移出入推計WS!Q25+移出入推計WS!R25</f>
        <v>437379</v>
      </c>
      <c r="E24" s="737">
        <f>移出入推計WS!Y25+移出入推計WS!AA25+移出入推計WS!AB25</f>
        <v>415590</v>
      </c>
      <c r="F24" s="737">
        <f>移出入推計WS!AI25+移出入推計WS!AK25+移出入推計WS!AL25</f>
        <v>396647</v>
      </c>
      <c r="G24" s="740">
        <f>移出入推計WS!AS25+移出入推計WS!AU25+移出入推計WS!AV25</f>
        <v>403687</v>
      </c>
      <c r="H24" s="740">
        <f>移出入推計WS!BC25+移出入推計WS!BE25+移出入推計WS!BF25</f>
        <v>402405</v>
      </c>
      <c r="I24" s="737">
        <f>移出入推計WS!BM25+移出入推計WS!BO25+移出入推計WS!BP25</f>
        <v>398019</v>
      </c>
      <c r="J24" s="737">
        <f>移出入推計WS!BW25+移出入推計WS!BY25+移出入推計WS!BZ25</f>
        <v>410118</v>
      </c>
      <c r="K24" s="75">
        <f>移出入推計WS!CG25+移出入推計WS!CI25+移出入推計WS!CJ25</f>
        <v>420843</v>
      </c>
      <c r="L24" s="75">
        <f>移出入推計WS!CQ25+移出入推計WS!CS25+移出入推計WS!CT25</f>
        <v>424275</v>
      </c>
      <c r="M24" s="75">
        <f>移出入推計WS!DA25+移出入推計WS!DC25+移出入推計WS!DD25</f>
        <v>414588</v>
      </c>
      <c r="N24" s="75">
        <f>移出入推計WS!DK25+移出入推計WS!DM25+移出入推計WS!DN25</f>
        <v>426467</v>
      </c>
      <c r="O24" s="75">
        <f>移出入推計WS!DU25+移出入推計WS!DW25+移出入推計WS!DX25</f>
        <v>437945</v>
      </c>
      <c r="P24" s="75">
        <f>移出入推計WS!EE25+移出入推計WS!EG25+移出入推計WS!EH25</f>
        <v>427601</v>
      </c>
      <c r="Q24" s="75">
        <f>移出入推計WS!EO25+移出入推計WS!EQ25+移出入推計WS!ER25</f>
        <v>386956</v>
      </c>
      <c r="R24" s="453">
        <f>移出入推計WS!EY25</f>
        <v>391158</v>
      </c>
      <c r="S24" s="453">
        <f>移出入推計WS!FI25</f>
        <v>411501</v>
      </c>
      <c r="T24" s="1071">
        <f>移出入推計WS!FT25</f>
        <v>643595</v>
      </c>
      <c r="U24" s="1071">
        <f>移出入推計WS!GD25</f>
        <v>687931</v>
      </c>
      <c r="V24" s="1071">
        <f>移出入推計WS!GN25</f>
        <v>858224</v>
      </c>
      <c r="W24" s="1071">
        <f>移出入推計WS!GX25</f>
        <v>867711</v>
      </c>
      <c r="X24" s="1071">
        <f>移出入推計WS!HH25</f>
        <v>884862</v>
      </c>
      <c r="Y24" s="588">
        <f>(純移出入!U24-純移出入!T24)/ABS(純移出入!T24)*100</f>
        <v>-26.318754365803649</v>
      </c>
      <c r="Z24" s="588">
        <f>(純移出入!V24-純移出入!U24)/ABS(純移出入!U24)*100</f>
        <v>130.19764890561729</v>
      </c>
    </row>
    <row r="25" spans="1:26">
      <c r="A25" s="730">
        <v>217</v>
      </c>
      <c r="B25" s="730" t="s">
        <v>189</v>
      </c>
      <c r="C25" s="797">
        <f>移出入推計WS!E26+移出入推計WS!G26+移出入推計WS!H26</f>
        <v>289397</v>
      </c>
      <c r="D25" s="797">
        <f>移出入推計WS!O26+移出入推計WS!Q26+移出入推計WS!R26</f>
        <v>306665</v>
      </c>
      <c r="E25" s="737">
        <f>移出入推計WS!Y26+移出入推計WS!AA26+移出入推計WS!AB26</f>
        <v>286568</v>
      </c>
      <c r="F25" s="737">
        <f>移出入推計WS!AI26+移出入推計WS!AK26+移出入推計WS!AL26</f>
        <v>262385</v>
      </c>
      <c r="G25" s="740">
        <f>移出入推計WS!AS26+移出入推計WS!AU26+移出入推計WS!AV26</f>
        <v>280400</v>
      </c>
      <c r="H25" s="740">
        <f>移出入推計WS!BC26+移出入推計WS!BE26+移出入推計WS!BF26</f>
        <v>285986</v>
      </c>
      <c r="I25" s="737">
        <f>移出入推計WS!BM26+移出入推計WS!BO26+移出入推計WS!BP26</f>
        <v>290163</v>
      </c>
      <c r="J25" s="737">
        <f>移出入推計WS!BW26+移出入推計WS!BY26+移出入推計WS!BZ26</f>
        <v>282350</v>
      </c>
      <c r="K25" s="75">
        <f>移出入推計WS!CG26+移出入推計WS!CI26+移出入推計WS!CJ26</f>
        <v>294197</v>
      </c>
      <c r="L25" s="75">
        <f>移出入推計WS!CQ26+移出入推計WS!CS26+移出入推計WS!CT26</f>
        <v>288823</v>
      </c>
      <c r="M25" s="75">
        <f>移出入推計WS!DA26+移出入推計WS!DC26+移出入推計WS!DD26</f>
        <v>286257</v>
      </c>
      <c r="N25" s="75">
        <f>移出入推計WS!DK26+移出入推計WS!DM26+移出入推計WS!DN26</f>
        <v>298801</v>
      </c>
      <c r="O25" s="75">
        <f>移出入推計WS!DU26+移出入推計WS!DW26+移出入推計WS!DX26</f>
        <v>310143</v>
      </c>
      <c r="P25" s="75">
        <f>移出入推計WS!EE26+移出入推計WS!EG26+移出入推計WS!EH26</f>
        <v>302889</v>
      </c>
      <c r="Q25" s="75">
        <f>移出入推計WS!EO26+移出入推計WS!EQ26+移出入推計WS!ER26</f>
        <v>275163</v>
      </c>
      <c r="R25" s="453">
        <f>移出入推計WS!EY26</f>
        <v>278194</v>
      </c>
      <c r="S25" s="453">
        <f>移出入推計WS!FI26</f>
        <v>293508</v>
      </c>
      <c r="T25" s="1071">
        <f>移出入推計WS!FT26</f>
        <v>437330</v>
      </c>
      <c r="U25" s="1071">
        <f>移出入推計WS!GD26</f>
        <v>467457</v>
      </c>
      <c r="V25" s="1071">
        <f>移出入推計WS!GN26</f>
        <v>571356</v>
      </c>
      <c r="W25" s="1071">
        <f>移出入推計WS!GX26</f>
        <v>581864</v>
      </c>
      <c r="X25" s="1071">
        <f>移出入推計WS!HH26</f>
        <v>597828</v>
      </c>
      <c r="Y25" s="588">
        <f>(純移出入!U25-純移出入!T25)/ABS(純移出入!T25)*100</f>
        <v>-45.14655669371647</v>
      </c>
      <c r="Z25" s="588">
        <f>(純移出入!V25-純移出入!U25)/ABS(純移出入!U25)*100</f>
        <v>134.43113772455092</v>
      </c>
    </row>
    <row r="26" spans="1:26">
      <c r="A26" s="730">
        <v>219</v>
      </c>
      <c r="B26" s="730" t="s">
        <v>190</v>
      </c>
      <c r="C26" s="797">
        <f>移出入推計WS!E27+移出入推計WS!G27+移出入推計WS!H27</f>
        <v>356233</v>
      </c>
      <c r="D26" s="797">
        <f>移出入推計WS!O27+移出入推計WS!Q27+移出入推計WS!R27</f>
        <v>393064</v>
      </c>
      <c r="E26" s="737">
        <f>移出入推計WS!Y27+移出入推計WS!AA27+移出入推計WS!AB27</f>
        <v>369730</v>
      </c>
      <c r="F26" s="737">
        <f>移出入推計WS!AI27+移出入推計WS!AK27+移出入推計WS!AL27</f>
        <v>331742</v>
      </c>
      <c r="G26" s="740">
        <f>移出入推計WS!AS27+移出入推計WS!AU27+移出入推計WS!AV27</f>
        <v>365406</v>
      </c>
      <c r="H26" s="740">
        <f>移出入推計WS!BC27+移出入推計WS!BE27+移出入推計WS!BF27</f>
        <v>374598</v>
      </c>
      <c r="I26" s="737">
        <f>移出入推計WS!BM27+移出入推計WS!BO27+移出入推計WS!BP27</f>
        <v>387412</v>
      </c>
      <c r="J26" s="737">
        <f>移出入推計WS!BW27+移出入推計WS!BY27+移出入推計WS!BZ27</f>
        <v>369297</v>
      </c>
      <c r="K26" s="75">
        <f>移出入推計WS!CG27+移出入推計WS!CI27+移出入推計WS!CJ27</f>
        <v>359670</v>
      </c>
      <c r="L26" s="75">
        <f>移出入推計WS!CQ27+移出入推計WS!CS27+移出入推計WS!CT27</f>
        <v>389609</v>
      </c>
      <c r="M26" s="75">
        <f>移出入推計WS!DA27+移出入推計WS!DC27+移出入推計WS!DD27</f>
        <v>411383</v>
      </c>
      <c r="N26" s="75">
        <f>移出入推計WS!DK27+移出入推計WS!DM27+移出入推計WS!DN27</f>
        <v>406581</v>
      </c>
      <c r="O26" s="75">
        <f>移出入推計WS!DU27+移出入推計WS!DW27+移出入推計WS!DX27</f>
        <v>398424</v>
      </c>
      <c r="P26" s="75">
        <f>移出入推計WS!EE27+移出入推計WS!EG27+移出入推計WS!EH27</f>
        <v>374255</v>
      </c>
      <c r="Q26" s="75">
        <f>移出入推計WS!EO27+移出入推計WS!EQ27+移出入推計WS!ER27</f>
        <v>344410</v>
      </c>
      <c r="R26" s="453">
        <f>移出入推計WS!EY27</f>
        <v>401966</v>
      </c>
      <c r="S26" s="453">
        <f>移出入推計WS!FI27</f>
        <v>446554</v>
      </c>
      <c r="T26" s="1071">
        <f>移出入推計WS!FT27</f>
        <v>423551</v>
      </c>
      <c r="U26" s="1071">
        <f>移出入推計WS!GD27</f>
        <v>452728</v>
      </c>
      <c r="V26" s="1071">
        <f>移出入推計WS!GN27</f>
        <v>454570</v>
      </c>
      <c r="W26" s="1071">
        <f>移出入推計WS!GX27</f>
        <v>466940</v>
      </c>
      <c r="X26" s="1071">
        <f>移出入推計WS!HH27</f>
        <v>480859</v>
      </c>
      <c r="Y26" s="588">
        <f>(純移出入!U26-純移出入!T26)/ABS(純移出入!T26)*100</f>
        <v>-73.663900033689629</v>
      </c>
      <c r="Z26" s="588">
        <f>(純移出入!V26-純移出入!U26)/ABS(純移出入!U26)*100</f>
        <v>4.2737527619490638</v>
      </c>
    </row>
    <row r="27" spans="1:26">
      <c r="A27" s="730">
        <v>301</v>
      </c>
      <c r="B27" s="730" t="s">
        <v>191</v>
      </c>
      <c r="C27" s="797">
        <f>移出入推計WS!E28+移出入推計WS!G28+移出入推計WS!H28</f>
        <v>61373</v>
      </c>
      <c r="D27" s="797">
        <f>移出入推計WS!O28+移出入推計WS!Q28+移出入推計WS!R28</f>
        <v>60865</v>
      </c>
      <c r="E27" s="737">
        <f>移出入推計WS!Y28+移出入推計WS!AA28+移出入推計WS!AB28</f>
        <v>57795</v>
      </c>
      <c r="F27" s="737">
        <f>移出入推計WS!AI28+移出入推計WS!AK28+移出入推計WS!AL28</f>
        <v>53767</v>
      </c>
      <c r="G27" s="740">
        <f>移出入推計WS!AS28+移出入推計WS!AU28+移出入推計WS!AV28</f>
        <v>55923</v>
      </c>
      <c r="H27" s="740">
        <f>移出入推計WS!BC28+移出入推計WS!BE28+移出入推計WS!BF28</f>
        <v>56651</v>
      </c>
      <c r="I27" s="737">
        <f>移出入推計WS!BM28+移出入推計WS!BO28+移出入推計WS!BP28</f>
        <v>55329</v>
      </c>
      <c r="J27" s="737">
        <f>移出入推計WS!BW28+移出入推計WS!BY28+移出入推計WS!BZ28</f>
        <v>56461</v>
      </c>
      <c r="K27" s="75">
        <f>移出入推計WS!CG28+移出入推計WS!CI28+移出入推計WS!CJ28</f>
        <v>58353</v>
      </c>
      <c r="L27" s="75">
        <f>移出入推計WS!CQ28+移出入推計WS!CS28+移出入推計WS!CT28</f>
        <v>58658</v>
      </c>
      <c r="M27" s="75">
        <f>移出入推計WS!DA28+移出入推計WS!DC28+移出入推計WS!DD28</f>
        <v>56333</v>
      </c>
      <c r="N27" s="75">
        <f>移出入推計WS!DK28+移出入推計WS!DM28+移出入推計WS!DN28</f>
        <v>58864</v>
      </c>
      <c r="O27" s="132">
        <f>移出入推計WS!DU28+移出入推計WS!DW28+移出入推計WS!DX28</f>
        <v>56770</v>
      </c>
      <c r="P27" s="75">
        <f>移出入推計WS!EE28+移出入推計WS!EG28+移出入推計WS!EH28</f>
        <v>56185</v>
      </c>
      <c r="Q27" s="132">
        <f>移出入推計WS!EO28+移出入推計WS!EQ28+移出入推計WS!ER28</f>
        <v>52282</v>
      </c>
      <c r="R27" s="450">
        <f>移出入推計WS!EY28</f>
        <v>50557</v>
      </c>
      <c r="S27" s="450">
        <f>移出入推計WS!FI28</f>
        <v>52244</v>
      </c>
      <c r="T27" s="1071">
        <f>移出入推計WS!FT28</f>
        <v>88391</v>
      </c>
      <c r="U27" s="2240">
        <f>移出入推計WS!GD28</f>
        <v>94480</v>
      </c>
      <c r="V27" s="1071">
        <f>移出入推計WS!GN28</f>
        <v>204391</v>
      </c>
      <c r="W27" s="1071">
        <f>移出入推計WS!GX28</f>
        <v>229390</v>
      </c>
      <c r="X27" s="1071">
        <f>移出入推計WS!HH28</f>
        <v>260920</v>
      </c>
      <c r="Y27" s="588">
        <f>(純移出入!U27-純移出入!T27)/ABS(純移出入!T27)*100</f>
        <v>-5199.8420577617335</v>
      </c>
      <c r="Z27" s="588">
        <f>(純移出入!V27-純移出入!U27)/ABS(純移出入!U27)*100</f>
        <v>103.5673045017144</v>
      </c>
    </row>
    <row r="28" spans="1:26">
      <c r="A28" s="728">
        <v>3</v>
      </c>
      <c r="B28" s="728" t="s">
        <v>192</v>
      </c>
      <c r="C28" s="728">
        <f>移出入推計WS!E29+移出入推計WS!G29+移出入推計WS!H29</f>
        <v>2476289</v>
      </c>
      <c r="D28" s="728">
        <f>移出入推計WS!O29+移出入推計WS!Q29+移出入推計WS!R29</f>
        <v>2701531</v>
      </c>
      <c r="E28" s="739">
        <f>移出入推計WS!Y29+移出入推計WS!AA29+移出入推計WS!AB29</f>
        <v>2602795</v>
      </c>
      <c r="F28" s="739">
        <f>移出入推計WS!AI29+移出入推計WS!AK29+移出入推計WS!AL29</f>
        <v>2146897</v>
      </c>
      <c r="G28" s="739">
        <f>移出入推計WS!AS29+移出入推計WS!AU29+移出入推計WS!AV29</f>
        <v>2285527</v>
      </c>
      <c r="H28" s="739">
        <f>移出入推計WS!BC29+移出入推計WS!BE29+移出入推計WS!BF29</f>
        <v>2186946</v>
      </c>
      <c r="I28" s="739">
        <f>移出入推計WS!BM29+移出入推計WS!BO29+移出入推計WS!BP29</f>
        <v>2268128</v>
      </c>
      <c r="J28" s="739">
        <f>移出入推計WS!BW29+移出入推計WS!BY29+移出入推計WS!BZ29</f>
        <v>2307995</v>
      </c>
      <c r="K28" s="130">
        <f>移出入推計WS!CG29+移出入推計WS!CI29+移出入推計WS!CJ29</f>
        <v>2404814</v>
      </c>
      <c r="L28" s="130">
        <f>移出入推計WS!CQ29+移出入推計WS!CS29+移出入推計WS!CT29</f>
        <v>2422870</v>
      </c>
      <c r="M28" s="130">
        <f>移出入推計WS!DA29+移出入推計WS!DC29+移出入推計WS!DD29</f>
        <v>2309209</v>
      </c>
      <c r="N28" s="130">
        <f>移出入推計WS!DK29+移出入推計WS!DM29+移出入推計WS!DN29</f>
        <v>2398060</v>
      </c>
      <c r="O28" s="75">
        <f>移出入推計WS!DU29+移出入推計WS!DW29+移出入推計WS!DX29</f>
        <v>2462275</v>
      </c>
      <c r="P28" s="130">
        <f>移出入推計WS!EE29+移出入推計WS!EG29+移出入推計WS!EH29</f>
        <v>2446959</v>
      </c>
      <c r="Q28" s="75">
        <f>移出入推計WS!EO29+移出入推計WS!EQ29+移出入推計WS!ER29</f>
        <v>2256260</v>
      </c>
      <c r="R28" s="453">
        <f>移出入推計WS!EY29</f>
        <v>2328718</v>
      </c>
      <c r="S28" s="453">
        <f>移出入推計WS!FI29</f>
        <v>2589631</v>
      </c>
      <c r="T28" s="1072">
        <f>移出入推計WS!FT29</f>
        <v>2821851</v>
      </c>
      <c r="U28" s="1071">
        <f>移出入推計WS!GD29</f>
        <v>3016244</v>
      </c>
      <c r="V28" s="1072">
        <f>移出入推計WS!GN29</f>
        <v>3269770</v>
      </c>
      <c r="W28" s="1072">
        <f>移出入推計WS!GX29</f>
        <v>3343222</v>
      </c>
      <c r="X28" s="1071">
        <f>移出入推計WS!HH29</f>
        <v>3441597</v>
      </c>
      <c r="Y28" s="588">
        <f>(純移出入!U28-純移出入!T28)/ABS(純移出入!T28)*100</f>
        <v>81.782168203502977</v>
      </c>
      <c r="Z28" s="588">
        <f>(純移出入!V28-純移出入!U28)/ABS(純移出入!U28)*100</f>
        <v>338.721199222726</v>
      </c>
    </row>
    <row r="29" spans="1:26">
      <c r="A29" s="730">
        <v>203</v>
      </c>
      <c r="B29" s="730" t="s">
        <v>193</v>
      </c>
      <c r="C29" s="730">
        <f>移出入推計WS!E30+移出入推計WS!G30+移出入推計WS!H30</f>
        <v>968050</v>
      </c>
      <c r="D29" s="730">
        <f>移出入推計WS!O30+移出入推計WS!Q30+移出入推計WS!R30</f>
        <v>1050103</v>
      </c>
      <c r="E29" s="737">
        <f>移出入推計WS!Y30+移出入推計WS!AA30+移出入推計WS!AB30</f>
        <v>986950</v>
      </c>
      <c r="F29" s="737">
        <f>移出入推計WS!AI30+移出入推計WS!AK30+移出入推計WS!AL30</f>
        <v>838387</v>
      </c>
      <c r="G29" s="737">
        <f>移出入推計WS!AS30+移出入推計WS!AU30+移出入推計WS!AV30</f>
        <v>873706</v>
      </c>
      <c r="H29" s="737">
        <f>移出入推計WS!BC30+移出入推計WS!BE30+移出入推計WS!BF30</f>
        <v>849298</v>
      </c>
      <c r="I29" s="737">
        <f>移出入推計WS!BM30+移出入推計WS!BO30+移出入推計WS!BP30</f>
        <v>911265</v>
      </c>
      <c r="J29" s="737">
        <f>移出入推計WS!BW30+移出入推計WS!BY30+移出入推計WS!BZ30</f>
        <v>894164</v>
      </c>
      <c r="K29" s="75">
        <f>移出入推計WS!CG30+移出入推計WS!CI30+移出入推計WS!CJ30</f>
        <v>976595</v>
      </c>
      <c r="L29" s="75">
        <f>移出入推計WS!CQ30+移出入推計WS!CS30+移出入推計WS!CT30</f>
        <v>980122</v>
      </c>
      <c r="M29" s="75">
        <f>移出入推計WS!DA30+移出入推計WS!DC30+移出入推計WS!DD30</f>
        <v>929982</v>
      </c>
      <c r="N29" s="75">
        <f>移出入推計WS!DK30+移出入推計WS!DM30+移出入推計WS!DN30</f>
        <v>953516</v>
      </c>
      <c r="O29" s="75">
        <f>移出入推計WS!DU30+移出入推計WS!DW30+移出入推計WS!DX30</f>
        <v>996803</v>
      </c>
      <c r="P29" s="75">
        <f>移出入推計WS!EE30+移出入推計WS!EG30+移出入推計WS!EH30</f>
        <v>994548</v>
      </c>
      <c r="Q29" s="75">
        <f>移出入推計WS!EO30+移出入推計WS!EQ30+移出入推計WS!ER30</f>
        <v>892111</v>
      </c>
      <c r="R29" s="453">
        <f>移出入推計WS!EY30</f>
        <v>901023</v>
      </c>
      <c r="S29" s="453">
        <f>移出入推計WS!FI30</f>
        <v>1031380</v>
      </c>
      <c r="T29" s="1071">
        <f>移出入推計WS!FT30</f>
        <v>1145749</v>
      </c>
      <c r="U29" s="1071">
        <f>移出入推計WS!GD30</f>
        <v>1224678</v>
      </c>
      <c r="V29" s="1071">
        <f>移出入推計WS!GN30</f>
        <v>1336955</v>
      </c>
      <c r="W29" s="1071">
        <f>移出入推計WS!GX30</f>
        <v>1368335</v>
      </c>
      <c r="X29" s="1071">
        <f>移出入推計WS!HH30</f>
        <v>1409347</v>
      </c>
      <c r="Y29" s="588">
        <f>(純移出入!U29-純移出入!T29)/ABS(純移出入!T29)*100</f>
        <v>92.214396969248099</v>
      </c>
      <c r="Z29" s="588">
        <f>(純移出入!V29-純移出入!U29)/ABS(純移出入!U29)*100</f>
        <v>252.04093398673967</v>
      </c>
    </row>
    <row r="30" spans="1:26">
      <c r="A30" s="730">
        <v>210</v>
      </c>
      <c r="B30" s="730" t="s">
        <v>194</v>
      </c>
      <c r="C30" s="730">
        <f>移出入推計WS!E31+移出入推計WS!G31+移出入推計WS!H31</f>
        <v>776761</v>
      </c>
      <c r="D30" s="730">
        <f>移出入推計WS!O31+移出入推計WS!Q31+移出入推計WS!R31</f>
        <v>857159</v>
      </c>
      <c r="E30" s="737">
        <f>移出入推計WS!Y31+移出入推計WS!AA31+移出入推計WS!AB31</f>
        <v>830258</v>
      </c>
      <c r="F30" s="737">
        <f>移出入推計WS!AI31+移出入推計WS!AK31+移出入推計WS!AL31</f>
        <v>625310</v>
      </c>
      <c r="G30" s="737">
        <f>移出入推計WS!AS31+移出入推計WS!AU31+移出入推計WS!AV31</f>
        <v>691253</v>
      </c>
      <c r="H30" s="737">
        <f>移出入推計WS!BC31+移出入推計WS!BE31+移出入推計WS!BF31</f>
        <v>634227</v>
      </c>
      <c r="I30" s="737">
        <f>移出入推計WS!BM31+移出入推計WS!BO31+移出入推計WS!BP31</f>
        <v>620511</v>
      </c>
      <c r="J30" s="737">
        <f>移出入推計WS!BW31+移出入推計WS!BY31+移出入推計WS!BZ31</f>
        <v>673225</v>
      </c>
      <c r="K30" s="75">
        <f>移出入推計WS!CG31+移出入推計WS!CI31+移出入推計WS!CJ31</f>
        <v>695703</v>
      </c>
      <c r="L30" s="75">
        <f>移出入推計WS!CQ31+移出入推計WS!CS31+移出入推計WS!CT31</f>
        <v>683569</v>
      </c>
      <c r="M30" s="75">
        <f>移出入推計WS!DA31+移出入推計WS!DC31+移出入推計WS!DD31</f>
        <v>688525</v>
      </c>
      <c r="N30" s="75">
        <f>移出入推計WS!DK31+移出入推計WS!DM31+移出入推計WS!DN31</f>
        <v>725073</v>
      </c>
      <c r="O30" s="75">
        <f>移出入推計WS!DU31+移出入推計WS!DW31+移出入推計WS!DX31</f>
        <v>748740</v>
      </c>
      <c r="P30" s="75">
        <f>移出入推計WS!EE31+移出入推計WS!EG31+移出入推計WS!EH31</f>
        <v>736984</v>
      </c>
      <c r="Q30" s="75">
        <f>移出入推計WS!EO31+移出入推計WS!EQ31+移出入推計WS!ER31</f>
        <v>657956</v>
      </c>
      <c r="R30" s="453">
        <f>移出入推計WS!EY31</f>
        <v>664545</v>
      </c>
      <c r="S30" s="453">
        <f>移出入推計WS!FI31</f>
        <v>693786</v>
      </c>
      <c r="T30" s="1071">
        <f>移出入推計WS!FT31</f>
        <v>931021</v>
      </c>
      <c r="U30" s="1071">
        <f>移出入推計WS!GD31</f>
        <v>995158</v>
      </c>
      <c r="V30" s="1071">
        <f>移出入推計WS!GN31</f>
        <v>1110282</v>
      </c>
      <c r="W30" s="1071">
        <f>移出入推計WS!GX31</f>
        <v>1132885</v>
      </c>
      <c r="X30" s="1071">
        <f>移出入推計WS!HH31</f>
        <v>1160619</v>
      </c>
      <c r="Y30" s="588">
        <f>(純移出入!U30-純移出入!T30)/ABS(純移出入!T30)*100</f>
        <v>-238.99736365134291</v>
      </c>
      <c r="Z30" s="588">
        <f>(純移出入!V30-純移出入!U30)/ABS(純移出入!U30)*100</f>
        <v>229.80766381175357</v>
      </c>
    </row>
    <row r="31" spans="1:26">
      <c r="A31" s="730">
        <v>216</v>
      </c>
      <c r="B31" s="730" t="s">
        <v>195</v>
      </c>
      <c r="C31" s="730">
        <f>移出入推計WS!E32+移出入推計WS!G32+移出入推計WS!H32</f>
        <v>487531</v>
      </c>
      <c r="D31" s="730">
        <f>移出入推計WS!O32+移出入推計WS!Q32+移出入推計WS!R32</f>
        <v>534823</v>
      </c>
      <c r="E31" s="737">
        <f>移出入推計WS!Y32+移出入推計WS!AA32+移出入推計WS!AB32</f>
        <v>537981</v>
      </c>
      <c r="F31" s="737">
        <f>移出入推計WS!AI32+移出入推計WS!AK32+移出入推計WS!AL32</f>
        <v>471593</v>
      </c>
      <c r="G31" s="737">
        <f>移出入推計WS!AS32+移出入推計WS!AU32+移出入推計WS!AV32</f>
        <v>512107</v>
      </c>
      <c r="H31" s="737">
        <f>移出入推計WS!BC32+移出入推計WS!BE32+移出入推計WS!BF32</f>
        <v>479723</v>
      </c>
      <c r="I31" s="737">
        <f>移出入推計WS!BM32+移出入推計WS!BO32+移出入推計WS!BP32</f>
        <v>495475</v>
      </c>
      <c r="J31" s="737">
        <f>移出入推計WS!BW32+移出入推計WS!BY32+移出入推計WS!BZ32</f>
        <v>494987</v>
      </c>
      <c r="K31" s="75">
        <f>移出入推計WS!CG32+移出入推計WS!CI32+移出入推計WS!CJ32</f>
        <v>458499</v>
      </c>
      <c r="L31" s="75">
        <f>移出入推計WS!CQ32+移出入推計WS!CS32+移出入推計WS!CT32</f>
        <v>476807</v>
      </c>
      <c r="M31" s="75">
        <f>移出入推計WS!DA32+移出入推計WS!DC32+移出入推計WS!DD32</f>
        <v>427603</v>
      </c>
      <c r="N31" s="75">
        <f>移出入推計WS!DK32+移出入推計WS!DM32+移出入推計WS!DN32</f>
        <v>435659</v>
      </c>
      <c r="O31" s="75">
        <f>移出入推計WS!DU32+移出入推計WS!DW32+移出入推計WS!DX32</f>
        <v>424348</v>
      </c>
      <c r="P31" s="75">
        <f>移出入推計WS!EE32+移出入推計WS!EG32+移出入推計WS!EH32</f>
        <v>427254</v>
      </c>
      <c r="Q31" s="75">
        <f>移出入推計WS!EO32+移出入推計WS!EQ32+移出入推計WS!ER32</f>
        <v>437602</v>
      </c>
      <c r="R31" s="453">
        <f>移出入推計WS!EY32</f>
        <v>433928</v>
      </c>
      <c r="S31" s="453">
        <f>移出入推計WS!FI32</f>
        <v>494479</v>
      </c>
      <c r="T31" s="1071">
        <f>移出入推計WS!FT32</f>
        <v>451730</v>
      </c>
      <c r="U31" s="1071">
        <f>移出入推計WS!GD32</f>
        <v>482849</v>
      </c>
      <c r="V31" s="1071">
        <f>移出入推計WS!GN32</f>
        <v>524469</v>
      </c>
      <c r="W31" s="1071">
        <f>移出入推計WS!GX32</f>
        <v>536647</v>
      </c>
      <c r="X31" s="1071">
        <f>移出入推計WS!HH32</f>
        <v>556149</v>
      </c>
      <c r="Y31" s="588">
        <f>(純移出入!U31-純移出入!T31)/ABS(純移出入!T31)*100</f>
        <v>-127.9115983140215</v>
      </c>
      <c r="Z31" s="588">
        <f>(純移出入!V31-純移出入!U31)/ABS(純移出入!U31)*100</f>
        <v>218.79880569591182</v>
      </c>
    </row>
    <row r="32" spans="1:26">
      <c r="A32" s="730">
        <v>381</v>
      </c>
      <c r="B32" s="730" t="s">
        <v>196</v>
      </c>
      <c r="C32" s="730">
        <f>移出入推計WS!E33+移出入推計WS!G33+移出入推計WS!H33</f>
        <v>124959</v>
      </c>
      <c r="D32" s="730">
        <f>移出入推計WS!O33+移出入推計WS!Q33+移出入推計WS!R33</f>
        <v>135090</v>
      </c>
      <c r="E32" s="737">
        <f>移出入推計WS!Y33+移出入推計WS!AA33+移出入推計WS!AB33</f>
        <v>123671</v>
      </c>
      <c r="F32" s="737">
        <f>移出入推計WS!AI33+移出入推計WS!AK33+移出入推計WS!AL33</f>
        <v>100769</v>
      </c>
      <c r="G32" s="737">
        <f>移出入推計WS!AS33+移出入推計WS!AU33+移出入推計WS!AV33</f>
        <v>110721</v>
      </c>
      <c r="H32" s="737">
        <f>移出入推計WS!BC33+移出入推計WS!BE33+移出入推計WS!BF33</f>
        <v>123465</v>
      </c>
      <c r="I32" s="737">
        <f>移出入推計WS!BM33+移出入推計WS!BO33+移出入推計WS!BP33</f>
        <v>129046</v>
      </c>
      <c r="J32" s="737">
        <f>移出入推計WS!BW33+移出入推計WS!BY33+移出入推計WS!BZ33</f>
        <v>133779</v>
      </c>
      <c r="K32" s="75">
        <f>移出入推計WS!CG33+移出入推計WS!CI33+移出入推計WS!CJ33</f>
        <v>142657</v>
      </c>
      <c r="L32" s="75">
        <f>移出入推計WS!CQ33+移出入推計WS!CS33+移出入推計WS!CT33</f>
        <v>152724</v>
      </c>
      <c r="M32" s="75">
        <f>移出入推計WS!DA33+移出入推計WS!DC33+移出入推計WS!DD33</f>
        <v>137834</v>
      </c>
      <c r="N32" s="75">
        <f>移出入推計WS!DK33+移出入推計WS!DM33+移出入推計WS!DN33</f>
        <v>147637</v>
      </c>
      <c r="O32" s="75">
        <f>移出入推計WS!DU33+移出入推計WS!DW33+移出入推計WS!DX33</f>
        <v>148663</v>
      </c>
      <c r="P32" s="75">
        <f>移出入推計WS!EE33+移出入推計WS!EG33+移出入推計WS!EH33</f>
        <v>140523</v>
      </c>
      <c r="Q32" s="75">
        <f>移出入推計WS!EO33+移出入推計WS!EQ33+移出入推計WS!ER33</f>
        <v>113007</v>
      </c>
      <c r="R32" s="453">
        <f>移出入推計WS!EY33</f>
        <v>133155</v>
      </c>
      <c r="S32" s="453">
        <f>移出入推計WS!FI33</f>
        <v>139011</v>
      </c>
      <c r="T32" s="1071">
        <f>移出入推計WS!FT33</f>
        <v>131345</v>
      </c>
      <c r="U32" s="1071">
        <f>移出入推計WS!GD33</f>
        <v>140393</v>
      </c>
      <c r="V32" s="1071">
        <f>移出入推計WS!GN33</f>
        <v>127133</v>
      </c>
      <c r="W32" s="1071">
        <f>移出入推計WS!GX33</f>
        <v>129788</v>
      </c>
      <c r="X32" s="1071">
        <f>移出入推計WS!HH33</f>
        <v>133656</v>
      </c>
      <c r="Y32" s="588">
        <f>(純移出入!U32-純移出入!T32)/ABS(純移出入!T32)*100</f>
        <v>-26.223579804788987</v>
      </c>
      <c r="Z32" s="588">
        <f>(純移出入!V32-純移出入!U32)/ABS(純移出入!U32)*100</f>
        <v>-76.129062961024133</v>
      </c>
    </row>
    <row r="33" spans="1:26">
      <c r="A33" s="731">
        <v>382</v>
      </c>
      <c r="B33" s="731" t="s">
        <v>197</v>
      </c>
      <c r="C33" s="731">
        <f>移出入推計WS!E34+移出入推計WS!G34+移出入推計WS!H34</f>
        <v>118988</v>
      </c>
      <c r="D33" s="731">
        <f>移出入推計WS!O34+移出入推計WS!Q34+移出入推計WS!R34</f>
        <v>124356</v>
      </c>
      <c r="E33" s="738">
        <f>移出入推計WS!Y34+移出入推計WS!AA34+移出入推計WS!AB34</f>
        <v>123935</v>
      </c>
      <c r="F33" s="738">
        <f>移出入推計WS!AI34+移出入推計WS!AK34+移出入推計WS!AL34</f>
        <v>110838</v>
      </c>
      <c r="G33" s="738">
        <f>移出入推計WS!AS34+移出入推計WS!AU34+移出入推計WS!AV34</f>
        <v>97740</v>
      </c>
      <c r="H33" s="738">
        <f>移出入推計WS!BC34+移出入推計WS!BE34+移出入推計WS!BF34</f>
        <v>100233</v>
      </c>
      <c r="I33" s="738">
        <f>移出入推計WS!BM34+移出入推計WS!BO34+移出入推計WS!BP34</f>
        <v>111831</v>
      </c>
      <c r="J33" s="738">
        <f>移出入推計WS!BW34+移出入推計WS!BY34+移出入推計WS!BZ34</f>
        <v>111840</v>
      </c>
      <c r="K33" s="132">
        <f>移出入推計WS!CG34+移出入推計WS!CI34+移出入推計WS!CJ34</f>
        <v>131360</v>
      </c>
      <c r="L33" s="132">
        <f>移出入推計WS!CQ34+移出入推計WS!CS34+移出入推計WS!CT34</f>
        <v>129648</v>
      </c>
      <c r="M33" s="132">
        <f>移出入推計WS!DA34+移出入推計WS!DC34+移出入推計WS!DD34</f>
        <v>125265</v>
      </c>
      <c r="N33" s="132">
        <f>移出入推計WS!DK34+移出入推計WS!DM34+移出入推計WS!DN34</f>
        <v>136175</v>
      </c>
      <c r="O33" s="75">
        <f>移出入推計WS!DU34+移出入推計WS!DW34+移出入推計WS!DX34</f>
        <v>143721</v>
      </c>
      <c r="P33" s="132">
        <f>移出入推計WS!EE34+移出入推計WS!EG34+移出入推計WS!EH34</f>
        <v>147650</v>
      </c>
      <c r="Q33" s="75">
        <f>移出入推計WS!EO34+移出入推計WS!EQ34+移出入推計WS!ER34</f>
        <v>155584</v>
      </c>
      <c r="R33" s="453">
        <f>移出入推計WS!EY34</f>
        <v>196067</v>
      </c>
      <c r="S33" s="453">
        <f>移出入推計WS!FI34</f>
        <v>230975</v>
      </c>
      <c r="T33" s="2240">
        <f>移出入推計WS!FT34</f>
        <v>162006</v>
      </c>
      <c r="U33" s="1071">
        <f>移出入推計WS!GD34</f>
        <v>173166</v>
      </c>
      <c r="V33" s="2240">
        <f>移出入推計WS!GN34</f>
        <v>170931</v>
      </c>
      <c r="W33" s="2240">
        <f>移出入推計WS!GX34</f>
        <v>175567</v>
      </c>
      <c r="X33" s="1071">
        <f>移出入推計WS!HH34</f>
        <v>181826</v>
      </c>
      <c r="Y33" s="588">
        <f>(純移出入!U33-純移出入!T33)/ABS(純移出入!T33)*100</f>
        <v>-68.050050286931324</v>
      </c>
      <c r="Z33" s="588">
        <f>(純移出入!V33-純移出入!U33)/ABS(純移出入!U33)*100</f>
        <v>-37.570595315248589</v>
      </c>
    </row>
    <row r="34" spans="1:26">
      <c r="A34" s="730">
        <v>4</v>
      </c>
      <c r="B34" s="730" t="s">
        <v>325</v>
      </c>
      <c r="C34" s="797">
        <f>移出入推計WS!E35+移出入推計WS!G35+移出入推計WS!H35</f>
        <v>1057849</v>
      </c>
      <c r="D34" s="797">
        <f>移出入推計WS!O35+移出入推計WS!Q35+移出入推計WS!R35</f>
        <v>1115059</v>
      </c>
      <c r="E34" s="737">
        <f>移出入推計WS!Y35+移出入推計WS!AA35+移出入推計WS!AB35</f>
        <v>1052282</v>
      </c>
      <c r="F34" s="737">
        <f>移出入推計WS!AI35+移出入推計WS!AK35+移出入推計WS!AL35</f>
        <v>954552</v>
      </c>
      <c r="G34" s="740">
        <f>移出入推計WS!AS35+移出入推計WS!AU35+移出入推計WS!AV35</f>
        <v>992502</v>
      </c>
      <c r="H34" s="740">
        <f>移出入推計WS!BC35+移出入推計WS!BE35+移出入推計WS!BF35</f>
        <v>944177</v>
      </c>
      <c r="I34" s="737">
        <f>移出入推計WS!BM35+移出入推計WS!BO35+移出入推計WS!BP35</f>
        <v>912186</v>
      </c>
      <c r="J34" s="737">
        <f>移出入推計WS!BW35+移出入推計WS!BY35+移出入推計WS!BZ35</f>
        <v>957706</v>
      </c>
      <c r="K34" s="75">
        <f>移出入推計WS!CG35+移出入推計WS!CI35+移出入推計WS!CJ35</f>
        <v>988043</v>
      </c>
      <c r="L34" s="75">
        <f>移出入推計WS!CQ35+移出入推計WS!CS35+移出入推計WS!CT35</f>
        <v>989128</v>
      </c>
      <c r="M34" s="75">
        <f>移出入推計WS!DA35+移出入推計WS!DC35+移出入推計WS!DD35</f>
        <v>1003697</v>
      </c>
      <c r="N34" s="75">
        <f>移出入推計WS!DK35+移出入推計WS!DM35+移出入推計WS!DN35</f>
        <v>1076205</v>
      </c>
      <c r="O34" s="130">
        <f>移出入推計WS!DU35+移出入推計WS!DW35+移出入推計WS!DX35</f>
        <v>1078360</v>
      </c>
      <c r="P34" s="75">
        <f>移出入推計WS!EE35+移出入推計WS!EG35+移出入推計WS!EH35</f>
        <v>1069776</v>
      </c>
      <c r="Q34" s="130">
        <f>移出入推計WS!EO35+移出入推計WS!EQ35+移出入推計WS!ER35</f>
        <v>992999</v>
      </c>
      <c r="R34" s="915">
        <f>移出入推計WS!EY35</f>
        <v>1038361</v>
      </c>
      <c r="S34" s="915">
        <f>移出入推計WS!FI35</f>
        <v>1059137</v>
      </c>
      <c r="T34" s="1071">
        <f>移出入推計WS!FT35</f>
        <v>1121130</v>
      </c>
      <c r="U34" s="1072">
        <f>移出入推計WS!GD35</f>
        <v>1198363</v>
      </c>
      <c r="V34" s="1071">
        <f>移出入推計WS!GN35</f>
        <v>1145381</v>
      </c>
      <c r="W34" s="1071">
        <f>移出入推計WS!GX35</f>
        <v>1171078</v>
      </c>
      <c r="X34" s="1071">
        <f>移出入推計WS!HH35</f>
        <v>1203262</v>
      </c>
      <c r="Y34" s="588">
        <f>(純移出入!U34-純移出入!T34)/ABS(純移出入!T34)*100</f>
        <v>-45.329844905185752</v>
      </c>
      <c r="Z34" s="588">
        <f>(純移出入!V34-純移出入!U34)/ABS(純移出入!U34)*100</f>
        <v>-63.778978420495726</v>
      </c>
    </row>
    <row r="35" spans="1:26">
      <c r="A35" s="730">
        <v>213</v>
      </c>
      <c r="B35" s="730" t="s">
        <v>199</v>
      </c>
      <c r="C35" s="797">
        <f>移出入推計WS!E36+移出入推計WS!G36+移出入推計WS!H36</f>
        <v>143037</v>
      </c>
      <c r="D35" s="797">
        <f>移出入推計WS!O36+移出入推計WS!Q36+移出入推計WS!R36</f>
        <v>153480</v>
      </c>
      <c r="E35" s="737">
        <f>移出入推計WS!Y36+移出入推計WS!AA36+移出入推計WS!AB36</f>
        <v>139205</v>
      </c>
      <c r="F35" s="737">
        <f>移出入推計WS!AI36+移出入推計WS!AK36+移出入推計WS!AL36</f>
        <v>126120</v>
      </c>
      <c r="G35" s="740">
        <f>移出入推計WS!AS36+移出入推計WS!AU36+移出入推計WS!AV36</f>
        <v>130439</v>
      </c>
      <c r="H35" s="740">
        <f>移出入推計WS!BC36+移出入推計WS!BE36+移出入推計WS!BF36</f>
        <v>111185</v>
      </c>
      <c r="I35" s="737">
        <f>移出入推計WS!BM36+移出入推計WS!BO36+移出入推計WS!BP36</f>
        <v>109499</v>
      </c>
      <c r="J35" s="737">
        <f>移出入推計WS!BW36+移出入推計WS!BY36+移出入推計WS!BZ36</f>
        <v>122397</v>
      </c>
      <c r="K35" s="75">
        <f>移出入推計WS!CG36+移出入推計WS!CI36+移出入推計WS!CJ36</f>
        <v>116555</v>
      </c>
      <c r="L35" s="75">
        <f>移出入推計WS!CQ36+移出入推計WS!CS36+移出入推計WS!CT36</f>
        <v>120345</v>
      </c>
      <c r="M35" s="75">
        <f>移出入推計WS!DA36+移出入推計WS!DC36+移出入推計WS!DD36</f>
        <v>114965</v>
      </c>
      <c r="N35" s="75">
        <f>移出入推計WS!DK36+移出入推計WS!DM36+移出入推計WS!DN36</f>
        <v>118044</v>
      </c>
      <c r="O35" s="75">
        <f>移出入推計WS!DU36+移出入推計WS!DW36+移出入推計WS!DX36</f>
        <v>119514</v>
      </c>
      <c r="P35" s="75">
        <f>移出入推計WS!EE36+移出入推計WS!EG36+移出入推計WS!EH36</f>
        <v>124282</v>
      </c>
      <c r="Q35" s="75">
        <f>移出入推計WS!EO36+移出入推計WS!EQ36+移出入推計WS!ER36</f>
        <v>111937</v>
      </c>
      <c r="R35" s="453">
        <f>移出入推計WS!EY36</f>
        <v>115776</v>
      </c>
      <c r="S35" s="453">
        <f>移出入推計WS!FI36</f>
        <v>122663</v>
      </c>
      <c r="T35" s="1071">
        <f>移出入推計WS!FT36</f>
        <v>140126</v>
      </c>
      <c r="U35" s="1071">
        <f>移出入推計WS!GD36</f>
        <v>149779</v>
      </c>
      <c r="V35" s="1071">
        <f>移出入推計WS!GN36</f>
        <v>144742</v>
      </c>
      <c r="W35" s="1071">
        <f>移出入推計WS!GX36</f>
        <v>144578</v>
      </c>
      <c r="X35" s="1071">
        <f>移出入推計WS!HH36</f>
        <v>145511</v>
      </c>
      <c r="Y35" s="588">
        <f>(純移出入!U35-純移出入!T35)/ABS(純移出入!T35)*100</f>
        <v>-47.219922985568793</v>
      </c>
      <c r="Z35" s="588">
        <f>(純移出入!V35-純移出入!U35)/ABS(純移出入!U35)*100</f>
        <v>-61.066412109641341</v>
      </c>
    </row>
    <row r="36" spans="1:26">
      <c r="A36" s="730">
        <v>215</v>
      </c>
      <c r="B36" s="730" t="s">
        <v>329</v>
      </c>
      <c r="C36" s="797">
        <f>移出入推計WS!E37+移出入推計WS!G37+移出入推計WS!H37</f>
        <v>253901</v>
      </c>
      <c r="D36" s="797">
        <f>移出入推計WS!O37+移出入推計WS!Q37+移出入推計WS!R37</f>
        <v>269680</v>
      </c>
      <c r="E36" s="737">
        <f>移出入推計WS!Y37+移出入推計WS!AA37+移出入推計WS!AB37</f>
        <v>254850</v>
      </c>
      <c r="F36" s="737">
        <f>移出入推計WS!AI37+移出入推計WS!AK37+移出入推計WS!AL37</f>
        <v>228086</v>
      </c>
      <c r="G36" s="740">
        <f>移出入推計WS!AS37+移出入推計WS!AU37+移出入推計WS!AV37</f>
        <v>236139</v>
      </c>
      <c r="H36" s="740">
        <f>移出入推計WS!BC37+移出入推計WS!BE37+移出入推計WS!BF37</f>
        <v>227229</v>
      </c>
      <c r="I36" s="737">
        <f>移出入推計WS!BM37+移出入推計WS!BO37+移出入推計WS!BP37</f>
        <v>223137</v>
      </c>
      <c r="J36" s="737">
        <f>移出入推計WS!BW37+移出入推計WS!BY37+移出入推計WS!BZ37</f>
        <v>227387</v>
      </c>
      <c r="K36" s="75">
        <f>移出入推計WS!CG37+移出入推計WS!CI37+移出入推計WS!CJ37</f>
        <v>230416</v>
      </c>
      <c r="L36" s="75">
        <f>移出入推計WS!CQ37+移出入推計WS!CS37+移出入推計WS!CT37</f>
        <v>238234</v>
      </c>
      <c r="M36" s="75">
        <f>移出入推計WS!DA37+移出入推計WS!DC37+移出入推計WS!DD37</f>
        <v>239820</v>
      </c>
      <c r="N36" s="75">
        <f>移出入推計WS!DK37+移出入推計WS!DM37+移出入推計WS!DN37</f>
        <v>253292</v>
      </c>
      <c r="O36" s="75">
        <f>移出入推計WS!DU37+移出入推計WS!DW37+移出入推計WS!DX37</f>
        <v>259613</v>
      </c>
      <c r="P36" s="75">
        <f>移出入推計WS!EE37+移出入推計WS!EG37+移出入推計WS!EH37</f>
        <v>255898</v>
      </c>
      <c r="Q36" s="75">
        <f>移出入推計WS!EO37+移出入推計WS!EQ37+移出入推計WS!ER37</f>
        <v>244556</v>
      </c>
      <c r="R36" s="453">
        <f>移出入推計WS!EY37</f>
        <v>252797</v>
      </c>
      <c r="S36" s="453">
        <f>移出入推計WS!FI37</f>
        <v>262732</v>
      </c>
      <c r="T36" s="1071">
        <f>移出入推計WS!FT37</f>
        <v>287026</v>
      </c>
      <c r="U36" s="1071">
        <f>移出入推計WS!GD37</f>
        <v>306799</v>
      </c>
      <c r="V36" s="1071">
        <f>移出入推計WS!GN37</f>
        <v>305056</v>
      </c>
      <c r="W36" s="1071">
        <f>移出入推計WS!GX37</f>
        <v>310814</v>
      </c>
      <c r="X36" s="1071">
        <f>移出入推計WS!HH37</f>
        <v>318841</v>
      </c>
      <c r="Y36" s="588">
        <f>(純移出入!U36-純移出入!T36)/ABS(純移出入!T36)*100</f>
        <v>-57.995236365104354</v>
      </c>
      <c r="Z36" s="588">
        <f>(純移出入!V36-純移出入!U36)/ABS(純移出入!U36)*100</f>
        <v>-42.167227294569919</v>
      </c>
    </row>
    <row r="37" spans="1:26">
      <c r="A37" s="730">
        <v>218</v>
      </c>
      <c r="B37" s="730" t="s">
        <v>200</v>
      </c>
      <c r="C37" s="797">
        <f>移出入推計WS!E38+移出入推計WS!G38+移出入推計WS!H38</f>
        <v>196222</v>
      </c>
      <c r="D37" s="797">
        <f>移出入推計WS!O38+移出入推計WS!Q38+移出入推計WS!R38</f>
        <v>208840</v>
      </c>
      <c r="E37" s="737">
        <f>移出入推計WS!Y38+移出入推計WS!AA38+移出入推計WS!AB38</f>
        <v>202700</v>
      </c>
      <c r="F37" s="737">
        <f>移出入推計WS!AI38+移出入推計WS!AK38+移出入推計WS!AL38</f>
        <v>181335</v>
      </c>
      <c r="G37" s="740">
        <f>移出入推計WS!AS38+移出入推計WS!AU38+移出入推計WS!AV38</f>
        <v>188855</v>
      </c>
      <c r="H37" s="740">
        <f>移出入推計WS!BC38+移出入推計WS!BE38+移出入推計WS!BF38</f>
        <v>184840</v>
      </c>
      <c r="I37" s="737">
        <f>移出入推計WS!BM38+移出入推計WS!BO38+移出入推計WS!BP38</f>
        <v>170212</v>
      </c>
      <c r="J37" s="737">
        <f>移出入推計WS!BW38+移出入推計WS!BY38+移出入推計WS!BZ38</f>
        <v>188659</v>
      </c>
      <c r="K37" s="75">
        <f>移出入推計WS!CG38+移出入推計WS!CI38+移出入推計WS!CJ38</f>
        <v>201457</v>
      </c>
      <c r="L37" s="75">
        <f>移出入推計WS!CQ38+移出入推計WS!CS38+移出入推計WS!CT38</f>
        <v>208135</v>
      </c>
      <c r="M37" s="75">
        <f>移出入推計WS!DA38+移出入推計WS!DC38+移出入推計WS!DD38</f>
        <v>199210</v>
      </c>
      <c r="N37" s="75">
        <f>移出入推計WS!DK38+移出入推計WS!DM38+移出入推計WS!DN38</f>
        <v>212903</v>
      </c>
      <c r="O37" s="75">
        <f>移出入推計WS!DU38+移出入推計WS!DW38+移出入推計WS!DX38</f>
        <v>217345</v>
      </c>
      <c r="P37" s="75">
        <f>移出入推計WS!EE38+移出入推計WS!EG38+移出入推計WS!EH38</f>
        <v>213285</v>
      </c>
      <c r="Q37" s="75">
        <f>移出入推計WS!EO38+移出入推計WS!EQ38+移出入推計WS!ER38</f>
        <v>190925</v>
      </c>
      <c r="R37" s="453">
        <f>移出入推計WS!EY38</f>
        <v>204380</v>
      </c>
      <c r="S37" s="453">
        <f>移出入推計WS!FI38</f>
        <v>213575</v>
      </c>
      <c r="T37" s="1071">
        <f>移出入推計WS!FT38</f>
        <v>216914</v>
      </c>
      <c r="U37" s="1071">
        <f>移出入推計WS!GD38</f>
        <v>231857</v>
      </c>
      <c r="V37" s="1071">
        <f>移出入推計WS!GN38</f>
        <v>212078</v>
      </c>
      <c r="W37" s="1071">
        <f>移出入推計WS!GX38</f>
        <v>220963</v>
      </c>
      <c r="X37" s="1071">
        <f>移出入推計WS!HH38</f>
        <v>231454</v>
      </c>
      <c r="Y37" s="588">
        <f>(純移出入!U37-純移出入!T37)/ABS(純移出入!T37)*100</f>
        <v>-42.283630710002221</v>
      </c>
      <c r="Z37" s="588">
        <f>(純移出入!V37-純移出入!U37)/ABS(純移出入!U37)*100</f>
        <v>-73.171279222653368</v>
      </c>
    </row>
    <row r="38" spans="1:26">
      <c r="A38" s="730">
        <v>220</v>
      </c>
      <c r="B38" s="730" t="s">
        <v>201</v>
      </c>
      <c r="C38" s="797">
        <f>移出入推計WS!E39+移出入推計WS!G39+移出入推計WS!H39</f>
        <v>173938</v>
      </c>
      <c r="D38" s="797">
        <f>移出入推計WS!O39+移出入推計WS!Q39+移出入推計WS!R39</f>
        <v>188195</v>
      </c>
      <c r="E38" s="737">
        <f>移出入推計WS!Y39+移出入推計WS!AA39+移出入推計WS!AB39</f>
        <v>176911</v>
      </c>
      <c r="F38" s="737">
        <f>移出入推計WS!AI39+移出入推計WS!AK39+移出入推計WS!AL39</f>
        <v>165754</v>
      </c>
      <c r="G38" s="740">
        <f>移出入推計WS!AS39+移出入推計WS!AU39+移出入推計WS!AV39</f>
        <v>167145</v>
      </c>
      <c r="H38" s="740">
        <f>移出入推計WS!BC39+移出入推計WS!BE39+移出入推計WS!BF39</f>
        <v>166029</v>
      </c>
      <c r="I38" s="737">
        <f>移出入推計WS!BM39+移出入推計WS!BO39+移出入推計WS!BP39</f>
        <v>166245</v>
      </c>
      <c r="J38" s="737">
        <f>移出入推計WS!BW39+移出入推計WS!BY39+移出入推計WS!BZ39</f>
        <v>175071</v>
      </c>
      <c r="K38" s="75">
        <f>移出入推計WS!CG39+移出入推計WS!CI39+移出入推計WS!CJ39</f>
        <v>173094</v>
      </c>
      <c r="L38" s="75">
        <f>移出入推計WS!CQ39+移出入推計WS!CS39+移出入推計WS!CT39</f>
        <v>172530</v>
      </c>
      <c r="M38" s="75">
        <f>移出入推計WS!DA39+移出入推計WS!DC39+移出入推計WS!DD39</f>
        <v>181335</v>
      </c>
      <c r="N38" s="75">
        <f>移出入推計WS!DK39+移出入推計WS!DM39+移出入推計WS!DN39</f>
        <v>204823</v>
      </c>
      <c r="O38" s="75">
        <f>移出入推計WS!DU39+移出入推計WS!DW39+移出入推計WS!DX39</f>
        <v>209540</v>
      </c>
      <c r="P38" s="75">
        <f>移出入推計WS!EE39+移出入推計WS!EG39+移出入推計WS!EH39</f>
        <v>200116</v>
      </c>
      <c r="Q38" s="75">
        <f>移出入推計WS!EO39+移出入推計WS!EQ39+移出入推計WS!ER39</f>
        <v>179114</v>
      </c>
      <c r="R38" s="453">
        <f>移出入推計WS!EY39</f>
        <v>199895</v>
      </c>
      <c r="S38" s="453">
        <f>移出入推計WS!FI39</f>
        <v>198815</v>
      </c>
      <c r="T38" s="1071">
        <f>移出入推計WS!FT39</f>
        <v>199307</v>
      </c>
      <c r="U38" s="1071">
        <f>移出入推計WS!GD39</f>
        <v>213037</v>
      </c>
      <c r="V38" s="1071">
        <f>移出入推計WS!GN39</f>
        <v>199396</v>
      </c>
      <c r="W38" s="1071">
        <f>移出入推計WS!GX39</f>
        <v>203308</v>
      </c>
      <c r="X38" s="1071">
        <f>移出入推計WS!HH39</f>
        <v>208551</v>
      </c>
      <c r="Y38" s="588">
        <f>(純移出入!U38-純移出入!T38)/ABS(純移出入!T38)*100</f>
        <v>-35.56038947586493</v>
      </c>
      <c r="Z38" s="588">
        <f>(純移出入!V38-純移出入!U38)/ABS(純移出入!U38)*100</f>
        <v>-68.389326474843273</v>
      </c>
    </row>
    <row r="39" spans="1:26">
      <c r="A39" s="730">
        <v>228</v>
      </c>
      <c r="B39" s="730" t="s">
        <v>330</v>
      </c>
      <c r="C39" s="797">
        <f>移出入推計WS!E40+移出入推計WS!G40+移出入推計WS!H40</f>
        <v>228829</v>
      </c>
      <c r="D39" s="797">
        <f>移出入推計WS!O40+移出入推計WS!Q40+移出入推計WS!R40</f>
        <v>230209</v>
      </c>
      <c r="E39" s="737">
        <f>移出入推計WS!Y40+移出入推計WS!AA40+移出入推計WS!AB40</f>
        <v>218409</v>
      </c>
      <c r="F39" s="737">
        <f>移出入推計WS!AI40+移出入推計WS!AK40+移出入推計WS!AL40</f>
        <v>202267</v>
      </c>
      <c r="G39" s="740">
        <f>移出入推計WS!AS40+移出入推計WS!AU40+移出入推計WS!AV40</f>
        <v>216112</v>
      </c>
      <c r="H39" s="740">
        <f>移出入推計WS!BC40+移出入推計WS!BE40+移出入推計WS!BF40</f>
        <v>197635</v>
      </c>
      <c r="I39" s="737">
        <f>移出入推計WS!BM40+移出入推計WS!BO40+移出入推計WS!BP40</f>
        <v>188413</v>
      </c>
      <c r="J39" s="737">
        <f>移出入推計WS!BW40+移出入推計WS!BY40+移出入推計WS!BZ40</f>
        <v>188094</v>
      </c>
      <c r="K39" s="75">
        <f>移出入推計WS!CG40+移出入推計WS!CI40+移出入推計WS!CJ40</f>
        <v>208287</v>
      </c>
      <c r="L39" s="75">
        <f>移出入推計WS!CQ40+移出入推計WS!CS40+移出入推計WS!CT40</f>
        <v>191819</v>
      </c>
      <c r="M39" s="75">
        <f>移出入推計WS!DA40+移出入推計WS!DC40+移出入推計WS!DD40</f>
        <v>210898</v>
      </c>
      <c r="N39" s="75">
        <f>移出入推計WS!DK40+移出入推計WS!DM40+移出入推計WS!DN40</f>
        <v>227892</v>
      </c>
      <c r="O39" s="75">
        <f>移出入推計WS!DU40+移出入推計WS!DW40+移出入推計WS!DX40</f>
        <v>214377</v>
      </c>
      <c r="P39" s="75">
        <f>移出入推計WS!EE40+移出入推計WS!EG40+移出入推計WS!EH40</f>
        <v>219692</v>
      </c>
      <c r="Q39" s="75">
        <f>移出入推計WS!EO40+移出入推計WS!EQ40+移出入推計WS!ER40</f>
        <v>213102</v>
      </c>
      <c r="R39" s="453">
        <f>移出入推計WS!EY40</f>
        <v>211218</v>
      </c>
      <c r="S39" s="453">
        <f>移出入推計WS!FI40</f>
        <v>201909</v>
      </c>
      <c r="T39" s="1071">
        <f>移出入推計WS!FT40</f>
        <v>209204</v>
      </c>
      <c r="U39" s="1071">
        <f>移出入推計WS!GD40</f>
        <v>223615</v>
      </c>
      <c r="V39" s="1071">
        <f>移出入推計WS!GN40</f>
        <v>207420</v>
      </c>
      <c r="W39" s="1071">
        <f>移出入推計WS!GX40</f>
        <v>211859</v>
      </c>
      <c r="X39" s="1071">
        <f>移出入推計WS!HH40</f>
        <v>216131</v>
      </c>
      <c r="Y39" s="588">
        <f>(純移出入!U39-純移出入!T39)/ABS(純移出入!T39)*100</f>
        <v>-25.255241291470394</v>
      </c>
      <c r="Z39" s="588">
        <f>(純移出入!V39-純移出入!U39)/ABS(純移出入!U39)*100</f>
        <v>-77.869140677828568</v>
      </c>
    </row>
    <row r="40" spans="1:26">
      <c r="A40" s="730">
        <v>365</v>
      </c>
      <c r="B40" s="730" t="s">
        <v>331</v>
      </c>
      <c r="C40" s="797">
        <f>移出入推計WS!E41+移出入推計WS!G41+移出入推計WS!H41</f>
        <v>61922</v>
      </c>
      <c r="D40" s="797">
        <f>移出入推計WS!O41+移出入推計WS!Q41+移出入推計WS!R41</f>
        <v>64655</v>
      </c>
      <c r="E40" s="737">
        <f>移出入推計WS!Y41+移出入推計WS!AA41+移出入推計WS!AB41</f>
        <v>60207</v>
      </c>
      <c r="F40" s="737">
        <f>移出入推計WS!AI41+移出入推計WS!AK41+移出入推計WS!AL41</f>
        <v>50990</v>
      </c>
      <c r="G40" s="740">
        <f>移出入推計WS!AS41+移出入推計WS!AU41+移出入推計WS!AV41</f>
        <v>53812</v>
      </c>
      <c r="H40" s="740">
        <f>移出入推計WS!BC41+移出入推計WS!BE41+移出入推計WS!BF41</f>
        <v>57259</v>
      </c>
      <c r="I40" s="737">
        <f>移出入推計WS!BM41+移出入推計WS!BO41+移出入推計WS!BP41</f>
        <v>54680</v>
      </c>
      <c r="J40" s="737">
        <f>移出入推計WS!BW41+移出入推計WS!BY41+移出入推計WS!BZ41</f>
        <v>56098</v>
      </c>
      <c r="K40" s="75">
        <f>移出入推計WS!CG41+移出入推計WS!CI41+移出入推計WS!CJ41</f>
        <v>58234</v>
      </c>
      <c r="L40" s="75">
        <f>移出入推計WS!CQ41+移出入推計WS!CS41+移出入推計WS!CT41</f>
        <v>58065</v>
      </c>
      <c r="M40" s="75">
        <f>移出入推計WS!DA41+移出入推計WS!DC41+移出入推計WS!DD41</f>
        <v>57469</v>
      </c>
      <c r="N40" s="75">
        <f>移出入推計WS!DK41+移出入推計WS!DM41+移出入推計WS!DN41</f>
        <v>59251</v>
      </c>
      <c r="O40" s="132">
        <f>移出入推計WS!DU41+移出入推計WS!DW41+移出入推計WS!DX41</f>
        <v>57971</v>
      </c>
      <c r="P40" s="75">
        <f>移出入推計WS!EE41+移出入推計WS!EG41+移出入推計WS!EH41</f>
        <v>56503</v>
      </c>
      <c r="Q40" s="132">
        <f>移出入推計WS!EO41+移出入推計WS!EQ41+移出入推計WS!ER41</f>
        <v>53365</v>
      </c>
      <c r="R40" s="450">
        <f>移出入推計WS!EY41</f>
        <v>54295</v>
      </c>
      <c r="S40" s="450">
        <f>移出入推計WS!FI41</f>
        <v>59443</v>
      </c>
      <c r="T40" s="1071">
        <f>移出入推計WS!FT41</f>
        <v>68553</v>
      </c>
      <c r="U40" s="2240">
        <f>移出入推計WS!GD41</f>
        <v>73276</v>
      </c>
      <c r="V40" s="1071">
        <f>移出入推計WS!GN41</f>
        <v>76689</v>
      </c>
      <c r="W40" s="1601">
        <f>移出入推計WS!GX41</f>
        <v>79556</v>
      </c>
      <c r="X40" s="1601">
        <f>移出入推計WS!HH41</f>
        <v>82774</v>
      </c>
      <c r="Y40" s="588">
        <f>(純移出入!U40-純移出入!T40)/ABS(純移出入!T40)*100</f>
        <v>-143.05476163255972</v>
      </c>
      <c r="Z40" s="588">
        <f>(純移出入!V40-純移出入!U40)/ABS(純移出入!U40)*100</f>
        <v>180.35050451407329</v>
      </c>
    </row>
    <row r="41" spans="1:26">
      <c r="A41" s="728">
        <v>5</v>
      </c>
      <c r="B41" s="728" t="s">
        <v>326</v>
      </c>
      <c r="C41" s="728">
        <f>移出入推計WS!E42+移出入推計WS!G42+移出入推計WS!H42</f>
        <v>2254267</v>
      </c>
      <c r="D41" s="728">
        <f>移出入推計WS!O42+移出入推計WS!Q42+移出入推計WS!R42</f>
        <v>2382272</v>
      </c>
      <c r="E41" s="739">
        <f>移出入推計WS!Y42+移出入推計WS!AA42+移出入推計WS!AB42</f>
        <v>2348230</v>
      </c>
      <c r="F41" s="739">
        <f>移出入推計WS!AI42+移出入推計WS!AK42+移出入推計WS!AL42</f>
        <v>1958260</v>
      </c>
      <c r="G41" s="739">
        <f>移出入推計WS!AS42+移出入推計WS!AU42+移出入推計WS!AV42</f>
        <v>2136751</v>
      </c>
      <c r="H41" s="739">
        <f>移出入推計WS!BC42+移出入推計WS!BE42+移出入推計WS!BF42</f>
        <v>2002019</v>
      </c>
      <c r="I41" s="739">
        <f>移出入推計WS!BM42+移出入推計WS!BO42+移出入推計WS!BP42</f>
        <v>1916893</v>
      </c>
      <c r="J41" s="739">
        <f>移出入推計WS!BW42+移出入推計WS!BY42+移出入推計WS!BZ42</f>
        <v>2067254</v>
      </c>
      <c r="K41" s="130">
        <f>移出入推計WS!CG42+移出入推計WS!CI42+移出入推計WS!CJ42</f>
        <v>2155348</v>
      </c>
      <c r="L41" s="130">
        <f>移出入推計WS!CQ42+移出入推計WS!CS42+移出入推計WS!CT42</f>
        <v>2139029</v>
      </c>
      <c r="M41" s="130">
        <f>移出入推計WS!DA42+移出入推計WS!DC42+移出入推計WS!DD42</f>
        <v>2116290</v>
      </c>
      <c r="N41" s="130">
        <f>移出入推計WS!DK42+移出入推計WS!DM42+移出入推計WS!DN42</f>
        <v>2193713</v>
      </c>
      <c r="O41" s="75">
        <f>移出入推計WS!DU42+移出入推計WS!DW42+移出入推計WS!DX42</f>
        <v>2218878</v>
      </c>
      <c r="P41" s="130">
        <f>移出入推計WS!EE42+移出入推計WS!EG42+移出入推計WS!EH42</f>
        <v>2158148</v>
      </c>
      <c r="Q41" s="75">
        <f>移出入推計WS!EO42+移出入推計WS!EQ42+移出入推計WS!ER42</f>
        <v>1965496</v>
      </c>
      <c r="R41" s="453">
        <f>移出入推計WS!EY42</f>
        <v>2220516</v>
      </c>
      <c r="S41" s="453">
        <f>移出入推計WS!FI42</f>
        <v>2354303</v>
      </c>
      <c r="T41" s="1072">
        <f>移出入推計WS!FT42</f>
        <v>2387778</v>
      </c>
      <c r="U41" s="1071">
        <f>移出入推計WS!GD42</f>
        <v>2552269</v>
      </c>
      <c r="V41" s="1072">
        <f>移出入推計WS!GN42</f>
        <v>2485210</v>
      </c>
      <c r="W41" s="1072">
        <f>移出入推計WS!GX42</f>
        <v>2536427</v>
      </c>
      <c r="X41" s="1071">
        <f>移出入推計WS!HH42</f>
        <v>2599253</v>
      </c>
      <c r="Y41" s="588">
        <f>(純移出入!U41-純移出入!T41)/ABS(純移出入!T41)*100</f>
        <v>1098.7901883162529</v>
      </c>
      <c r="Z41" s="588">
        <f>(純移出入!V41-純移出入!U41)/ABS(純移出入!U41)*100</f>
        <v>-63.683541818693669</v>
      </c>
    </row>
    <row r="42" spans="1:26">
      <c r="A42" s="730">
        <v>201</v>
      </c>
      <c r="B42" s="730" t="s">
        <v>332</v>
      </c>
      <c r="C42" s="730">
        <f>移出入推計WS!E43+移出入推計WS!G43+移出入推計WS!H43</f>
        <v>2057215</v>
      </c>
      <c r="D42" s="730">
        <f>移出入推計WS!O43+移出入推計WS!Q43+移出入推計WS!R43</f>
        <v>2173583</v>
      </c>
      <c r="E42" s="737">
        <f>移出入推計WS!Y43+移出入推計WS!AA43+移出入推計WS!AB43</f>
        <v>2152569</v>
      </c>
      <c r="F42" s="737">
        <f>移出入推計WS!AI43+移出入推計WS!AK43+移出入推計WS!AL43</f>
        <v>1784304</v>
      </c>
      <c r="G42" s="737">
        <f>移出入推計WS!AS43+移出入推計WS!AU43+移出入推計WS!AV43</f>
        <v>1948231</v>
      </c>
      <c r="H42" s="737">
        <f>移出入推計WS!BC43+移出入推計WS!BE43+移出入推計WS!BF43</f>
        <v>1817009</v>
      </c>
      <c r="I42" s="737">
        <f>移出入推計WS!BM43+移出入推計WS!BO43+移出入推計WS!BP43</f>
        <v>1743813</v>
      </c>
      <c r="J42" s="737">
        <f>移出入推計WS!BW43+移出入推計WS!BY43+移出入推計WS!BZ43</f>
        <v>1875350</v>
      </c>
      <c r="K42" s="75">
        <f>移出入推計WS!CG43+移出入推計WS!CI43+移出入推計WS!CJ43</f>
        <v>1957924</v>
      </c>
      <c r="L42" s="75">
        <f>移出入推計WS!CQ43+移出入推計WS!CS43+移出入推計WS!CT43</f>
        <v>1942188</v>
      </c>
      <c r="M42" s="75">
        <f>移出入推計WS!DA43+移出入推計WS!DC43+移出入推計WS!DD43</f>
        <v>1914652</v>
      </c>
      <c r="N42" s="75">
        <f>移出入推計WS!DK43+移出入推計WS!DM43+移出入推計WS!DN43</f>
        <v>1979248</v>
      </c>
      <c r="O42" s="75">
        <f>移出入推計WS!DU43+移出入推計WS!DW43+移出入推計WS!DX43</f>
        <v>2002600</v>
      </c>
      <c r="P42" s="75">
        <f>移出入推計WS!EE43+移出入推計WS!EG43+移出入推計WS!EH43</f>
        <v>1946533</v>
      </c>
      <c r="Q42" s="75">
        <f>移出入推計WS!EO43+移出入推計WS!EQ43+移出入推計WS!ER43</f>
        <v>1777161</v>
      </c>
      <c r="R42" s="453">
        <f>移出入推計WS!EY43</f>
        <v>2021809</v>
      </c>
      <c r="S42" s="453">
        <f>移出入推計WS!FI43</f>
        <v>2138044</v>
      </c>
      <c r="T42" s="1071">
        <f>移出入推計WS!FT43</f>
        <v>2177929</v>
      </c>
      <c r="U42" s="1071">
        <f>移出入推計WS!GD43</f>
        <v>2327963</v>
      </c>
      <c r="V42" s="1071">
        <f>移出入推計WS!GN43</f>
        <v>2280618</v>
      </c>
      <c r="W42" s="1071">
        <f>移出入推計WS!GX43</f>
        <v>2328794</v>
      </c>
      <c r="X42" s="1071">
        <f>移出入推計WS!HH43</f>
        <v>2387047</v>
      </c>
      <c r="Y42" s="588">
        <f>(純移出入!U42-純移出入!T42)/ABS(純移出入!T42)*100</f>
        <v>386.0030706243603</v>
      </c>
      <c r="Z42" s="588">
        <f>(純移出入!V42-純移出入!U42)/ABS(純移出入!U42)*100</f>
        <v>-63.411063303699969</v>
      </c>
    </row>
    <row r="43" spans="1:26">
      <c r="A43" s="730">
        <v>442</v>
      </c>
      <c r="B43" s="730" t="s">
        <v>203</v>
      </c>
      <c r="C43" s="730">
        <f>移出入推計WS!E44+移出入推計WS!G44+移出入推計WS!H44</f>
        <v>38801</v>
      </c>
      <c r="D43" s="730">
        <f>移出入推計WS!O44+移出入推計WS!Q44+移出入推計WS!R44</f>
        <v>39390</v>
      </c>
      <c r="E43" s="737">
        <f>移出入推計WS!Y44+移出入推計WS!AA44+移出入推計WS!AB44</f>
        <v>36033</v>
      </c>
      <c r="F43" s="737">
        <f>移出入推計WS!AI44+移出入推計WS!AK44+移出入推計WS!AL44</f>
        <v>30966</v>
      </c>
      <c r="G43" s="737">
        <f>移出入推計WS!AS44+移出入推計WS!AU44+移出入推計WS!AV44</f>
        <v>30111</v>
      </c>
      <c r="H43" s="737">
        <f>移出入推計WS!BC44+移出入推計WS!BE44+移出入推計WS!BF44</f>
        <v>29001</v>
      </c>
      <c r="I43" s="737">
        <f>移出入推計WS!BM44+移出入推計WS!BO44+移出入推計WS!BP44</f>
        <v>29495</v>
      </c>
      <c r="J43" s="737">
        <f>移出入推計WS!BW44+移出入推計WS!BY44+移出入推計WS!BZ44</f>
        <v>32004</v>
      </c>
      <c r="K43" s="75">
        <f>移出入推計WS!CG44+移出入推計WS!CI44+移出入推計WS!CJ44</f>
        <v>32119</v>
      </c>
      <c r="L43" s="75">
        <f>移出入推計WS!CQ44+移出入推計WS!CS44+移出入推計WS!CT44</f>
        <v>31370</v>
      </c>
      <c r="M43" s="75">
        <f>移出入推計WS!DA44+移出入推計WS!DC44+移出入推計WS!DD44</f>
        <v>32003</v>
      </c>
      <c r="N43" s="75">
        <f>移出入推計WS!DK44+移出入推計WS!DM44+移出入推計WS!DN44</f>
        <v>32823</v>
      </c>
      <c r="O43" s="75">
        <f>移出入推計WS!DU44+移出入推計WS!DW44+移出入推計WS!DX44</f>
        <v>33858</v>
      </c>
      <c r="P43" s="75">
        <f>移出入推計WS!EE44+移出入推計WS!EG44+移出入推計WS!EH44</f>
        <v>34208</v>
      </c>
      <c r="Q43" s="75">
        <f>移出入推計WS!EO44+移出入推計WS!EQ44+移出入推計WS!ER44</f>
        <v>31021</v>
      </c>
      <c r="R43" s="453">
        <f>移出入推計WS!EY44</f>
        <v>33018</v>
      </c>
      <c r="S43" s="453">
        <f>移出入推計WS!FI44</f>
        <v>34272</v>
      </c>
      <c r="T43" s="1071">
        <f>移出入推計WS!FT44</f>
        <v>42951</v>
      </c>
      <c r="U43" s="1071">
        <f>移出入推計WS!GD44</f>
        <v>45910</v>
      </c>
      <c r="V43" s="1071">
        <f>移出入推計WS!GN44</f>
        <v>49226</v>
      </c>
      <c r="W43" s="1071">
        <f>移出入推計WS!GX44</f>
        <v>48960</v>
      </c>
      <c r="X43" s="1071">
        <f>移出入推計WS!HH44</f>
        <v>49044</v>
      </c>
      <c r="Y43" s="588">
        <f>(純移出入!U43-純移出入!T43)/ABS(純移出入!T43)*100</f>
        <v>-140.92154019655229</v>
      </c>
      <c r="Z43" s="588">
        <f>(純移出入!V43-純移出入!U43)/ABS(純移出入!U43)*100</f>
        <v>176.45669291338584</v>
      </c>
    </row>
    <row r="44" spans="1:26">
      <c r="A44" s="730">
        <v>443</v>
      </c>
      <c r="B44" s="730" t="s">
        <v>204</v>
      </c>
      <c r="C44" s="730">
        <f>移出入推計WS!E45+移出入推計WS!G45+移出入推計WS!H45</f>
        <v>124085</v>
      </c>
      <c r="D44" s="730">
        <f>移出入推計WS!O45+移出入推計WS!Q45+移出入推計WS!R45</f>
        <v>135085</v>
      </c>
      <c r="E44" s="737">
        <f>移出入推計WS!Y45+移出入推計WS!AA45+移出入推計WS!AB45</f>
        <v>127199</v>
      </c>
      <c r="F44" s="737">
        <f>移出入推計WS!AI45+移出入推計WS!AK45+移出入推計WS!AL45</f>
        <v>112627</v>
      </c>
      <c r="G44" s="737">
        <f>移出入推計WS!AS45+移出入推計WS!AU45+移出入推計WS!AV45</f>
        <v>128591</v>
      </c>
      <c r="H44" s="737">
        <f>移出入推計WS!BC45+移出入推計WS!BE45+移出入推計WS!BF45</f>
        <v>128257</v>
      </c>
      <c r="I44" s="737">
        <f>移出入推計WS!BM45+移出入推計WS!BO45+移出入推計WS!BP45</f>
        <v>117624</v>
      </c>
      <c r="J44" s="737">
        <f>移出入推計WS!BW45+移出入推計WS!BY45+移出入推計WS!BZ45</f>
        <v>131810</v>
      </c>
      <c r="K44" s="75">
        <f>移出入推計WS!CG45+移出入推計WS!CI45+移出入推計WS!CJ45</f>
        <v>136468</v>
      </c>
      <c r="L44" s="75">
        <f>移出入推計WS!CQ45+移出入推計WS!CS45+移出入推計WS!CT45</f>
        <v>135439</v>
      </c>
      <c r="M44" s="75">
        <f>移出入推計WS!DA45+移出入推計WS!DC45+移出入推計WS!DD45</f>
        <v>140706</v>
      </c>
      <c r="N44" s="75">
        <f>移出入推計WS!DK45+移出入推計WS!DM45+移出入推計WS!DN45</f>
        <v>151414</v>
      </c>
      <c r="O44" s="75">
        <f>移出入推計WS!DU45+移出入推計WS!DW45+移出入推計WS!DX45</f>
        <v>152028</v>
      </c>
      <c r="P44" s="75">
        <f>移出入推計WS!EE45+移出入推計WS!EG45+移出入推計WS!EH45</f>
        <v>148305</v>
      </c>
      <c r="Q44" s="75">
        <f>移出入推計WS!EO45+移出入推計WS!EQ45+移出入推計WS!ER45</f>
        <v>130188</v>
      </c>
      <c r="R44" s="453">
        <f>移出入推計WS!EY45</f>
        <v>139638</v>
      </c>
      <c r="S44" s="453">
        <f>移出入推計WS!FI45</f>
        <v>152666</v>
      </c>
      <c r="T44" s="1071">
        <f>移出入推計WS!FT45</f>
        <v>122007</v>
      </c>
      <c r="U44" s="1071">
        <f>移出入推計WS!GD45</f>
        <v>130412</v>
      </c>
      <c r="V44" s="1071">
        <f>移出入推計WS!GN45</f>
        <v>99730</v>
      </c>
      <c r="W44" s="1071">
        <f>移出入推計WS!GX45</f>
        <v>101855</v>
      </c>
      <c r="X44" s="1071">
        <f>移出入推計WS!HH45</f>
        <v>104510</v>
      </c>
      <c r="Y44" s="588">
        <f>(純移出入!U44-純移出入!T44)/ABS(純移出入!T44)*100</f>
        <v>-22.095267003447304</v>
      </c>
      <c r="Z44" s="588">
        <f>(純移出入!V44-純移出入!U44)/ABS(純移出入!U44)*100</f>
        <v>-89.051541801180008</v>
      </c>
    </row>
    <row r="45" spans="1:26">
      <c r="A45" s="731">
        <v>446</v>
      </c>
      <c r="B45" s="731" t="s">
        <v>333</v>
      </c>
      <c r="C45" s="731">
        <f>移出入推計WS!E46+移出入推計WS!G46+移出入推計WS!H46</f>
        <v>34166</v>
      </c>
      <c r="D45" s="731">
        <f>移出入推計WS!O46+移出入推計WS!Q46+移出入推計WS!R46</f>
        <v>34214</v>
      </c>
      <c r="E45" s="738">
        <f>移出入推計WS!Y46+移出入推計WS!AA46+移出入推計WS!AB46</f>
        <v>32429</v>
      </c>
      <c r="F45" s="738">
        <f>移出入推計WS!AI46+移出入推計WS!AK46+移出入推計WS!AL46</f>
        <v>30363</v>
      </c>
      <c r="G45" s="738">
        <f>移出入推計WS!AS46+移出入推計WS!AU46+移出入推計WS!AV46</f>
        <v>29818</v>
      </c>
      <c r="H45" s="738">
        <f>移出入推計WS!BC46+移出入推計WS!BE46+移出入推計WS!BF46</f>
        <v>27752</v>
      </c>
      <c r="I45" s="738">
        <f>移出入推計WS!BM46+移出入推計WS!BO46+移出入推計WS!BP46</f>
        <v>25961</v>
      </c>
      <c r="J45" s="738">
        <f>移出入推計WS!BW46+移出入推計WS!BY46+移出入推計WS!BZ46</f>
        <v>28090</v>
      </c>
      <c r="K45" s="132">
        <f>移出入推計WS!CG46+移出入推計WS!CI46+移出入推計WS!CJ46</f>
        <v>28837</v>
      </c>
      <c r="L45" s="132">
        <f>移出入推計WS!CQ46+移出入推計WS!CS46+移出入推計WS!CT46</f>
        <v>30032</v>
      </c>
      <c r="M45" s="132">
        <f>移出入推計WS!DA46+移出入推計WS!DC46+移出入推計WS!DD46</f>
        <v>28929</v>
      </c>
      <c r="N45" s="132">
        <f>移出入推計WS!DK46+移出入推計WS!DM46+移出入推計WS!DN46</f>
        <v>30228</v>
      </c>
      <c r="O45" s="75">
        <f>移出入推計WS!DU46+移出入推計WS!DW46+移出入推計WS!DX46</f>
        <v>30392</v>
      </c>
      <c r="P45" s="132">
        <f>移出入推計WS!EE46+移出入推計WS!EG46+移出入推計WS!EH46</f>
        <v>29102</v>
      </c>
      <c r="Q45" s="75">
        <f>移出入推計WS!EO46+移出入推計WS!EQ46+移出入推計WS!ER46</f>
        <v>27126</v>
      </c>
      <c r="R45" s="453">
        <f>移出入推計WS!EY46</f>
        <v>26051</v>
      </c>
      <c r="S45" s="453">
        <f>移出入推計WS!FI46</f>
        <v>29321</v>
      </c>
      <c r="T45" s="2240">
        <f>移出入推計WS!FT46</f>
        <v>44891</v>
      </c>
      <c r="U45" s="1071">
        <f>移出入推計WS!GD46</f>
        <v>47984</v>
      </c>
      <c r="V45" s="2240">
        <f>移出入推計WS!GN46</f>
        <v>55636</v>
      </c>
      <c r="W45" s="2240">
        <f>移出入推計WS!GX46</f>
        <v>56818</v>
      </c>
      <c r="X45" s="1071">
        <f>移出入推計WS!HH46</f>
        <v>58652</v>
      </c>
      <c r="Y45" s="588">
        <f>(純移出入!U45-純移出入!T45)/ABS(純移出入!T45)*100</f>
        <v>-240.89466525615836</v>
      </c>
      <c r="Z45" s="588">
        <f>(純移出入!V45-純移出入!U45)/ABS(純移出入!U45)*100</f>
        <v>123.54392362973292</v>
      </c>
    </row>
    <row r="46" spans="1:26">
      <c r="A46" s="730">
        <v>6</v>
      </c>
      <c r="B46" s="730" t="s">
        <v>327</v>
      </c>
      <c r="C46" s="797">
        <f>移出入推計WS!E47+移出入推計WS!G47+移出入推計WS!H47</f>
        <v>895266</v>
      </c>
      <c r="D46" s="797">
        <f>移出入推計WS!O47+移出入推計WS!Q47+移出入推計WS!R47</f>
        <v>942585</v>
      </c>
      <c r="E46" s="737">
        <f>移出入推計WS!Y47+移出入推計WS!AA47+移出入推計WS!AB47</f>
        <v>871677</v>
      </c>
      <c r="F46" s="737">
        <f>移出入推計WS!AI47+移出入推計WS!AK47+移出入推計WS!AL47</f>
        <v>798385</v>
      </c>
      <c r="G46" s="740">
        <f>移出入推計WS!AS47+移出入推計WS!AU47+移出入推計WS!AV47</f>
        <v>845856</v>
      </c>
      <c r="H46" s="740">
        <f>移出入推計WS!BC47+移出入推計WS!BE47+移出入推計WS!BF47</f>
        <v>826938</v>
      </c>
      <c r="I46" s="737">
        <f>移出入推計WS!BM47+移出入推計WS!BO47+移出入推計WS!BP47</f>
        <v>811936</v>
      </c>
      <c r="J46" s="737">
        <f>移出入推計WS!BW47+移出入推計WS!BY47+移出入推計WS!BZ47</f>
        <v>813267</v>
      </c>
      <c r="K46" s="75">
        <f>移出入推計WS!CG47+移出入推計WS!CI47+移出入推計WS!CJ47</f>
        <v>854400</v>
      </c>
      <c r="L46" s="75">
        <f>移出入推計WS!CQ47+移出入推計WS!CS47+移出入推計WS!CT47</f>
        <v>848601</v>
      </c>
      <c r="M46" s="75">
        <f>移出入推計WS!DA47+移出入推計WS!DC47+移出入推計WS!DD47</f>
        <v>826380</v>
      </c>
      <c r="N46" s="75">
        <f>移出入推計WS!DK47+移出入推計WS!DM47+移出入推計WS!DN47</f>
        <v>883717</v>
      </c>
      <c r="O46" s="130">
        <f>移出入推計WS!DU47+移出入推計WS!DW47+移出入推計WS!DX47</f>
        <v>899875</v>
      </c>
      <c r="P46" s="75">
        <f>移出入推計WS!EE47+移出入推計WS!EG47+移出入推計WS!EH47</f>
        <v>889454</v>
      </c>
      <c r="Q46" s="130">
        <f>移出入推計WS!EO47+移出入推計WS!EQ47+移出入推計WS!ER47</f>
        <v>845511</v>
      </c>
      <c r="R46" s="915">
        <f>移出入推計WS!EY47</f>
        <v>886779</v>
      </c>
      <c r="S46" s="915">
        <f>移出入推計WS!FI47</f>
        <v>900999</v>
      </c>
      <c r="T46" s="1071">
        <f>移出入推計WS!FT47</f>
        <v>1008604</v>
      </c>
      <c r="U46" s="1072">
        <f>移出入推計WS!GD47</f>
        <v>1078085</v>
      </c>
      <c r="V46" s="1071">
        <f>移出入推計WS!GN47</f>
        <v>1025718</v>
      </c>
      <c r="W46" s="1071">
        <f>移出入推計WS!GX47</f>
        <v>1034884</v>
      </c>
      <c r="X46" s="1071">
        <f>移出入推計WS!HH47</f>
        <v>1051123</v>
      </c>
      <c r="Y46" s="588">
        <f>(純移出入!U46-純移出入!T46)/ABS(純移出入!T46)*100</f>
        <v>-29.755778105905684</v>
      </c>
      <c r="Z46" s="588">
        <f>(純移出入!V46-純移出入!U46)/ABS(純移出入!U46)*100</f>
        <v>-64.410983482559061</v>
      </c>
    </row>
    <row r="47" spans="1:26">
      <c r="A47" s="730">
        <v>208</v>
      </c>
      <c r="B47" s="730" t="s">
        <v>206</v>
      </c>
      <c r="C47" s="797">
        <f>移出入推計WS!E48+移出入推計WS!G48+移出入推計WS!H48</f>
        <v>119790</v>
      </c>
      <c r="D47" s="797">
        <f>移出入推計WS!O48+移出入推計WS!Q48+移出入推計WS!R48</f>
        <v>125591</v>
      </c>
      <c r="E47" s="737">
        <f>移出入推計WS!Y48+移出入推計WS!AA48+移出入推計WS!AB48</f>
        <v>117745</v>
      </c>
      <c r="F47" s="737">
        <f>移出入推計WS!AI48+移出入推計WS!AK48+移出入推計WS!AL48</f>
        <v>108680</v>
      </c>
      <c r="G47" s="740">
        <f>移出入推計WS!AS48+移出入推計WS!AU48+移出入推計WS!AV48</f>
        <v>108543</v>
      </c>
      <c r="H47" s="740">
        <f>移出入推計WS!BC48+移出入推計WS!BE48+移出入推計WS!BF48</f>
        <v>85225</v>
      </c>
      <c r="I47" s="737">
        <f>移出入推計WS!BM48+移出入推計WS!BO48+移出入推計WS!BP48</f>
        <v>86457</v>
      </c>
      <c r="J47" s="737">
        <f>移出入推計WS!BW48+移出入推計WS!BY48+移出入推計WS!BZ48</f>
        <v>83249</v>
      </c>
      <c r="K47" s="75">
        <f>移出入推計WS!CG48+移出入推計WS!CI48+移出入推計WS!CJ48</f>
        <v>99544</v>
      </c>
      <c r="L47" s="75">
        <f>移出入推計WS!CQ48+移出入推計WS!CS48+移出入推計WS!CT48</f>
        <v>117665</v>
      </c>
      <c r="M47" s="75">
        <f>移出入推計WS!DA48+移出入推計WS!DC48+移出入推計WS!DD48</f>
        <v>87568</v>
      </c>
      <c r="N47" s="75">
        <f>移出入推計WS!DK48+移出入推計WS!DM48+移出入推計WS!DN48</f>
        <v>97897</v>
      </c>
      <c r="O47" s="75">
        <f>移出入推計WS!DU48+移出入推計WS!DW48+移出入推計WS!DX48</f>
        <v>115293</v>
      </c>
      <c r="P47" s="75">
        <f>移出入推計WS!EE48+移出入推計WS!EG48+移出入推計WS!EH48</f>
        <v>118334</v>
      </c>
      <c r="Q47" s="75">
        <f>移出入推計WS!EO48+移出入推計WS!EQ48+移出入推計WS!ER48</f>
        <v>130274</v>
      </c>
      <c r="R47" s="453">
        <f>移出入推計WS!EY48</f>
        <v>142545</v>
      </c>
      <c r="S47" s="453">
        <f>移出入推計WS!FI48</f>
        <v>156050</v>
      </c>
      <c r="T47" s="1071">
        <f>移出入推計WS!FT48</f>
        <v>131955</v>
      </c>
      <c r="U47" s="1071">
        <f>移出入推計WS!GD48</f>
        <v>141045</v>
      </c>
      <c r="V47" s="1071">
        <f>移出入推計WS!GN48</f>
        <v>113761</v>
      </c>
      <c r="W47" s="1071">
        <f>移出入推計WS!GX48</f>
        <v>113453</v>
      </c>
      <c r="X47" s="1071">
        <f>移出入推計WS!HH48</f>
        <v>114091</v>
      </c>
      <c r="Y47" s="588">
        <f>(純移出入!U47-純移出入!T47)/ABS(純移出入!T47)*100</f>
        <v>-13.543322734499204</v>
      </c>
      <c r="Z47" s="588">
        <f>(純移出入!V47-純移出入!U47)/ABS(純移出入!U47)*100</f>
        <v>-87.10493046776233</v>
      </c>
    </row>
    <row r="48" spans="1:26">
      <c r="A48" s="730">
        <v>212</v>
      </c>
      <c r="B48" s="730" t="s">
        <v>207</v>
      </c>
      <c r="C48" s="797">
        <f>移出入推計WS!E49+移出入推計WS!G49+移出入推計WS!H49</f>
        <v>177242</v>
      </c>
      <c r="D48" s="797">
        <f>移出入推計WS!O49+移出入推計WS!Q49+移出入推計WS!R49</f>
        <v>181514</v>
      </c>
      <c r="E48" s="737">
        <f>移出入推計WS!Y49+移出入推計WS!AA49+移出入推計WS!AB49</f>
        <v>168207</v>
      </c>
      <c r="F48" s="737">
        <f>移出入推計WS!AI49+移出入推計WS!AK49+移出入推計WS!AL49</f>
        <v>164768</v>
      </c>
      <c r="G48" s="740">
        <f>移出入推計WS!AS49+移出入推計WS!AU49+移出入推計WS!AV49</f>
        <v>182121</v>
      </c>
      <c r="H48" s="740">
        <f>移出入推計WS!BC49+移出入推計WS!BE49+移出入推計WS!BF49</f>
        <v>180112</v>
      </c>
      <c r="I48" s="737">
        <f>移出入推計WS!BM49+移出入推計WS!BO49+移出入推計WS!BP49</f>
        <v>178764</v>
      </c>
      <c r="J48" s="737">
        <f>移出入推計WS!BW49+移出入推計WS!BY49+移出入推計WS!BZ49</f>
        <v>184491</v>
      </c>
      <c r="K48" s="75">
        <f>移出入推計WS!CG49+移出入推計WS!CI49+移出入推計WS!CJ49</f>
        <v>186273</v>
      </c>
      <c r="L48" s="75">
        <f>移出入推計WS!CQ49+移出入推計WS!CS49+移出入推計WS!CT49</f>
        <v>188093</v>
      </c>
      <c r="M48" s="75">
        <f>移出入推計WS!DA49+移出入推計WS!DC49+移出入推計WS!DD49</f>
        <v>187591</v>
      </c>
      <c r="N48" s="75">
        <f>移出入推計WS!DK49+移出入推計WS!DM49+移出入推計WS!DN49</f>
        <v>199006</v>
      </c>
      <c r="O48" s="75">
        <f>移出入推計WS!DU49+移出入推計WS!DW49+移出入推計WS!DX49</f>
        <v>196690</v>
      </c>
      <c r="P48" s="75">
        <f>移出入推計WS!EE49+移出入推計WS!EG49+移出入推計WS!EH49</f>
        <v>196417</v>
      </c>
      <c r="Q48" s="75">
        <f>移出入推計WS!EO49+移出入推計WS!EQ49+移出入推計WS!ER49</f>
        <v>184310</v>
      </c>
      <c r="R48" s="453">
        <f>移出入推計WS!EY49</f>
        <v>182750</v>
      </c>
      <c r="S48" s="453">
        <f>移出入推計WS!FI49</f>
        <v>192885</v>
      </c>
      <c r="T48" s="1071">
        <f>移出入推計WS!FT49</f>
        <v>223076</v>
      </c>
      <c r="U48" s="1071">
        <f>移出入推計WS!GD49</f>
        <v>238444</v>
      </c>
      <c r="V48" s="1071">
        <f>移出入推計WS!GN49</f>
        <v>217980</v>
      </c>
      <c r="W48" s="1071">
        <f>移出入推計WS!GX49</f>
        <v>218738</v>
      </c>
      <c r="X48" s="1071">
        <f>移出入推計WS!HH49</f>
        <v>221244</v>
      </c>
      <c r="Y48" s="588">
        <f>(純移出入!U48-純移出入!T48)/ABS(純移出入!T48)*100</f>
        <v>-7.8818362865750906</v>
      </c>
      <c r="Z48" s="588">
        <f>(純移出入!V48-純移出入!U48)/ABS(純移出入!U48)*100</f>
        <v>-76.166190858948426</v>
      </c>
    </row>
    <row r="49" spans="1:26">
      <c r="A49" s="730">
        <v>227</v>
      </c>
      <c r="B49" s="730" t="s">
        <v>219</v>
      </c>
      <c r="C49" s="797">
        <f>移出入推計WS!E50+移出入推計WS!G50+移出入推計WS!H50</f>
        <v>119957</v>
      </c>
      <c r="D49" s="797">
        <f>移出入推計WS!O50+移出入推計WS!Q50+移出入推計WS!R50</f>
        <v>125922</v>
      </c>
      <c r="E49" s="737">
        <f>移出入推計WS!Y50+移出入推計WS!AA50+移出入推計WS!AB50</f>
        <v>114244</v>
      </c>
      <c r="F49" s="737">
        <f>移出入推計WS!AI50+移出入推計WS!AK50+移出入推計WS!AL50</f>
        <v>105066</v>
      </c>
      <c r="G49" s="740">
        <f>移出入推計WS!AS50+移出入推計WS!AU50+移出入推計WS!AV50</f>
        <v>105944</v>
      </c>
      <c r="H49" s="740">
        <f>移出入推計WS!BC50+移出入推計WS!BE50+移出入推計WS!BF50</f>
        <v>103431</v>
      </c>
      <c r="I49" s="737">
        <f>移出入推計WS!BM50+移出入推計WS!BO50+移出入推計WS!BP50</f>
        <v>103644</v>
      </c>
      <c r="J49" s="737">
        <f>移出入推計WS!BW50+移出入推計WS!BY50+移出入推計WS!BZ50</f>
        <v>106579</v>
      </c>
      <c r="K49" s="75">
        <f>移出入推計WS!CG50+移出入推計WS!CI50+移出入推計WS!CJ50</f>
        <v>108510</v>
      </c>
      <c r="L49" s="75">
        <f>移出入推計WS!CQ50+移出入推計WS!CS50+移出入推計WS!CT50</f>
        <v>106249</v>
      </c>
      <c r="M49" s="75">
        <f>移出入推計WS!DA50+移出入推計WS!DC50+移出入推計WS!DD50</f>
        <v>102514</v>
      </c>
      <c r="N49" s="75">
        <f>移出入推計WS!DK50+移出入推計WS!DM50+移出入推計WS!DN50</f>
        <v>103873</v>
      </c>
      <c r="O49" s="75">
        <f>移出入推計WS!DU50+移出入推計WS!DW50+移出入推計WS!DX50</f>
        <v>106850</v>
      </c>
      <c r="P49" s="75">
        <f>移出入推計WS!EE50+移出入推計WS!EG50+移出入推計WS!EH50</f>
        <v>102966</v>
      </c>
      <c r="Q49" s="75">
        <f>移出入推計WS!EO50+移出入推計WS!EQ50+移出入推計WS!ER50</f>
        <v>90915</v>
      </c>
      <c r="R49" s="453">
        <f>移出入推計WS!EY50</f>
        <v>92824</v>
      </c>
      <c r="S49" s="453">
        <f>移出入推計WS!FI50</f>
        <v>97868</v>
      </c>
      <c r="T49" s="1071">
        <f>移出入推計WS!FT50</f>
        <v>131432</v>
      </c>
      <c r="U49" s="1071">
        <f>移出入推計WS!GD50</f>
        <v>140486</v>
      </c>
      <c r="V49" s="1071">
        <f>移出入推計WS!GN50</f>
        <v>136000</v>
      </c>
      <c r="W49" s="1071">
        <f>移出入推計WS!GX50</f>
        <v>134477</v>
      </c>
      <c r="X49" s="1071">
        <f>移出入推計WS!HH50</f>
        <v>133741</v>
      </c>
      <c r="Y49" s="588">
        <f>(純移出入!U49-純移出入!T49)/ABS(純移出入!T49)*100</f>
        <v>-38.24851384659997</v>
      </c>
      <c r="Z49" s="588">
        <f>(純移出入!V49-純移出入!U49)/ABS(純移出入!U49)*100</f>
        <v>-58.010487594897079</v>
      </c>
    </row>
    <row r="50" spans="1:26">
      <c r="A50" s="730">
        <v>229</v>
      </c>
      <c r="B50" s="730" t="s">
        <v>334</v>
      </c>
      <c r="C50" s="797">
        <f>移出入推計WS!E51+移出入推計WS!G51+移出入推計WS!H51</f>
        <v>281302</v>
      </c>
      <c r="D50" s="797">
        <f>移出入推計WS!O51+移出入推計WS!Q51+移出入推計WS!R51</f>
        <v>299543</v>
      </c>
      <c r="E50" s="737">
        <f>移出入推計WS!Y51+移出入推計WS!AA51+移出入推計WS!AB51</f>
        <v>284208</v>
      </c>
      <c r="F50" s="737">
        <f>移出入推計WS!AI51+移出入推計WS!AK51+移出入推計WS!AL51</f>
        <v>247775</v>
      </c>
      <c r="G50" s="740">
        <f>移出入推計WS!AS51+移出入推計WS!AU51+移出入推計WS!AV51</f>
        <v>265757</v>
      </c>
      <c r="H50" s="740">
        <f>移出入推計WS!BC51+移出入推計WS!BE51+移出入推計WS!BF51</f>
        <v>275462</v>
      </c>
      <c r="I50" s="737">
        <f>移出入推計WS!BM51+移出入推計WS!BO51+移出入推計WS!BP51</f>
        <v>268078</v>
      </c>
      <c r="J50" s="737">
        <f>移出入推計WS!BW51+移出入推計WS!BY51+移出入推計WS!BZ51</f>
        <v>272763</v>
      </c>
      <c r="K50" s="75">
        <f>移出入推計WS!CG51+移出入推計WS!CI51+移出入推計WS!CJ51</f>
        <v>279282</v>
      </c>
      <c r="L50" s="75">
        <f>移出入推計WS!CQ51+移出入推計WS!CS51+移出入推計WS!CT51</f>
        <v>287587</v>
      </c>
      <c r="M50" s="75">
        <f>移出入推計WS!DA51+移出入推計WS!DC51+移出入推計WS!DD51</f>
        <v>282862</v>
      </c>
      <c r="N50" s="75">
        <f>移出入推計WS!DK51+移出入推計WS!DM51+移出入推計WS!DN51</f>
        <v>298582</v>
      </c>
      <c r="O50" s="75">
        <f>移出入推計WS!DU51+移出入推計WS!DW51+移出入推計WS!DX51</f>
        <v>293039</v>
      </c>
      <c r="P50" s="75">
        <f>移出入推計WS!EE51+移出入推計WS!EG51+移出入推計WS!EH51</f>
        <v>290640</v>
      </c>
      <c r="Q50" s="75">
        <f>移出入推計WS!EO51+移出入推計WS!EQ51+移出入推計WS!ER51</f>
        <v>264579</v>
      </c>
      <c r="R50" s="453">
        <f>移出入推計WS!EY51</f>
        <v>272385</v>
      </c>
      <c r="S50" s="453">
        <f>移出入推計WS!FI51</f>
        <v>277758</v>
      </c>
      <c r="T50" s="1071">
        <f>移出入推計WS!FT51</f>
        <v>296503</v>
      </c>
      <c r="U50" s="1071">
        <f>移出入推計WS!GD51</f>
        <v>316928</v>
      </c>
      <c r="V50" s="1071">
        <f>移出入推計WS!GN51</f>
        <v>297416</v>
      </c>
      <c r="W50" s="1071">
        <f>移出入推計WS!GX51</f>
        <v>304523</v>
      </c>
      <c r="X50" s="1071">
        <f>移出入推計WS!HH51</f>
        <v>313948</v>
      </c>
      <c r="Y50" s="588">
        <f>(純移出入!U50-純移出入!T50)/ABS(純移出入!T50)*100</f>
        <v>-40.210639606396064</v>
      </c>
      <c r="Z50" s="588">
        <f>(純移出入!V50-純移出入!U50)/ABS(純移出入!U50)*100</f>
        <v>-69.825391519016634</v>
      </c>
    </row>
    <row r="51" spans="1:26">
      <c r="A51" s="730">
        <v>464</v>
      </c>
      <c r="B51" s="730" t="s">
        <v>208</v>
      </c>
      <c r="C51" s="797">
        <f>移出入推計WS!E52+移出入推計WS!G52+移出入推計WS!H52</f>
        <v>93086</v>
      </c>
      <c r="D51" s="797">
        <f>移出入推計WS!O52+移出入推計WS!Q52+移出入推計WS!R52</f>
        <v>102351</v>
      </c>
      <c r="E51" s="737">
        <f>移出入推計WS!Y52+移出入推計WS!AA52+移出入推計WS!AB52</f>
        <v>87265</v>
      </c>
      <c r="F51" s="737">
        <f>移出入推計WS!AI52+移出入推計WS!AK52+移出入推計WS!AL52</f>
        <v>77389</v>
      </c>
      <c r="G51" s="740">
        <f>移出入推計WS!AS52+移出入推計WS!AU52+移出入推計WS!AV52</f>
        <v>86426</v>
      </c>
      <c r="H51" s="740">
        <f>移出入推計WS!BC52+移出入推計WS!BE52+移出入推計WS!BF52</f>
        <v>89717</v>
      </c>
      <c r="I51" s="737">
        <f>移出入推計WS!BM52+移出入推計WS!BO52+移出入推計WS!BP52</f>
        <v>84979</v>
      </c>
      <c r="J51" s="737">
        <f>移出入推計WS!BW52+移出入推計WS!BY52+移出入推計WS!BZ52</f>
        <v>74329</v>
      </c>
      <c r="K51" s="75">
        <f>移出入推計WS!CG52+移出入推計WS!CI52+移出入推計WS!CJ52</f>
        <v>82972</v>
      </c>
      <c r="L51" s="75">
        <f>移出入推計WS!CQ52+移出入推計WS!CS52+移出入推計WS!CT52</f>
        <v>51628</v>
      </c>
      <c r="M51" s="75">
        <f>移出入推計WS!DA52+移出入推計WS!DC52+移出入推計WS!DD52</f>
        <v>68526</v>
      </c>
      <c r="N51" s="75">
        <f>移出入推計WS!DK52+移出入推計WS!DM52+移出入推計WS!DN52</f>
        <v>84838</v>
      </c>
      <c r="O51" s="75">
        <f>移出入推計WS!DU52+移出入推計WS!DW52+移出入推計WS!DX52</f>
        <v>86658</v>
      </c>
      <c r="P51" s="75">
        <f>移出入推計WS!EE52+移出入推計WS!EG52+移出入推計WS!EH52</f>
        <v>82847</v>
      </c>
      <c r="Q51" s="75">
        <f>移出入推計WS!EO52+移出入推計WS!EQ52+移出入推計WS!ER52</f>
        <v>86965</v>
      </c>
      <c r="R51" s="453">
        <f>移出入推計WS!EY52</f>
        <v>104612</v>
      </c>
      <c r="S51" s="453">
        <f>移出入推計WS!FI52</f>
        <v>83718</v>
      </c>
      <c r="T51" s="1071">
        <f>移出入推計WS!FT52</f>
        <v>104043</v>
      </c>
      <c r="U51" s="1071">
        <f>移出入推計WS!GD52</f>
        <v>111211</v>
      </c>
      <c r="V51" s="1071">
        <f>移出入推計WS!GN52</f>
        <v>134558</v>
      </c>
      <c r="W51" s="1071">
        <f>移出入推計WS!GX52</f>
        <v>138961</v>
      </c>
      <c r="X51" s="1071">
        <f>移出入推計WS!HH52</f>
        <v>144311</v>
      </c>
      <c r="Y51" s="588">
        <f>(純移出入!U51-純移出入!T51)/ABS(純移出入!T51)*100</f>
        <v>33.392746435213887</v>
      </c>
      <c r="Z51" s="588">
        <f>(純移出入!V51-純移出入!U51)/ABS(純移出入!U51)*100</f>
        <v>130.87841768470042</v>
      </c>
    </row>
    <row r="52" spans="1:26">
      <c r="A52" s="730">
        <v>481</v>
      </c>
      <c r="B52" s="730" t="s">
        <v>209</v>
      </c>
      <c r="C52" s="797">
        <f>移出入推計WS!E53+移出入推計WS!G53+移出入推計WS!H53</f>
        <v>42980</v>
      </c>
      <c r="D52" s="797">
        <f>移出入推計WS!O53+移出入推計WS!Q53+移出入推計WS!R53</f>
        <v>45609</v>
      </c>
      <c r="E52" s="737">
        <f>移出入推計WS!Y53+移出入推計WS!AA53+移出入推計WS!AB53</f>
        <v>41339</v>
      </c>
      <c r="F52" s="737">
        <f>移出入推計WS!AI53+移出入推計WS!AK53+移出入推計WS!AL53</f>
        <v>37708</v>
      </c>
      <c r="G52" s="740">
        <f>移出入推計WS!AS53+移出入推計WS!AU53+移出入推計WS!AV53</f>
        <v>38826</v>
      </c>
      <c r="H52" s="740">
        <f>移出入推計WS!BC53+移出入推計WS!BE53+移出入推計WS!BF53</f>
        <v>37080</v>
      </c>
      <c r="I52" s="737">
        <f>移出入推計WS!BM53+移出入推計WS!BO53+移出入推計WS!BP53</f>
        <v>36708</v>
      </c>
      <c r="J52" s="737">
        <f>移出入推計WS!BW53+移出入推計WS!BY53+移出入推計WS!BZ53</f>
        <v>37601</v>
      </c>
      <c r="K52" s="75">
        <f>移出入推計WS!CG53+移出入推計WS!CI53+移出入推計WS!CJ53</f>
        <v>42684</v>
      </c>
      <c r="L52" s="75">
        <f>移出入推計WS!CQ53+移出入推計WS!CS53+移出入推計WS!CT53</f>
        <v>42563</v>
      </c>
      <c r="M52" s="75">
        <f>移出入推計WS!DA53+移出入推計WS!DC53+移出入推計WS!DD53</f>
        <v>44506</v>
      </c>
      <c r="N52" s="75">
        <f>移出入推計WS!DK53+移出入推計WS!DM53+移出入推計WS!DN53</f>
        <v>44453</v>
      </c>
      <c r="O52" s="75">
        <f>移出入推計WS!DU53+移出入推計WS!DW53+移出入推計WS!DX53</f>
        <v>44657</v>
      </c>
      <c r="P52" s="75">
        <f>移出入推計WS!EE53+移出入推計WS!EG53+移出入推計WS!EH53</f>
        <v>42956</v>
      </c>
      <c r="Q52" s="75">
        <f>移出入推計WS!EO53+移出入推計WS!EQ53+移出入推計WS!ER53</f>
        <v>39657</v>
      </c>
      <c r="R52" s="453">
        <f>移出入推計WS!EY53</f>
        <v>42956</v>
      </c>
      <c r="S52" s="453">
        <f>移出入推計WS!FI53</f>
        <v>42376</v>
      </c>
      <c r="T52" s="1071">
        <f>移出入推計WS!FT53</f>
        <v>54757</v>
      </c>
      <c r="U52" s="1071">
        <f>移出入推計WS!GD53</f>
        <v>58529</v>
      </c>
      <c r="V52" s="1071">
        <f>移出入推計WS!GN53</f>
        <v>61158</v>
      </c>
      <c r="W52" s="1071">
        <f>移出入推計WS!GX53</f>
        <v>61006</v>
      </c>
      <c r="X52" s="1071">
        <f>移出入推計WS!HH53</f>
        <v>60918</v>
      </c>
      <c r="Y52" s="588">
        <f>(純移出入!U52-純移出入!T52)/ABS(純移出入!T52)*100</f>
        <v>-123.18590186592951</v>
      </c>
      <c r="Z52" s="588">
        <f>(純移出入!V52-純移出入!U52)/ABS(純移出入!U52)*100</f>
        <v>219.82116244411327</v>
      </c>
    </row>
    <row r="53" spans="1:26">
      <c r="A53" s="730">
        <v>501</v>
      </c>
      <c r="B53" s="730" t="s">
        <v>335</v>
      </c>
      <c r="C53" s="797">
        <f>移出入推計WS!E54+移出入推計WS!G54+移出入推計WS!H54</f>
        <v>60909</v>
      </c>
      <c r="D53" s="797">
        <f>移出入推計WS!O54+移出入推計WS!Q54+移出入推計WS!R54</f>
        <v>62055</v>
      </c>
      <c r="E53" s="737">
        <f>移出入推計WS!Y54+移出入推計WS!AA54+移出入推計WS!AB54</f>
        <v>58669</v>
      </c>
      <c r="F53" s="737">
        <f>移出入推計WS!AI54+移出入推計WS!AK54+移出入推計WS!AL54</f>
        <v>56999</v>
      </c>
      <c r="G53" s="740">
        <f>移出入推計WS!AS54+移出入推計WS!AU54+移出入推計WS!AV54</f>
        <v>58239</v>
      </c>
      <c r="H53" s="740">
        <f>移出入推計WS!BC54+移出入推計WS!BE54+移出入推計WS!BF54</f>
        <v>55911</v>
      </c>
      <c r="I53" s="737">
        <f>移出入推計WS!BM54+移出入推計WS!BO54+移出入推計WS!BP54</f>
        <v>53306</v>
      </c>
      <c r="J53" s="737">
        <f>移出入推計WS!BW54+移出入推計WS!BY54+移出入推計WS!BZ54</f>
        <v>54255</v>
      </c>
      <c r="K53" s="75">
        <f>移出入推計WS!CG54+移出入推計WS!CI54+移出入推計WS!CJ54</f>
        <v>55135</v>
      </c>
      <c r="L53" s="75">
        <f>移出入推計WS!CQ54+移出入推計WS!CS54+移出入推計WS!CT54</f>
        <v>54816</v>
      </c>
      <c r="M53" s="75">
        <f>移出入推計WS!DA54+移出入推計WS!DC54+移出入推計WS!DD54</f>
        <v>52813</v>
      </c>
      <c r="N53" s="75">
        <f>移出入推計WS!DK54+移出入推計WS!DM54+移出入推計WS!DN54</f>
        <v>55068</v>
      </c>
      <c r="O53" s="132">
        <f>移出入推計WS!DU54+移出入推計WS!DW54+移出入推計WS!DX54</f>
        <v>56688</v>
      </c>
      <c r="P53" s="75">
        <f>移出入推計WS!EE54+移出入推計WS!EG54+移出入推計WS!EH54</f>
        <v>55294</v>
      </c>
      <c r="Q53" s="132">
        <f>移出入推計WS!EO54+移出入推計WS!EQ54+移出入推計WS!ER54</f>
        <v>48811</v>
      </c>
      <c r="R53" s="450">
        <f>移出入推計WS!EY54</f>
        <v>48707</v>
      </c>
      <c r="S53" s="450">
        <f>移出入推計WS!FI54</f>
        <v>50344</v>
      </c>
      <c r="T53" s="1071">
        <f>移出入推計WS!FT54</f>
        <v>66838</v>
      </c>
      <c r="U53" s="2240">
        <f>移出入推計WS!GD54</f>
        <v>71442</v>
      </c>
      <c r="V53" s="1071">
        <f>移出入推計WS!GN54</f>
        <v>64845</v>
      </c>
      <c r="W53" s="1071">
        <f>移出入推計WS!GX54</f>
        <v>63726</v>
      </c>
      <c r="X53" s="1071">
        <f>移出入推計WS!HH54</f>
        <v>62870</v>
      </c>
      <c r="Y53" s="588">
        <f>(純移出入!U53-純移出入!T53)/ABS(純移出入!T53)*100</f>
        <v>-25.155414196906172</v>
      </c>
      <c r="Z53" s="588">
        <f>(純移出入!V53-純移出入!U53)/ABS(純移出入!U53)*100</f>
        <v>-75.294572146030532</v>
      </c>
    </row>
    <row r="54" spans="1:26">
      <c r="A54" s="728">
        <v>7</v>
      </c>
      <c r="B54" s="728" t="s">
        <v>210</v>
      </c>
      <c r="C54" s="728">
        <f>移出入推計WS!E55+移出入推計WS!G55+移出入推計WS!H55</f>
        <v>593471</v>
      </c>
      <c r="D54" s="728">
        <f>移出入推計WS!O55+移出入推計WS!Q55+移出入推計WS!R55</f>
        <v>619061</v>
      </c>
      <c r="E54" s="739">
        <f>移出入推計WS!Y55+移出入推計WS!AA55+移出入推計WS!AB55</f>
        <v>567180</v>
      </c>
      <c r="F54" s="739">
        <f>移出入推計WS!AI55+移出入推計WS!AK55+移出入推計WS!AL55</f>
        <v>517745</v>
      </c>
      <c r="G54" s="739">
        <f>移出入推計WS!AS55+移出入推計WS!AU55+移出入推計WS!AV55</f>
        <v>532456</v>
      </c>
      <c r="H54" s="739">
        <f>移出入推計WS!BC55+移出入推計WS!BE55+移出入推計WS!BF55</f>
        <v>512434</v>
      </c>
      <c r="I54" s="739">
        <f>移出入推計WS!BM55+移出入推計WS!BO55+移出入推計WS!BP55</f>
        <v>507591</v>
      </c>
      <c r="J54" s="739">
        <f>移出入推計WS!BW55+移出入推計WS!BY55+移出入推計WS!BZ55</f>
        <v>536308</v>
      </c>
      <c r="K54" s="130">
        <f>移出入推計WS!CG55+移出入推計WS!CI55+移出入推計WS!CJ55</f>
        <v>553344</v>
      </c>
      <c r="L54" s="130">
        <f>移出入推計WS!CQ55+移出入推計WS!CS55+移出入推計WS!CT55</f>
        <v>546759</v>
      </c>
      <c r="M54" s="130">
        <f>移出入推計WS!DA55+移出入推計WS!DC55+移出入推計WS!DD55</f>
        <v>525653</v>
      </c>
      <c r="N54" s="130">
        <f>移出入推計WS!DK55+移出入推計WS!DM55+移出入推計WS!DN55</f>
        <v>547788</v>
      </c>
      <c r="O54" s="75">
        <f>移出入推計WS!DU55+移出入推計WS!DW55+移出入推計WS!DX55</f>
        <v>544355</v>
      </c>
      <c r="P54" s="130">
        <f>移出入推計WS!EE55+移出入推計WS!EG55+移出入推計WS!EH55</f>
        <v>543253</v>
      </c>
      <c r="Q54" s="75">
        <f>移出入推計WS!EO55+移出入推計WS!EQ55+移出入推計WS!ER55</f>
        <v>512114</v>
      </c>
      <c r="R54" s="453">
        <f>移出入推計WS!EY55</f>
        <v>475533</v>
      </c>
      <c r="S54" s="453">
        <f>移出入推計WS!FI55</f>
        <v>481605</v>
      </c>
      <c r="T54" s="1072">
        <f>移出入推計WS!FT55</f>
        <v>686616</v>
      </c>
      <c r="U54" s="1071">
        <f>移出入推計WS!GD55</f>
        <v>733915</v>
      </c>
      <c r="V54" s="1072">
        <f>移出入推計WS!GN55</f>
        <v>705013</v>
      </c>
      <c r="W54" s="1072">
        <f>移出入推計WS!GX55</f>
        <v>696777</v>
      </c>
      <c r="X54" s="1071">
        <f>移出入推計WS!HH55</f>
        <v>692168</v>
      </c>
      <c r="Y54" s="588">
        <f>(純移出入!U54-純移出入!T54)/ABS(純移出入!T54)*100</f>
        <v>-38.362678318982134</v>
      </c>
      <c r="Z54" s="588">
        <f>(純移出入!V54-純移出入!U54)/ABS(純移出入!U54)*100</f>
        <v>-63.753648874061717</v>
      </c>
    </row>
    <row r="55" spans="1:26">
      <c r="A55" s="730">
        <v>209</v>
      </c>
      <c r="B55" s="730" t="s">
        <v>336</v>
      </c>
      <c r="C55" s="730">
        <f>移出入推計WS!E56+移出入推計WS!G56+移出入推計WS!H56</f>
        <v>285659</v>
      </c>
      <c r="D55" s="730">
        <f>移出入推計WS!O56+移出入推計WS!Q56+移出入推計WS!R56</f>
        <v>297201</v>
      </c>
      <c r="E55" s="737">
        <f>移出入推計WS!Y56+移出入推計WS!AA56+移出入推計WS!AB56</f>
        <v>274919</v>
      </c>
      <c r="F55" s="737">
        <f>移出入推計WS!AI56+移出入推計WS!AK56+移出入推計WS!AL56</f>
        <v>252654</v>
      </c>
      <c r="G55" s="737">
        <f>移出入推計WS!AS56+移出入推計WS!AU56+移出入推計WS!AV56</f>
        <v>258051</v>
      </c>
      <c r="H55" s="737">
        <f>移出入推計WS!BC56+移出入推計WS!BE56+移出入推計WS!BF56</f>
        <v>244196</v>
      </c>
      <c r="I55" s="737">
        <f>移出入推計WS!BM56+移出入推計WS!BO56+移出入推計WS!BP56</f>
        <v>244718</v>
      </c>
      <c r="J55" s="737">
        <f>移出入推計WS!BW56+移出入推計WS!BY56+移出入推計WS!BZ56</f>
        <v>260841</v>
      </c>
      <c r="K55" s="75">
        <f>移出入推計WS!CG56+移出入推計WS!CI56+移出入推計WS!CJ56</f>
        <v>263404</v>
      </c>
      <c r="L55" s="75">
        <f>移出入推計WS!CQ56+移出入推計WS!CS56+移出入推計WS!CT56</f>
        <v>265123</v>
      </c>
      <c r="M55" s="75">
        <f>移出入推計WS!DA56+移出入推計WS!DC56+移出入推計WS!DD56</f>
        <v>257836</v>
      </c>
      <c r="N55" s="75">
        <f>移出入推計WS!DK56+移出入推計WS!DM56+移出入推計WS!DN56</f>
        <v>265035</v>
      </c>
      <c r="O55" s="75">
        <f>移出入推計WS!DU56+移出入推計WS!DW56+移出入推計WS!DX56</f>
        <v>267341</v>
      </c>
      <c r="P55" s="75">
        <f>移出入推計WS!EE56+移出入推計WS!EG56+移出入推計WS!EH56</f>
        <v>263778</v>
      </c>
      <c r="Q55" s="75">
        <f>移出入推計WS!EO56+移出入推計WS!EQ56+移出入推計WS!ER56</f>
        <v>235866</v>
      </c>
      <c r="R55" s="453">
        <f>移出入推計WS!EY56</f>
        <v>235086</v>
      </c>
      <c r="S55" s="453">
        <f>移出入推計WS!FI56</f>
        <v>241559</v>
      </c>
      <c r="T55" s="1071">
        <f>移出入推計WS!FT56</f>
        <v>314916</v>
      </c>
      <c r="U55" s="1071">
        <f>移出入推計WS!GD56</f>
        <v>336610</v>
      </c>
      <c r="V55" s="1071">
        <f>移出入推計WS!GN56</f>
        <v>327357</v>
      </c>
      <c r="W55" s="1071">
        <f>移出入推計WS!GX56</f>
        <v>323193</v>
      </c>
      <c r="X55" s="1071">
        <f>移出入推計WS!HH56</f>
        <v>322637</v>
      </c>
      <c r="Y55" s="588">
        <f>(純移出入!U55-純移出入!T55)/ABS(純移出入!T55)*100</f>
        <v>-33.078983683740567</v>
      </c>
      <c r="Z55" s="588">
        <f>(純移出入!V55-純移出入!U55)/ABS(純移出入!U55)*100</f>
        <v>-60.835152838427952</v>
      </c>
    </row>
    <row r="56" spans="1:26">
      <c r="A56" s="730">
        <v>222</v>
      </c>
      <c r="B56" s="730" t="s">
        <v>337</v>
      </c>
      <c r="C56" s="730">
        <f>移出入推計WS!E57+移出入推計WS!G57+移出入推計WS!H57</f>
        <v>87357</v>
      </c>
      <c r="D56" s="730">
        <f>移出入推計WS!O57+移出入推計WS!Q57+移出入推計WS!R57</f>
        <v>87163</v>
      </c>
      <c r="E56" s="737">
        <f>移出入推計WS!Y57+移出入推計WS!AA57+移出入推計WS!AB57</f>
        <v>79298</v>
      </c>
      <c r="F56" s="737">
        <f>移出入推計WS!AI57+移出入推計WS!AK57+移出入推計WS!AL57</f>
        <v>66707</v>
      </c>
      <c r="G56" s="737">
        <f>移出入推計WS!AS57+移出入推計WS!AU57+移出入推計WS!AV57</f>
        <v>72025</v>
      </c>
      <c r="H56" s="737">
        <f>移出入推計WS!BC57+移出入推計WS!BE57+移出入推計WS!BF57</f>
        <v>76896</v>
      </c>
      <c r="I56" s="737">
        <f>移出入推計WS!BM57+移出入推計WS!BO57+移出入推計WS!BP57</f>
        <v>76752</v>
      </c>
      <c r="J56" s="737">
        <f>移出入推計WS!BW57+移出入推計WS!BY57+移出入推計WS!BZ57</f>
        <v>79397</v>
      </c>
      <c r="K56" s="75">
        <f>移出入推計WS!CG57+移出入推計WS!CI57+移出入推計WS!CJ57</f>
        <v>82160</v>
      </c>
      <c r="L56" s="75">
        <f>移出入推計WS!CQ57+移出入推計WS!CS57+移出入推計WS!CT57</f>
        <v>75268</v>
      </c>
      <c r="M56" s="75">
        <f>移出入推計WS!DA57+移出入推計WS!DC57+移出入推計WS!DD57</f>
        <v>73655</v>
      </c>
      <c r="N56" s="75">
        <f>移出入推計WS!DK57+移出入推計WS!DM57+移出入推計WS!DN57</f>
        <v>76332</v>
      </c>
      <c r="O56" s="75">
        <f>移出入推計WS!DU57+移出入推計WS!DW57+移出入推計WS!DX57</f>
        <v>74050</v>
      </c>
      <c r="P56" s="75">
        <f>移出入推計WS!EE57+移出入推計WS!EG57+移出入推計WS!EH57</f>
        <v>69526</v>
      </c>
      <c r="Q56" s="75">
        <f>移出入推計WS!EO57+移出入推計WS!EQ57+移出入推計WS!ER57</f>
        <v>64140</v>
      </c>
      <c r="R56" s="453">
        <f>移出入推計WS!EY57</f>
        <v>64937</v>
      </c>
      <c r="S56" s="453">
        <f>移出入推計WS!FI57</f>
        <v>67121</v>
      </c>
      <c r="T56" s="1071">
        <f>移出入推計WS!FT57</f>
        <v>95386</v>
      </c>
      <c r="U56" s="1071">
        <f>移出入推計WS!GD57</f>
        <v>101957</v>
      </c>
      <c r="V56" s="1071">
        <f>移出入推計WS!GN57</f>
        <v>98457</v>
      </c>
      <c r="W56" s="1071">
        <f>移出入推計WS!GX57</f>
        <v>97000</v>
      </c>
      <c r="X56" s="1071">
        <f>移出入推計WS!HH57</f>
        <v>95448</v>
      </c>
      <c r="Y56" s="588">
        <f>(純移出入!U56-純移出入!T56)/ABS(純移出入!T56)*100</f>
        <v>-39.064938182691158</v>
      </c>
      <c r="Z56" s="588">
        <f>(純移出入!V56-純移出入!U56)/ABS(純移出入!U56)*100</f>
        <v>-61.745296956564566</v>
      </c>
    </row>
    <row r="57" spans="1:26">
      <c r="A57" s="730">
        <v>225</v>
      </c>
      <c r="B57" s="730" t="s">
        <v>222</v>
      </c>
      <c r="C57" s="730">
        <f>移出入推計WS!E58+移出入推計WS!G58+移出入推計WS!H58</f>
        <v>117026</v>
      </c>
      <c r="D57" s="730">
        <f>移出入推計WS!O58+移出入推計WS!Q58+移出入推計WS!R58</f>
        <v>129304</v>
      </c>
      <c r="E57" s="737">
        <f>移出入推計WS!Y58+移出入推計WS!AA58+移出入推計WS!AB58</f>
        <v>117706</v>
      </c>
      <c r="F57" s="737">
        <f>移出入推計WS!AI58+移出入推計WS!AK58+移出入推計WS!AL58</f>
        <v>110810</v>
      </c>
      <c r="G57" s="737">
        <f>移出入推計WS!AS58+移出入推計WS!AU58+移出入推計WS!AV58</f>
        <v>115348</v>
      </c>
      <c r="H57" s="737">
        <f>移出入推計WS!BC58+移出入推計WS!BE58+移出入推計WS!BF58</f>
        <v>107264</v>
      </c>
      <c r="I57" s="737">
        <f>移出入推計WS!BM58+移出入推計WS!BO58+移出入推計WS!BP58</f>
        <v>102823</v>
      </c>
      <c r="J57" s="737">
        <f>移出入推計WS!BW58+移出入推計WS!BY58+移出入推計WS!BZ58</f>
        <v>106794</v>
      </c>
      <c r="K57" s="75">
        <f>移出入推計WS!CG58+移出入推計WS!CI58+移出入推計WS!CJ58</f>
        <v>114673</v>
      </c>
      <c r="L57" s="75">
        <f>移出入推計WS!CQ58+移出入推計WS!CS58+移出入推計WS!CT58</f>
        <v>110389</v>
      </c>
      <c r="M57" s="75">
        <f>移出入推計WS!DA58+移出入推計WS!DC58+移出入推計WS!DD58</f>
        <v>106125</v>
      </c>
      <c r="N57" s="75">
        <f>移出入推計WS!DK58+移出入推計WS!DM58+移出入推計WS!DN58</f>
        <v>112006</v>
      </c>
      <c r="O57" s="75">
        <f>移出入推計WS!DU58+移出入推計WS!DW58+移出入推計WS!DX58</f>
        <v>109768</v>
      </c>
      <c r="P57" s="75">
        <f>移出入推計WS!EE58+移出入推計WS!EG58+移出入推計WS!EH58</f>
        <v>118177</v>
      </c>
      <c r="Q57" s="75">
        <f>移出入推計WS!EO58+移出入推計WS!EQ58+移出入推計WS!ER58</f>
        <v>129530</v>
      </c>
      <c r="R57" s="453">
        <f>移出入推計WS!EY58</f>
        <v>99406</v>
      </c>
      <c r="S57" s="453">
        <f>移出入推計WS!FI58</f>
        <v>94545</v>
      </c>
      <c r="T57" s="1071">
        <f>移出入推計WS!FT58</f>
        <v>152935</v>
      </c>
      <c r="U57" s="1071">
        <f>移出入推計WS!GD58</f>
        <v>163470</v>
      </c>
      <c r="V57" s="1071">
        <f>移出入推計WS!GN58</f>
        <v>149555</v>
      </c>
      <c r="W57" s="1071">
        <f>移出入推計WS!GX58</f>
        <v>149100</v>
      </c>
      <c r="X57" s="1071">
        <f>移出入推計WS!HH58</f>
        <v>148993</v>
      </c>
      <c r="Y57" s="588">
        <f>(純移出入!U57-純移出入!T57)/ABS(純移出入!T57)*100</f>
        <v>-49.046033041445178</v>
      </c>
      <c r="Z57" s="588">
        <f>(純移出入!V57-純移出入!U57)/ABS(純移出入!U57)*100</f>
        <v>-74.459980087442105</v>
      </c>
    </row>
    <row r="58" spans="1:26">
      <c r="A58" s="730">
        <v>585</v>
      </c>
      <c r="B58" s="730" t="s">
        <v>220</v>
      </c>
      <c r="C58" s="730">
        <f>移出入推計WS!E59+移出入推計WS!G59+移出入推計WS!H59</f>
        <v>58905</v>
      </c>
      <c r="D58" s="730">
        <f>移出入推計WS!O59+移出入推計WS!Q59+移出入推計WS!R59</f>
        <v>60268</v>
      </c>
      <c r="E58" s="737">
        <f>移出入推計WS!Y59+移出入推計WS!AA59+移出入推計WS!AB59</f>
        <v>54629</v>
      </c>
      <c r="F58" s="737">
        <f>移出入推計WS!AI59+移出入推計WS!AK59+移出入推計WS!AL59</f>
        <v>50153</v>
      </c>
      <c r="G58" s="737">
        <f>移出入推計WS!AS59+移出入推計WS!AU59+移出入推計WS!AV59</f>
        <v>49876</v>
      </c>
      <c r="H58" s="737">
        <f>移出入推計WS!BC59+移出入推計WS!BE59+移出入推計WS!BF59</f>
        <v>48057</v>
      </c>
      <c r="I58" s="737">
        <f>移出入推計WS!BM59+移出入推計WS!BO59+移出入推計WS!BP59</f>
        <v>48067</v>
      </c>
      <c r="J58" s="737">
        <f>移出入推計WS!BW59+移出入推計WS!BY59+移出入推計WS!BZ59</f>
        <v>50348</v>
      </c>
      <c r="K58" s="75">
        <f>移出入推計WS!CG59+移出入推計WS!CI59+移出入推計WS!CJ59</f>
        <v>52051</v>
      </c>
      <c r="L58" s="75">
        <f>移出入推計WS!CQ59+移出入推計WS!CS59+移出入推計WS!CT59</f>
        <v>50337</v>
      </c>
      <c r="M58" s="75">
        <f>移出入推計WS!DA59+移出入推計WS!DC59+移出入推計WS!DD59</f>
        <v>49292</v>
      </c>
      <c r="N58" s="75">
        <f>移出入推計WS!DK59+移出入推計WS!DM59+移出入推計WS!DN59</f>
        <v>52382</v>
      </c>
      <c r="O58" s="75">
        <f>移出入推計WS!DU59+移出入推計WS!DW59+移出入推計WS!DX59</f>
        <v>50317</v>
      </c>
      <c r="P58" s="75">
        <f>移出入推計WS!EE59+移出入推計WS!EG59+移出入推計WS!EH59</f>
        <v>49852</v>
      </c>
      <c r="Q58" s="75">
        <f>移出入推計WS!EO59+移出入推計WS!EQ59+移出入推計WS!ER59</f>
        <v>45076</v>
      </c>
      <c r="R58" s="453">
        <f>移出入推計WS!EY59</f>
        <v>41035</v>
      </c>
      <c r="S58" s="453">
        <f>移出入推計WS!FI59</f>
        <v>42941</v>
      </c>
      <c r="T58" s="1071">
        <f>移出入推計WS!FT59</f>
        <v>67749</v>
      </c>
      <c r="U58" s="1071">
        <f>移出入推計WS!GD59</f>
        <v>72416</v>
      </c>
      <c r="V58" s="1071">
        <f>移出入推計WS!GN59</f>
        <v>69404</v>
      </c>
      <c r="W58" s="1071">
        <f>移出入推計WS!GX59</f>
        <v>67756</v>
      </c>
      <c r="X58" s="1071">
        <f>移出入推計WS!HH59</f>
        <v>66215</v>
      </c>
      <c r="Y58" s="588">
        <f>(純移出入!U58-純移出入!T58)/ABS(純移出入!T58)*100</f>
        <v>-25.870488322717623</v>
      </c>
      <c r="Z58" s="588">
        <f>(純移出入!V58-純移出入!U58)/ABS(純移出入!U58)*100</f>
        <v>-60.790491192897036</v>
      </c>
    </row>
    <row r="59" spans="1:26">
      <c r="A59" s="731">
        <v>586</v>
      </c>
      <c r="B59" s="731" t="s">
        <v>338</v>
      </c>
      <c r="C59" s="731">
        <f>移出入推計WS!E60+移出入推計WS!G60+移出入推計WS!H60</f>
        <v>44524</v>
      </c>
      <c r="D59" s="731">
        <f>移出入推計WS!O60+移出入推計WS!Q60+移出入推計WS!R60</f>
        <v>45125</v>
      </c>
      <c r="E59" s="738">
        <f>移出入推計WS!Y60+移出入推計WS!AA60+移出入推計WS!AB60</f>
        <v>40628</v>
      </c>
      <c r="F59" s="738">
        <f>移出入推計WS!AI60+移出入推計WS!AK60+移出入推計WS!AL60</f>
        <v>37421</v>
      </c>
      <c r="G59" s="738">
        <f>移出入推計WS!AS60+移出入推計WS!AU60+移出入推計WS!AV60</f>
        <v>37156</v>
      </c>
      <c r="H59" s="738">
        <f>移出入推計WS!BC60+移出入推計WS!BE60+移出入推計WS!BF60</f>
        <v>36021</v>
      </c>
      <c r="I59" s="738">
        <f>移出入推計WS!BM60+移出入推計WS!BO60+移出入推計WS!BP60</f>
        <v>35231</v>
      </c>
      <c r="J59" s="738">
        <f>移出入推計WS!BW60+移出入推計WS!BY60+移出入推計WS!BZ60</f>
        <v>38928</v>
      </c>
      <c r="K59" s="132">
        <f>移出入推計WS!CG60+移出入推計WS!CI60+移出入推計WS!CJ60</f>
        <v>41056</v>
      </c>
      <c r="L59" s="132">
        <f>移出入推計WS!CQ60+移出入推計WS!CS60+移出入推計WS!CT60</f>
        <v>45642</v>
      </c>
      <c r="M59" s="132">
        <f>移出入推計WS!DA60+移出入推計WS!DC60+移出入推計WS!DD60</f>
        <v>38745</v>
      </c>
      <c r="N59" s="132">
        <f>移出入推計WS!DK60+移出入推計WS!DM60+移出入推計WS!DN60</f>
        <v>42033</v>
      </c>
      <c r="O59" s="75">
        <f>移出入推計WS!DU60+移出入推計WS!DW60+移出入推計WS!DX60</f>
        <v>42879</v>
      </c>
      <c r="P59" s="132">
        <f>移出入推計WS!EE60+移出入推計WS!EG60+移出入推計WS!EH60</f>
        <v>41920</v>
      </c>
      <c r="Q59" s="75">
        <f>移出入推計WS!EO60+移出入推計WS!EQ60+移出入推計WS!ER60</f>
        <v>37502</v>
      </c>
      <c r="R59" s="453">
        <f>移出入推計WS!EY60</f>
        <v>35069</v>
      </c>
      <c r="S59" s="453">
        <f>移出入推計WS!FI60</f>
        <v>35439</v>
      </c>
      <c r="T59" s="2240">
        <f>移出入推計WS!FT60</f>
        <v>55630</v>
      </c>
      <c r="U59" s="1071">
        <f>移出入推計WS!GD60</f>
        <v>59462</v>
      </c>
      <c r="V59" s="2240">
        <f>移出入推計WS!GN60</f>
        <v>60240</v>
      </c>
      <c r="W59" s="2240">
        <f>移出入推計WS!GX60</f>
        <v>59728</v>
      </c>
      <c r="X59" s="1071">
        <f>移出入推計WS!HH60</f>
        <v>58875</v>
      </c>
      <c r="Y59" s="588">
        <f>(純移出入!U59-純移出入!T59)/ABS(純移出入!T59)*100</f>
        <v>-7.3138647724283077</v>
      </c>
      <c r="Z59" s="588">
        <f>(純移出入!V59-純移出入!U59)/ABS(純移出入!U59)*100</f>
        <v>-32.529094521714448</v>
      </c>
    </row>
    <row r="60" spans="1:26">
      <c r="A60" s="730">
        <v>8</v>
      </c>
      <c r="B60" s="730" t="s">
        <v>211</v>
      </c>
      <c r="C60" s="797">
        <f>移出入推計WS!E61+移出入推計WS!G61+移出入推計WS!H61</f>
        <v>360824</v>
      </c>
      <c r="D60" s="797">
        <f>移出入推計WS!O61+移出入推計WS!Q61+移出入推計WS!R61</f>
        <v>385717</v>
      </c>
      <c r="E60" s="737">
        <f>移出入推計WS!Y61+移出入推計WS!AA61+移出入推計WS!AB61</f>
        <v>342967</v>
      </c>
      <c r="F60" s="737">
        <f>移出入推計WS!AI61+移出入推計WS!AK61+移出入推計WS!AL61</f>
        <v>309462</v>
      </c>
      <c r="G60" s="740">
        <f>移出入推計WS!AS61+移出入推計WS!AU61+移出入推計WS!AV61</f>
        <v>323861</v>
      </c>
      <c r="H60" s="740">
        <f>移出入推計WS!BC61+移出入推計WS!BE61+移出入推計WS!BF61</f>
        <v>313615</v>
      </c>
      <c r="I60" s="737">
        <f>移出入推計WS!BM61+移出入推計WS!BO61+移出入推計WS!BP61</f>
        <v>253180</v>
      </c>
      <c r="J60" s="737">
        <f>移出入推計WS!BW61+移出入推計WS!BY61+移出入推計WS!BZ61</f>
        <v>340647</v>
      </c>
      <c r="K60" s="75">
        <f>移出入推計WS!CG61+移出入推計WS!CI61+移出入推計WS!CJ61</f>
        <v>347091</v>
      </c>
      <c r="L60" s="75">
        <f>移出入推計WS!CQ61+移出入推計WS!CS61+移出入推計WS!CT61</f>
        <v>356096</v>
      </c>
      <c r="M60" s="75">
        <f>移出入推計WS!DA61+移出入推計WS!DC61+移出入推計WS!DD61</f>
        <v>348504</v>
      </c>
      <c r="N60" s="75">
        <f>移出入推計WS!DK61+移出入推計WS!DM61+移出入推計WS!DN61</f>
        <v>360745</v>
      </c>
      <c r="O60" s="130">
        <f>移出入推計WS!DU61+移出入推計WS!DW61+移出入推計WS!DX61</f>
        <v>374817</v>
      </c>
      <c r="P60" s="75">
        <f>移出入推計WS!EE61+移出入推計WS!EG61+移出入推計WS!EH61</f>
        <v>396302</v>
      </c>
      <c r="Q60" s="130">
        <f>移出入推計WS!EO61+移出入推計WS!EQ61+移出入推計WS!ER61</f>
        <v>354461</v>
      </c>
      <c r="R60" s="915">
        <f>移出入推計WS!EY61</f>
        <v>361914</v>
      </c>
      <c r="S60" s="915">
        <f>移出入推計WS!FI61</f>
        <v>376847</v>
      </c>
      <c r="T60" s="1071">
        <f>移出入推計WS!FT61</f>
        <v>441468</v>
      </c>
      <c r="U60" s="1072">
        <f>移出入推計WS!GD61</f>
        <v>471880</v>
      </c>
      <c r="V60" s="1071">
        <f>移出入推計WS!GN61</f>
        <v>442397</v>
      </c>
      <c r="W60" s="1071">
        <f>移出入推計WS!GX61</f>
        <v>444894</v>
      </c>
      <c r="X60" s="1071">
        <f>移出入推計WS!HH61</f>
        <v>451645</v>
      </c>
      <c r="Y60" s="588">
        <f>(純移出入!U60-純移出入!T60)/ABS(純移出入!T60)*100</f>
        <v>-29.928147453920651</v>
      </c>
      <c r="Z60" s="588">
        <f>(純移出入!V60-純移出入!U60)/ABS(純移出入!U60)*100</f>
        <v>-71.181123165073231</v>
      </c>
    </row>
    <row r="61" spans="1:26">
      <c r="A61" s="730">
        <v>221</v>
      </c>
      <c r="B61" s="730" t="s">
        <v>1157</v>
      </c>
      <c r="C61" s="797">
        <f>移出入推計WS!E62+移出入推計WS!G62+移出入推計WS!H62</f>
        <v>141536</v>
      </c>
      <c r="D61" s="797">
        <f>移出入推計WS!O62+移出入推計WS!Q62+移出入推計WS!R62</f>
        <v>148298</v>
      </c>
      <c r="E61" s="737">
        <f>移出入推計WS!Y62+移出入推計WS!AA62+移出入推計WS!AB62</f>
        <v>135085</v>
      </c>
      <c r="F61" s="737">
        <f>移出入推計WS!AI62+移出入推計WS!AK62+移出入推計WS!AL62</f>
        <v>124028</v>
      </c>
      <c r="G61" s="740">
        <f>移出入推計WS!AS62+移出入推計WS!AU62+移出入推計WS!AV62</f>
        <v>130588</v>
      </c>
      <c r="H61" s="740">
        <f>移出入推計WS!BC62+移出入推計WS!BE62+移出入推計WS!BF62</f>
        <v>104578</v>
      </c>
      <c r="I61" s="737">
        <f>移出入推計WS!BM62+移出入推計WS!BO62+移出入推計WS!BP62</f>
        <v>51998</v>
      </c>
      <c r="J61" s="737">
        <f>移出入推計WS!BW62+移出入推計WS!BY62+移出入推計WS!BZ62</f>
        <v>127193</v>
      </c>
      <c r="K61" s="75">
        <f>移出入推計WS!CG62+移出入推計WS!CI62+移出入推計WS!CJ62</f>
        <v>130321</v>
      </c>
      <c r="L61" s="75">
        <f>移出入推計WS!CQ62+移出入推計WS!CS62+移出入推計WS!CT62</f>
        <v>135736</v>
      </c>
      <c r="M61" s="75">
        <f>移出入推計WS!DA62+移出入推計WS!DC62+移出入推計WS!DD62</f>
        <v>133793</v>
      </c>
      <c r="N61" s="75">
        <f>移出入推計WS!DK62+移出入推計WS!DM62+移出入推計WS!DN62</f>
        <v>141822</v>
      </c>
      <c r="O61" s="75">
        <f>移出入推計WS!DU62+移出入推計WS!DW62+移出入推計WS!DX62</f>
        <v>156352</v>
      </c>
      <c r="P61" s="75">
        <f>移出入推計WS!EE62+移出入推計WS!EG62+移出入推計WS!EH62</f>
        <v>179648</v>
      </c>
      <c r="Q61" s="75">
        <f>移出入推計WS!EO62+移出入推計WS!EQ62+移出入推計WS!ER62</f>
        <v>160383</v>
      </c>
      <c r="R61" s="453">
        <f>移出入推計WS!EY62</f>
        <v>157283</v>
      </c>
      <c r="S61" s="453">
        <f>移出入推計WS!FI62</f>
        <v>165445</v>
      </c>
      <c r="T61" s="1071">
        <f>移出入推計WS!FT62</f>
        <v>188578</v>
      </c>
      <c r="U61" s="1071">
        <f>移出入推計WS!GD62</f>
        <v>201569</v>
      </c>
      <c r="V61" s="1071">
        <f>移出入推計WS!GN62</f>
        <v>181663</v>
      </c>
      <c r="W61" s="1071">
        <f>移出入推計WS!GX62</f>
        <v>182242</v>
      </c>
      <c r="X61" s="1071">
        <f>移出入推計WS!HH62</f>
        <v>183694</v>
      </c>
      <c r="Y61" s="588">
        <f>(純移出入!U61-純移出入!T61)/ABS(純移出入!T61)*100</f>
        <v>-30.757985686856344</v>
      </c>
      <c r="Z61" s="588">
        <f>(純移出入!V61-純移出入!U61)/ABS(純移出入!U61)*100</f>
        <v>-77.41610209547818</v>
      </c>
    </row>
    <row r="62" spans="1:26">
      <c r="A62" s="730">
        <v>223</v>
      </c>
      <c r="B62" s="730" t="s">
        <v>223</v>
      </c>
      <c r="C62" s="797">
        <f>移出入推計WS!E63+移出入推計WS!G63+移出入推計WS!H63</f>
        <v>219288</v>
      </c>
      <c r="D62" s="797">
        <f>移出入推計WS!O63+移出入推計WS!Q63+移出入推計WS!R63</f>
        <v>237419</v>
      </c>
      <c r="E62" s="737">
        <f>移出入推計WS!Y63+移出入推計WS!AA63+移出入推計WS!AB63</f>
        <v>207882</v>
      </c>
      <c r="F62" s="737">
        <f>移出入推計WS!AI63+移出入推計WS!AK63+移出入推計WS!AL63</f>
        <v>185434</v>
      </c>
      <c r="G62" s="740">
        <f>移出入推計WS!AS63+移出入推計WS!AU63+移出入推計WS!AV63</f>
        <v>193273</v>
      </c>
      <c r="H62" s="740">
        <f>移出入推計WS!BC63+移出入推計WS!BE63+移出入推計WS!BF63</f>
        <v>209037</v>
      </c>
      <c r="I62" s="737">
        <f>移出入推計WS!BM63+移出入推計WS!BO63+移出入推計WS!BP63</f>
        <v>201182</v>
      </c>
      <c r="J62" s="737">
        <f>移出入推計WS!BW63+移出入推計WS!BY63+移出入推計WS!BZ63</f>
        <v>213454</v>
      </c>
      <c r="K62" s="75">
        <f>移出入推計WS!CG63+移出入推計WS!CI63+移出入推計WS!CJ63</f>
        <v>216770</v>
      </c>
      <c r="L62" s="75">
        <f>移出入推計WS!CQ63+移出入推計WS!CS63+移出入推計WS!CT63</f>
        <v>220360</v>
      </c>
      <c r="M62" s="75">
        <f>移出入推計WS!DA63+移出入推計WS!DC63+移出入推計WS!DD63</f>
        <v>214711</v>
      </c>
      <c r="N62" s="75">
        <f>移出入推計WS!DK63+移出入推計WS!DM63+移出入推計WS!DN63</f>
        <v>218923</v>
      </c>
      <c r="O62" s="132">
        <f>移出入推計WS!DU63+移出入推計WS!DW63+移出入推計WS!DX63</f>
        <v>218465</v>
      </c>
      <c r="P62" s="75">
        <f>移出入推計WS!EE63+移出入推計WS!EG63+移出入推計WS!EH63</f>
        <v>216654</v>
      </c>
      <c r="Q62" s="132">
        <f>移出入推計WS!EO63+移出入推計WS!EQ63+移出入推計WS!ER63</f>
        <v>194078</v>
      </c>
      <c r="R62" s="450">
        <f>移出入推計WS!EY63</f>
        <v>204631</v>
      </c>
      <c r="S62" s="450">
        <f>移出入推計WS!FI63</f>
        <v>211402</v>
      </c>
      <c r="T62" s="1071">
        <f>移出入推計WS!FT63</f>
        <v>252890</v>
      </c>
      <c r="U62" s="2240">
        <f>移出入推計WS!GD63</f>
        <v>270311</v>
      </c>
      <c r="V62" s="1071">
        <f>移出入推計WS!GN63</f>
        <v>260734</v>
      </c>
      <c r="W62" s="1071">
        <f>移出入推計WS!GX63</f>
        <v>262652</v>
      </c>
      <c r="X62" s="1071">
        <f>移出入推計WS!HH63</f>
        <v>267951</v>
      </c>
      <c r="Y62" s="588">
        <f>(純移出入!U62-純移出入!T62)/ABS(純移出入!T62)*100</f>
        <v>-28.991255080674961</v>
      </c>
      <c r="Z62" s="588">
        <f>(純移出入!V62-純移出入!U62)/ABS(純移出入!U62)*100</f>
        <v>-64.316936099354749</v>
      </c>
    </row>
    <row r="63" spans="1:26">
      <c r="A63" s="728">
        <v>9</v>
      </c>
      <c r="B63" s="728" t="s">
        <v>212</v>
      </c>
      <c r="C63" s="728">
        <f>移出入推計WS!E64+移出入推計WS!G64+移出入推計WS!H64</f>
        <v>459933</v>
      </c>
      <c r="D63" s="728">
        <f>移出入推計WS!O64+移出入推計WS!Q64+移出入推計WS!R64</f>
        <v>469356</v>
      </c>
      <c r="E63" s="739">
        <f>移出入推計WS!Y64+移出入推計WS!AA64+移出入推計WS!AB64</f>
        <v>432980</v>
      </c>
      <c r="F63" s="739">
        <f>移出入推計WS!AI64+移出入推計WS!AK64+移出入推計WS!AL64</f>
        <v>398061</v>
      </c>
      <c r="G63" s="739">
        <f>移出入推計WS!AS64+移出入推計WS!AU64+移出入推計WS!AV64</f>
        <v>413304</v>
      </c>
      <c r="H63" s="739">
        <f>移出入推計WS!BC64+移出入推計WS!BE64+移出入推計WS!BF64</f>
        <v>390421</v>
      </c>
      <c r="I63" s="739">
        <f>移出入推計WS!BM64+移出入推計WS!BO64+移出入推計WS!BP64</f>
        <v>380528</v>
      </c>
      <c r="J63" s="739">
        <f>移出入推計WS!BW64+移出入推計WS!BY64+移出入推計WS!BZ64</f>
        <v>390385</v>
      </c>
      <c r="K63" s="130">
        <f>移出入推計WS!CG64+移出入推計WS!CI64+移出入推計WS!CJ64</f>
        <v>398090</v>
      </c>
      <c r="L63" s="130">
        <f>移出入推計WS!CQ64+移出入推計WS!CS64+移出入推計WS!CT64</f>
        <v>402576</v>
      </c>
      <c r="M63" s="130">
        <f>移出入推計WS!DA64+移出入推計WS!DC64+移出入推計WS!DD64</f>
        <v>393470</v>
      </c>
      <c r="N63" s="130">
        <f>移出入推計WS!DK64+移出入推計WS!DM64+移出入推計WS!DN64</f>
        <v>401066</v>
      </c>
      <c r="O63" s="130">
        <f>移出入推計WS!DU64+移出入推計WS!DW64+移出入推計WS!DX64</f>
        <v>404895</v>
      </c>
      <c r="P63" s="130">
        <f>移出入推計WS!EE64+移出入推計WS!EG64+移出入推計WS!EH64</f>
        <v>402349</v>
      </c>
      <c r="Q63" s="75">
        <f>移出入推計WS!EO64+移出入推計WS!EQ64+移出入推計WS!ER64</f>
        <v>359624</v>
      </c>
      <c r="R63" s="453">
        <f>移出入推計WS!EY64</f>
        <v>355681</v>
      </c>
      <c r="S63" s="453">
        <f>移出入推計WS!FI64</f>
        <v>385760</v>
      </c>
      <c r="T63" s="1072">
        <f>移出入推計WS!FT64</f>
        <v>508834</v>
      </c>
      <c r="U63" s="1072">
        <f>移出入推計WS!GD64</f>
        <v>543887</v>
      </c>
      <c r="V63" s="1072">
        <f>移出入推計WS!GN64</f>
        <v>544428</v>
      </c>
      <c r="W63" s="1072">
        <f>移出入推計WS!GX64</f>
        <v>542455</v>
      </c>
      <c r="X63" s="1071">
        <f>移出入推計WS!HH64</f>
        <v>542516</v>
      </c>
      <c r="Y63" s="588">
        <f>(純移出入!U63-純移出入!T63)/ABS(純移出入!T63)*100</f>
        <v>-9.856729185987092</v>
      </c>
      <c r="Z63" s="588">
        <f>(純移出入!V63-純移出入!U63)/ABS(純移出入!U63)*100</f>
        <v>-54.905624724432592</v>
      </c>
    </row>
    <row r="64" spans="1:26">
      <c r="A64" s="730">
        <v>205</v>
      </c>
      <c r="B64" s="730" t="s">
        <v>339</v>
      </c>
      <c r="C64" s="730">
        <f>移出入推計WS!E65+移出入推計WS!G65+移出入推計WS!H65</f>
        <v>178947</v>
      </c>
      <c r="D64" s="730">
        <f>移出入推計WS!O65+移出入推計WS!Q65+移出入推計WS!R65</f>
        <v>178439</v>
      </c>
      <c r="E64" s="737">
        <f>移出入推計WS!Y65+移出入推計WS!AA65+移出入推計WS!AB65</f>
        <v>160333</v>
      </c>
      <c r="F64" s="737">
        <f>移出入推計WS!AI65+移出入推計WS!AK65+移出入推計WS!AL65</f>
        <v>149760</v>
      </c>
      <c r="G64" s="737">
        <f>移出入推計WS!AS65+移出入推計WS!AU65+移出入推計WS!AV65</f>
        <v>154883</v>
      </c>
      <c r="H64" s="737">
        <f>移出入推計WS!BC65+移出入推計WS!BE65+移出入推計WS!BF65</f>
        <v>135582</v>
      </c>
      <c r="I64" s="737">
        <f>移出入推計WS!BM65+移出入推計WS!BO65+移出入推計WS!BP65</f>
        <v>132309</v>
      </c>
      <c r="J64" s="737">
        <f>移出入推計WS!BW65+移出入推計WS!BY65+移出入推計WS!BZ65</f>
        <v>135632</v>
      </c>
      <c r="K64" s="75">
        <f>移出入推計WS!CG65+移出入推計WS!CI65+移出入推計WS!CJ65</f>
        <v>136737</v>
      </c>
      <c r="L64" s="75">
        <f>移出入推計WS!CQ65+移出入推計WS!CS65+移出入推計WS!CT65</f>
        <v>141302</v>
      </c>
      <c r="M64" s="75">
        <f>移出入推計WS!DA65+移出入推計WS!DC65+移出入推計WS!DD65</f>
        <v>132325</v>
      </c>
      <c r="N64" s="75">
        <f>移出入推計WS!DK65+移出入推計WS!DM65+移出入推計WS!DN65</f>
        <v>135596</v>
      </c>
      <c r="O64" s="75">
        <f>移出入推計WS!DU65+移出入推計WS!DW65+移出入推計WS!DX65</f>
        <v>136601</v>
      </c>
      <c r="P64" s="75">
        <f>移出入推計WS!EE65+移出入推計WS!EG65+移出入推計WS!EH65</f>
        <v>134564</v>
      </c>
      <c r="Q64" s="75">
        <f>移出入推計WS!EO65+移出入推計WS!EQ65+移出入推計WS!ER65</f>
        <v>121934</v>
      </c>
      <c r="R64" s="453">
        <f>移出入推計WS!EY65</f>
        <v>121305</v>
      </c>
      <c r="S64" s="453">
        <f>移出入推計WS!FI65</f>
        <v>135924</v>
      </c>
      <c r="T64" s="1071">
        <f>移出入推計WS!FT65</f>
        <v>176418</v>
      </c>
      <c r="U64" s="1071">
        <f>移出入推計WS!GD65</f>
        <v>188571</v>
      </c>
      <c r="V64" s="1071">
        <f>移出入推計WS!GN65</f>
        <v>181799</v>
      </c>
      <c r="W64" s="1071">
        <f>移出入推計WS!GX65</f>
        <v>180544</v>
      </c>
      <c r="X64" s="1071">
        <f>移出入推計WS!HH65</f>
        <v>181945</v>
      </c>
      <c r="Y64" s="588">
        <f>(純移出入!U64-純移出入!T64)/ABS(純移出入!T64)*100</f>
        <v>-33.542586145453548</v>
      </c>
      <c r="Z64" s="588">
        <f>(純移出入!V64-純移出入!U64)/ABS(純移出入!U64)*100</f>
        <v>-70.416202615187885</v>
      </c>
    </row>
    <row r="65" spans="1:26">
      <c r="A65" s="730">
        <v>224</v>
      </c>
      <c r="B65" s="730" t="s">
        <v>224</v>
      </c>
      <c r="C65" s="730">
        <f>移出入推計WS!E66+移出入推計WS!G66+移出入推計WS!H66</f>
        <v>147986</v>
      </c>
      <c r="D65" s="730">
        <f>移出入推計WS!O66+移出入推計WS!Q66+移出入推計WS!R66</f>
        <v>151449</v>
      </c>
      <c r="E65" s="737">
        <f>移出入推計WS!Y66+移出入推計WS!AA66+移出入推計WS!AB66</f>
        <v>143349</v>
      </c>
      <c r="F65" s="737">
        <f>移出入推計WS!AI66+移出入推計WS!AK66+移出入推計WS!AL66</f>
        <v>129624</v>
      </c>
      <c r="G65" s="737">
        <f>移出入推計WS!AS66+移出入推計WS!AU66+移出入推計WS!AV66</f>
        <v>138067</v>
      </c>
      <c r="H65" s="737">
        <f>移出入推計WS!BC66+移出入推計WS!BE66+移出入推計WS!BF66</f>
        <v>136396</v>
      </c>
      <c r="I65" s="737">
        <f>移出入推計WS!BM66+移出入推計WS!BO66+移出入推計WS!BP66</f>
        <v>127898</v>
      </c>
      <c r="J65" s="737">
        <f>移出入推計WS!BW66+移出入推計WS!BY66+移出入推計WS!BZ66</f>
        <v>134131</v>
      </c>
      <c r="K65" s="75">
        <f>移出入推計WS!CG66+移出入推計WS!CI66+移出入推計WS!CJ66</f>
        <v>137315</v>
      </c>
      <c r="L65" s="75">
        <f>移出入推計WS!CQ66+移出入推計WS!CS66+移出入推計WS!CT66</f>
        <v>140338</v>
      </c>
      <c r="M65" s="75">
        <f>移出入推計WS!DA66+移出入推計WS!DC66+移出入推計WS!DD66</f>
        <v>135900</v>
      </c>
      <c r="N65" s="75">
        <f>移出入推計WS!DK66+移出入推計WS!DM66+移出入推計WS!DN66</f>
        <v>139543</v>
      </c>
      <c r="O65" s="75">
        <f>移出入推計WS!DU66+移出入推計WS!DW66+移出入推計WS!DX66</f>
        <v>141084</v>
      </c>
      <c r="P65" s="75">
        <f>移出入推計WS!EE66+移出入推計WS!EG66+移出入推計WS!EH66</f>
        <v>138665</v>
      </c>
      <c r="Q65" s="75">
        <f>移出入推計WS!EO66+移出入推計WS!EQ66+移出入推計WS!ER66</f>
        <v>121737</v>
      </c>
      <c r="R65" s="453">
        <f>移出入推計WS!EY66</f>
        <v>117021</v>
      </c>
      <c r="S65" s="453">
        <f>移出入推計WS!FI66</f>
        <v>124610</v>
      </c>
      <c r="T65" s="1071">
        <f>移出入推計WS!FT66</f>
        <v>166728</v>
      </c>
      <c r="U65" s="1071">
        <f>移出入推計WS!GD66</f>
        <v>178214</v>
      </c>
      <c r="V65" s="1071">
        <f>移出入推計WS!GN66</f>
        <v>175576</v>
      </c>
      <c r="W65" s="1071">
        <f>移出入推計WS!GX66</f>
        <v>174172</v>
      </c>
      <c r="X65" s="1071">
        <f>移出入推計WS!HH66</f>
        <v>174790</v>
      </c>
      <c r="Y65" s="588">
        <f>(純移出入!U65-純移出入!T65)/ABS(純移出入!T65)*100</f>
        <v>-13.661591006119252</v>
      </c>
      <c r="Z65" s="588">
        <f>(純移出入!V65-純移出入!U65)/ABS(純移出入!U65)*100</f>
        <v>-61.941651557606725</v>
      </c>
    </row>
    <row r="66" spans="1:26">
      <c r="A66" s="731">
        <v>226</v>
      </c>
      <c r="B66" s="731" t="s">
        <v>225</v>
      </c>
      <c r="C66" s="731">
        <f>移出入推計WS!E67+移出入推計WS!G67+移出入推計WS!H67</f>
        <v>133000</v>
      </c>
      <c r="D66" s="731">
        <f>移出入推計WS!O67+移出入推計WS!Q67+移出入推計WS!R67</f>
        <v>139468</v>
      </c>
      <c r="E66" s="738">
        <f>移出入推計WS!Y67+移出入推計WS!AA67+移出入推計WS!AB67</f>
        <v>129298</v>
      </c>
      <c r="F66" s="738">
        <f>移出入推計WS!AI67+移出入推計WS!AK67+移出入推計WS!AL67</f>
        <v>118677</v>
      </c>
      <c r="G66" s="738">
        <f>移出入推計WS!AS67+移出入推計WS!AU67+移出入推計WS!AV67</f>
        <v>120354</v>
      </c>
      <c r="H66" s="738">
        <f>移出入推計WS!BC67+移出入推計WS!BE67+移出入推計WS!BF67</f>
        <v>118443</v>
      </c>
      <c r="I66" s="738">
        <f>移出入推計WS!BM67+移出入推計WS!BO67+移出入推計WS!BP67</f>
        <v>120321</v>
      </c>
      <c r="J66" s="738">
        <f>移出入推計WS!BW67+移出入推計WS!BY67+移出入推計WS!BZ67</f>
        <v>120622</v>
      </c>
      <c r="K66" s="132">
        <f>移出入推計WS!CG67+移出入推計WS!CI67+移出入推計WS!CJ67</f>
        <v>124038</v>
      </c>
      <c r="L66" s="132">
        <f>移出入推計WS!CQ67+移出入推計WS!CS67+移出入推計WS!CT67</f>
        <v>120936</v>
      </c>
      <c r="M66" s="132">
        <f>移出入推計WS!DA67+移出入推計WS!DC67+移出入推計WS!DD67</f>
        <v>125245</v>
      </c>
      <c r="N66" s="132">
        <f>移出入推計WS!DK67+移出入推計WS!DM67+移出入推計WS!DN67</f>
        <v>125927</v>
      </c>
      <c r="O66" s="132">
        <f>移出入推計WS!DU67+移出入推計WS!DW67+移出入推計WS!DX67</f>
        <v>127210</v>
      </c>
      <c r="P66" s="132">
        <f>移出入推計WS!EE67+移出入推計WS!EG67+移出入推計WS!EH67</f>
        <v>129120</v>
      </c>
      <c r="Q66" s="132">
        <f>移出入推計WS!EO67+移出入推計WS!EQ67+移出入推計WS!ER67</f>
        <v>115953</v>
      </c>
      <c r="R66" s="450">
        <f>移出入推計WS!EY67</f>
        <v>117355</v>
      </c>
      <c r="S66" s="450">
        <f>移出入推計WS!FI67</f>
        <v>125226</v>
      </c>
      <c r="T66" s="2240">
        <f>移出入推計WS!FT67</f>
        <v>165688</v>
      </c>
      <c r="U66" s="2240">
        <f>移出入推計WS!GD67</f>
        <v>177102</v>
      </c>
      <c r="V66" s="2240">
        <f>移出入推計WS!GN67</f>
        <v>187053</v>
      </c>
      <c r="W66" s="2240">
        <f>移出入推計WS!GX67</f>
        <v>187739</v>
      </c>
      <c r="X66" s="2240">
        <f>移出入推計WS!HH67</f>
        <v>185781</v>
      </c>
      <c r="Y66" s="588">
        <f>(純移出入!U66-純移出入!T66)/ABS(純移出入!T66)*100</f>
        <v>209.78191827228457</v>
      </c>
      <c r="Z66" s="588">
        <f>(純移出入!V66-純移出入!U66)/ABS(純移出入!U66)*100</f>
        <v>42.314368370298936</v>
      </c>
    </row>
    <row r="67" spans="1:26">
      <c r="H67" s="75" t="s">
        <v>347</v>
      </c>
    </row>
  </sheetData>
  <phoneticPr fontId="13"/>
  <pageMargins left="0.75" right="0.75" top="1" bottom="1" header="0.51200000000000001" footer="0.51200000000000001"/>
  <pageSetup paperSize="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4"/>
  <dimension ref="A1:Z67"/>
  <sheetViews>
    <sheetView workbookViewId="0">
      <pane xSplit="2" ySplit="4" topLeftCell="S53" activePane="bottomRight" state="frozen"/>
      <selection pane="topRight" activeCell="C1" sqref="C1"/>
      <selection pane="bottomLeft" activeCell="A5" sqref="A5"/>
      <selection pane="bottomRight" activeCell="U2" sqref="U2"/>
    </sheetView>
  </sheetViews>
  <sheetFormatPr defaultColWidth="8.7109375" defaultRowHeight="13"/>
  <cols>
    <col min="1" max="1" width="4.2109375" style="75" customWidth="1"/>
    <col min="2" max="2" width="9.5" style="75" customWidth="1"/>
    <col min="3" max="16384" width="8.7109375" style="75"/>
  </cols>
  <sheetData>
    <row r="1" spans="1:26">
      <c r="B1" s="65" t="s">
        <v>842</v>
      </c>
      <c r="C1" s="74"/>
      <c r="I1" s="74" t="s">
        <v>835</v>
      </c>
      <c r="Q1" s="935"/>
      <c r="R1" s="935"/>
      <c r="S1" s="935" t="s">
        <v>627</v>
      </c>
      <c r="T1" s="935"/>
      <c r="U1" s="75" t="s">
        <v>948</v>
      </c>
      <c r="V1" s="935" t="s">
        <v>14</v>
      </c>
      <c r="W1" s="75" t="s">
        <v>14</v>
      </c>
      <c r="X1" s="75" t="s">
        <v>14</v>
      </c>
    </row>
    <row r="2" spans="1:26">
      <c r="A2" s="68"/>
      <c r="B2" s="60" t="s">
        <v>319</v>
      </c>
      <c r="C2" s="1375">
        <v>2006</v>
      </c>
      <c r="D2" s="1375">
        <v>2007</v>
      </c>
      <c r="E2" s="1375">
        <v>2008</v>
      </c>
      <c r="F2" s="1378">
        <v>2009</v>
      </c>
      <c r="G2" s="1378">
        <v>2010</v>
      </c>
      <c r="H2" s="1375">
        <v>2011</v>
      </c>
      <c r="I2" s="1376">
        <v>2012</v>
      </c>
      <c r="J2" s="1376">
        <v>2013</v>
      </c>
      <c r="K2" s="1376">
        <v>2014</v>
      </c>
      <c r="L2" s="1376">
        <v>2015</v>
      </c>
      <c r="M2" s="1376">
        <v>2016</v>
      </c>
      <c r="N2" s="1376">
        <v>2017</v>
      </c>
      <c r="O2" s="1376">
        <v>2018</v>
      </c>
      <c r="P2" s="1376">
        <v>2019</v>
      </c>
      <c r="Q2" s="1376">
        <v>2020</v>
      </c>
      <c r="R2" s="1377">
        <v>2021</v>
      </c>
      <c r="S2" s="1377">
        <v>2022</v>
      </c>
      <c r="T2" s="1377">
        <v>2023</v>
      </c>
      <c r="U2" s="1377">
        <v>2024</v>
      </c>
      <c r="V2" s="1077">
        <v>2025</v>
      </c>
      <c r="W2" s="1077">
        <v>2026</v>
      </c>
      <c r="X2" s="1077">
        <v>2027</v>
      </c>
    </row>
    <row r="3" spans="1:26">
      <c r="A3" s="62"/>
      <c r="B3" s="62"/>
      <c r="C3" s="77" t="s">
        <v>837</v>
      </c>
      <c r="D3" s="77" t="s">
        <v>838</v>
      </c>
      <c r="E3" s="77" t="s">
        <v>869</v>
      </c>
      <c r="F3" s="278" t="s">
        <v>870</v>
      </c>
      <c r="G3" s="278" t="s">
        <v>13</v>
      </c>
      <c r="H3" s="77" t="s">
        <v>104</v>
      </c>
      <c r="I3" s="628" t="s">
        <v>118</v>
      </c>
      <c r="J3" s="628" t="s">
        <v>119</v>
      </c>
      <c r="K3" s="628" t="s">
        <v>67</v>
      </c>
      <c r="L3" s="628" t="s">
        <v>157</v>
      </c>
      <c r="M3" s="628" t="s">
        <v>1000</v>
      </c>
      <c r="N3" s="628" t="s">
        <v>1036</v>
      </c>
      <c r="O3" s="628" t="s">
        <v>1062</v>
      </c>
      <c r="P3" s="628" t="s">
        <v>1161</v>
      </c>
      <c r="Q3" s="628" t="s">
        <v>1129</v>
      </c>
      <c r="R3" s="935" t="s">
        <v>1160</v>
      </c>
      <c r="S3" s="935" t="s">
        <v>1200</v>
      </c>
      <c r="T3" s="935" t="s">
        <v>1234</v>
      </c>
      <c r="U3" s="935" t="s">
        <v>1561</v>
      </c>
      <c r="V3" s="453" t="s">
        <v>1603</v>
      </c>
      <c r="W3" s="453" t="s">
        <v>1745</v>
      </c>
      <c r="X3" s="453" t="s">
        <v>1783</v>
      </c>
      <c r="Y3" s="628" t="s">
        <v>1562</v>
      </c>
      <c r="Z3" s="628" t="s">
        <v>1722</v>
      </c>
    </row>
    <row r="4" spans="1:26">
      <c r="A4" s="62"/>
      <c r="B4" s="62" t="s">
        <v>320</v>
      </c>
      <c r="C4" s="259"/>
      <c r="D4" s="259" t="s">
        <v>839</v>
      </c>
      <c r="E4" s="259" t="s">
        <v>839</v>
      </c>
      <c r="F4" s="279" t="s">
        <v>839</v>
      </c>
      <c r="G4" s="279" t="s">
        <v>839</v>
      </c>
      <c r="H4" s="259" t="s">
        <v>839</v>
      </c>
      <c r="I4" s="132"/>
      <c r="R4" s="453"/>
      <c r="S4" s="453"/>
      <c r="T4" s="453"/>
      <c r="U4" s="453"/>
      <c r="V4" s="453"/>
      <c r="W4" s="453"/>
      <c r="X4" s="453"/>
    </row>
    <row r="5" spans="1:26">
      <c r="A5" s="68"/>
      <c r="B5" s="68" t="s">
        <v>322</v>
      </c>
      <c r="C5" s="759">
        <f>移出入推計WS!F6</f>
        <v>17465728</v>
      </c>
      <c r="D5" s="759">
        <f>移出入推計WS!P6</f>
        <v>18137965</v>
      </c>
      <c r="E5" s="130">
        <f>移出入推計WS!Z6</f>
        <v>17948628</v>
      </c>
      <c r="F5" s="1175">
        <f>移出入推計WS!AJ6</f>
        <v>15903578</v>
      </c>
      <c r="G5" s="1175">
        <f>移出入推計WS!AT6</f>
        <v>16589823</v>
      </c>
      <c r="H5" s="130">
        <f>移出入推計WS!BD6</f>
        <v>16970634</v>
      </c>
      <c r="I5" s="130">
        <f>移出入推計WS!BN6</f>
        <v>16895177</v>
      </c>
      <c r="J5" s="130">
        <f>移出入推計WS!BX6</f>
        <v>17564241</v>
      </c>
      <c r="K5" s="130">
        <f>移出入推計WS!CH6</f>
        <v>17510351</v>
      </c>
      <c r="L5" s="130">
        <f>移出入推計WS!CR6</f>
        <v>17366396</v>
      </c>
      <c r="M5" s="130">
        <f>移出入推計WS!DB6</f>
        <v>16715635</v>
      </c>
      <c r="N5" s="130">
        <f>移出入推計WS!DL6</f>
        <v>17583131</v>
      </c>
      <c r="O5" s="130">
        <f>移出入推計WS!DV6</f>
        <v>18053636</v>
      </c>
      <c r="P5" s="130">
        <f>移出入推計WS!EF6</f>
        <v>18117939</v>
      </c>
      <c r="Q5" s="130">
        <f>移出入推計WS!EP6</f>
        <v>16447492</v>
      </c>
      <c r="R5" s="915">
        <f>移出入推計WS!EZ6</f>
        <v>18581356</v>
      </c>
      <c r="S5" s="915">
        <f>移出入推計WS!FJ6</f>
        <v>21355734</v>
      </c>
      <c r="T5" s="915">
        <f>移出入推計WS!FU6</f>
        <v>21299939</v>
      </c>
      <c r="U5" s="453">
        <f>移出入推計WS!GE6</f>
        <v>22209561</v>
      </c>
      <c r="V5" s="915">
        <f>移出入推計WS!GO6</f>
        <v>22770726</v>
      </c>
      <c r="W5" s="915">
        <f>移出入推計WS!GY6</f>
        <v>23163638</v>
      </c>
      <c r="X5" s="915">
        <f>移出入推計WS!HY6</f>
        <v>25419691</v>
      </c>
      <c r="Y5" s="588">
        <f>(純移出入!U5-純移出入!T5)/ABS(純移出入!T5)*100</f>
        <v>196.26378626534827</v>
      </c>
      <c r="Z5" s="588">
        <f>(純移出入!V5-純移出入!U5)/ABS(純移出入!U5)*100</f>
        <v>7.1882038086614672</v>
      </c>
    </row>
    <row r="6" spans="1:26">
      <c r="A6" s="62">
        <v>100</v>
      </c>
      <c r="B6" s="62" t="s">
        <v>172</v>
      </c>
      <c r="C6" s="742">
        <f>移出入推計WS!F7</f>
        <v>5105413</v>
      </c>
      <c r="D6" s="742">
        <f>移出入推計WS!P7</f>
        <v>5256641</v>
      </c>
      <c r="E6" s="75">
        <f>移出入推計WS!Z7</f>
        <v>5185270</v>
      </c>
      <c r="F6" s="316">
        <f>移出入推計WS!AJ7</f>
        <v>4578241</v>
      </c>
      <c r="G6" s="316">
        <f>移出入推計WS!AT7</f>
        <v>4838635</v>
      </c>
      <c r="H6" s="75">
        <f>移出入推計WS!BD7</f>
        <v>4943367</v>
      </c>
      <c r="I6" s="75">
        <f>移出入推計WS!BN7</f>
        <v>4885147</v>
      </c>
      <c r="J6" s="75">
        <f>移出入推計WS!BX7</f>
        <v>5183324</v>
      </c>
      <c r="K6" s="75">
        <f>移出入推計WS!CH7</f>
        <v>5086009</v>
      </c>
      <c r="L6" s="75">
        <f>移出入推計WS!CR7</f>
        <v>5121471</v>
      </c>
      <c r="M6" s="75">
        <f>移出入推計WS!DB7</f>
        <v>4937530</v>
      </c>
      <c r="N6" s="75">
        <f>移出入推計WS!DL7</f>
        <v>5385525</v>
      </c>
      <c r="O6" s="75">
        <f>移出入推計WS!DV7</f>
        <v>5441169</v>
      </c>
      <c r="P6" s="75">
        <f>移出入推計WS!EF7</f>
        <v>5495878</v>
      </c>
      <c r="Q6" s="75">
        <f>移出入推計WS!EP7</f>
        <v>5003210</v>
      </c>
      <c r="R6" s="453">
        <f>移出入推計WS!EZ7</f>
        <v>5744322</v>
      </c>
      <c r="S6" s="453">
        <f>移出入推計WS!FJ7</f>
        <v>6564872</v>
      </c>
      <c r="T6" s="453">
        <f>移出入推計WS!FU7</f>
        <v>6438640</v>
      </c>
      <c r="U6" s="453">
        <f>移出入推計WS!GE7</f>
        <v>6428993</v>
      </c>
      <c r="V6" s="453">
        <f>移出入推計WS!GO7</f>
        <v>6664680</v>
      </c>
      <c r="W6" s="453">
        <f>移出入推計WS!GY7</f>
        <v>6830329</v>
      </c>
      <c r="X6" s="453">
        <f>移出入推計WS!HY7</f>
        <v>7382517</v>
      </c>
      <c r="Y6" s="588">
        <f>(純移出入!U6-純移出入!T6)/ABS(純移出入!T6)*100</f>
        <v>203.01238970222303</v>
      </c>
      <c r="Z6" s="588">
        <f>(純移出入!V6-純移出入!U6)/ABS(純移出入!U6)*100</f>
        <v>-60.908200251928733</v>
      </c>
    </row>
    <row r="7" spans="1:26">
      <c r="A7" s="62">
        <v>1</v>
      </c>
      <c r="B7" s="62" t="s">
        <v>323</v>
      </c>
      <c r="C7" s="742">
        <f>移出入推計WS!F8</f>
        <v>3426300</v>
      </c>
      <c r="D7" s="742">
        <f>移出入推計WS!P8</f>
        <v>3545725</v>
      </c>
      <c r="E7" s="75">
        <f>移出入推計WS!Z8</f>
        <v>3620585</v>
      </c>
      <c r="F7" s="316">
        <f>移出入推計WS!AJ8</f>
        <v>3181196</v>
      </c>
      <c r="G7" s="316">
        <f>移出入推計WS!AT8</f>
        <v>3182196</v>
      </c>
      <c r="H7" s="75">
        <f>移出入推計WS!BD8</f>
        <v>3194571</v>
      </c>
      <c r="I7" s="75">
        <f>移出入推計WS!BN8</f>
        <v>3142900</v>
      </c>
      <c r="J7" s="75">
        <f>移出入推計WS!BX8</f>
        <v>3294924</v>
      </c>
      <c r="K7" s="75">
        <f>移出入推計WS!CH8</f>
        <v>3248393</v>
      </c>
      <c r="L7" s="75">
        <f>移出入推計WS!CR8</f>
        <v>3317260</v>
      </c>
      <c r="M7" s="75">
        <f>移出入推計WS!DB8</f>
        <v>3173144</v>
      </c>
      <c r="N7" s="75">
        <f>移出入推計WS!DL8</f>
        <v>3220044</v>
      </c>
      <c r="O7" s="75">
        <f>移出入推計WS!DV8</f>
        <v>3338046</v>
      </c>
      <c r="P7" s="75">
        <f>移出入推計WS!EF8</f>
        <v>3294206</v>
      </c>
      <c r="Q7" s="75">
        <f>移出入推計WS!EP8</f>
        <v>3029672</v>
      </c>
      <c r="R7" s="453">
        <f>移出入推計WS!EZ8</f>
        <v>3433944</v>
      </c>
      <c r="S7" s="453">
        <f>移出入推計WS!FJ8</f>
        <v>3862319</v>
      </c>
      <c r="T7" s="453">
        <f>移出入推計WS!FU8</f>
        <v>3870308</v>
      </c>
      <c r="U7" s="453">
        <f>移出入推計WS!GE8</f>
        <v>3951882</v>
      </c>
      <c r="V7" s="453">
        <f>移出入推計WS!GO8</f>
        <v>4052916</v>
      </c>
      <c r="W7" s="453">
        <f>移出入推計WS!GY8</f>
        <v>4126005</v>
      </c>
      <c r="X7" s="453">
        <f>移出入推計WS!HY8</f>
        <v>4562037</v>
      </c>
      <c r="Y7" s="588">
        <f>(純移出入!U7-純移出入!T7)/ABS(純移出入!T7)*100</f>
        <v>86.354955581422303</v>
      </c>
      <c r="Z7" s="588">
        <f>(純移出入!V7-純移出入!U7)/ABS(純移出入!U7)*100</f>
        <v>714.70142915174119</v>
      </c>
    </row>
    <row r="8" spans="1:26">
      <c r="A8" s="62">
        <v>2</v>
      </c>
      <c r="B8" s="62" t="s">
        <v>324</v>
      </c>
      <c r="C8" s="742">
        <f>移出入推計WS!F9</f>
        <v>2020670</v>
      </c>
      <c r="D8" s="742">
        <f>移出入推計WS!P9</f>
        <v>2106177</v>
      </c>
      <c r="E8" s="75">
        <f>移出入推計WS!Z9</f>
        <v>2065574</v>
      </c>
      <c r="F8" s="316">
        <f>移出入推計WS!AJ9</f>
        <v>1823956</v>
      </c>
      <c r="G8" s="316">
        <f>移出入推計WS!AT9</f>
        <v>1873016</v>
      </c>
      <c r="H8" s="75">
        <f>移出入推計WS!BD9</f>
        <v>1942635</v>
      </c>
      <c r="I8" s="75">
        <f>移出入推計WS!BN9</f>
        <v>1978741</v>
      </c>
      <c r="J8" s="75">
        <f>移出入推計WS!BX9</f>
        <v>2057218</v>
      </c>
      <c r="K8" s="75">
        <f>移出入推計WS!CH9</f>
        <v>2088446</v>
      </c>
      <c r="L8" s="75">
        <f>移出入推計WS!CR9</f>
        <v>2054847</v>
      </c>
      <c r="M8" s="75">
        <f>移出入推計WS!DB9</f>
        <v>1959854</v>
      </c>
      <c r="N8" s="75">
        <f>移出入推計WS!DL9</f>
        <v>2032141</v>
      </c>
      <c r="O8" s="75">
        <f>移出入推計WS!DV9</f>
        <v>2083751</v>
      </c>
      <c r="P8" s="75">
        <f>移出入推計WS!EF9</f>
        <v>2099268</v>
      </c>
      <c r="Q8" s="75">
        <f>移出入推計WS!EP9</f>
        <v>1887851</v>
      </c>
      <c r="R8" s="453">
        <f>移出入推計WS!EZ9</f>
        <v>2138863</v>
      </c>
      <c r="S8" s="453">
        <f>移出入推計WS!FJ9</f>
        <v>2503389</v>
      </c>
      <c r="T8" s="453">
        <f>移出入推計WS!FU9</f>
        <v>2344880</v>
      </c>
      <c r="U8" s="453">
        <f>移出入推計WS!GE9</f>
        <v>2873343</v>
      </c>
      <c r="V8" s="453">
        <f>移出入推計WS!GO9</f>
        <v>2814641</v>
      </c>
      <c r="W8" s="453">
        <f>移出入推計WS!GY9</f>
        <v>2729614</v>
      </c>
      <c r="X8" s="453">
        <f>移出入推計WS!HY9</f>
        <v>3214943</v>
      </c>
      <c r="Y8" s="588">
        <f>(純移出入!U8-純移出入!T8)/ABS(純移出入!T8)*100</f>
        <v>-544.12005856515373</v>
      </c>
      <c r="Z8" s="588">
        <f>(純移出入!V8-純移出入!U8)/ABS(純移出入!U8)*100</f>
        <v>126.27621415939663</v>
      </c>
    </row>
    <row r="9" spans="1:26">
      <c r="A9" s="62">
        <v>3</v>
      </c>
      <c r="B9" s="62" t="s">
        <v>192</v>
      </c>
      <c r="C9" s="742">
        <f>移出入推計WS!F10</f>
        <v>2174777</v>
      </c>
      <c r="D9" s="742">
        <f>移出入推計WS!P10</f>
        <v>2291721</v>
      </c>
      <c r="E9" s="75">
        <f>移出入推計WS!Z10</f>
        <v>2338800</v>
      </c>
      <c r="F9" s="316">
        <f>移出入推計WS!AJ10</f>
        <v>2114011</v>
      </c>
      <c r="G9" s="316">
        <f>移出入推計WS!AT10</f>
        <v>2087058</v>
      </c>
      <c r="H9" s="75">
        <f>移出入推計WS!BD10</f>
        <v>2260088</v>
      </c>
      <c r="I9" s="75">
        <f>移出入推計WS!BN10</f>
        <v>2223394</v>
      </c>
      <c r="J9" s="75">
        <f>移出入推計WS!BX10</f>
        <v>2284265</v>
      </c>
      <c r="K9" s="75">
        <f>移出入推計WS!CH10</f>
        <v>2428236</v>
      </c>
      <c r="L9" s="75">
        <f>移出入推計WS!CR10</f>
        <v>2225289</v>
      </c>
      <c r="M9" s="75">
        <f>移出入推計WS!DB10</f>
        <v>2170038</v>
      </c>
      <c r="N9" s="75">
        <f>移出入推計WS!DL10</f>
        <v>2319859</v>
      </c>
      <c r="O9" s="75">
        <f>移出入推計WS!DV10</f>
        <v>2357648</v>
      </c>
      <c r="P9" s="75">
        <f>移出入推計WS!EF10</f>
        <v>2391479</v>
      </c>
      <c r="Q9" s="75">
        <f>移出入推計WS!EP10</f>
        <v>2151521</v>
      </c>
      <c r="R9" s="453">
        <f>移出入推計WS!EZ10</f>
        <v>2448472</v>
      </c>
      <c r="S9" s="453">
        <f>移出入推計WS!FJ10</f>
        <v>2742497</v>
      </c>
      <c r="T9" s="453">
        <f>移出入推計WS!FU10</f>
        <v>3118456</v>
      </c>
      <c r="U9" s="453">
        <f>移出入推計WS!GE10</f>
        <v>3070279</v>
      </c>
      <c r="V9" s="453">
        <f>移出入推計WS!GO10</f>
        <v>3140777</v>
      </c>
      <c r="W9" s="453">
        <f>移出入推計WS!GY10</f>
        <v>3159992</v>
      </c>
      <c r="X9" s="453">
        <f>移出入推計WS!HY10</f>
        <v>3537668</v>
      </c>
      <c r="Y9" s="588">
        <f>(純移出入!U9-純移出入!T9)/ABS(純移出入!T9)*100</f>
        <v>81.782168203502977</v>
      </c>
      <c r="Z9" s="588">
        <f>(純移出入!V9-純移出入!U9)/ABS(純移出入!U9)*100</f>
        <v>338.721199222726</v>
      </c>
    </row>
    <row r="10" spans="1:26">
      <c r="A10" s="62">
        <v>4</v>
      </c>
      <c r="B10" s="62" t="s">
        <v>325</v>
      </c>
      <c r="C10" s="742">
        <f>移出入推計WS!F11</f>
        <v>783363</v>
      </c>
      <c r="D10" s="742">
        <f>移出入推計WS!P11</f>
        <v>858911</v>
      </c>
      <c r="E10" s="75">
        <f>移出入推計WS!Z11</f>
        <v>791898</v>
      </c>
      <c r="F10" s="316">
        <f>移出入推計WS!AJ11</f>
        <v>686087</v>
      </c>
      <c r="G10" s="316">
        <f>移出入推計WS!AT11</f>
        <v>702035</v>
      </c>
      <c r="H10" s="75">
        <f>移出入推計WS!BD11</f>
        <v>827393</v>
      </c>
      <c r="I10" s="75">
        <f>移出入推計WS!BN11</f>
        <v>828904</v>
      </c>
      <c r="J10" s="75">
        <f>移出入推計WS!BX11</f>
        <v>857273</v>
      </c>
      <c r="K10" s="75">
        <f>移出入推計WS!CH11</f>
        <v>775229</v>
      </c>
      <c r="L10" s="75">
        <f>移出入推計WS!CR11</f>
        <v>777088</v>
      </c>
      <c r="M10" s="75">
        <f>移出入推計WS!DB11</f>
        <v>767352</v>
      </c>
      <c r="N10" s="75">
        <f>移出入推計WS!DL11</f>
        <v>781223</v>
      </c>
      <c r="O10" s="75">
        <f>移出入推計WS!DV11</f>
        <v>809880</v>
      </c>
      <c r="P10" s="75">
        <f>移出入推計WS!EF11</f>
        <v>847805</v>
      </c>
      <c r="Q10" s="75">
        <f>移出入推計WS!EP11</f>
        <v>732636</v>
      </c>
      <c r="R10" s="453">
        <f>移出入推計WS!EZ11</f>
        <v>818295</v>
      </c>
      <c r="S10" s="453">
        <f>移出入推計WS!FJ11</f>
        <v>947232</v>
      </c>
      <c r="T10" s="453">
        <f>移出入推計WS!FU11</f>
        <v>892947</v>
      </c>
      <c r="U10" s="453">
        <f>移出入推計WS!GE11</f>
        <v>1073615</v>
      </c>
      <c r="V10" s="453">
        <f>移出入推計WS!GO11</f>
        <v>1100196</v>
      </c>
      <c r="W10" s="453">
        <f>移出入推計WS!GY11</f>
        <v>1135451</v>
      </c>
      <c r="X10" s="453">
        <f>移出入推計WS!HY11</f>
        <v>1236851</v>
      </c>
      <c r="Y10" s="588">
        <f>(純移出入!U10-純移出入!T10)/ABS(純移出入!T10)*100</f>
        <v>-45.329844905185752</v>
      </c>
      <c r="Z10" s="588">
        <f>(純移出入!V10-純移出入!U10)/ABS(純移出入!U10)*100</f>
        <v>-63.778978420495726</v>
      </c>
    </row>
    <row r="11" spans="1:26">
      <c r="A11" s="62">
        <v>5</v>
      </c>
      <c r="B11" s="62" t="s">
        <v>326</v>
      </c>
      <c r="C11" s="742">
        <f>移出入推計WS!F12</f>
        <v>1830852</v>
      </c>
      <c r="D11" s="742">
        <f>移出入推計WS!P12</f>
        <v>1931881</v>
      </c>
      <c r="E11" s="75">
        <f>移出入推計WS!Z12</f>
        <v>1859803</v>
      </c>
      <c r="F11" s="316">
        <f>移出入推計WS!AJ12</f>
        <v>1645812</v>
      </c>
      <c r="G11" s="316">
        <f>移出入推計WS!AT12</f>
        <v>1998336</v>
      </c>
      <c r="H11" s="75">
        <f>移出入推計WS!BD12</f>
        <v>1780003</v>
      </c>
      <c r="I11" s="75">
        <f>移出入推計WS!BN12</f>
        <v>1790072</v>
      </c>
      <c r="J11" s="75">
        <f>移出入推計WS!BX12</f>
        <v>1847516</v>
      </c>
      <c r="K11" s="75">
        <f>移出入推計WS!CH12</f>
        <v>1819558</v>
      </c>
      <c r="L11" s="75">
        <f>移出入推計WS!CR12</f>
        <v>1807154</v>
      </c>
      <c r="M11" s="75">
        <f>移出入推計WS!DB12</f>
        <v>1784526</v>
      </c>
      <c r="N11" s="75">
        <f>移出入推計WS!DL12</f>
        <v>1857369</v>
      </c>
      <c r="O11" s="75">
        <f>移出入推計WS!DV12</f>
        <v>2006091</v>
      </c>
      <c r="P11" s="75">
        <f>移出入推計WS!EF12</f>
        <v>1935478</v>
      </c>
      <c r="Q11" s="75">
        <f>移出入推計WS!EP12</f>
        <v>1831749</v>
      </c>
      <c r="R11" s="453">
        <f>移出入推計WS!EZ12</f>
        <v>1984000</v>
      </c>
      <c r="S11" s="453">
        <f>移出入推計WS!FJ12</f>
        <v>2336782</v>
      </c>
      <c r="T11" s="453">
        <f>移出入推計WS!FU12</f>
        <v>2414807</v>
      </c>
      <c r="U11" s="453">
        <f>移出入推計WS!GE12</f>
        <v>2282306</v>
      </c>
      <c r="V11" s="453">
        <f>移出入推計WS!GO12</f>
        <v>2387169</v>
      </c>
      <c r="W11" s="453">
        <f>移出入推計WS!GY12</f>
        <v>2439209</v>
      </c>
      <c r="X11" s="453">
        <f>移出入推計WS!HY12</f>
        <v>2671810</v>
      </c>
      <c r="Y11" s="588">
        <f>(純移出入!U11-純移出入!T11)/ABS(純移出入!T11)*100</f>
        <v>1098.7901883162529</v>
      </c>
      <c r="Z11" s="588">
        <f>(純移出入!V11-純移出入!U11)/ABS(純移出入!U11)*100</f>
        <v>-63.683541818693669</v>
      </c>
    </row>
    <row r="12" spans="1:26">
      <c r="A12" s="62">
        <v>6</v>
      </c>
      <c r="B12" s="62" t="s">
        <v>327</v>
      </c>
      <c r="C12" s="742">
        <f>移出入推計WS!F13</f>
        <v>815384</v>
      </c>
      <c r="D12" s="742">
        <f>移出入推計WS!P13</f>
        <v>819193</v>
      </c>
      <c r="E12" s="75">
        <f>移出入推計WS!Z13</f>
        <v>795240</v>
      </c>
      <c r="F12" s="316">
        <f>移出入推計WS!AJ13</f>
        <v>705532</v>
      </c>
      <c r="G12" s="316">
        <f>移出入推計WS!AT13</f>
        <v>725914</v>
      </c>
      <c r="H12" s="75">
        <f>移出入推計WS!BD13</f>
        <v>769286</v>
      </c>
      <c r="I12" s="75">
        <f>移出入推計WS!BN13</f>
        <v>782608</v>
      </c>
      <c r="J12" s="75">
        <f>移出入推計WS!BX13</f>
        <v>761347</v>
      </c>
      <c r="K12" s="75">
        <f>移出入推計WS!CH13</f>
        <v>758867</v>
      </c>
      <c r="L12" s="75">
        <f>移出入推計WS!CR13</f>
        <v>772836</v>
      </c>
      <c r="M12" s="75">
        <f>移出入推計WS!DB13</f>
        <v>725547</v>
      </c>
      <c r="N12" s="75">
        <f>移出入推計WS!DL13</f>
        <v>719755</v>
      </c>
      <c r="O12" s="75">
        <f>移出入推計WS!DV13</f>
        <v>760389</v>
      </c>
      <c r="P12" s="75">
        <f>移出入推計WS!EF13</f>
        <v>779247</v>
      </c>
      <c r="Q12" s="75">
        <f>移出入推計WS!EP13</f>
        <v>688847</v>
      </c>
      <c r="R12" s="453">
        <f>移出入推計WS!EZ13</f>
        <v>736226</v>
      </c>
      <c r="S12" s="453">
        <f>移出入推計WS!FJ13</f>
        <v>925607</v>
      </c>
      <c r="T12" s="453">
        <f>移出入推計WS!FU13</f>
        <v>846743</v>
      </c>
      <c r="U12" s="453">
        <f>移出入推計WS!GE13</f>
        <v>964387</v>
      </c>
      <c r="V12" s="453">
        <f>移出入推計WS!GO13</f>
        <v>985254</v>
      </c>
      <c r="W12" s="453">
        <f>移出入推計WS!GY13</f>
        <v>1024414</v>
      </c>
      <c r="X12" s="453">
        <f>移出入推計WS!HY13</f>
        <v>1080464</v>
      </c>
      <c r="Y12" s="588">
        <f>(純移出入!U12-純移出入!T12)/ABS(純移出入!T12)*100</f>
        <v>-29.755778105905684</v>
      </c>
      <c r="Z12" s="588">
        <f>(純移出入!V12-純移出入!U12)/ABS(純移出入!U12)*100</f>
        <v>-64.410983482559061</v>
      </c>
    </row>
    <row r="13" spans="1:26">
      <c r="A13" s="62">
        <v>7</v>
      </c>
      <c r="B13" s="62" t="s">
        <v>210</v>
      </c>
      <c r="C13" s="742">
        <f>移出入推計WS!F14</f>
        <v>570529</v>
      </c>
      <c r="D13" s="742">
        <f>移出入推計WS!P14</f>
        <v>576575</v>
      </c>
      <c r="E13" s="75">
        <f>移出入推計WS!Z14</f>
        <v>560906</v>
      </c>
      <c r="F13" s="316">
        <f>移出入推計WS!AJ14</f>
        <v>505573</v>
      </c>
      <c r="G13" s="316">
        <f>移出入推計WS!AT14</f>
        <v>502951</v>
      </c>
      <c r="H13" s="75">
        <f>移出入推計WS!BD14</f>
        <v>555422</v>
      </c>
      <c r="I13" s="75">
        <f>移出入推計WS!BN14</f>
        <v>556235</v>
      </c>
      <c r="J13" s="75">
        <f>移出入推計WS!BX14</f>
        <v>552498</v>
      </c>
      <c r="K13" s="75">
        <f>移出入推計WS!CH14</f>
        <v>551632</v>
      </c>
      <c r="L13" s="75">
        <f>移出入推計WS!CR14</f>
        <v>536703</v>
      </c>
      <c r="M13" s="75">
        <f>移出入推計WS!DB14</f>
        <v>511894</v>
      </c>
      <c r="N13" s="75">
        <f>移出入推計WS!DL14</f>
        <v>571548</v>
      </c>
      <c r="O13" s="75">
        <f>移出入推計WS!DV14</f>
        <v>532781</v>
      </c>
      <c r="P13" s="75">
        <f>移出入推計WS!EF14</f>
        <v>537444</v>
      </c>
      <c r="Q13" s="75">
        <f>移出入推計WS!EP14</f>
        <v>470715</v>
      </c>
      <c r="R13" s="453">
        <f>移出入推計WS!EZ14</f>
        <v>523236</v>
      </c>
      <c r="S13" s="453">
        <f>移出入推計WS!FJ14</f>
        <v>608746</v>
      </c>
      <c r="T13" s="453">
        <f>移出入推計WS!FU14</f>
        <v>562120</v>
      </c>
      <c r="U13" s="453">
        <f>移出入推計WS!GE14</f>
        <v>657179</v>
      </c>
      <c r="V13" s="453">
        <f>移出入推計WS!GO14</f>
        <v>677199</v>
      </c>
      <c r="W13" s="453">
        <f>移出入推計WS!GY14</f>
        <v>711961</v>
      </c>
      <c r="X13" s="453">
        <f>移出入推計WS!HY14</f>
        <v>711488</v>
      </c>
      <c r="Y13" s="588">
        <f>(純移出入!U13-純移出入!T13)/ABS(純移出入!T13)*100</f>
        <v>-38.362678318982134</v>
      </c>
      <c r="Z13" s="588">
        <f>(純移出入!V13-純移出入!U13)/ABS(純移出入!U13)*100</f>
        <v>-63.753648874061717</v>
      </c>
    </row>
    <row r="14" spans="1:26">
      <c r="A14" s="62">
        <v>8</v>
      </c>
      <c r="B14" s="62" t="s">
        <v>211</v>
      </c>
      <c r="C14" s="742">
        <f>移出入推計WS!F15</f>
        <v>329968</v>
      </c>
      <c r="D14" s="742">
        <f>移出入推計WS!P15</f>
        <v>345076</v>
      </c>
      <c r="E14" s="75">
        <f>移出入推計WS!Z15</f>
        <v>333576</v>
      </c>
      <c r="F14" s="316">
        <f>移出入推計WS!AJ15</f>
        <v>290835</v>
      </c>
      <c r="G14" s="316">
        <f>移出入推計WS!AT15</f>
        <v>299872</v>
      </c>
      <c r="H14" s="75">
        <f>移出入推計WS!BD15</f>
        <v>310817</v>
      </c>
      <c r="I14" s="75">
        <f>移出入推計WS!BN15</f>
        <v>312228</v>
      </c>
      <c r="J14" s="75">
        <f>移出入推計WS!BX15</f>
        <v>320889</v>
      </c>
      <c r="K14" s="75">
        <f>移出入推計WS!CH15</f>
        <v>359713</v>
      </c>
      <c r="L14" s="75">
        <f>移出入推計WS!CR15</f>
        <v>354737</v>
      </c>
      <c r="M14" s="75">
        <f>移出入推計WS!DB15</f>
        <v>310014</v>
      </c>
      <c r="N14" s="75">
        <f>移出入推計WS!DL15</f>
        <v>310947</v>
      </c>
      <c r="O14" s="75">
        <f>移出入推計WS!DV15</f>
        <v>343672</v>
      </c>
      <c r="P14" s="75">
        <f>移出入推計WS!EF15</f>
        <v>340988</v>
      </c>
      <c r="Q14" s="75">
        <f>移出入推計WS!EP15</f>
        <v>301687</v>
      </c>
      <c r="R14" s="453">
        <f>移出入推計WS!EZ15</f>
        <v>333254</v>
      </c>
      <c r="S14" s="453">
        <f>移出入推計WS!FJ15</f>
        <v>394130</v>
      </c>
      <c r="T14" s="453">
        <f>移出入推計WS!FU15</f>
        <v>355041</v>
      </c>
      <c r="U14" s="453">
        <f>移出入推計WS!GE15</f>
        <v>411319</v>
      </c>
      <c r="V14" s="453">
        <f>移出入推計WS!GO15</f>
        <v>424944</v>
      </c>
      <c r="W14" s="453">
        <f>移出入推計WS!GY15</f>
        <v>446863</v>
      </c>
      <c r="X14" s="453">
        <f>移出入推計WS!HY15</f>
        <v>464253</v>
      </c>
      <c r="Y14" s="588">
        <f>(純移出入!U14-純移出入!T14)/ABS(純移出入!T14)*100</f>
        <v>-29.928147453920651</v>
      </c>
      <c r="Z14" s="588">
        <f>(純移出入!V14-純移出入!U14)/ABS(純移出入!U14)*100</f>
        <v>-71.181123165073231</v>
      </c>
    </row>
    <row r="15" spans="1:26">
      <c r="A15" s="70">
        <v>9</v>
      </c>
      <c r="B15" s="70" t="s">
        <v>212</v>
      </c>
      <c r="C15" s="779">
        <f>移出入推計WS!F16</f>
        <v>408472</v>
      </c>
      <c r="D15" s="779">
        <f>移出入推計WS!P16</f>
        <v>406065</v>
      </c>
      <c r="E15" s="132">
        <f>移出入推計WS!Z16</f>
        <v>396976</v>
      </c>
      <c r="F15" s="380">
        <f>移出入推計WS!AJ16</f>
        <v>372335</v>
      </c>
      <c r="G15" s="380">
        <f>移出入推計WS!AT16</f>
        <v>379810</v>
      </c>
      <c r="H15" s="132">
        <f>移出入推計WS!BD16</f>
        <v>387052</v>
      </c>
      <c r="I15" s="75">
        <f>移出入推計WS!BN16</f>
        <v>394948</v>
      </c>
      <c r="J15" s="132">
        <f>移出入推計WS!BX16</f>
        <v>404987</v>
      </c>
      <c r="K15" s="132">
        <f>移出入推計WS!CH16</f>
        <v>394268</v>
      </c>
      <c r="L15" s="132">
        <f>移出入推計WS!CR16</f>
        <v>399011</v>
      </c>
      <c r="M15" s="132">
        <f>移出入推計WS!DB16</f>
        <v>375736</v>
      </c>
      <c r="N15" s="132">
        <f>移出入推計WS!DL16</f>
        <v>384720</v>
      </c>
      <c r="O15" s="132">
        <f>移出入推計WS!DV16</f>
        <v>380209</v>
      </c>
      <c r="P15" s="132">
        <f>移出入推計WS!EF16</f>
        <v>396146</v>
      </c>
      <c r="Q15" s="132">
        <f>移出入推計WS!EP16</f>
        <v>349604</v>
      </c>
      <c r="R15" s="450">
        <f>移出入推計WS!EZ16</f>
        <v>420744</v>
      </c>
      <c r="S15" s="450">
        <f>移出入推計WS!FJ16</f>
        <v>470160</v>
      </c>
      <c r="T15" s="450">
        <f>移出入推計WS!FU16</f>
        <v>455997</v>
      </c>
      <c r="U15" s="453">
        <f>移出入推計WS!GE16</f>
        <v>496258</v>
      </c>
      <c r="V15" s="450">
        <f>移出入推計WS!GO16</f>
        <v>522950</v>
      </c>
      <c r="W15" s="450">
        <f>移出入推計WS!GY16</f>
        <v>559800</v>
      </c>
      <c r="X15" s="450">
        <f>移出入推計WS!HY16</f>
        <v>557660</v>
      </c>
      <c r="Y15" s="588">
        <f>(純移出入!U15-純移出入!T15)/ABS(純移出入!T15)*100</f>
        <v>-9.856729185987092</v>
      </c>
      <c r="Z15" s="588">
        <f>(純移出入!V15-純移出入!U15)/ABS(純移出入!U15)*100</f>
        <v>-54.905624724432592</v>
      </c>
    </row>
    <row r="16" spans="1:26">
      <c r="A16" s="62"/>
      <c r="B16" s="62"/>
      <c r="C16" s="744"/>
      <c r="D16" s="744"/>
      <c r="E16" s="75" t="s">
        <v>347</v>
      </c>
      <c r="F16" s="316" t="s">
        <v>347</v>
      </c>
      <c r="G16" s="316" t="s">
        <v>901</v>
      </c>
      <c r="H16" s="75" t="s">
        <v>347</v>
      </c>
      <c r="I16" s="382" t="s">
        <v>678</v>
      </c>
      <c r="J16" s="75" t="s">
        <v>678</v>
      </c>
      <c r="K16" s="382" t="s">
        <v>347</v>
      </c>
      <c r="L16" s="75" t="s">
        <v>819</v>
      </c>
      <c r="M16" s="75" t="s">
        <v>1067</v>
      </c>
      <c r="N16" s="75" t="s">
        <v>1067</v>
      </c>
      <c r="O16" s="75" t="s">
        <v>1099</v>
      </c>
      <c r="P16" s="75" t="s">
        <v>1111</v>
      </c>
      <c r="R16" s="453"/>
      <c r="S16" s="453"/>
      <c r="T16" s="453" t="s">
        <v>11</v>
      </c>
      <c r="U16" s="929" t="s">
        <v>1598</v>
      </c>
      <c r="V16" s="453"/>
      <c r="W16" s="453"/>
      <c r="X16" s="453" t="str">
        <f>移出入推計WS!HY17</f>
        <v xml:space="preserve"> </v>
      </c>
      <c r="Y16" s="588"/>
      <c r="Z16" s="588"/>
    </row>
    <row r="17" spans="1:26">
      <c r="A17" s="64">
        <v>100</v>
      </c>
      <c r="B17" s="64" t="s">
        <v>172</v>
      </c>
      <c r="C17" s="1223">
        <f>移出入推計WS!F18</f>
        <v>5105413</v>
      </c>
      <c r="D17" s="1223">
        <f>移出入推計WS!P18</f>
        <v>5256641</v>
      </c>
      <c r="E17" s="382">
        <f>移出入推計WS!Z18</f>
        <v>5185270</v>
      </c>
      <c r="F17" s="320">
        <f>移出入推計WS!AJ18</f>
        <v>4578241</v>
      </c>
      <c r="G17" s="1175">
        <f>移出入推計WS!AT18</f>
        <v>4838635</v>
      </c>
      <c r="H17" s="130">
        <f>移出入推計WS!BD18</f>
        <v>4943367</v>
      </c>
      <c r="I17" s="75">
        <f>移出入推計WS!BN18</f>
        <v>4885147</v>
      </c>
      <c r="J17" s="382">
        <f>移出入推計WS!BX18</f>
        <v>5183324</v>
      </c>
      <c r="K17" s="75">
        <f>移出入推計WS!CH18</f>
        <v>5086009</v>
      </c>
      <c r="L17" s="382">
        <f>移出入推計WS!CR18</f>
        <v>5121471</v>
      </c>
      <c r="M17" s="382">
        <f>移出入推計WS!DB18</f>
        <v>4937530</v>
      </c>
      <c r="N17" s="382">
        <f>移出入推計WS!DL18</f>
        <v>5385525</v>
      </c>
      <c r="O17" s="382">
        <f>移出入推計WS!DV18</f>
        <v>5441169</v>
      </c>
      <c r="P17" s="382">
        <f>移出入推計WS!EF18</f>
        <v>5495878</v>
      </c>
      <c r="Q17" s="130">
        <f>移出入推計WS!EP18</f>
        <v>5003210</v>
      </c>
      <c r="R17" s="915">
        <f>移出入推計WS!EZ18</f>
        <v>5744322</v>
      </c>
      <c r="S17" s="915">
        <f>移出入推計WS!FJ18</f>
        <v>6564872</v>
      </c>
      <c r="T17" s="929">
        <f>移出入推計WS!FU18</f>
        <v>6438640</v>
      </c>
      <c r="U17" s="453">
        <f>移出入推計WS!GE18</f>
        <v>6428993</v>
      </c>
      <c r="V17" s="929">
        <f>移出入推計WS!GO18</f>
        <v>6664680</v>
      </c>
      <c r="W17" s="929">
        <f>移出入推計WS!GY18</f>
        <v>6830329</v>
      </c>
      <c r="X17" s="915">
        <f>移出入推計WS!HY18</f>
        <v>7382517</v>
      </c>
      <c r="Y17" s="588">
        <f>(純移出入!U17-純移出入!T17)/ABS(純移出入!T17)*100</f>
        <v>203.01238970222303</v>
      </c>
      <c r="Z17" s="588">
        <f>(純移出入!V17-純移出入!U17)/ABS(純移出入!U17)*100</f>
        <v>-60.908200251928733</v>
      </c>
    </row>
    <row r="18" spans="1:26">
      <c r="A18" s="62">
        <v>1</v>
      </c>
      <c r="B18" s="62" t="s">
        <v>328</v>
      </c>
      <c r="C18" s="744">
        <f>移出入推計WS!F19</f>
        <v>3426300</v>
      </c>
      <c r="D18" s="744">
        <f>移出入推計WS!P19</f>
        <v>3545725</v>
      </c>
      <c r="E18" s="75">
        <f>移出入推計WS!Z19</f>
        <v>3620585</v>
      </c>
      <c r="F18" s="316">
        <f>移出入推計WS!AJ19</f>
        <v>3181196</v>
      </c>
      <c r="G18" s="1175">
        <f>移出入推計WS!AT19</f>
        <v>3182196</v>
      </c>
      <c r="H18" s="130">
        <f>移出入推計WS!BD19</f>
        <v>3194571</v>
      </c>
      <c r="I18" s="130">
        <f>移出入推計WS!BN19</f>
        <v>3142900</v>
      </c>
      <c r="J18" s="75">
        <f>移出入推計WS!BX19</f>
        <v>3294924</v>
      </c>
      <c r="K18" s="130">
        <f>移出入推計WS!CH19</f>
        <v>3248393</v>
      </c>
      <c r="L18" s="75">
        <f>移出入推計WS!CR19</f>
        <v>3317260</v>
      </c>
      <c r="M18" s="130">
        <f>移出入推計WS!DB19</f>
        <v>3173144</v>
      </c>
      <c r="N18" s="130">
        <f>移出入推計WS!DL19</f>
        <v>3220044</v>
      </c>
      <c r="O18" s="75">
        <f>移出入推計WS!DV19</f>
        <v>3338046</v>
      </c>
      <c r="P18" s="75">
        <f>移出入推計WS!EF19</f>
        <v>3294206</v>
      </c>
      <c r="Q18" s="130">
        <f>移出入推計WS!EP19</f>
        <v>3029672</v>
      </c>
      <c r="R18" s="915">
        <f>移出入推計WS!EZ19</f>
        <v>3433944</v>
      </c>
      <c r="S18" s="915">
        <f>移出入推計WS!FJ19</f>
        <v>3862319</v>
      </c>
      <c r="T18" s="453">
        <f>移出入推計WS!FU19</f>
        <v>3870308</v>
      </c>
      <c r="U18" s="915">
        <f>移出入推計WS!GE19</f>
        <v>3951882</v>
      </c>
      <c r="V18" s="453">
        <f>移出入推計WS!GO19</f>
        <v>4052916</v>
      </c>
      <c r="W18" s="453">
        <f>移出入推計WS!GY19</f>
        <v>4126005</v>
      </c>
      <c r="X18" s="453">
        <f>移出入推計WS!HY19</f>
        <v>4562037</v>
      </c>
      <c r="Y18" s="588">
        <f>(純移出入!U18-純移出入!T18)/ABS(純移出入!T18)*100</f>
        <v>86.354955581422303</v>
      </c>
      <c r="Z18" s="588">
        <f>(純移出入!V18-純移出入!U18)/ABS(純移出入!U18)*100</f>
        <v>714.70142915174119</v>
      </c>
    </row>
    <row r="19" spans="1:26">
      <c r="A19" s="62">
        <v>202</v>
      </c>
      <c r="B19" s="62" t="s">
        <v>183</v>
      </c>
      <c r="C19" s="744">
        <f>移出入推計WS!F20</f>
        <v>1735303</v>
      </c>
      <c r="D19" s="744">
        <f>移出入推計WS!P20</f>
        <v>1768422</v>
      </c>
      <c r="E19" s="75">
        <f>移出入推計WS!Z20</f>
        <v>1832876</v>
      </c>
      <c r="F19" s="316">
        <f>移出入推計WS!AJ20</f>
        <v>1635532</v>
      </c>
      <c r="G19" s="316">
        <f>移出入推計WS!AT20</f>
        <v>1568680</v>
      </c>
      <c r="H19" s="75">
        <f>移出入推計WS!BD20</f>
        <v>1519355</v>
      </c>
      <c r="I19" s="75">
        <f>移出入推計WS!BN20</f>
        <v>1464262</v>
      </c>
      <c r="J19" s="75">
        <f>移出入推計WS!BX20</f>
        <v>1528606</v>
      </c>
      <c r="K19" s="75">
        <f>移出入推計WS!CH20</f>
        <v>1519109</v>
      </c>
      <c r="L19" s="75">
        <f>移出入推計WS!CR20</f>
        <v>1539495</v>
      </c>
      <c r="M19" s="75">
        <f>移出入推計WS!DB20</f>
        <v>1477740</v>
      </c>
      <c r="N19" s="75">
        <f>移出入推計WS!DL20</f>
        <v>1478851</v>
      </c>
      <c r="O19" s="75">
        <f>移出入推計WS!DV20</f>
        <v>1538699</v>
      </c>
      <c r="P19" s="75">
        <f>移出入推計WS!EF20</f>
        <v>1526958</v>
      </c>
      <c r="Q19" s="75">
        <f>移出入推計WS!EP20</f>
        <v>1392050</v>
      </c>
      <c r="R19" s="453">
        <f>移出入推計WS!EZ20</f>
        <v>1598908</v>
      </c>
      <c r="S19" s="453">
        <f>移出入推計WS!FJ20</f>
        <v>1790066</v>
      </c>
      <c r="T19" s="453">
        <f>移出入推計WS!FU20</f>
        <v>1820973</v>
      </c>
      <c r="U19" s="453">
        <f>移出入推計WS!GE20</f>
        <v>1835954</v>
      </c>
      <c r="V19" s="453">
        <f>移出入推計WS!GO20</f>
        <v>1881672</v>
      </c>
      <c r="W19" s="453">
        <f>移出入推計WS!GY20</f>
        <v>1898267</v>
      </c>
      <c r="X19" s="453">
        <f>移出入推計WS!HY20</f>
        <v>2150768</v>
      </c>
      <c r="Y19" s="588">
        <f>(純移出入!U19-純移出入!T19)/ABS(純移出入!T19)*100</f>
        <v>427.91970084629014</v>
      </c>
      <c r="Z19" s="588">
        <f>(純移出入!V19-純移出入!U19)/ABS(純移出入!U19)*100</f>
        <v>-7.2345993181927302</v>
      </c>
    </row>
    <row r="20" spans="1:26">
      <c r="A20" s="62">
        <v>204</v>
      </c>
      <c r="B20" s="62" t="s">
        <v>184</v>
      </c>
      <c r="C20" s="744">
        <f>移出入推計WS!F21</f>
        <v>1406047</v>
      </c>
      <c r="D20" s="744">
        <f>移出入推計WS!P21</f>
        <v>1478413</v>
      </c>
      <c r="E20" s="75">
        <f>移出入推計WS!Z21</f>
        <v>1495664</v>
      </c>
      <c r="F20" s="316">
        <f>移出入推計WS!AJ21</f>
        <v>1283637</v>
      </c>
      <c r="G20" s="316">
        <f>移出入推計WS!AT21</f>
        <v>1353380</v>
      </c>
      <c r="H20" s="75">
        <f>移出入推計WS!BD21</f>
        <v>1399466</v>
      </c>
      <c r="I20" s="75">
        <f>移出入推計WS!BN21</f>
        <v>1398139</v>
      </c>
      <c r="J20" s="75">
        <f>移出入推計WS!BX21</f>
        <v>1457822</v>
      </c>
      <c r="K20" s="75">
        <f>移出入推計WS!CH21</f>
        <v>1430666</v>
      </c>
      <c r="L20" s="75">
        <f>移出入推計WS!CR21</f>
        <v>1466297</v>
      </c>
      <c r="M20" s="75">
        <f>移出入推計WS!DB21</f>
        <v>1394448</v>
      </c>
      <c r="N20" s="75">
        <f>移出入推計WS!DL21</f>
        <v>1445623</v>
      </c>
      <c r="O20" s="75">
        <f>移出入推計WS!DV21</f>
        <v>1489574</v>
      </c>
      <c r="P20" s="75">
        <f>移出入推計WS!EF21</f>
        <v>1464950</v>
      </c>
      <c r="Q20" s="75">
        <f>移出入推計WS!EP21</f>
        <v>1362749</v>
      </c>
      <c r="R20" s="453">
        <f>移出入推計WS!EZ21</f>
        <v>1534890</v>
      </c>
      <c r="S20" s="453">
        <f>移出入推計WS!FJ21</f>
        <v>1731131</v>
      </c>
      <c r="T20" s="453">
        <f>移出入推計WS!FU21</f>
        <v>1737200</v>
      </c>
      <c r="U20" s="453">
        <f>移出入推計WS!GE21</f>
        <v>1730994</v>
      </c>
      <c r="V20" s="453">
        <f>移出入推計WS!GO21</f>
        <v>1787518</v>
      </c>
      <c r="W20" s="453">
        <f>移出入推計WS!GY21</f>
        <v>1826999</v>
      </c>
      <c r="X20" s="453">
        <f>移出入推計WS!HY21</f>
        <v>1985951</v>
      </c>
      <c r="Y20" s="588">
        <f>(純移出入!U20-純移出入!T20)/ABS(純移出入!T20)*100</f>
        <v>64.937006436298901</v>
      </c>
      <c r="Z20" s="588">
        <f>(純移出入!V20-純移出入!U20)/ABS(純移出入!U20)*100</f>
        <v>219.46948738812046</v>
      </c>
    </row>
    <row r="21" spans="1:26">
      <c r="A21" s="62">
        <v>206</v>
      </c>
      <c r="B21" s="62" t="s">
        <v>185</v>
      </c>
      <c r="C21" s="744">
        <f>移出入推計WS!F22</f>
        <v>284950</v>
      </c>
      <c r="D21" s="744">
        <f>移出入推計WS!P22</f>
        <v>298890</v>
      </c>
      <c r="E21" s="75">
        <f>移出入推計WS!Z22</f>
        <v>292045</v>
      </c>
      <c r="F21" s="316">
        <f>移出入推計WS!AJ22</f>
        <v>262027</v>
      </c>
      <c r="G21" s="380">
        <f>移出入推計WS!AT22</f>
        <v>260136</v>
      </c>
      <c r="H21" s="132">
        <f>移出入推計WS!BD22</f>
        <v>275750</v>
      </c>
      <c r="I21" s="132">
        <f>移出入推計WS!BN22</f>
        <v>280499</v>
      </c>
      <c r="J21" s="75">
        <f>移出入推計WS!BX22</f>
        <v>308496</v>
      </c>
      <c r="K21" s="132">
        <f>移出入推計WS!CH22</f>
        <v>298618</v>
      </c>
      <c r="L21" s="75">
        <f>移出入推計WS!CR22</f>
        <v>311468</v>
      </c>
      <c r="M21" s="132">
        <f>移出入推計WS!DB22</f>
        <v>300956</v>
      </c>
      <c r="N21" s="132">
        <f>移出入推計WS!DL22</f>
        <v>295570</v>
      </c>
      <c r="O21" s="75">
        <f>移出入推計WS!DV22</f>
        <v>309773</v>
      </c>
      <c r="P21" s="75">
        <f>移出入推計WS!EF22</f>
        <v>302298</v>
      </c>
      <c r="Q21" s="132">
        <f>移出入推計WS!EP22</f>
        <v>274873</v>
      </c>
      <c r="R21" s="450">
        <f>移出入推計WS!EZ22</f>
        <v>300146</v>
      </c>
      <c r="S21" s="450">
        <f>移出入推計WS!FJ22</f>
        <v>341122</v>
      </c>
      <c r="T21" s="453">
        <f>移出入推計WS!FU22</f>
        <v>312135</v>
      </c>
      <c r="U21" s="450">
        <f>移出入推計WS!GE22</f>
        <v>384934</v>
      </c>
      <c r="V21" s="453">
        <f>移出入推計WS!GO22</f>
        <v>383726</v>
      </c>
      <c r="W21" s="453">
        <f>移出入推計WS!GY22</f>
        <v>400739</v>
      </c>
      <c r="X21" s="453">
        <f>移出入推計WS!HY22</f>
        <v>425318</v>
      </c>
      <c r="Y21" s="588">
        <f>(純移出入!U21-純移出入!T21)/ABS(純移出入!T21)*100</f>
        <v>-2316.3496376811595</v>
      </c>
      <c r="Z21" s="588">
        <f>(純移出入!V21-純移出入!U21)/ABS(純移出入!U21)*100</f>
        <v>132.20467131209514</v>
      </c>
    </row>
    <row r="22" spans="1:26">
      <c r="A22" s="68">
        <v>2</v>
      </c>
      <c r="B22" s="68" t="s">
        <v>324</v>
      </c>
      <c r="C22" s="759">
        <f>移出入推計WS!F23</f>
        <v>2020670</v>
      </c>
      <c r="D22" s="759">
        <f>移出入推計WS!P23</f>
        <v>2106177</v>
      </c>
      <c r="E22" s="130">
        <f>移出入推計WS!Z23</f>
        <v>2065574</v>
      </c>
      <c r="F22" s="1175">
        <f>移出入推計WS!AJ23</f>
        <v>1823956</v>
      </c>
      <c r="G22" s="316">
        <f>移出入推計WS!AT23</f>
        <v>1873016</v>
      </c>
      <c r="H22" s="75">
        <f>移出入推計WS!BD23</f>
        <v>1942635</v>
      </c>
      <c r="I22" s="75">
        <f>移出入推計WS!BN23</f>
        <v>1978741</v>
      </c>
      <c r="J22" s="130">
        <f>移出入推計WS!BX23</f>
        <v>2057218</v>
      </c>
      <c r="K22" s="75">
        <f>移出入推計WS!CH23</f>
        <v>2088446</v>
      </c>
      <c r="L22" s="130">
        <f>移出入推計WS!CR23</f>
        <v>2054847</v>
      </c>
      <c r="M22" s="75">
        <f>移出入推計WS!DB23</f>
        <v>1959854</v>
      </c>
      <c r="N22" s="75">
        <f>移出入推計WS!DL23</f>
        <v>2032141</v>
      </c>
      <c r="O22" s="130">
        <f>移出入推計WS!DV23</f>
        <v>2083751</v>
      </c>
      <c r="P22" s="130">
        <f>移出入推計WS!EF23</f>
        <v>2099268</v>
      </c>
      <c r="Q22" s="130">
        <f>移出入推計WS!EP23</f>
        <v>1887851</v>
      </c>
      <c r="R22" s="915">
        <f>移出入推計WS!EZ23</f>
        <v>2138863</v>
      </c>
      <c r="S22" s="915">
        <f>移出入推計WS!FJ23</f>
        <v>2503389</v>
      </c>
      <c r="T22" s="915">
        <f>移出入推計WS!FU23</f>
        <v>2344880</v>
      </c>
      <c r="U22" s="453">
        <f>移出入推計WS!GE23</f>
        <v>2873343</v>
      </c>
      <c r="V22" s="915">
        <f>移出入推計WS!GO23</f>
        <v>2814641</v>
      </c>
      <c r="W22" s="915">
        <f>移出入推計WS!GY23</f>
        <v>2729614</v>
      </c>
      <c r="X22" s="453">
        <f>移出入推計WS!HY23</f>
        <v>3214943</v>
      </c>
      <c r="Y22" s="588">
        <f>(純移出入!U22-純移出入!T22)/ABS(純移出入!T22)*100</f>
        <v>-544.12005856515373</v>
      </c>
      <c r="Z22" s="588">
        <f>(純移出入!V22-純移出入!U22)/ABS(純移出入!U22)*100</f>
        <v>126.27621415939663</v>
      </c>
    </row>
    <row r="23" spans="1:26">
      <c r="A23" s="62">
        <v>207</v>
      </c>
      <c r="B23" s="62" t="s">
        <v>187</v>
      </c>
      <c r="C23" s="742">
        <f>移出入推計WS!F24</f>
        <v>593040</v>
      </c>
      <c r="D23" s="742">
        <f>移出入推計WS!P24</f>
        <v>611744</v>
      </c>
      <c r="E23" s="75">
        <f>移出入推計WS!Z24</f>
        <v>590437</v>
      </c>
      <c r="F23" s="316">
        <f>移出入推計WS!AJ24</f>
        <v>520700</v>
      </c>
      <c r="G23" s="316">
        <f>移出入推計WS!AT24</f>
        <v>527479</v>
      </c>
      <c r="H23" s="75">
        <f>移出入推計WS!BD24</f>
        <v>563618</v>
      </c>
      <c r="I23" s="75">
        <f>移出入推計WS!BN24</f>
        <v>554164</v>
      </c>
      <c r="J23" s="75">
        <f>移出入推計WS!BX24</f>
        <v>596332</v>
      </c>
      <c r="K23" s="75">
        <f>移出入推計WS!CH24</f>
        <v>585486</v>
      </c>
      <c r="L23" s="75">
        <f>移出入推計WS!CR24</f>
        <v>592276</v>
      </c>
      <c r="M23" s="75">
        <f>移出入推計WS!DB24</f>
        <v>571874</v>
      </c>
      <c r="N23" s="75">
        <f>移出入推計WS!DL24</f>
        <v>585553</v>
      </c>
      <c r="O23" s="75">
        <f>移出入推計WS!DV24</f>
        <v>601335</v>
      </c>
      <c r="P23" s="75">
        <f>移出入推計WS!EF24</f>
        <v>613097</v>
      </c>
      <c r="Q23" s="75">
        <f>移出入推計WS!EP24</f>
        <v>550932</v>
      </c>
      <c r="R23" s="453">
        <f>移出入推計WS!EZ24</f>
        <v>639283</v>
      </c>
      <c r="S23" s="453">
        <f>移出入推計WS!FJ24</f>
        <v>748824</v>
      </c>
      <c r="T23" s="453">
        <f>移出入推計WS!FU24</f>
        <v>687887</v>
      </c>
      <c r="U23" s="453">
        <f>移出入推計WS!GE24</f>
        <v>784338</v>
      </c>
      <c r="V23" s="453">
        <f>移出入推計WS!GO24</f>
        <v>808493</v>
      </c>
      <c r="W23" s="453">
        <f>移出入推計WS!GY24</f>
        <v>807908</v>
      </c>
      <c r="X23" s="453">
        <f>移出入推計WS!HY24</f>
        <v>928379</v>
      </c>
      <c r="Y23" s="588">
        <f>(純移出入!U23-純移出入!T23)/ABS(純移出入!T23)*100</f>
        <v>-1182.3430761859129</v>
      </c>
      <c r="Z23" s="588">
        <f>(純移出入!V23-純移出入!U23)/ABS(純移出入!U23)*100</f>
        <v>162.03643157403081</v>
      </c>
    </row>
    <row r="24" spans="1:26">
      <c r="A24" s="62">
        <v>214</v>
      </c>
      <c r="B24" s="62" t="s">
        <v>188</v>
      </c>
      <c r="C24" s="742">
        <f>移出入推計WS!F25</f>
        <v>627686</v>
      </c>
      <c r="D24" s="742">
        <f>移出入推計WS!P25</f>
        <v>648823</v>
      </c>
      <c r="E24" s="75">
        <f>移出入推計WS!Z25</f>
        <v>640710</v>
      </c>
      <c r="F24" s="316">
        <f>移出入推計WS!AJ25</f>
        <v>572535</v>
      </c>
      <c r="G24" s="316">
        <f>移出入推計WS!AT25</f>
        <v>600878</v>
      </c>
      <c r="H24" s="75">
        <f>移出入推計WS!BD25</f>
        <v>607179</v>
      </c>
      <c r="I24" s="75">
        <f>移出入推計WS!BN25</f>
        <v>618301</v>
      </c>
      <c r="J24" s="75">
        <f>移出入推計WS!BX25</f>
        <v>651044</v>
      </c>
      <c r="K24" s="75">
        <f>移出入推計WS!CH25</f>
        <v>654794</v>
      </c>
      <c r="L24" s="75">
        <f>移出入推計WS!CR25</f>
        <v>639676</v>
      </c>
      <c r="M24" s="75">
        <f>移出入推計WS!DB25</f>
        <v>598172</v>
      </c>
      <c r="N24" s="75">
        <f>移出入推計WS!DL25</f>
        <v>631591</v>
      </c>
      <c r="O24" s="75">
        <f>移出入推計WS!DV25</f>
        <v>643005</v>
      </c>
      <c r="P24" s="75">
        <f>移出入推計WS!EF25</f>
        <v>646210</v>
      </c>
      <c r="Q24" s="75">
        <f>移出入推計WS!EP25</f>
        <v>568477</v>
      </c>
      <c r="R24" s="453">
        <f>移出入推計WS!EZ25</f>
        <v>668618</v>
      </c>
      <c r="S24" s="453">
        <f>移出入推計WS!FJ25</f>
        <v>776738</v>
      </c>
      <c r="T24" s="453">
        <f>移出入推計WS!FU25</f>
        <v>732353</v>
      </c>
      <c r="U24" s="453">
        <f>移出入推計WS!GE25</f>
        <v>800049</v>
      </c>
      <c r="V24" s="453">
        <f>移出入推計WS!GO25</f>
        <v>824367</v>
      </c>
      <c r="W24" s="453">
        <f>移出入推計WS!GY25</f>
        <v>826229</v>
      </c>
      <c r="X24" s="453">
        <f>移出入推計WS!HY25</f>
        <v>909563</v>
      </c>
      <c r="Y24" s="588">
        <f>(純移出入!U24-純移出入!T24)/ABS(純移出入!T24)*100</f>
        <v>-26.318754365803649</v>
      </c>
      <c r="Z24" s="588">
        <f>(純移出入!V24-純移出入!U24)/ABS(純移出入!U24)*100</f>
        <v>130.19764890561729</v>
      </c>
    </row>
    <row r="25" spans="1:26">
      <c r="A25" s="62">
        <v>217</v>
      </c>
      <c r="B25" s="62" t="s">
        <v>189</v>
      </c>
      <c r="C25" s="742">
        <f>移出入推計WS!F26</f>
        <v>420097</v>
      </c>
      <c r="D25" s="742">
        <f>移出入推計WS!P26</f>
        <v>453531</v>
      </c>
      <c r="E25" s="75">
        <f>移出入推計WS!Z26</f>
        <v>442920</v>
      </c>
      <c r="F25" s="316">
        <f>移出入推計WS!AJ26</f>
        <v>385422</v>
      </c>
      <c r="G25" s="316">
        <f>移出入推計WS!AT26</f>
        <v>394816</v>
      </c>
      <c r="H25" s="75">
        <f>移出入推計WS!BD26</f>
        <v>401168</v>
      </c>
      <c r="I25" s="75">
        <f>移出入推計WS!BN26</f>
        <v>413249</v>
      </c>
      <c r="J25" s="75">
        <f>移出入推計WS!BX26</f>
        <v>427991</v>
      </c>
      <c r="K25" s="75">
        <f>移出入推計WS!CH26</f>
        <v>433840</v>
      </c>
      <c r="L25" s="75">
        <f>移出入推計WS!CR26</f>
        <v>424460</v>
      </c>
      <c r="M25" s="75">
        <f>移出入推計WS!DB26</f>
        <v>399665</v>
      </c>
      <c r="N25" s="75">
        <f>移出入推計WS!DL26</f>
        <v>431818</v>
      </c>
      <c r="O25" s="75">
        <f>移出入推計WS!DV26</f>
        <v>430542</v>
      </c>
      <c r="P25" s="75">
        <f>移出入推計WS!EF26</f>
        <v>432648</v>
      </c>
      <c r="Q25" s="75">
        <f>移出入推計WS!EP26</f>
        <v>399122</v>
      </c>
      <c r="R25" s="453">
        <f>移出入推計WS!EZ26</f>
        <v>442510</v>
      </c>
      <c r="S25" s="453">
        <f>移出入推計WS!FJ26</f>
        <v>522254</v>
      </c>
      <c r="T25" s="453">
        <f>移出入推計WS!FU26</f>
        <v>482432</v>
      </c>
      <c r="U25" s="453">
        <f>移出入推計WS!GE26</f>
        <v>532921</v>
      </c>
      <c r="V25" s="453">
        <f>移出入推計WS!GO26</f>
        <v>548816</v>
      </c>
      <c r="W25" s="453">
        <f>移出入推計WS!GY26</f>
        <v>553505</v>
      </c>
      <c r="X25" s="453">
        <f>移出入推計WS!HY26</f>
        <v>614516</v>
      </c>
      <c r="Y25" s="588">
        <f>(純移出入!U25-純移出入!T25)/ABS(純移出入!T25)*100</f>
        <v>-45.14655669371647</v>
      </c>
      <c r="Z25" s="588">
        <f>(純移出入!V25-純移出入!U25)/ABS(純移出入!U25)*100</f>
        <v>134.43113772455092</v>
      </c>
    </row>
    <row r="26" spans="1:26">
      <c r="A26" s="62">
        <v>219</v>
      </c>
      <c r="B26" s="62" t="s">
        <v>190</v>
      </c>
      <c r="C26" s="742">
        <f>移出入推計WS!F27</f>
        <v>302125</v>
      </c>
      <c r="D26" s="742">
        <f>移出入推計WS!P27</f>
        <v>311196</v>
      </c>
      <c r="E26" s="75">
        <f>移出入推計WS!Z27</f>
        <v>311727</v>
      </c>
      <c r="F26" s="316">
        <f>移出入推計WS!AJ27</f>
        <v>275298</v>
      </c>
      <c r="G26" s="316">
        <f>移出入推計WS!AT27</f>
        <v>278183</v>
      </c>
      <c r="H26" s="75">
        <f>移出入推計WS!BD27</f>
        <v>293956</v>
      </c>
      <c r="I26" s="75">
        <f>移出入推計WS!BN27</f>
        <v>316190</v>
      </c>
      <c r="J26" s="75">
        <f>移出入推計WS!BX27</f>
        <v>304208</v>
      </c>
      <c r="K26" s="75">
        <f>移出入推計WS!CH27</f>
        <v>333742</v>
      </c>
      <c r="L26" s="75">
        <f>移出入推計WS!CR27</f>
        <v>319594</v>
      </c>
      <c r="M26" s="75">
        <f>移出入推計WS!DB27</f>
        <v>317010</v>
      </c>
      <c r="N26" s="75">
        <f>移出入推計WS!DL27</f>
        <v>306154</v>
      </c>
      <c r="O26" s="75">
        <f>移出入推計WS!DV27</f>
        <v>331486</v>
      </c>
      <c r="P26" s="75">
        <f>移出入推計WS!EF27</f>
        <v>326393</v>
      </c>
      <c r="Q26" s="75">
        <f>移出入推計WS!EP27</f>
        <v>298147</v>
      </c>
      <c r="R26" s="453">
        <f>移出入推計WS!EZ27</f>
        <v>310288</v>
      </c>
      <c r="S26" s="453">
        <f>移出入推計WS!FJ27</f>
        <v>366750</v>
      </c>
      <c r="T26" s="453">
        <f>移出入推計WS!FU27</f>
        <v>358249</v>
      </c>
      <c r="U26" s="453">
        <f>移出入推計WS!GE27</f>
        <v>435530</v>
      </c>
      <c r="V26" s="453">
        <f>移出入推計WS!GO27</f>
        <v>436637</v>
      </c>
      <c r="W26" s="453">
        <f>移出入推計WS!GY27</f>
        <v>436180</v>
      </c>
      <c r="X26" s="453">
        <f>移出入推計WS!HY27</f>
        <v>494282</v>
      </c>
      <c r="Y26" s="588">
        <f>(純移出入!U26-純移出入!T26)/ABS(純移出入!T26)*100</f>
        <v>-73.663900033689629</v>
      </c>
      <c r="Z26" s="588">
        <f>(純移出入!V26-純移出入!U26)/ABS(純移出入!U26)*100</f>
        <v>4.2737527619490638</v>
      </c>
    </row>
    <row r="27" spans="1:26">
      <c r="A27" s="70">
        <v>301</v>
      </c>
      <c r="B27" s="70" t="s">
        <v>191</v>
      </c>
      <c r="C27" s="779">
        <f>移出入推計WS!F28</f>
        <v>77722</v>
      </c>
      <c r="D27" s="779">
        <f>移出入推計WS!P28</f>
        <v>80883</v>
      </c>
      <c r="E27" s="132">
        <f>移出入推計WS!Z28</f>
        <v>79780</v>
      </c>
      <c r="F27" s="380">
        <f>移出入推計WS!AJ28</f>
        <v>70001</v>
      </c>
      <c r="G27" s="316">
        <f>移出入推計WS!AT28</f>
        <v>71660</v>
      </c>
      <c r="H27" s="75">
        <f>移出入推計WS!BD28</f>
        <v>76714</v>
      </c>
      <c r="I27" s="75">
        <f>移出入推計WS!BN28</f>
        <v>76837</v>
      </c>
      <c r="J27" s="132">
        <f>移出入推計WS!BX28</f>
        <v>77643</v>
      </c>
      <c r="K27" s="75">
        <f>移出入推計WS!CH28</f>
        <v>80584</v>
      </c>
      <c r="L27" s="132">
        <f>移出入推計WS!CR28</f>
        <v>78841</v>
      </c>
      <c r="M27" s="75">
        <f>移出入推計WS!DB28</f>
        <v>73133</v>
      </c>
      <c r="N27" s="75">
        <f>移出入推計WS!DL28</f>
        <v>77025</v>
      </c>
      <c r="O27" s="132">
        <f>移出入推計WS!DV28</f>
        <v>77383</v>
      </c>
      <c r="P27" s="132">
        <f>移出入推計WS!EF28</f>
        <v>80920</v>
      </c>
      <c r="Q27" s="132">
        <f>移出入推計WS!EP28</f>
        <v>71173</v>
      </c>
      <c r="R27" s="450">
        <f>移出入推計WS!EZ28</f>
        <v>78164</v>
      </c>
      <c r="S27" s="450">
        <f>移出入推計WS!FJ28</f>
        <v>88823</v>
      </c>
      <c r="T27" s="450">
        <f>移出入推計WS!FU28</f>
        <v>83959</v>
      </c>
      <c r="U27" s="453">
        <f>移出入推計WS!GE28</f>
        <v>320505</v>
      </c>
      <c r="V27" s="450">
        <f>移出入推計WS!GO28</f>
        <v>196328</v>
      </c>
      <c r="W27" s="450">
        <f>移出入推計WS!GY28</f>
        <v>105792</v>
      </c>
      <c r="X27" s="453">
        <f>移出入推計WS!HY28</f>
        <v>268203</v>
      </c>
      <c r="Y27" s="588">
        <f>(純移出入!U27-純移出入!T27)/ABS(純移出入!T27)*100</f>
        <v>-5199.8420577617335</v>
      </c>
      <c r="Z27" s="588">
        <f>(純移出入!V27-純移出入!U27)/ABS(純移出入!U27)*100</f>
        <v>103.5673045017144</v>
      </c>
    </row>
    <row r="28" spans="1:26">
      <c r="A28" s="62">
        <v>3</v>
      </c>
      <c r="B28" s="62" t="s">
        <v>192</v>
      </c>
      <c r="C28" s="744">
        <f>移出入推計WS!F29</f>
        <v>2174777</v>
      </c>
      <c r="D28" s="744">
        <f>移出入推計WS!P29</f>
        <v>2291721</v>
      </c>
      <c r="E28" s="75">
        <f>移出入推計WS!Z29</f>
        <v>2338800</v>
      </c>
      <c r="F28" s="316">
        <f>移出入推計WS!AJ29</f>
        <v>2114011</v>
      </c>
      <c r="G28" s="1175">
        <f>移出入推計WS!AT29</f>
        <v>2087058</v>
      </c>
      <c r="H28" s="130">
        <f>移出入推計WS!BD29</f>
        <v>2260088</v>
      </c>
      <c r="I28" s="130">
        <f>移出入推計WS!BN29</f>
        <v>2223394</v>
      </c>
      <c r="J28" s="75">
        <f>移出入推計WS!BX29</f>
        <v>2284265</v>
      </c>
      <c r="K28" s="130">
        <f>移出入推計WS!CH29</f>
        <v>2428236</v>
      </c>
      <c r="L28" s="75">
        <f>移出入推計WS!CR29</f>
        <v>2225289</v>
      </c>
      <c r="M28" s="130">
        <f>移出入推計WS!DB29</f>
        <v>2170038</v>
      </c>
      <c r="N28" s="130">
        <f>移出入推計WS!DL29</f>
        <v>2319859</v>
      </c>
      <c r="O28" s="75">
        <f>移出入推計WS!DV29</f>
        <v>2357648</v>
      </c>
      <c r="P28" s="75">
        <f>移出入推計WS!EF29</f>
        <v>2391479</v>
      </c>
      <c r="Q28" s="75">
        <f>移出入推計WS!EP29</f>
        <v>2151521</v>
      </c>
      <c r="R28" s="453">
        <f>移出入推計WS!EZ29</f>
        <v>2448472</v>
      </c>
      <c r="S28" s="453">
        <f>移出入推計WS!FJ29</f>
        <v>2742497</v>
      </c>
      <c r="T28" s="453">
        <f>移出入推計WS!FU29</f>
        <v>3118456</v>
      </c>
      <c r="U28" s="915">
        <f>移出入推計WS!GE29</f>
        <v>3070279</v>
      </c>
      <c r="V28" s="453">
        <f>移出入推計WS!GO29</f>
        <v>3140777</v>
      </c>
      <c r="W28" s="453">
        <f>移出入推計WS!GY29</f>
        <v>3159992</v>
      </c>
      <c r="X28" s="453">
        <f>移出入推計WS!HY29</f>
        <v>3537668</v>
      </c>
      <c r="Y28" s="588">
        <f>(純移出入!U28-純移出入!T28)/ABS(純移出入!T28)*100</f>
        <v>81.782168203502977</v>
      </c>
      <c r="Z28" s="588">
        <f>(純移出入!V28-純移出入!U28)/ABS(純移出入!U28)*100</f>
        <v>338.721199222726</v>
      </c>
    </row>
    <row r="29" spans="1:26">
      <c r="A29" s="62">
        <v>203</v>
      </c>
      <c r="B29" s="62" t="s">
        <v>193</v>
      </c>
      <c r="C29" s="744">
        <f>移出入推計WS!F30</f>
        <v>858994</v>
      </c>
      <c r="D29" s="744">
        <f>移出入推計WS!P30</f>
        <v>900885</v>
      </c>
      <c r="E29" s="75">
        <f>移出入推計WS!Z30</f>
        <v>919204</v>
      </c>
      <c r="F29" s="316">
        <f>移出入推計WS!AJ30</f>
        <v>798167</v>
      </c>
      <c r="G29" s="316">
        <f>移出入推計WS!AT30</f>
        <v>823394</v>
      </c>
      <c r="H29" s="75">
        <f>移出入推計WS!BD30</f>
        <v>855099</v>
      </c>
      <c r="I29" s="75">
        <f>移出入推計WS!BN30</f>
        <v>858068</v>
      </c>
      <c r="J29" s="75">
        <f>移出入推計WS!BX30</f>
        <v>921289</v>
      </c>
      <c r="K29" s="75">
        <f>移出入推計WS!CH30</f>
        <v>924483</v>
      </c>
      <c r="L29" s="75">
        <f>移出入推計WS!CR30</f>
        <v>901974</v>
      </c>
      <c r="M29" s="75">
        <f>移出入推計WS!DB30</f>
        <v>881133</v>
      </c>
      <c r="N29" s="75">
        <f>移出入推計WS!DL30</f>
        <v>938507</v>
      </c>
      <c r="O29" s="75">
        <f>移出入推計WS!DV30</f>
        <v>972868</v>
      </c>
      <c r="P29" s="75">
        <f>移出入推計WS!EF30</f>
        <v>962201</v>
      </c>
      <c r="Q29" s="75">
        <f>移出入推計WS!EP30</f>
        <v>857516</v>
      </c>
      <c r="R29" s="453">
        <f>移出入推計WS!EZ30</f>
        <v>1010805</v>
      </c>
      <c r="S29" s="453">
        <f>移出入推計WS!FJ30</f>
        <v>1149480</v>
      </c>
      <c r="T29" s="453">
        <f>移出入推計WS!FU30</f>
        <v>1591315</v>
      </c>
      <c r="U29" s="453">
        <f>移出入推計WS!GE30</f>
        <v>1259368</v>
      </c>
      <c r="V29" s="453">
        <f>移出入推計WS!GO30</f>
        <v>1284212</v>
      </c>
      <c r="W29" s="453">
        <f>移出入推計WS!GY30</f>
        <v>1275186</v>
      </c>
      <c r="X29" s="453">
        <f>移出入推計WS!HY30</f>
        <v>1448688</v>
      </c>
      <c r="Y29" s="588">
        <f>(純移出入!U29-純移出入!T29)/ABS(純移出入!T29)*100</f>
        <v>92.214396969248099</v>
      </c>
      <c r="Z29" s="588">
        <f>(純移出入!V29-純移出入!U29)/ABS(純移出入!U29)*100</f>
        <v>252.04093398673967</v>
      </c>
    </row>
    <row r="30" spans="1:26">
      <c r="A30" s="62">
        <v>210</v>
      </c>
      <c r="B30" s="62" t="s">
        <v>194</v>
      </c>
      <c r="C30" s="744">
        <f>移出入推計WS!F31</f>
        <v>779115</v>
      </c>
      <c r="D30" s="744">
        <f>移出入推計WS!P31</f>
        <v>832988</v>
      </c>
      <c r="E30" s="75">
        <f>移出入推計WS!Z31</f>
        <v>838507</v>
      </c>
      <c r="F30" s="316">
        <f>移出入推計WS!AJ31</f>
        <v>770500</v>
      </c>
      <c r="G30" s="316">
        <f>移出入推計WS!AT31</f>
        <v>777031</v>
      </c>
      <c r="H30" s="75">
        <f>移出入推計WS!BD31</f>
        <v>891245</v>
      </c>
      <c r="I30" s="75">
        <f>移出入推計WS!BN31</f>
        <v>838988</v>
      </c>
      <c r="J30" s="75">
        <f>移出入推計WS!BX31</f>
        <v>828179</v>
      </c>
      <c r="K30" s="75">
        <f>移出入推計WS!CH31</f>
        <v>867966</v>
      </c>
      <c r="L30" s="75">
        <f>移出入推計WS!CR31</f>
        <v>791128</v>
      </c>
      <c r="M30" s="75">
        <f>移出入推計WS!DB31</f>
        <v>794810</v>
      </c>
      <c r="N30" s="75">
        <f>移出入推計WS!DL31</f>
        <v>843000</v>
      </c>
      <c r="O30" s="75">
        <f>移出入推計WS!DV31</f>
        <v>823457</v>
      </c>
      <c r="P30" s="75">
        <f>移出入推計WS!EF31</f>
        <v>817663</v>
      </c>
      <c r="Q30" s="75">
        <f>移出入推計WS!EP31</f>
        <v>787776</v>
      </c>
      <c r="R30" s="453">
        <f>移出入推計WS!EZ31</f>
        <v>803617</v>
      </c>
      <c r="S30" s="453">
        <f>移出入推計WS!FJ31</f>
        <v>951748</v>
      </c>
      <c r="T30" s="453">
        <f>移出入推計WS!FU31</f>
        <v>906745</v>
      </c>
      <c r="U30" s="453">
        <f>移出入推計WS!GE31</f>
        <v>1028901</v>
      </c>
      <c r="V30" s="453">
        <f>移出入推計WS!GO31</f>
        <v>1066481</v>
      </c>
      <c r="W30" s="453">
        <f>移出入推計WS!GY31</f>
        <v>1073477</v>
      </c>
      <c r="X30" s="453">
        <f>移出入推計WS!HY31</f>
        <v>1193017</v>
      </c>
      <c r="Y30" s="588">
        <f>(純移出入!U30-純移出入!T30)/ABS(純移出入!T30)*100</f>
        <v>-238.99736365134291</v>
      </c>
      <c r="Z30" s="588">
        <f>(純移出入!V30-純移出入!U30)/ABS(純移出入!U30)*100</f>
        <v>229.80766381175357</v>
      </c>
    </row>
    <row r="31" spans="1:26">
      <c r="A31" s="62">
        <v>216</v>
      </c>
      <c r="B31" s="62" t="s">
        <v>195</v>
      </c>
      <c r="C31" s="744">
        <f>移出入推計WS!F32</f>
        <v>352203</v>
      </c>
      <c r="D31" s="744">
        <f>移出入推計WS!P32</f>
        <v>357526</v>
      </c>
      <c r="E31" s="75">
        <f>移出入推計WS!Z32</f>
        <v>384900</v>
      </c>
      <c r="F31" s="316">
        <f>移出入推計WS!AJ32</f>
        <v>372908</v>
      </c>
      <c r="G31" s="316">
        <f>移出入推計WS!AT32</f>
        <v>314665</v>
      </c>
      <c r="H31" s="75">
        <f>移出入推計WS!BD32</f>
        <v>332566</v>
      </c>
      <c r="I31" s="75">
        <f>移出入推計WS!BN32</f>
        <v>343264</v>
      </c>
      <c r="J31" s="75">
        <f>移出入推計WS!BX32</f>
        <v>337722</v>
      </c>
      <c r="K31" s="75">
        <f>移出入推計WS!CH32</f>
        <v>445923</v>
      </c>
      <c r="L31" s="75">
        <f>移出入推計WS!CR32</f>
        <v>342619</v>
      </c>
      <c r="M31" s="75">
        <f>移出入推計WS!DB32</f>
        <v>316412</v>
      </c>
      <c r="N31" s="75">
        <f>移出入推計WS!DL32</f>
        <v>331037</v>
      </c>
      <c r="O31" s="75">
        <f>移出入推計WS!DV32</f>
        <v>349147</v>
      </c>
      <c r="P31" s="75">
        <f>移出入推計WS!EF32</f>
        <v>406592</v>
      </c>
      <c r="Q31" s="75">
        <f>移出入推計WS!EP32</f>
        <v>329888</v>
      </c>
      <c r="R31" s="453">
        <f>移出入推計WS!EZ32</f>
        <v>381915</v>
      </c>
      <c r="S31" s="453">
        <f>移出入推計WS!FJ32</f>
        <v>400088</v>
      </c>
      <c r="T31" s="453">
        <f>移出入推計WS!FU32</f>
        <v>389333</v>
      </c>
      <c r="U31" s="453">
        <f>移出入推計WS!GE32</f>
        <v>500265</v>
      </c>
      <c r="V31" s="453">
        <f>移出入推計WS!GO32</f>
        <v>503779</v>
      </c>
      <c r="W31" s="453">
        <f>移出入推計WS!GY32</f>
        <v>512000</v>
      </c>
      <c r="X31" s="453">
        <f>移出入推計WS!HY32</f>
        <v>571674</v>
      </c>
      <c r="Y31" s="588">
        <f>(純移出入!U31-純移出入!T31)/ABS(純移出入!T31)*100</f>
        <v>-127.9115983140215</v>
      </c>
      <c r="Z31" s="588">
        <f>(純移出入!V31-純移出入!U31)/ABS(純移出入!U31)*100</f>
        <v>218.79880569591182</v>
      </c>
    </row>
    <row r="32" spans="1:26">
      <c r="A32" s="62">
        <v>381</v>
      </c>
      <c r="B32" s="62" t="s">
        <v>196</v>
      </c>
      <c r="C32" s="744">
        <f>移出入推計WS!F33</f>
        <v>81292</v>
      </c>
      <c r="D32" s="744">
        <f>移出入推計WS!P33</f>
        <v>88178</v>
      </c>
      <c r="E32" s="75">
        <f>移出入推計WS!Z33</f>
        <v>81722</v>
      </c>
      <c r="F32" s="316">
        <f>移出入推計WS!AJ33</f>
        <v>71850</v>
      </c>
      <c r="G32" s="316">
        <f>移出入推計WS!AT33</f>
        <v>73405</v>
      </c>
      <c r="H32" s="75">
        <f>移出入推計WS!BD33</f>
        <v>77898</v>
      </c>
      <c r="I32" s="75">
        <f>移出入推計WS!BN33</f>
        <v>79815</v>
      </c>
      <c r="J32" s="75">
        <f>移出入推計WS!BX33</f>
        <v>79974</v>
      </c>
      <c r="K32" s="75">
        <f>移出入推計WS!CH33</f>
        <v>80060</v>
      </c>
      <c r="L32" s="75">
        <f>移出入推計WS!CR33</f>
        <v>83301</v>
      </c>
      <c r="M32" s="75">
        <f>移出入推計WS!DB33</f>
        <v>72905</v>
      </c>
      <c r="N32" s="75">
        <f>移出入推計WS!DL33</f>
        <v>80837</v>
      </c>
      <c r="O32" s="75">
        <f>移出入推計WS!DV33</f>
        <v>90170</v>
      </c>
      <c r="P32" s="75">
        <f>移出入推計WS!EF33</f>
        <v>89901</v>
      </c>
      <c r="Q32" s="75">
        <f>移出入推計WS!EP33</f>
        <v>75769</v>
      </c>
      <c r="R32" s="453">
        <f>移出入推計WS!EZ33</f>
        <v>130484</v>
      </c>
      <c r="S32" s="453">
        <f>移出入推計WS!FJ33</f>
        <v>110938</v>
      </c>
      <c r="T32" s="453">
        <f>移出入推計WS!FU33</f>
        <v>102863</v>
      </c>
      <c r="U32" s="453">
        <f>移出入推計WS!GE33</f>
        <v>119380</v>
      </c>
      <c r="V32" s="453">
        <f>移出入推計WS!GO33</f>
        <v>122117</v>
      </c>
      <c r="W32" s="453">
        <f>移出入推計WS!GY33</f>
        <v>128344</v>
      </c>
      <c r="X32" s="453">
        <f>移出入推計WS!HY33</f>
        <v>137387</v>
      </c>
      <c r="Y32" s="588">
        <f>(純移出入!U32-純移出入!T32)/ABS(純移出入!T32)*100</f>
        <v>-26.223579804788987</v>
      </c>
      <c r="Z32" s="588">
        <f>(純移出入!V32-純移出入!U32)/ABS(純移出入!U32)*100</f>
        <v>-76.129062961024133</v>
      </c>
    </row>
    <row r="33" spans="1:26">
      <c r="A33" s="62">
        <v>382</v>
      </c>
      <c r="B33" s="62" t="s">
        <v>197</v>
      </c>
      <c r="C33" s="744">
        <f>移出入推計WS!F34</f>
        <v>103173</v>
      </c>
      <c r="D33" s="744">
        <f>移出入推計WS!P34</f>
        <v>112144</v>
      </c>
      <c r="E33" s="75">
        <f>移出入推計WS!Z34</f>
        <v>114467</v>
      </c>
      <c r="F33" s="316">
        <f>移出入推計WS!AJ34</f>
        <v>100586</v>
      </c>
      <c r="G33" s="380">
        <f>移出入推計WS!AT34</f>
        <v>98563</v>
      </c>
      <c r="H33" s="132">
        <f>移出入推計WS!BD34</f>
        <v>103280</v>
      </c>
      <c r="I33" s="132">
        <f>移出入推計WS!BN34</f>
        <v>103259</v>
      </c>
      <c r="J33" s="75">
        <f>移出入推計WS!BX34</f>
        <v>117101</v>
      </c>
      <c r="K33" s="132">
        <f>移出入推計WS!CH34</f>
        <v>109804</v>
      </c>
      <c r="L33" s="75">
        <f>移出入推計WS!CR34</f>
        <v>106267</v>
      </c>
      <c r="M33" s="132">
        <f>移出入推計WS!DB34</f>
        <v>104778</v>
      </c>
      <c r="N33" s="132">
        <f>移出入推計WS!DL34</f>
        <v>126478</v>
      </c>
      <c r="O33" s="75">
        <f>移出入推計WS!DV34</f>
        <v>122006</v>
      </c>
      <c r="P33" s="75">
        <f>移出入推計WS!EF34</f>
        <v>115122</v>
      </c>
      <c r="Q33" s="75">
        <f>移出入推計WS!EP34</f>
        <v>100572</v>
      </c>
      <c r="R33" s="453">
        <f>移出入推計WS!EZ34</f>
        <v>121651</v>
      </c>
      <c r="S33" s="453">
        <f>移出入推計WS!FJ34</f>
        <v>130243</v>
      </c>
      <c r="T33" s="453">
        <f>移出入推計WS!FU34</f>
        <v>128200</v>
      </c>
      <c r="U33" s="450">
        <f>移出入推計WS!GE34</f>
        <v>162365</v>
      </c>
      <c r="V33" s="453">
        <f>移出入推計WS!GO34</f>
        <v>164188</v>
      </c>
      <c r="W33" s="453">
        <f>移出入推計WS!GY34</f>
        <v>170985</v>
      </c>
      <c r="X33" s="453">
        <f>移出入推計WS!HY34</f>
        <v>186902</v>
      </c>
      <c r="Y33" s="588">
        <f>(純移出入!U33-純移出入!T33)/ABS(純移出入!T33)*100</f>
        <v>-68.050050286931324</v>
      </c>
      <c r="Z33" s="588">
        <f>(純移出入!V33-純移出入!U33)/ABS(純移出入!U33)*100</f>
        <v>-37.570595315248589</v>
      </c>
    </row>
    <row r="34" spans="1:26">
      <c r="A34" s="68">
        <v>4</v>
      </c>
      <c r="B34" s="68" t="s">
        <v>325</v>
      </c>
      <c r="C34" s="759">
        <f>移出入推計WS!F35</f>
        <v>783363</v>
      </c>
      <c r="D34" s="759">
        <f>移出入推計WS!P35</f>
        <v>858911</v>
      </c>
      <c r="E34" s="130">
        <f>移出入推計WS!Z35</f>
        <v>791898</v>
      </c>
      <c r="F34" s="1175">
        <f>移出入推計WS!AJ35</f>
        <v>686087</v>
      </c>
      <c r="G34" s="316">
        <f>移出入推計WS!AT35</f>
        <v>702035</v>
      </c>
      <c r="H34" s="75">
        <f>移出入推計WS!BD35</f>
        <v>827393</v>
      </c>
      <c r="I34" s="75">
        <f>移出入推計WS!BN35</f>
        <v>828904</v>
      </c>
      <c r="J34" s="130">
        <f>移出入推計WS!BX35</f>
        <v>857273</v>
      </c>
      <c r="K34" s="75">
        <f>移出入推計WS!CH35</f>
        <v>775229</v>
      </c>
      <c r="L34" s="130">
        <f>移出入推計WS!CR35</f>
        <v>777088</v>
      </c>
      <c r="M34" s="75">
        <f>移出入推計WS!DB35</f>
        <v>767352</v>
      </c>
      <c r="N34" s="75">
        <f>移出入推計WS!DL35</f>
        <v>781223</v>
      </c>
      <c r="O34" s="130">
        <f>移出入推計WS!DV35</f>
        <v>809880</v>
      </c>
      <c r="P34" s="130">
        <f>移出入推計WS!EF35</f>
        <v>847805</v>
      </c>
      <c r="Q34" s="130">
        <f>移出入推計WS!EP35</f>
        <v>732636</v>
      </c>
      <c r="R34" s="915">
        <f>移出入推計WS!EZ35</f>
        <v>818295</v>
      </c>
      <c r="S34" s="915">
        <f>移出入推計WS!FJ35</f>
        <v>947232</v>
      </c>
      <c r="T34" s="915">
        <f>移出入推計WS!FU35</f>
        <v>892947</v>
      </c>
      <c r="U34" s="453">
        <f>移出入推計WS!GE35</f>
        <v>1073615</v>
      </c>
      <c r="V34" s="915">
        <f>移出入推計WS!GO35</f>
        <v>1100196</v>
      </c>
      <c r="W34" s="915">
        <f>移出入推計WS!GY35</f>
        <v>1135451</v>
      </c>
      <c r="X34" s="453">
        <f>移出入推計WS!HY35</f>
        <v>1236851</v>
      </c>
      <c r="Y34" s="588">
        <f>(純移出入!U34-純移出入!T34)/ABS(純移出入!T34)*100</f>
        <v>-45.329844905185752</v>
      </c>
      <c r="Z34" s="588">
        <f>(純移出入!V34-純移出入!U34)/ABS(純移出入!U34)*100</f>
        <v>-63.778978420495726</v>
      </c>
    </row>
    <row r="35" spans="1:26">
      <c r="A35" s="62">
        <v>213</v>
      </c>
      <c r="B35" s="62" t="s">
        <v>199</v>
      </c>
      <c r="C35" s="742">
        <f>移出入推計WS!F36</f>
        <v>118430</v>
      </c>
      <c r="D35" s="742">
        <f>移出入推計WS!P36</f>
        <v>143031</v>
      </c>
      <c r="E35" s="75">
        <f>移出入推計WS!Z36</f>
        <v>117885</v>
      </c>
      <c r="F35" s="316">
        <f>移出入推計WS!AJ36</f>
        <v>99083</v>
      </c>
      <c r="G35" s="316">
        <f>移出入推計WS!AT36</f>
        <v>99948</v>
      </c>
      <c r="H35" s="75">
        <f>移出入推計WS!BD36</f>
        <v>134845</v>
      </c>
      <c r="I35" s="75">
        <f>移出入推計WS!BN36</f>
        <v>114062</v>
      </c>
      <c r="J35" s="75">
        <f>移出入推計WS!BX36</f>
        <v>116405</v>
      </c>
      <c r="K35" s="75">
        <f>移出入推計WS!CH36</f>
        <v>107411</v>
      </c>
      <c r="L35" s="75">
        <f>移出入推計WS!CR36</f>
        <v>107201</v>
      </c>
      <c r="M35" s="75">
        <f>移出入推計WS!DB36</f>
        <v>101484</v>
      </c>
      <c r="N35" s="75">
        <f>移出入推計WS!DL36</f>
        <v>101846</v>
      </c>
      <c r="O35" s="75">
        <f>移出入推計WS!DV36</f>
        <v>107310</v>
      </c>
      <c r="P35" s="75">
        <f>移出入推計WS!EF36</f>
        <v>111875</v>
      </c>
      <c r="Q35" s="75">
        <f>移出入推計WS!EP36</f>
        <v>108972</v>
      </c>
      <c r="R35" s="453">
        <f>移出入推計WS!EZ36</f>
        <v>104263</v>
      </c>
      <c r="S35" s="453">
        <f>移出入推計WS!FJ36</f>
        <v>120157</v>
      </c>
      <c r="T35" s="453">
        <f>移出入推計WS!FU36</f>
        <v>112339</v>
      </c>
      <c r="U35" s="453">
        <f>移出入推計WS!GE36</f>
        <v>135113</v>
      </c>
      <c r="V35" s="453">
        <f>移出入推計WS!GO36</f>
        <v>139032</v>
      </c>
      <c r="W35" s="453">
        <f>移出入推計WS!GY36</f>
        <v>149201</v>
      </c>
      <c r="X35" s="453">
        <f>移出入推計WS!HY36</f>
        <v>149573</v>
      </c>
      <c r="Y35" s="588">
        <f>(純移出入!U35-純移出入!T35)/ABS(純移出入!T35)*100</f>
        <v>-47.219922985568793</v>
      </c>
      <c r="Z35" s="588">
        <f>(純移出入!V35-純移出入!U35)/ABS(純移出入!U35)*100</f>
        <v>-61.066412109641341</v>
      </c>
    </row>
    <row r="36" spans="1:26">
      <c r="A36" s="62">
        <v>215</v>
      </c>
      <c r="B36" s="62" t="s">
        <v>329</v>
      </c>
      <c r="C36" s="742">
        <f>移出入推計WS!F37</f>
        <v>209442</v>
      </c>
      <c r="D36" s="742">
        <f>移出入推計WS!P37</f>
        <v>222321</v>
      </c>
      <c r="E36" s="75">
        <f>移出入推計WS!Z37</f>
        <v>219606</v>
      </c>
      <c r="F36" s="316">
        <f>移出入推計WS!AJ37</f>
        <v>193973</v>
      </c>
      <c r="G36" s="316">
        <f>移出入推計WS!AT37</f>
        <v>193009</v>
      </c>
      <c r="H36" s="75">
        <f>移出入推計WS!BD37</f>
        <v>201104</v>
      </c>
      <c r="I36" s="75">
        <f>移出入推計WS!BN37</f>
        <v>224615</v>
      </c>
      <c r="J36" s="75">
        <f>移出入推計WS!BX37</f>
        <v>219201</v>
      </c>
      <c r="K36" s="75">
        <f>移出入推計WS!CH37</f>
        <v>216709</v>
      </c>
      <c r="L36" s="75">
        <f>移出入推計WS!CR37</f>
        <v>220362</v>
      </c>
      <c r="M36" s="75">
        <f>移出入推計WS!DB37</f>
        <v>208981</v>
      </c>
      <c r="N36" s="75">
        <f>移出入推計WS!DL37</f>
        <v>212921</v>
      </c>
      <c r="O36" s="75">
        <f>移出入推計WS!DV37</f>
        <v>221908</v>
      </c>
      <c r="P36" s="75">
        <f>移出入推計WS!EF37</f>
        <v>228787</v>
      </c>
      <c r="Q36" s="75">
        <f>移出入推計WS!EP37</f>
        <v>199215</v>
      </c>
      <c r="R36" s="453">
        <f>移出入推計WS!EZ37</f>
        <v>219901</v>
      </c>
      <c r="S36" s="453">
        <f>移出入推計WS!FJ37</f>
        <v>256875</v>
      </c>
      <c r="T36" s="453">
        <f>移出入推計WS!FU37</f>
        <v>237484</v>
      </c>
      <c r="U36" s="453">
        <f>移出入推計WS!GE37</f>
        <v>285989</v>
      </c>
      <c r="V36" s="453">
        <f>移出入推計WS!GO37</f>
        <v>293021</v>
      </c>
      <c r="W36" s="453">
        <f>移出入推計WS!GY37</f>
        <v>302744</v>
      </c>
      <c r="X36" s="453">
        <f>移出入推計WS!HY37</f>
        <v>327741</v>
      </c>
      <c r="Y36" s="588">
        <f>(純移出入!U36-純移出入!T36)/ABS(純移出入!T36)*100</f>
        <v>-57.995236365104354</v>
      </c>
      <c r="Z36" s="588">
        <f>(純移出入!V36-純移出入!U36)/ABS(純移出入!U36)*100</f>
        <v>-42.167227294569919</v>
      </c>
    </row>
    <row r="37" spans="1:26">
      <c r="A37" s="62">
        <v>218</v>
      </c>
      <c r="B37" s="62" t="s">
        <v>200</v>
      </c>
      <c r="C37" s="742">
        <f>移出入推計WS!F38</f>
        <v>150129</v>
      </c>
      <c r="D37" s="742">
        <f>移出入推計WS!P38</f>
        <v>144747</v>
      </c>
      <c r="E37" s="75">
        <f>移出入推計WS!Z38</f>
        <v>143612</v>
      </c>
      <c r="F37" s="316">
        <f>移出入推計WS!AJ38</f>
        <v>124078</v>
      </c>
      <c r="G37" s="316">
        <f>移出入推計WS!AT38</f>
        <v>122722</v>
      </c>
      <c r="H37" s="75">
        <f>移出入推計WS!BD38</f>
        <v>133236</v>
      </c>
      <c r="I37" s="75">
        <f>移出入推計WS!BN38</f>
        <v>145324</v>
      </c>
      <c r="J37" s="75">
        <f>移出入推計WS!BX38</f>
        <v>187653</v>
      </c>
      <c r="K37" s="75">
        <f>移出入推計WS!CH38</f>
        <v>139808</v>
      </c>
      <c r="L37" s="75">
        <f>移出入推計WS!CR38</f>
        <v>140114</v>
      </c>
      <c r="M37" s="75">
        <f>移出入推計WS!DB38</f>
        <v>153601</v>
      </c>
      <c r="N37" s="75">
        <f>移出入推計WS!DL38</f>
        <v>139626</v>
      </c>
      <c r="O37" s="75">
        <f>移出入推計WS!DV38</f>
        <v>150005</v>
      </c>
      <c r="P37" s="75">
        <f>移出入推計WS!EF38</f>
        <v>161595</v>
      </c>
      <c r="Q37" s="75">
        <f>移出入推計WS!EP38</f>
        <v>128063</v>
      </c>
      <c r="R37" s="453">
        <f>移出入推計WS!EZ38</f>
        <v>149947</v>
      </c>
      <c r="S37" s="453">
        <f>移出入推計WS!FJ38</f>
        <v>173442</v>
      </c>
      <c r="T37" s="453">
        <f>移出入推計WS!FU38</f>
        <v>162886</v>
      </c>
      <c r="U37" s="453">
        <f>移出入推計WS!GE38</f>
        <v>200674</v>
      </c>
      <c r="V37" s="453">
        <f>移出入推計WS!GO38</f>
        <v>203712</v>
      </c>
      <c r="W37" s="453">
        <f>移出入推計WS!GY38</f>
        <v>207823</v>
      </c>
      <c r="X37" s="453">
        <f>移出入推計WS!HY38</f>
        <v>237915</v>
      </c>
      <c r="Y37" s="588">
        <f>(純移出入!U37-純移出入!T37)/ABS(純移出入!T37)*100</f>
        <v>-42.283630710002221</v>
      </c>
      <c r="Z37" s="588">
        <f>(純移出入!V37-純移出入!U37)/ABS(純移出入!U37)*100</f>
        <v>-73.171279222653368</v>
      </c>
    </row>
    <row r="38" spans="1:26">
      <c r="A38" s="62">
        <v>220</v>
      </c>
      <c r="B38" s="62" t="s">
        <v>201</v>
      </c>
      <c r="C38" s="742">
        <f>移出入推計WS!F39</f>
        <v>130520</v>
      </c>
      <c r="D38" s="742">
        <f>移出入推計WS!P39</f>
        <v>139989</v>
      </c>
      <c r="E38" s="75">
        <f>移出入推計WS!Z39</f>
        <v>131882</v>
      </c>
      <c r="F38" s="316">
        <f>移出入推計WS!AJ39</f>
        <v>115204</v>
      </c>
      <c r="G38" s="316">
        <f>移出入推計WS!AT39</f>
        <v>121005</v>
      </c>
      <c r="H38" s="75">
        <f>移出入推計WS!BD39</f>
        <v>160320</v>
      </c>
      <c r="I38" s="75">
        <f>移出入推計WS!BN39</f>
        <v>164089</v>
      </c>
      <c r="J38" s="75">
        <f>移出入推計WS!BX39</f>
        <v>146930</v>
      </c>
      <c r="K38" s="75">
        <f>移出入推計WS!CH39</f>
        <v>133607</v>
      </c>
      <c r="L38" s="75">
        <f>移出入推計WS!CR39</f>
        <v>128759</v>
      </c>
      <c r="M38" s="75">
        <f>移出入推計WS!DB39</f>
        <v>130517</v>
      </c>
      <c r="N38" s="75">
        <f>移出入推計WS!DL39</f>
        <v>135048</v>
      </c>
      <c r="O38" s="75">
        <f>移出入推計WS!DV39</f>
        <v>134745</v>
      </c>
      <c r="P38" s="75">
        <f>移出入推計WS!EF39</f>
        <v>141648</v>
      </c>
      <c r="Q38" s="75">
        <f>移出入推計WS!EP39</f>
        <v>117526</v>
      </c>
      <c r="R38" s="453">
        <f>移出入推計WS!EZ39</f>
        <v>132714</v>
      </c>
      <c r="S38" s="453">
        <f>移出入推計WS!FJ39</f>
        <v>165458</v>
      </c>
      <c r="T38" s="453">
        <f>移出入推計WS!FU39</f>
        <v>160691</v>
      </c>
      <c r="U38" s="453">
        <f>移出入推計WS!GE39</f>
        <v>188153</v>
      </c>
      <c r="V38" s="453">
        <f>移出入推計WS!GO39</f>
        <v>191530</v>
      </c>
      <c r="W38" s="453">
        <f>移出入推計WS!GY39</f>
        <v>193481</v>
      </c>
      <c r="X38" s="453">
        <f>移出入推計WS!HY39</f>
        <v>214373</v>
      </c>
      <c r="Y38" s="588">
        <f>(純移出入!U38-純移出入!T38)/ABS(純移出入!T38)*100</f>
        <v>-35.56038947586493</v>
      </c>
      <c r="Z38" s="588">
        <f>(純移出入!V38-純移出入!U38)/ABS(純移出入!U38)*100</f>
        <v>-68.389326474843273</v>
      </c>
    </row>
    <row r="39" spans="1:26">
      <c r="A39" s="62">
        <v>228</v>
      </c>
      <c r="B39" s="62" t="s">
        <v>330</v>
      </c>
      <c r="C39" s="742">
        <f>移出入推計WS!F40</f>
        <v>118836</v>
      </c>
      <c r="D39" s="742">
        <f>移出入推計WS!P40</f>
        <v>150984</v>
      </c>
      <c r="E39" s="75">
        <f>移出入推計WS!Z40</f>
        <v>122315</v>
      </c>
      <c r="F39" s="316">
        <f>移出入推計WS!AJ40</f>
        <v>102893</v>
      </c>
      <c r="G39" s="316">
        <f>移出入推計WS!AT40</f>
        <v>111727</v>
      </c>
      <c r="H39" s="75">
        <f>移出入推計WS!BD40</f>
        <v>141240</v>
      </c>
      <c r="I39" s="75">
        <f>移出入推計WS!BN40</f>
        <v>121867</v>
      </c>
      <c r="J39" s="75">
        <f>移出入推計WS!BX40</f>
        <v>128718</v>
      </c>
      <c r="K39" s="75">
        <f>移出入推計WS!CH40</f>
        <v>123280</v>
      </c>
      <c r="L39" s="75">
        <f>移出入推計WS!CR40</f>
        <v>124713</v>
      </c>
      <c r="M39" s="75">
        <f>移出入推計WS!DB40</f>
        <v>120369</v>
      </c>
      <c r="N39" s="75">
        <f>移出入推計WS!DL40</f>
        <v>138326</v>
      </c>
      <c r="O39" s="75">
        <f>移出入推計WS!DV40</f>
        <v>136783</v>
      </c>
      <c r="P39" s="75">
        <f>移出入推計WS!EF40</f>
        <v>150167</v>
      </c>
      <c r="Q39" s="75">
        <f>移出入推計WS!EP40</f>
        <v>131654</v>
      </c>
      <c r="R39" s="453">
        <f>移出入推計WS!EZ40</f>
        <v>158311</v>
      </c>
      <c r="S39" s="453">
        <f>移出入推計WS!FJ40</f>
        <v>161371</v>
      </c>
      <c r="T39" s="453">
        <f>移出入推計WS!FU40</f>
        <v>159741</v>
      </c>
      <c r="U39" s="453">
        <f>移出入推計WS!GE40</f>
        <v>186644</v>
      </c>
      <c r="V39" s="453">
        <f>移出入推計WS!GO40</f>
        <v>199238</v>
      </c>
      <c r="W39" s="453">
        <f>移出入推計WS!GY40</f>
        <v>211196</v>
      </c>
      <c r="X39" s="453">
        <f>移出入推計WS!HY40</f>
        <v>222164</v>
      </c>
      <c r="Y39" s="588">
        <f>(純移出入!U39-純移出入!T39)/ABS(純移出入!T39)*100</f>
        <v>-25.255241291470394</v>
      </c>
      <c r="Z39" s="588">
        <f>(純移出入!V39-純移出入!U39)/ABS(純移出入!U39)*100</f>
        <v>-77.869140677828568</v>
      </c>
    </row>
    <row r="40" spans="1:26">
      <c r="A40" s="70">
        <v>365</v>
      </c>
      <c r="B40" s="70" t="s">
        <v>331</v>
      </c>
      <c r="C40" s="779">
        <f>移出入推計WS!F41</f>
        <v>56006</v>
      </c>
      <c r="D40" s="779">
        <f>移出入推計WS!P41</f>
        <v>57839</v>
      </c>
      <c r="E40" s="132">
        <f>移出入推計WS!Z41</f>
        <v>56598</v>
      </c>
      <c r="F40" s="380">
        <f>移出入推計WS!AJ41</f>
        <v>50856</v>
      </c>
      <c r="G40" s="316">
        <f>移出入推計WS!AT41</f>
        <v>53624</v>
      </c>
      <c r="H40" s="75">
        <f>移出入推計WS!BD41</f>
        <v>56648</v>
      </c>
      <c r="I40" s="75">
        <f>移出入推計WS!BN41</f>
        <v>58947</v>
      </c>
      <c r="J40" s="132">
        <f>移出入推計WS!BX41</f>
        <v>58366</v>
      </c>
      <c r="K40" s="75">
        <f>移出入推計WS!CH41</f>
        <v>54414</v>
      </c>
      <c r="L40" s="132">
        <f>移出入推計WS!CR41</f>
        <v>55939</v>
      </c>
      <c r="M40" s="75">
        <f>移出入推計WS!DB41</f>
        <v>52400</v>
      </c>
      <c r="N40" s="75">
        <f>移出入推計WS!DL41</f>
        <v>53456</v>
      </c>
      <c r="O40" s="132">
        <f>移出入推計WS!DV41</f>
        <v>59129</v>
      </c>
      <c r="P40" s="132">
        <f>移出入推計WS!EF41</f>
        <v>53733</v>
      </c>
      <c r="Q40" s="132">
        <f>移出入推計WS!EP41</f>
        <v>47206</v>
      </c>
      <c r="R40" s="450">
        <f>移出入推計WS!EZ41</f>
        <v>53159</v>
      </c>
      <c r="S40" s="450">
        <f>移出入推計WS!FJ41</f>
        <v>69929</v>
      </c>
      <c r="T40" s="450">
        <f>移出入推計WS!FU41</f>
        <v>59806</v>
      </c>
      <c r="U40" s="453">
        <f>移出入推計WS!GE41</f>
        <v>77042</v>
      </c>
      <c r="V40" s="450">
        <f>移出入推計WS!GO41</f>
        <v>73663</v>
      </c>
      <c r="W40" s="450">
        <f>移出入推計WS!GY41</f>
        <v>71006</v>
      </c>
      <c r="X40" s="453">
        <f>移出入推計WS!HY41</f>
        <v>85085</v>
      </c>
      <c r="Y40" s="588">
        <f>(純移出入!U40-純移出入!T40)/ABS(純移出入!T40)*100</f>
        <v>-143.05476163255972</v>
      </c>
      <c r="Z40" s="588">
        <f>(純移出入!V40-純移出入!U40)/ABS(純移出入!U40)*100</f>
        <v>180.35050451407329</v>
      </c>
    </row>
    <row r="41" spans="1:26">
      <c r="A41" s="62">
        <v>5</v>
      </c>
      <c r="B41" s="62" t="s">
        <v>326</v>
      </c>
      <c r="C41" s="744">
        <f>移出入推計WS!F42</f>
        <v>1830852</v>
      </c>
      <c r="D41" s="744">
        <f>移出入推計WS!P42</f>
        <v>1931881</v>
      </c>
      <c r="E41" s="75">
        <f>移出入推計WS!Z42</f>
        <v>1859803</v>
      </c>
      <c r="F41" s="316">
        <f>移出入推計WS!AJ42</f>
        <v>1645812</v>
      </c>
      <c r="G41" s="1175">
        <f>移出入推計WS!AT42</f>
        <v>1998336</v>
      </c>
      <c r="H41" s="130">
        <f>移出入推計WS!BD42</f>
        <v>1780003</v>
      </c>
      <c r="I41" s="130">
        <f>移出入推計WS!BN42</f>
        <v>1790072</v>
      </c>
      <c r="J41" s="75">
        <f>移出入推計WS!BX42</f>
        <v>1847516</v>
      </c>
      <c r="K41" s="130">
        <f>移出入推計WS!CH42</f>
        <v>1819558</v>
      </c>
      <c r="L41" s="75">
        <f>移出入推計WS!CR42</f>
        <v>1807154</v>
      </c>
      <c r="M41" s="130">
        <f>移出入推計WS!DB42</f>
        <v>1784526</v>
      </c>
      <c r="N41" s="130">
        <f>移出入推計WS!DL42</f>
        <v>1857369</v>
      </c>
      <c r="O41" s="75">
        <f>移出入推計WS!DV42</f>
        <v>2006091</v>
      </c>
      <c r="P41" s="75">
        <f>移出入推計WS!EF42</f>
        <v>1935478</v>
      </c>
      <c r="Q41" s="75">
        <f>移出入推計WS!EP42</f>
        <v>1831749</v>
      </c>
      <c r="R41" s="453">
        <f>移出入推計WS!EZ42</f>
        <v>1984000</v>
      </c>
      <c r="S41" s="453">
        <f>移出入推計WS!FJ42</f>
        <v>2336782</v>
      </c>
      <c r="T41" s="453">
        <f>移出入推計WS!FU42</f>
        <v>2414807</v>
      </c>
      <c r="U41" s="915">
        <f>移出入推計WS!GE42</f>
        <v>2282306</v>
      </c>
      <c r="V41" s="453">
        <f>移出入推計WS!GO42</f>
        <v>2387169</v>
      </c>
      <c r="W41" s="453">
        <f>移出入推計WS!GY42</f>
        <v>2439209</v>
      </c>
      <c r="X41" s="453">
        <f>移出入推計WS!HY42</f>
        <v>2671810</v>
      </c>
      <c r="Y41" s="588">
        <f>(純移出入!U41-純移出入!T41)/ABS(純移出入!T41)*100</f>
        <v>1098.7901883162529</v>
      </c>
      <c r="Z41" s="588">
        <f>(純移出入!V41-純移出入!U41)/ABS(純移出入!U41)*100</f>
        <v>-63.683541818693669</v>
      </c>
    </row>
    <row r="42" spans="1:26">
      <c r="A42" s="62">
        <v>201</v>
      </c>
      <c r="B42" s="62" t="s">
        <v>332</v>
      </c>
      <c r="C42" s="744">
        <f>移出入推計WS!F43</f>
        <v>1711221</v>
      </c>
      <c r="D42" s="744">
        <f>移出入推計WS!P43</f>
        <v>1797505</v>
      </c>
      <c r="E42" s="75">
        <f>移出入推計WS!Z43</f>
        <v>1732505</v>
      </c>
      <c r="F42" s="316">
        <f>移出入推計WS!AJ43</f>
        <v>1537401</v>
      </c>
      <c r="G42" s="316">
        <f>移出入推計WS!AT43</f>
        <v>1882295</v>
      </c>
      <c r="H42" s="75">
        <f>移出入推計WS!BD43</f>
        <v>1651020</v>
      </c>
      <c r="I42" s="75">
        <f>移出入推計WS!BN43</f>
        <v>1667867</v>
      </c>
      <c r="J42" s="75">
        <f>移出入推計WS!BX43</f>
        <v>1720962</v>
      </c>
      <c r="K42" s="75">
        <f>移出入推計WS!CH43</f>
        <v>1687221</v>
      </c>
      <c r="L42" s="75">
        <f>移出入推計WS!CR43</f>
        <v>1679586</v>
      </c>
      <c r="M42" s="75">
        <f>移出入推計WS!DB43</f>
        <v>1663308</v>
      </c>
      <c r="N42" s="75">
        <f>移出入推計WS!DL43</f>
        <v>1723097</v>
      </c>
      <c r="O42" s="75">
        <f>移出入推計WS!DV43</f>
        <v>1853461</v>
      </c>
      <c r="P42" s="75">
        <f>移出入推計WS!EF43</f>
        <v>1782250</v>
      </c>
      <c r="Q42" s="75">
        <f>移出入推計WS!EP43</f>
        <v>1680260</v>
      </c>
      <c r="R42" s="453">
        <f>移出入推計WS!EZ43</f>
        <v>1850085</v>
      </c>
      <c r="S42" s="453">
        <f>移出入推計WS!FJ43</f>
        <v>2184590</v>
      </c>
      <c r="T42" s="453">
        <f>移出入推計WS!FU43</f>
        <v>2263905</v>
      </c>
      <c r="U42" s="453">
        <f>移出入推計WS!GE43</f>
        <v>2082069</v>
      </c>
      <c r="V42" s="453">
        <f>移出入推計WS!GO43</f>
        <v>2190648</v>
      </c>
      <c r="W42" s="453">
        <f>移出入推計WS!GY43</f>
        <v>2243251</v>
      </c>
      <c r="X42" s="453">
        <f>移出入推計WS!HY43</f>
        <v>2453681</v>
      </c>
      <c r="Y42" s="588">
        <f>(純移出入!U42-純移出入!T42)/ABS(純移出入!T42)*100</f>
        <v>386.0030706243603</v>
      </c>
      <c r="Z42" s="588">
        <f>(純移出入!V42-純移出入!U42)/ABS(純移出入!U42)*100</f>
        <v>-63.411063303699969</v>
      </c>
    </row>
    <row r="43" spans="1:26">
      <c r="A43" s="62">
        <v>442</v>
      </c>
      <c r="B43" s="62" t="s">
        <v>203</v>
      </c>
      <c r="C43" s="744">
        <f>移出入推計WS!F44</f>
        <v>32665</v>
      </c>
      <c r="D43" s="744">
        <f>移出入推計WS!P44</f>
        <v>34897</v>
      </c>
      <c r="E43" s="75">
        <f>移出入推計WS!Z44</f>
        <v>36248</v>
      </c>
      <c r="F43" s="316">
        <f>移出入推計WS!AJ44</f>
        <v>30340</v>
      </c>
      <c r="G43" s="316">
        <f>移出入推計WS!AT44</f>
        <v>30450</v>
      </c>
      <c r="H43" s="75">
        <f>移出入推計WS!BD44</f>
        <v>33470</v>
      </c>
      <c r="I43" s="75">
        <f>移出入推計WS!BN44</f>
        <v>32099</v>
      </c>
      <c r="J43" s="75">
        <f>移出入推計WS!BX44</f>
        <v>33293</v>
      </c>
      <c r="K43" s="75">
        <f>移出入推計WS!CH44</f>
        <v>33321</v>
      </c>
      <c r="L43" s="75">
        <f>移出入推計WS!CR44</f>
        <v>33010</v>
      </c>
      <c r="M43" s="75">
        <f>移出入推計WS!DB44</f>
        <v>30323</v>
      </c>
      <c r="N43" s="75">
        <f>移出入推計WS!DL44</f>
        <v>34352</v>
      </c>
      <c r="O43" s="75">
        <f>移出入推計WS!DV44</f>
        <v>38498</v>
      </c>
      <c r="P43" s="75">
        <f>移出入推計WS!EF44</f>
        <v>36720</v>
      </c>
      <c r="Q43" s="75">
        <f>移出入推計WS!EP44</f>
        <v>31823</v>
      </c>
      <c r="R43" s="453">
        <f>移出入推計WS!EZ44</f>
        <v>34506</v>
      </c>
      <c r="S43" s="453">
        <f>移出入推計WS!FJ44</f>
        <v>41095</v>
      </c>
      <c r="T43" s="453">
        <f>移出入推計WS!FU44</f>
        <v>36744</v>
      </c>
      <c r="U43" s="453">
        <f>移出入推計WS!GE44</f>
        <v>48450</v>
      </c>
      <c r="V43" s="453">
        <f>移出入推計WS!GO44</f>
        <v>47284</v>
      </c>
      <c r="W43" s="453">
        <f>移出入推計WS!GY44</f>
        <v>47602</v>
      </c>
      <c r="X43" s="453">
        <f>移出入推計WS!HY44</f>
        <v>50413</v>
      </c>
      <c r="Y43" s="588">
        <f>(純移出入!U43-純移出入!T43)/ABS(純移出入!T43)*100</f>
        <v>-140.92154019655229</v>
      </c>
      <c r="Z43" s="588">
        <f>(純移出入!V43-純移出入!U43)/ABS(純移出入!U43)*100</f>
        <v>176.45669291338584</v>
      </c>
    </row>
    <row r="44" spans="1:26">
      <c r="A44" s="62">
        <v>443</v>
      </c>
      <c r="B44" s="62" t="s">
        <v>204</v>
      </c>
      <c r="C44" s="744">
        <f>移出入推計WS!F45</f>
        <v>55827</v>
      </c>
      <c r="D44" s="744">
        <f>移出入推計WS!P45</f>
        <v>59708</v>
      </c>
      <c r="E44" s="75">
        <f>移出入推計WS!Z45</f>
        <v>58477</v>
      </c>
      <c r="F44" s="316">
        <f>移出入推計WS!AJ45</f>
        <v>47376</v>
      </c>
      <c r="G44" s="316">
        <f>移出入推計WS!AT45</f>
        <v>51855</v>
      </c>
      <c r="H44" s="75">
        <f>移出入推計WS!BD45</f>
        <v>63551</v>
      </c>
      <c r="I44" s="75">
        <f>移出入推計WS!BN45</f>
        <v>54650</v>
      </c>
      <c r="J44" s="75">
        <f>移出入推計WS!BX45</f>
        <v>61693</v>
      </c>
      <c r="K44" s="75">
        <f>移出入推計WS!CH45</f>
        <v>65602</v>
      </c>
      <c r="L44" s="75">
        <f>移出入推計WS!CR45</f>
        <v>61067</v>
      </c>
      <c r="M44" s="75">
        <f>移出入推計WS!DB45</f>
        <v>59702</v>
      </c>
      <c r="N44" s="75">
        <f>移出入推計WS!DL45</f>
        <v>63242</v>
      </c>
      <c r="O44" s="75">
        <f>移出入推計WS!DV45</f>
        <v>72235</v>
      </c>
      <c r="P44" s="75">
        <f>移出入推計WS!EF45</f>
        <v>74428</v>
      </c>
      <c r="Q44" s="75">
        <f>移出入推計WS!EP45</f>
        <v>85579</v>
      </c>
      <c r="R44" s="453">
        <f>移出入推計WS!EZ45</f>
        <v>64806</v>
      </c>
      <c r="S44" s="453">
        <f>移出入推計WS!FJ45</f>
        <v>74610</v>
      </c>
      <c r="T44" s="453">
        <f>移出入推計WS!FU45</f>
        <v>75884</v>
      </c>
      <c r="U44" s="453">
        <f>移出入推計WS!GE45</f>
        <v>94480</v>
      </c>
      <c r="V44" s="453">
        <f>移出入推計WS!GO45</f>
        <v>95796</v>
      </c>
      <c r="W44" s="453">
        <f>移出入推計WS!GY45</f>
        <v>97514</v>
      </c>
      <c r="X44" s="453">
        <f>移出入推計WS!HY45</f>
        <v>107427</v>
      </c>
      <c r="Y44" s="588">
        <f>(純移出入!U44-純移出入!T44)/ABS(純移出入!T44)*100</f>
        <v>-22.095267003447304</v>
      </c>
      <c r="Z44" s="588">
        <f>(純移出入!V44-純移出入!U44)/ABS(純移出入!U44)*100</f>
        <v>-89.051541801180008</v>
      </c>
    </row>
    <row r="45" spans="1:26">
      <c r="A45" s="62">
        <v>446</v>
      </c>
      <c r="B45" s="62" t="s">
        <v>333</v>
      </c>
      <c r="C45" s="744">
        <f>移出入推計WS!F46</f>
        <v>31139</v>
      </c>
      <c r="D45" s="744">
        <f>移出入推計WS!P46</f>
        <v>39771</v>
      </c>
      <c r="E45" s="75">
        <f>移出入推計WS!Z46</f>
        <v>32573</v>
      </c>
      <c r="F45" s="316">
        <f>移出入推計WS!AJ46</f>
        <v>30695</v>
      </c>
      <c r="G45" s="380">
        <f>移出入推計WS!AT46</f>
        <v>33736</v>
      </c>
      <c r="H45" s="132">
        <f>移出入推計WS!BD46</f>
        <v>31962</v>
      </c>
      <c r="I45" s="132">
        <f>移出入推計WS!BN46</f>
        <v>35456</v>
      </c>
      <c r="J45" s="75">
        <f>移出入推計WS!BX46</f>
        <v>31568</v>
      </c>
      <c r="K45" s="132">
        <f>移出入推計WS!CH46</f>
        <v>33414</v>
      </c>
      <c r="L45" s="75">
        <f>移出入推計WS!CR46</f>
        <v>33491</v>
      </c>
      <c r="M45" s="132">
        <f>移出入推計WS!DB46</f>
        <v>31193</v>
      </c>
      <c r="N45" s="132">
        <f>移出入推計WS!DL46</f>
        <v>36678</v>
      </c>
      <c r="O45" s="75">
        <f>移出入推計WS!DV46</f>
        <v>41897</v>
      </c>
      <c r="P45" s="75">
        <f>移出入推計WS!EF46</f>
        <v>42080</v>
      </c>
      <c r="Q45" s="75">
        <f>移出入推計WS!EP46</f>
        <v>34087</v>
      </c>
      <c r="R45" s="453">
        <f>移出入推計WS!EZ46</f>
        <v>34603</v>
      </c>
      <c r="S45" s="453">
        <f>移出入推計WS!FJ46</f>
        <v>36487</v>
      </c>
      <c r="T45" s="453">
        <f>移出入推計WS!FU46</f>
        <v>38274</v>
      </c>
      <c r="U45" s="450">
        <f>移出入推計WS!GE46</f>
        <v>57307</v>
      </c>
      <c r="V45" s="453">
        <f>移出入推計WS!GO46</f>
        <v>53441</v>
      </c>
      <c r="W45" s="453">
        <f>移出入推計WS!GY46</f>
        <v>50842</v>
      </c>
      <c r="X45" s="453">
        <f>移出入推計WS!HY46</f>
        <v>60289</v>
      </c>
      <c r="Y45" s="588">
        <f>(純移出入!U45-純移出入!T45)/ABS(純移出入!T45)*100</f>
        <v>-240.89466525615836</v>
      </c>
      <c r="Z45" s="588">
        <f>(純移出入!V45-純移出入!U45)/ABS(純移出入!U45)*100</f>
        <v>123.54392362973292</v>
      </c>
    </row>
    <row r="46" spans="1:26">
      <c r="A46" s="68">
        <v>6</v>
      </c>
      <c r="B46" s="68" t="s">
        <v>327</v>
      </c>
      <c r="C46" s="759">
        <f>移出入推計WS!F47</f>
        <v>815384</v>
      </c>
      <c r="D46" s="759">
        <f>移出入推計WS!P47</f>
        <v>819193</v>
      </c>
      <c r="E46" s="130">
        <f>移出入推計WS!Z47</f>
        <v>795240</v>
      </c>
      <c r="F46" s="1175">
        <f>移出入推計WS!AJ47</f>
        <v>705532</v>
      </c>
      <c r="G46" s="316">
        <f>移出入推計WS!AT47</f>
        <v>725914</v>
      </c>
      <c r="H46" s="75">
        <f>移出入推計WS!BD47</f>
        <v>769286</v>
      </c>
      <c r="I46" s="130">
        <f>移出入推計WS!BN47</f>
        <v>782608</v>
      </c>
      <c r="J46" s="130">
        <f>移出入推計WS!BX47</f>
        <v>761347</v>
      </c>
      <c r="K46" s="75">
        <f>移出入推計WS!CH47</f>
        <v>758867</v>
      </c>
      <c r="L46" s="130">
        <f>移出入推計WS!CR47</f>
        <v>772836</v>
      </c>
      <c r="M46" s="75">
        <f>移出入推計WS!DB47</f>
        <v>725547</v>
      </c>
      <c r="N46" s="75">
        <f>移出入推計WS!DL47</f>
        <v>719755</v>
      </c>
      <c r="O46" s="130">
        <f>移出入推計WS!DV47</f>
        <v>760389</v>
      </c>
      <c r="P46" s="130">
        <f>移出入推計WS!EF47</f>
        <v>779247</v>
      </c>
      <c r="Q46" s="130">
        <f>移出入推計WS!EP47</f>
        <v>688847</v>
      </c>
      <c r="R46" s="915">
        <f>移出入推計WS!EZ47</f>
        <v>736226</v>
      </c>
      <c r="S46" s="915">
        <f>移出入推計WS!FJ47</f>
        <v>925607</v>
      </c>
      <c r="T46" s="915">
        <f>移出入推計WS!FU47</f>
        <v>846743</v>
      </c>
      <c r="U46" s="453">
        <f>移出入推計WS!GE47</f>
        <v>964387</v>
      </c>
      <c r="V46" s="915">
        <f>移出入推計WS!GO47</f>
        <v>985254</v>
      </c>
      <c r="W46" s="915">
        <f>移出入推計WS!GY47</f>
        <v>1024414</v>
      </c>
      <c r="X46" s="453">
        <f>移出入推計WS!HY47</f>
        <v>1080464</v>
      </c>
      <c r="Y46" s="588">
        <f>(純移出入!U46-純移出入!T46)/ABS(純移出入!T46)*100</f>
        <v>-29.755778105905684</v>
      </c>
      <c r="Z46" s="588">
        <f>(純移出入!V46-純移出入!U46)/ABS(純移出入!U46)*100</f>
        <v>-64.410983482559061</v>
      </c>
    </row>
    <row r="47" spans="1:26">
      <c r="A47" s="62">
        <v>208</v>
      </c>
      <c r="B47" s="62" t="s">
        <v>206</v>
      </c>
      <c r="C47" s="742">
        <f>移出入推計WS!F48</f>
        <v>93838</v>
      </c>
      <c r="D47" s="742">
        <f>移出入推計WS!P48</f>
        <v>98081</v>
      </c>
      <c r="E47" s="75">
        <f>移出入推計WS!Z48</f>
        <v>92247</v>
      </c>
      <c r="F47" s="316">
        <f>移出入推計WS!AJ48</f>
        <v>81232</v>
      </c>
      <c r="G47" s="316">
        <f>移出入推計WS!AT48</f>
        <v>85485</v>
      </c>
      <c r="H47" s="75">
        <f>移出入推計WS!BD48</f>
        <v>91533</v>
      </c>
      <c r="I47" s="75">
        <f>移出入推計WS!BN48</f>
        <v>101627</v>
      </c>
      <c r="J47" s="75">
        <f>移出入推計WS!BX48</f>
        <v>90084</v>
      </c>
      <c r="K47" s="75">
        <f>移出入推計WS!CH48</f>
        <v>93750</v>
      </c>
      <c r="L47" s="75">
        <f>移出入推計WS!CR48</f>
        <v>97913</v>
      </c>
      <c r="M47" s="75">
        <f>移出入推計WS!DB48</f>
        <v>90771</v>
      </c>
      <c r="N47" s="75">
        <f>移出入推計WS!DL48</f>
        <v>84033</v>
      </c>
      <c r="O47" s="75">
        <f>移出入推計WS!DV48</f>
        <v>87184</v>
      </c>
      <c r="P47" s="75">
        <f>移出入推計WS!EF48</f>
        <v>85525</v>
      </c>
      <c r="Q47" s="75">
        <f>移出入推計WS!EP48</f>
        <v>78518</v>
      </c>
      <c r="R47" s="453">
        <f>移出入推計WS!EZ48</f>
        <v>85517</v>
      </c>
      <c r="S47" s="453">
        <f>移出入推計WS!FJ48</f>
        <v>97640</v>
      </c>
      <c r="T47" s="453">
        <f>移出入推計WS!FU48</f>
        <v>91699</v>
      </c>
      <c r="U47" s="453">
        <f>移出入推計WS!GE48</f>
        <v>106241</v>
      </c>
      <c r="V47" s="453">
        <f>移出入推計WS!GO48</f>
        <v>109273</v>
      </c>
      <c r="W47" s="453">
        <f>移出入推計WS!GY48</f>
        <v>112452</v>
      </c>
      <c r="X47" s="453">
        <f>移出入推計WS!HY48</f>
        <v>117276</v>
      </c>
      <c r="Y47" s="588">
        <f>(純移出入!U47-純移出入!T47)/ABS(純移出入!T47)*100</f>
        <v>-13.543322734499204</v>
      </c>
      <c r="Z47" s="588">
        <f>(純移出入!V47-純移出入!U47)/ABS(純移出入!U47)*100</f>
        <v>-87.10493046776233</v>
      </c>
    </row>
    <row r="48" spans="1:26">
      <c r="A48" s="62">
        <v>212</v>
      </c>
      <c r="B48" s="62" t="s">
        <v>207</v>
      </c>
      <c r="C48" s="742">
        <f>移出入推計WS!F49</f>
        <v>155027</v>
      </c>
      <c r="D48" s="742">
        <f>移出入推計WS!P49</f>
        <v>160910</v>
      </c>
      <c r="E48" s="75">
        <f>移出入推計WS!Z49</f>
        <v>166861</v>
      </c>
      <c r="F48" s="316">
        <f>移出入推計WS!AJ49</f>
        <v>138001</v>
      </c>
      <c r="G48" s="316">
        <f>移出入推計WS!AT49</f>
        <v>150091</v>
      </c>
      <c r="H48" s="75">
        <f>移出入推計WS!BD49</f>
        <v>157159</v>
      </c>
      <c r="I48" s="75">
        <f>移出入推計WS!BN49</f>
        <v>158600</v>
      </c>
      <c r="J48" s="75">
        <f>移出入推計WS!BX49</f>
        <v>167145</v>
      </c>
      <c r="K48" s="75">
        <f>移出入推計WS!CH49</f>
        <v>169697</v>
      </c>
      <c r="L48" s="75">
        <f>移出入推計WS!CR49</f>
        <v>165857</v>
      </c>
      <c r="M48" s="75">
        <f>移出入推計WS!DB49</f>
        <v>157931</v>
      </c>
      <c r="N48" s="75">
        <f>移出入推計WS!DL49</f>
        <v>156898</v>
      </c>
      <c r="O48" s="75">
        <f>移出入推計WS!DV49</f>
        <v>157400</v>
      </c>
      <c r="P48" s="75">
        <f>移出入推計WS!EF49</f>
        <v>167148</v>
      </c>
      <c r="Q48" s="75">
        <f>移出入推計WS!EP49</f>
        <v>148277</v>
      </c>
      <c r="R48" s="453">
        <f>移出入推計WS!EZ49</f>
        <v>156263</v>
      </c>
      <c r="S48" s="453">
        <f>移出入推計WS!FJ49</f>
        <v>190806</v>
      </c>
      <c r="T48" s="453">
        <f>移出入推計WS!FU49</f>
        <v>183910</v>
      </c>
      <c r="U48" s="453">
        <f>移出入推計WS!GE49</f>
        <v>202365</v>
      </c>
      <c r="V48" s="453">
        <f>移出入推計WS!GO49</f>
        <v>209381</v>
      </c>
      <c r="W48" s="453">
        <f>移出入推計WS!GY49</f>
        <v>216149</v>
      </c>
      <c r="X48" s="453">
        <f>移出入推計WS!HY49</f>
        <v>227420</v>
      </c>
      <c r="Y48" s="588">
        <f>(純移出入!U48-純移出入!T48)/ABS(純移出入!T48)*100</f>
        <v>-7.8818362865750906</v>
      </c>
      <c r="Z48" s="588">
        <f>(純移出入!V48-純移出入!U48)/ABS(純移出入!U48)*100</f>
        <v>-76.166190858948426</v>
      </c>
    </row>
    <row r="49" spans="1:26">
      <c r="A49" s="62">
        <v>227</v>
      </c>
      <c r="B49" s="62" t="s">
        <v>219</v>
      </c>
      <c r="C49" s="742">
        <f>移出入推計WS!F50</f>
        <v>104661</v>
      </c>
      <c r="D49" s="742">
        <f>移出入推計WS!P50</f>
        <v>109732</v>
      </c>
      <c r="E49" s="75">
        <f>移出入推計WS!Z50</f>
        <v>106243</v>
      </c>
      <c r="F49" s="316">
        <f>移出入推計WS!AJ50</f>
        <v>103810</v>
      </c>
      <c r="G49" s="316">
        <f>移出入推計WS!AT50</f>
        <v>103572</v>
      </c>
      <c r="H49" s="75">
        <f>移出入推計WS!BD50</f>
        <v>107417</v>
      </c>
      <c r="I49" s="75">
        <f>移出入推計WS!BN50</f>
        <v>105476</v>
      </c>
      <c r="J49" s="75">
        <f>移出入推計WS!BX50</f>
        <v>106114</v>
      </c>
      <c r="K49" s="75">
        <f>移出入推計WS!CH50</f>
        <v>105075</v>
      </c>
      <c r="L49" s="75">
        <f>移出入推計WS!CR50</f>
        <v>101846</v>
      </c>
      <c r="M49" s="75">
        <f>移出入推計WS!DB50</f>
        <v>95987</v>
      </c>
      <c r="N49" s="75">
        <f>移出入推計WS!DL50</f>
        <v>98442</v>
      </c>
      <c r="O49" s="75">
        <f>移出入推計WS!DV50</f>
        <v>107925</v>
      </c>
      <c r="P49" s="75">
        <f>移出入推計WS!EF50</f>
        <v>108220</v>
      </c>
      <c r="Q49" s="75">
        <f>移出入推計WS!EP50</f>
        <v>92918</v>
      </c>
      <c r="R49" s="453">
        <f>移出入推計WS!EZ50</f>
        <v>100716</v>
      </c>
      <c r="S49" s="453">
        <f>移出入推計WS!FJ50</f>
        <v>119629</v>
      </c>
      <c r="T49" s="453">
        <f>移出入推計WS!FU50</f>
        <v>110741</v>
      </c>
      <c r="U49" s="453">
        <f>移出入推計WS!GE50</f>
        <v>127709</v>
      </c>
      <c r="V49" s="453">
        <f>移出入推計WS!GO50</f>
        <v>130635</v>
      </c>
      <c r="W49" s="453">
        <f>移出入推計WS!GY50</f>
        <v>137969</v>
      </c>
      <c r="X49" s="453">
        <f>移出入推計WS!HY50</f>
        <v>137474</v>
      </c>
      <c r="Y49" s="588">
        <f>(純移出入!U49-純移出入!T49)/ABS(純移出入!T49)*100</f>
        <v>-38.24851384659997</v>
      </c>
      <c r="Z49" s="588">
        <f>(純移出入!V49-純移出入!U49)/ABS(純移出入!U49)*100</f>
        <v>-58.010487594897079</v>
      </c>
    </row>
    <row r="50" spans="1:26">
      <c r="A50" s="62">
        <v>229</v>
      </c>
      <c r="B50" s="62" t="s">
        <v>334</v>
      </c>
      <c r="C50" s="742">
        <f>移出入推計WS!F51</f>
        <v>226879</v>
      </c>
      <c r="D50" s="742">
        <f>移出入推計WS!P51</f>
        <v>245019</v>
      </c>
      <c r="E50" s="75">
        <f>移出入推計WS!Z51</f>
        <v>232299</v>
      </c>
      <c r="F50" s="316">
        <f>移出入推計WS!AJ51</f>
        <v>200709</v>
      </c>
      <c r="G50" s="316">
        <f>移出入推計WS!AT51</f>
        <v>204565</v>
      </c>
      <c r="H50" s="75">
        <f>移出入推計WS!BD51</f>
        <v>222023</v>
      </c>
      <c r="I50" s="75">
        <f>移出入推計WS!BN51</f>
        <v>219873</v>
      </c>
      <c r="J50" s="75">
        <f>移出入推計WS!BX51</f>
        <v>209078</v>
      </c>
      <c r="K50" s="75">
        <f>移出入推計WS!CH51</f>
        <v>208207</v>
      </c>
      <c r="L50" s="75">
        <f>移出入推計WS!CR51</f>
        <v>219100</v>
      </c>
      <c r="M50" s="75">
        <f>移出入推計WS!DB51</f>
        <v>210842</v>
      </c>
      <c r="N50" s="75">
        <f>移出入推計WS!DL51</f>
        <v>202334</v>
      </c>
      <c r="O50" s="75">
        <f>移出入推計WS!DV51</f>
        <v>220078</v>
      </c>
      <c r="P50" s="75">
        <f>移出入推計WS!EF51</f>
        <v>223859</v>
      </c>
      <c r="Q50" s="75">
        <f>移出入推計WS!EP51</f>
        <v>203816</v>
      </c>
      <c r="R50" s="453">
        <f>移出入推計WS!EZ51</f>
        <v>218082</v>
      </c>
      <c r="S50" s="453">
        <f>移出入推計WS!FJ51</f>
        <v>262566</v>
      </c>
      <c r="T50" s="453">
        <f>移出入推計WS!FU51</f>
        <v>231463</v>
      </c>
      <c r="U50" s="453">
        <f>移出入推計WS!GE51</f>
        <v>278041</v>
      </c>
      <c r="V50" s="453">
        <f>移出入推計WS!GO51</f>
        <v>285682</v>
      </c>
      <c r="W50" s="453">
        <f>移出入推計WS!GY51</f>
        <v>297827</v>
      </c>
      <c r="X50" s="453">
        <f>移出入推計WS!HY51</f>
        <v>322712</v>
      </c>
      <c r="Y50" s="588">
        <f>(純移出入!U50-純移出入!T50)/ABS(純移出入!T50)*100</f>
        <v>-40.210639606396064</v>
      </c>
      <c r="Z50" s="588">
        <f>(純移出入!V50-純移出入!U50)/ABS(純移出入!U50)*100</f>
        <v>-69.825391519016634</v>
      </c>
    </row>
    <row r="51" spans="1:26">
      <c r="A51" s="62">
        <v>464</v>
      </c>
      <c r="B51" s="62" t="s">
        <v>208</v>
      </c>
      <c r="C51" s="742">
        <f>移出入推計WS!F52</f>
        <v>131219</v>
      </c>
      <c r="D51" s="742">
        <f>移出入推計WS!P52</f>
        <v>98580</v>
      </c>
      <c r="E51" s="75">
        <f>移出入推計WS!Z52</f>
        <v>94105</v>
      </c>
      <c r="F51" s="316">
        <f>移出入推計WS!AJ52</f>
        <v>78772</v>
      </c>
      <c r="G51" s="316">
        <f>移出入推計WS!AT52</f>
        <v>80239</v>
      </c>
      <c r="H51" s="75">
        <f>移出入推計WS!BD52</f>
        <v>87582</v>
      </c>
      <c r="I51" s="75">
        <f>移出入推計WS!BN52</f>
        <v>92457</v>
      </c>
      <c r="J51" s="75">
        <f>移出入推計WS!BX52</f>
        <v>87696</v>
      </c>
      <c r="K51" s="75">
        <f>移出入推計WS!CH52</f>
        <v>83210</v>
      </c>
      <c r="L51" s="75">
        <f>移出入推計WS!CR52</f>
        <v>91876</v>
      </c>
      <c r="M51" s="75">
        <f>移出入推計WS!DB52</f>
        <v>81967</v>
      </c>
      <c r="N51" s="75">
        <f>移出入推計WS!DL52</f>
        <v>86582</v>
      </c>
      <c r="O51" s="75">
        <f>移出入推計WS!DV52</f>
        <v>93307</v>
      </c>
      <c r="P51" s="75">
        <f>移出入推計WS!EF52</f>
        <v>96510</v>
      </c>
      <c r="Q51" s="75">
        <f>移出入推計WS!EP52</f>
        <v>78383</v>
      </c>
      <c r="R51" s="453">
        <f>移出入推計WS!EZ52</f>
        <v>84030</v>
      </c>
      <c r="S51" s="453">
        <f>移出入推計WS!FJ52</f>
        <v>153705</v>
      </c>
      <c r="T51" s="453">
        <f>移出入推計WS!FU52</f>
        <v>129851</v>
      </c>
      <c r="U51" s="453">
        <f>移出入推計WS!GE52</f>
        <v>128401</v>
      </c>
      <c r="V51" s="453">
        <f>移出入推計WS!GO52</f>
        <v>129250</v>
      </c>
      <c r="W51" s="453">
        <f>移出入推計WS!GY52</f>
        <v>132659</v>
      </c>
      <c r="X51" s="453">
        <f>移出入推計WS!HY52</f>
        <v>148339</v>
      </c>
      <c r="Y51" s="588">
        <f>(純移出入!U51-純移出入!T51)/ABS(純移出入!T51)*100</f>
        <v>33.392746435213887</v>
      </c>
      <c r="Z51" s="588">
        <f>(純移出入!V51-純移出入!U51)/ABS(純移出入!U51)*100</f>
        <v>130.87841768470042</v>
      </c>
    </row>
    <row r="52" spans="1:26">
      <c r="A52" s="62">
        <v>481</v>
      </c>
      <c r="B52" s="62" t="s">
        <v>209</v>
      </c>
      <c r="C52" s="742">
        <f>移出入推計WS!F53</f>
        <v>46736</v>
      </c>
      <c r="D52" s="742">
        <f>移出入推計WS!P53</f>
        <v>49501</v>
      </c>
      <c r="E52" s="75">
        <f>移出入推計WS!Z53</f>
        <v>46889</v>
      </c>
      <c r="F52" s="316">
        <f>移出入推計WS!AJ53</f>
        <v>42222</v>
      </c>
      <c r="G52" s="316">
        <f>移出入推計WS!AT53</f>
        <v>42406</v>
      </c>
      <c r="H52" s="75">
        <f>移出入推計WS!BD53</f>
        <v>44124</v>
      </c>
      <c r="I52" s="75">
        <f>移出入推計WS!BN53</f>
        <v>46687</v>
      </c>
      <c r="J52" s="75">
        <f>移出入推計WS!BX53</f>
        <v>45540</v>
      </c>
      <c r="K52" s="75">
        <f>移出入推計WS!CH53</f>
        <v>44295</v>
      </c>
      <c r="L52" s="75">
        <f>移出入推計WS!CR53</f>
        <v>43261</v>
      </c>
      <c r="M52" s="75">
        <f>移出入推計WS!DB53</f>
        <v>39110</v>
      </c>
      <c r="N52" s="75">
        <f>移出入推計WS!DL53</f>
        <v>42947</v>
      </c>
      <c r="O52" s="75">
        <f>移出入推計WS!DV53</f>
        <v>42885</v>
      </c>
      <c r="P52" s="75">
        <f>移出入推計WS!EF53</f>
        <v>45186</v>
      </c>
      <c r="Q52" s="75">
        <f>移出入推計WS!EP53</f>
        <v>39251</v>
      </c>
      <c r="R52" s="453">
        <f>移出入推計WS!EZ53</f>
        <v>42852</v>
      </c>
      <c r="S52" s="453">
        <f>移出入推計WS!FJ53</f>
        <v>46381</v>
      </c>
      <c r="T52" s="453">
        <f>移出入推計WS!FU53</f>
        <v>46075</v>
      </c>
      <c r="U52" s="453">
        <f>移出入推計WS!GE53</f>
        <v>60542</v>
      </c>
      <c r="V52" s="453">
        <f>移出入推計WS!GO53</f>
        <v>58746</v>
      </c>
      <c r="W52" s="453">
        <f>移出入推計WS!GY53</f>
        <v>59707</v>
      </c>
      <c r="X52" s="453">
        <f>移出入推計WS!HY53</f>
        <v>62618</v>
      </c>
      <c r="Y52" s="588">
        <f>(純移出入!U52-純移出入!T52)/ABS(純移出入!T52)*100</f>
        <v>-123.18590186592951</v>
      </c>
      <c r="Z52" s="588">
        <f>(純移出入!V52-純移出入!U52)/ABS(純移出入!U52)*100</f>
        <v>219.82116244411327</v>
      </c>
    </row>
    <row r="53" spans="1:26">
      <c r="A53" s="70">
        <v>501</v>
      </c>
      <c r="B53" s="70" t="s">
        <v>335</v>
      </c>
      <c r="C53" s="779">
        <f>移出入推計WS!F54</f>
        <v>57024</v>
      </c>
      <c r="D53" s="779">
        <f>移出入推計WS!P54</f>
        <v>57370</v>
      </c>
      <c r="E53" s="132">
        <f>移出入推計WS!Z54</f>
        <v>56596</v>
      </c>
      <c r="F53" s="380">
        <f>移出入推計WS!AJ54</f>
        <v>60786</v>
      </c>
      <c r="G53" s="316">
        <f>移出入推計WS!AT54</f>
        <v>59556</v>
      </c>
      <c r="H53" s="75">
        <f>移出入推計WS!BD54</f>
        <v>59448</v>
      </c>
      <c r="I53" s="132">
        <f>移出入推計WS!BN54</f>
        <v>57888</v>
      </c>
      <c r="J53" s="132">
        <f>移出入推計WS!BX54</f>
        <v>55690</v>
      </c>
      <c r="K53" s="75">
        <f>移出入推計WS!CH54</f>
        <v>54633</v>
      </c>
      <c r="L53" s="132">
        <f>移出入推計WS!CR54</f>
        <v>52983</v>
      </c>
      <c r="M53" s="75">
        <f>移出入推計WS!DB54</f>
        <v>48939</v>
      </c>
      <c r="N53" s="75">
        <f>移出入推計WS!DL54</f>
        <v>48519</v>
      </c>
      <c r="O53" s="132">
        <f>移出入推計WS!DV54</f>
        <v>51610</v>
      </c>
      <c r="P53" s="132">
        <f>移出入推計WS!EF54</f>
        <v>52799</v>
      </c>
      <c r="Q53" s="132">
        <f>移出入推計WS!EP54</f>
        <v>47684</v>
      </c>
      <c r="R53" s="450">
        <f>移出入推計WS!EZ54</f>
        <v>48766</v>
      </c>
      <c r="S53" s="450">
        <f>移出入推計WS!FJ54</f>
        <v>54880</v>
      </c>
      <c r="T53" s="450">
        <f>移出入推計WS!FU54</f>
        <v>53004</v>
      </c>
      <c r="U53" s="453">
        <f>移出入推計WS!GE54</f>
        <v>61088</v>
      </c>
      <c r="V53" s="450">
        <f>移出入推計WS!GO54</f>
        <v>62287</v>
      </c>
      <c r="W53" s="450">
        <f>移出入推計WS!GY54</f>
        <v>67651</v>
      </c>
      <c r="X53" s="453">
        <f>移出入推計WS!HY54</f>
        <v>64625</v>
      </c>
      <c r="Y53" s="588">
        <f>(純移出入!U53-純移出入!T53)/ABS(純移出入!T53)*100</f>
        <v>-25.155414196906172</v>
      </c>
      <c r="Z53" s="588">
        <f>(純移出入!V53-純移出入!U53)/ABS(純移出入!U53)*100</f>
        <v>-75.294572146030532</v>
      </c>
    </row>
    <row r="54" spans="1:26">
      <c r="A54" s="62">
        <v>7</v>
      </c>
      <c r="B54" s="62" t="s">
        <v>210</v>
      </c>
      <c r="C54" s="744">
        <f>移出入推計WS!F55</f>
        <v>570529</v>
      </c>
      <c r="D54" s="744">
        <f>移出入推計WS!P55</f>
        <v>576575</v>
      </c>
      <c r="E54" s="75">
        <f>移出入推計WS!Z55</f>
        <v>560906</v>
      </c>
      <c r="F54" s="316">
        <f>移出入推計WS!AJ55</f>
        <v>505573</v>
      </c>
      <c r="G54" s="1175">
        <f>移出入推計WS!AT55</f>
        <v>502951</v>
      </c>
      <c r="H54" s="130">
        <f>移出入推計WS!BD55</f>
        <v>555422</v>
      </c>
      <c r="I54" s="75">
        <f>移出入推計WS!BN55</f>
        <v>556235</v>
      </c>
      <c r="J54" s="75">
        <f>移出入推計WS!BX55</f>
        <v>552498</v>
      </c>
      <c r="K54" s="130">
        <f>移出入推計WS!CH55</f>
        <v>551632</v>
      </c>
      <c r="L54" s="75">
        <f>移出入推計WS!CR55</f>
        <v>536703</v>
      </c>
      <c r="M54" s="130">
        <f>移出入推計WS!DB55</f>
        <v>511894</v>
      </c>
      <c r="N54" s="130">
        <f>移出入推計WS!DL55</f>
        <v>571548</v>
      </c>
      <c r="O54" s="75">
        <f>移出入推計WS!DV55</f>
        <v>532781</v>
      </c>
      <c r="P54" s="75">
        <f>移出入推計WS!EF55</f>
        <v>537444</v>
      </c>
      <c r="Q54" s="75">
        <f>移出入推計WS!EP55</f>
        <v>470715</v>
      </c>
      <c r="R54" s="453">
        <f>移出入推計WS!EZ55</f>
        <v>523236</v>
      </c>
      <c r="S54" s="453">
        <f>移出入推計WS!FJ55</f>
        <v>608746</v>
      </c>
      <c r="T54" s="453">
        <f>移出入推計WS!FU55</f>
        <v>562120</v>
      </c>
      <c r="U54" s="915">
        <f>移出入推計WS!GE55</f>
        <v>657179</v>
      </c>
      <c r="V54" s="453">
        <f>移出入推計WS!GO55</f>
        <v>677199</v>
      </c>
      <c r="W54" s="453">
        <f>移出入推計WS!GY55</f>
        <v>711961</v>
      </c>
      <c r="X54" s="453">
        <f>移出入推計WS!HY55</f>
        <v>711488</v>
      </c>
      <c r="Y54" s="588">
        <f>(純移出入!U54-純移出入!T54)/ABS(純移出入!T54)*100</f>
        <v>-38.362678318982134</v>
      </c>
      <c r="Z54" s="588">
        <f>(純移出入!V54-純移出入!U54)/ABS(純移出入!U54)*100</f>
        <v>-63.753648874061717</v>
      </c>
    </row>
    <row r="55" spans="1:26">
      <c r="A55" s="62">
        <v>209</v>
      </c>
      <c r="B55" s="62" t="s">
        <v>336</v>
      </c>
      <c r="C55" s="744">
        <f>移出入推計WS!F56</f>
        <v>266037</v>
      </c>
      <c r="D55" s="744">
        <f>移出入推計WS!P56</f>
        <v>267421</v>
      </c>
      <c r="E55" s="75">
        <f>移出入推計WS!Z56</f>
        <v>262985</v>
      </c>
      <c r="F55" s="316">
        <f>移出入推計WS!AJ56</f>
        <v>235462</v>
      </c>
      <c r="G55" s="316">
        <f>移出入推計WS!AT56</f>
        <v>225944</v>
      </c>
      <c r="H55" s="75">
        <f>移出入推計WS!BD56</f>
        <v>264142</v>
      </c>
      <c r="I55" s="75">
        <f>移出入推計WS!BN56</f>
        <v>266337</v>
      </c>
      <c r="J55" s="75">
        <f>移出入推計WS!BX56</f>
        <v>259506</v>
      </c>
      <c r="K55" s="75">
        <f>移出入推計WS!CH56</f>
        <v>252954</v>
      </c>
      <c r="L55" s="75">
        <f>移出入推計WS!CR56</f>
        <v>248447</v>
      </c>
      <c r="M55" s="75">
        <f>移出入推計WS!DB56</f>
        <v>240636</v>
      </c>
      <c r="N55" s="75">
        <f>移出入推計WS!DL56</f>
        <v>239277</v>
      </c>
      <c r="O55" s="75">
        <f>移出入推計WS!DV56</f>
        <v>249949</v>
      </c>
      <c r="P55" s="75">
        <f>移出入推計WS!EF56</f>
        <v>254695</v>
      </c>
      <c r="Q55" s="75">
        <f>移出入推計WS!EP56</f>
        <v>220361</v>
      </c>
      <c r="R55" s="453">
        <f>移出入推計WS!EZ56</f>
        <v>248919</v>
      </c>
      <c r="S55" s="453">
        <f>移出入推計WS!FJ56</f>
        <v>294874</v>
      </c>
      <c r="T55" s="453">
        <f>移出入推計WS!FU56</f>
        <v>265640</v>
      </c>
      <c r="U55" s="453">
        <f>移出入推計WS!GE56</f>
        <v>303634</v>
      </c>
      <c r="V55" s="453">
        <f>移出入推計WS!GO56</f>
        <v>314442</v>
      </c>
      <c r="W55" s="453">
        <f>移出入推計WS!GY56</f>
        <v>333639</v>
      </c>
      <c r="X55" s="453">
        <f>移出入推計WS!HY56</f>
        <v>331643</v>
      </c>
      <c r="Y55" s="588">
        <f>(純移出入!U55-純移出入!T55)/ABS(純移出入!T55)*100</f>
        <v>-33.078983683740567</v>
      </c>
      <c r="Z55" s="588">
        <f>(純移出入!V55-純移出入!U55)/ABS(純移出入!U55)*100</f>
        <v>-60.835152838427952</v>
      </c>
    </row>
    <row r="56" spans="1:26">
      <c r="A56" s="62">
        <v>222</v>
      </c>
      <c r="B56" s="62" t="s">
        <v>337</v>
      </c>
      <c r="C56" s="744">
        <f>移出入推計WS!F57</f>
        <v>83707</v>
      </c>
      <c r="D56" s="744">
        <f>移出入推計WS!P57</f>
        <v>85992</v>
      </c>
      <c r="E56" s="75">
        <f>移出入推計WS!Z57</f>
        <v>82768</v>
      </c>
      <c r="F56" s="316">
        <f>移出入推計WS!AJ57</f>
        <v>77077</v>
      </c>
      <c r="G56" s="316">
        <f>移出入推計WS!AT57</f>
        <v>77454</v>
      </c>
      <c r="H56" s="75">
        <f>移出入推計WS!BD57</f>
        <v>81197</v>
      </c>
      <c r="I56" s="75">
        <f>移出入推計WS!BN57</f>
        <v>79067</v>
      </c>
      <c r="J56" s="75">
        <f>移出入推計WS!BX57</f>
        <v>76382</v>
      </c>
      <c r="K56" s="75">
        <f>移出入推計WS!CH57</f>
        <v>82583</v>
      </c>
      <c r="L56" s="75">
        <f>移出入推計WS!CR57</f>
        <v>79381</v>
      </c>
      <c r="M56" s="75">
        <f>移出入推計WS!DB57</f>
        <v>73435</v>
      </c>
      <c r="N56" s="75">
        <f>移出入推計WS!DL57</f>
        <v>73061</v>
      </c>
      <c r="O56" s="75">
        <f>移出入推計WS!DV57</f>
        <v>77573</v>
      </c>
      <c r="P56" s="75">
        <f>移出入推計WS!EF57</f>
        <v>74575</v>
      </c>
      <c r="Q56" s="75">
        <f>移出入推計WS!EP57</f>
        <v>70258</v>
      </c>
      <c r="R56" s="453">
        <f>移出入推計WS!EZ57</f>
        <v>76791</v>
      </c>
      <c r="S56" s="453">
        <f>移出入推計WS!FJ57</f>
        <v>82489</v>
      </c>
      <c r="T56" s="453">
        <f>移出入推計WS!FU57</f>
        <v>78724</v>
      </c>
      <c r="U56" s="453">
        <f>移出入推計WS!GE57</f>
        <v>91804</v>
      </c>
      <c r="V56" s="453">
        <f>移出入推計WS!GO57</f>
        <v>94573</v>
      </c>
      <c r="W56" s="453">
        <f>移出入推計WS!GY57</f>
        <v>100716</v>
      </c>
      <c r="X56" s="453">
        <f>移出入推計WS!HY57</f>
        <v>98112</v>
      </c>
      <c r="Y56" s="588">
        <f>(純移出入!U56-純移出入!T56)/ABS(純移出入!T56)*100</f>
        <v>-39.064938182691158</v>
      </c>
      <c r="Z56" s="588">
        <f>(純移出入!V56-純移出入!U56)/ABS(純移出入!U56)*100</f>
        <v>-61.745296956564566</v>
      </c>
    </row>
    <row r="57" spans="1:26">
      <c r="A57" s="62">
        <v>225</v>
      </c>
      <c r="B57" s="62" t="s">
        <v>222</v>
      </c>
      <c r="C57" s="744">
        <f>移出入推計WS!F58</f>
        <v>115968</v>
      </c>
      <c r="D57" s="744">
        <f>移出入推計WS!P58</f>
        <v>115046</v>
      </c>
      <c r="E57" s="75">
        <f>移出入推計WS!Z58</f>
        <v>110363</v>
      </c>
      <c r="F57" s="316">
        <f>移出入推計WS!AJ58</f>
        <v>97248</v>
      </c>
      <c r="G57" s="316">
        <f>移出入推計WS!AT58</f>
        <v>104257</v>
      </c>
      <c r="H57" s="75">
        <f>移出入推計WS!BD58</f>
        <v>108171</v>
      </c>
      <c r="I57" s="75">
        <f>移出入推計WS!BN58</f>
        <v>107091</v>
      </c>
      <c r="J57" s="75">
        <f>移出入推計WS!BX58</f>
        <v>109935</v>
      </c>
      <c r="K57" s="75">
        <f>移出入推計WS!CH58</f>
        <v>111720</v>
      </c>
      <c r="L57" s="75">
        <f>移出入推計WS!CR58</f>
        <v>108868</v>
      </c>
      <c r="M57" s="75">
        <f>移出入推計WS!DB58</f>
        <v>104918</v>
      </c>
      <c r="N57" s="75">
        <f>移出入推計WS!DL58</f>
        <v>159369</v>
      </c>
      <c r="O57" s="75">
        <f>移出入推計WS!DV58</f>
        <v>103118</v>
      </c>
      <c r="P57" s="75">
        <f>移出入推計WS!EF58</f>
        <v>105014</v>
      </c>
      <c r="Q57" s="75">
        <f>移出入推計WS!EP58</f>
        <v>86778</v>
      </c>
      <c r="R57" s="453">
        <f>移出入推計WS!EZ58</f>
        <v>97945</v>
      </c>
      <c r="S57" s="453">
        <f>移出入推計WS!FJ58</f>
        <v>118671</v>
      </c>
      <c r="T57" s="453">
        <f>移出入推計WS!FU58</f>
        <v>107598</v>
      </c>
      <c r="U57" s="453">
        <f>移出入推計WS!GE58</f>
        <v>140369</v>
      </c>
      <c r="V57" s="453">
        <f>移出入推計WS!GO58</f>
        <v>143655</v>
      </c>
      <c r="W57" s="453">
        <f>移出入推計WS!GY58</f>
        <v>145524</v>
      </c>
      <c r="X57" s="453">
        <f>移出入推計WS!HY58</f>
        <v>153152</v>
      </c>
      <c r="Y57" s="588">
        <f>(純移出入!U57-純移出入!T57)/ABS(純移出入!T57)*100</f>
        <v>-49.046033041445178</v>
      </c>
      <c r="Z57" s="588">
        <f>(純移出入!V57-純移出入!U57)/ABS(純移出入!U57)*100</f>
        <v>-74.459980087442105</v>
      </c>
    </row>
    <row r="58" spans="1:26">
      <c r="A58" s="62">
        <v>585</v>
      </c>
      <c r="B58" s="62" t="s">
        <v>220</v>
      </c>
      <c r="C58" s="744">
        <f>移出入推計WS!F59</f>
        <v>56753</v>
      </c>
      <c r="D58" s="744">
        <f>移出入推計WS!P59</f>
        <v>58857</v>
      </c>
      <c r="E58" s="75">
        <f>移出入推計WS!Z59</f>
        <v>57365</v>
      </c>
      <c r="F58" s="316">
        <f>移出入推計WS!AJ59</f>
        <v>51189</v>
      </c>
      <c r="G58" s="316">
        <f>移出入推計WS!AT59</f>
        <v>51577</v>
      </c>
      <c r="H58" s="75">
        <f>移出入推計WS!BD59</f>
        <v>55524</v>
      </c>
      <c r="I58" s="75">
        <f>移出入推計WS!BN59</f>
        <v>57414</v>
      </c>
      <c r="J58" s="75">
        <f>移出入推計WS!BX59</f>
        <v>58194</v>
      </c>
      <c r="K58" s="75">
        <f>移出入推計WS!CH59</f>
        <v>58097</v>
      </c>
      <c r="L58" s="75">
        <f>移出入推計WS!CR59</f>
        <v>54999</v>
      </c>
      <c r="M58" s="75">
        <f>移出入推計WS!DB59</f>
        <v>51252</v>
      </c>
      <c r="N58" s="75">
        <f>移出入推計WS!DL59</f>
        <v>55463</v>
      </c>
      <c r="O58" s="75">
        <f>移出入推計WS!DV59</f>
        <v>57881</v>
      </c>
      <c r="P58" s="75">
        <f>移出入推計WS!EF59</f>
        <v>55335</v>
      </c>
      <c r="Q58" s="75">
        <f>移出入推計WS!EP59</f>
        <v>50605</v>
      </c>
      <c r="R58" s="453">
        <f>移出入推計WS!EZ59</f>
        <v>55509</v>
      </c>
      <c r="S58" s="453">
        <f>移出入推計WS!FJ59</f>
        <v>61285</v>
      </c>
      <c r="T58" s="453">
        <f>移出入推計WS!FU59</f>
        <v>58329</v>
      </c>
      <c r="U58" s="453">
        <f>移出入推計WS!GE59</f>
        <v>65433</v>
      </c>
      <c r="V58" s="453">
        <f>移出入推計WS!GO59</f>
        <v>66666</v>
      </c>
      <c r="W58" s="453">
        <f>移出入推計WS!GY59</f>
        <v>72243</v>
      </c>
      <c r="X58" s="453">
        <f>移出入推計WS!HY59</f>
        <v>68063</v>
      </c>
      <c r="Y58" s="588">
        <f>(純移出入!U58-純移出入!T58)/ABS(純移出入!T58)*100</f>
        <v>-25.870488322717623</v>
      </c>
      <c r="Z58" s="588">
        <f>(純移出入!V58-純移出入!U58)/ABS(純移出入!U58)*100</f>
        <v>-60.790491192897036</v>
      </c>
    </row>
    <row r="59" spans="1:26">
      <c r="A59" s="62">
        <v>586</v>
      </c>
      <c r="B59" s="62" t="s">
        <v>338</v>
      </c>
      <c r="C59" s="744">
        <f>移出入推計WS!F60</f>
        <v>48064</v>
      </c>
      <c r="D59" s="744">
        <f>移出入推計WS!P60</f>
        <v>49259</v>
      </c>
      <c r="E59" s="75">
        <f>移出入推計WS!Z60</f>
        <v>47425</v>
      </c>
      <c r="F59" s="316">
        <f>移出入推計WS!AJ60</f>
        <v>44597</v>
      </c>
      <c r="G59" s="380">
        <f>移出入推計WS!AT60</f>
        <v>43719</v>
      </c>
      <c r="H59" s="132">
        <f>移出入推計WS!BD60</f>
        <v>46388</v>
      </c>
      <c r="I59" s="75">
        <f>移出入推計WS!BN60</f>
        <v>46326</v>
      </c>
      <c r="J59" s="75">
        <f>移出入推計WS!BX60</f>
        <v>48481</v>
      </c>
      <c r="K59" s="132">
        <f>移出入推計WS!CH60</f>
        <v>46278</v>
      </c>
      <c r="L59" s="75">
        <f>移出入推計WS!CR60</f>
        <v>45008</v>
      </c>
      <c r="M59" s="132">
        <f>移出入推計WS!DB60</f>
        <v>41653</v>
      </c>
      <c r="N59" s="132">
        <f>移出入推計WS!DL60</f>
        <v>44378</v>
      </c>
      <c r="O59" s="75">
        <f>移出入推計WS!DV60</f>
        <v>44260</v>
      </c>
      <c r="P59" s="75">
        <f>移出入推計WS!EF60</f>
        <v>47825</v>
      </c>
      <c r="Q59" s="75">
        <f>移出入推計WS!EP60</f>
        <v>42713</v>
      </c>
      <c r="R59" s="453">
        <f>移出入推計WS!EZ60</f>
        <v>44072</v>
      </c>
      <c r="S59" s="453">
        <f>移出入推計WS!FJ60</f>
        <v>51427</v>
      </c>
      <c r="T59" s="453">
        <f>移出入推計WS!FU60</f>
        <v>51829</v>
      </c>
      <c r="U59" s="450">
        <f>移出入推計WS!GE60</f>
        <v>55939</v>
      </c>
      <c r="V59" s="453">
        <f>移出入推計WS!GO60</f>
        <v>57863</v>
      </c>
      <c r="W59" s="453">
        <f>移出入推計WS!GY60</f>
        <v>59839</v>
      </c>
      <c r="X59" s="453">
        <f>移出入推計WS!HY60</f>
        <v>60518</v>
      </c>
      <c r="Y59" s="588">
        <f>(純移出入!U59-純移出入!T59)/ABS(純移出入!T59)*100</f>
        <v>-7.3138647724283077</v>
      </c>
      <c r="Z59" s="588">
        <f>(純移出入!V59-純移出入!U59)/ABS(純移出入!U59)*100</f>
        <v>-32.529094521714448</v>
      </c>
    </row>
    <row r="60" spans="1:26">
      <c r="A60" s="68">
        <v>8</v>
      </c>
      <c r="B60" s="68" t="s">
        <v>211</v>
      </c>
      <c r="C60" s="759">
        <f>移出入推計WS!F61</f>
        <v>329968</v>
      </c>
      <c r="D60" s="759">
        <f>移出入推計WS!P61</f>
        <v>345076</v>
      </c>
      <c r="E60" s="130">
        <f>移出入推計WS!Z61</f>
        <v>333576</v>
      </c>
      <c r="F60" s="1175">
        <f>移出入推計WS!AJ61</f>
        <v>290835</v>
      </c>
      <c r="G60" s="316">
        <f>移出入推計WS!AT61</f>
        <v>299872</v>
      </c>
      <c r="H60" s="75">
        <f>移出入推計WS!BD61</f>
        <v>310817</v>
      </c>
      <c r="I60" s="130">
        <f>移出入推計WS!BN61</f>
        <v>312228</v>
      </c>
      <c r="J60" s="130">
        <f>移出入推計WS!BX61</f>
        <v>320889</v>
      </c>
      <c r="K60" s="75">
        <f>移出入推計WS!CH61</f>
        <v>359713</v>
      </c>
      <c r="L60" s="130">
        <f>移出入推計WS!CR61</f>
        <v>354737</v>
      </c>
      <c r="M60" s="75">
        <f>移出入推計WS!DB61</f>
        <v>310014</v>
      </c>
      <c r="N60" s="75">
        <f>移出入推計WS!DL61</f>
        <v>310947</v>
      </c>
      <c r="O60" s="130">
        <f>移出入推計WS!DV61</f>
        <v>343672</v>
      </c>
      <c r="P60" s="130">
        <f>移出入推計WS!EF61</f>
        <v>340988</v>
      </c>
      <c r="Q60" s="130">
        <f>移出入推計WS!EP61</f>
        <v>301687</v>
      </c>
      <c r="R60" s="915">
        <f>移出入推計WS!EZ61</f>
        <v>333254</v>
      </c>
      <c r="S60" s="915">
        <f>移出入推計WS!FJ61</f>
        <v>394130</v>
      </c>
      <c r="T60" s="915">
        <f>移出入推計WS!FU61</f>
        <v>355041</v>
      </c>
      <c r="U60" s="453">
        <f>移出入推計WS!GE61</f>
        <v>411319</v>
      </c>
      <c r="V60" s="915">
        <f>移出入推計WS!GO61</f>
        <v>424944</v>
      </c>
      <c r="W60" s="915">
        <f>移出入推計WS!GY61</f>
        <v>446863</v>
      </c>
      <c r="X60" s="453">
        <f>移出入推計WS!HY61</f>
        <v>464253</v>
      </c>
      <c r="Y60" s="588">
        <f>(純移出入!U60-純移出入!T60)/ABS(純移出入!T60)*100</f>
        <v>-29.928147453920651</v>
      </c>
      <c r="Z60" s="588">
        <f>(純移出入!V60-純移出入!U60)/ABS(純移出入!U60)*100</f>
        <v>-71.181123165073231</v>
      </c>
    </row>
    <row r="61" spans="1:26">
      <c r="A61" s="62">
        <v>221</v>
      </c>
      <c r="B61" s="62" t="s">
        <v>1157</v>
      </c>
      <c r="C61" s="742">
        <f>移出入推計WS!F62</f>
        <v>135966</v>
      </c>
      <c r="D61" s="742">
        <f>移出入推計WS!P62</f>
        <v>136514</v>
      </c>
      <c r="E61" s="75">
        <f>移出入推計WS!Z62</f>
        <v>130982</v>
      </c>
      <c r="F61" s="316">
        <f>移出入推計WS!AJ62</f>
        <v>116775</v>
      </c>
      <c r="G61" s="316">
        <f>移出入推計WS!AT62</f>
        <v>120741</v>
      </c>
      <c r="H61" s="75">
        <f>移出入推計WS!BD62</f>
        <v>126042</v>
      </c>
      <c r="I61" s="75">
        <f>移出入推計WS!BN62</f>
        <v>124689</v>
      </c>
      <c r="J61" s="75">
        <f>移出入推計WS!BX62</f>
        <v>129411</v>
      </c>
      <c r="K61" s="75">
        <f>移出入推計WS!CH62</f>
        <v>129458</v>
      </c>
      <c r="L61" s="75">
        <f>移出入推計WS!CR62</f>
        <v>128819</v>
      </c>
      <c r="M61" s="75">
        <f>移出入推計WS!DB62</f>
        <v>119026</v>
      </c>
      <c r="N61" s="75">
        <f>移出入推計WS!DL62</f>
        <v>124114</v>
      </c>
      <c r="O61" s="75">
        <f>移出入推計WS!DV62</f>
        <v>136129</v>
      </c>
      <c r="P61" s="75">
        <f>移出入推計WS!EF62</f>
        <v>138382</v>
      </c>
      <c r="Q61" s="75">
        <f>移出入推計WS!EP62</f>
        <v>118085</v>
      </c>
      <c r="R61" s="453">
        <f>移出入推計WS!EZ62</f>
        <v>133467</v>
      </c>
      <c r="S61" s="453">
        <f>移出入推計WS!FJ62</f>
        <v>152138</v>
      </c>
      <c r="T61" s="453">
        <f>移出入推計WS!FU62</f>
        <v>142746</v>
      </c>
      <c r="U61" s="453">
        <f>移出入推計WS!GE62</f>
        <v>169834</v>
      </c>
      <c r="V61" s="453">
        <f>移出入推計WS!GO62</f>
        <v>174496</v>
      </c>
      <c r="W61" s="453">
        <f>移出入推計WS!GY62</f>
        <v>182007</v>
      </c>
      <c r="X61" s="453">
        <f>移出入推計WS!HY62</f>
        <v>188822</v>
      </c>
      <c r="Y61" s="588">
        <f>(純移出入!U61-純移出入!T61)/ABS(純移出入!T61)*100</f>
        <v>-30.757985686856344</v>
      </c>
      <c r="Z61" s="588">
        <f>(純移出入!V61-純移出入!U61)/ABS(純移出入!U61)*100</f>
        <v>-77.41610209547818</v>
      </c>
    </row>
    <row r="62" spans="1:26">
      <c r="A62" s="70">
        <v>223</v>
      </c>
      <c r="B62" s="70" t="s">
        <v>223</v>
      </c>
      <c r="C62" s="779">
        <f>移出入推計WS!F63</f>
        <v>194002</v>
      </c>
      <c r="D62" s="779">
        <f>移出入推計WS!P63</f>
        <v>208562</v>
      </c>
      <c r="E62" s="132">
        <f>移出入推計WS!Z63</f>
        <v>202594</v>
      </c>
      <c r="F62" s="380">
        <f>移出入推計WS!AJ63</f>
        <v>174060</v>
      </c>
      <c r="G62" s="316">
        <f>移出入推計WS!AT63</f>
        <v>179131</v>
      </c>
      <c r="H62" s="75">
        <f>移出入推計WS!BD63</f>
        <v>184775</v>
      </c>
      <c r="I62" s="132">
        <f>移出入推計WS!BN63</f>
        <v>187539</v>
      </c>
      <c r="J62" s="132">
        <f>移出入推計WS!BX63</f>
        <v>191478</v>
      </c>
      <c r="K62" s="75">
        <f>移出入推計WS!CH63</f>
        <v>230255</v>
      </c>
      <c r="L62" s="132">
        <f>移出入推計WS!CR63</f>
        <v>225918</v>
      </c>
      <c r="M62" s="75">
        <f>移出入推計WS!DB63</f>
        <v>190988</v>
      </c>
      <c r="N62" s="75">
        <f>移出入推計WS!DL63</f>
        <v>186833</v>
      </c>
      <c r="O62" s="132">
        <f>移出入推計WS!DV63</f>
        <v>207543</v>
      </c>
      <c r="P62" s="132">
        <f>移出入推計WS!EF63</f>
        <v>202606</v>
      </c>
      <c r="Q62" s="132">
        <f>移出入推計WS!EP63</f>
        <v>183602</v>
      </c>
      <c r="R62" s="450">
        <f>移出入推計WS!EZ63</f>
        <v>199787</v>
      </c>
      <c r="S62" s="450">
        <f>移出入推計WS!FJ63</f>
        <v>241992</v>
      </c>
      <c r="T62" s="450">
        <f>移出入推計WS!FU63</f>
        <v>212295</v>
      </c>
      <c r="U62" s="453">
        <f>移出入推計WS!GE63</f>
        <v>241485</v>
      </c>
      <c r="V62" s="450">
        <f>移出入推計WS!GO63</f>
        <v>250448</v>
      </c>
      <c r="W62" s="450">
        <f>移出入推計WS!GY63</f>
        <v>264856</v>
      </c>
      <c r="X62" s="453">
        <f>移出入推計WS!HY63</f>
        <v>275431</v>
      </c>
      <c r="Y62" s="588">
        <f>(純移出入!U62-純移出入!T62)/ABS(純移出入!T62)*100</f>
        <v>-28.991255080674961</v>
      </c>
      <c r="Z62" s="588">
        <f>(純移出入!V62-純移出入!U62)/ABS(純移出入!U62)*100</f>
        <v>-64.316936099354749</v>
      </c>
    </row>
    <row r="63" spans="1:26">
      <c r="A63" s="62">
        <v>9</v>
      </c>
      <c r="B63" s="62" t="s">
        <v>212</v>
      </c>
      <c r="C63" s="744">
        <f>移出入推計WS!F64</f>
        <v>408472</v>
      </c>
      <c r="D63" s="744">
        <f>移出入推計WS!P64</f>
        <v>406065</v>
      </c>
      <c r="E63" s="75">
        <f>移出入推計WS!Z64</f>
        <v>396976</v>
      </c>
      <c r="F63" s="316">
        <f>移出入推計WS!AJ64</f>
        <v>372335</v>
      </c>
      <c r="G63" s="1175">
        <f>移出入推計WS!AT64</f>
        <v>379810</v>
      </c>
      <c r="H63" s="130">
        <f>移出入推計WS!BD64</f>
        <v>387052</v>
      </c>
      <c r="I63" s="75">
        <f>移出入推計WS!BN64</f>
        <v>394948</v>
      </c>
      <c r="J63" s="75">
        <f>移出入推計WS!BX64</f>
        <v>404987</v>
      </c>
      <c r="K63" s="130">
        <f>移出入推計WS!CH64</f>
        <v>394268</v>
      </c>
      <c r="L63" s="130">
        <f>移出入推計WS!CR64</f>
        <v>399011</v>
      </c>
      <c r="M63" s="130">
        <f>移出入推計WS!DB64</f>
        <v>375736</v>
      </c>
      <c r="N63" s="130">
        <f>移出入推計WS!DL64</f>
        <v>384720</v>
      </c>
      <c r="O63" s="130">
        <f>移出入推計WS!DV64</f>
        <v>380209</v>
      </c>
      <c r="P63" s="130">
        <f>移出入推計WS!EF64</f>
        <v>396146</v>
      </c>
      <c r="Q63" s="75">
        <f>移出入推計WS!EP64</f>
        <v>349604</v>
      </c>
      <c r="R63" s="453">
        <f>移出入推計WS!EZ64</f>
        <v>420744</v>
      </c>
      <c r="S63" s="453">
        <f>移出入推計WS!FJ64</f>
        <v>470160</v>
      </c>
      <c r="T63" s="915">
        <f>移出入推計WS!FU64</f>
        <v>455997</v>
      </c>
      <c r="U63" s="915">
        <f>移出入推計WS!GE64</f>
        <v>496258</v>
      </c>
      <c r="V63" s="453">
        <f>移出入推計WS!GO64</f>
        <v>522950</v>
      </c>
      <c r="W63" s="453">
        <f>移出入推計WS!GY64</f>
        <v>559800</v>
      </c>
      <c r="X63" s="453">
        <f>移出入推計WS!HY64</f>
        <v>557660</v>
      </c>
      <c r="Y63" s="588">
        <f>(純移出入!U63-純移出入!T63)/ABS(純移出入!T63)*100</f>
        <v>-9.856729185987092</v>
      </c>
      <c r="Z63" s="588">
        <f>(純移出入!V63-純移出入!U63)/ABS(純移出入!U63)*100</f>
        <v>-54.905624724432592</v>
      </c>
    </row>
    <row r="64" spans="1:26">
      <c r="A64" s="62">
        <v>205</v>
      </c>
      <c r="B64" s="62" t="s">
        <v>339</v>
      </c>
      <c r="C64" s="744">
        <f>移出入推計WS!F65</f>
        <v>143146</v>
      </c>
      <c r="D64" s="744">
        <f>移出入推計WS!P65</f>
        <v>138710</v>
      </c>
      <c r="E64" s="75">
        <f>移出入推計WS!Z65</f>
        <v>138384</v>
      </c>
      <c r="F64" s="316">
        <f>移出入推計WS!AJ65</f>
        <v>128944</v>
      </c>
      <c r="G64" s="316">
        <f>移出入推計WS!AT65</f>
        <v>145565</v>
      </c>
      <c r="H64" s="75">
        <f>移出入推計WS!BD65</f>
        <v>131145</v>
      </c>
      <c r="I64" s="75">
        <f>移出入推計WS!BN65</f>
        <v>132638</v>
      </c>
      <c r="J64" s="75">
        <f>移出入推計WS!BX65</f>
        <v>139279</v>
      </c>
      <c r="K64" s="75">
        <f>移出入推計WS!CH65</f>
        <v>128708</v>
      </c>
      <c r="L64" s="75">
        <f>移出入推計WS!CR65</f>
        <v>131400</v>
      </c>
      <c r="M64" s="75">
        <f>移出入推計WS!DB65</f>
        <v>133343</v>
      </c>
      <c r="N64" s="75">
        <f>移出入推計WS!DL65</f>
        <v>137422</v>
      </c>
      <c r="O64" s="75">
        <f>移出入推計WS!DV65</f>
        <v>127718</v>
      </c>
      <c r="P64" s="75">
        <f>移出入推計WS!EF65</f>
        <v>134042</v>
      </c>
      <c r="Q64" s="75">
        <f>移出入推計WS!EP65</f>
        <v>120067</v>
      </c>
      <c r="R64" s="453">
        <f>移出入推計WS!EZ65</f>
        <v>151903</v>
      </c>
      <c r="S64" s="453">
        <f>移出入推計WS!FJ65</f>
        <v>154388</v>
      </c>
      <c r="T64" s="453">
        <f>移出入推計WS!FU65</f>
        <v>139939</v>
      </c>
      <c r="U64" s="453">
        <f>移出入推計WS!GE65</f>
        <v>164328</v>
      </c>
      <c r="V64" s="453">
        <f>移出入推計WS!GO65</f>
        <v>174627</v>
      </c>
      <c r="W64" s="453">
        <f>移出入推計WS!GY65</f>
        <v>193198</v>
      </c>
      <c r="X64" s="453">
        <f>移出入推計WS!HY65</f>
        <v>187024</v>
      </c>
      <c r="Y64" s="588">
        <f>(純移出入!U64-純移出入!T64)/ABS(純移出入!T64)*100</f>
        <v>-33.542586145453548</v>
      </c>
      <c r="Z64" s="588">
        <f>(純移出入!V64-純移出入!U64)/ABS(純移出入!U64)*100</f>
        <v>-70.416202615187885</v>
      </c>
    </row>
    <row r="65" spans="1:26">
      <c r="A65" s="62">
        <v>224</v>
      </c>
      <c r="B65" s="62" t="s">
        <v>224</v>
      </c>
      <c r="C65" s="744">
        <f>移出入推計WS!F66</f>
        <v>124455</v>
      </c>
      <c r="D65" s="744">
        <f>移出入推計WS!P66</f>
        <v>131958</v>
      </c>
      <c r="E65" s="75">
        <f>移出入推計WS!Z66</f>
        <v>130113</v>
      </c>
      <c r="F65" s="316">
        <f>移出入推計WS!AJ66</f>
        <v>116189</v>
      </c>
      <c r="G65" s="316">
        <f>移出入推計WS!AT66</f>
        <v>118429</v>
      </c>
      <c r="H65" s="75">
        <f>移出入推計WS!BD66</f>
        <v>125124</v>
      </c>
      <c r="I65" s="75">
        <f>移出入推計WS!BN66</f>
        <v>127907</v>
      </c>
      <c r="J65" s="75">
        <f>移出入推計WS!BX66</f>
        <v>127614</v>
      </c>
      <c r="K65" s="75">
        <f>移出入推計WS!CH66</f>
        <v>133993</v>
      </c>
      <c r="L65" s="75">
        <f>移出入推計WS!CR66</f>
        <v>131909</v>
      </c>
      <c r="M65" s="75">
        <f>移出入推計WS!DB66</f>
        <v>121232</v>
      </c>
      <c r="N65" s="75">
        <f>移出入推計WS!DL66</f>
        <v>122707</v>
      </c>
      <c r="O65" s="75">
        <f>移出入推計WS!DV66</f>
        <v>125572</v>
      </c>
      <c r="P65" s="75">
        <f>移出入推計WS!EF66</f>
        <v>127209</v>
      </c>
      <c r="Q65" s="75">
        <f>移出入推計WS!EP66</f>
        <v>110878</v>
      </c>
      <c r="R65" s="453">
        <f>移出入推計WS!EZ66</f>
        <v>129953</v>
      </c>
      <c r="S65" s="453">
        <f>移出入推計WS!FJ66</f>
        <v>157965</v>
      </c>
      <c r="T65" s="453">
        <f>移出入推計WS!FU66</f>
        <v>145647</v>
      </c>
      <c r="U65" s="453">
        <f>移出入推計WS!GE66</f>
        <v>160013</v>
      </c>
      <c r="V65" s="453">
        <f>移出入推計WS!GO66</f>
        <v>168649</v>
      </c>
      <c r="W65" s="453">
        <f>移出入推計WS!GY66</f>
        <v>180519</v>
      </c>
      <c r="X65" s="453">
        <f>移出入推計WS!HY66</f>
        <v>179669</v>
      </c>
      <c r="Y65" s="588">
        <f>(純移出入!U65-純移出入!T65)/ABS(純移出入!T65)*100</f>
        <v>-13.661591006119252</v>
      </c>
      <c r="Z65" s="588">
        <f>(純移出入!V65-純移出入!U65)/ABS(純移出入!U65)*100</f>
        <v>-61.941651557606725</v>
      </c>
    </row>
    <row r="66" spans="1:26">
      <c r="A66" s="70">
        <v>226</v>
      </c>
      <c r="B66" s="70" t="s">
        <v>225</v>
      </c>
      <c r="C66" s="779">
        <f>移出入推計WS!F67</f>
        <v>140871</v>
      </c>
      <c r="D66" s="779">
        <f>移出入推計WS!P67</f>
        <v>135397</v>
      </c>
      <c r="E66" s="132">
        <f>移出入推計WS!Z67</f>
        <v>128479</v>
      </c>
      <c r="F66" s="380">
        <f>移出入推計WS!AJ67</f>
        <v>127202</v>
      </c>
      <c r="G66" s="380">
        <f>移出入推計WS!AT67</f>
        <v>115816</v>
      </c>
      <c r="H66" s="132">
        <f>移出入推計WS!BD67</f>
        <v>130783</v>
      </c>
      <c r="I66" s="132">
        <f>移出入推計WS!BN67</f>
        <v>134403</v>
      </c>
      <c r="J66" s="132">
        <f>移出入推計WS!BX67</f>
        <v>138094</v>
      </c>
      <c r="K66" s="132">
        <f>移出入推計WS!CH67</f>
        <v>131567</v>
      </c>
      <c r="L66" s="132">
        <f>移出入推計WS!CR67</f>
        <v>135702</v>
      </c>
      <c r="M66" s="132">
        <f>移出入推計WS!DB67</f>
        <v>121161</v>
      </c>
      <c r="N66" s="132">
        <f>移出入推計WS!DL67</f>
        <v>124591</v>
      </c>
      <c r="O66" s="132">
        <f>移出入推計WS!DV67</f>
        <v>126919</v>
      </c>
      <c r="P66" s="132">
        <f>移出入推計WS!EF67</f>
        <v>134895</v>
      </c>
      <c r="Q66" s="132">
        <f>移出入推計WS!EP67</f>
        <v>118659</v>
      </c>
      <c r="R66" s="450">
        <f>移出入推計WS!EZ67</f>
        <v>138888</v>
      </c>
      <c r="S66" s="450">
        <f>移出入推計WS!FJ67</f>
        <v>157807</v>
      </c>
      <c r="T66" s="450">
        <f>移出入推計WS!FU67</f>
        <v>170411</v>
      </c>
      <c r="U66" s="450">
        <f>移出入推計WS!GE67</f>
        <v>171917</v>
      </c>
      <c r="V66" s="450">
        <f>移出入推計WS!GO67</f>
        <v>179674</v>
      </c>
      <c r="W66" s="450">
        <f>移出入推計WS!GY67</f>
        <v>186083</v>
      </c>
      <c r="X66" s="450">
        <f>移出入推計WS!HY67</f>
        <v>190967</v>
      </c>
      <c r="Y66" s="588">
        <f>(純移出入!U66-純移出入!T66)/ABS(純移出入!T66)*100</f>
        <v>209.78191827228457</v>
      </c>
      <c r="Z66" s="588">
        <f>(純移出入!V66-純移出入!U66)/ABS(純移出入!U66)*100</f>
        <v>42.314368370298936</v>
      </c>
    </row>
    <row r="67" spans="1:26">
      <c r="Q67" s="453"/>
      <c r="R67" s="453"/>
      <c r="S67" s="453"/>
      <c r="T67" s="453"/>
      <c r="U67" s="453"/>
      <c r="V67" s="453"/>
      <c r="W67" s="453"/>
      <c r="X67" s="453"/>
    </row>
  </sheetData>
  <phoneticPr fontId="13"/>
  <pageMargins left="0.75" right="0.75" top="1" bottom="1" header="0.51200000000000001" footer="0.51200000000000001"/>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tabColor theme="9" tint="0.79998168889431442"/>
  </sheetPr>
  <dimension ref="A1:CE124"/>
  <sheetViews>
    <sheetView zoomScaleNormal="100" workbookViewId="0">
      <pane xSplit="7" ySplit="5" topLeftCell="Z21" activePane="bottomRight" state="frozen"/>
      <selection pane="topRight" activeCell="H1" sqref="H1"/>
      <selection pane="bottomLeft" activeCell="A6" sqref="A6"/>
      <selection pane="bottomRight" activeCell="AA23" sqref="AA23"/>
    </sheetView>
  </sheetViews>
  <sheetFormatPr defaultColWidth="8.5" defaultRowHeight="16.5"/>
  <cols>
    <col min="1" max="1" width="1.2109375" style="1420" customWidth="1"/>
    <col min="2" max="2" width="16.2109375" style="1422" customWidth="1"/>
    <col min="3" max="7" width="8.2109375" style="1422" hidden="1" customWidth="1"/>
    <col min="8" max="8" width="8.2109375" style="1422" customWidth="1"/>
    <col min="9" max="9" width="9.0703125" style="1423" customWidth="1"/>
    <col min="10" max="11" width="8.5" style="1424" customWidth="1"/>
    <col min="12" max="13" width="8.5" style="1420" customWidth="1"/>
    <col min="14" max="14" width="8.7109375" style="1425" customWidth="1"/>
    <col min="15" max="21" width="9.2109375" style="1425" customWidth="1"/>
    <col min="22" max="23" width="8.7109375" style="1426" customWidth="1"/>
    <col min="24" max="24" width="9.7109375" style="1426" customWidth="1"/>
    <col min="25" max="29" width="8.7109375" style="1426" customWidth="1"/>
    <col min="30" max="37" width="7.7109375" style="1429" hidden="1" customWidth="1"/>
    <col min="38" max="42" width="7.7109375" style="1429" customWidth="1"/>
    <col min="43" max="43" width="7.7109375" style="1429" hidden="1" customWidth="1"/>
    <col min="44" max="46" width="7.7109375" style="1429" customWidth="1"/>
    <col min="47" max="47" width="12" style="1429" customWidth="1"/>
    <col min="48" max="83" width="8.5" style="1429"/>
    <col min="84" max="16384" width="8.5" style="1420"/>
  </cols>
  <sheetData>
    <row r="1" spans="1:83" ht="15" customHeight="1">
      <c r="B1" s="1421" t="s">
        <v>283</v>
      </c>
      <c r="K1" s="1424" t="s">
        <v>347</v>
      </c>
      <c r="N1" s="1425" t="s">
        <v>449</v>
      </c>
      <c r="AD1" s="1427"/>
      <c r="AE1" s="1427"/>
      <c r="AF1" s="1427"/>
      <c r="AG1" s="1427"/>
      <c r="AH1" s="1427"/>
      <c r="AI1" s="1427"/>
      <c r="AJ1" s="1427"/>
      <c r="AK1" s="1427"/>
      <c r="AL1" s="1427"/>
      <c r="AM1" s="1427"/>
      <c r="AN1" s="1427"/>
      <c r="AO1" s="1427"/>
      <c r="AP1" s="1427"/>
      <c r="AQ1" s="1428"/>
      <c r="AR1" s="1428"/>
      <c r="AS1" s="1428"/>
      <c r="AT1" s="1428"/>
      <c r="AU1" s="1429" t="s">
        <v>11</v>
      </c>
    </row>
    <row r="2" spans="1:83" ht="15" customHeight="1">
      <c r="A2" s="1425"/>
      <c r="B2" s="1548"/>
      <c r="C2" s="1549" t="s">
        <v>1083</v>
      </c>
      <c r="D2" s="1549" t="s">
        <v>1083</v>
      </c>
      <c r="E2" s="1549" t="s">
        <v>1083</v>
      </c>
      <c r="F2" s="1549" t="s">
        <v>1083</v>
      </c>
      <c r="G2" s="1549" t="s">
        <v>1083</v>
      </c>
      <c r="H2" s="1549"/>
      <c r="I2" s="1548"/>
      <c r="J2" s="1425" t="s">
        <v>627</v>
      </c>
      <c r="K2" s="1425" t="s">
        <v>347</v>
      </c>
      <c r="L2" s="1425" t="s">
        <v>347</v>
      </c>
      <c r="M2" s="1425"/>
      <c r="N2" s="1550" t="s">
        <v>1001</v>
      </c>
      <c r="O2" s="1425" t="s">
        <v>11</v>
      </c>
      <c r="P2" s="1549"/>
      <c r="Q2" s="1425" t="s">
        <v>1097</v>
      </c>
      <c r="R2" s="1425" t="s">
        <v>11</v>
      </c>
      <c r="S2" s="1425" t="s">
        <v>627</v>
      </c>
      <c r="T2" s="1550" t="s">
        <v>627</v>
      </c>
      <c r="U2" s="1550"/>
      <c r="W2" s="1552"/>
      <c r="X2" s="1551" t="s">
        <v>284</v>
      </c>
      <c r="Y2" s="1552" t="s">
        <v>11</v>
      </c>
      <c r="Z2" s="1552"/>
      <c r="AD2" s="1475"/>
      <c r="AE2" s="1475"/>
      <c r="AF2" s="1475"/>
      <c r="AG2" s="1475"/>
      <c r="AH2" s="1475"/>
      <c r="AI2" s="1475"/>
      <c r="AJ2" s="1475"/>
      <c r="AK2" s="1475"/>
      <c r="AL2" s="1475"/>
      <c r="AM2" s="1475"/>
      <c r="AN2" s="1475"/>
      <c r="AO2" s="1475"/>
      <c r="AP2" s="1475"/>
      <c r="AQ2" s="1553"/>
      <c r="AR2" s="1553"/>
      <c r="AS2" s="1553"/>
      <c r="AT2" s="1553"/>
    </row>
    <row r="3" spans="1:83" ht="14" customHeight="1">
      <c r="A3" s="1458"/>
      <c r="B3" s="1458"/>
      <c r="C3" s="1458"/>
      <c r="D3" s="1458"/>
      <c r="E3" s="1458"/>
      <c r="F3" s="1458"/>
      <c r="G3" s="1458"/>
      <c r="H3" s="1554"/>
      <c r="I3" s="1554"/>
      <c r="J3" s="1554"/>
      <c r="K3" s="1554"/>
      <c r="L3" s="1554"/>
      <c r="M3" s="1554"/>
      <c r="N3" s="1554"/>
      <c r="O3" s="1554"/>
      <c r="P3" s="1554"/>
      <c r="Q3" s="1554"/>
      <c r="R3" s="1554"/>
      <c r="S3" s="1554"/>
      <c r="T3" s="1554"/>
      <c r="U3" s="1554"/>
      <c r="V3" s="1790"/>
      <c r="X3" s="935" t="s">
        <v>11</v>
      </c>
      <c r="Y3" s="935"/>
      <c r="Z3" s="935" t="s">
        <v>948</v>
      </c>
      <c r="AA3" s="1734" t="s">
        <v>1735</v>
      </c>
      <c r="AB3" s="1734" t="s">
        <v>14</v>
      </c>
      <c r="AC3" s="1734" t="s">
        <v>14</v>
      </c>
      <c r="AD3" s="1555"/>
      <c r="AE3" s="1555"/>
      <c r="AF3" s="1555"/>
      <c r="AG3" s="1555"/>
      <c r="AH3" s="1555"/>
      <c r="AI3" s="1555"/>
      <c r="AJ3" s="1555"/>
      <c r="AK3" s="1555"/>
      <c r="AL3" s="1555" t="s">
        <v>1789</v>
      </c>
      <c r="AM3" s="1555"/>
      <c r="AN3" s="1555"/>
      <c r="AO3" s="1555"/>
      <c r="AP3" s="1555"/>
      <c r="AQ3" s="1553"/>
      <c r="AR3" s="1553"/>
      <c r="AS3" s="1553"/>
      <c r="AT3" s="1553"/>
    </row>
    <row r="4" spans="1:83" ht="14" customHeight="1">
      <c r="A4" s="1556" t="s">
        <v>285</v>
      </c>
      <c r="B4" s="1557"/>
      <c r="C4" s="1558"/>
      <c r="D4" s="1558"/>
      <c r="E4" s="1558"/>
      <c r="F4" s="1558"/>
      <c r="G4" s="1558"/>
      <c r="H4" s="1545">
        <v>2006</v>
      </c>
      <c r="I4" s="1546">
        <v>2007</v>
      </c>
      <c r="J4" s="1545">
        <v>2008</v>
      </c>
      <c r="K4" s="1546">
        <v>2009</v>
      </c>
      <c r="L4" s="1545">
        <v>2010</v>
      </c>
      <c r="M4" s="1755">
        <v>2011</v>
      </c>
      <c r="N4" s="1756">
        <v>2012</v>
      </c>
      <c r="O4" s="1755">
        <v>2013</v>
      </c>
      <c r="P4" s="1756">
        <v>2014</v>
      </c>
      <c r="Q4" s="1755">
        <v>2015</v>
      </c>
      <c r="R4" s="1756">
        <v>2016</v>
      </c>
      <c r="S4" s="1755">
        <v>2017</v>
      </c>
      <c r="T4" s="1756">
        <v>2018</v>
      </c>
      <c r="U4" s="1755">
        <v>2019</v>
      </c>
      <c r="V4" s="1756">
        <v>2020</v>
      </c>
      <c r="W4" s="1757">
        <v>2021</v>
      </c>
      <c r="X4" s="1757">
        <v>2022</v>
      </c>
      <c r="Y4" s="2023">
        <v>2023</v>
      </c>
      <c r="Z4" s="1711">
        <v>2024</v>
      </c>
      <c r="AA4" s="1711">
        <v>2025</v>
      </c>
      <c r="AB4" s="1711">
        <v>2026</v>
      </c>
      <c r="AC4" s="1711">
        <v>2027</v>
      </c>
      <c r="AD4" s="1560"/>
      <c r="AE4" s="1560"/>
      <c r="AF4" s="1560"/>
      <c r="AG4" s="1560"/>
      <c r="AH4" s="1560"/>
      <c r="AI4" s="1560"/>
      <c r="AJ4" s="1560"/>
      <c r="AK4" s="1560"/>
      <c r="AL4" s="1560"/>
      <c r="AM4" s="1560"/>
      <c r="AN4" s="1560"/>
      <c r="AO4" s="1560"/>
      <c r="AP4" s="1560" t="s">
        <v>1734</v>
      </c>
      <c r="AQ4" s="1561" t="s">
        <v>1562</v>
      </c>
      <c r="AR4" s="1561" t="s">
        <v>1722</v>
      </c>
      <c r="AS4" s="1561" t="s">
        <v>1769</v>
      </c>
      <c r="AT4" s="1561" t="s">
        <v>1784</v>
      </c>
      <c r="AU4" s="1431"/>
    </row>
    <row r="5" spans="1:83" s="1434" customFormat="1" ht="14" customHeight="1">
      <c r="A5" s="1562"/>
      <c r="B5" s="1563"/>
      <c r="C5" s="1564" t="s">
        <v>286</v>
      </c>
      <c r="D5" s="1564" t="s">
        <v>288</v>
      </c>
      <c r="E5" s="1564" t="s">
        <v>289</v>
      </c>
      <c r="F5" s="1564" t="s">
        <v>290</v>
      </c>
      <c r="G5" s="1564" t="s">
        <v>291</v>
      </c>
      <c r="H5" s="1547" t="s">
        <v>292</v>
      </c>
      <c r="I5" s="1547" t="s">
        <v>293</v>
      </c>
      <c r="J5" s="1547" t="s">
        <v>866</v>
      </c>
      <c r="K5" s="1547" t="s">
        <v>867</v>
      </c>
      <c r="L5" s="1547" t="s">
        <v>913</v>
      </c>
      <c r="M5" s="1758" t="s">
        <v>1472</v>
      </c>
      <c r="N5" s="1758" t="s">
        <v>1473</v>
      </c>
      <c r="O5" s="1758" t="s">
        <v>1474</v>
      </c>
      <c r="P5" s="1758" t="s">
        <v>1475</v>
      </c>
      <c r="Q5" s="1758" t="s">
        <v>1476</v>
      </c>
      <c r="R5" s="1758" t="s">
        <v>1477</v>
      </c>
      <c r="S5" s="1758" t="s">
        <v>1478</v>
      </c>
      <c r="T5" s="1758" t="s">
        <v>1479</v>
      </c>
      <c r="U5" s="1758" t="s">
        <v>1480</v>
      </c>
      <c r="V5" s="1758" t="s">
        <v>1795</v>
      </c>
      <c r="W5" s="1758" t="s">
        <v>1796</v>
      </c>
      <c r="X5" s="1759" t="s">
        <v>1797</v>
      </c>
      <c r="Y5" s="2024" t="s">
        <v>1798</v>
      </c>
      <c r="Z5" s="1565" t="s">
        <v>1561</v>
      </c>
      <c r="AA5" s="1565" t="s">
        <v>1603</v>
      </c>
      <c r="AB5" s="1565" t="s">
        <v>1745</v>
      </c>
      <c r="AC5" s="1565" t="s">
        <v>1783</v>
      </c>
      <c r="AD5" s="1566" t="s">
        <v>1591</v>
      </c>
      <c r="AE5" s="1566" t="s">
        <v>1704</v>
      </c>
      <c r="AF5" s="1566" t="s">
        <v>1705</v>
      </c>
      <c r="AG5" s="1566" t="s">
        <v>1706</v>
      </c>
      <c r="AH5" s="1566" t="s">
        <v>1724</v>
      </c>
      <c r="AI5" s="1566" t="s">
        <v>1725</v>
      </c>
      <c r="AJ5" s="1566" t="s">
        <v>1726</v>
      </c>
      <c r="AK5" s="1566" t="s">
        <v>1727</v>
      </c>
      <c r="AL5" s="1566" t="s">
        <v>1785</v>
      </c>
      <c r="AM5" s="1566" t="s">
        <v>1786</v>
      </c>
      <c r="AN5" s="1566" t="s">
        <v>1787</v>
      </c>
      <c r="AO5" s="1566" t="s">
        <v>1788</v>
      </c>
      <c r="AP5" s="1566" t="s">
        <v>1879</v>
      </c>
      <c r="AQ5" s="1567" t="s">
        <v>14</v>
      </c>
      <c r="AR5" s="1567" t="s">
        <v>14</v>
      </c>
      <c r="AS5" s="1567" t="s">
        <v>14</v>
      </c>
      <c r="AT5" s="1567" t="s">
        <v>14</v>
      </c>
      <c r="AU5" s="1432"/>
      <c r="AV5" s="1429"/>
      <c r="AW5" s="1433"/>
      <c r="AX5" s="1433"/>
      <c r="AY5" s="1433"/>
      <c r="AZ5" s="1433"/>
      <c r="BA5" s="1433"/>
      <c r="BB5" s="1433"/>
      <c r="BC5" s="1433"/>
      <c r="BD5" s="1433"/>
      <c r="BE5" s="1433"/>
      <c r="BF5" s="1433"/>
      <c r="BG5" s="1433"/>
      <c r="BH5" s="1433"/>
      <c r="BI5" s="1433"/>
      <c r="BJ5" s="1433"/>
      <c r="BK5" s="1433"/>
      <c r="BL5" s="1433"/>
      <c r="BM5" s="1433"/>
      <c r="BN5" s="1433"/>
      <c r="BO5" s="1433"/>
      <c r="BP5" s="1433"/>
      <c r="BQ5" s="1433"/>
      <c r="BR5" s="1433"/>
      <c r="BS5" s="1433"/>
      <c r="BT5" s="1433"/>
      <c r="BU5" s="1433"/>
      <c r="BV5" s="1433"/>
      <c r="BW5" s="1433"/>
      <c r="BX5" s="1433"/>
      <c r="BY5" s="1433"/>
      <c r="BZ5" s="1433"/>
      <c r="CA5" s="1433"/>
      <c r="CB5" s="1433"/>
      <c r="CC5" s="1433"/>
      <c r="CD5" s="1433"/>
      <c r="CE5" s="1433"/>
    </row>
    <row r="6" spans="1:83" ht="14" customHeight="1">
      <c r="A6" s="1568"/>
      <c r="B6" s="1569" t="s">
        <v>294</v>
      </c>
      <c r="C6" s="1570">
        <v>13251936</v>
      </c>
      <c r="D6" s="1569">
        <v>13078039</v>
      </c>
      <c r="E6" s="1569">
        <v>13047050</v>
      </c>
      <c r="F6" s="1569">
        <v>13095398</v>
      </c>
      <c r="G6" s="1571">
        <v>13209418</v>
      </c>
      <c r="H6" s="1437">
        <v>12941390.801238377</v>
      </c>
      <c r="I6" s="1437">
        <v>13078026.017082801</v>
      </c>
      <c r="J6" s="1437">
        <v>12864972.249252094</v>
      </c>
      <c r="K6" s="1437">
        <v>12734654.393827613</v>
      </c>
      <c r="L6" s="1437">
        <v>12756939.555404345</v>
      </c>
      <c r="M6" s="1760">
        <v>12761443</v>
      </c>
      <c r="N6" s="1760">
        <v>12744229</v>
      </c>
      <c r="O6" s="1760">
        <v>13077487</v>
      </c>
      <c r="P6" s="1760">
        <v>12910180</v>
      </c>
      <c r="Q6" s="1760">
        <v>13068268</v>
      </c>
      <c r="R6" s="1760">
        <v>12971297</v>
      </c>
      <c r="S6" s="1760">
        <v>13163075</v>
      </c>
      <c r="T6" s="1760">
        <v>13228280</v>
      </c>
      <c r="U6" s="1760">
        <v>13235618</v>
      </c>
      <c r="V6" s="1760">
        <v>12662771</v>
      </c>
      <c r="W6" s="1760">
        <v>13082778</v>
      </c>
      <c r="X6" s="1761">
        <v>13825263</v>
      </c>
      <c r="Y6" s="1541">
        <v>14024566</v>
      </c>
      <c r="Z6" s="1436">
        <f>兵庫QE名目!D147</f>
        <v>14348115</v>
      </c>
      <c r="AA6" s="1892">
        <f>SUM(AL6:AO6)</f>
        <v>14852478</v>
      </c>
      <c r="AB6" s="1437">
        <f>ROUND(AA6*AS6,0)</f>
        <v>15020812</v>
      </c>
      <c r="AC6" s="1437">
        <f>ROUND(AB6*AT6,0)</f>
        <v>15196542</v>
      </c>
      <c r="AD6" s="1438">
        <f>兵庫QE名目!D95</f>
        <v>3455400</v>
      </c>
      <c r="AE6" s="1438">
        <f>兵庫QE名目!D96</f>
        <v>3469367</v>
      </c>
      <c r="AF6" s="1438">
        <f>兵庫QE名目!D97</f>
        <v>3586414</v>
      </c>
      <c r="AG6" s="1438">
        <f>兵庫QE名目!D98</f>
        <v>3513384</v>
      </c>
      <c r="AH6" s="1438">
        <f>兵庫QE名目!D99</f>
        <v>3513095</v>
      </c>
      <c r="AI6" s="1438">
        <f>兵庫QE名目!D100</f>
        <v>3538675</v>
      </c>
      <c r="AJ6" s="1438">
        <f>兵庫QE名目!D101</f>
        <v>3654614</v>
      </c>
      <c r="AK6" s="1438">
        <f>兵庫QE名目!D102</f>
        <v>3641731</v>
      </c>
      <c r="AL6" s="1438">
        <f>兵庫QE名目!D103</f>
        <v>3618605</v>
      </c>
      <c r="AM6" s="1438">
        <f>兵庫QE名目!D104</f>
        <v>3700787</v>
      </c>
      <c r="AN6" s="1438">
        <f>兵庫QE名目!D105</f>
        <v>3763341</v>
      </c>
      <c r="AO6" s="1731">
        <f>ROUND(AK6*AP6,0)</f>
        <v>3769745</v>
      </c>
      <c r="AP6" s="2274">
        <f>SUM(AL6:AN6)/SUM(AH6:AJ6)</f>
        <v>1.0351518309076155</v>
      </c>
      <c r="AQ6" s="1439">
        <f>ｱｼﾞｱ太平洋研見通し!AG6</f>
        <v>1.0084866492999023</v>
      </c>
      <c r="AR6" s="1439">
        <f>ｱｼﾞｱ太平洋研見通し!AH6</f>
        <v>1.0131374487922022</v>
      </c>
      <c r="AS6" s="1439">
        <f>ｱｼﾞｱ太平洋研見通し!AI6</f>
        <v>1.0113337582662736</v>
      </c>
      <c r="AT6" s="1439">
        <f>ｱｼﾞｱ太平洋研見通し!AJ6</f>
        <v>1.0116991314281212</v>
      </c>
      <c r="AU6" s="1425" t="s">
        <v>1507</v>
      </c>
    </row>
    <row r="7" spans="1:83" ht="14" customHeight="1">
      <c r="A7" s="1568"/>
      <c r="B7" s="1569" t="s">
        <v>295</v>
      </c>
      <c r="C7" s="1570">
        <v>13026220</v>
      </c>
      <c r="D7" s="1569">
        <v>12860783</v>
      </c>
      <c r="E7" s="1569">
        <v>12810124</v>
      </c>
      <c r="F7" s="1569">
        <v>12847986</v>
      </c>
      <c r="G7" s="1571">
        <v>12957722</v>
      </c>
      <c r="H7" s="1437">
        <v>12699397.724609096</v>
      </c>
      <c r="I7" s="1437">
        <v>12845310.228085611</v>
      </c>
      <c r="J7" s="1437">
        <v>12637574.168133972</v>
      </c>
      <c r="K7" s="1437">
        <v>12505907.978700772</v>
      </c>
      <c r="L7" s="1437">
        <v>12512627.028451113</v>
      </c>
      <c r="M7" s="1760">
        <v>12490360</v>
      </c>
      <c r="N7" s="1760">
        <v>12467479</v>
      </c>
      <c r="O7" s="1760">
        <v>12803477</v>
      </c>
      <c r="P7" s="1760">
        <v>12674261</v>
      </c>
      <c r="Q7" s="1760">
        <v>12787400</v>
      </c>
      <c r="R7" s="1760">
        <v>12663648</v>
      </c>
      <c r="S7" s="1760">
        <v>12850656</v>
      </c>
      <c r="T7" s="1760">
        <v>12940337</v>
      </c>
      <c r="U7" s="1760">
        <v>12910980</v>
      </c>
      <c r="V7" s="1760">
        <v>12281151</v>
      </c>
      <c r="W7" s="1760">
        <v>12712719</v>
      </c>
      <c r="X7" s="1760">
        <v>13459483</v>
      </c>
      <c r="Y7" s="1437">
        <v>13626319</v>
      </c>
      <c r="Z7" s="1441"/>
      <c r="AA7" s="1441"/>
      <c r="AB7" s="1441"/>
      <c r="AC7" s="1441"/>
      <c r="AD7" s="1442"/>
      <c r="AE7" s="1442"/>
      <c r="AF7" s="1442"/>
      <c r="AG7" s="1442"/>
      <c r="AH7" s="1442"/>
      <c r="AI7" s="1442"/>
      <c r="AJ7" s="1442"/>
      <c r="AK7" s="1442"/>
      <c r="AL7" s="1442"/>
      <c r="AM7" s="1442"/>
      <c r="AN7" s="1442"/>
      <c r="AO7" s="1442"/>
      <c r="AP7" s="1442"/>
      <c r="AQ7" s="1443"/>
      <c r="AR7" s="1443"/>
      <c r="AS7" s="1443"/>
      <c r="AT7" s="1443"/>
      <c r="AU7" s="1425"/>
    </row>
    <row r="8" spans="1:83" ht="14" customHeight="1">
      <c r="A8" s="1568"/>
      <c r="B8" s="1569" t="s">
        <v>147</v>
      </c>
      <c r="C8" s="1570">
        <v>1732327</v>
      </c>
      <c r="D8" s="1569">
        <v>1682358</v>
      </c>
      <c r="E8" s="1569">
        <v>1701179</v>
      </c>
      <c r="F8" s="1569">
        <v>1704673</v>
      </c>
      <c r="G8" s="1571">
        <v>1678932</v>
      </c>
      <c r="H8" s="1437">
        <v>1684754.6168261529</v>
      </c>
      <c r="I8" s="1437">
        <v>1726098.6991475956</v>
      </c>
      <c r="J8" s="1437">
        <v>1774267.0027367959</v>
      </c>
      <c r="K8" s="1437">
        <v>1795679.5821410934</v>
      </c>
      <c r="L8" s="1437">
        <v>1837485.8109097495</v>
      </c>
      <c r="M8" s="1760">
        <v>1848373</v>
      </c>
      <c r="N8" s="1760">
        <v>1882721</v>
      </c>
      <c r="O8" s="1760">
        <v>1928302</v>
      </c>
      <c r="P8" s="1760">
        <v>1969242</v>
      </c>
      <c r="Q8" s="1760">
        <v>2029651</v>
      </c>
      <c r="R8" s="1760">
        <v>2027953</v>
      </c>
      <c r="S8" s="1760">
        <v>2042184</v>
      </c>
      <c r="T8" s="1760">
        <v>2036094</v>
      </c>
      <c r="U8" s="1760">
        <v>2026879</v>
      </c>
      <c r="V8" s="1760">
        <v>1999632</v>
      </c>
      <c r="W8" s="1760">
        <v>2014235</v>
      </c>
      <c r="X8" s="1760">
        <v>2083644</v>
      </c>
      <c r="Y8" s="1437">
        <v>2169260</v>
      </c>
      <c r="Z8" s="1441"/>
      <c r="AA8" s="1441"/>
      <c r="AB8" s="1441"/>
      <c r="AC8" s="1441"/>
      <c r="AD8" s="1442"/>
      <c r="AE8" s="1442"/>
      <c r="AF8" s="1442"/>
      <c r="AG8" s="1442"/>
      <c r="AH8" s="1442"/>
      <c r="AI8" s="1442"/>
      <c r="AJ8" s="1442"/>
      <c r="AK8" s="1442"/>
      <c r="AL8" s="1442"/>
      <c r="AM8" s="1442"/>
      <c r="AN8" s="1442"/>
      <c r="AO8" s="1442"/>
      <c r="AP8" s="1442"/>
      <c r="AQ8" s="1443"/>
      <c r="AR8" s="1443"/>
      <c r="AS8" s="1443"/>
      <c r="AT8" s="1443"/>
      <c r="AU8" s="1425"/>
    </row>
    <row r="9" spans="1:83" ht="14" customHeight="1">
      <c r="A9" s="1568"/>
      <c r="B9" s="1569" t="s">
        <v>148</v>
      </c>
      <c r="C9" s="1570">
        <v>438865</v>
      </c>
      <c r="D9" s="1569">
        <v>467571</v>
      </c>
      <c r="E9" s="1569">
        <v>413922</v>
      </c>
      <c r="F9" s="1569">
        <v>370846</v>
      </c>
      <c r="G9" s="1571">
        <v>335014</v>
      </c>
      <c r="H9" s="1437">
        <v>356505.19811528339</v>
      </c>
      <c r="I9" s="1437">
        <v>340356.90186250507</v>
      </c>
      <c r="J9" s="1437">
        <v>324580.74409448163</v>
      </c>
      <c r="K9" s="1437">
        <v>311812.55712745484</v>
      </c>
      <c r="L9" s="1437">
        <v>309929.36868694867</v>
      </c>
      <c r="M9" s="1760">
        <v>325888</v>
      </c>
      <c r="N9" s="1760">
        <v>319023</v>
      </c>
      <c r="O9" s="1760">
        <v>322335</v>
      </c>
      <c r="P9" s="1760">
        <v>303823</v>
      </c>
      <c r="Q9" s="1760">
        <v>315847</v>
      </c>
      <c r="R9" s="1760">
        <v>312565</v>
      </c>
      <c r="S9" s="1760">
        <v>310146</v>
      </c>
      <c r="T9" s="1760">
        <v>297428</v>
      </c>
      <c r="U9" s="1760">
        <v>302091</v>
      </c>
      <c r="V9" s="1760">
        <v>305411</v>
      </c>
      <c r="W9" s="1760">
        <v>315985</v>
      </c>
      <c r="X9" s="1760">
        <v>318127</v>
      </c>
      <c r="Y9" s="1437">
        <v>321412</v>
      </c>
      <c r="Z9" s="1441"/>
      <c r="AA9" s="1441"/>
      <c r="AB9" s="1441"/>
      <c r="AC9" s="1441"/>
      <c r="AD9" s="1442"/>
      <c r="AE9" s="1442"/>
      <c r="AF9" s="1442"/>
      <c r="AG9" s="1442"/>
      <c r="AH9" s="1442"/>
      <c r="AI9" s="1442"/>
      <c r="AJ9" s="1442"/>
      <c r="AK9" s="1442"/>
      <c r="AL9" s="1442"/>
      <c r="AM9" s="1442"/>
      <c r="AN9" s="1442"/>
      <c r="AO9" s="1442"/>
      <c r="AP9" s="1442"/>
      <c r="AQ9" s="1443"/>
      <c r="AR9" s="1443"/>
      <c r="AS9" s="1443"/>
      <c r="AT9" s="1443"/>
      <c r="AU9" s="1425"/>
    </row>
    <row r="10" spans="1:83" ht="14" customHeight="1">
      <c r="A10" s="1568"/>
      <c r="B10" s="1569" t="s">
        <v>150</v>
      </c>
      <c r="C10" s="1570">
        <v>527472</v>
      </c>
      <c r="D10" s="1569">
        <v>528035</v>
      </c>
      <c r="E10" s="1569">
        <v>451745</v>
      </c>
      <c r="F10" s="1569">
        <v>454842</v>
      </c>
      <c r="G10" s="1571">
        <v>411138</v>
      </c>
      <c r="H10" s="1437">
        <v>450456.94470061664</v>
      </c>
      <c r="I10" s="1437">
        <v>441178.41048146068</v>
      </c>
      <c r="J10" s="1437">
        <v>441305.09085760079</v>
      </c>
      <c r="K10" s="1437">
        <v>434431.20242804702</v>
      </c>
      <c r="L10" s="1437">
        <v>427703.70775448723</v>
      </c>
      <c r="M10" s="1767">
        <v>439785</v>
      </c>
      <c r="N10" s="1767">
        <v>455791</v>
      </c>
      <c r="O10" s="1767">
        <v>509443</v>
      </c>
      <c r="P10" s="1767">
        <v>516539</v>
      </c>
      <c r="Q10" s="1767">
        <v>512677</v>
      </c>
      <c r="R10" s="1767">
        <v>456815</v>
      </c>
      <c r="S10" s="1767">
        <v>454800</v>
      </c>
      <c r="T10" s="1767">
        <v>463884</v>
      </c>
      <c r="U10" s="1767">
        <v>445038</v>
      </c>
      <c r="V10" s="1767">
        <v>401175</v>
      </c>
      <c r="W10" s="1767">
        <v>409316</v>
      </c>
      <c r="X10" s="1767">
        <v>468070</v>
      </c>
      <c r="Y10" s="2025">
        <v>462167</v>
      </c>
      <c r="Z10" s="1441"/>
      <c r="AA10" s="1441"/>
      <c r="AB10" s="1441"/>
      <c r="AC10" s="1441"/>
      <c r="AD10" s="1442"/>
      <c r="AE10" s="1442"/>
      <c r="AF10" s="1442"/>
      <c r="AG10" s="1442"/>
      <c r="AH10" s="1442"/>
      <c r="AI10" s="1442"/>
      <c r="AJ10" s="1442"/>
      <c r="AK10" s="1442"/>
      <c r="AL10" s="1442"/>
      <c r="AM10" s="1442"/>
      <c r="AN10" s="1442"/>
      <c r="AO10" s="1442"/>
      <c r="AP10" s="1442"/>
      <c r="AQ10" s="1443"/>
      <c r="AR10" s="1443"/>
      <c r="AS10" s="1443"/>
      <c r="AT10" s="1443"/>
      <c r="AU10" s="1425"/>
    </row>
    <row r="11" spans="1:83" ht="14" customHeight="1">
      <c r="A11" s="1568"/>
      <c r="B11" s="1569" t="s">
        <v>1237</v>
      </c>
      <c r="C11" s="1570">
        <v>3168791</v>
      </c>
      <c r="D11" s="1569">
        <v>3178403</v>
      </c>
      <c r="E11" s="1569">
        <v>3156756</v>
      </c>
      <c r="F11" s="1569">
        <v>3232509</v>
      </c>
      <c r="G11" s="1571">
        <v>3260269</v>
      </c>
      <c r="H11" s="1437">
        <v>3245590.5537281595</v>
      </c>
      <c r="I11" s="1437">
        <v>3294785.0011203885</v>
      </c>
      <c r="J11" s="1437">
        <v>3281482.6767829051</v>
      </c>
      <c r="K11" s="1437">
        <v>3290198.6264698496</v>
      </c>
      <c r="L11" s="1437">
        <v>3340921.816581408</v>
      </c>
      <c r="M11" s="1767">
        <v>3348562</v>
      </c>
      <c r="N11" s="1767">
        <v>3397038</v>
      </c>
      <c r="O11" s="1767">
        <v>3431289</v>
      </c>
      <c r="P11" s="1767">
        <v>3415248</v>
      </c>
      <c r="Q11" s="1767">
        <v>3341591</v>
      </c>
      <c r="R11" s="1767">
        <v>3307317</v>
      </c>
      <c r="S11" s="1767">
        <v>3345351</v>
      </c>
      <c r="T11" s="1767">
        <v>3330009</v>
      </c>
      <c r="U11" s="1767">
        <v>3363780</v>
      </c>
      <c r="V11" s="1767">
        <v>3410977</v>
      </c>
      <c r="W11" s="1767">
        <v>3517797</v>
      </c>
      <c r="X11" s="1767">
        <v>3649458</v>
      </c>
      <c r="Y11" s="2025">
        <v>3637812</v>
      </c>
      <c r="Z11" s="1441"/>
      <c r="AA11" s="1441"/>
      <c r="AB11" s="1441"/>
      <c r="AC11" s="1441"/>
      <c r="AD11" s="1442"/>
      <c r="AE11" s="1442"/>
      <c r="AF11" s="1442"/>
      <c r="AG11" s="1442"/>
      <c r="AH11" s="1442"/>
      <c r="AI11" s="1442"/>
      <c r="AJ11" s="1442"/>
      <c r="AK11" s="1442"/>
      <c r="AL11" s="1442"/>
      <c r="AM11" s="1442"/>
      <c r="AN11" s="1442"/>
      <c r="AO11" s="1442"/>
      <c r="AP11" s="1442"/>
      <c r="AQ11" s="1443"/>
      <c r="AR11" s="1443"/>
      <c r="AS11" s="1443"/>
      <c r="AT11" s="1443"/>
      <c r="AU11" s="1425"/>
    </row>
    <row r="12" spans="1:83" ht="14" customHeight="1">
      <c r="A12" s="1568"/>
      <c r="B12" s="1569" t="s">
        <v>151</v>
      </c>
      <c r="C12" s="1570">
        <v>631984</v>
      </c>
      <c r="D12" s="1569">
        <v>563144</v>
      </c>
      <c r="E12" s="1569">
        <v>575570</v>
      </c>
      <c r="F12" s="1569">
        <v>533153</v>
      </c>
      <c r="G12" s="1571">
        <v>603925</v>
      </c>
      <c r="H12" s="1437">
        <v>526594.30610005744</v>
      </c>
      <c r="I12" s="1437">
        <v>510381.26956722856</v>
      </c>
      <c r="J12" s="1437">
        <v>504543.71443713043</v>
      </c>
      <c r="K12" s="1437">
        <v>475378.20391618664</v>
      </c>
      <c r="L12" s="1437">
        <v>484394.2794645782</v>
      </c>
      <c r="M12" s="1767">
        <v>454620</v>
      </c>
      <c r="N12" s="1767">
        <v>464465</v>
      </c>
      <c r="O12" s="1767">
        <v>530269</v>
      </c>
      <c r="P12" s="1767">
        <v>508261</v>
      </c>
      <c r="Q12" s="1767">
        <v>499647</v>
      </c>
      <c r="R12" s="1767">
        <v>485085</v>
      </c>
      <c r="S12" s="1767">
        <v>484135</v>
      </c>
      <c r="T12" s="1767">
        <v>478956</v>
      </c>
      <c r="U12" s="1767">
        <v>468472</v>
      </c>
      <c r="V12" s="1767">
        <v>488799</v>
      </c>
      <c r="W12" s="1767">
        <v>516433</v>
      </c>
      <c r="X12" s="1767">
        <v>551882</v>
      </c>
      <c r="Y12" s="2025">
        <v>537499</v>
      </c>
      <c r="Z12" s="1441"/>
      <c r="AA12" s="1441"/>
      <c r="AB12" s="1441"/>
      <c r="AC12" s="1441"/>
      <c r="AD12" s="1442"/>
      <c r="AE12" s="1442"/>
      <c r="AF12" s="1442"/>
      <c r="AG12" s="1442"/>
      <c r="AH12" s="1442"/>
      <c r="AI12" s="1442"/>
      <c r="AJ12" s="1442"/>
      <c r="AK12" s="1442"/>
      <c r="AL12" s="1442"/>
      <c r="AM12" s="1442"/>
      <c r="AN12" s="1442"/>
      <c r="AO12" s="1442"/>
      <c r="AP12" s="1442"/>
      <c r="AQ12" s="1443"/>
      <c r="AR12" s="1443"/>
      <c r="AS12" s="1443"/>
      <c r="AT12" s="1443"/>
      <c r="AU12" s="1425"/>
    </row>
    <row r="13" spans="1:83" ht="14" customHeight="1">
      <c r="A13" s="1568"/>
      <c r="B13" s="1569" t="s">
        <v>152</v>
      </c>
      <c r="C13" s="1570">
        <v>266369</v>
      </c>
      <c r="D13" s="1569">
        <v>261951</v>
      </c>
      <c r="E13" s="1569">
        <v>285050</v>
      </c>
      <c r="F13" s="1569">
        <v>290385</v>
      </c>
      <c r="G13" s="1571">
        <v>293028</v>
      </c>
      <c r="H13" s="1437">
        <v>437182.24726340134</v>
      </c>
      <c r="I13" s="1437">
        <v>440776.17029346531</v>
      </c>
      <c r="J13" s="1437">
        <v>447245.74086557858</v>
      </c>
      <c r="K13" s="1437">
        <v>464834.93454002205</v>
      </c>
      <c r="L13" s="1437">
        <v>470787.04714687343</v>
      </c>
      <c r="M13" s="1767">
        <v>484686</v>
      </c>
      <c r="N13" s="1767">
        <v>480248</v>
      </c>
      <c r="O13" s="1767">
        <v>487962</v>
      </c>
      <c r="P13" s="1767">
        <v>489249</v>
      </c>
      <c r="Q13" s="1767">
        <v>504030</v>
      </c>
      <c r="R13" s="1767">
        <v>492270</v>
      </c>
      <c r="S13" s="1767">
        <v>503846</v>
      </c>
      <c r="T13" s="1767">
        <v>512583</v>
      </c>
      <c r="U13" s="1767">
        <v>535119</v>
      </c>
      <c r="V13" s="1767">
        <v>554642</v>
      </c>
      <c r="W13" s="1767">
        <v>502181</v>
      </c>
      <c r="X13" s="1767">
        <v>514117</v>
      </c>
      <c r="Y13" s="2025">
        <v>502408</v>
      </c>
      <c r="Z13" s="1441"/>
      <c r="AA13" s="1441"/>
      <c r="AB13" s="1441"/>
      <c r="AC13" s="1441"/>
      <c r="AD13" s="1442"/>
      <c r="AE13" s="1442"/>
      <c r="AF13" s="1442"/>
      <c r="AG13" s="1442"/>
      <c r="AH13" s="1442"/>
      <c r="AI13" s="1442"/>
      <c r="AJ13" s="1442"/>
      <c r="AK13" s="1442"/>
      <c r="AL13" s="1442"/>
      <c r="AM13" s="1442"/>
      <c r="AN13" s="1442"/>
      <c r="AO13" s="1442"/>
      <c r="AP13" s="1442"/>
      <c r="AQ13" s="1443"/>
      <c r="AR13" s="1443"/>
      <c r="AS13" s="1443"/>
      <c r="AT13" s="1443"/>
      <c r="AU13" s="1425"/>
    </row>
    <row r="14" spans="1:83" ht="14" customHeight="1">
      <c r="A14" s="1568"/>
      <c r="B14" s="1569" t="s">
        <v>153</v>
      </c>
      <c r="C14" s="1570">
        <v>1321293</v>
      </c>
      <c r="D14" s="1569">
        <v>1304432</v>
      </c>
      <c r="E14" s="1569">
        <v>1344522</v>
      </c>
      <c r="F14" s="1569">
        <v>1365485</v>
      </c>
      <c r="G14" s="1571">
        <v>1421853</v>
      </c>
      <c r="H14" s="1437">
        <v>1370634.6231476632</v>
      </c>
      <c r="I14" s="1437">
        <v>1365103.5977377868</v>
      </c>
      <c r="J14" s="1437">
        <v>1325707.4504650531</v>
      </c>
      <c r="K14" s="1437">
        <v>1314877.4022629301</v>
      </c>
      <c r="L14" s="1437">
        <v>1262736.7229057127</v>
      </c>
      <c r="M14" s="1767">
        <v>1295772</v>
      </c>
      <c r="N14" s="1767">
        <v>1283731</v>
      </c>
      <c r="O14" s="1767">
        <v>1271821</v>
      </c>
      <c r="P14" s="1767">
        <v>1215816</v>
      </c>
      <c r="Q14" s="1767">
        <v>1140377</v>
      </c>
      <c r="R14" s="1767">
        <v>1093548</v>
      </c>
      <c r="S14" s="1767">
        <v>1047142</v>
      </c>
      <c r="T14" s="1767">
        <v>984221</v>
      </c>
      <c r="U14" s="1767">
        <v>868709</v>
      </c>
      <c r="V14" s="1767">
        <v>633320</v>
      </c>
      <c r="W14" s="1767">
        <v>692237</v>
      </c>
      <c r="X14" s="1767">
        <v>744591</v>
      </c>
      <c r="Y14" s="2025">
        <v>747869</v>
      </c>
      <c r="Z14" s="1441"/>
      <c r="AA14" s="1441"/>
      <c r="AB14" s="1441"/>
      <c r="AC14" s="1441"/>
      <c r="AD14" s="1442"/>
      <c r="AE14" s="1442"/>
      <c r="AF14" s="1442"/>
      <c r="AG14" s="1442"/>
      <c r="AH14" s="1442"/>
      <c r="AI14" s="1442"/>
      <c r="AJ14" s="1442"/>
      <c r="AK14" s="1442"/>
      <c r="AL14" s="1442"/>
      <c r="AM14" s="1442"/>
      <c r="AN14" s="1442"/>
      <c r="AO14" s="1442"/>
      <c r="AP14" s="1442"/>
      <c r="AQ14" s="1443"/>
      <c r="AR14" s="1443"/>
      <c r="AS14" s="1443"/>
      <c r="AT14" s="1443"/>
      <c r="AU14" s="1425"/>
    </row>
    <row r="15" spans="1:83" ht="14" customHeight="1">
      <c r="A15" s="1568"/>
      <c r="B15" s="1569" t="s">
        <v>1238</v>
      </c>
      <c r="C15" s="1570">
        <v>271385</v>
      </c>
      <c r="D15" s="1569">
        <v>293392</v>
      </c>
      <c r="E15" s="1569">
        <v>310866</v>
      </c>
      <c r="F15" s="1569">
        <v>323003</v>
      </c>
      <c r="G15" s="1571">
        <v>309211</v>
      </c>
      <c r="H15" s="1437">
        <v>661840.71950619889</v>
      </c>
      <c r="I15" s="1437">
        <v>680984.24629835086</v>
      </c>
      <c r="J15" s="1437">
        <v>663624.49595286499</v>
      </c>
      <c r="K15" s="1437">
        <v>670662.26893635793</v>
      </c>
      <c r="L15" s="1437">
        <v>705521.81536747376</v>
      </c>
      <c r="M15" s="1767">
        <v>641242</v>
      </c>
      <c r="N15" s="1767">
        <v>597900</v>
      </c>
      <c r="O15" s="1767">
        <v>644187</v>
      </c>
      <c r="P15" s="1767">
        <v>638523</v>
      </c>
      <c r="Q15" s="1767">
        <v>629650</v>
      </c>
      <c r="R15" s="1767">
        <v>634828</v>
      </c>
      <c r="S15" s="1767">
        <v>651209</v>
      </c>
      <c r="T15" s="1767">
        <v>670448</v>
      </c>
      <c r="U15" s="1767">
        <v>663791</v>
      </c>
      <c r="V15" s="1767">
        <v>723980</v>
      </c>
      <c r="W15" s="1767">
        <v>734541</v>
      </c>
      <c r="X15" s="1767">
        <v>755085</v>
      </c>
      <c r="Y15" s="2025">
        <v>747182</v>
      </c>
      <c r="Z15" s="1441"/>
      <c r="AA15" s="1441"/>
      <c r="AB15" s="1441"/>
      <c r="AC15" s="1441"/>
      <c r="AD15" s="1442"/>
      <c r="AE15" s="1442"/>
      <c r="AF15" s="1442"/>
      <c r="AG15" s="1442"/>
      <c r="AH15" s="1442"/>
      <c r="AI15" s="1442"/>
      <c r="AJ15" s="1442"/>
      <c r="AK15" s="1442"/>
      <c r="AL15" s="1442"/>
      <c r="AM15" s="1442"/>
      <c r="AN15" s="1442"/>
      <c r="AO15" s="1442"/>
      <c r="AP15" s="1442"/>
      <c r="AQ15" s="1443"/>
      <c r="AR15" s="1443"/>
      <c r="AS15" s="1443"/>
      <c r="AT15" s="1443"/>
      <c r="AU15" s="1425"/>
    </row>
    <row r="16" spans="1:83" ht="14" customHeight="1">
      <c r="A16" s="1568"/>
      <c r="B16" s="1569" t="s">
        <v>1239</v>
      </c>
      <c r="C16" s="1570">
        <v>1477570</v>
      </c>
      <c r="D16" s="1569">
        <v>1409236</v>
      </c>
      <c r="E16" s="1569">
        <v>1378595</v>
      </c>
      <c r="F16" s="1569">
        <v>1415805</v>
      </c>
      <c r="G16" s="1571">
        <v>1361080</v>
      </c>
      <c r="H16" s="1437">
        <v>997502.7236050166</v>
      </c>
      <c r="I16" s="1437">
        <v>970792.07069771073</v>
      </c>
      <c r="J16" s="1437">
        <v>933049.84360096685</v>
      </c>
      <c r="K16" s="1437">
        <v>874181.50188038498</v>
      </c>
      <c r="L16" s="1437">
        <v>817689.53831086226</v>
      </c>
      <c r="M16" s="1767">
        <v>791861</v>
      </c>
      <c r="N16" s="1767">
        <v>804011</v>
      </c>
      <c r="O16" s="1767">
        <v>825542</v>
      </c>
      <c r="P16" s="1767">
        <v>841530</v>
      </c>
      <c r="Q16" s="1767">
        <v>865382</v>
      </c>
      <c r="R16" s="1767">
        <v>832112</v>
      </c>
      <c r="S16" s="1767">
        <v>832789</v>
      </c>
      <c r="T16" s="1767">
        <v>831073</v>
      </c>
      <c r="U16" s="1767">
        <v>817268</v>
      </c>
      <c r="V16" s="1767">
        <v>756004</v>
      </c>
      <c r="W16" s="1767">
        <v>807980</v>
      </c>
      <c r="X16" s="1767">
        <v>842932</v>
      </c>
      <c r="Y16" s="2025">
        <v>845567</v>
      </c>
      <c r="Z16" s="1441"/>
      <c r="AA16" s="1441"/>
      <c r="AB16" s="1441"/>
      <c r="AC16" s="1441"/>
      <c r="AD16" s="1442"/>
      <c r="AE16" s="1442"/>
      <c r="AF16" s="1442"/>
      <c r="AG16" s="1442"/>
      <c r="AH16" s="1442"/>
      <c r="AI16" s="1442"/>
      <c r="AJ16" s="1442"/>
      <c r="AK16" s="1442"/>
      <c r="AL16" s="1442"/>
      <c r="AM16" s="1442"/>
      <c r="AN16" s="1442"/>
      <c r="AO16" s="1442"/>
      <c r="AP16" s="1442"/>
      <c r="AQ16" s="1443"/>
      <c r="AR16" s="1443"/>
      <c r="AS16" s="1443"/>
      <c r="AT16" s="1443"/>
      <c r="AU16" s="1425"/>
    </row>
    <row r="17" spans="1:47" ht="14" customHeight="1">
      <c r="A17" s="1568"/>
      <c r="B17" s="1569" t="s">
        <v>1240</v>
      </c>
      <c r="C17" s="1570">
        <v>243023</v>
      </c>
      <c r="D17" s="1569">
        <v>296404</v>
      </c>
      <c r="E17" s="1569">
        <v>304412</v>
      </c>
      <c r="F17" s="1569">
        <v>295655</v>
      </c>
      <c r="G17" s="1571">
        <v>259254</v>
      </c>
      <c r="H17" s="1437">
        <v>295026.2511814243</v>
      </c>
      <c r="I17" s="1437">
        <v>301042.59682908689</v>
      </c>
      <c r="J17" s="1437">
        <v>306362.15575357934</v>
      </c>
      <c r="K17" s="1437">
        <v>313388.9781284309</v>
      </c>
      <c r="L17" s="1437">
        <v>299181.38648508897</v>
      </c>
      <c r="M17" s="1767">
        <v>303002</v>
      </c>
      <c r="N17" s="1767">
        <v>298083</v>
      </c>
      <c r="O17" s="1767">
        <v>292126</v>
      </c>
      <c r="P17" s="1767">
        <v>294122</v>
      </c>
      <c r="Q17" s="1767">
        <v>301337</v>
      </c>
      <c r="R17" s="1767">
        <v>308104</v>
      </c>
      <c r="S17" s="1767">
        <v>312716</v>
      </c>
      <c r="T17" s="1767">
        <v>321756</v>
      </c>
      <c r="U17" s="1767">
        <v>323202</v>
      </c>
      <c r="V17" s="1767">
        <v>321451</v>
      </c>
      <c r="W17" s="1767">
        <v>331360</v>
      </c>
      <c r="X17" s="1767">
        <v>339405</v>
      </c>
      <c r="Y17" s="2025">
        <v>330607</v>
      </c>
      <c r="Z17" s="1441"/>
      <c r="AA17" s="1441"/>
      <c r="AB17" s="1441"/>
      <c r="AC17" s="1441"/>
      <c r="AD17" s="1442"/>
      <c r="AE17" s="1442"/>
      <c r="AF17" s="1442"/>
      <c r="AG17" s="1442"/>
      <c r="AH17" s="1442"/>
      <c r="AI17" s="1442"/>
      <c r="AJ17" s="1442"/>
      <c r="AK17" s="1442"/>
      <c r="AL17" s="1442"/>
      <c r="AM17" s="1442"/>
      <c r="AN17" s="1442"/>
      <c r="AO17" s="1442"/>
      <c r="AP17" s="1442"/>
      <c r="AQ17" s="1443"/>
      <c r="AR17" s="1443"/>
      <c r="AS17" s="1443"/>
      <c r="AT17" s="1443"/>
      <c r="AU17" s="1425"/>
    </row>
    <row r="18" spans="1:47" ht="14" customHeight="1">
      <c r="A18" s="1568"/>
      <c r="B18" s="1569" t="s">
        <v>1241</v>
      </c>
      <c r="C18" s="1570">
        <v>1020138</v>
      </c>
      <c r="D18" s="1569">
        <v>1019036</v>
      </c>
      <c r="E18" s="1569">
        <v>952465</v>
      </c>
      <c r="F18" s="1569">
        <v>997694</v>
      </c>
      <c r="G18" s="1571">
        <v>965376</v>
      </c>
      <c r="H18" s="1437">
        <v>986518.20554250246</v>
      </c>
      <c r="I18" s="1437">
        <v>1015378.5777162269</v>
      </c>
      <c r="J18" s="1437">
        <v>1015492.5545554005</v>
      </c>
      <c r="K18" s="1437">
        <v>995963.06307823583</v>
      </c>
      <c r="L18" s="1437">
        <v>974264.99364954559</v>
      </c>
      <c r="M18" s="1767">
        <v>965514</v>
      </c>
      <c r="N18" s="1767">
        <v>954003</v>
      </c>
      <c r="O18" s="1767">
        <v>948530</v>
      </c>
      <c r="P18" s="1767">
        <v>947677</v>
      </c>
      <c r="Q18" s="1767">
        <v>958508</v>
      </c>
      <c r="R18" s="1767">
        <v>965059</v>
      </c>
      <c r="S18" s="1767">
        <v>949955</v>
      </c>
      <c r="T18" s="1767">
        <v>922970</v>
      </c>
      <c r="U18" s="1767">
        <v>890217</v>
      </c>
      <c r="V18" s="1767">
        <v>638424</v>
      </c>
      <c r="W18" s="1767">
        <v>612109</v>
      </c>
      <c r="X18" s="1767">
        <v>751086</v>
      </c>
      <c r="Y18" s="2025">
        <v>778762</v>
      </c>
      <c r="Z18" s="1441"/>
      <c r="AA18" s="1441"/>
      <c r="AB18" s="1441"/>
      <c r="AC18" s="1441"/>
      <c r="AD18" s="1442"/>
      <c r="AE18" s="1442"/>
      <c r="AF18" s="1442"/>
      <c r="AG18" s="1442"/>
      <c r="AH18" s="1442"/>
      <c r="AI18" s="1442"/>
      <c r="AJ18" s="1442"/>
      <c r="AK18" s="1442"/>
      <c r="AL18" s="1442"/>
      <c r="AM18" s="1442"/>
      <c r="AN18" s="1442"/>
      <c r="AO18" s="1442"/>
      <c r="AP18" s="1442"/>
      <c r="AQ18" s="1443"/>
      <c r="AR18" s="1443"/>
      <c r="AS18" s="1443"/>
      <c r="AT18" s="1443"/>
      <c r="AU18" s="1425"/>
    </row>
    <row r="19" spans="1:47" ht="14" customHeight="1">
      <c r="A19" s="1568"/>
      <c r="B19" s="1569" t="s">
        <v>1242</v>
      </c>
      <c r="C19" s="1570">
        <v>1927003</v>
      </c>
      <c r="D19" s="1569">
        <v>1856821</v>
      </c>
      <c r="E19" s="1569">
        <v>1935042</v>
      </c>
      <c r="F19" s="1569">
        <v>1863936</v>
      </c>
      <c r="G19" s="1571">
        <v>2058642</v>
      </c>
      <c r="H19" s="1437">
        <v>744930.56094308186</v>
      </c>
      <c r="I19" s="1437">
        <v>772213.47289945511</v>
      </c>
      <c r="J19" s="1437">
        <v>614845.47728798969</v>
      </c>
      <c r="K19" s="1437">
        <v>597121.02450192056</v>
      </c>
      <c r="L19" s="1437">
        <v>575624.91044612823</v>
      </c>
      <c r="M19" s="1767">
        <v>564561</v>
      </c>
      <c r="N19" s="1767">
        <v>510041</v>
      </c>
      <c r="O19" s="1767">
        <v>548742</v>
      </c>
      <c r="P19" s="1767">
        <v>499456</v>
      </c>
      <c r="Q19" s="1767">
        <v>542556</v>
      </c>
      <c r="R19" s="1767">
        <v>525966</v>
      </c>
      <c r="S19" s="1767">
        <v>564543</v>
      </c>
      <c r="T19" s="1767">
        <v>597091</v>
      </c>
      <c r="U19" s="1767">
        <v>569114</v>
      </c>
      <c r="V19" s="1767">
        <v>573704</v>
      </c>
      <c r="W19" s="1767">
        <v>639926</v>
      </c>
      <c r="X19" s="1767">
        <v>678099</v>
      </c>
      <c r="Y19" s="2025">
        <v>743977</v>
      </c>
      <c r="Z19" s="1441"/>
      <c r="AA19" s="1441"/>
      <c r="AB19" s="1441"/>
      <c r="AC19" s="1441"/>
      <c r="AD19" s="1442"/>
      <c r="AE19" s="1442"/>
      <c r="AF19" s="1442"/>
      <c r="AG19" s="1442"/>
      <c r="AH19" s="1442"/>
      <c r="AI19" s="1442"/>
      <c r="AJ19" s="1442"/>
      <c r="AK19" s="1442"/>
      <c r="AL19" s="1442"/>
      <c r="AM19" s="1442"/>
      <c r="AN19" s="1442"/>
      <c r="AO19" s="1442"/>
      <c r="AP19" s="1442"/>
      <c r="AQ19" s="1443"/>
      <c r="AR19" s="1443"/>
      <c r="AS19" s="1443"/>
      <c r="AT19" s="1443"/>
      <c r="AU19" s="1425"/>
    </row>
    <row r="20" spans="1:47" ht="14" customHeight="1">
      <c r="A20" s="1568"/>
      <c r="B20" s="1569" t="s">
        <v>1243</v>
      </c>
      <c r="C20" s="1570"/>
      <c r="D20" s="1569"/>
      <c r="E20" s="1569"/>
      <c r="F20" s="1569"/>
      <c r="G20" s="1571"/>
      <c r="H20" s="1437">
        <v>941860.77394953824</v>
      </c>
      <c r="I20" s="1437">
        <v>986219.21343435021</v>
      </c>
      <c r="J20" s="1437">
        <v>1005067.2207436266</v>
      </c>
      <c r="K20" s="1437">
        <v>967378.6332898587</v>
      </c>
      <c r="L20" s="1437">
        <v>1006385.6307422575</v>
      </c>
      <c r="M20" s="1767">
        <v>1026495</v>
      </c>
      <c r="N20" s="1767">
        <v>1020425</v>
      </c>
      <c r="O20" s="1767">
        <v>1062927</v>
      </c>
      <c r="P20" s="1767">
        <v>1034776</v>
      </c>
      <c r="Q20" s="1767">
        <v>1146148</v>
      </c>
      <c r="R20" s="1767">
        <v>1222024</v>
      </c>
      <c r="S20" s="1767">
        <v>1351839</v>
      </c>
      <c r="T20" s="1767">
        <v>1493823</v>
      </c>
      <c r="U20" s="1767">
        <v>1637299</v>
      </c>
      <c r="V20" s="1767">
        <v>1473632</v>
      </c>
      <c r="W20" s="1767">
        <v>1618621</v>
      </c>
      <c r="X20" s="1767">
        <v>1762987</v>
      </c>
      <c r="Y20" s="2025">
        <v>1801796</v>
      </c>
      <c r="Z20" s="1441"/>
      <c r="AA20" s="1441"/>
      <c r="AB20" s="1441"/>
      <c r="AC20" s="1441"/>
      <c r="AD20" s="1442"/>
      <c r="AE20" s="1442"/>
      <c r="AF20" s="1442"/>
      <c r="AG20" s="1442"/>
      <c r="AH20" s="1442"/>
      <c r="AI20" s="1442"/>
      <c r="AJ20" s="1442"/>
      <c r="AK20" s="1442"/>
      <c r="AL20" s="1442"/>
      <c r="AM20" s="1442"/>
      <c r="AN20" s="1442"/>
      <c r="AO20" s="1442"/>
      <c r="AP20" s="1442"/>
      <c r="AQ20" s="1443"/>
      <c r="AR20" s="1443"/>
      <c r="AS20" s="1443"/>
      <c r="AT20" s="1443"/>
      <c r="AU20" s="1425"/>
    </row>
    <row r="21" spans="1:47" ht="14" customHeight="1">
      <c r="A21" s="1568"/>
      <c r="B21" s="1569" t="s">
        <v>296</v>
      </c>
      <c r="C21" s="1570">
        <v>225716</v>
      </c>
      <c r="D21" s="1569">
        <v>217256</v>
      </c>
      <c r="E21" s="1569">
        <v>236926</v>
      </c>
      <c r="F21" s="1569">
        <v>247412</v>
      </c>
      <c r="G21" s="1571">
        <v>251696</v>
      </c>
      <c r="H21" s="1437">
        <v>241993.07662928131</v>
      </c>
      <c r="I21" s="1437">
        <v>232715.78899719028</v>
      </c>
      <c r="J21" s="1437">
        <v>227398.08111812259</v>
      </c>
      <c r="K21" s="1437">
        <v>228746.41512684067</v>
      </c>
      <c r="L21" s="1437">
        <v>244312.52695323215</v>
      </c>
      <c r="M21" s="1767">
        <v>271083</v>
      </c>
      <c r="N21" s="1767">
        <v>276750</v>
      </c>
      <c r="O21" s="1767">
        <v>274010</v>
      </c>
      <c r="P21" s="1767">
        <v>235919</v>
      </c>
      <c r="Q21" s="1767">
        <v>280867</v>
      </c>
      <c r="R21" s="1767">
        <v>307649</v>
      </c>
      <c r="S21" s="1767">
        <v>312420</v>
      </c>
      <c r="T21" s="1767">
        <v>287943</v>
      </c>
      <c r="U21" s="1767">
        <v>324638</v>
      </c>
      <c r="V21" s="1767">
        <v>381620</v>
      </c>
      <c r="W21" s="1767">
        <v>370058</v>
      </c>
      <c r="X21" s="1767">
        <v>365779</v>
      </c>
      <c r="Y21" s="2025">
        <v>398247</v>
      </c>
      <c r="Z21" s="1441"/>
      <c r="AA21" s="1441"/>
      <c r="AB21" s="1441"/>
      <c r="AC21" s="1441"/>
      <c r="AD21" s="1425"/>
      <c r="AE21" s="1425"/>
      <c r="AF21" s="1425"/>
      <c r="AG21" s="1425"/>
      <c r="AH21" s="1425"/>
      <c r="AI21" s="1425"/>
      <c r="AJ21" s="1425"/>
      <c r="AK21" s="1425"/>
      <c r="AL21" s="1425"/>
      <c r="AM21" s="1425"/>
      <c r="AN21" s="1425"/>
      <c r="AO21" s="1425"/>
      <c r="AP21" s="1425"/>
      <c r="AQ21" s="1572"/>
      <c r="AR21" s="1572"/>
      <c r="AS21" s="1572"/>
      <c r="AT21" s="1572"/>
    </row>
    <row r="22" spans="1:47" ht="14" customHeight="1">
      <c r="A22" s="1573"/>
      <c r="B22" s="1574" t="s">
        <v>1244</v>
      </c>
      <c r="C22" s="1575">
        <v>3243603</v>
      </c>
      <c r="D22" s="1574">
        <v>3261585</v>
      </c>
      <c r="E22" s="1574">
        <v>3265814</v>
      </c>
      <c r="F22" s="1574">
        <v>3328918</v>
      </c>
      <c r="G22" s="1576">
        <v>3334177</v>
      </c>
      <c r="H22" s="1542">
        <v>2717551.0588340145</v>
      </c>
      <c r="I22" s="1542">
        <v>2793772.9861393608</v>
      </c>
      <c r="J22" s="1542">
        <v>2875234.4837560006</v>
      </c>
      <c r="K22" s="1542">
        <v>2940281.0670805378</v>
      </c>
      <c r="L22" s="1542">
        <v>2939829.2635617587</v>
      </c>
      <c r="M22" s="1765">
        <v>3018893</v>
      </c>
      <c r="N22" s="1765">
        <v>3020607</v>
      </c>
      <c r="O22" s="1765">
        <v>3058136</v>
      </c>
      <c r="P22" s="1765">
        <v>3135699</v>
      </c>
      <c r="Q22" s="1765">
        <v>3190990</v>
      </c>
      <c r="R22" s="1765">
        <v>3212496</v>
      </c>
      <c r="S22" s="1765">
        <v>3255723</v>
      </c>
      <c r="T22" s="1765">
        <v>3278619</v>
      </c>
      <c r="U22" s="1765">
        <v>3388684</v>
      </c>
      <c r="V22" s="1765">
        <v>3385407</v>
      </c>
      <c r="W22" s="1765">
        <v>3602973</v>
      </c>
      <c r="X22" s="1765">
        <v>3685909</v>
      </c>
      <c r="Y22" s="2026">
        <v>3662061</v>
      </c>
      <c r="Z22" s="1444">
        <f>兵庫QE名目!H147</f>
        <v>3834141</v>
      </c>
      <c r="AA22" s="1892">
        <f>SUM(AL22:AO22)</f>
        <v>4005262</v>
      </c>
      <c r="AB22" s="1437">
        <f>ROUND(AA22*AS22,0)</f>
        <v>4033320</v>
      </c>
      <c r="AC22" s="1437">
        <f>ROUND(AB22*AT22,0)</f>
        <v>4061378</v>
      </c>
      <c r="AD22" s="1438">
        <f>兵庫QE名目!H95</f>
        <v>932899</v>
      </c>
      <c r="AE22" s="1438">
        <f>兵庫QE名目!H96</f>
        <v>882865</v>
      </c>
      <c r="AF22" s="1438">
        <f>兵庫QE名目!H97</f>
        <v>953532</v>
      </c>
      <c r="AG22" s="1438">
        <f>兵庫QE名目!H98</f>
        <v>892765</v>
      </c>
      <c r="AH22" s="1438">
        <f>兵庫QE名目!H99</f>
        <v>976097</v>
      </c>
      <c r="AI22" s="1438">
        <f>兵庫QE名目!H100</f>
        <v>924328</v>
      </c>
      <c r="AJ22" s="1438">
        <f>兵庫QE名目!H101</f>
        <v>1002650</v>
      </c>
      <c r="AK22" s="1438">
        <f>兵庫QE名目!H102</f>
        <v>931066</v>
      </c>
      <c r="AL22" s="1438">
        <f>兵庫QE名目!H103</f>
        <v>1023910</v>
      </c>
      <c r="AM22" s="1438">
        <f>兵庫QE名目!H104</f>
        <v>962808</v>
      </c>
      <c r="AN22" s="1438">
        <f>兵庫QE名目!H105</f>
        <v>1045924</v>
      </c>
      <c r="AO22" s="1731">
        <f>ROUND(AK22*AP22,0)</f>
        <v>972620</v>
      </c>
      <c r="AP22" s="2274">
        <f>SUM(AL22:AN22)/SUM(AH22:AJ22)</f>
        <v>1.0446309516633225</v>
      </c>
      <c r="AQ22" s="1439">
        <f>ｱｼﾞｱ太平洋研見通し!AG9</f>
        <v>1.016000579206487</v>
      </c>
      <c r="AR22" s="1439">
        <f>ｱｼﾞｱ太平洋研見通し!AH9</f>
        <v>1.007054799401411</v>
      </c>
      <c r="AS22" s="1439">
        <f>ｱｼﾞｱ太平洋研見通し!AI9</f>
        <v>1.0070053778658363</v>
      </c>
      <c r="AT22" s="1439">
        <f>ｱｼﾞｱ太平洋研見通し!AJ9</f>
        <v>1.0069566439463145</v>
      </c>
      <c r="AU22" s="1425" t="s">
        <v>1507</v>
      </c>
    </row>
    <row r="23" spans="1:47" ht="14" customHeight="1">
      <c r="A23" s="1568"/>
      <c r="B23" s="1569" t="s">
        <v>1245</v>
      </c>
      <c r="C23" s="1570">
        <v>779279</v>
      </c>
      <c r="D23" s="1569">
        <v>813998</v>
      </c>
      <c r="E23" s="1569">
        <v>804035</v>
      </c>
      <c r="F23" s="1569">
        <v>787013</v>
      </c>
      <c r="G23" s="1571">
        <v>779586</v>
      </c>
      <c r="H23" s="1437">
        <v>741459.42083763983</v>
      </c>
      <c r="I23" s="1437">
        <v>785566.43644816789</v>
      </c>
      <c r="J23" s="1437">
        <v>756614.61354151589</v>
      </c>
      <c r="K23" s="1437">
        <v>721135.72367473901</v>
      </c>
      <c r="L23" s="1437">
        <v>734687.10918004415</v>
      </c>
      <c r="M23" s="1767">
        <v>726902</v>
      </c>
      <c r="N23" s="1767">
        <v>699221</v>
      </c>
      <c r="O23" s="1767">
        <v>673147</v>
      </c>
      <c r="P23" s="1767">
        <v>685597</v>
      </c>
      <c r="Q23" s="1767">
        <v>672595</v>
      </c>
      <c r="R23" s="1767">
        <v>677003</v>
      </c>
      <c r="S23" s="1767">
        <v>591619</v>
      </c>
      <c r="T23" s="1767">
        <v>604053</v>
      </c>
      <c r="U23" s="1767">
        <v>600695</v>
      </c>
      <c r="V23" s="1767">
        <v>607442</v>
      </c>
      <c r="W23" s="1767">
        <v>624350</v>
      </c>
      <c r="X23" s="1767">
        <v>672639</v>
      </c>
      <c r="Y23" s="2025">
        <v>665472</v>
      </c>
      <c r="Z23" s="1445">
        <f t="shared" ref="Z23:AC23" si="0">ROUND(Z22*Y23/Y22,0)</f>
        <v>696742</v>
      </c>
      <c r="AA23" s="1445">
        <f t="shared" si="0"/>
        <v>727838</v>
      </c>
      <c r="AB23" s="1445">
        <f t="shared" si="0"/>
        <v>732937</v>
      </c>
      <c r="AC23" s="1445">
        <f t="shared" si="0"/>
        <v>738036</v>
      </c>
      <c r="AD23" s="1442"/>
      <c r="AE23" s="1442"/>
      <c r="AF23" s="1442"/>
      <c r="AG23" s="1442"/>
      <c r="AH23" s="1442"/>
      <c r="AI23" s="1442"/>
      <c r="AJ23" s="1442"/>
      <c r="AK23" s="1442"/>
      <c r="AL23" s="1442"/>
      <c r="AM23" s="1442"/>
      <c r="AN23" s="1442"/>
      <c r="AO23" s="1442"/>
      <c r="AP23" s="1442"/>
      <c r="AQ23" s="1443"/>
      <c r="AR23" s="1443"/>
      <c r="AS23" s="1443"/>
      <c r="AT23" s="1443"/>
      <c r="AU23" s="1425"/>
    </row>
    <row r="24" spans="1:47" ht="14" customHeight="1">
      <c r="A24" s="1568"/>
      <c r="B24" s="1569" t="s">
        <v>1246</v>
      </c>
      <c r="C24" s="1570">
        <v>926438</v>
      </c>
      <c r="D24" s="1569">
        <v>1014609</v>
      </c>
      <c r="E24" s="1569">
        <v>991751</v>
      </c>
      <c r="F24" s="1569">
        <v>964849</v>
      </c>
      <c r="G24" s="1571">
        <v>989252</v>
      </c>
      <c r="H24" s="1437">
        <v>1031799.1100079662</v>
      </c>
      <c r="I24" s="1437">
        <v>1044797.4997576452</v>
      </c>
      <c r="J24" s="1437">
        <v>1021478.5182024315</v>
      </c>
      <c r="K24" s="1437">
        <v>1059547.7677802017</v>
      </c>
      <c r="L24" s="1437">
        <v>993049.82743237773</v>
      </c>
      <c r="M24" s="1767">
        <v>1002057</v>
      </c>
      <c r="N24" s="1767">
        <v>984743</v>
      </c>
      <c r="O24" s="1767">
        <v>1001579</v>
      </c>
      <c r="P24" s="1767">
        <v>1021095</v>
      </c>
      <c r="Q24" s="1767">
        <v>1037981</v>
      </c>
      <c r="R24" s="1767">
        <v>1027434</v>
      </c>
      <c r="S24" s="1767">
        <v>1120073</v>
      </c>
      <c r="T24" s="1767">
        <v>1113380</v>
      </c>
      <c r="U24" s="1767">
        <v>1179179</v>
      </c>
      <c r="V24" s="1767">
        <v>1196318</v>
      </c>
      <c r="W24" s="1767">
        <v>1341980</v>
      </c>
      <c r="X24" s="1767">
        <v>1330353</v>
      </c>
      <c r="Y24" s="2025">
        <v>1257036</v>
      </c>
      <c r="Z24" s="1441"/>
      <c r="AA24" s="1441"/>
      <c r="AB24" s="1441"/>
      <c r="AC24" s="1441"/>
      <c r="AD24" s="1442"/>
      <c r="AE24" s="1442"/>
      <c r="AF24" s="1442"/>
      <c r="AG24" s="1442"/>
      <c r="AH24" s="1442"/>
      <c r="AI24" s="1442"/>
      <c r="AJ24" s="1442"/>
      <c r="AK24" s="1442"/>
      <c r="AL24" s="1442"/>
      <c r="AM24" s="1442"/>
      <c r="AN24" s="1442"/>
      <c r="AO24" s="1442"/>
      <c r="AP24" s="1442"/>
      <c r="AQ24" s="1443"/>
      <c r="AR24" s="1443"/>
      <c r="AS24" s="1443"/>
      <c r="AT24" s="1443"/>
      <c r="AU24" s="1425"/>
    </row>
    <row r="25" spans="1:47" ht="14" customHeight="1">
      <c r="A25" s="1577"/>
      <c r="B25" s="1578" t="s">
        <v>1247</v>
      </c>
      <c r="C25" s="1579">
        <v>1282984</v>
      </c>
      <c r="D25" s="1578">
        <v>1260720</v>
      </c>
      <c r="E25" s="1578">
        <v>1292711</v>
      </c>
      <c r="F25" s="1578">
        <v>1342377</v>
      </c>
      <c r="G25" s="1580">
        <v>1388807</v>
      </c>
      <c r="H25" s="1451">
        <v>944292.52798840846</v>
      </c>
      <c r="I25" s="1451">
        <v>963409.04993354762</v>
      </c>
      <c r="J25" s="1451">
        <v>1097141.3520120531</v>
      </c>
      <c r="K25" s="1451">
        <v>1159597.575625597</v>
      </c>
      <c r="L25" s="1451">
        <v>1212092.3269493368</v>
      </c>
      <c r="M25" s="1763">
        <v>1289933</v>
      </c>
      <c r="N25" s="1763">
        <v>1336642</v>
      </c>
      <c r="O25" s="1763">
        <v>1383410</v>
      </c>
      <c r="P25" s="1763">
        <v>1429007</v>
      </c>
      <c r="Q25" s="1763">
        <v>1480415</v>
      </c>
      <c r="R25" s="1763">
        <v>1508060</v>
      </c>
      <c r="S25" s="1763">
        <v>1544031</v>
      </c>
      <c r="T25" s="1763">
        <v>1561186</v>
      </c>
      <c r="U25" s="1763">
        <v>1608811</v>
      </c>
      <c r="V25" s="1763">
        <v>1581648</v>
      </c>
      <c r="W25" s="1763">
        <v>1636642</v>
      </c>
      <c r="X25" s="1763">
        <v>1682918</v>
      </c>
      <c r="Y25" s="1437">
        <v>1739553</v>
      </c>
      <c r="Z25" s="1441"/>
      <c r="AA25" s="1441"/>
      <c r="AB25" s="1441"/>
      <c r="AC25" s="1441"/>
      <c r="AD25" s="1442"/>
      <c r="AE25" s="1442"/>
      <c r="AF25" s="1442"/>
      <c r="AG25" s="1442"/>
      <c r="AH25" s="1442"/>
      <c r="AI25" s="1442"/>
      <c r="AJ25" s="1442"/>
      <c r="AK25" s="1442"/>
      <c r="AL25" s="1442"/>
      <c r="AM25" s="1442"/>
      <c r="AN25" s="1442"/>
      <c r="AO25" s="1442"/>
      <c r="AP25" s="1442"/>
      <c r="AQ25" s="1443"/>
      <c r="AR25" s="1443"/>
      <c r="AS25" s="1443"/>
      <c r="AT25" s="1443"/>
      <c r="AU25" s="1425"/>
    </row>
    <row r="26" spans="1:47" ht="14" customHeight="1">
      <c r="A26" s="1573"/>
      <c r="B26" s="1574" t="s">
        <v>960</v>
      </c>
      <c r="C26" s="1575">
        <v>4821944</v>
      </c>
      <c r="D26" s="1574">
        <v>4334221</v>
      </c>
      <c r="E26" s="1574">
        <v>4230557</v>
      </c>
      <c r="F26" s="1574">
        <v>4259266</v>
      </c>
      <c r="G26" s="1576">
        <v>4473656</v>
      </c>
      <c r="H26" s="1542">
        <v>5502314.656165543</v>
      </c>
      <c r="I26" s="1542">
        <v>5351092.1839801101</v>
      </c>
      <c r="J26" s="1542">
        <v>5392970.9016844202</v>
      </c>
      <c r="K26" s="1542">
        <v>4421870.1208948828</v>
      </c>
      <c r="L26" s="1542">
        <v>4751970.1664804649</v>
      </c>
      <c r="M26" s="1762">
        <v>4727126</v>
      </c>
      <c r="N26" s="1764">
        <v>4667450</v>
      </c>
      <c r="O26" s="1764">
        <v>5064295</v>
      </c>
      <c r="P26" s="1764">
        <v>5011013</v>
      </c>
      <c r="Q26" s="1764">
        <v>5303172</v>
      </c>
      <c r="R26" s="1764">
        <v>5162907</v>
      </c>
      <c r="S26" s="1764">
        <v>5357285</v>
      </c>
      <c r="T26" s="1764">
        <v>5296771</v>
      </c>
      <c r="U26" s="1764">
        <v>5606972</v>
      </c>
      <c r="V26" s="1765">
        <v>5059148</v>
      </c>
      <c r="W26" s="1764">
        <v>5418623</v>
      </c>
      <c r="X26" s="1764">
        <v>6178844</v>
      </c>
      <c r="Y26" s="2027">
        <v>6300813</v>
      </c>
      <c r="Z26" s="1446">
        <f t="shared" ref="Z26:AA26" si="1">Z27+Z35</f>
        <v>6479551</v>
      </c>
      <c r="AA26" s="1446">
        <f t="shared" si="1"/>
        <v>6615433.281639331</v>
      </c>
      <c r="AB26" s="1446">
        <f t="shared" ref="AB26:AC26" si="2">AB27+AB35</f>
        <v>6743535</v>
      </c>
      <c r="AC26" s="1446">
        <f t="shared" si="2"/>
        <v>6899807</v>
      </c>
      <c r="AD26" s="1442"/>
      <c r="AE26" s="1442"/>
      <c r="AF26" s="1442"/>
      <c r="AG26" s="1442"/>
      <c r="AH26" s="1442"/>
      <c r="AI26" s="1442"/>
      <c r="AJ26" s="1442"/>
      <c r="AK26" s="1442"/>
      <c r="AL26" s="1442"/>
      <c r="AM26" s="1442"/>
      <c r="AN26" s="1442"/>
      <c r="AO26" s="1442"/>
      <c r="AP26" s="1442"/>
      <c r="AQ26" s="1443"/>
      <c r="AR26" s="1443"/>
      <c r="AS26" s="1443"/>
      <c r="AT26" s="1443"/>
      <c r="AU26" s="1425"/>
    </row>
    <row r="27" spans="1:47" ht="14" customHeight="1">
      <c r="A27" s="1568"/>
      <c r="B27" s="1569" t="s">
        <v>305</v>
      </c>
      <c r="C27" s="1570">
        <v>4786048</v>
      </c>
      <c r="D27" s="1569">
        <v>4420627</v>
      </c>
      <c r="E27" s="1569">
        <v>4301923</v>
      </c>
      <c r="F27" s="1569">
        <v>4275150</v>
      </c>
      <c r="G27" s="1571">
        <v>4438553</v>
      </c>
      <c r="H27" s="1437">
        <v>5475803.1323213503</v>
      </c>
      <c r="I27" s="1437">
        <v>5268289.4483515164</v>
      </c>
      <c r="J27" s="1437">
        <v>5215112.3656878052</v>
      </c>
      <c r="K27" s="1437">
        <v>4609662.2176353093</v>
      </c>
      <c r="L27" s="1437">
        <v>4822755.8472669227</v>
      </c>
      <c r="M27" s="1760">
        <v>4659897</v>
      </c>
      <c r="N27" s="1766">
        <v>4651941</v>
      </c>
      <c r="O27" s="1766">
        <v>5002127</v>
      </c>
      <c r="P27" s="1766">
        <v>5022673</v>
      </c>
      <c r="Q27" s="1766">
        <v>5158713</v>
      </c>
      <c r="R27" s="1766">
        <v>5250957</v>
      </c>
      <c r="S27" s="1766">
        <v>5290133</v>
      </c>
      <c r="T27" s="1766">
        <v>5224267</v>
      </c>
      <c r="U27" s="1766">
        <v>5425190</v>
      </c>
      <c r="V27" s="1767">
        <v>5292903</v>
      </c>
      <c r="W27" s="1766">
        <v>5480427</v>
      </c>
      <c r="X27" s="1766">
        <v>5883297</v>
      </c>
      <c r="Y27" s="2028">
        <v>6317729</v>
      </c>
      <c r="Z27" s="1448">
        <f t="shared" ref="Z27:AA27" si="3">Z28+Z31</f>
        <v>6509016</v>
      </c>
      <c r="AA27" s="1448">
        <f t="shared" si="3"/>
        <v>6639682.281639331</v>
      </c>
      <c r="AB27" s="1448">
        <f t="shared" ref="AB27:AC27" si="4">AB28+AB31</f>
        <v>6767784</v>
      </c>
      <c r="AC27" s="1448">
        <f t="shared" si="4"/>
        <v>6924056</v>
      </c>
      <c r="AD27" s="1442"/>
      <c r="AE27" s="1442"/>
      <c r="AF27" s="1442"/>
      <c r="AG27" s="1442"/>
      <c r="AH27" s="1442"/>
      <c r="AI27" s="1442"/>
      <c r="AJ27" s="1442"/>
      <c r="AK27" s="1442"/>
      <c r="AL27" s="1442"/>
      <c r="AM27" s="1442"/>
      <c r="AN27" s="1442"/>
      <c r="AO27" s="1442"/>
      <c r="AP27" s="1442"/>
      <c r="AQ27" s="1443"/>
      <c r="AR27" s="1443"/>
      <c r="AS27" s="1443"/>
      <c r="AT27" s="1443"/>
      <c r="AU27" s="1425"/>
    </row>
    <row r="28" spans="1:47" ht="14" customHeight="1">
      <c r="A28" s="1568"/>
      <c r="B28" s="1569" t="s">
        <v>1248</v>
      </c>
      <c r="C28" s="1570">
        <v>3462364</v>
      </c>
      <c r="D28" s="1569">
        <v>3277259</v>
      </c>
      <c r="E28" s="1569">
        <v>3259741</v>
      </c>
      <c r="F28" s="1569">
        <v>3275874</v>
      </c>
      <c r="G28" s="1571">
        <v>3464213</v>
      </c>
      <c r="H28" s="1437">
        <v>4669900.3625977878</v>
      </c>
      <c r="I28" s="1437">
        <v>4582040.2105134204</v>
      </c>
      <c r="J28" s="1437">
        <v>4524037.5783767458</v>
      </c>
      <c r="K28" s="1437">
        <v>3843900.1003289297</v>
      </c>
      <c r="L28" s="1437">
        <v>4001616.109477364</v>
      </c>
      <c r="M28" s="1760">
        <v>4013532</v>
      </c>
      <c r="N28" s="1766">
        <v>3968552</v>
      </c>
      <c r="O28" s="1766">
        <v>4203749</v>
      </c>
      <c r="P28" s="1766">
        <v>4269698</v>
      </c>
      <c r="Q28" s="1766">
        <v>4375719</v>
      </c>
      <c r="R28" s="1766">
        <v>4449223</v>
      </c>
      <c r="S28" s="1766">
        <v>4504886</v>
      </c>
      <c r="T28" s="1766">
        <v>4480026</v>
      </c>
      <c r="U28" s="1766">
        <v>4557876</v>
      </c>
      <c r="V28" s="1767">
        <v>4264780</v>
      </c>
      <c r="W28" s="1766">
        <v>4487264</v>
      </c>
      <c r="X28" s="1766">
        <v>4966774</v>
      </c>
      <c r="Y28" s="2028">
        <v>5419265</v>
      </c>
      <c r="Z28" s="1448">
        <f t="shared" ref="Z28:AA28" si="5">Z29+Z30</f>
        <v>5589061</v>
      </c>
      <c r="AA28" s="1448">
        <f t="shared" si="5"/>
        <v>5808349.281639331</v>
      </c>
      <c r="AB28" s="1448">
        <f t="shared" ref="AB28:AC28" si="6">AB29+AB30</f>
        <v>5938228</v>
      </c>
      <c r="AC28" s="1448">
        <f t="shared" si="6"/>
        <v>6084597</v>
      </c>
      <c r="AD28" s="1442"/>
      <c r="AE28" s="1442"/>
      <c r="AF28" s="1442"/>
      <c r="AG28" s="1442"/>
      <c r="AH28" s="1442"/>
      <c r="AI28" s="1442"/>
      <c r="AJ28" s="1442"/>
      <c r="AK28" s="1442"/>
      <c r="AL28" s="1442"/>
      <c r="AM28" s="1442"/>
      <c r="AN28" s="1442"/>
      <c r="AO28" s="1442"/>
      <c r="AP28" s="1442"/>
      <c r="AQ28" s="1443"/>
      <c r="AR28" s="1443"/>
      <c r="AS28" s="1443"/>
      <c r="AT28" s="1443"/>
      <c r="AU28" s="1425"/>
    </row>
    <row r="29" spans="1:47" ht="14" customHeight="1">
      <c r="A29" s="1568"/>
      <c r="B29" s="1569" t="s">
        <v>1249</v>
      </c>
      <c r="C29" s="1570">
        <v>836295</v>
      </c>
      <c r="D29" s="1569">
        <v>817148</v>
      </c>
      <c r="E29" s="1569">
        <v>778977</v>
      </c>
      <c r="F29" s="1569">
        <v>770266</v>
      </c>
      <c r="G29" s="1571">
        <v>767916</v>
      </c>
      <c r="H29" s="1437">
        <v>958034</v>
      </c>
      <c r="I29" s="1437">
        <v>845424</v>
      </c>
      <c r="J29" s="1437">
        <v>789486</v>
      </c>
      <c r="K29" s="1437">
        <v>609131</v>
      </c>
      <c r="L29" s="1437">
        <v>637901</v>
      </c>
      <c r="M29" s="1760">
        <v>666390</v>
      </c>
      <c r="N29" s="1766">
        <v>676351</v>
      </c>
      <c r="O29" s="1760">
        <v>725868</v>
      </c>
      <c r="P29" s="1760">
        <v>709621</v>
      </c>
      <c r="Q29" s="1760">
        <v>746870</v>
      </c>
      <c r="R29" s="1760">
        <v>752059</v>
      </c>
      <c r="S29" s="1760">
        <v>706383</v>
      </c>
      <c r="T29" s="1760">
        <v>672430</v>
      </c>
      <c r="U29" s="1760">
        <v>721016</v>
      </c>
      <c r="V29" s="1767">
        <v>668534</v>
      </c>
      <c r="W29" s="1760">
        <v>761641</v>
      </c>
      <c r="X29" s="1760">
        <v>745739</v>
      </c>
      <c r="Y29" s="1437">
        <v>777461</v>
      </c>
      <c r="Z29" s="1437">
        <f>兵庫QE名目!E147</f>
        <v>766156</v>
      </c>
      <c r="AA29" s="1892">
        <f>SUM(AL29:AO29)</f>
        <v>760372.28163933067</v>
      </c>
      <c r="AB29" s="1437">
        <f t="shared" ref="AB29:AC31" si="7">ROUND(AA29*AS29,0)</f>
        <v>761253</v>
      </c>
      <c r="AC29" s="1437">
        <f t="shared" si="7"/>
        <v>761253</v>
      </c>
      <c r="AD29" s="1449">
        <f>兵庫QE名目!E95</f>
        <v>184875</v>
      </c>
      <c r="AE29" s="1449">
        <f>兵庫QE名目!E96</f>
        <v>197050</v>
      </c>
      <c r="AF29" s="1449">
        <f>兵庫QE名目!E97</f>
        <v>206517</v>
      </c>
      <c r="AG29" s="1449">
        <f>兵庫QE名目!E98</f>
        <v>189019</v>
      </c>
      <c r="AH29" s="1449">
        <f>兵庫QE名目!E99</f>
        <v>182716</v>
      </c>
      <c r="AI29" s="1449">
        <f>兵庫QE名目!E100</f>
        <v>194273</v>
      </c>
      <c r="AJ29" s="1449">
        <f>兵庫QE名目!E101</f>
        <v>199691</v>
      </c>
      <c r="AK29" s="1449">
        <f>兵庫QE名目!E102</f>
        <v>189476</v>
      </c>
      <c r="AL29" s="1449">
        <f>兵庫QE名目!E103</f>
        <v>191420</v>
      </c>
      <c r="AM29" s="1449">
        <f>兵庫QE名目!E14</f>
        <v>190716.94343761072</v>
      </c>
      <c r="AN29" s="1449">
        <f>兵庫QE名目!E15</f>
        <v>190189.33820171995</v>
      </c>
      <c r="AO29" s="1731">
        <f>ROUND(AK29*AP29,0)</f>
        <v>188046</v>
      </c>
      <c r="AP29" s="2274">
        <f>SUM(AL29:AN29)/SUM(AH29:AJ29)</f>
        <v>0.99245037393239</v>
      </c>
      <c r="AQ29" s="1439">
        <f>ｱｼﾞｱ太平洋研見通し!AG7</f>
        <v>1.0276119402985076</v>
      </c>
      <c r="AR29" s="1439">
        <f>ｱｼﾞｱ太平洋研見通し!AH7</f>
        <v>0.94045025417574435</v>
      </c>
      <c r="AS29" s="1439">
        <f>ｱｼﾞｱ太平洋研見通し!AI7</f>
        <v>1.0011583011583012</v>
      </c>
      <c r="AT29" s="1439">
        <f>ｱｼﾞｱ太平洋研見通し!AJ7</f>
        <v>1</v>
      </c>
      <c r="AU29" s="1425" t="s">
        <v>1507</v>
      </c>
    </row>
    <row r="30" spans="1:47" ht="14" customHeight="1">
      <c r="A30" s="1568"/>
      <c r="B30" s="1569" t="s">
        <v>1250</v>
      </c>
      <c r="C30" s="1570">
        <v>2626069</v>
      </c>
      <c r="D30" s="1569">
        <v>2460111</v>
      </c>
      <c r="E30" s="1569">
        <v>2480764</v>
      </c>
      <c r="F30" s="1569">
        <v>2505608</v>
      </c>
      <c r="G30" s="1571">
        <v>2696297</v>
      </c>
      <c r="H30" s="1437">
        <v>3711866.3625977878</v>
      </c>
      <c r="I30" s="1437">
        <v>3736616.2105134204</v>
      </c>
      <c r="J30" s="1437">
        <v>3734551.5783767458</v>
      </c>
      <c r="K30" s="1437">
        <v>3234769.1003289297</v>
      </c>
      <c r="L30" s="1437">
        <v>3363715.109477364</v>
      </c>
      <c r="M30" s="1760">
        <v>3347142</v>
      </c>
      <c r="N30" s="1766">
        <v>3292201</v>
      </c>
      <c r="O30" s="1760">
        <v>3477881</v>
      </c>
      <c r="P30" s="1760">
        <v>3560077</v>
      </c>
      <c r="Q30" s="1760">
        <v>3628849</v>
      </c>
      <c r="R30" s="1760">
        <v>3697164</v>
      </c>
      <c r="S30" s="1760">
        <v>3798503</v>
      </c>
      <c r="T30" s="1760">
        <v>3807596</v>
      </c>
      <c r="U30" s="1760">
        <v>3836860</v>
      </c>
      <c r="V30" s="1767">
        <v>3596246</v>
      </c>
      <c r="W30" s="1760">
        <v>3725623</v>
      </c>
      <c r="X30" s="1760">
        <v>4221035</v>
      </c>
      <c r="Y30" s="1437">
        <v>4641804</v>
      </c>
      <c r="Z30" s="1437">
        <f>兵庫QE名目!F147</f>
        <v>4822905</v>
      </c>
      <c r="AA30" s="1892">
        <f>SUM(AL30:AO30)</f>
        <v>5047977</v>
      </c>
      <c r="AB30" s="1437">
        <f t="shared" si="7"/>
        <v>5176975</v>
      </c>
      <c r="AC30" s="1437">
        <f t="shared" si="7"/>
        <v>5323344</v>
      </c>
      <c r="AD30" s="1449">
        <f>兵庫QE名目!F95</f>
        <v>1047882</v>
      </c>
      <c r="AE30" s="1449">
        <f>兵庫QE名目!F96</f>
        <v>1113903</v>
      </c>
      <c r="AF30" s="1449">
        <f>兵庫QE名目!F97</f>
        <v>1171725</v>
      </c>
      <c r="AG30" s="1449">
        <f>兵庫QE名目!F98</f>
        <v>1308294</v>
      </c>
      <c r="AH30" s="1449">
        <f>兵庫QE名目!F99</f>
        <v>1096429</v>
      </c>
      <c r="AI30" s="1449">
        <f>兵庫QE名目!F100</f>
        <v>1163246</v>
      </c>
      <c r="AJ30" s="1449">
        <f>兵庫QE名目!F101</f>
        <v>1195505</v>
      </c>
      <c r="AK30" s="1449">
        <f>兵庫QE名目!F102</f>
        <v>1367725</v>
      </c>
      <c r="AL30" s="1449">
        <f>兵庫QE名目!F103</f>
        <v>1140789</v>
      </c>
      <c r="AM30" s="1449">
        <f>兵庫QE名目!F104</f>
        <v>1206026</v>
      </c>
      <c r="AN30" s="1449">
        <f>兵庫QE名目!F105</f>
        <v>1269609</v>
      </c>
      <c r="AO30" s="1731">
        <f>ROUND(AK30*AP30,0)</f>
        <v>1431553</v>
      </c>
      <c r="AP30" s="2274">
        <f>SUM(AL30:AN30)/SUM(AH30:AJ30)</f>
        <v>1.0466673226865171</v>
      </c>
      <c r="AQ30" s="1439">
        <f>ｱｼﾞｱ太平洋研見通し!AG8</f>
        <v>1.0246265643924102</v>
      </c>
      <c r="AR30" s="1439">
        <f>ｱｼﾞｱ太平洋研見通し!AH8</f>
        <v>1.0304701864985553</v>
      </c>
      <c r="AS30" s="1439">
        <f>ｱｼﾞｱ太平洋研見通し!AI8</f>
        <v>1.025554422635738</v>
      </c>
      <c r="AT30" s="1439">
        <f>ｱｼﾞｱ太平洋研見通し!AJ8</f>
        <v>1.0282731622444541</v>
      </c>
      <c r="AU30" s="1425" t="s">
        <v>1507</v>
      </c>
    </row>
    <row r="31" spans="1:47" ht="14" customHeight="1">
      <c r="A31" s="1568"/>
      <c r="B31" s="1569" t="s">
        <v>1251</v>
      </c>
      <c r="C31" s="1570">
        <v>1323684</v>
      </c>
      <c r="D31" s="1569">
        <v>1143368</v>
      </c>
      <c r="E31" s="1569">
        <v>1042182</v>
      </c>
      <c r="F31" s="1569">
        <v>999276</v>
      </c>
      <c r="G31" s="1571">
        <v>974340</v>
      </c>
      <c r="H31" s="1437">
        <v>805902.76972356229</v>
      </c>
      <c r="I31" s="1437">
        <v>686249.23783809599</v>
      </c>
      <c r="J31" s="1437">
        <v>691074.78731105966</v>
      </c>
      <c r="K31" s="1437">
        <v>765762.11730637983</v>
      </c>
      <c r="L31" s="1437">
        <v>821139.7377895586</v>
      </c>
      <c r="M31" s="1760">
        <v>646366</v>
      </c>
      <c r="N31" s="1766">
        <v>683388</v>
      </c>
      <c r="O31" s="1760">
        <v>798377</v>
      </c>
      <c r="P31" s="1760">
        <v>752975</v>
      </c>
      <c r="Q31" s="1760">
        <v>782994</v>
      </c>
      <c r="R31" s="1760">
        <v>801734</v>
      </c>
      <c r="S31" s="1760">
        <v>785248</v>
      </c>
      <c r="T31" s="1760">
        <v>744241</v>
      </c>
      <c r="U31" s="1760">
        <v>867314</v>
      </c>
      <c r="V31" s="1767">
        <v>1028123</v>
      </c>
      <c r="W31" s="1760">
        <v>993162</v>
      </c>
      <c r="X31" s="1760">
        <v>916523</v>
      </c>
      <c r="Y31" s="1437">
        <v>898464</v>
      </c>
      <c r="Z31" s="1437">
        <f>兵庫QE名目!I147</f>
        <v>919955</v>
      </c>
      <c r="AA31" s="1892">
        <f>SUM(AL31:AO31)</f>
        <v>831333</v>
      </c>
      <c r="AB31" s="1437">
        <f t="shared" si="7"/>
        <v>829556</v>
      </c>
      <c r="AC31" s="1437">
        <f t="shared" si="7"/>
        <v>839459</v>
      </c>
      <c r="AD31" s="1449">
        <f>兵庫QE名目!I95</f>
        <v>165642</v>
      </c>
      <c r="AE31" s="1449">
        <f>兵庫QE名目!I96</f>
        <v>181482</v>
      </c>
      <c r="AF31" s="1449">
        <f>兵庫QE名目!I97</f>
        <v>275904</v>
      </c>
      <c r="AG31" s="1449">
        <f>兵庫QE名目!I98</f>
        <v>275436</v>
      </c>
      <c r="AH31" s="1449">
        <f>兵庫QE名目!I99</f>
        <v>208163</v>
      </c>
      <c r="AI31" s="1449">
        <f>兵庫QE名目!I100</f>
        <v>222363</v>
      </c>
      <c r="AJ31" s="1449">
        <f>兵庫QE名目!I101</f>
        <v>234493</v>
      </c>
      <c r="AK31" s="1449">
        <f>兵庫QE名目!I102</f>
        <v>254936</v>
      </c>
      <c r="AL31" s="1449">
        <f>兵庫QE名目!I103</f>
        <v>178538</v>
      </c>
      <c r="AM31" s="1449">
        <f>兵庫QE名目!I104</f>
        <v>201276</v>
      </c>
      <c r="AN31" s="1449">
        <f>兵庫QE名目!I105</f>
        <v>221142</v>
      </c>
      <c r="AO31" s="1731">
        <f>ROUND(AK31*AP31,0)</f>
        <v>230377</v>
      </c>
      <c r="AP31" s="2274">
        <f>SUM(AL31:AN31)/SUM(AH31:AJ31)</f>
        <v>0.90366741401373496</v>
      </c>
      <c r="AQ31" s="1439">
        <f>ｱｼﾞｱ太平洋研見通し!AG10</f>
        <v>1.0252126366950183</v>
      </c>
      <c r="AR31" s="1439">
        <f>ｱｼﾞｱ太平洋研見通し!AH10</f>
        <v>0.97007407407407409</v>
      </c>
      <c r="AS31" s="1439">
        <f>ｱｼﾞｱ太平洋研見通し!AI10</f>
        <v>0.99786194257788641</v>
      </c>
      <c r="AT31" s="1439">
        <f>ｱｼﾞｱ太平洋研見通し!AJ10</f>
        <v>1.0119375573921028</v>
      </c>
      <c r="AU31" s="1425" t="s">
        <v>1507</v>
      </c>
    </row>
    <row r="32" spans="1:47" ht="14" customHeight="1">
      <c r="A32" s="1568"/>
      <c r="B32" s="1569" t="s">
        <v>1249</v>
      </c>
      <c r="C32" s="1570">
        <v>62754</v>
      </c>
      <c r="D32" s="1569">
        <v>38793</v>
      </c>
      <c r="E32" s="1569">
        <v>31876</v>
      </c>
      <c r="F32" s="1569">
        <v>31196</v>
      </c>
      <c r="G32" s="1571">
        <v>37673</v>
      </c>
      <c r="H32" s="1437">
        <v>33871</v>
      </c>
      <c r="I32" s="1437">
        <v>25863</v>
      </c>
      <c r="J32" s="1437">
        <v>30438</v>
      </c>
      <c r="K32" s="1437">
        <v>22789</v>
      </c>
      <c r="L32" s="1437">
        <v>22738</v>
      </c>
      <c r="M32" s="1760">
        <v>26757</v>
      </c>
      <c r="N32" s="1760">
        <v>21490</v>
      </c>
      <c r="O32" s="1760">
        <v>26178</v>
      </c>
      <c r="P32" s="1760">
        <v>24142</v>
      </c>
      <c r="Q32" s="1760">
        <v>24024</v>
      </c>
      <c r="R32" s="1760">
        <v>32347</v>
      </c>
      <c r="S32" s="1760">
        <v>36499</v>
      </c>
      <c r="T32" s="1760">
        <v>36010</v>
      </c>
      <c r="U32" s="1760">
        <v>35211</v>
      </c>
      <c r="V32" s="1760">
        <v>40216</v>
      </c>
      <c r="W32" s="1760">
        <v>31134</v>
      </c>
      <c r="X32" s="1760">
        <v>32225</v>
      </c>
      <c r="Y32" s="1437">
        <v>35466</v>
      </c>
      <c r="Z32" s="1441"/>
      <c r="AA32" s="1441"/>
      <c r="AB32" s="1441"/>
      <c r="AC32" s="1441"/>
      <c r="AD32" s="1442"/>
      <c r="AE32" s="1442"/>
      <c r="AF32" s="1442"/>
      <c r="AG32" s="1442"/>
      <c r="AH32" s="1442"/>
      <c r="AI32" s="1442"/>
      <c r="AJ32" s="1442"/>
      <c r="AK32" s="1442"/>
      <c r="AL32" s="1442"/>
      <c r="AM32" s="1442"/>
      <c r="AN32" s="1442"/>
      <c r="AO32" s="1442"/>
      <c r="AP32" s="1442"/>
      <c r="AQ32" s="1443"/>
      <c r="AR32" s="1443"/>
      <c r="AS32" s="1443"/>
      <c r="AT32" s="1443"/>
    </row>
    <row r="33" spans="1:83" ht="14" customHeight="1">
      <c r="A33" s="1568"/>
      <c r="B33" s="1569" t="s">
        <v>1250</v>
      </c>
      <c r="C33" s="1570">
        <v>360494</v>
      </c>
      <c r="D33" s="1569">
        <v>292463</v>
      </c>
      <c r="E33" s="1569">
        <v>239056</v>
      </c>
      <c r="F33" s="1569">
        <v>245104</v>
      </c>
      <c r="G33" s="1571">
        <v>199713</v>
      </c>
      <c r="H33" s="1437">
        <v>157211.55501036835</v>
      </c>
      <c r="I33" s="1437">
        <v>125244.78583874468</v>
      </c>
      <c r="J33" s="1437">
        <v>142226.14772604403</v>
      </c>
      <c r="K33" s="1437">
        <v>155453.14727341215</v>
      </c>
      <c r="L33" s="1437">
        <v>152734.57106407531</v>
      </c>
      <c r="M33" s="1760">
        <v>83130</v>
      </c>
      <c r="N33" s="1760">
        <v>129425</v>
      </c>
      <c r="O33" s="1760">
        <v>151270</v>
      </c>
      <c r="P33" s="1760">
        <v>151242</v>
      </c>
      <c r="Q33" s="1760">
        <v>149202</v>
      </c>
      <c r="R33" s="1760">
        <v>137981</v>
      </c>
      <c r="S33" s="1760">
        <v>143751</v>
      </c>
      <c r="T33" s="1760">
        <v>120654</v>
      </c>
      <c r="U33" s="1760">
        <v>146646</v>
      </c>
      <c r="V33" s="1760">
        <v>195883</v>
      </c>
      <c r="W33" s="1760">
        <v>180588</v>
      </c>
      <c r="X33" s="1760">
        <v>182337</v>
      </c>
      <c r="Y33" s="1437">
        <v>170938</v>
      </c>
      <c r="Z33" s="1441"/>
      <c r="AA33" s="1441"/>
      <c r="AB33" s="1441"/>
      <c r="AC33" s="1441"/>
      <c r="AD33" s="1425"/>
      <c r="AE33" s="1425"/>
      <c r="AF33" s="1425"/>
      <c r="AG33" s="1425"/>
      <c r="AH33" s="1425"/>
      <c r="AI33" s="1425"/>
      <c r="AJ33" s="1425"/>
      <c r="AK33" s="1425"/>
      <c r="AL33" s="1425"/>
      <c r="AM33" s="1425"/>
      <c r="AN33" s="1425"/>
      <c r="AO33" s="1425"/>
      <c r="AP33" s="1425"/>
      <c r="AQ33" s="1572"/>
      <c r="AR33" s="1572"/>
      <c r="AS33" s="1572"/>
      <c r="AT33" s="1572"/>
    </row>
    <row r="34" spans="1:83" ht="14" customHeight="1">
      <c r="A34" s="1568"/>
      <c r="B34" s="1569" t="s">
        <v>1252</v>
      </c>
      <c r="C34" s="1570">
        <v>900436</v>
      </c>
      <c r="D34" s="1569">
        <v>812112</v>
      </c>
      <c r="E34" s="1569">
        <v>771250</v>
      </c>
      <c r="F34" s="1569">
        <v>722976</v>
      </c>
      <c r="G34" s="1571">
        <v>736954</v>
      </c>
      <c r="H34" s="1437">
        <v>614820.21471319394</v>
      </c>
      <c r="I34" s="1437">
        <v>535141.45199935138</v>
      </c>
      <c r="J34" s="1437">
        <v>518410.63958501566</v>
      </c>
      <c r="K34" s="1437">
        <v>587519.97003296763</v>
      </c>
      <c r="L34" s="1437">
        <v>645667.16672548326</v>
      </c>
      <c r="M34" s="1760">
        <v>536479</v>
      </c>
      <c r="N34" s="1760">
        <v>532474</v>
      </c>
      <c r="O34" s="1760">
        <v>620929</v>
      </c>
      <c r="P34" s="1760">
        <v>577591</v>
      </c>
      <c r="Q34" s="1760">
        <v>609768</v>
      </c>
      <c r="R34" s="1760">
        <v>631406</v>
      </c>
      <c r="S34" s="1760">
        <v>604998</v>
      </c>
      <c r="T34" s="1760">
        <v>587577</v>
      </c>
      <c r="U34" s="1760">
        <v>685457</v>
      </c>
      <c r="V34" s="1760">
        <v>792023</v>
      </c>
      <c r="W34" s="1760">
        <v>781440</v>
      </c>
      <c r="X34" s="1760">
        <v>701961</v>
      </c>
      <c r="Y34" s="1437">
        <v>692061</v>
      </c>
      <c r="Z34" s="1441"/>
      <c r="AA34" s="1441"/>
      <c r="AB34" s="1441"/>
      <c r="AC34" s="1441"/>
      <c r="AD34" s="1425"/>
      <c r="AE34" s="1425"/>
      <c r="AF34" s="1425"/>
      <c r="AG34" s="1425"/>
      <c r="AH34" s="1425"/>
      <c r="AI34" s="1425"/>
      <c r="AJ34" s="1425"/>
      <c r="AK34" s="1425"/>
      <c r="AL34" s="1425"/>
      <c r="AM34" s="1425"/>
      <c r="AN34" s="1425"/>
      <c r="AO34" s="1425"/>
      <c r="AP34" s="1425"/>
      <c r="AQ34" s="1572"/>
      <c r="AR34" s="1572"/>
      <c r="AS34" s="1572"/>
      <c r="AT34" s="1572"/>
    </row>
    <row r="35" spans="1:83" ht="14" customHeight="1">
      <c r="A35" s="1568"/>
      <c r="B35" s="1569" t="s">
        <v>1253</v>
      </c>
      <c r="C35" s="1570">
        <v>35896</v>
      </c>
      <c r="D35" s="1569">
        <v>-86406</v>
      </c>
      <c r="E35" s="1569">
        <v>-71366</v>
      </c>
      <c r="F35" s="1569">
        <v>-15884</v>
      </c>
      <c r="G35" s="1571">
        <v>35103</v>
      </c>
      <c r="H35" s="1437">
        <v>26511.523844192376</v>
      </c>
      <c r="I35" s="1437">
        <v>82802.735628593655</v>
      </c>
      <c r="J35" s="1437">
        <v>177858.53599661525</v>
      </c>
      <c r="K35" s="1437">
        <v>-187792.09674042676</v>
      </c>
      <c r="L35" s="1437">
        <v>-70785.680786457771</v>
      </c>
      <c r="M35" s="1760">
        <v>67228</v>
      </c>
      <c r="N35" s="1766">
        <v>15509</v>
      </c>
      <c r="O35" s="1766">
        <v>62168</v>
      </c>
      <c r="P35" s="1760">
        <v>-11659</v>
      </c>
      <c r="Q35" s="1766">
        <v>144459</v>
      </c>
      <c r="R35" s="1766">
        <v>-88049</v>
      </c>
      <c r="S35" s="1766">
        <v>67151</v>
      </c>
      <c r="T35" s="1766">
        <v>72504</v>
      </c>
      <c r="U35" s="1766">
        <v>181782</v>
      </c>
      <c r="V35" s="1760">
        <v>-233755</v>
      </c>
      <c r="W35" s="1766">
        <v>-61803</v>
      </c>
      <c r="X35" s="1766">
        <v>295547</v>
      </c>
      <c r="Y35" s="2028">
        <v>-16917</v>
      </c>
      <c r="Z35" s="1448">
        <f t="shared" ref="Z35" si="8">Z36+Z37</f>
        <v>-29465</v>
      </c>
      <c r="AA35" s="1448">
        <f t="shared" ref="AA35:AB35" si="9">AA36+AA37</f>
        <v>-24249</v>
      </c>
      <c r="AB35" s="1448">
        <f t="shared" si="9"/>
        <v>-24249</v>
      </c>
      <c r="AC35" s="1448">
        <f t="shared" ref="AC35" si="10">AC36+AC37</f>
        <v>-24249</v>
      </c>
      <c r="AD35" s="1425"/>
      <c r="AE35" s="1425"/>
      <c r="AF35" s="1425"/>
      <c r="AG35" s="1425"/>
      <c r="AH35" s="1425"/>
      <c r="AI35" s="1425"/>
      <c r="AJ35" s="1425"/>
      <c r="AK35" s="1425"/>
      <c r="AL35" s="1425"/>
      <c r="AM35" s="1425"/>
      <c r="AN35" s="1425"/>
      <c r="AO35" s="1425"/>
      <c r="AP35" s="1425"/>
      <c r="AQ35" s="1572"/>
      <c r="AR35" s="1572"/>
      <c r="AS35" s="1572"/>
      <c r="AT35" s="1572"/>
    </row>
    <row r="36" spans="1:83" ht="14" customHeight="1">
      <c r="A36" s="1568"/>
      <c r="B36" s="1569" t="s">
        <v>1254</v>
      </c>
      <c r="C36" s="1570">
        <v>-11790</v>
      </c>
      <c r="D36" s="1569">
        <v>-100030</v>
      </c>
      <c r="E36" s="1569">
        <v>-36699</v>
      </c>
      <c r="F36" s="1569">
        <v>20675</v>
      </c>
      <c r="G36" s="1571">
        <v>43883</v>
      </c>
      <c r="H36" s="1437">
        <v>15595.775042590958</v>
      </c>
      <c r="I36" s="1437">
        <v>79330.687787132949</v>
      </c>
      <c r="J36" s="1437">
        <v>192431.61218192161</v>
      </c>
      <c r="K36" s="1437">
        <v>-196651.89282518681</v>
      </c>
      <c r="L36" s="1437">
        <v>-50838.875645655848</v>
      </c>
      <c r="M36" s="1760">
        <v>71410</v>
      </c>
      <c r="N36" s="1766">
        <v>15577</v>
      </c>
      <c r="O36" s="1760">
        <v>42513</v>
      </c>
      <c r="P36" s="1760">
        <v>-30584</v>
      </c>
      <c r="Q36" s="1760">
        <v>155637</v>
      </c>
      <c r="R36" s="1760">
        <v>-62558</v>
      </c>
      <c r="S36" s="1760">
        <v>52629</v>
      </c>
      <c r="T36" s="1760">
        <v>85436</v>
      </c>
      <c r="U36" s="1760">
        <v>146485</v>
      </c>
      <c r="V36" s="1760">
        <v>-181001</v>
      </c>
      <c r="W36" s="1760">
        <v>-61249</v>
      </c>
      <c r="X36" s="1760">
        <v>252762</v>
      </c>
      <c r="Y36" s="1437">
        <v>-2985</v>
      </c>
      <c r="Z36" s="1437">
        <f>兵庫QE名目!G147</f>
        <v>-14442</v>
      </c>
      <c r="AA36" s="1892">
        <f>SUM(AL36:AO36)</f>
        <v>-9490</v>
      </c>
      <c r="AB36" s="1437">
        <f>ROUND(AA36*AS36,0)</f>
        <v>-9490</v>
      </c>
      <c r="AC36" s="1437">
        <f>ROUND(AB36*AT36,0)</f>
        <v>-9490</v>
      </c>
      <c r="AD36" s="1449">
        <f>兵庫QE名目!G95</f>
        <v>64757</v>
      </c>
      <c r="AE36" s="1449">
        <f>兵庫QE名目!G96</f>
        <v>-7967</v>
      </c>
      <c r="AF36" s="1449">
        <f>兵庫QE名目!G97</f>
        <v>-14762</v>
      </c>
      <c r="AG36" s="1449">
        <f>兵庫QE名目!G98</f>
        <v>-45014</v>
      </c>
      <c r="AH36" s="1449">
        <f>兵庫QE名目!G99</f>
        <v>1468</v>
      </c>
      <c r="AI36" s="1449">
        <f>兵庫QE名目!G100</f>
        <v>11630</v>
      </c>
      <c r="AJ36" s="1449">
        <f>兵庫QE名目!G101</f>
        <v>-16293</v>
      </c>
      <c r="AK36" s="1449">
        <f>兵庫QE名目!G102</f>
        <v>-11247</v>
      </c>
      <c r="AL36" s="1449">
        <f>兵庫QE名目!G103</f>
        <v>17451</v>
      </c>
      <c r="AM36" s="1449">
        <f>兵庫QE名目!G104</f>
        <v>5161</v>
      </c>
      <c r="AN36" s="1449">
        <f>兵庫QE名目!G105</f>
        <v>-20855</v>
      </c>
      <c r="AO36" s="1731">
        <f>ROUND(AK36*AR36,0)</f>
        <v>-11247</v>
      </c>
      <c r="AP36" s="1732">
        <v>1</v>
      </c>
      <c r="AQ36" s="1450">
        <v>1</v>
      </c>
      <c r="AR36" s="1450">
        <v>1</v>
      </c>
      <c r="AS36" s="1450">
        <v>1</v>
      </c>
      <c r="AT36" s="1450">
        <v>1</v>
      </c>
      <c r="AU36" s="1425"/>
    </row>
    <row r="37" spans="1:83" ht="14" customHeight="1">
      <c r="A37" s="1577"/>
      <c r="B37" s="1578" t="s">
        <v>1255</v>
      </c>
      <c r="C37" s="1579">
        <v>47686</v>
      </c>
      <c r="D37" s="1578">
        <v>13624</v>
      </c>
      <c r="E37" s="1578">
        <v>-34667</v>
      </c>
      <c r="F37" s="1578">
        <v>-36559</v>
      </c>
      <c r="G37" s="1580">
        <v>-8780</v>
      </c>
      <c r="H37" s="1451">
        <v>10915.748801601418</v>
      </c>
      <c r="I37" s="1451">
        <v>3472.0478414607123</v>
      </c>
      <c r="J37" s="1451">
        <v>-14573.076185306361</v>
      </c>
      <c r="K37" s="1451">
        <v>8859.7960847600589</v>
      </c>
      <c r="L37" s="1451">
        <v>-19946.805140801924</v>
      </c>
      <c r="M37" s="1763">
        <v>-4181</v>
      </c>
      <c r="N37" s="1768">
        <v>-68</v>
      </c>
      <c r="O37" s="1763">
        <v>19655</v>
      </c>
      <c r="P37" s="1763">
        <v>18925</v>
      </c>
      <c r="Q37" s="1763">
        <v>-11179</v>
      </c>
      <c r="R37" s="1763">
        <v>-25491</v>
      </c>
      <c r="S37" s="1763">
        <v>14522</v>
      </c>
      <c r="T37" s="1763">
        <v>-12932</v>
      </c>
      <c r="U37" s="1763">
        <v>35297</v>
      </c>
      <c r="V37" s="1763">
        <v>-52754</v>
      </c>
      <c r="W37" s="1763">
        <v>-554</v>
      </c>
      <c r="X37" s="1763">
        <v>42784</v>
      </c>
      <c r="Y37" s="1451">
        <v>-13931</v>
      </c>
      <c r="Z37" s="1451">
        <f>兵庫QE名目!J147</f>
        <v>-15023</v>
      </c>
      <c r="AA37" s="1892">
        <f>SUM(AL37:AO37)</f>
        <v>-14759</v>
      </c>
      <c r="AB37" s="1437">
        <f>ROUND(AA37*AS37,0)</f>
        <v>-14759</v>
      </c>
      <c r="AC37" s="1437">
        <f>ROUND(AB37*AT37,0)</f>
        <v>-14759</v>
      </c>
      <c r="AD37" s="1449">
        <f>兵庫QE名目!J95</f>
        <v>2757</v>
      </c>
      <c r="AE37" s="1449">
        <f>兵庫QE名目!J96</f>
        <v>-4171</v>
      </c>
      <c r="AF37" s="1449">
        <f>兵庫QE名目!J97</f>
        <v>-4818</v>
      </c>
      <c r="AG37" s="1449">
        <f>兵庫QE名目!J98</f>
        <v>-7700</v>
      </c>
      <c r="AH37" s="1449">
        <f>兵庫QE名目!J99</f>
        <v>-3272</v>
      </c>
      <c r="AI37" s="1449">
        <f>兵庫QE名目!J100</f>
        <v>-2304</v>
      </c>
      <c r="AJ37" s="1449">
        <f>兵庫QE名目!J101</f>
        <v>-4964</v>
      </c>
      <c r="AK37" s="1449">
        <f>兵庫QE名目!J102</f>
        <v>-4483</v>
      </c>
      <c r="AL37" s="1449">
        <f>兵庫QE名目!J103</f>
        <v>-1917</v>
      </c>
      <c r="AM37" s="1449">
        <f>兵庫QE名目!J104</f>
        <v>-3016</v>
      </c>
      <c r="AN37" s="1449">
        <f>兵庫QE名目!J105</f>
        <v>-5343</v>
      </c>
      <c r="AO37" s="1731">
        <f>ROUND(AK37*AR37,0)</f>
        <v>-4483</v>
      </c>
      <c r="AP37" s="1732">
        <v>1</v>
      </c>
      <c r="AQ37" s="1450">
        <v>1</v>
      </c>
      <c r="AR37" s="1450">
        <v>1</v>
      </c>
      <c r="AS37" s="1450">
        <v>1</v>
      </c>
      <c r="AT37" s="1450">
        <v>1</v>
      </c>
      <c r="AU37" s="1425"/>
    </row>
    <row r="38" spans="1:83" ht="14" customHeight="1">
      <c r="A38" s="1568"/>
      <c r="B38" s="1569" t="s">
        <v>154</v>
      </c>
      <c r="C38" s="1570">
        <v>-1053516</v>
      </c>
      <c r="D38" s="1569">
        <v>-698103</v>
      </c>
      <c r="E38" s="1569">
        <v>-750388</v>
      </c>
      <c r="F38" s="1569">
        <v>-673490</v>
      </c>
      <c r="G38" s="1571">
        <v>-996994</v>
      </c>
      <c r="H38" s="1437">
        <v>-401758.52150672767</v>
      </c>
      <c r="I38" s="1437">
        <v>112172.91136753693</v>
      </c>
      <c r="J38" s="1437">
        <v>-159004.34265365079</v>
      </c>
      <c r="K38" s="1437">
        <v>-595536.90162509284</v>
      </c>
      <c r="L38" s="1437">
        <v>107645.74248732743</v>
      </c>
      <c r="M38" s="1760">
        <v>-510338</v>
      </c>
      <c r="N38" s="1766">
        <v>-556780</v>
      </c>
      <c r="O38" s="1766">
        <v>-628776</v>
      </c>
      <c r="P38" s="1766">
        <v>-315747</v>
      </c>
      <c r="Q38" s="1766">
        <v>184764</v>
      </c>
      <c r="R38" s="1766">
        <v>618721</v>
      </c>
      <c r="S38" s="1766">
        <v>507189</v>
      </c>
      <c r="T38" s="1766">
        <v>433990</v>
      </c>
      <c r="U38" s="1766">
        <v>241561</v>
      </c>
      <c r="V38" s="1766">
        <v>788675</v>
      </c>
      <c r="W38" s="1766">
        <v>492520</v>
      </c>
      <c r="X38" s="1766">
        <v>-327900</v>
      </c>
      <c r="Y38" s="1447">
        <v>2101</v>
      </c>
      <c r="Z38" s="1447">
        <f>Z39-Z40+Z43</f>
        <v>102758</v>
      </c>
      <c r="AA38" s="1447">
        <f>AA39-AA40+AA43</f>
        <v>208909</v>
      </c>
      <c r="AB38" s="1447">
        <f>AB39-AB40+AB43</f>
        <v>234763</v>
      </c>
      <c r="AC38" s="1447">
        <f>AC39-AC40+AC43</f>
        <v>283203</v>
      </c>
      <c r="AD38" s="1442"/>
      <c r="AE38" s="1442"/>
      <c r="AF38" s="1442"/>
      <c r="AG38" s="1442"/>
      <c r="AH38" s="1442"/>
      <c r="AI38" s="1442"/>
      <c r="AJ38" s="1442"/>
      <c r="AK38" s="1442"/>
      <c r="AL38" s="1442"/>
      <c r="AM38" s="1442"/>
      <c r="AN38" s="1442"/>
      <c r="AO38" s="1442"/>
      <c r="AP38" s="1442"/>
      <c r="AQ38" s="1443"/>
      <c r="AR38" s="1443"/>
      <c r="AS38" s="1443"/>
      <c r="AT38" s="1443"/>
      <c r="AU38" s="1425"/>
    </row>
    <row r="39" spans="1:83" ht="14" customHeight="1">
      <c r="A39" s="1568"/>
      <c r="B39" s="1569" t="s">
        <v>155</v>
      </c>
      <c r="C39" s="1570">
        <v>14258119</v>
      </c>
      <c r="D39" s="1569">
        <v>14414849</v>
      </c>
      <c r="E39" s="1569">
        <v>14399484</v>
      </c>
      <c r="F39" s="1569">
        <v>15232489</v>
      </c>
      <c r="G39" s="1571">
        <v>15818305</v>
      </c>
      <c r="H39" s="1927">
        <v>17020830</v>
      </c>
      <c r="I39" s="1927">
        <v>18186045</v>
      </c>
      <c r="J39" s="1927">
        <v>17239515</v>
      </c>
      <c r="K39" s="1927">
        <v>15125960</v>
      </c>
      <c r="L39" s="1927">
        <v>16354293</v>
      </c>
      <c r="M39" s="1927">
        <v>15859697</v>
      </c>
      <c r="N39" s="1928">
        <v>15484526</v>
      </c>
      <c r="O39" s="1927">
        <v>16052073</v>
      </c>
      <c r="P39" s="1927">
        <v>16704569</v>
      </c>
      <c r="Q39" s="1927">
        <v>16860189</v>
      </c>
      <c r="R39" s="1927">
        <v>16419740</v>
      </c>
      <c r="S39" s="1927">
        <v>17384114</v>
      </c>
      <c r="T39" s="1927">
        <v>17568297</v>
      </c>
      <c r="U39" s="1927">
        <v>17399579</v>
      </c>
      <c r="V39" s="1927">
        <v>15724669</v>
      </c>
      <c r="W39" s="1927">
        <v>17776477</v>
      </c>
      <c r="X39" s="1927">
        <v>19653978</v>
      </c>
      <c r="Y39" s="1927">
        <f>兵庫QE名目!M146</f>
        <v>22028333</v>
      </c>
      <c r="Z39" s="1437">
        <f>兵庫QE名目!M147</f>
        <v>23038611</v>
      </c>
      <c r="AA39" s="1892">
        <f>SUM(AL39:AO39)</f>
        <v>23705927</v>
      </c>
      <c r="AB39" s="1437">
        <f>ROUND(AA39*AS39,0)</f>
        <v>24124693</v>
      </c>
      <c r="AC39" s="1437">
        <f>ROUND(AB39*AT39,0)</f>
        <v>24729380</v>
      </c>
      <c r="AD39" s="1449">
        <f>兵庫QE名目!M95</f>
        <v>5348964</v>
      </c>
      <c r="AE39" s="1449">
        <f>兵庫QE名目!M96</f>
        <v>5375865</v>
      </c>
      <c r="AF39" s="1449">
        <f>兵庫QE名目!M97</f>
        <v>5802729</v>
      </c>
      <c r="AG39" s="1449">
        <f>兵庫QE名目!M98</f>
        <v>5500775</v>
      </c>
      <c r="AH39" s="1449">
        <f>兵庫QE名目!M99</f>
        <v>5637393</v>
      </c>
      <c r="AI39" s="1449">
        <f>兵庫QE名目!M100</f>
        <v>5624534</v>
      </c>
      <c r="AJ39" s="1449">
        <f>兵庫QE名目!M101</f>
        <v>5974222</v>
      </c>
      <c r="AK39" s="1449">
        <f>兵庫QE名目!M102</f>
        <v>5802462</v>
      </c>
      <c r="AL39" s="1449">
        <f>兵庫QE名目!M103</f>
        <v>5802715</v>
      </c>
      <c r="AM39" s="1449">
        <f>兵庫QE名目!M104</f>
        <v>5760164</v>
      </c>
      <c r="AN39" s="1449">
        <f>兵庫QE名目!M105</f>
        <v>6172517</v>
      </c>
      <c r="AO39" s="1731">
        <f>ROUND(AK39*AP39,0)</f>
        <v>5970531</v>
      </c>
      <c r="AP39" s="2274">
        <f>SUM(AL39:AN39)/SUM(AH39:AJ39)</f>
        <v>1.0289651127986883</v>
      </c>
      <c r="AQ39" s="1450">
        <f>ｱｼﾞｱ太平洋研見通し!AG11</f>
        <v>1.0264826793661668</v>
      </c>
      <c r="AR39" s="1450">
        <f>ｱｼﾞｱ太平洋研見通し!AH11</f>
        <v>1.0236432148284869</v>
      </c>
      <c r="AS39" s="1450">
        <f>ｱｼﾞｱ太平洋研見通し!AI11</f>
        <v>1.0176650211817102</v>
      </c>
      <c r="AT39" s="1450">
        <f>ｱｼﾞｱ太平洋研見通し!AJ11</f>
        <v>1.0250650789881044</v>
      </c>
      <c r="AU39" s="1425" t="s">
        <v>1507</v>
      </c>
    </row>
    <row r="40" spans="1:83" ht="14" customHeight="1">
      <c r="A40" s="1568"/>
      <c r="B40" s="1569" t="s">
        <v>156</v>
      </c>
      <c r="C40" s="1570">
        <v>14762121</v>
      </c>
      <c r="D40" s="1569">
        <v>14505299</v>
      </c>
      <c r="E40" s="1569">
        <v>14439375</v>
      </c>
      <c r="F40" s="1569">
        <v>14888578</v>
      </c>
      <c r="G40" s="1571">
        <v>16534677</v>
      </c>
      <c r="H40" s="1927">
        <v>17465728</v>
      </c>
      <c r="I40" s="1927">
        <v>18137965</v>
      </c>
      <c r="J40" s="1927">
        <v>17948628</v>
      </c>
      <c r="K40" s="1927">
        <v>15903578</v>
      </c>
      <c r="L40" s="1927">
        <v>16589823</v>
      </c>
      <c r="M40" s="1927">
        <v>16970634</v>
      </c>
      <c r="N40" s="1928">
        <v>16895177</v>
      </c>
      <c r="O40" s="1927">
        <v>17564241</v>
      </c>
      <c r="P40" s="1927">
        <v>17510351</v>
      </c>
      <c r="Q40" s="1927">
        <v>17366396</v>
      </c>
      <c r="R40" s="1927">
        <v>16715635</v>
      </c>
      <c r="S40" s="1927">
        <v>17583131</v>
      </c>
      <c r="T40" s="1927">
        <v>18053636</v>
      </c>
      <c r="U40" s="1927">
        <v>18117939</v>
      </c>
      <c r="V40" s="1927">
        <v>16447492</v>
      </c>
      <c r="W40" s="1927">
        <v>18581356</v>
      </c>
      <c r="X40" s="1927">
        <v>21355734</v>
      </c>
      <c r="Y40" s="1927">
        <f>兵庫QE名目!N146</f>
        <v>21299939</v>
      </c>
      <c r="Z40" s="1437">
        <f>兵庫QE名目!N147</f>
        <v>22209561</v>
      </c>
      <c r="AA40" s="1892">
        <f>SUM(AL40:AO40)</f>
        <v>22770726</v>
      </c>
      <c r="AB40" s="1437">
        <f>ROUND(AA40*AS40,0)</f>
        <v>23163638</v>
      </c>
      <c r="AC40" s="1437">
        <f>ROUND(AB40*AT40,0)</f>
        <v>23719885</v>
      </c>
      <c r="AD40" s="1449">
        <f>兵庫QE名目!N95</f>
        <v>5140816</v>
      </c>
      <c r="AE40" s="1449">
        <f>兵庫QE名目!N96</f>
        <v>5160219</v>
      </c>
      <c r="AF40" s="1449">
        <f>兵庫QE名目!N97</f>
        <v>5547808</v>
      </c>
      <c r="AG40" s="1449">
        <f>兵庫QE名目!N98</f>
        <v>5451096</v>
      </c>
      <c r="AH40" s="1449">
        <f>兵庫QE名目!N99</f>
        <v>5411531</v>
      </c>
      <c r="AI40" s="1449">
        <f>兵庫QE名目!N100</f>
        <v>5464006</v>
      </c>
      <c r="AJ40" s="1449">
        <f>兵庫QE名目!N101</f>
        <v>5601167</v>
      </c>
      <c r="AK40" s="1449">
        <f>兵庫QE名目!N102</f>
        <v>5732857</v>
      </c>
      <c r="AL40" s="1449">
        <f>兵庫QE名目!N103</f>
        <v>5495478</v>
      </c>
      <c r="AM40" s="1449">
        <f>兵庫QE名目!N104</f>
        <v>5594996</v>
      </c>
      <c r="AN40" s="1449">
        <f>兵庫QE名目!N105</f>
        <v>5802544</v>
      </c>
      <c r="AO40" s="1731">
        <f>ROUND(AK40*AP40,0)</f>
        <v>5877708</v>
      </c>
      <c r="AP40" s="2274">
        <f>SUM(AL40:AN40)/SUM(AH40:AJ40)</f>
        <v>1.0252668252097021</v>
      </c>
      <c r="AQ40" s="1450">
        <f>ｱｼﾞｱ太平洋研見通し!AG14</f>
        <v>1.0273196525242352</v>
      </c>
      <c r="AR40" s="1450">
        <f>ｱｼﾞｱ太平洋研見通し!AH14</f>
        <v>1.0250816993464051</v>
      </c>
      <c r="AS40" s="1450">
        <f>ｱｼﾞｱ太平洋研見通し!AI14</f>
        <v>1.0172551207459952</v>
      </c>
      <c r="AT40" s="1450">
        <f>ｱｼﾞｱ太平洋研見通し!AJ14</f>
        <v>1.024013789321111</v>
      </c>
      <c r="AU40" s="1425" t="s">
        <v>1507</v>
      </c>
    </row>
    <row r="41" spans="1:83" ht="14" customHeight="1">
      <c r="A41" s="1568"/>
      <c r="B41" s="1569" t="s">
        <v>1697</v>
      </c>
      <c r="C41" s="1570">
        <v>-186613.33213512949</v>
      </c>
      <c r="D41" s="1569">
        <v>-29890.718344485038</v>
      </c>
      <c r="E41" s="1569">
        <v>-9877.1175785819069</v>
      </c>
      <c r="F41" s="1569">
        <v>-51163.804574780632</v>
      </c>
      <c r="G41" s="1571">
        <v>-25682.02338326571</v>
      </c>
      <c r="H41" s="1927">
        <v>-27156.520947235171</v>
      </c>
      <c r="I41" s="1927">
        <v>-43570.998591894517</v>
      </c>
      <c r="J41" s="1927">
        <v>-110942.40033578174</v>
      </c>
      <c r="K41" s="1927">
        <v>14348.943705466052</v>
      </c>
      <c r="L41" s="1927">
        <v>-119822.04205329344</v>
      </c>
      <c r="M41" s="1927">
        <v>-79606.755177299317</v>
      </c>
      <c r="N41" s="1928">
        <v>-64359.882379961433</v>
      </c>
      <c r="O41" s="1928">
        <v>-66159.798270532046</v>
      </c>
      <c r="P41" s="1928">
        <v>-72647.674104726291</v>
      </c>
      <c r="Q41" s="1928">
        <v>-75994.035752502677</v>
      </c>
      <c r="R41" s="1928">
        <v>-69372.17622134625</v>
      </c>
      <c r="S41" s="1928">
        <v>-55459.418408300029</v>
      </c>
      <c r="T41" s="1928">
        <v>-57284.281785935338</v>
      </c>
      <c r="U41" s="1928">
        <v>-54356.431469457631</v>
      </c>
      <c r="V41" s="1928">
        <v>-41203.02322430606</v>
      </c>
      <c r="W41" s="1928">
        <v>-23407.335422951321</v>
      </c>
      <c r="X41" s="1928">
        <v>-42451.346241947438</v>
      </c>
      <c r="Y41" s="1928">
        <f t="shared" ref="Y41:AC41" si="11">ROUND(X41*Y39/X39,0)</f>
        <v>-47580</v>
      </c>
      <c r="Z41" s="1452">
        <f t="shared" si="11"/>
        <v>-49762</v>
      </c>
      <c r="AA41" s="1452">
        <f t="shared" si="11"/>
        <v>-51203</v>
      </c>
      <c r="AB41" s="1452">
        <f t="shared" si="11"/>
        <v>-52108</v>
      </c>
      <c r="AC41" s="1452">
        <f t="shared" si="11"/>
        <v>-53414</v>
      </c>
      <c r="AD41" s="1730"/>
      <c r="AE41" s="1730"/>
      <c r="AF41" s="1731"/>
      <c r="AG41" s="1731"/>
      <c r="AH41" s="1731"/>
      <c r="AI41" s="1723">
        <v>0</v>
      </c>
      <c r="AJ41" s="1723">
        <v>0</v>
      </c>
      <c r="AK41" s="1723">
        <v>0</v>
      </c>
      <c r="AL41" s="1723">
        <v>0</v>
      </c>
      <c r="AM41" s="1723">
        <v>0</v>
      </c>
      <c r="AN41" s="1723"/>
      <c r="AO41" s="1723"/>
      <c r="AP41" s="1723"/>
      <c r="AQ41" s="1453"/>
      <c r="AR41" s="1453"/>
      <c r="AS41" s="1453"/>
      <c r="AT41" s="1453"/>
      <c r="AU41" s="1454" t="s">
        <v>1540</v>
      </c>
    </row>
    <row r="42" spans="1:83" ht="14" customHeight="1">
      <c r="A42" s="1568"/>
      <c r="B42" s="1569" t="s">
        <v>1257</v>
      </c>
      <c r="C42" s="1570"/>
      <c r="D42" s="1569"/>
      <c r="E42" s="1569"/>
      <c r="F42" s="1569"/>
      <c r="G42" s="1571"/>
      <c r="H42" s="1927">
        <v>543525.15175355738</v>
      </c>
      <c r="I42" s="1927">
        <v>509391.3577556868</v>
      </c>
      <c r="J42" s="1927">
        <v>508400.92061680224</v>
      </c>
      <c r="K42" s="1927">
        <v>520503.65116387221</v>
      </c>
      <c r="L42" s="1927">
        <v>565799.40219228086</v>
      </c>
      <c r="M42" s="1927">
        <v>579374.4057388152</v>
      </c>
      <c r="N42" s="1928">
        <v>571594.15857204434</v>
      </c>
      <c r="O42" s="1928">
        <v>581762.00322469336</v>
      </c>
      <c r="P42" s="1928">
        <v>598271.82186881604</v>
      </c>
      <c r="Q42" s="1928">
        <v>608149.68947252806</v>
      </c>
      <c r="R42" s="1928">
        <v>626789.6614404571</v>
      </c>
      <c r="S42" s="1928">
        <v>635874.25267089915</v>
      </c>
      <c r="T42" s="1928">
        <v>655071.57366134599</v>
      </c>
      <c r="U42" s="1928">
        <v>676976.37667563721</v>
      </c>
      <c r="V42" s="1928">
        <v>651359.71147830377</v>
      </c>
      <c r="W42" s="1928">
        <v>687773.05058647855</v>
      </c>
      <c r="X42" s="1928">
        <v>703065.02952413796</v>
      </c>
      <c r="Y42" s="1928">
        <f t="shared" ref="Y42:AC42" si="12">X42</f>
        <v>703065.02952413796</v>
      </c>
      <c r="Z42" s="1447">
        <f t="shared" si="12"/>
        <v>703065.02952413796</v>
      </c>
      <c r="AA42" s="1452">
        <f t="shared" si="12"/>
        <v>703065.02952413796</v>
      </c>
      <c r="AB42" s="1452">
        <f t="shared" si="12"/>
        <v>703065.02952413796</v>
      </c>
      <c r="AC42" s="1452">
        <f t="shared" si="12"/>
        <v>703065.02952413796</v>
      </c>
      <c r="AD42" s="1731"/>
      <c r="AE42" s="1731"/>
      <c r="AF42" s="1731"/>
      <c r="AG42" s="1731"/>
      <c r="AH42" s="1731"/>
      <c r="AI42" s="1723">
        <v>0</v>
      </c>
      <c r="AJ42" s="1723">
        <v>0</v>
      </c>
      <c r="AK42" s="1723">
        <v>0</v>
      </c>
      <c r="AL42" s="1723">
        <v>0</v>
      </c>
      <c r="AM42" s="1723">
        <v>0</v>
      </c>
      <c r="AN42" s="1723"/>
      <c r="AO42" s="1723"/>
      <c r="AP42" s="1723"/>
      <c r="AQ42" s="1443"/>
      <c r="AR42" s="1443"/>
      <c r="AS42" s="1443"/>
      <c r="AT42" s="1443"/>
      <c r="AU42" s="1454" t="s">
        <v>1540</v>
      </c>
    </row>
    <row r="43" spans="1:83" ht="14" customHeight="1">
      <c r="A43" s="1577"/>
      <c r="B43" s="1569" t="s">
        <v>1698</v>
      </c>
      <c r="C43" s="1570">
        <v>-362900.66786487051</v>
      </c>
      <c r="D43" s="1569">
        <v>-577762.28165551496</v>
      </c>
      <c r="E43" s="1569">
        <v>-700619.88242141809</v>
      </c>
      <c r="F43" s="1569">
        <v>-966237.19542521937</v>
      </c>
      <c r="G43" s="1571">
        <v>-254939.97661673429</v>
      </c>
      <c r="H43" s="1437">
        <v>197873</v>
      </c>
      <c r="I43" s="1437">
        <v>329592</v>
      </c>
      <c r="J43" s="1437">
        <v>288694</v>
      </c>
      <c r="K43" s="1437">
        <v>-225623</v>
      </c>
      <c r="L43" s="1437">
        <v>246617</v>
      </c>
      <c r="M43" s="1760">
        <v>197873</v>
      </c>
      <c r="N43" s="1766">
        <v>329592</v>
      </c>
      <c r="O43" s="1760">
        <v>288694</v>
      </c>
      <c r="P43" s="1760">
        <v>-225623</v>
      </c>
      <c r="Q43" s="1760">
        <v>246617</v>
      </c>
      <c r="R43" s="1760">
        <v>-18168</v>
      </c>
      <c r="S43" s="1760">
        <v>-801019</v>
      </c>
      <c r="T43" s="1760">
        <v>-1222467</v>
      </c>
      <c r="U43" s="1760">
        <v>-1744410</v>
      </c>
      <c r="V43" s="1760">
        <v>-400927</v>
      </c>
      <c r="W43" s="1760">
        <v>-441186</v>
      </c>
      <c r="X43" s="1760">
        <v>-720687</v>
      </c>
      <c r="Y43" s="2247">
        <v>-726292</v>
      </c>
      <c r="Z43" s="1441">
        <f>Y43</f>
        <v>-726292</v>
      </c>
      <c r="AA43" s="1892">
        <f>SUM(AL43:AO43)</f>
        <v>-726292</v>
      </c>
      <c r="AB43" s="1441">
        <f>AA43</f>
        <v>-726292</v>
      </c>
      <c r="AC43" s="1441">
        <f>AB43</f>
        <v>-726292</v>
      </c>
      <c r="AD43" s="1449">
        <f>兵庫QE名目!O95</f>
        <v>-178147</v>
      </c>
      <c r="AE43" s="1449">
        <f>兵庫QE名目!O96</f>
        <v>-177730</v>
      </c>
      <c r="AF43" s="1449">
        <f>兵庫QE名目!O97</f>
        <v>-188933</v>
      </c>
      <c r="AG43" s="1449">
        <f>兵庫QE名目!O98</f>
        <v>-181482</v>
      </c>
      <c r="AH43" s="1449">
        <f>兵庫QE名目!O99</f>
        <v>-178147</v>
      </c>
      <c r="AI43" s="1449">
        <f>兵庫QE名目!O100</f>
        <v>-177730</v>
      </c>
      <c r="AJ43" s="1449">
        <f>兵庫QE名目!O101</f>
        <v>-188933</v>
      </c>
      <c r="AK43" s="1449">
        <f>兵庫QE名目!O102</f>
        <v>-181482</v>
      </c>
      <c r="AL43" s="1723">
        <f>兵庫QE名目!O103</f>
        <v>-178147</v>
      </c>
      <c r="AM43" s="1723">
        <f>兵庫QE名目!O104</f>
        <v>-177730</v>
      </c>
      <c r="AN43" s="1723">
        <f>兵庫QE名目!O105</f>
        <v>-188933</v>
      </c>
      <c r="AO43" s="1731">
        <f>ROUND(AK43*AR43,0)</f>
        <v>-181482</v>
      </c>
      <c r="AP43" s="1732">
        <v>1</v>
      </c>
      <c r="AQ43" s="1450">
        <v>1</v>
      </c>
      <c r="AR43" s="1450">
        <v>1</v>
      </c>
      <c r="AS43" s="1450">
        <v>1</v>
      </c>
      <c r="AT43" s="1450">
        <v>1</v>
      </c>
      <c r="AU43" s="1425" t="s">
        <v>1507</v>
      </c>
    </row>
    <row r="44" spans="1:83" ht="14" customHeight="1">
      <c r="A44" s="1581"/>
      <c r="B44" s="1582" t="s">
        <v>1258</v>
      </c>
      <c r="C44" s="1583">
        <v>20263967</v>
      </c>
      <c r="D44" s="1582">
        <v>19975742</v>
      </c>
      <c r="E44" s="1582">
        <v>19793033</v>
      </c>
      <c r="F44" s="1582">
        <v>20010092</v>
      </c>
      <c r="G44" s="1584">
        <v>20020257</v>
      </c>
      <c r="H44" s="1544">
        <v>19997123</v>
      </c>
      <c r="I44" s="1544">
        <v>19875506</v>
      </c>
      <c r="J44" s="1544">
        <v>20571143</v>
      </c>
      <c r="K44" s="1544">
        <v>20741145</v>
      </c>
      <c r="L44" s="1544">
        <v>21747193</v>
      </c>
      <c r="M44" s="1761">
        <v>19997123</v>
      </c>
      <c r="N44" s="1771">
        <v>19875506</v>
      </c>
      <c r="O44" s="1771">
        <v>20571143</v>
      </c>
      <c r="P44" s="1771">
        <v>20741145</v>
      </c>
      <c r="Q44" s="1771">
        <v>21747193</v>
      </c>
      <c r="R44" s="1771">
        <v>21965422</v>
      </c>
      <c r="S44" s="1771">
        <v>22283273</v>
      </c>
      <c r="T44" s="1771">
        <v>22237660</v>
      </c>
      <c r="U44" s="1771">
        <v>22472835</v>
      </c>
      <c r="V44" s="1771">
        <v>21896001</v>
      </c>
      <c r="W44" s="1771">
        <v>22596893</v>
      </c>
      <c r="X44" s="1771">
        <v>23362116</v>
      </c>
      <c r="Y44" s="1455">
        <v>23989541</v>
      </c>
      <c r="Z44" s="1456">
        <f t="shared" ref="Z44:AA44" si="13">Z6+Z22+Z26+Z38</f>
        <v>24764565</v>
      </c>
      <c r="AA44" s="1456">
        <f t="shared" si="13"/>
        <v>25682082.28163933</v>
      </c>
      <c r="AB44" s="1456">
        <f t="shared" ref="AB44:AC44" si="14">AB6+AB22+AB26+AB38</f>
        <v>26032430</v>
      </c>
      <c r="AC44" s="1456">
        <f t="shared" si="14"/>
        <v>26440930</v>
      </c>
      <c r="AD44" s="1455">
        <f t="shared" ref="AD44:AO44" si="15">AD6+AD22+AD26+AD38</f>
        <v>4388299</v>
      </c>
      <c r="AE44" s="1455">
        <f t="shared" si="15"/>
        <v>4352232</v>
      </c>
      <c r="AF44" s="1455">
        <f t="shared" si="15"/>
        <v>4539946</v>
      </c>
      <c r="AG44" s="1455">
        <f t="shared" si="15"/>
        <v>4406149</v>
      </c>
      <c r="AH44" s="1455">
        <f t="shared" si="15"/>
        <v>4489192</v>
      </c>
      <c r="AI44" s="1455">
        <f t="shared" si="15"/>
        <v>4463003</v>
      </c>
      <c r="AJ44" s="1455">
        <f t="shared" si="15"/>
        <v>4657264</v>
      </c>
      <c r="AK44" s="1455">
        <f t="shared" si="15"/>
        <v>4572797</v>
      </c>
      <c r="AL44" s="1455">
        <f t="shared" si="15"/>
        <v>4642515</v>
      </c>
      <c r="AM44" s="1455">
        <f t="shared" si="15"/>
        <v>4663595</v>
      </c>
      <c r="AN44" s="1455">
        <f t="shared" si="15"/>
        <v>4809265</v>
      </c>
      <c r="AO44" s="1455">
        <f t="shared" si="15"/>
        <v>4742365</v>
      </c>
      <c r="AP44" s="1733">
        <f>AH44/AD44</f>
        <v>1.0229913686373695</v>
      </c>
      <c r="AQ44" s="1457">
        <f>ｱｼﾞｱ太平洋研見通し!AG20</f>
        <v>1.0457111131673915</v>
      </c>
      <c r="AR44" s="1457">
        <f>ｱｼﾞｱ太平洋研見通し!AH20</f>
        <v>1.0386396484086955</v>
      </c>
      <c r="AS44" s="1457">
        <f>ｱｼﾞｱ太平洋研見通し!AI20</f>
        <v>1.0287867170268556</v>
      </c>
      <c r="AT44" s="1457">
        <f>ｱｼﾞｱ太平洋研見通し!AJ20</f>
        <v>1.0325542878174456</v>
      </c>
      <c r="AU44" s="1458" t="s">
        <v>1507</v>
      </c>
    </row>
    <row r="45" spans="1:83" ht="14" customHeight="1">
      <c r="A45" s="1568" t="s">
        <v>315</v>
      </c>
      <c r="B45" s="1585" t="s">
        <v>1575</v>
      </c>
      <c r="C45" s="1586">
        <v>1978853</v>
      </c>
      <c r="D45" s="1585">
        <v>1917671</v>
      </c>
      <c r="E45" s="1585">
        <v>1786287</v>
      </c>
      <c r="F45" s="1585">
        <v>1776368</v>
      </c>
      <c r="G45" s="1587">
        <v>1812644</v>
      </c>
      <c r="H45" s="1541">
        <v>1552836</v>
      </c>
      <c r="I45" s="1541">
        <v>1637650</v>
      </c>
      <c r="J45" s="1541">
        <v>1770985</v>
      </c>
      <c r="K45" s="1541">
        <v>1819070</v>
      </c>
      <c r="L45" s="1541">
        <v>1764378</v>
      </c>
      <c r="M45" s="1761">
        <v>1552836</v>
      </c>
      <c r="N45" s="1771">
        <v>1637650</v>
      </c>
      <c r="O45" s="1771">
        <v>1770985</v>
      </c>
      <c r="P45" s="1771">
        <v>1819070</v>
      </c>
      <c r="Q45" s="1771">
        <v>1764378</v>
      </c>
      <c r="R45" s="1771">
        <v>1568097</v>
      </c>
      <c r="S45" s="1771">
        <v>1595309</v>
      </c>
      <c r="T45" s="1771">
        <v>1716738</v>
      </c>
      <c r="U45" s="1771">
        <v>1735901</v>
      </c>
      <c r="V45" s="1771">
        <v>1490919</v>
      </c>
      <c r="W45" s="1761">
        <v>1463919</v>
      </c>
      <c r="X45" s="1761">
        <v>1642023</v>
      </c>
      <c r="Y45" s="1459">
        <v>1442278</v>
      </c>
      <c r="Z45" s="1459">
        <f>Z39+Z41+Z42</f>
        <v>23691914.029524136</v>
      </c>
      <c r="AA45" s="1459">
        <f>AA39+AA41+AA42</f>
        <v>24357789.029524136</v>
      </c>
      <c r="AB45" s="1475">
        <f>AB39+AB41+AB42</f>
        <v>24775650.029524136</v>
      </c>
      <c r="AC45" s="1475">
        <f>AC39+AC41+AC42</f>
        <v>25379031.029524136</v>
      </c>
      <c r="AD45" s="1459"/>
      <c r="AE45" s="1459"/>
      <c r="AF45" s="1459"/>
      <c r="AG45" s="1459"/>
      <c r="AH45" s="1459"/>
      <c r="AI45" s="1459"/>
      <c r="AJ45" s="1459"/>
      <c r="AK45" s="1459"/>
      <c r="AL45" s="1459"/>
      <c r="AM45" s="1459"/>
      <c r="AN45" s="1459"/>
      <c r="AO45" s="1459"/>
      <c r="AP45" s="1459"/>
      <c r="AQ45" s="1460"/>
      <c r="AR45" s="1460"/>
      <c r="AS45" s="1460"/>
      <c r="AT45" s="1460"/>
      <c r="AU45" s="1426"/>
    </row>
    <row r="46" spans="1:83" ht="12" customHeight="1">
      <c r="A46" s="1581" t="s">
        <v>316</v>
      </c>
      <c r="B46" s="1588" t="s">
        <v>1256</v>
      </c>
      <c r="C46" s="1589">
        <v>22242820</v>
      </c>
      <c r="D46" s="1588">
        <v>21893413</v>
      </c>
      <c r="E46" s="1588">
        <v>21579320</v>
      </c>
      <c r="F46" s="1588">
        <v>21786460</v>
      </c>
      <c r="G46" s="1590">
        <v>21832901</v>
      </c>
      <c r="H46" s="1543">
        <v>21549959</v>
      </c>
      <c r="I46" s="1543">
        <v>21513156</v>
      </c>
      <c r="J46" s="1543">
        <v>22342128</v>
      </c>
      <c r="K46" s="1543">
        <v>22560215</v>
      </c>
      <c r="L46" s="1543">
        <v>23511571</v>
      </c>
      <c r="M46" s="1769">
        <v>21549959</v>
      </c>
      <c r="N46" s="1770">
        <v>21513156</v>
      </c>
      <c r="O46" s="1770">
        <v>22342128</v>
      </c>
      <c r="P46" s="1770">
        <v>22560215</v>
      </c>
      <c r="Q46" s="1770">
        <v>23511571</v>
      </c>
      <c r="R46" s="1770">
        <v>23533519</v>
      </c>
      <c r="S46" s="1770">
        <v>23878582</v>
      </c>
      <c r="T46" s="1770">
        <v>23954398</v>
      </c>
      <c r="U46" s="1770">
        <v>24208736</v>
      </c>
      <c r="V46" s="1770">
        <v>23386920</v>
      </c>
      <c r="W46" s="1770">
        <v>24060812</v>
      </c>
      <c r="X46" s="1770">
        <v>25004139</v>
      </c>
      <c r="Y46" s="1447">
        <v>25431819</v>
      </c>
      <c r="Z46" s="1447"/>
      <c r="AA46" s="1447"/>
      <c r="AB46" s="1447"/>
      <c r="AC46" s="1447"/>
      <c r="AD46" s="1447"/>
      <c r="AE46" s="1447"/>
      <c r="AF46" s="1447"/>
      <c r="AG46" s="1447"/>
      <c r="AH46" s="1447"/>
      <c r="AI46" s="1447"/>
      <c r="AJ46" s="1447"/>
      <c r="AK46" s="1447"/>
      <c r="AL46" s="1447"/>
      <c r="AM46" s="1447"/>
      <c r="AN46" s="1447"/>
      <c r="AO46" s="1447"/>
      <c r="AP46" s="1447"/>
      <c r="AQ46" s="1461"/>
      <c r="AR46" s="1461"/>
      <c r="AS46" s="1461"/>
      <c r="AT46" s="1461"/>
      <c r="AU46" s="1426"/>
    </row>
    <row r="47" spans="1:83" ht="16.5" customHeight="1">
      <c r="A47" s="1425"/>
      <c r="B47" s="1425" t="s">
        <v>1299</v>
      </c>
      <c r="C47" s="1462">
        <f t="shared" ref="C47:U47" si="16">C6+C22+C26</f>
        <v>21317483</v>
      </c>
      <c r="D47" s="1462">
        <f t="shared" si="16"/>
        <v>20673845</v>
      </c>
      <c r="E47" s="1462">
        <f t="shared" si="16"/>
        <v>20543421</v>
      </c>
      <c r="F47" s="1462">
        <f t="shared" si="16"/>
        <v>20683582</v>
      </c>
      <c r="G47" s="1462">
        <f t="shared" si="16"/>
        <v>21017251</v>
      </c>
      <c r="H47" s="1462">
        <f t="shared" si="16"/>
        <v>21161256.516237933</v>
      </c>
      <c r="I47" s="1462">
        <f t="shared" si="16"/>
        <v>21222891.187202271</v>
      </c>
      <c r="J47" s="1462">
        <f t="shared" si="16"/>
        <v>21133177.634692512</v>
      </c>
      <c r="K47" s="1462">
        <f t="shared" si="16"/>
        <v>20096805.581803035</v>
      </c>
      <c r="L47" s="1462">
        <f t="shared" si="16"/>
        <v>20448738.985446569</v>
      </c>
      <c r="M47" s="1447">
        <f t="shared" si="16"/>
        <v>20507462</v>
      </c>
      <c r="N47" s="1447">
        <f t="shared" si="16"/>
        <v>20432286</v>
      </c>
      <c r="O47" s="1548">
        <f t="shared" si="16"/>
        <v>21199918</v>
      </c>
      <c r="P47" s="1548">
        <f t="shared" si="16"/>
        <v>21056892</v>
      </c>
      <c r="Q47" s="1548">
        <f t="shared" si="16"/>
        <v>21562430</v>
      </c>
      <c r="R47" s="1548">
        <f t="shared" si="16"/>
        <v>21346700</v>
      </c>
      <c r="S47" s="1548">
        <f t="shared" si="16"/>
        <v>21776083</v>
      </c>
      <c r="T47" s="1548">
        <f>T6+T22+T26</f>
        <v>21803670</v>
      </c>
      <c r="U47" s="1548">
        <f t="shared" si="16"/>
        <v>22231274</v>
      </c>
      <c r="V47" s="1548">
        <f>V6+V22+V26</f>
        <v>21107326</v>
      </c>
      <c r="W47" s="1548">
        <f t="shared" ref="W47:Y47" si="17">W6+W22+W26</f>
        <v>22104374</v>
      </c>
      <c r="X47" s="1548">
        <f t="shared" si="17"/>
        <v>23690016</v>
      </c>
      <c r="Y47" s="1591">
        <f t="shared" si="17"/>
        <v>23987440</v>
      </c>
      <c r="Z47" s="1559">
        <f t="shared" ref="Z47:AA47" si="18">Z6+Z22+Z26</f>
        <v>24661807</v>
      </c>
      <c r="AA47" s="1559">
        <f t="shared" si="18"/>
        <v>25473173.28163933</v>
      </c>
      <c r="AB47" s="1559">
        <f t="shared" ref="AB47:AC47" si="19">AB6+AB22+AB26</f>
        <v>25797667</v>
      </c>
      <c r="AC47" s="1559">
        <f t="shared" si="19"/>
        <v>26157727</v>
      </c>
      <c r="AD47" s="1463"/>
      <c r="AE47" s="1463"/>
      <c r="AF47" s="1463"/>
      <c r="AG47" s="1463"/>
      <c r="AH47" s="1463"/>
      <c r="AI47" s="1463"/>
      <c r="AJ47" s="1463"/>
      <c r="AK47" s="1463"/>
      <c r="AL47" s="1463"/>
      <c r="AM47" s="1463"/>
      <c r="AN47" s="1463"/>
      <c r="AO47" s="1463"/>
      <c r="AP47" s="1463"/>
      <c r="AQ47" s="1464"/>
      <c r="AR47" s="1464"/>
      <c r="AS47" s="1464"/>
      <c r="AT47" s="1464"/>
      <c r="AU47" s="1425"/>
    </row>
    <row r="48" spans="1:83" s="1424" customFormat="1" ht="16.5" customHeight="1">
      <c r="A48" s="1425"/>
      <c r="B48" s="1592" t="s">
        <v>1300</v>
      </c>
      <c r="C48" s="1465">
        <f t="shared" ref="C48:U48" si="20">C28+C36</f>
        <v>3450574</v>
      </c>
      <c r="D48" s="1465">
        <f t="shared" si="20"/>
        <v>3177229</v>
      </c>
      <c r="E48" s="1465">
        <f t="shared" si="20"/>
        <v>3223042</v>
      </c>
      <c r="F48" s="1465">
        <f t="shared" si="20"/>
        <v>3296549</v>
      </c>
      <c r="G48" s="1465">
        <f t="shared" si="20"/>
        <v>3508096</v>
      </c>
      <c r="H48" s="1465">
        <f t="shared" si="20"/>
        <v>4685496.1376403784</v>
      </c>
      <c r="I48" s="1465">
        <f t="shared" si="20"/>
        <v>4661370.8983005537</v>
      </c>
      <c r="J48" s="1465">
        <f t="shared" si="20"/>
        <v>4716469.1905586673</v>
      </c>
      <c r="K48" s="1465">
        <f t="shared" si="20"/>
        <v>3647248.207503743</v>
      </c>
      <c r="L48" s="1465">
        <f t="shared" si="20"/>
        <v>3950777.2338317083</v>
      </c>
      <c r="M48" s="1465">
        <f t="shared" si="20"/>
        <v>4084942</v>
      </c>
      <c r="N48" s="1465">
        <f t="shared" si="20"/>
        <v>3984129</v>
      </c>
      <c r="O48" s="1593">
        <f t="shared" si="20"/>
        <v>4246262</v>
      </c>
      <c r="P48" s="1593">
        <f t="shared" si="20"/>
        <v>4239114</v>
      </c>
      <c r="Q48" s="1593">
        <f t="shared" si="20"/>
        <v>4531356</v>
      </c>
      <c r="R48" s="1593">
        <f t="shared" si="20"/>
        <v>4386665</v>
      </c>
      <c r="S48" s="1593">
        <f t="shared" si="20"/>
        <v>4557515</v>
      </c>
      <c r="T48" s="1593">
        <f t="shared" si="20"/>
        <v>4565462</v>
      </c>
      <c r="U48" s="1593">
        <f t="shared" si="20"/>
        <v>4704361</v>
      </c>
      <c r="V48" s="1593">
        <f t="shared" ref="V48:X48" si="21">V28+V36</f>
        <v>4083779</v>
      </c>
      <c r="W48" s="1593">
        <f t="shared" si="21"/>
        <v>4426015</v>
      </c>
      <c r="X48" s="1593">
        <f t="shared" si="21"/>
        <v>5219536</v>
      </c>
      <c r="Y48" s="1593">
        <f t="shared" ref="Y48" si="22">Y28+Y36</f>
        <v>5416280</v>
      </c>
      <c r="Z48" s="1594">
        <f t="shared" ref="Z48:AA48" si="23">Z28+Z36</f>
        <v>5574619</v>
      </c>
      <c r="AA48" s="1594">
        <f t="shared" si="23"/>
        <v>5798859.281639331</v>
      </c>
      <c r="AB48" s="1594">
        <f t="shared" ref="AB48:AC48" si="24">AB28+AB36</f>
        <v>5928738</v>
      </c>
      <c r="AC48" s="1594">
        <f t="shared" si="24"/>
        <v>6075107</v>
      </c>
      <c r="AD48" s="1466"/>
      <c r="AE48" s="1466"/>
      <c r="AF48" s="1466"/>
      <c r="AG48" s="1466"/>
      <c r="AH48" s="1466"/>
      <c r="AI48" s="1466"/>
      <c r="AJ48" s="1466"/>
      <c r="AK48" s="1466"/>
      <c r="AL48" s="1466"/>
      <c r="AM48" s="1466"/>
      <c r="AN48" s="1466"/>
      <c r="AO48" s="1466"/>
      <c r="AP48" s="1466"/>
      <c r="AQ48" s="1425"/>
      <c r="AR48" s="1425"/>
      <c r="AS48" s="1425"/>
      <c r="AT48" s="1425"/>
      <c r="AU48" s="1425"/>
      <c r="AV48" s="1429"/>
      <c r="AW48" s="1429"/>
      <c r="AX48" s="1429"/>
      <c r="AY48" s="1429"/>
      <c r="AZ48" s="1429"/>
      <c r="BA48" s="1429"/>
      <c r="BB48" s="1429"/>
      <c r="BC48" s="1429"/>
      <c r="BD48" s="1429"/>
      <c r="BE48" s="1429"/>
      <c r="BF48" s="1429"/>
      <c r="BG48" s="1429"/>
      <c r="BH48" s="1429"/>
      <c r="BI48" s="1429"/>
      <c r="BJ48" s="1429"/>
      <c r="BK48" s="1429"/>
      <c r="BL48" s="1429"/>
      <c r="BM48" s="1429"/>
      <c r="BN48" s="1429"/>
      <c r="BO48" s="1429"/>
      <c r="BP48" s="1429"/>
      <c r="BQ48" s="1429"/>
      <c r="BR48" s="1429"/>
      <c r="BS48" s="1429"/>
      <c r="BT48" s="1429"/>
      <c r="BU48" s="1429"/>
      <c r="BV48" s="1429"/>
      <c r="BW48" s="1429"/>
      <c r="BX48" s="1429"/>
      <c r="BY48" s="1429"/>
      <c r="BZ48" s="1429"/>
      <c r="CA48" s="1429"/>
      <c r="CB48" s="1429"/>
      <c r="CC48" s="1429"/>
      <c r="CD48" s="1429"/>
      <c r="CE48" s="1429"/>
    </row>
    <row r="49" spans="1:47">
      <c r="A49" s="1425"/>
      <c r="B49" s="1425" t="s">
        <v>1301</v>
      </c>
      <c r="C49" s="1447">
        <f t="shared" ref="C49:U49" si="25">C31+C37</f>
        <v>1371370</v>
      </c>
      <c r="D49" s="1447">
        <f t="shared" si="25"/>
        <v>1156992</v>
      </c>
      <c r="E49" s="1447">
        <f t="shared" si="25"/>
        <v>1007515</v>
      </c>
      <c r="F49" s="1447">
        <f t="shared" si="25"/>
        <v>962717</v>
      </c>
      <c r="G49" s="1447">
        <f t="shared" si="25"/>
        <v>965560</v>
      </c>
      <c r="H49" s="1447">
        <f t="shared" si="25"/>
        <v>816818.51852516376</v>
      </c>
      <c r="I49" s="1447">
        <f t="shared" si="25"/>
        <v>689721.28567955666</v>
      </c>
      <c r="J49" s="1447">
        <f t="shared" si="25"/>
        <v>676501.71112575324</v>
      </c>
      <c r="K49" s="1447">
        <f t="shared" si="25"/>
        <v>774621.91339113994</v>
      </c>
      <c r="L49" s="1447">
        <f t="shared" si="25"/>
        <v>801192.93264875666</v>
      </c>
      <c r="M49" s="1447">
        <f t="shared" si="25"/>
        <v>642185</v>
      </c>
      <c r="N49" s="1447">
        <f t="shared" si="25"/>
        <v>683320</v>
      </c>
      <c r="O49" s="1548">
        <f t="shared" si="25"/>
        <v>818032</v>
      </c>
      <c r="P49" s="1548">
        <f t="shared" si="25"/>
        <v>771900</v>
      </c>
      <c r="Q49" s="1548">
        <f t="shared" si="25"/>
        <v>771815</v>
      </c>
      <c r="R49" s="1548">
        <f t="shared" si="25"/>
        <v>776243</v>
      </c>
      <c r="S49" s="1548">
        <f t="shared" si="25"/>
        <v>799770</v>
      </c>
      <c r="T49" s="1548">
        <f t="shared" si="25"/>
        <v>731309</v>
      </c>
      <c r="U49" s="1548">
        <f t="shared" si="25"/>
        <v>902611</v>
      </c>
      <c r="V49" s="1548">
        <f>V31+V37</f>
        <v>975369</v>
      </c>
      <c r="W49" s="1548">
        <f t="shared" ref="W49:X49" si="26">W31+W37</f>
        <v>992608</v>
      </c>
      <c r="X49" s="1548">
        <f t="shared" si="26"/>
        <v>959307</v>
      </c>
      <c r="Y49" s="1548">
        <f t="shared" ref="Y49" si="27">Y31+Y37</f>
        <v>884533</v>
      </c>
      <c r="Z49" s="1448">
        <f t="shared" ref="Z49:AA49" si="28">Z31+Z37</f>
        <v>904932</v>
      </c>
      <c r="AA49" s="1448">
        <f t="shared" si="28"/>
        <v>816574</v>
      </c>
      <c r="AB49" s="1448">
        <f t="shared" ref="AB49:AC49" si="29">AB31+AB37</f>
        <v>814797</v>
      </c>
      <c r="AC49" s="1448">
        <f t="shared" si="29"/>
        <v>824700</v>
      </c>
      <c r="AD49" s="1426"/>
      <c r="AE49" s="1426"/>
      <c r="AF49" s="1426"/>
      <c r="AG49" s="1426"/>
      <c r="AH49" s="1426"/>
      <c r="AI49" s="1426"/>
      <c r="AJ49" s="1426"/>
      <c r="AK49" s="1426"/>
      <c r="AL49" s="1426"/>
      <c r="AM49" s="1426"/>
      <c r="AN49" s="1426"/>
      <c r="AO49" s="1426"/>
      <c r="AP49" s="1426"/>
      <c r="AQ49" s="1425"/>
      <c r="AR49" s="1425"/>
      <c r="AS49" s="1425"/>
      <c r="AT49" s="1425"/>
      <c r="AU49" s="1425"/>
    </row>
    <row r="50" spans="1:47">
      <c r="A50" s="1425"/>
      <c r="B50" s="1550" t="s">
        <v>1296</v>
      </c>
      <c r="C50" s="1468">
        <f t="shared" ref="C50:O50" si="30">C48+C49</f>
        <v>4821944</v>
      </c>
      <c r="D50" s="1468">
        <f t="shared" si="30"/>
        <v>4334221</v>
      </c>
      <c r="E50" s="1468">
        <f t="shared" si="30"/>
        <v>4230557</v>
      </c>
      <c r="F50" s="1468">
        <f t="shared" si="30"/>
        <v>4259266</v>
      </c>
      <c r="G50" s="1468">
        <f t="shared" si="30"/>
        <v>4473656</v>
      </c>
      <c r="H50" s="1468">
        <f t="shared" si="30"/>
        <v>5502314.6561655421</v>
      </c>
      <c r="I50" s="1468">
        <f t="shared" si="30"/>
        <v>5351092.1839801101</v>
      </c>
      <c r="J50" s="1468">
        <f t="shared" si="30"/>
        <v>5392970.9016844202</v>
      </c>
      <c r="K50" s="1468">
        <f t="shared" si="30"/>
        <v>4421870.1208948828</v>
      </c>
      <c r="L50" s="1468">
        <f t="shared" si="30"/>
        <v>4751970.1664804649</v>
      </c>
      <c r="M50" s="1468">
        <f t="shared" si="30"/>
        <v>4727127</v>
      </c>
      <c r="N50" s="1468">
        <f t="shared" si="30"/>
        <v>4667449</v>
      </c>
      <c r="O50" s="1595">
        <f t="shared" si="30"/>
        <v>5064294</v>
      </c>
      <c r="P50" s="1595">
        <f t="shared" ref="P50:U50" si="31">P48+P49</f>
        <v>5011014</v>
      </c>
      <c r="Q50" s="1595">
        <f t="shared" si="31"/>
        <v>5303171</v>
      </c>
      <c r="R50" s="1595">
        <f t="shared" si="31"/>
        <v>5162908</v>
      </c>
      <c r="S50" s="1595">
        <f t="shared" si="31"/>
        <v>5357285</v>
      </c>
      <c r="T50" s="1595">
        <f t="shared" si="31"/>
        <v>5296771</v>
      </c>
      <c r="U50" s="1595">
        <f t="shared" si="31"/>
        <v>5606972</v>
      </c>
      <c r="V50" s="1595">
        <f>V48+V49</f>
        <v>5059148</v>
      </c>
      <c r="W50" s="1548">
        <f t="shared" ref="W50:X50" si="32">W48+W49</f>
        <v>5418623</v>
      </c>
      <c r="X50" s="1548">
        <f t="shared" si="32"/>
        <v>6178843</v>
      </c>
      <c r="Y50" s="1548">
        <f t="shared" ref="Y50" si="33">Y48+Y49</f>
        <v>6300813</v>
      </c>
      <c r="Z50" s="1448">
        <f t="shared" ref="Z50:AA50" si="34">Z48+Z49</f>
        <v>6479551</v>
      </c>
      <c r="AA50" s="1448">
        <f t="shared" si="34"/>
        <v>6615433.281639331</v>
      </c>
      <c r="AB50" s="1448">
        <f t="shared" ref="AB50:AC50" si="35">AB48+AB49</f>
        <v>6743535</v>
      </c>
      <c r="AC50" s="1448">
        <f t="shared" si="35"/>
        <v>6899807</v>
      </c>
      <c r="AD50" s="1426"/>
      <c r="AE50" s="1426"/>
      <c r="AF50" s="1426"/>
      <c r="AG50" s="1426"/>
      <c r="AH50" s="1426"/>
      <c r="AI50" s="1426"/>
      <c r="AJ50" s="1426"/>
      <c r="AK50" s="1426"/>
      <c r="AL50" s="1426"/>
      <c r="AM50" s="1426"/>
      <c r="AN50" s="1426"/>
      <c r="AO50" s="1426"/>
      <c r="AP50" s="1426"/>
      <c r="AQ50" s="1425"/>
      <c r="AR50" s="1425"/>
      <c r="AS50" s="1425"/>
      <c r="AT50" s="1425"/>
      <c r="AU50" s="1425"/>
    </row>
    <row r="51" spans="1:47">
      <c r="A51" s="1425"/>
      <c r="B51" s="1554" t="s">
        <v>1291</v>
      </c>
      <c r="C51" s="1462"/>
      <c r="D51" s="1462"/>
      <c r="E51" s="1462"/>
      <c r="F51" s="1462"/>
      <c r="G51" s="1462"/>
      <c r="H51" s="1435">
        <v>1092708.3781000245</v>
      </c>
      <c r="I51" s="1435">
        <v>990282.59612543683</v>
      </c>
      <c r="J51" s="1435">
        <v>1068053.5774981254</v>
      </c>
      <c r="K51" s="1435">
        <v>1017404.934036789</v>
      </c>
      <c r="L51" s="1435">
        <v>1063511.0649728787</v>
      </c>
      <c r="M51" s="1435">
        <v>1047785.6283236158</v>
      </c>
      <c r="N51" s="1435">
        <v>941825.21494744904</v>
      </c>
      <c r="O51" s="1435">
        <v>896869.69100724685</v>
      </c>
      <c r="P51" s="1435">
        <v>960532.37308112287</v>
      </c>
      <c r="Q51" s="1435">
        <v>860673.10399712052</v>
      </c>
      <c r="R51" s="1435">
        <v>976436.25221584854</v>
      </c>
      <c r="S51" s="1435">
        <v>996863.0329342878</v>
      </c>
      <c r="T51" s="1435">
        <v>964337.62312521506</v>
      </c>
      <c r="U51" s="1435">
        <v>954072.83456207975</v>
      </c>
      <c r="V51" s="1435">
        <v>850222.84366443846</v>
      </c>
      <c r="W51" s="1541">
        <f>V51</f>
        <v>850222.84366443846</v>
      </c>
      <c r="X51" s="1541">
        <f t="shared" ref="X51:AC51" si="36">W51</f>
        <v>850222.84366443846</v>
      </c>
      <c r="Y51" s="1596">
        <f t="shared" si="36"/>
        <v>850222.84366443846</v>
      </c>
      <c r="Z51" s="1596">
        <f t="shared" si="36"/>
        <v>850222.84366443846</v>
      </c>
      <c r="AA51" s="1596">
        <f t="shared" si="36"/>
        <v>850222.84366443846</v>
      </c>
      <c r="AB51" s="1596">
        <f t="shared" si="36"/>
        <v>850222.84366443846</v>
      </c>
      <c r="AC51" s="1596">
        <f t="shared" si="36"/>
        <v>850222.84366443846</v>
      </c>
      <c r="AD51" s="1469"/>
      <c r="AE51" s="1469"/>
      <c r="AF51" s="1469"/>
      <c r="AG51" s="1469"/>
      <c r="AH51" s="1469"/>
      <c r="AI51" s="1469"/>
      <c r="AJ51" s="1469"/>
      <c r="AK51" s="1469"/>
      <c r="AL51" s="1469"/>
      <c r="AM51" s="1469"/>
      <c r="AN51" s="1469"/>
      <c r="AO51" s="1469"/>
      <c r="AP51" s="1469"/>
      <c r="AQ51" s="1425"/>
      <c r="AR51" s="1425"/>
      <c r="AS51" s="1425"/>
      <c r="AT51" s="1425"/>
      <c r="AU51" s="1425"/>
    </row>
    <row r="52" spans="1:47">
      <c r="A52" s="1425"/>
      <c r="B52" s="1425" t="s">
        <v>1292</v>
      </c>
      <c r="C52" s="1447"/>
      <c r="D52" s="1447"/>
      <c r="E52" s="1447"/>
      <c r="F52" s="1447"/>
      <c r="G52" s="1447"/>
      <c r="H52" s="1440">
        <v>1733154.6112378645</v>
      </c>
      <c r="I52" s="1440">
        <v>1741173.8718435811</v>
      </c>
      <c r="J52" s="1440">
        <v>1661653.436164889</v>
      </c>
      <c r="K52" s="1440">
        <v>1339995.85965834</v>
      </c>
      <c r="L52" s="1440">
        <v>1407811.2146417438</v>
      </c>
      <c r="M52" s="1440">
        <v>1446949.5766118187</v>
      </c>
      <c r="N52" s="1440">
        <v>1469609.3930093152</v>
      </c>
      <c r="O52" s="1440">
        <v>1633380.2682248056</v>
      </c>
      <c r="P52" s="1440">
        <v>1673011.626589285</v>
      </c>
      <c r="Q52" s="1440">
        <v>1733074.5870921405</v>
      </c>
      <c r="R52" s="1440">
        <v>1697839.5419870056</v>
      </c>
      <c r="S52" s="1440">
        <v>1792218.6890673144</v>
      </c>
      <c r="T52" s="1440">
        <v>1811597.277179616</v>
      </c>
      <c r="U52" s="1440">
        <v>1841012.0417553552</v>
      </c>
      <c r="V52" s="1440">
        <v>1750487.3023461848</v>
      </c>
      <c r="W52" s="1437">
        <f t="shared" ref="W52:AC55" si="37">V52</f>
        <v>1750487.3023461848</v>
      </c>
      <c r="X52" s="1437">
        <f t="shared" si="37"/>
        <v>1750487.3023461848</v>
      </c>
      <c r="Y52" s="1441">
        <f t="shared" si="37"/>
        <v>1750487.3023461848</v>
      </c>
      <c r="Z52" s="1441">
        <f t="shared" si="37"/>
        <v>1750487.3023461848</v>
      </c>
      <c r="AA52" s="1441">
        <f t="shared" si="37"/>
        <v>1750487.3023461848</v>
      </c>
      <c r="AB52" s="1441">
        <f t="shared" si="37"/>
        <v>1750487.3023461848</v>
      </c>
      <c r="AC52" s="1441">
        <f t="shared" si="37"/>
        <v>1750487.3023461848</v>
      </c>
      <c r="AD52" s="1425"/>
      <c r="AE52" s="1425"/>
      <c r="AF52" s="1425"/>
      <c r="AG52" s="1425"/>
      <c r="AH52" s="1425"/>
      <c r="AI52" s="1425"/>
      <c r="AJ52" s="1425"/>
      <c r="AK52" s="1425"/>
      <c r="AL52" s="1425"/>
      <c r="AM52" s="1425"/>
      <c r="AN52" s="1425"/>
      <c r="AO52" s="1425"/>
      <c r="AP52" s="1425"/>
      <c r="AQ52" s="1425"/>
      <c r="AR52" s="1425"/>
      <c r="AS52" s="1425"/>
      <c r="AT52" s="1425"/>
      <c r="AU52" s="1425"/>
    </row>
    <row r="53" spans="1:47">
      <c r="A53" s="1425"/>
      <c r="B53" s="1425" t="s">
        <v>1293</v>
      </c>
      <c r="C53" s="1447"/>
      <c r="D53" s="1447"/>
      <c r="E53" s="1447"/>
      <c r="F53" s="1447"/>
      <c r="G53" s="1447"/>
      <c r="H53" s="1440">
        <v>2134.739963546042</v>
      </c>
      <c r="I53" s="1440">
        <v>2124.7353282246904</v>
      </c>
      <c r="J53" s="1440">
        <v>1825.6245351325038</v>
      </c>
      <c r="K53" s="1440">
        <v>1733.4801841306814</v>
      </c>
      <c r="L53" s="1440">
        <v>1698.5730738164061</v>
      </c>
      <c r="M53" s="1440">
        <v>1591.9189500184343</v>
      </c>
      <c r="N53" s="1440">
        <v>1598.3530435457267</v>
      </c>
      <c r="O53" s="1440">
        <v>1529.8678217473564</v>
      </c>
      <c r="P53" s="1440">
        <v>1654.6575293743576</v>
      </c>
      <c r="Q53" s="1440">
        <v>1662.9922705177225</v>
      </c>
      <c r="R53" s="1440">
        <v>1816.7357788037591</v>
      </c>
      <c r="S53" s="1440">
        <v>2072.1702011227135</v>
      </c>
      <c r="T53" s="1440">
        <v>2025.2841206288779</v>
      </c>
      <c r="U53" s="1440">
        <v>2007.3370073851947</v>
      </c>
      <c r="V53" s="1440">
        <v>1947.5904668234311</v>
      </c>
      <c r="W53" s="1437">
        <f t="shared" si="37"/>
        <v>1947.5904668234311</v>
      </c>
      <c r="X53" s="1437">
        <f t="shared" si="37"/>
        <v>1947.5904668234311</v>
      </c>
      <c r="Y53" s="1441">
        <f t="shared" si="37"/>
        <v>1947.5904668234311</v>
      </c>
      <c r="Z53" s="1441">
        <f t="shared" si="37"/>
        <v>1947.5904668234311</v>
      </c>
      <c r="AA53" s="1441">
        <f t="shared" si="37"/>
        <v>1947.5904668234311</v>
      </c>
      <c r="AB53" s="1441">
        <f t="shared" si="37"/>
        <v>1947.5904668234311</v>
      </c>
      <c r="AC53" s="1441">
        <f t="shared" si="37"/>
        <v>1947.5904668234311</v>
      </c>
      <c r="AD53" s="1470"/>
      <c r="AE53" s="1470"/>
      <c r="AF53" s="1470"/>
      <c r="AG53" s="1470"/>
      <c r="AH53" s="1470"/>
      <c r="AI53" s="1470"/>
      <c r="AJ53" s="1470"/>
      <c r="AK53" s="1470"/>
      <c r="AL53" s="1470"/>
      <c r="AM53" s="1470"/>
      <c r="AN53" s="1470"/>
      <c r="AO53" s="1470"/>
      <c r="AP53" s="1470"/>
      <c r="AQ53" s="1425"/>
      <c r="AR53" s="1425"/>
      <c r="AS53" s="1425"/>
      <c r="AT53" s="1425"/>
      <c r="AU53" s="1425"/>
    </row>
    <row r="54" spans="1:47">
      <c r="A54" s="1425"/>
      <c r="B54" s="1425" t="s">
        <v>1294</v>
      </c>
      <c r="C54" s="1447"/>
      <c r="D54" s="1447"/>
      <c r="E54" s="1447"/>
      <c r="F54" s="1447"/>
      <c r="G54" s="1447"/>
      <c r="H54" s="1440">
        <v>927759.16105255671</v>
      </c>
      <c r="I54" s="1440">
        <v>965336.12233622139</v>
      </c>
      <c r="J54" s="1440">
        <v>964363.90964555647</v>
      </c>
      <c r="K54" s="1440">
        <v>865342.72585820756</v>
      </c>
      <c r="L54" s="1440">
        <v>907934.1253968844</v>
      </c>
      <c r="M54" s="1440">
        <v>888924.03774132975</v>
      </c>
      <c r="N54" s="1440">
        <v>889235.596696847</v>
      </c>
      <c r="O54" s="1440">
        <v>948628.20129008009</v>
      </c>
      <c r="P54" s="1440">
        <v>972232.54215588374</v>
      </c>
      <c r="Q54" s="1440">
        <v>1005742.483879569</v>
      </c>
      <c r="R54" s="1440">
        <v>1002542.0562049027</v>
      </c>
      <c r="S54" s="1440">
        <v>1011298.1594403491</v>
      </c>
      <c r="T54" s="1440">
        <v>1022714.6811140148</v>
      </c>
      <c r="U54" s="1440">
        <v>1022275.4731314146</v>
      </c>
      <c r="V54" s="1440">
        <v>1000441.8577737005</v>
      </c>
      <c r="W54" s="1437">
        <f t="shared" si="37"/>
        <v>1000441.8577737005</v>
      </c>
      <c r="X54" s="1437">
        <f t="shared" si="37"/>
        <v>1000441.8577737005</v>
      </c>
      <c r="Y54" s="1441">
        <f t="shared" si="37"/>
        <v>1000441.8577737005</v>
      </c>
      <c r="Z54" s="1441">
        <f t="shared" si="37"/>
        <v>1000441.8577737005</v>
      </c>
      <c r="AA54" s="1441">
        <f t="shared" si="37"/>
        <v>1000441.8577737005</v>
      </c>
      <c r="AB54" s="1441">
        <f t="shared" si="37"/>
        <v>1000441.8577737005</v>
      </c>
      <c r="AC54" s="1441">
        <f t="shared" si="37"/>
        <v>1000441.8577737005</v>
      </c>
      <c r="AD54" s="1470"/>
      <c r="AE54" s="1470"/>
      <c r="AF54" s="1470"/>
      <c r="AG54" s="1470"/>
      <c r="AH54" s="1470"/>
      <c r="AI54" s="1470"/>
      <c r="AJ54" s="1470"/>
      <c r="AK54" s="1470"/>
      <c r="AL54" s="1470"/>
      <c r="AM54" s="1470"/>
      <c r="AN54" s="1470"/>
      <c r="AO54" s="1470"/>
      <c r="AP54" s="1470"/>
      <c r="AQ54" s="1425"/>
      <c r="AR54" s="1425"/>
      <c r="AS54" s="1425"/>
      <c r="AT54" s="1425"/>
      <c r="AU54" s="1425"/>
    </row>
    <row r="55" spans="1:47">
      <c r="A55" s="1425"/>
      <c r="B55" s="1425" t="s">
        <v>1295</v>
      </c>
      <c r="C55" s="1447"/>
      <c r="D55" s="1447"/>
      <c r="E55" s="1447"/>
      <c r="F55" s="1447"/>
      <c r="G55" s="1447"/>
      <c r="H55" s="1440">
        <v>3741.911362413583</v>
      </c>
      <c r="I55" s="1440">
        <v>3596.2746164431146</v>
      </c>
      <c r="J55" s="1440">
        <v>3514.7142450575834</v>
      </c>
      <c r="K55" s="1440">
        <v>3405.7731824811108</v>
      </c>
      <c r="L55" s="1440">
        <v>3559.6258679253365</v>
      </c>
      <c r="M55" s="1440">
        <v>3439.4009995118008</v>
      </c>
      <c r="N55" s="1440">
        <v>3206.9219461678681</v>
      </c>
      <c r="O55" s="1440">
        <v>3012.1070483435092</v>
      </c>
      <c r="P55" s="1440">
        <v>2871.047047657577</v>
      </c>
      <c r="Q55" s="1440">
        <v>2504.5549665698591</v>
      </c>
      <c r="R55" s="1440">
        <v>2493.5784932245065</v>
      </c>
      <c r="S55" s="1440">
        <v>2314.55471471079</v>
      </c>
      <c r="T55" s="1440">
        <v>2225.3189692179963</v>
      </c>
      <c r="U55" s="1440">
        <v>2239.6505542700288</v>
      </c>
      <c r="V55" s="1440">
        <v>2084.5785720030926</v>
      </c>
      <c r="W55" s="1437">
        <f t="shared" si="37"/>
        <v>2084.5785720030926</v>
      </c>
      <c r="X55" s="1437">
        <f t="shared" si="37"/>
        <v>2084.5785720030926</v>
      </c>
      <c r="Y55" s="1441">
        <f t="shared" si="37"/>
        <v>2084.5785720030926</v>
      </c>
      <c r="Z55" s="1441">
        <f t="shared" si="37"/>
        <v>2084.5785720030926</v>
      </c>
      <c r="AA55" s="1441">
        <f t="shared" si="37"/>
        <v>2084.5785720030926</v>
      </c>
      <c r="AB55" s="1441">
        <f t="shared" si="37"/>
        <v>2084.5785720030926</v>
      </c>
      <c r="AC55" s="1441">
        <f t="shared" si="37"/>
        <v>2084.5785720030926</v>
      </c>
      <c r="AD55" s="1470"/>
      <c r="AE55" s="1470"/>
      <c r="AF55" s="1470"/>
      <c r="AG55" s="1470"/>
      <c r="AH55" s="1470"/>
      <c r="AI55" s="1470"/>
      <c r="AJ55" s="1470"/>
      <c r="AK55" s="1470"/>
      <c r="AL55" s="1470"/>
      <c r="AM55" s="1470"/>
      <c r="AN55" s="1470"/>
      <c r="AO55" s="1470"/>
      <c r="AP55" s="1470"/>
      <c r="AQ55" s="1425"/>
      <c r="AR55" s="1425"/>
      <c r="AS55" s="1425"/>
      <c r="AT55" s="1425"/>
      <c r="AU55" s="1425"/>
    </row>
    <row r="56" spans="1:47">
      <c r="A56" s="1425"/>
      <c r="B56" s="1425" t="s">
        <v>1296</v>
      </c>
      <c r="C56" s="1447"/>
      <c r="D56" s="1447"/>
      <c r="E56" s="1447"/>
      <c r="F56" s="1447"/>
      <c r="G56" s="1447"/>
      <c r="H56" s="1447">
        <f>SUM(H51:H55)</f>
        <v>3759498.8017164054</v>
      </c>
      <c r="I56" s="1447">
        <f t="shared" ref="I56:U56" si="38">SUM(I51:I55)</f>
        <v>3702513.600249907</v>
      </c>
      <c r="J56" s="1447">
        <f t="shared" si="38"/>
        <v>3699411.2620887612</v>
      </c>
      <c r="K56" s="1447">
        <f t="shared" si="38"/>
        <v>3227882.7729199487</v>
      </c>
      <c r="L56" s="1447">
        <f t="shared" si="38"/>
        <v>3384514.6039532488</v>
      </c>
      <c r="M56" s="1447">
        <f t="shared" si="38"/>
        <v>3388690.5626262939</v>
      </c>
      <c r="N56" s="1447">
        <f t="shared" si="38"/>
        <v>3305475.4796433249</v>
      </c>
      <c r="O56" s="1447">
        <f t="shared" si="38"/>
        <v>3483420.135392223</v>
      </c>
      <c r="P56" s="1447">
        <f t="shared" si="38"/>
        <v>3610302.2464033235</v>
      </c>
      <c r="Q56" s="1447">
        <f t="shared" si="38"/>
        <v>3603657.7222059174</v>
      </c>
      <c r="R56" s="1447">
        <f t="shared" si="38"/>
        <v>3681128.1646797853</v>
      </c>
      <c r="S56" s="1447">
        <f t="shared" si="38"/>
        <v>3804766.6063577845</v>
      </c>
      <c r="T56" s="1447">
        <f t="shared" si="38"/>
        <v>3802900.1845086929</v>
      </c>
      <c r="U56" s="1447">
        <f t="shared" si="38"/>
        <v>3821607.3370105047</v>
      </c>
      <c r="V56" s="1447">
        <f>SUM(V51:V55)</f>
        <v>3605184.1728231506</v>
      </c>
      <c r="W56" s="1468">
        <f t="shared" ref="W56:Y56" si="39">SUM(W51:W55)</f>
        <v>3605184.1728231506</v>
      </c>
      <c r="X56" s="1468">
        <f t="shared" si="39"/>
        <v>3605184.1728231506</v>
      </c>
      <c r="Y56" s="1468">
        <f t="shared" si="39"/>
        <v>3605184.1728231506</v>
      </c>
      <c r="Z56" s="1468">
        <f t="shared" ref="Z56:AA56" si="40">SUM(Z51:Z55)</f>
        <v>3605184.1728231506</v>
      </c>
      <c r="AA56" s="1468">
        <f t="shared" si="40"/>
        <v>3605184.1728231506</v>
      </c>
      <c r="AB56" s="1468">
        <f t="shared" ref="AB56:AC56" si="41">SUM(AB51:AB55)</f>
        <v>3605184.1728231506</v>
      </c>
      <c r="AC56" s="1468">
        <f t="shared" si="41"/>
        <v>3605184.1728231506</v>
      </c>
      <c r="AD56" s="1470"/>
      <c r="AE56" s="1470"/>
      <c r="AF56" s="1470"/>
      <c r="AG56" s="1470"/>
      <c r="AH56" s="1470"/>
      <c r="AI56" s="1470"/>
      <c r="AJ56" s="1470"/>
      <c r="AK56" s="1470"/>
      <c r="AL56" s="1470"/>
      <c r="AM56" s="1470"/>
      <c r="AN56" s="1470"/>
      <c r="AO56" s="1470"/>
      <c r="AP56" s="1470"/>
      <c r="AQ56" s="1425"/>
      <c r="AR56" s="1425"/>
      <c r="AS56" s="1425"/>
      <c r="AT56" s="1425"/>
      <c r="AU56" s="1425"/>
    </row>
    <row r="57" spans="1:47">
      <c r="A57" s="1425"/>
      <c r="B57" s="1591" t="s">
        <v>1297</v>
      </c>
      <c r="C57" s="1591">
        <v>646915</v>
      </c>
      <c r="D57" s="1591">
        <v>539952</v>
      </c>
      <c r="E57" s="1591">
        <v>550649</v>
      </c>
      <c r="F57" s="1591">
        <v>613394</v>
      </c>
      <c r="G57" s="1591">
        <v>736109</v>
      </c>
      <c r="H57" s="1591">
        <f t="shared" ref="H57:U57" si="42">+H56*H51/SUM(H51:H52)</f>
        <v>1453727.8889996887</v>
      </c>
      <c r="I57" s="1591">
        <f t="shared" si="42"/>
        <v>1342336.8899492212</v>
      </c>
      <c r="J57" s="1591">
        <f t="shared" si="42"/>
        <v>1447470.1546114476</v>
      </c>
      <c r="K57" s="1591">
        <f t="shared" si="42"/>
        <v>1393086.7710082817</v>
      </c>
      <c r="L57" s="1591">
        <f t="shared" si="42"/>
        <v>1456495.0757567242</v>
      </c>
      <c r="M57" s="1591">
        <f t="shared" si="42"/>
        <v>1423245.7470161011</v>
      </c>
      <c r="N57" s="1591">
        <f t="shared" si="42"/>
        <v>1291007.4956402942</v>
      </c>
      <c r="O57" s="1591">
        <f t="shared" si="42"/>
        <v>1234729.3709376652</v>
      </c>
      <c r="P57" s="1591">
        <f t="shared" si="42"/>
        <v>1316785.360226332</v>
      </c>
      <c r="Q57" s="1591">
        <f t="shared" si="42"/>
        <v>1195787.5811010883</v>
      </c>
      <c r="R57" s="1591">
        <f t="shared" si="42"/>
        <v>1344059.9495526401</v>
      </c>
      <c r="S57" s="1591">
        <f t="shared" si="42"/>
        <v>1359885.2801268832</v>
      </c>
      <c r="T57" s="1591">
        <f t="shared" si="42"/>
        <v>1321097.1642414392</v>
      </c>
      <c r="U57" s="1591">
        <f t="shared" si="42"/>
        <v>1304465.4834985307</v>
      </c>
      <c r="V57" s="1591">
        <f>ROUND(+V30*V51/SUM(V51:V52),0)</f>
        <v>1175683</v>
      </c>
      <c r="W57" s="1597">
        <f t="shared" ref="W57:Y57" si="43">ROUND(+W30*W51/SUM(W51:W52),0)</f>
        <v>1217979</v>
      </c>
      <c r="X57" s="1597">
        <f t="shared" si="43"/>
        <v>1379939</v>
      </c>
      <c r="Y57" s="1597">
        <f t="shared" si="43"/>
        <v>1517496</v>
      </c>
      <c r="Z57" s="1597">
        <f t="shared" ref="Z57:AA57" si="44">ROUND(+Z30*Z51/SUM(Z51:Z52),0)</f>
        <v>1576702</v>
      </c>
      <c r="AA57" s="1597">
        <f t="shared" si="44"/>
        <v>1650282</v>
      </c>
      <c r="AB57" s="1597">
        <f t="shared" ref="AB57:AC57" si="45">ROUND(+AB30*AB51/SUM(AB51:AB52),0)</f>
        <v>1692454</v>
      </c>
      <c r="AC57" s="1597">
        <f t="shared" si="45"/>
        <v>1740305</v>
      </c>
      <c r="AD57" s="1470"/>
      <c r="AE57" s="1470"/>
      <c r="AF57" s="1470"/>
      <c r="AG57" s="1470"/>
      <c r="AH57" s="1470"/>
      <c r="AI57" s="1470"/>
      <c r="AJ57" s="1470"/>
      <c r="AK57" s="1470"/>
      <c r="AL57" s="1470"/>
      <c r="AM57" s="1470"/>
      <c r="AN57" s="1470"/>
      <c r="AO57" s="1470"/>
      <c r="AP57" s="1470"/>
      <c r="AQ57" s="1425"/>
      <c r="AR57" s="1425"/>
      <c r="AS57" s="1425"/>
      <c r="AT57" s="1425"/>
      <c r="AU57" s="1425"/>
    </row>
    <row r="58" spans="1:47">
      <c r="A58" s="1425"/>
      <c r="B58" s="1425" t="s">
        <v>1298</v>
      </c>
      <c r="C58" s="1425">
        <f>C59-C57</f>
        <v>1979154</v>
      </c>
      <c r="D58" s="1425">
        <f>D59-D57</f>
        <v>1920159</v>
      </c>
      <c r="E58" s="1425">
        <f>E59-E57</f>
        <v>1930115</v>
      </c>
      <c r="F58" s="1425">
        <f>F59-F57</f>
        <v>1892214</v>
      </c>
      <c r="G58" s="1425">
        <f>G59-G57</f>
        <v>1960188</v>
      </c>
      <c r="H58" s="1425">
        <f t="shared" ref="H58:T58" si="46">+H56*H52/SUM(H51:H52)</f>
        <v>2305770.9127167165</v>
      </c>
      <c r="I58" s="1425">
        <f t="shared" si="46"/>
        <v>2360176.7103006858</v>
      </c>
      <c r="J58" s="1425">
        <f t="shared" si="46"/>
        <v>2251941.1074773134</v>
      </c>
      <c r="K58" s="1425">
        <f t="shared" si="46"/>
        <v>1834796.0019116669</v>
      </c>
      <c r="L58" s="1425">
        <f t="shared" si="46"/>
        <v>1928019.5281965241</v>
      </c>
      <c r="M58" s="1425">
        <f t="shared" si="46"/>
        <v>1965444.8156101932</v>
      </c>
      <c r="N58" s="1425">
        <f t="shared" si="46"/>
        <v>2014467.9840030307</v>
      </c>
      <c r="O58" s="1425">
        <f t="shared" si="46"/>
        <v>2248690.764454558</v>
      </c>
      <c r="P58" s="1425">
        <f t="shared" si="46"/>
        <v>2293516.8861769917</v>
      </c>
      <c r="Q58" s="1425">
        <f t="shared" si="46"/>
        <v>2407870.1411048295</v>
      </c>
      <c r="R58" s="1425">
        <f t="shared" si="46"/>
        <v>2337068.2151271454</v>
      </c>
      <c r="S58" s="1425">
        <f t="shared" si="46"/>
        <v>2444881.3262309013</v>
      </c>
      <c r="T58" s="1425">
        <f t="shared" si="46"/>
        <v>2481803.0202672537</v>
      </c>
      <c r="U58" s="1425">
        <f>+U56*U52/SUM(U51:U52)</f>
        <v>2517141.8535119742</v>
      </c>
      <c r="V58" s="1425">
        <f>V59-V57</f>
        <v>2420563</v>
      </c>
      <c r="W58" s="1598">
        <f t="shared" ref="W58:Y58" si="47">W59-W57</f>
        <v>2507644</v>
      </c>
      <c r="X58" s="1598">
        <f t="shared" si="47"/>
        <v>2841096</v>
      </c>
      <c r="Y58" s="1598">
        <f t="shared" si="47"/>
        <v>3124308</v>
      </c>
      <c r="Z58" s="1598">
        <f t="shared" ref="Z58:AA58" si="48">Z59-Z57</f>
        <v>3246203</v>
      </c>
      <c r="AA58" s="1598">
        <f t="shared" si="48"/>
        <v>3397695</v>
      </c>
      <c r="AB58" s="1598">
        <f t="shared" ref="AB58:AC58" si="49">AB59-AB57</f>
        <v>3484521</v>
      </c>
      <c r="AC58" s="1598">
        <f t="shared" si="49"/>
        <v>3583039</v>
      </c>
      <c r="AD58" s="1470"/>
      <c r="AE58" s="1470"/>
      <c r="AF58" s="1470"/>
      <c r="AG58" s="1470"/>
      <c r="AH58" s="1470"/>
      <c r="AI58" s="1470"/>
      <c r="AJ58" s="1470"/>
      <c r="AK58" s="1470"/>
      <c r="AL58" s="1470"/>
      <c r="AM58" s="1470"/>
      <c r="AN58" s="1470"/>
      <c r="AO58" s="1470"/>
      <c r="AP58" s="1470"/>
      <c r="AQ58" s="1425"/>
      <c r="AR58" s="1425"/>
      <c r="AS58" s="1425"/>
      <c r="AT58" s="1425"/>
      <c r="AU58" s="1425"/>
    </row>
    <row r="59" spans="1:47">
      <c r="A59" s="1425"/>
      <c r="B59" s="1550" t="s">
        <v>1290</v>
      </c>
      <c r="C59" s="1550">
        <f>C30</f>
        <v>2626069</v>
      </c>
      <c r="D59" s="1550">
        <f>D30</f>
        <v>2460111</v>
      </c>
      <c r="E59" s="1550">
        <f>E30</f>
        <v>2480764</v>
      </c>
      <c r="F59" s="1550">
        <f>F30</f>
        <v>2505608</v>
      </c>
      <c r="G59" s="1550">
        <f>G30</f>
        <v>2696297</v>
      </c>
      <c r="H59" s="1550">
        <f>SUM(H57:H58)</f>
        <v>3759498.801716405</v>
      </c>
      <c r="I59" s="1550">
        <f t="shared" ref="I59:U59" si="50">SUM(I57:I58)</f>
        <v>3702513.600249907</v>
      </c>
      <c r="J59" s="1550">
        <f t="shared" si="50"/>
        <v>3699411.2620887607</v>
      </c>
      <c r="K59" s="1550">
        <f t="shared" si="50"/>
        <v>3227882.7729199487</v>
      </c>
      <c r="L59" s="1550">
        <f t="shared" si="50"/>
        <v>3384514.6039532484</v>
      </c>
      <c r="M59" s="1550">
        <f t="shared" si="50"/>
        <v>3388690.5626262943</v>
      </c>
      <c r="N59" s="1550">
        <f t="shared" si="50"/>
        <v>3305475.4796433249</v>
      </c>
      <c r="O59" s="1550">
        <f t="shared" si="50"/>
        <v>3483420.1353922235</v>
      </c>
      <c r="P59" s="1550">
        <f t="shared" si="50"/>
        <v>3610302.2464033235</v>
      </c>
      <c r="Q59" s="1550">
        <f t="shared" si="50"/>
        <v>3603657.7222059178</v>
      </c>
      <c r="R59" s="1550">
        <f t="shared" si="50"/>
        <v>3681128.1646797853</v>
      </c>
      <c r="S59" s="1550">
        <f t="shared" si="50"/>
        <v>3804766.6063577845</v>
      </c>
      <c r="T59" s="1550">
        <f t="shared" si="50"/>
        <v>3802900.1845086929</v>
      </c>
      <c r="U59" s="1550">
        <f t="shared" si="50"/>
        <v>3821607.3370105047</v>
      </c>
      <c r="V59" s="1550">
        <f>V30</f>
        <v>3596246</v>
      </c>
      <c r="W59" s="1599">
        <f t="shared" ref="W59:Y59" si="51">W30</f>
        <v>3725623</v>
      </c>
      <c r="X59" s="1599">
        <f t="shared" si="51"/>
        <v>4221035</v>
      </c>
      <c r="Y59" s="1599">
        <f t="shared" si="51"/>
        <v>4641804</v>
      </c>
      <c r="Z59" s="1599">
        <f t="shared" ref="Z59:AA59" si="52">Z30</f>
        <v>4822905</v>
      </c>
      <c r="AA59" s="1599">
        <f t="shared" si="52"/>
        <v>5047977</v>
      </c>
      <c r="AB59" s="1599">
        <f t="shared" ref="AB59:AC59" si="53">AB30</f>
        <v>5176975</v>
      </c>
      <c r="AC59" s="1599">
        <f t="shared" si="53"/>
        <v>5323344</v>
      </c>
      <c r="AD59" s="1470"/>
      <c r="AE59" s="1470"/>
      <c r="AF59" s="1470"/>
      <c r="AG59" s="1470"/>
      <c r="AH59" s="1470"/>
      <c r="AI59" s="1470"/>
      <c r="AJ59" s="1470"/>
      <c r="AK59" s="1470"/>
      <c r="AL59" s="1470"/>
      <c r="AM59" s="1470"/>
      <c r="AN59" s="1470"/>
      <c r="AO59" s="1470"/>
      <c r="AP59" s="1470"/>
      <c r="AQ59" s="1425"/>
      <c r="AR59" s="1425"/>
      <c r="AS59" s="1425"/>
      <c r="AT59" s="1425"/>
      <c r="AU59" s="1471"/>
    </row>
    <row r="60" spans="1:47">
      <c r="A60" s="1425"/>
      <c r="B60" s="1548" t="s">
        <v>1355</v>
      </c>
      <c r="C60" s="1548"/>
      <c r="D60" s="1548"/>
      <c r="E60" s="1548"/>
      <c r="F60" s="1548"/>
      <c r="G60" s="1548"/>
      <c r="H60" s="1548"/>
      <c r="I60" s="1548"/>
      <c r="J60" s="1425"/>
      <c r="K60" s="1425"/>
      <c r="L60" s="1425"/>
      <c r="M60" s="1425"/>
      <c r="V60" s="1425"/>
      <c r="W60" s="1425"/>
      <c r="X60" s="1425"/>
      <c r="AD60" s="1425"/>
      <c r="AE60" s="1425"/>
      <c r="AF60" s="1425"/>
      <c r="AG60" s="1425"/>
      <c r="AH60" s="1425"/>
      <c r="AI60" s="1425"/>
      <c r="AJ60" s="1425"/>
      <c r="AK60" s="1425"/>
      <c r="AL60" s="1425"/>
      <c r="AM60" s="1425"/>
      <c r="AN60" s="1425"/>
      <c r="AO60" s="1425"/>
      <c r="AP60" s="1425"/>
      <c r="AQ60" s="1425"/>
      <c r="AR60" s="1425"/>
      <c r="AS60" s="1425"/>
      <c r="AT60" s="1425"/>
      <c r="AU60" s="1425"/>
    </row>
    <row r="61" spans="1:47">
      <c r="A61" s="1425"/>
      <c r="B61" s="1548" t="s">
        <v>1356</v>
      </c>
      <c r="C61" s="1548"/>
      <c r="D61" s="1548"/>
      <c r="E61" s="1548"/>
      <c r="F61" s="1548"/>
      <c r="G61" s="1548"/>
      <c r="H61" s="1548">
        <f>+H22-H23</f>
        <v>1976091.6379963746</v>
      </c>
      <c r="I61" s="1548">
        <f t="shared" ref="I61:U61" si="54">+I22-I23</f>
        <v>2008206.5496911928</v>
      </c>
      <c r="J61" s="1548">
        <f t="shared" si="54"/>
        <v>2118619.8702144846</v>
      </c>
      <c r="K61" s="1548">
        <f t="shared" si="54"/>
        <v>2219145.343405799</v>
      </c>
      <c r="L61" s="1548">
        <f t="shared" si="54"/>
        <v>2205142.1543817148</v>
      </c>
      <c r="M61" s="1548">
        <f t="shared" si="54"/>
        <v>2291991</v>
      </c>
      <c r="N61" s="1548">
        <f t="shared" si="54"/>
        <v>2321386</v>
      </c>
      <c r="O61" s="1548">
        <f t="shared" si="54"/>
        <v>2384989</v>
      </c>
      <c r="P61" s="1548">
        <f t="shared" si="54"/>
        <v>2450102</v>
      </c>
      <c r="Q61" s="1548">
        <f t="shared" si="54"/>
        <v>2518395</v>
      </c>
      <c r="R61" s="1548">
        <f t="shared" si="54"/>
        <v>2535493</v>
      </c>
      <c r="S61" s="1548">
        <f t="shared" si="54"/>
        <v>2664104</v>
      </c>
      <c r="T61" s="1548">
        <f t="shared" si="54"/>
        <v>2674566</v>
      </c>
      <c r="U61" s="1548">
        <f t="shared" si="54"/>
        <v>2787989</v>
      </c>
      <c r="V61" s="1548">
        <f>+V22-V23</f>
        <v>2777965</v>
      </c>
      <c r="W61" s="1597">
        <f t="shared" ref="W61" si="55">+W22-W23</f>
        <v>2978623</v>
      </c>
      <c r="X61" s="1597">
        <f t="shared" ref="X61:Z61" si="56">+X22-X23</f>
        <v>3013270</v>
      </c>
      <c r="Y61" s="1597">
        <f t="shared" si="56"/>
        <v>2996589</v>
      </c>
      <c r="Z61" s="1597">
        <f t="shared" si="56"/>
        <v>3137399</v>
      </c>
      <c r="AA61" s="1597">
        <f t="shared" ref="AA61:AB61" si="57">+AA22-AA23</f>
        <v>3277424</v>
      </c>
      <c r="AB61" s="1597">
        <f t="shared" si="57"/>
        <v>3300383</v>
      </c>
      <c r="AC61" s="1597">
        <f t="shared" ref="AC61" si="58">+AC22-AC23</f>
        <v>3323342</v>
      </c>
      <c r="AD61" s="1425"/>
      <c r="AE61" s="1425"/>
      <c r="AF61" s="1425"/>
      <c r="AG61" s="1425"/>
      <c r="AH61" s="1425"/>
      <c r="AI61" s="1425"/>
      <c r="AJ61" s="1425"/>
      <c r="AK61" s="1425"/>
      <c r="AL61" s="1425"/>
      <c r="AM61" s="1425"/>
      <c r="AN61" s="1425"/>
      <c r="AO61" s="1425"/>
      <c r="AP61" s="1425"/>
      <c r="AQ61" s="1425"/>
      <c r="AR61" s="1425"/>
      <c r="AS61" s="1425"/>
      <c r="AT61" s="1425"/>
      <c r="AU61" s="1425"/>
    </row>
    <row r="62" spans="1:47">
      <c r="A62" s="1425"/>
      <c r="B62" s="1548" t="s">
        <v>1357</v>
      </c>
      <c r="C62" s="1548"/>
      <c r="D62" s="1548"/>
      <c r="E62" s="1548"/>
      <c r="F62" s="1548"/>
      <c r="G62" s="1548"/>
      <c r="H62" s="1548">
        <f>+H44-H38-H23</f>
        <v>19657422.100669086</v>
      </c>
      <c r="I62" s="1548">
        <f t="shared" ref="I62:U62" si="59">+I44-I38-I23</f>
        <v>18977766.652184296</v>
      </c>
      <c r="J62" s="1548">
        <f t="shared" si="59"/>
        <v>19973532.729112133</v>
      </c>
      <c r="K62" s="1548">
        <f t="shared" si="59"/>
        <v>20615546.177950352</v>
      </c>
      <c r="L62" s="1548">
        <f t="shared" si="59"/>
        <v>20904860.148332629</v>
      </c>
      <c r="M62" s="1548">
        <f t="shared" si="59"/>
        <v>19780559</v>
      </c>
      <c r="N62" s="1548">
        <f t="shared" si="59"/>
        <v>19733065</v>
      </c>
      <c r="O62" s="1548">
        <f t="shared" si="59"/>
        <v>20526772</v>
      </c>
      <c r="P62" s="1548">
        <f t="shared" si="59"/>
        <v>20371295</v>
      </c>
      <c r="Q62" s="1548">
        <f t="shared" si="59"/>
        <v>20889834</v>
      </c>
      <c r="R62" s="1548">
        <f t="shared" si="59"/>
        <v>20669698</v>
      </c>
      <c r="S62" s="1548">
        <f t="shared" si="59"/>
        <v>21184465</v>
      </c>
      <c r="T62" s="1548">
        <f t="shared" si="59"/>
        <v>21199617</v>
      </c>
      <c r="U62" s="1548">
        <f t="shared" si="59"/>
        <v>21630579</v>
      </c>
      <c r="V62" s="1548">
        <f t="shared" ref="V62:W62" si="60">+V44-V38-V23</f>
        <v>20499884</v>
      </c>
      <c r="W62" s="1597">
        <f t="shared" si="60"/>
        <v>21480023</v>
      </c>
      <c r="X62" s="1597">
        <f t="shared" ref="X62:Z62" si="61">+X44-X38-X23</f>
        <v>23017377</v>
      </c>
      <c r="Y62" s="1597">
        <f t="shared" si="61"/>
        <v>23321968</v>
      </c>
      <c r="Z62" s="1597">
        <f t="shared" si="61"/>
        <v>23965065</v>
      </c>
      <c r="AA62" s="1597">
        <f t="shared" ref="AA62:AB62" si="62">+AA44-AA38-AA23</f>
        <v>24745335.28163933</v>
      </c>
      <c r="AB62" s="1597">
        <f t="shared" si="62"/>
        <v>25064730</v>
      </c>
      <c r="AC62" s="1597">
        <f t="shared" ref="AC62" si="63">+AC44-AC38-AC23</f>
        <v>25419691</v>
      </c>
      <c r="AD62" s="1425"/>
      <c r="AE62" s="1425"/>
      <c r="AF62" s="1425"/>
      <c r="AG62" s="1425"/>
      <c r="AH62" s="1425"/>
      <c r="AI62" s="1425"/>
      <c r="AJ62" s="1425"/>
      <c r="AK62" s="1425"/>
      <c r="AL62" s="1425"/>
      <c r="AM62" s="1425"/>
      <c r="AN62" s="1425"/>
      <c r="AO62" s="1425"/>
      <c r="AP62" s="1425"/>
      <c r="AQ62" s="1425"/>
      <c r="AR62" s="1425"/>
      <c r="AS62" s="1425"/>
      <c r="AT62" s="1425"/>
      <c r="AU62" s="1471"/>
    </row>
    <row r="63" spans="1:47">
      <c r="A63" s="1425"/>
      <c r="B63" s="1548" t="s">
        <v>1359</v>
      </c>
      <c r="C63" s="1548"/>
      <c r="D63" s="1548"/>
      <c r="E63" s="1548"/>
      <c r="F63" s="1548"/>
      <c r="G63" s="1548"/>
      <c r="H63" s="1548">
        <f>+H38+H23</f>
        <v>339700.89933091216</v>
      </c>
      <c r="I63" s="1548">
        <f t="shared" ref="I63:U63" si="64">+I38+I23</f>
        <v>897739.34781570476</v>
      </c>
      <c r="J63" s="1548">
        <f t="shared" si="64"/>
        <v>597610.2708878651</v>
      </c>
      <c r="K63" s="1548">
        <f t="shared" si="64"/>
        <v>125598.82204964617</v>
      </c>
      <c r="L63" s="1548">
        <f t="shared" si="64"/>
        <v>842332.85166737158</v>
      </c>
      <c r="M63" s="1548">
        <f t="shared" si="64"/>
        <v>216564</v>
      </c>
      <c r="N63" s="1548">
        <f t="shared" si="64"/>
        <v>142441</v>
      </c>
      <c r="O63" s="1548">
        <f t="shared" si="64"/>
        <v>44371</v>
      </c>
      <c r="P63" s="1548">
        <f t="shared" si="64"/>
        <v>369850</v>
      </c>
      <c r="Q63" s="1548">
        <f t="shared" si="64"/>
        <v>857359</v>
      </c>
      <c r="R63" s="1548">
        <f t="shared" si="64"/>
        <v>1295724</v>
      </c>
      <c r="S63" s="1548">
        <f t="shared" si="64"/>
        <v>1098808</v>
      </c>
      <c r="T63" s="1548">
        <f t="shared" si="64"/>
        <v>1038043</v>
      </c>
      <c r="U63" s="1548">
        <f t="shared" si="64"/>
        <v>842256</v>
      </c>
      <c r="V63" s="1548">
        <f>+V38+V23</f>
        <v>1396117</v>
      </c>
      <c r="W63" s="1597">
        <f t="shared" ref="W63" si="65">+W38+W23</f>
        <v>1116870</v>
      </c>
      <c r="X63" s="1597">
        <f t="shared" ref="X63:Z63" si="66">+X38+X23</f>
        <v>344739</v>
      </c>
      <c r="Y63" s="1597">
        <f t="shared" si="66"/>
        <v>667573</v>
      </c>
      <c r="Z63" s="1597">
        <f t="shared" si="66"/>
        <v>799500</v>
      </c>
      <c r="AA63" s="1597">
        <f t="shared" ref="AA63:AB63" si="67">+AA38+AA23</f>
        <v>936747</v>
      </c>
      <c r="AB63" s="1597">
        <f t="shared" si="67"/>
        <v>967700</v>
      </c>
      <c r="AC63" s="1597">
        <f t="shared" ref="AC63" si="68">+AC38+AC23</f>
        <v>1021239</v>
      </c>
      <c r="AD63" s="1425"/>
      <c r="AE63" s="1425"/>
      <c r="AF63" s="1425"/>
      <c r="AG63" s="1425"/>
      <c r="AH63" s="1425"/>
      <c r="AI63" s="1425"/>
      <c r="AJ63" s="1425"/>
      <c r="AK63" s="1425"/>
      <c r="AL63" s="1425"/>
      <c r="AM63" s="1425"/>
      <c r="AN63" s="1425"/>
      <c r="AO63" s="1425"/>
      <c r="AP63" s="1425"/>
      <c r="AQ63" s="1425"/>
      <c r="AR63" s="1425"/>
      <c r="AS63" s="1425"/>
      <c r="AT63" s="1425"/>
      <c r="AU63" s="1425"/>
    </row>
    <row r="64" spans="1:47">
      <c r="A64" s="1425"/>
      <c r="B64" s="1595" t="s">
        <v>1358</v>
      </c>
      <c r="C64" s="1595"/>
      <c r="D64" s="1595"/>
      <c r="E64" s="1595"/>
      <c r="F64" s="1595"/>
      <c r="G64" s="1595"/>
      <c r="H64" s="1595">
        <f>+H42+H23</f>
        <v>1284984.5725911972</v>
      </c>
      <c r="I64" s="1595">
        <f t="shared" ref="I64:U64" si="69">+I42+I23</f>
        <v>1294957.7942038546</v>
      </c>
      <c r="J64" s="1595">
        <f t="shared" si="69"/>
        <v>1265015.5341583181</v>
      </c>
      <c r="K64" s="1595">
        <f t="shared" si="69"/>
        <v>1241639.3748386111</v>
      </c>
      <c r="L64" s="1595">
        <f t="shared" si="69"/>
        <v>1300486.511372325</v>
      </c>
      <c r="M64" s="1595">
        <f t="shared" si="69"/>
        <v>1306276.4057388152</v>
      </c>
      <c r="N64" s="1595">
        <f t="shared" si="69"/>
        <v>1270815.1585720442</v>
      </c>
      <c r="O64" s="1595">
        <f t="shared" si="69"/>
        <v>1254909.0032246932</v>
      </c>
      <c r="P64" s="1595">
        <f t="shared" si="69"/>
        <v>1283868.8218688159</v>
      </c>
      <c r="Q64" s="1595">
        <f t="shared" si="69"/>
        <v>1280744.6894725282</v>
      </c>
      <c r="R64" s="1595">
        <f t="shared" si="69"/>
        <v>1303792.6614404572</v>
      </c>
      <c r="S64" s="1595">
        <f t="shared" si="69"/>
        <v>1227493.252670899</v>
      </c>
      <c r="T64" s="1595">
        <f t="shared" si="69"/>
        <v>1259124.573661346</v>
      </c>
      <c r="U64" s="1595">
        <f t="shared" si="69"/>
        <v>1277671.3766756372</v>
      </c>
      <c r="V64" s="1595">
        <f>+V42+V23</f>
        <v>1258801.7114783037</v>
      </c>
      <c r="W64" s="1600">
        <f t="shared" ref="W64" si="70">+W42+W23</f>
        <v>1312123.0505864786</v>
      </c>
      <c r="X64" s="1600">
        <f t="shared" ref="X64:Z64" si="71">+X42+X23</f>
        <v>1375704.029524138</v>
      </c>
      <c r="Y64" s="1600">
        <f t="shared" si="71"/>
        <v>1368537.029524138</v>
      </c>
      <c r="Z64" s="1600">
        <f t="shared" si="71"/>
        <v>1399807.029524138</v>
      </c>
      <c r="AA64" s="1600">
        <f t="shared" ref="AA64:AB64" si="72">+AA42+AA23</f>
        <v>1430903.029524138</v>
      </c>
      <c r="AB64" s="1600">
        <f t="shared" si="72"/>
        <v>1436002.029524138</v>
      </c>
      <c r="AC64" s="1600">
        <f t="shared" ref="AC64" si="73">+AC42+AC23</f>
        <v>1441101.029524138</v>
      </c>
      <c r="AD64" s="1425"/>
      <c r="AE64" s="1425"/>
      <c r="AF64" s="1425"/>
      <c r="AG64" s="1425"/>
      <c r="AH64" s="1425"/>
      <c r="AI64" s="1425"/>
      <c r="AJ64" s="1425"/>
      <c r="AK64" s="1425"/>
      <c r="AL64" s="1425"/>
      <c r="AM64" s="1425"/>
      <c r="AN64" s="1425"/>
      <c r="AO64" s="1425"/>
      <c r="AP64" s="1425"/>
      <c r="AQ64" s="1425"/>
      <c r="AR64" s="1425"/>
      <c r="AS64" s="1425"/>
      <c r="AT64" s="1425"/>
      <c r="AU64" s="1424"/>
    </row>
    <row r="65" spans="2:29">
      <c r="B65" s="1423"/>
      <c r="C65" s="1423"/>
      <c r="D65" s="1423"/>
      <c r="E65" s="1423"/>
      <c r="F65" s="1423"/>
      <c r="G65" s="1423"/>
      <c r="H65" s="1423"/>
      <c r="L65" s="1424"/>
      <c r="M65" s="1424"/>
      <c r="N65" s="1424"/>
      <c r="O65" s="1424"/>
      <c r="P65" s="1424"/>
      <c r="Q65" s="1424"/>
      <c r="R65" s="1424"/>
      <c r="S65" s="1424"/>
      <c r="T65" s="1424"/>
      <c r="U65" s="1424"/>
    </row>
    <row r="66" spans="2:29">
      <c r="B66" s="1423"/>
      <c r="C66" s="1423"/>
      <c r="D66" s="1423"/>
      <c r="E66" s="1423"/>
      <c r="F66" s="1423"/>
      <c r="G66" s="1423"/>
      <c r="H66" s="1423"/>
      <c r="L66" s="1424"/>
      <c r="M66" s="1424"/>
      <c r="N66" s="1424"/>
      <c r="O66" s="1424"/>
      <c r="P66" s="1424"/>
      <c r="Q66" s="1424"/>
      <c r="R66" s="1424"/>
      <c r="S66" s="1424"/>
      <c r="T66" s="1424"/>
      <c r="U66" s="1424"/>
    </row>
    <row r="67" spans="2:29">
      <c r="B67" s="1423"/>
      <c r="C67" s="1423"/>
      <c r="D67" s="1423"/>
      <c r="E67" s="1423"/>
      <c r="F67" s="1423"/>
      <c r="G67" s="1423"/>
      <c r="H67" s="1423"/>
      <c r="L67" s="1424"/>
      <c r="M67" s="1424"/>
      <c r="N67" s="1424"/>
      <c r="O67" s="1424"/>
      <c r="P67" s="1424"/>
      <c r="Q67" s="1424"/>
      <c r="R67" s="1424"/>
      <c r="S67" s="1424"/>
      <c r="T67" s="1424"/>
      <c r="U67" s="1424"/>
    </row>
    <row r="68" spans="2:29">
      <c r="B68" s="1423"/>
      <c r="C68" s="1423"/>
      <c r="D68" s="1423"/>
      <c r="E68" s="1423"/>
      <c r="F68" s="1423"/>
      <c r="G68" s="1423"/>
      <c r="H68" s="1423"/>
      <c r="L68" s="1424"/>
      <c r="M68" s="1424"/>
      <c r="N68" s="1424"/>
      <c r="O68" s="1424"/>
      <c r="P68" s="1424"/>
      <c r="Q68" s="1424"/>
      <c r="R68" s="1424"/>
      <c r="S68" s="1424"/>
      <c r="T68" s="1424"/>
      <c r="U68" s="1424"/>
    </row>
    <row r="69" spans="2:29">
      <c r="B69" s="1423"/>
      <c r="C69" s="1423"/>
      <c r="D69" s="1423"/>
      <c r="E69" s="1423"/>
      <c r="F69" s="1423"/>
      <c r="G69" s="1423"/>
      <c r="H69" s="1423"/>
      <c r="L69" s="1424"/>
      <c r="M69" s="1424"/>
      <c r="N69" s="1424"/>
      <c r="O69" s="1424"/>
      <c r="P69" s="1424"/>
      <c r="Q69" s="1424"/>
      <c r="R69" s="1424"/>
      <c r="S69" s="1424"/>
      <c r="T69" s="1424"/>
      <c r="U69" s="1424"/>
    </row>
    <row r="70" spans="2:29">
      <c r="B70" s="1423"/>
      <c r="C70" s="1423"/>
      <c r="D70" s="1423"/>
      <c r="E70" s="1423"/>
      <c r="F70" s="1423"/>
      <c r="G70" s="1423"/>
      <c r="H70" s="1423"/>
      <c r="L70" s="1424"/>
      <c r="M70" s="1424"/>
      <c r="N70" s="1424"/>
      <c r="O70" s="1424"/>
      <c r="P70" s="1424"/>
      <c r="Q70" s="1424"/>
      <c r="R70" s="1424"/>
      <c r="S70" s="1424"/>
      <c r="T70" s="1424"/>
      <c r="U70" s="1424"/>
    </row>
    <row r="71" spans="2:29">
      <c r="B71" s="1423"/>
      <c r="C71" s="1423"/>
      <c r="D71" s="1423"/>
      <c r="E71" s="1423"/>
      <c r="F71" s="1423"/>
      <c r="G71" s="1423"/>
      <c r="H71" s="1423"/>
      <c r="O71" s="1424"/>
      <c r="P71" s="1424"/>
      <c r="Q71" s="1424"/>
      <c r="R71" s="1424"/>
      <c r="S71" s="1424"/>
      <c r="T71" s="1424"/>
      <c r="U71" s="1424"/>
      <c r="V71" s="1430"/>
      <c r="W71" s="1430"/>
      <c r="X71" s="1430"/>
      <c r="Y71" s="1430"/>
      <c r="Z71" s="1430"/>
      <c r="AA71" s="1430"/>
      <c r="AB71" s="1430"/>
      <c r="AC71" s="1430"/>
    </row>
    <row r="72" spans="2:29">
      <c r="B72" s="1423"/>
      <c r="C72" s="1423"/>
      <c r="D72" s="1423"/>
      <c r="E72" s="1423"/>
      <c r="F72" s="1423"/>
      <c r="G72" s="1423"/>
      <c r="H72" s="1423"/>
      <c r="J72" s="1423"/>
      <c r="K72" s="1423"/>
      <c r="L72" s="1423"/>
      <c r="M72" s="1423"/>
      <c r="N72" s="1423"/>
      <c r="O72" s="1423"/>
      <c r="P72" s="1423"/>
      <c r="Q72" s="1423"/>
      <c r="R72" s="1423"/>
      <c r="S72" s="1423"/>
      <c r="T72" s="1423"/>
      <c r="U72" s="1423"/>
      <c r="V72" s="1467"/>
    </row>
    <row r="73" spans="2:29">
      <c r="B73" s="1423"/>
      <c r="C73" s="1423"/>
      <c r="D73" s="1423"/>
      <c r="E73" s="1423"/>
      <c r="F73" s="1423"/>
      <c r="G73" s="1423"/>
      <c r="H73" s="1423"/>
      <c r="J73" s="1423"/>
      <c r="K73" s="1423"/>
      <c r="L73" s="1423"/>
      <c r="M73" s="1423"/>
      <c r="N73" s="1423"/>
      <c r="O73" s="1423"/>
    </row>
    <row r="74" spans="2:29">
      <c r="B74" s="1423"/>
      <c r="C74" s="1423"/>
      <c r="D74" s="1423"/>
      <c r="E74" s="1423"/>
      <c r="F74" s="1423"/>
      <c r="G74" s="1423"/>
      <c r="H74" s="1423"/>
      <c r="J74" s="1423"/>
      <c r="K74" s="1423"/>
      <c r="L74" s="1423"/>
      <c r="M74" s="1423"/>
      <c r="N74" s="1423"/>
      <c r="O74" s="1423"/>
    </row>
    <row r="75" spans="2:29">
      <c r="B75" s="1423"/>
      <c r="C75" s="1423"/>
      <c r="D75" s="1423"/>
      <c r="E75" s="1423"/>
      <c r="F75" s="1423"/>
      <c r="G75" s="1423"/>
      <c r="H75" s="1423"/>
      <c r="J75" s="1423"/>
      <c r="K75" s="1423"/>
      <c r="L75" s="1423"/>
      <c r="M75" s="1423"/>
      <c r="N75" s="1423"/>
      <c r="O75" s="1423"/>
    </row>
    <row r="76" spans="2:29">
      <c r="B76" s="1423"/>
      <c r="C76" s="1423"/>
      <c r="D76" s="1423"/>
      <c r="E76" s="1423"/>
      <c r="F76" s="1423"/>
      <c r="G76" s="1423"/>
      <c r="H76" s="1423"/>
      <c r="J76" s="1423"/>
      <c r="K76" s="1423"/>
      <c r="L76" s="1423"/>
      <c r="M76" s="1423"/>
      <c r="N76" s="1423"/>
      <c r="O76" s="1423"/>
    </row>
    <row r="77" spans="2:29">
      <c r="B77" s="1423"/>
      <c r="C77" s="1423"/>
      <c r="D77" s="1423"/>
      <c r="E77" s="1423"/>
      <c r="F77" s="1423"/>
      <c r="G77" s="1423"/>
      <c r="H77" s="1423"/>
      <c r="J77" s="1423"/>
      <c r="K77" s="1423"/>
      <c r="L77" s="1423"/>
      <c r="M77" s="1423"/>
      <c r="N77" s="1423"/>
      <c r="O77" s="1423"/>
    </row>
    <row r="78" spans="2:29">
      <c r="B78" s="1423"/>
      <c r="C78" s="1423"/>
      <c r="D78" s="1423"/>
      <c r="E78" s="1423"/>
      <c r="F78" s="1423"/>
      <c r="G78" s="1423"/>
      <c r="H78" s="1423"/>
      <c r="J78" s="1423"/>
      <c r="K78" s="1423"/>
      <c r="L78" s="1423"/>
      <c r="M78" s="1423"/>
      <c r="N78" s="1423"/>
      <c r="O78" s="1423"/>
    </row>
    <row r="79" spans="2:29">
      <c r="B79" s="1423"/>
      <c r="C79" s="1423"/>
      <c r="D79" s="1423"/>
      <c r="E79" s="1423"/>
      <c r="F79" s="1423"/>
      <c r="G79" s="1423"/>
      <c r="H79" s="1423"/>
      <c r="J79" s="1423"/>
      <c r="K79" s="1423"/>
      <c r="L79" s="1423"/>
      <c r="M79" s="1423"/>
      <c r="N79" s="1423"/>
      <c r="O79" s="1423"/>
    </row>
    <row r="80" spans="2:29">
      <c r="B80" s="1423"/>
      <c r="C80" s="1423"/>
      <c r="D80" s="1423"/>
      <c r="E80" s="1423"/>
      <c r="F80" s="1423"/>
      <c r="G80" s="1423"/>
      <c r="H80" s="1423"/>
      <c r="J80" s="1423"/>
      <c r="K80" s="1423"/>
      <c r="L80" s="1423"/>
      <c r="M80" s="1423"/>
      <c r="N80" s="1423"/>
      <c r="O80" s="1423"/>
    </row>
    <row r="81" spans="2:15">
      <c r="B81" s="1423"/>
      <c r="C81" s="1423"/>
      <c r="D81" s="1423"/>
      <c r="E81" s="1423"/>
      <c r="F81" s="1423"/>
      <c r="G81" s="1423"/>
      <c r="H81" s="1423"/>
      <c r="J81" s="1423"/>
      <c r="K81" s="1423"/>
      <c r="L81" s="1423"/>
      <c r="M81" s="1423"/>
      <c r="N81" s="1423"/>
      <c r="O81" s="1423"/>
    </row>
    <row r="82" spans="2:15">
      <c r="B82" s="1423"/>
      <c r="C82" s="1423"/>
      <c r="D82" s="1423"/>
      <c r="E82" s="1423"/>
      <c r="F82" s="1423"/>
      <c r="G82" s="1423"/>
      <c r="H82" s="1423"/>
      <c r="J82" s="1423"/>
      <c r="K82" s="1423"/>
      <c r="L82" s="1423"/>
      <c r="M82" s="1423"/>
      <c r="N82" s="1423"/>
      <c r="O82" s="1423"/>
    </row>
    <row r="83" spans="2:15">
      <c r="B83" s="1423"/>
      <c r="C83" s="1423"/>
      <c r="D83" s="1423"/>
      <c r="E83" s="1423"/>
      <c r="F83" s="1423"/>
      <c r="G83" s="1423"/>
      <c r="H83" s="1423"/>
      <c r="J83" s="1423"/>
      <c r="K83" s="1423"/>
      <c r="L83" s="1423"/>
      <c r="M83" s="1423"/>
      <c r="N83" s="1423"/>
      <c r="O83" s="1423"/>
    </row>
    <row r="84" spans="2:15">
      <c r="B84" s="1423"/>
      <c r="C84" s="1423"/>
      <c r="D84" s="1423"/>
      <c r="E84" s="1423"/>
      <c r="F84" s="1423"/>
      <c r="G84" s="1423"/>
      <c r="H84" s="1423"/>
      <c r="J84" s="1423"/>
      <c r="K84" s="1423"/>
      <c r="L84" s="1423"/>
      <c r="M84" s="1423"/>
      <c r="N84" s="1423"/>
      <c r="O84" s="1423"/>
    </row>
    <row r="85" spans="2:15">
      <c r="B85" s="1423"/>
      <c r="C85" s="1423"/>
      <c r="D85" s="1423"/>
      <c r="E85" s="1423"/>
      <c r="F85" s="1423"/>
      <c r="G85" s="1423"/>
      <c r="H85" s="1423"/>
      <c r="J85" s="1423"/>
      <c r="K85" s="1423"/>
      <c r="L85" s="1423"/>
      <c r="M85" s="1423"/>
      <c r="N85" s="1423"/>
      <c r="O85" s="1423"/>
    </row>
    <row r="86" spans="2:15">
      <c r="B86" s="1423"/>
      <c r="C86" s="1423"/>
      <c r="D86" s="1423"/>
      <c r="E86" s="1423"/>
      <c r="F86" s="1423"/>
      <c r="G86" s="1423"/>
      <c r="H86" s="1423"/>
      <c r="J86" s="1423"/>
      <c r="K86" s="1423"/>
      <c r="L86" s="1423"/>
      <c r="M86" s="1423"/>
      <c r="N86" s="1423"/>
      <c r="O86" s="1423"/>
    </row>
    <row r="87" spans="2:15">
      <c r="B87" s="1423"/>
      <c r="C87" s="1423"/>
      <c r="D87" s="1423"/>
      <c r="E87" s="1423"/>
      <c r="F87" s="1423"/>
      <c r="G87" s="1423"/>
      <c r="H87" s="1423"/>
      <c r="J87" s="1423"/>
      <c r="K87" s="1423"/>
      <c r="L87" s="1423"/>
      <c r="M87" s="1423"/>
      <c r="N87" s="1423"/>
      <c r="O87" s="1423"/>
    </row>
    <row r="88" spans="2:15">
      <c r="B88" s="1423"/>
      <c r="C88" s="1423"/>
      <c r="D88" s="1423"/>
      <c r="E88" s="1423"/>
      <c r="F88" s="1423"/>
      <c r="G88" s="1423"/>
      <c r="H88" s="1423"/>
      <c r="J88" s="1423"/>
      <c r="K88" s="1423"/>
      <c r="L88" s="1423"/>
      <c r="M88" s="1423"/>
      <c r="N88" s="1423"/>
      <c r="O88" s="1423"/>
    </row>
    <row r="89" spans="2:15">
      <c r="B89" s="1423"/>
      <c r="C89" s="1423"/>
      <c r="D89" s="1423"/>
      <c r="E89" s="1423"/>
      <c r="F89" s="1423"/>
      <c r="G89" s="1423"/>
      <c r="H89" s="1423"/>
      <c r="J89" s="1423"/>
      <c r="K89" s="1423"/>
      <c r="L89" s="1423"/>
      <c r="M89" s="1423"/>
      <c r="N89" s="1423"/>
      <c r="O89" s="1423"/>
    </row>
    <row r="90" spans="2:15">
      <c r="B90" s="1423"/>
      <c r="C90" s="1423"/>
      <c r="D90" s="1423"/>
      <c r="E90" s="1423"/>
      <c r="F90" s="1423"/>
      <c r="G90" s="1423"/>
      <c r="H90" s="1423"/>
      <c r="J90" s="1423"/>
      <c r="K90" s="1423"/>
      <c r="L90" s="1423"/>
      <c r="M90" s="1423"/>
      <c r="N90" s="1423"/>
      <c r="O90" s="1423"/>
    </row>
    <row r="91" spans="2:15">
      <c r="B91" s="1423"/>
      <c r="C91" s="1423"/>
      <c r="D91" s="1423"/>
      <c r="E91" s="1423"/>
      <c r="F91" s="1423"/>
      <c r="G91" s="1423"/>
      <c r="H91" s="1423"/>
      <c r="J91" s="1423"/>
      <c r="K91" s="1423"/>
      <c r="L91" s="1423"/>
      <c r="M91" s="1423"/>
      <c r="N91" s="1423"/>
      <c r="O91" s="1423"/>
    </row>
    <row r="92" spans="2:15">
      <c r="B92" s="1423"/>
      <c r="C92" s="1423"/>
      <c r="D92" s="1423"/>
      <c r="E92" s="1423"/>
      <c r="F92" s="1423"/>
      <c r="G92" s="1423"/>
      <c r="H92" s="1423"/>
      <c r="J92" s="1423"/>
      <c r="K92" s="1423"/>
      <c r="L92" s="1423"/>
      <c r="M92" s="1423"/>
      <c r="N92" s="1423"/>
      <c r="O92" s="1423"/>
    </row>
    <row r="93" spans="2:15">
      <c r="B93" s="1423"/>
      <c r="C93" s="1423"/>
      <c r="D93" s="1423"/>
      <c r="E93" s="1423"/>
      <c r="F93" s="1423"/>
      <c r="G93" s="1423"/>
      <c r="H93" s="1423"/>
      <c r="J93" s="1423"/>
      <c r="K93" s="1423"/>
      <c r="L93" s="1423"/>
      <c r="M93" s="1423"/>
      <c r="N93" s="1423"/>
      <c r="O93" s="1423"/>
    </row>
    <row r="94" spans="2:15">
      <c r="B94" s="1423"/>
      <c r="C94" s="1423"/>
      <c r="D94" s="1423"/>
      <c r="E94" s="1423"/>
      <c r="F94" s="1423"/>
      <c r="G94" s="1423"/>
      <c r="H94" s="1423"/>
      <c r="J94" s="1423"/>
      <c r="K94" s="1423"/>
      <c r="L94" s="1423"/>
      <c r="M94" s="1423"/>
      <c r="N94" s="1423"/>
      <c r="O94" s="1423"/>
    </row>
    <row r="95" spans="2:15">
      <c r="B95" s="1423"/>
      <c r="C95" s="1423"/>
      <c r="D95" s="1423"/>
      <c r="E95" s="1423"/>
      <c r="F95" s="1423"/>
      <c r="G95" s="1423"/>
      <c r="H95" s="1423"/>
      <c r="J95" s="1423"/>
      <c r="K95" s="1423"/>
      <c r="L95" s="1423"/>
      <c r="M95" s="1423"/>
      <c r="N95" s="1423"/>
      <c r="O95" s="1423"/>
    </row>
    <row r="96" spans="2:15">
      <c r="B96" s="1423"/>
      <c r="C96" s="1423"/>
      <c r="D96" s="1423"/>
      <c r="E96" s="1423"/>
      <c r="F96" s="1423"/>
      <c r="G96" s="1423"/>
      <c r="H96" s="1423"/>
      <c r="J96" s="1423"/>
      <c r="K96" s="1423"/>
      <c r="L96" s="1423"/>
      <c r="M96" s="1423"/>
      <c r="N96" s="1423"/>
      <c r="O96" s="1423"/>
    </row>
    <row r="97" spans="2:15">
      <c r="B97" s="1423"/>
      <c r="C97" s="1423"/>
      <c r="D97" s="1423"/>
      <c r="E97" s="1423"/>
      <c r="F97" s="1423"/>
      <c r="G97" s="1423"/>
      <c r="H97" s="1423"/>
      <c r="J97" s="1423"/>
      <c r="K97" s="1423"/>
      <c r="L97" s="1423"/>
      <c r="M97" s="1423"/>
      <c r="N97" s="1423"/>
      <c r="O97" s="1423"/>
    </row>
    <row r="98" spans="2:15">
      <c r="B98" s="1423"/>
      <c r="C98" s="1423"/>
      <c r="D98" s="1423"/>
      <c r="E98" s="1423"/>
      <c r="F98" s="1423"/>
      <c r="G98" s="1423"/>
      <c r="H98" s="1423"/>
      <c r="J98" s="1423"/>
      <c r="K98" s="1423"/>
      <c r="L98" s="1423"/>
      <c r="M98" s="1423"/>
      <c r="N98" s="1423"/>
      <c r="O98" s="1423"/>
    </row>
    <row r="99" spans="2:15">
      <c r="I99" s="1422"/>
      <c r="J99" s="1422"/>
      <c r="K99" s="1422"/>
      <c r="L99" s="1422"/>
      <c r="M99" s="1422"/>
      <c r="N99" s="1422"/>
      <c r="O99" s="1422"/>
    </row>
    <row r="100" spans="2:15">
      <c r="I100" s="1422"/>
      <c r="J100" s="1422"/>
      <c r="K100" s="1422"/>
      <c r="L100" s="1422"/>
      <c r="M100" s="1422"/>
      <c r="N100" s="1422"/>
      <c r="O100" s="1422"/>
    </row>
    <row r="101" spans="2:15">
      <c r="I101" s="1422"/>
      <c r="J101" s="1422"/>
      <c r="K101" s="1422"/>
      <c r="L101" s="1422"/>
      <c r="M101" s="1422"/>
      <c r="N101" s="1422"/>
      <c r="O101" s="1422"/>
    </row>
    <row r="102" spans="2:15">
      <c r="I102" s="1422"/>
      <c r="J102" s="1422"/>
      <c r="K102" s="1422"/>
      <c r="L102" s="1422"/>
      <c r="M102" s="1422"/>
      <c r="N102" s="1422"/>
      <c r="O102" s="1422"/>
    </row>
    <row r="103" spans="2:15">
      <c r="I103" s="1422"/>
      <c r="J103" s="1422"/>
      <c r="K103" s="1422"/>
      <c r="L103" s="1422"/>
      <c r="M103" s="1422"/>
      <c r="N103" s="1422"/>
      <c r="O103" s="1422"/>
    </row>
    <row r="104" spans="2:15">
      <c r="I104" s="1422"/>
      <c r="J104" s="1422"/>
      <c r="K104" s="1422"/>
      <c r="L104" s="1422"/>
      <c r="M104" s="1422"/>
      <c r="N104" s="1422"/>
      <c r="O104" s="1422"/>
    </row>
    <row r="105" spans="2:15">
      <c r="I105" s="1422"/>
      <c r="J105" s="1422"/>
      <c r="K105" s="1422"/>
      <c r="L105" s="1422"/>
      <c r="M105" s="1422"/>
      <c r="N105" s="1422"/>
      <c r="O105" s="1422"/>
    </row>
    <row r="106" spans="2:15">
      <c r="I106" s="1422"/>
      <c r="J106" s="1422"/>
      <c r="K106" s="1422"/>
      <c r="L106" s="1422"/>
      <c r="M106" s="1422"/>
      <c r="N106" s="1422"/>
      <c r="O106" s="1422"/>
    </row>
    <row r="107" spans="2:15">
      <c r="I107" s="1422"/>
      <c r="J107" s="1422"/>
      <c r="K107" s="1422"/>
      <c r="L107" s="1422"/>
      <c r="M107" s="1422"/>
      <c r="N107" s="1422"/>
      <c r="O107" s="1422"/>
    </row>
    <row r="108" spans="2:15">
      <c r="I108" s="1422"/>
      <c r="J108" s="1422"/>
      <c r="K108" s="1422"/>
      <c r="L108" s="1422"/>
      <c r="M108" s="1422"/>
      <c r="N108" s="1422"/>
      <c r="O108" s="1422"/>
    </row>
    <row r="109" spans="2:15">
      <c r="I109" s="1422"/>
      <c r="J109" s="1422"/>
      <c r="K109" s="1422"/>
      <c r="L109" s="1422"/>
      <c r="M109" s="1422"/>
      <c r="N109" s="1422"/>
      <c r="O109" s="1422"/>
    </row>
    <row r="110" spans="2:15">
      <c r="I110" s="1422"/>
      <c r="J110" s="1422"/>
      <c r="K110" s="1422"/>
      <c r="L110" s="1422"/>
      <c r="M110" s="1422"/>
      <c r="N110" s="1422"/>
      <c r="O110" s="1422"/>
    </row>
    <row r="111" spans="2:15">
      <c r="I111" s="1422"/>
      <c r="J111" s="1422"/>
      <c r="K111" s="1422"/>
      <c r="L111" s="1422"/>
      <c r="M111" s="1422"/>
      <c r="N111" s="1422"/>
      <c r="O111" s="1422"/>
    </row>
    <row r="112" spans="2:15">
      <c r="I112" s="1422"/>
      <c r="J112" s="1422"/>
      <c r="K112" s="1422"/>
      <c r="L112" s="1422"/>
      <c r="M112" s="1422"/>
      <c r="N112" s="1422"/>
      <c r="O112" s="1422"/>
    </row>
    <row r="113" spans="9:15">
      <c r="I113" s="1422"/>
      <c r="J113" s="1422"/>
      <c r="K113" s="1422"/>
      <c r="L113" s="1422"/>
      <c r="M113" s="1422"/>
      <c r="N113" s="1422"/>
      <c r="O113" s="1422"/>
    </row>
    <row r="114" spans="9:15">
      <c r="I114" s="1422"/>
      <c r="J114" s="1422"/>
      <c r="K114" s="1422"/>
      <c r="L114" s="1422"/>
      <c r="M114" s="1422"/>
      <c r="N114" s="1422"/>
      <c r="O114" s="1422"/>
    </row>
    <row r="115" spans="9:15">
      <c r="I115" s="1422"/>
      <c r="J115" s="1422"/>
      <c r="K115" s="1422"/>
      <c r="L115" s="1422"/>
      <c r="M115" s="1422"/>
      <c r="N115" s="1422"/>
      <c r="O115" s="1422"/>
    </row>
    <row r="116" spans="9:15">
      <c r="I116" s="1422"/>
      <c r="J116" s="1422"/>
      <c r="K116" s="1422"/>
      <c r="L116" s="1422"/>
      <c r="M116" s="1422"/>
      <c r="N116" s="1422"/>
      <c r="O116" s="1422"/>
    </row>
    <row r="117" spans="9:15">
      <c r="I117" s="1422"/>
      <c r="J117" s="1422"/>
      <c r="K117" s="1422"/>
      <c r="L117" s="1422"/>
      <c r="M117" s="1422"/>
      <c r="N117" s="1422"/>
      <c r="O117" s="1422"/>
    </row>
    <row r="118" spans="9:15">
      <c r="I118" s="1422"/>
      <c r="J118" s="1422"/>
      <c r="K118" s="1422"/>
      <c r="L118" s="1422"/>
      <c r="M118" s="1422"/>
      <c r="N118" s="1422"/>
      <c r="O118" s="1422"/>
    </row>
    <row r="119" spans="9:15">
      <c r="I119" s="1422"/>
      <c r="J119" s="1422"/>
      <c r="K119" s="1422"/>
      <c r="L119" s="1422"/>
      <c r="M119" s="1422"/>
      <c r="N119" s="1422"/>
      <c r="O119" s="1422"/>
    </row>
    <row r="120" spans="9:15">
      <c r="I120" s="1422"/>
      <c r="J120" s="1422"/>
      <c r="K120" s="1422"/>
      <c r="L120" s="1422"/>
      <c r="M120" s="1422"/>
      <c r="N120" s="1422"/>
      <c r="O120" s="1422"/>
    </row>
    <row r="121" spans="9:15">
      <c r="I121" s="1422"/>
      <c r="J121" s="1422"/>
      <c r="K121" s="1422"/>
      <c r="L121" s="1422"/>
      <c r="M121" s="1422"/>
      <c r="N121" s="1422"/>
      <c r="O121" s="1422"/>
    </row>
    <row r="122" spans="9:15">
      <c r="I122" s="1422"/>
      <c r="J122" s="1422"/>
      <c r="K122" s="1422"/>
      <c r="L122" s="1422"/>
      <c r="M122" s="1422"/>
      <c r="N122" s="1422"/>
      <c r="O122" s="1422"/>
    </row>
    <row r="123" spans="9:15">
      <c r="I123" s="1422"/>
      <c r="J123" s="1422"/>
      <c r="K123" s="1422"/>
      <c r="L123" s="1422"/>
      <c r="M123" s="1422"/>
      <c r="N123" s="1422"/>
      <c r="O123" s="1422"/>
    </row>
    <row r="124" spans="9:15">
      <c r="I124" s="1422"/>
      <c r="J124" s="1422"/>
      <c r="K124" s="1422"/>
      <c r="L124" s="1422"/>
      <c r="M124" s="1422"/>
      <c r="N124" s="1422"/>
      <c r="O124" s="1422"/>
    </row>
  </sheetData>
  <phoneticPr fontId="13"/>
  <pageMargins left="0.74803149606299213" right="0.74803149606299213" top="0.98425196850393704" bottom="0.98425196850393704" header="0.51181102362204722" footer="0.51181102362204722"/>
  <pageSetup paperSize="9" scale="9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7A549-1129-4E02-BB17-977A3B1794E5}">
  <dimension ref="A1:AA72"/>
  <sheetViews>
    <sheetView workbookViewId="0">
      <pane xSplit="2" ySplit="5" topLeftCell="Q23" activePane="bottomRight" state="frozen"/>
      <selection pane="topRight" activeCell="C1" sqref="C1"/>
      <selection pane="bottomLeft" activeCell="A6" sqref="A6"/>
      <selection pane="bottomRight" activeCell="T23" sqref="T23"/>
    </sheetView>
  </sheetViews>
  <sheetFormatPr defaultColWidth="7.0703125" defaultRowHeight="13"/>
  <cols>
    <col min="1" max="1" width="2.5" style="75" customWidth="1"/>
    <col min="2" max="2" width="28.640625" style="75" customWidth="1"/>
    <col min="3" max="12" width="10.2109375" style="75" hidden="1" customWidth="1"/>
    <col min="13" max="25" width="10.2109375" style="75" customWidth="1"/>
    <col min="26" max="26" width="7.2109375" style="75" bestFit="1" customWidth="1"/>
    <col min="27" max="28" width="7.140625" style="75" bestFit="1" customWidth="1"/>
    <col min="29" max="29" width="8.35546875" style="75" bestFit="1" customWidth="1"/>
    <col min="30" max="16384" width="7.0703125" style="75"/>
  </cols>
  <sheetData>
    <row r="1" spans="1:25">
      <c r="B1" s="1791" t="s">
        <v>1639</v>
      </c>
      <c r="T1" s="891"/>
    </row>
    <row r="2" spans="1:25">
      <c r="B2" s="1791"/>
      <c r="S2" s="132"/>
      <c r="T2" s="132"/>
      <c r="U2" s="132"/>
      <c r="V2" s="132"/>
      <c r="W2" s="132"/>
      <c r="X2" s="132" t="s">
        <v>351</v>
      </c>
    </row>
    <row r="3" spans="1:25">
      <c r="A3" s="1792"/>
      <c r="B3" s="130"/>
      <c r="C3" s="1799"/>
      <c r="D3" s="1799"/>
      <c r="E3" s="1799"/>
      <c r="F3" s="1799"/>
      <c r="G3" s="1799"/>
      <c r="H3" s="130"/>
      <c r="I3" s="130"/>
      <c r="J3" s="130"/>
      <c r="K3" s="130"/>
      <c r="L3" s="130"/>
      <c r="M3" s="130"/>
      <c r="N3" s="130"/>
      <c r="O3" s="130"/>
      <c r="P3" s="130"/>
      <c r="Q3" s="130"/>
      <c r="R3" s="130"/>
      <c r="Y3" s="130"/>
    </row>
    <row r="4" spans="1:25" ht="16.5">
      <c r="A4" s="1793"/>
      <c r="B4" s="75" t="s">
        <v>1640</v>
      </c>
      <c r="C4" s="568" t="s">
        <v>364</v>
      </c>
      <c r="D4" s="568" t="s">
        <v>365</v>
      </c>
      <c r="E4" s="568" t="s">
        <v>366</v>
      </c>
      <c r="F4" s="568" t="s">
        <v>367</v>
      </c>
      <c r="G4" s="568" t="s">
        <v>368</v>
      </c>
      <c r="H4" s="628" t="s">
        <v>369</v>
      </c>
      <c r="I4" s="628" t="s">
        <v>370</v>
      </c>
      <c r="J4" s="628" t="s">
        <v>858</v>
      </c>
      <c r="K4" s="628" t="s">
        <v>859</v>
      </c>
      <c r="L4" s="628" t="s">
        <v>1641</v>
      </c>
      <c r="M4" s="628" t="s">
        <v>101</v>
      </c>
      <c r="N4" s="628" t="s">
        <v>317</v>
      </c>
      <c r="O4" s="628" t="s">
        <v>1692</v>
      </c>
      <c r="P4" s="628" t="s">
        <v>1642</v>
      </c>
      <c r="Q4" s="628" t="s">
        <v>1643</v>
      </c>
      <c r="R4" s="628" t="s">
        <v>1644</v>
      </c>
      <c r="S4" s="628" t="s">
        <v>1645</v>
      </c>
      <c r="T4" s="628" t="s">
        <v>1646</v>
      </c>
      <c r="U4" s="628" t="s">
        <v>1536</v>
      </c>
      <c r="V4" s="628" t="s">
        <v>1537</v>
      </c>
      <c r="W4" s="628" t="s">
        <v>1558</v>
      </c>
      <c r="X4" s="628" t="s">
        <v>1559</v>
      </c>
      <c r="Y4" s="628" t="s">
        <v>1560</v>
      </c>
    </row>
    <row r="5" spans="1:25">
      <c r="A5" s="1794"/>
      <c r="B5" s="132"/>
      <c r="C5" s="526"/>
      <c r="D5" s="526"/>
      <c r="E5" s="526"/>
      <c r="F5" s="526"/>
      <c r="G5" s="526"/>
      <c r="H5" s="132"/>
      <c r="I5" s="132"/>
      <c r="J5" s="132"/>
      <c r="K5" s="132"/>
      <c r="L5" s="132"/>
      <c r="M5" s="132"/>
      <c r="N5" s="132"/>
      <c r="O5" s="132"/>
      <c r="P5" s="132"/>
      <c r="Q5" s="132"/>
      <c r="R5" s="132"/>
      <c r="Y5" s="132"/>
    </row>
    <row r="6" spans="1:25">
      <c r="A6" s="1792"/>
      <c r="B6" s="1795" t="s">
        <v>294</v>
      </c>
      <c r="C6" s="1800"/>
      <c r="D6" s="1800"/>
      <c r="E6" s="1800"/>
      <c r="F6" s="1800"/>
      <c r="G6" s="1800"/>
      <c r="H6" s="80">
        <v>12941390.801238377</v>
      </c>
      <c r="I6" s="80">
        <v>13078026.017082801</v>
      </c>
      <c r="J6" s="80">
        <v>12864972.249252094</v>
      </c>
      <c r="K6" s="80">
        <v>12734654.393827613</v>
      </c>
      <c r="L6" s="80">
        <v>12756939.555404345</v>
      </c>
      <c r="M6" s="80">
        <v>12761443</v>
      </c>
      <c r="N6" s="80">
        <v>12744229</v>
      </c>
      <c r="O6" s="80">
        <v>13077487</v>
      </c>
      <c r="P6" s="80">
        <v>12910180</v>
      </c>
      <c r="Q6" s="80">
        <v>13068268</v>
      </c>
      <c r="R6" s="80">
        <v>12971297</v>
      </c>
      <c r="S6" s="80">
        <v>13163075</v>
      </c>
      <c r="T6" s="80">
        <v>13228280</v>
      </c>
      <c r="U6" s="80">
        <v>13235618</v>
      </c>
      <c r="V6" s="80">
        <v>12662771</v>
      </c>
      <c r="W6" s="80">
        <v>13082778</v>
      </c>
      <c r="X6" s="80">
        <v>13825263</v>
      </c>
      <c r="Y6" s="79">
        <v>14024566</v>
      </c>
    </row>
    <row r="7" spans="1:25">
      <c r="A7" s="1793"/>
      <c r="B7" s="1644" t="s">
        <v>1647</v>
      </c>
      <c r="C7" s="1801"/>
      <c r="D7" s="1801"/>
      <c r="E7" s="1801"/>
      <c r="F7" s="1801"/>
      <c r="G7" s="1801"/>
      <c r="H7" s="79">
        <v>12699397.724609096</v>
      </c>
      <c r="I7" s="79">
        <v>12845310.228085611</v>
      </c>
      <c r="J7" s="79">
        <v>12637574.168133972</v>
      </c>
      <c r="K7" s="79">
        <v>12505907.978700772</v>
      </c>
      <c r="L7" s="79">
        <v>12512627.028451113</v>
      </c>
      <c r="M7" s="79">
        <v>12490360</v>
      </c>
      <c r="N7" s="79">
        <v>12467479</v>
      </c>
      <c r="O7" s="79">
        <v>12803477</v>
      </c>
      <c r="P7" s="79">
        <v>12674261</v>
      </c>
      <c r="Q7" s="79">
        <v>12787400</v>
      </c>
      <c r="R7" s="79">
        <v>12663648</v>
      </c>
      <c r="S7" s="79">
        <v>12850656</v>
      </c>
      <c r="T7" s="79">
        <v>12940337</v>
      </c>
      <c r="U7" s="79">
        <v>12910980</v>
      </c>
      <c r="V7" s="79">
        <v>12281151</v>
      </c>
      <c r="W7" s="79">
        <v>12712719</v>
      </c>
      <c r="X7" s="79">
        <v>13459483</v>
      </c>
      <c r="Y7" s="79">
        <v>13626319</v>
      </c>
    </row>
    <row r="8" spans="1:25">
      <c r="A8" s="1793"/>
      <c r="B8" s="1644" t="s">
        <v>1648</v>
      </c>
      <c r="C8" s="1802"/>
      <c r="D8" s="1802"/>
      <c r="E8" s="1802"/>
      <c r="F8" s="1802"/>
      <c r="G8" s="1802"/>
      <c r="H8" s="1803">
        <v>1684754.6168261529</v>
      </c>
      <c r="I8" s="1803">
        <v>1726098.6991475956</v>
      </c>
      <c r="J8" s="1803">
        <v>1774267.0027367959</v>
      </c>
      <c r="K8" s="1803">
        <v>1795679.5821410934</v>
      </c>
      <c r="L8" s="1803">
        <v>1837485.8109097495</v>
      </c>
      <c r="M8" s="1803">
        <v>1848373</v>
      </c>
      <c r="N8" s="1803">
        <v>1882721</v>
      </c>
      <c r="O8" s="1803">
        <v>1928302</v>
      </c>
      <c r="P8" s="1803">
        <v>1969242</v>
      </c>
      <c r="Q8" s="1803">
        <v>2029651</v>
      </c>
      <c r="R8" s="1803">
        <v>2027953</v>
      </c>
      <c r="S8" s="1803">
        <v>2042184</v>
      </c>
      <c r="T8" s="1803">
        <v>2036094</v>
      </c>
      <c r="U8" s="1803">
        <v>2026879</v>
      </c>
      <c r="V8" s="1803">
        <v>1999632</v>
      </c>
      <c r="W8" s="1803">
        <v>2014235</v>
      </c>
      <c r="X8" s="1803">
        <v>2083644</v>
      </c>
      <c r="Y8" s="1803">
        <v>2169260</v>
      </c>
    </row>
    <row r="9" spans="1:25">
      <c r="A9" s="1793"/>
      <c r="B9" s="1644" t="s">
        <v>148</v>
      </c>
      <c r="C9" s="1802"/>
      <c r="D9" s="1802"/>
      <c r="E9" s="1802"/>
      <c r="F9" s="1802"/>
      <c r="G9" s="1802"/>
      <c r="H9" s="1803">
        <v>356505.19811528339</v>
      </c>
      <c r="I9" s="1803">
        <v>340356.90186250507</v>
      </c>
      <c r="J9" s="1803">
        <v>324580.74409448163</v>
      </c>
      <c r="K9" s="1803">
        <v>311812.55712745484</v>
      </c>
      <c r="L9" s="1803">
        <v>309929.36868694867</v>
      </c>
      <c r="M9" s="1803">
        <v>325888</v>
      </c>
      <c r="N9" s="1803">
        <v>319023</v>
      </c>
      <c r="O9" s="1803">
        <v>322335</v>
      </c>
      <c r="P9" s="1803">
        <v>303823</v>
      </c>
      <c r="Q9" s="1803">
        <v>315847</v>
      </c>
      <c r="R9" s="1803">
        <v>312565</v>
      </c>
      <c r="S9" s="1803">
        <v>310146</v>
      </c>
      <c r="T9" s="1803">
        <v>297428</v>
      </c>
      <c r="U9" s="1803">
        <v>302091</v>
      </c>
      <c r="V9" s="1803">
        <v>305411</v>
      </c>
      <c r="W9" s="1803">
        <v>315985</v>
      </c>
      <c r="X9" s="1803">
        <v>318127</v>
      </c>
      <c r="Y9" s="1803">
        <v>321412</v>
      </c>
    </row>
    <row r="10" spans="1:25">
      <c r="A10" s="1793"/>
      <c r="B10" s="1644" t="s">
        <v>150</v>
      </c>
      <c r="C10" s="1802"/>
      <c r="D10" s="1802"/>
      <c r="E10" s="1802"/>
      <c r="F10" s="1802"/>
      <c r="G10" s="1802"/>
      <c r="H10" s="1803">
        <v>450456.94470061664</v>
      </c>
      <c r="I10" s="1803">
        <v>441178.41048146068</v>
      </c>
      <c r="J10" s="1803">
        <v>441305.09085760079</v>
      </c>
      <c r="K10" s="1803">
        <v>434431.20242804702</v>
      </c>
      <c r="L10" s="1803">
        <v>427703.70775448723</v>
      </c>
      <c r="M10" s="1803">
        <v>439785</v>
      </c>
      <c r="N10" s="1803">
        <v>455791</v>
      </c>
      <c r="O10" s="1803">
        <v>509443</v>
      </c>
      <c r="P10" s="1803">
        <v>516539</v>
      </c>
      <c r="Q10" s="1803">
        <v>512677</v>
      </c>
      <c r="R10" s="1803">
        <v>456815</v>
      </c>
      <c r="S10" s="1803">
        <v>454800</v>
      </c>
      <c r="T10" s="1803">
        <v>463884</v>
      </c>
      <c r="U10" s="1803">
        <v>445038</v>
      </c>
      <c r="V10" s="1803">
        <v>401175</v>
      </c>
      <c r="W10" s="1803">
        <v>409316</v>
      </c>
      <c r="X10" s="1803">
        <v>468070</v>
      </c>
      <c r="Y10" s="1803">
        <v>462167</v>
      </c>
    </row>
    <row r="11" spans="1:25">
      <c r="A11" s="1793"/>
      <c r="B11" s="1644" t="s">
        <v>1649</v>
      </c>
      <c r="C11" s="1802"/>
      <c r="D11" s="1802"/>
      <c r="E11" s="1802"/>
      <c r="F11" s="1802"/>
      <c r="G11" s="1802"/>
      <c r="H11" s="1803">
        <v>3245590.5537281595</v>
      </c>
      <c r="I11" s="1803">
        <v>3294785.0011203885</v>
      </c>
      <c r="J11" s="1803">
        <v>3281482.6767829051</v>
      </c>
      <c r="K11" s="1803">
        <v>3290198.6264698496</v>
      </c>
      <c r="L11" s="1803">
        <v>3340921.816581408</v>
      </c>
      <c r="M11" s="1803">
        <v>3348562</v>
      </c>
      <c r="N11" s="1803">
        <v>3397038</v>
      </c>
      <c r="O11" s="1803">
        <v>3431289</v>
      </c>
      <c r="P11" s="1803">
        <v>3415248</v>
      </c>
      <c r="Q11" s="1803">
        <v>3341591</v>
      </c>
      <c r="R11" s="1803">
        <v>3307317</v>
      </c>
      <c r="S11" s="1803">
        <v>3345351</v>
      </c>
      <c r="T11" s="1803">
        <v>3330009</v>
      </c>
      <c r="U11" s="1803">
        <v>3363780</v>
      </c>
      <c r="V11" s="1803">
        <v>3410977</v>
      </c>
      <c r="W11" s="1803">
        <v>3517797</v>
      </c>
      <c r="X11" s="1803">
        <v>3649458</v>
      </c>
      <c r="Y11" s="1803">
        <v>3637812</v>
      </c>
    </row>
    <row r="12" spans="1:25">
      <c r="A12" s="1793"/>
      <c r="B12" s="1644" t="s">
        <v>151</v>
      </c>
      <c r="C12" s="1802"/>
      <c r="D12" s="1802"/>
      <c r="E12" s="1802"/>
      <c r="F12" s="1802"/>
      <c r="G12" s="1802"/>
      <c r="H12" s="1803">
        <v>526594.30610005744</v>
      </c>
      <c r="I12" s="1803">
        <v>510381.26956722856</v>
      </c>
      <c r="J12" s="1803">
        <v>504543.71443713043</v>
      </c>
      <c r="K12" s="1803">
        <v>475378.20391618664</v>
      </c>
      <c r="L12" s="1803">
        <v>484394.2794645782</v>
      </c>
      <c r="M12" s="1803">
        <v>454620</v>
      </c>
      <c r="N12" s="1803">
        <v>464465</v>
      </c>
      <c r="O12" s="1803">
        <v>530269</v>
      </c>
      <c r="P12" s="1803">
        <v>508261</v>
      </c>
      <c r="Q12" s="1803">
        <v>499647</v>
      </c>
      <c r="R12" s="1803">
        <v>485085</v>
      </c>
      <c r="S12" s="1803">
        <v>484135</v>
      </c>
      <c r="T12" s="1803">
        <v>478956</v>
      </c>
      <c r="U12" s="1803">
        <v>468472</v>
      </c>
      <c r="V12" s="1803">
        <v>488799</v>
      </c>
      <c r="W12" s="1803">
        <v>516433</v>
      </c>
      <c r="X12" s="1803">
        <v>551882</v>
      </c>
      <c r="Y12" s="1803">
        <v>537499</v>
      </c>
    </row>
    <row r="13" spans="1:25">
      <c r="A13" s="1793"/>
      <c r="B13" s="1644" t="s">
        <v>152</v>
      </c>
      <c r="C13" s="1802"/>
      <c r="D13" s="1802"/>
      <c r="E13" s="1802"/>
      <c r="F13" s="1802"/>
      <c r="G13" s="1802"/>
      <c r="H13" s="1803">
        <v>437182.24726340134</v>
      </c>
      <c r="I13" s="1803">
        <v>440776.17029346531</v>
      </c>
      <c r="J13" s="1803">
        <v>447245.74086557858</v>
      </c>
      <c r="K13" s="1803">
        <v>464834.93454002205</v>
      </c>
      <c r="L13" s="1803">
        <v>470787.04714687343</v>
      </c>
      <c r="M13" s="1803">
        <v>484686</v>
      </c>
      <c r="N13" s="1803">
        <v>480248</v>
      </c>
      <c r="O13" s="1803">
        <v>487962</v>
      </c>
      <c r="P13" s="1803">
        <v>489249</v>
      </c>
      <c r="Q13" s="1803">
        <v>504030</v>
      </c>
      <c r="R13" s="1803">
        <v>492270</v>
      </c>
      <c r="S13" s="1803">
        <v>503846</v>
      </c>
      <c r="T13" s="1803">
        <v>512583</v>
      </c>
      <c r="U13" s="1803">
        <v>535119</v>
      </c>
      <c r="V13" s="1803">
        <v>554642</v>
      </c>
      <c r="W13" s="1803">
        <v>502181</v>
      </c>
      <c r="X13" s="1803">
        <v>514117</v>
      </c>
      <c r="Y13" s="1803">
        <v>502408</v>
      </c>
    </row>
    <row r="14" spans="1:25">
      <c r="A14" s="1793"/>
      <c r="B14" s="1644" t="s">
        <v>153</v>
      </c>
      <c r="C14" s="1802"/>
      <c r="D14" s="1802"/>
      <c r="E14" s="1802"/>
      <c r="F14" s="1802"/>
      <c r="G14" s="1802"/>
      <c r="H14" s="1803">
        <v>1370634.6231476632</v>
      </c>
      <c r="I14" s="1803">
        <v>1365103.5977377868</v>
      </c>
      <c r="J14" s="1803">
        <v>1325707.4504650531</v>
      </c>
      <c r="K14" s="1803">
        <v>1314877.4022629301</v>
      </c>
      <c r="L14" s="1803">
        <v>1262736.7229057127</v>
      </c>
      <c r="M14" s="1803">
        <v>1295772</v>
      </c>
      <c r="N14" s="1803">
        <v>1283731</v>
      </c>
      <c r="O14" s="1803">
        <v>1271821</v>
      </c>
      <c r="P14" s="1803">
        <v>1215816</v>
      </c>
      <c r="Q14" s="1803">
        <v>1140377</v>
      </c>
      <c r="R14" s="1803">
        <v>1093548</v>
      </c>
      <c r="S14" s="1803">
        <v>1047142</v>
      </c>
      <c r="T14" s="1803">
        <v>984221</v>
      </c>
      <c r="U14" s="1803">
        <v>868709</v>
      </c>
      <c r="V14" s="1803">
        <v>633320</v>
      </c>
      <c r="W14" s="1803">
        <v>692237</v>
      </c>
      <c r="X14" s="1803">
        <v>744591</v>
      </c>
      <c r="Y14" s="1803">
        <v>747869</v>
      </c>
    </row>
    <row r="15" spans="1:25">
      <c r="A15" s="1793"/>
      <c r="B15" s="1644" t="s">
        <v>1650</v>
      </c>
      <c r="C15" s="1802"/>
      <c r="D15" s="1802"/>
      <c r="E15" s="1802"/>
      <c r="F15" s="1802"/>
      <c r="G15" s="1802"/>
      <c r="H15" s="1803">
        <v>661840.71950619889</v>
      </c>
      <c r="I15" s="1803">
        <v>680984.24629835086</v>
      </c>
      <c r="J15" s="1803">
        <v>663624.49595286499</v>
      </c>
      <c r="K15" s="1803">
        <v>670662.26893635793</v>
      </c>
      <c r="L15" s="1803">
        <v>705521.81536747376</v>
      </c>
      <c r="M15" s="1803">
        <v>641242</v>
      </c>
      <c r="N15" s="1803">
        <v>597900</v>
      </c>
      <c r="O15" s="1803">
        <v>644187</v>
      </c>
      <c r="P15" s="1803">
        <v>638523</v>
      </c>
      <c r="Q15" s="1803">
        <v>629650</v>
      </c>
      <c r="R15" s="1803">
        <v>634828</v>
      </c>
      <c r="S15" s="1803">
        <v>651209</v>
      </c>
      <c r="T15" s="1803">
        <v>670448</v>
      </c>
      <c r="U15" s="1803">
        <v>663791</v>
      </c>
      <c r="V15" s="1803">
        <v>723980</v>
      </c>
      <c r="W15" s="1803">
        <v>734541</v>
      </c>
      <c r="X15" s="1803">
        <v>755085</v>
      </c>
      <c r="Y15" s="1803">
        <v>747182</v>
      </c>
    </row>
    <row r="16" spans="1:25">
      <c r="A16" s="1793"/>
      <c r="B16" s="1644" t="s">
        <v>1651</v>
      </c>
      <c r="C16" s="1802"/>
      <c r="D16" s="1802"/>
      <c r="E16" s="1802"/>
      <c r="F16" s="1802"/>
      <c r="G16" s="1802"/>
      <c r="H16" s="1803">
        <v>997502.7236050166</v>
      </c>
      <c r="I16" s="1803">
        <v>970792.07069771073</v>
      </c>
      <c r="J16" s="1803">
        <v>933049.84360096685</v>
      </c>
      <c r="K16" s="1803">
        <v>874181.50188038498</v>
      </c>
      <c r="L16" s="1803">
        <v>817689.53831086226</v>
      </c>
      <c r="M16" s="1803">
        <v>791861</v>
      </c>
      <c r="N16" s="1803">
        <v>804011</v>
      </c>
      <c r="O16" s="1803">
        <v>825542</v>
      </c>
      <c r="P16" s="1803">
        <v>841530</v>
      </c>
      <c r="Q16" s="1803">
        <v>865382</v>
      </c>
      <c r="R16" s="1803">
        <v>832112</v>
      </c>
      <c r="S16" s="1803">
        <v>832789</v>
      </c>
      <c r="T16" s="1803">
        <v>831073</v>
      </c>
      <c r="U16" s="1803">
        <v>817268</v>
      </c>
      <c r="V16" s="1803">
        <v>756004</v>
      </c>
      <c r="W16" s="1803">
        <v>807980</v>
      </c>
      <c r="X16" s="1803">
        <v>842932</v>
      </c>
      <c r="Y16" s="1803">
        <v>845567</v>
      </c>
    </row>
    <row r="17" spans="1:26">
      <c r="A17" s="1793"/>
      <c r="B17" s="1644" t="s">
        <v>1652</v>
      </c>
      <c r="C17" s="1802"/>
      <c r="D17" s="1802"/>
      <c r="E17" s="1802"/>
      <c r="F17" s="1802"/>
      <c r="G17" s="1802"/>
      <c r="H17" s="1803">
        <v>295026.2511814243</v>
      </c>
      <c r="I17" s="1803">
        <v>301042.59682908689</v>
      </c>
      <c r="J17" s="1803">
        <v>306362.15575357934</v>
      </c>
      <c r="K17" s="1803">
        <v>313388.9781284309</v>
      </c>
      <c r="L17" s="1803">
        <v>299181.38648508897</v>
      </c>
      <c r="M17" s="1803">
        <v>303002</v>
      </c>
      <c r="N17" s="1803">
        <v>298083</v>
      </c>
      <c r="O17" s="1803">
        <v>292126</v>
      </c>
      <c r="P17" s="1803">
        <v>294122</v>
      </c>
      <c r="Q17" s="1803">
        <v>301337</v>
      </c>
      <c r="R17" s="1803">
        <v>308104</v>
      </c>
      <c r="S17" s="1803">
        <v>312716</v>
      </c>
      <c r="T17" s="1803">
        <v>321756</v>
      </c>
      <c r="U17" s="1803">
        <v>323202</v>
      </c>
      <c r="V17" s="1803">
        <v>321451</v>
      </c>
      <c r="W17" s="1803">
        <v>331360</v>
      </c>
      <c r="X17" s="1803">
        <v>339405</v>
      </c>
      <c r="Y17" s="1803">
        <v>330607</v>
      </c>
    </row>
    <row r="18" spans="1:26">
      <c r="A18" s="1793"/>
      <c r="B18" s="1644" t="s">
        <v>1653</v>
      </c>
      <c r="C18" s="1802"/>
      <c r="D18" s="1802"/>
      <c r="E18" s="1802"/>
      <c r="F18" s="1802"/>
      <c r="G18" s="1802"/>
      <c r="H18" s="1803">
        <v>986518.20554250246</v>
      </c>
      <c r="I18" s="1803">
        <v>1015378.5777162269</v>
      </c>
      <c r="J18" s="1803">
        <v>1015492.5545554005</v>
      </c>
      <c r="K18" s="1803">
        <v>995963.06307823583</v>
      </c>
      <c r="L18" s="1803">
        <v>974264.99364954559</v>
      </c>
      <c r="M18" s="1803">
        <v>965514</v>
      </c>
      <c r="N18" s="1803">
        <v>954003</v>
      </c>
      <c r="O18" s="1803">
        <v>948530</v>
      </c>
      <c r="P18" s="1803">
        <v>947677</v>
      </c>
      <c r="Q18" s="1803">
        <v>958508</v>
      </c>
      <c r="R18" s="1803">
        <v>965059</v>
      </c>
      <c r="S18" s="1803">
        <v>949955</v>
      </c>
      <c r="T18" s="1803">
        <v>922970</v>
      </c>
      <c r="U18" s="1803">
        <v>890217</v>
      </c>
      <c r="V18" s="1803">
        <v>638424</v>
      </c>
      <c r="W18" s="1803">
        <v>612109</v>
      </c>
      <c r="X18" s="1803">
        <v>751086</v>
      </c>
      <c r="Y18" s="1803">
        <v>778762</v>
      </c>
    </row>
    <row r="19" spans="1:26">
      <c r="A19" s="1793"/>
      <c r="B19" s="1644" t="s">
        <v>1654</v>
      </c>
      <c r="C19" s="1802"/>
      <c r="D19" s="1802"/>
      <c r="E19" s="1802"/>
      <c r="F19" s="1802"/>
      <c r="G19" s="1802"/>
      <c r="H19" s="1803">
        <v>744930.56094308186</v>
      </c>
      <c r="I19" s="1803">
        <v>772213.47289945511</v>
      </c>
      <c r="J19" s="1803">
        <v>614845.47728798969</v>
      </c>
      <c r="K19" s="1803">
        <v>597121.02450192056</v>
      </c>
      <c r="L19" s="1803">
        <v>575624.91044612823</v>
      </c>
      <c r="M19" s="1803">
        <v>564561</v>
      </c>
      <c r="N19" s="1803">
        <v>510041</v>
      </c>
      <c r="O19" s="1803">
        <v>548742</v>
      </c>
      <c r="P19" s="1803">
        <v>499456</v>
      </c>
      <c r="Q19" s="1803">
        <v>542556</v>
      </c>
      <c r="R19" s="1803">
        <v>525966</v>
      </c>
      <c r="S19" s="1803">
        <v>564543</v>
      </c>
      <c r="T19" s="1803">
        <v>597091</v>
      </c>
      <c r="U19" s="1803">
        <v>569114</v>
      </c>
      <c r="V19" s="1803">
        <v>573704</v>
      </c>
      <c r="W19" s="1803">
        <v>639926</v>
      </c>
      <c r="X19" s="1803">
        <v>678099</v>
      </c>
      <c r="Y19" s="1803">
        <v>743977</v>
      </c>
    </row>
    <row r="20" spans="1:26">
      <c r="A20" s="1793"/>
      <c r="B20" s="1644" t="s">
        <v>1655</v>
      </c>
      <c r="C20" s="1802"/>
      <c r="D20" s="1802"/>
      <c r="E20" s="1802"/>
      <c r="F20" s="1802"/>
      <c r="G20" s="1802"/>
      <c r="H20" s="1803">
        <v>941860.77394953824</v>
      </c>
      <c r="I20" s="1803">
        <v>986219.21343435021</v>
      </c>
      <c r="J20" s="1803">
        <v>1005067.2207436266</v>
      </c>
      <c r="K20" s="1803">
        <v>967378.6332898587</v>
      </c>
      <c r="L20" s="1803">
        <v>1006385.6307422575</v>
      </c>
      <c r="M20" s="1803">
        <v>1026495</v>
      </c>
      <c r="N20" s="1803">
        <v>1020425</v>
      </c>
      <c r="O20" s="1803">
        <v>1062927</v>
      </c>
      <c r="P20" s="1803">
        <v>1034776</v>
      </c>
      <c r="Q20" s="1803">
        <v>1146148</v>
      </c>
      <c r="R20" s="1803">
        <v>1222024</v>
      </c>
      <c r="S20" s="1803">
        <v>1351839</v>
      </c>
      <c r="T20" s="1803">
        <v>1493823</v>
      </c>
      <c r="U20" s="1803">
        <v>1637299</v>
      </c>
      <c r="V20" s="1803">
        <v>1473632</v>
      </c>
      <c r="W20" s="1803">
        <v>1618621</v>
      </c>
      <c r="X20" s="1803">
        <v>1762987</v>
      </c>
      <c r="Y20" s="1803">
        <v>1801796</v>
      </c>
    </row>
    <row r="21" spans="1:26">
      <c r="A21" s="1793"/>
      <c r="B21" s="2042" t="s">
        <v>1486</v>
      </c>
      <c r="C21" s="1802"/>
      <c r="D21" s="1802"/>
      <c r="E21" s="1802"/>
      <c r="F21" s="1802"/>
      <c r="G21" s="1802"/>
      <c r="H21" s="1804">
        <v>10479883.627233401</v>
      </c>
      <c r="I21" s="1804">
        <v>10605175.728955412</v>
      </c>
      <c r="J21" s="1804">
        <v>10395880.124728203</v>
      </c>
      <c r="K21" s="1804">
        <v>10228766.431213174</v>
      </c>
      <c r="L21" s="1804">
        <v>10204317.349806406</v>
      </c>
      <c r="M21" s="1804">
        <v>10181571</v>
      </c>
      <c r="N21" s="1804">
        <v>10138243</v>
      </c>
      <c r="O21" s="1804">
        <v>10453679</v>
      </c>
      <c r="P21" s="1804">
        <v>10330895</v>
      </c>
      <c r="Q21" s="1804">
        <v>10451222</v>
      </c>
      <c r="R21" s="1804">
        <v>10339906</v>
      </c>
      <c r="S21" s="1804">
        <v>10535223</v>
      </c>
      <c r="T21" s="1804">
        <v>10634416</v>
      </c>
      <c r="U21" s="1804">
        <v>10551567</v>
      </c>
      <c r="V21" s="1804">
        <v>9864393</v>
      </c>
      <c r="W21" s="1804">
        <v>10239333</v>
      </c>
      <c r="X21" s="1804">
        <v>10931802</v>
      </c>
      <c r="Y21" s="1804">
        <v>11041589</v>
      </c>
    </row>
    <row r="22" spans="1:26">
      <c r="A22" s="1793"/>
      <c r="B22" s="2042" t="s">
        <v>1487</v>
      </c>
      <c r="C22" s="1802"/>
      <c r="D22" s="1802"/>
      <c r="E22" s="1802"/>
      <c r="F22" s="1802"/>
      <c r="G22" s="1802"/>
      <c r="H22" s="1803">
        <v>2219514.0973756947</v>
      </c>
      <c r="I22" s="1803">
        <v>2240134.4991301987</v>
      </c>
      <c r="J22" s="1803">
        <v>2241694.0434057703</v>
      </c>
      <c r="K22" s="1803">
        <v>2277141.5474875984</v>
      </c>
      <c r="L22" s="1803">
        <v>2308309.6786447084</v>
      </c>
      <c r="M22" s="1803">
        <v>2308789</v>
      </c>
      <c r="N22" s="1803">
        <v>2329236</v>
      </c>
      <c r="O22" s="1803">
        <v>2349798</v>
      </c>
      <c r="P22" s="1803">
        <v>2343367</v>
      </c>
      <c r="Q22" s="1803">
        <v>2336178</v>
      </c>
      <c r="R22" s="1803">
        <v>2323742</v>
      </c>
      <c r="S22" s="1803">
        <v>2315433</v>
      </c>
      <c r="T22" s="1803">
        <v>2305921</v>
      </c>
      <c r="U22" s="1803">
        <v>2359412</v>
      </c>
      <c r="V22" s="1803">
        <v>2416758</v>
      </c>
      <c r="W22" s="1803">
        <v>2473386</v>
      </c>
      <c r="X22" s="1803">
        <v>2527681</v>
      </c>
      <c r="Y22" s="1803">
        <v>2584731</v>
      </c>
    </row>
    <row r="23" spans="1:26">
      <c r="A23" s="1793"/>
      <c r="B23" s="1644" t="s">
        <v>1656</v>
      </c>
      <c r="C23" s="1802"/>
      <c r="D23" s="1802"/>
      <c r="E23" s="1802"/>
      <c r="F23" s="1802"/>
      <c r="G23" s="1802"/>
      <c r="H23" s="1803">
        <v>241993.07662928131</v>
      </c>
      <c r="I23" s="1803">
        <v>232715.78899719028</v>
      </c>
      <c r="J23" s="1803">
        <v>227398.08111812259</v>
      </c>
      <c r="K23" s="1803">
        <v>228746.41512684067</v>
      </c>
      <c r="L23" s="1803">
        <v>244312.52695323215</v>
      </c>
      <c r="M23" s="1803">
        <v>271083</v>
      </c>
      <c r="N23" s="1803">
        <v>276750</v>
      </c>
      <c r="O23" s="1803">
        <v>274010</v>
      </c>
      <c r="P23" s="1803">
        <v>235919</v>
      </c>
      <c r="Q23" s="1803">
        <v>280867</v>
      </c>
      <c r="R23" s="1803">
        <v>307649</v>
      </c>
      <c r="S23" s="1803">
        <v>312420</v>
      </c>
      <c r="T23" s="1803">
        <v>287943</v>
      </c>
      <c r="U23" s="1803">
        <v>324638</v>
      </c>
      <c r="V23" s="1803">
        <v>381620</v>
      </c>
      <c r="W23" s="1803">
        <v>370058</v>
      </c>
      <c r="X23" s="1803">
        <v>365779</v>
      </c>
      <c r="Y23" s="1803">
        <v>398247</v>
      </c>
    </row>
    <row r="24" spans="1:26">
      <c r="A24" s="1793"/>
      <c r="B24" s="2043" t="s">
        <v>1657</v>
      </c>
      <c r="C24" s="1801"/>
      <c r="D24" s="1801"/>
      <c r="E24" s="1801"/>
      <c r="F24" s="1801"/>
      <c r="G24" s="1801"/>
      <c r="H24" s="733">
        <v>2717551.0588340145</v>
      </c>
      <c r="I24" s="733">
        <v>2793772.9861393608</v>
      </c>
      <c r="J24" s="733">
        <v>2875234.4837560006</v>
      </c>
      <c r="K24" s="733">
        <v>2940281.0670805378</v>
      </c>
      <c r="L24" s="733">
        <v>2939829.2635617587</v>
      </c>
      <c r="M24" s="733">
        <v>3018893</v>
      </c>
      <c r="N24" s="733">
        <v>3020607</v>
      </c>
      <c r="O24" s="733">
        <v>3058136</v>
      </c>
      <c r="P24" s="733">
        <v>3135699</v>
      </c>
      <c r="Q24" s="733">
        <v>3190990</v>
      </c>
      <c r="R24" s="733">
        <v>3212496</v>
      </c>
      <c r="S24" s="733">
        <v>3255723</v>
      </c>
      <c r="T24" s="733">
        <v>3278619</v>
      </c>
      <c r="U24" s="733">
        <v>3388684</v>
      </c>
      <c r="V24" s="733">
        <v>3385407</v>
      </c>
      <c r="W24" s="733">
        <v>3602973</v>
      </c>
      <c r="X24" s="733">
        <v>3685909</v>
      </c>
      <c r="Y24" s="733">
        <v>3662061</v>
      </c>
    </row>
    <row r="25" spans="1:26">
      <c r="A25" s="1793"/>
      <c r="H25" s="1804"/>
      <c r="I25" s="1804"/>
      <c r="J25" s="1804"/>
      <c r="K25" s="1804"/>
      <c r="L25" s="1804"/>
      <c r="M25" s="1804"/>
      <c r="N25" s="1804"/>
      <c r="O25" s="1804"/>
      <c r="P25" s="1804"/>
      <c r="Q25" s="1804"/>
      <c r="R25" s="1804"/>
      <c r="S25" s="1804"/>
      <c r="T25" s="1804"/>
      <c r="U25" s="1804"/>
      <c r="V25" s="1804"/>
      <c r="W25" s="1804"/>
      <c r="X25" s="1804"/>
      <c r="Y25" s="1804"/>
    </row>
    <row r="26" spans="1:26">
      <c r="A26" s="1793"/>
      <c r="B26" s="2044" t="s">
        <v>1658</v>
      </c>
      <c r="C26" s="1802"/>
      <c r="D26" s="1802"/>
      <c r="E26" s="1802"/>
      <c r="F26" s="1802"/>
      <c r="G26" s="1802"/>
      <c r="H26" s="1803">
        <v>741459.42083763983</v>
      </c>
      <c r="I26" s="1803">
        <v>785566.43644816789</v>
      </c>
      <c r="J26" s="1803">
        <v>756614.61354151589</v>
      </c>
      <c r="K26" s="1803">
        <v>721135.72367473901</v>
      </c>
      <c r="L26" s="1803">
        <v>734687.10918004415</v>
      </c>
      <c r="M26" s="1803">
        <v>726902</v>
      </c>
      <c r="N26" s="1803">
        <v>699221</v>
      </c>
      <c r="O26" s="1803">
        <v>673147</v>
      </c>
      <c r="P26" s="1803">
        <v>685597</v>
      </c>
      <c r="Q26" s="1803">
        <v>672595</v>
      </c>
      <c r="R26" s="1803">
        <v>677003</v>
      </c>
      <c r="S26" s="1803">
        <v>591619</v>
      </c>
      <c r="T26" s="1803">
        <v>604053</v>
      </c>
      <c r="U26" s="1803">
        <v>600695</v>
      </c>
      <c r="V26" s="1803">
        <v>607442</v>
      </c>
      <c r="W26" s="1803">
        <v>624350</v>
      </c>
      <c r="X26" s="1803">
        <v>672639</v>
      </c>
      <c r="Y26" s="1803">
        <v>665472</v>
      </c>
    </row>
    <row r="27" spans="1:26">
      <c r="A27" s="1793"/>
      <c r="B27" s="2044" t="s">
        <v>1659</v>
      </c>
      <c r="C27" s="1801"/>
      <c r="D27" s="1801"/>
      <c r="E27" s="1801"/>
      <c r="F27" s="1801"/>
      <c r="G27" s="1801"/>
      <c r="H27" s="1803">
        <v>1031799.1100079662</v>
      </c>
      <c r="I27" s="1803">
        <v>1044797.4997576452</v>
      </c>
      <c r="J27" s="1803">
        <v>1021478.5182024315</v>
      </c>
      <c r="K27" s="1803">
        <v>1059547.7677802017</v>
      </c>
      <c r="L27" s="1803">
        <v>993049.82743237773</v>
      </c>
      <c r="M27" s="1803">
        <v>1002057</v>
      </c>
      <c r="N27" s="1803">
        <v>984743</v>
      </c>
      <c r="O27" s="1803">
        <v>1001579</v>
      </c>
      <c r="P27" s="1803">
        <v>1021095</v>
      </c>
      <c r="Q27" s="1803">
        <v>1037981</v>
      </c>
      <c r="R27" s="1803">
        <v>1027434</v>
      </c>
      <c r="S27" s="1803">
        <v>1120073</v>
      </c>
      <c r="T27" s="1803">
        <v>1113380</v>
      </c>
      <c r="U27" s="1803">
        <v>1179179</v>
      </c>
      <c r="V27" s="1803">
        <v>1196318</v>
      </c>
      <c r="W27" s="1803">
        <v>1341980</v>
      </c>
      <c r="X27" s="1803">
        <v>1330353</v>
      </c>
      <c r="Y27" s="1803">
        <v>1257036</v>
      </c>
    </row>
    <row r="28" spans="1:26">
      <c r="A28" s="1793"/>
      <c r="B28" s="2044" t="s">
        <v>1660</v>
      </c>
      <c r="C28" s="1801"/>
      <c r="D28" s="1801"/>
      <c r="E28" s="1801"/>
      <c r="F28" s="1801"/>
      <c r="G28" s="1801"/>
      <c r="H28" s="1803">
        <v>944292.52798840846</v>
      </c>
      <c r="I28" s="1803">
        <v>963409.04993354762</v>
      </c>
      <c r="J28" s="1803">
        <v>1097141.3520120531</v>
      </c>
      <c r="K28" s="1803">
        <v>1159597.575625597</v>
      </c>
      <c r="L28" s="1803">
        <v>1212092.3269493368</v>
      </c>
      <c r="M28" s="1803">
        <v>1289933</v>
      </c>
      <c r="N28" s="1803">
        <v>1336642</v>
      </c>
      <c r="O28" s="1803">
        <v>1383410</v>
      </c>
      <c r="P28" s="1803">
        <v>1429007</v>
      </c>
      <c r="Q28" s="1803">
        <v>1480415</v>
      </c>
      <c r="R28" s="1803">
        <v>1508060</v>
      </c>
      <c r="S28" s="1803">
        <v>1544031</v>
      </c>
      <c r="T28" s="1803">
        <v>1561186</v>
      </c>
      <c r="U28" s="1803">
        <v>1608811</v>
      </c>
      <c r="V28" s="1803">
        <v>1581648</v>
      </c>
      <c r="W28" s="1803">
        <v>1636642</v>
      </c>
      <c r="X28" s="1803">
        <v>1682918</v>
      </c>
      <c r="Y28" s="1803">
        <v>1739553</v>
      </c>
    </row>
    <row r="29" spans="1:26">
      <c r="A29" s="1793"/>
      <c r="B29" s="1644" t="s">
        <v>1661</v>
      </c>
      <c r="C29" s="568"/>
      <c r="D29" s="568"/>
      <c r="E29" s="568"/>
      <c r="F29" s="568"/>
      <c r="G29" s="568"/>
      <c r="H29" s="1804"/>
      <c r="I29" s="1804"/>
      <c r="J29" s="1804"/>
      <c r="K29" s="1804"/>
      <c r="L29" s="1804"/>
      <c r="M29" s="1804"/>
      <c r="N29" s="1804"/>
      <c r="O29" s="1804"/>
      <c r="P29" s="1804"/>
      <c r="Q29" s="1804"/>
      <c r="R29" s="1804"/>
      <c r="S29" s="1804"/>
      <c r="T29" s="1804"/>
      <c r="U29" s="1804"/>
      <c r="V29" s="1804"/>
      <c r="W29" s="1804"/>
      <c r="X29" s="1804"/>
      <c r="Y29" s="1804"/>
    </row>
    <row r="30" spans="1:26">
      <c r="A30" s="1793"/>
      <c r="B30" s="1644" t="s">
        <v>303</v>
      </c>
      <c r="C30" s="1601"/>
      <c r="D30" s="1601"/>
      <c r="E30" s="1601"/>
      <c r="F30" s="1601"/>
      <c r="G30" s="1601"/>
      <c r="H30" s="79">
        <v>15729061.306969017</v>
      </c>
      <c r="I30" s="79">
        <v>15900394.263061712</v>
      </c>
      <c r="J30" s="79">
        <v>15721508.007473269</v>
      </c>
      <c r="K30" s="79">
        <v>15657518.0678176</v>
      </c>
      <c r="L30" s="79">
        <v>15720716.467978273</v>
      </c>
      <c r="M30" s="79">
        <v>15829183.964920536</v>
      </c>
      <c r="N30" s="79">
        <v>15861922.051788986</v>
      </c>
      <c r="O30" s="79">
        <v>16231861.638297675</v>
      </c>
      <c r="P30" s="79">
        <v>16146175.041752551</v>
      </c>
      <c r="Q30" s="79">
        <v>16354811.646600951</v>
      </c>
      <c r="R30" s="79">
        <v>16395727.303666016</v>
      </c>
      <c r="S30" s="79">
        <v>16716256.892878447</v>
      </c>
      <c r="T30" s="79">
        <v>16921081.632191189</v>
      </c>
      <c r="U30" s="79">
        <v>17165938.205181647</v>
      </c>
      <c r="V30" s="79">
        <v>16506013.047204113</v>
      </c>
      <c r="W30" s="79">
        <v>17119541.039735366</v>
      </c>
      <c r="X30" s="79">
        <v>17956978.28130525</v>
      </c>
      <c r="Y30" s="79"/>
      <c r="Z30" s="75" t="s">
        <v>1662</v>
      </c>
    </row>
    <row r="31" spans="1:26">
      <c r="A31" s="1793"/>
      <c r="B31" s="2044" t="s">
        <v>304</v>
      </c>
      <c r="C31" s="1601"/>
      <c r="D31" s="1601"/>
      <c r="E31" s="1601"/>
      <c r="F31" s="1601"/>
      <c r="G31" s="1601"/>
      <c r="H31" s="1805">
        <v>473405.70485693298</v>
      </c>
      <c r="I31" s="1805">
        <v>480796.09791613778</v>
      </c>
      <c r="J31" s="1805">
        <v>527099.64615162672</v>
      </c>
      <c r="K31" s="1805">
        <v>537921.04425442382</v>
      </c>
      <c r="L31" s="1805">
        <v>541851.75318011187</v>
      </c>
      <c r="M31" s="1805">
        <v>539781.25738814787</v>
      </c>
      <c r="N31" s="1805">
        <v>528870.35237677046</v>
      </c>
      <c r="O31" s="1805">
        <v>513484.54061206931</v>
      </c>
      <c r="P31" s="1805">
        <v>538369.1631980997</v>
      </c>
      <c r="Q31" s="1805">
        <v>536157.52735406009</v>
      </c>
      <c r="R31" s="1805">
        <v>488124.90887597296</v>
      </c>
      <c r="S31" s="1805">
        <v>475804.95671979967</v>
      </c>
      <c r="T31" s="1805">
        <v>491888.30355961929</v>
      </c>
      <c r="U31" s="1805">
        <v>508939.70140444068</v>
      </c>
      <c r="V31" s="1805">
        <v>533083.67630853981</v>
      </c>
      <c r="W31" s="1805">
        <v>598977.67912143061</v>
      </c>
      <c r="X31" s="1805">
        <v>595661.76685266593</v>
      </c>
      <c r="Y31" s="1805"/>
      <c r="Z31" s="75" t="s">
        <v>1663</v>
      </c>
    </row>
    <row r="32" spans="1:26">
      <c r="A32" s="1793"/>
      <c r="B32" s="1796" t="s">
        <v>960</v>
      </c>
      <c r="C32" s="1601"/>
      <c r="D32" s="1601"/>
      <c r="E32" s="1601"/>
      <c r="F32" s="1601"/>
      <c r="G32" s="1601"/>
      <c r="H32" s="79">
        <v>5502314.656165543</v>
      </c>
      <c r="I32" s="79">
        <v>5351092.1839801101</v>
      </c>
      <c r="J32" s="79">
        <v>5392970.9016844202</v>
      </c>
      <c r="K32" s="79">
        <v>4421870.1208948828</v>
      </c>
      <c r="L32" s="79">
        <v>4751970.1664804649</v>
      </c>
      <c r="M32" s="79">
        <v>4727126</v>
      </c>
      <c r="N32" s="79">
        <v>4667450</v>
      </c>
      <c r="O32" s="79">
        <v>5064295</v>
      </c>
      <c r="P32" s="79">
        <v>5011013</v>
      </c>
      <c r="Q32" s="79">
        <v>5303172</v>
      </c>
      <c r="R32" s="79">
        <v>5162907</v>
      </c>
      <c r="S32" s="79">
        <v>5357285</v>
      </c>
      <c r="T32" s="79">
        <v>5296771</v>
      </c>
      <c r="U32" s="79">
        <v>5606972</v>
      </c>
      <c r="V32" s="79">
        <v>5059148</v>
      </c>
      <c r="W32" s="79">
        <v>5418623</v>
      </c>
      <c r="X32" s="79">
        <v>6178844</v>
      </c>
      <c r="Y32" s="79">
        <v>6300813</v>
      </c>
    </row>
    <row r="33" spans="1:26">
      <c r="A33" s="1793"/>
      <c r="B33" s="1644" t="s">
        <v>1664</v>
      </c>
      <c r="C33" s="1601"/>
      <c r="D33" s="1601"/>
      <c r="E33" s="1601"/>
      <c r="F33" s="1601"/>
      <c r="G33" s="1601"/>
      <c r="H33" s="79">
        <v>5475803.1323213503</v>
      </c>
      <c r="I33" s="79">
        <v>5268289.4483515164</v>
      </c>
      <c r="J33" s="79">
        <v>5215112.3656878052</v>
      </c>
      <c r="K33" s="79">
        <v>4609662.2176353093</v>
      </c>
      <c r="L33" s="79">
        <v>4822755.8472669227</v>
      </c>
      <c r="M33" s="79">
        <v>4659897</v>
      </c>
      <c r="N33" s="79">
        <v>4651941</v>
      </c>
      <c r="O33" s="79">
        <v>5002127</v>
      </c>
      <c r="P33" s="79">
        <v>5022673</v>
      </c>
      <c r="Q33" s="79">
        <v>5158713</v>
      </c>
      <c r="R33" s="79">
        <v>5250957</v>
      </c>
      <c r="S33" s="79">
        <v>5290133</v>
      </c>
      <c r="T33" s="79">
        <v>5224267</v>
      </c>
      <c r="U33" s="79">
        <v>5425190</v>
      </c>
      <c r="V33" s="79">
        <v>5292903</v>
      </c>
      <c r="W33" s="79">
        <v>5480427</v>
      </c>
      <c r="X33" s="79">
        <v>5883297</v>
      </c>
      <c r="Y33" s="79">
        <v>6317729</v>
      </c>
    </row>
    <row r="34" spans="1:26">
      <c r="A34" s="1793"/>
      <c r="B34" s="1796" t="s">
        <v>1665</v>
      </c>
      <c r="C34" s="1601"/>
      <c r="D34" s="1601"/>
      <c r="E34" s="1601"/>
      <c r="F34" s="1601"/>
      <c r="G34" s="1601"/>
      <c r="H34" s="79">
        <v>4669900.3625977878</v>
      </c>
      <c r="I34" s="79">
        <v>4582040.2105134204</v>
      </c>
      <c r="J34" s="79">
        <v>4524037.5783767458</v>
      </c>
      <c r="K34" s="79">
        <v>3843900.1003289297</v>
      </c>
      <c r="L34" s="79">
        <v>4001616.109477364</v>
      </c>
      <c r="M34" s="79">
        <v>4013532</v>
      </c>
      <c r="N34" s="79">
        <v>3968552</v>
      </c>
      <c r="O34" s="79">
        <v>4203749</v>
      </c>
      <c r="P34" s="79">
        <v>4269698</v>
      </c>
      <c r="Q34" s="79">
        <v>4375719</v>
      </c>
      <c r="R34" s="79">
        <v>4449223</v>
      </c>
      <c r="S34" s="79">
        <v>4504886</v>
      </c>
      <c r="T34" s="79">
        <v>4480026</v>
      </c>
      <c r="U34" s="79">
        <v>4557876</v>
      </c>
      <c r="V34" s="79">
        <v>4264780</v>
      </c>
      <c r="W34" s="79">
        <v>4487264</v>
      </c>
      <c r="X34" s="79">
        <v>4966774</v>
      </c>
      <c r="Y34" s="79">
        <v>5419265</v>
      </c>
      <c r="Z34" s="1806"/>
    </row>
    <row r="35" spans="1:26">
      <c r="A35" s="1793"/>
      <c r="B35" s="1644" t="s">
        <v>1666</v>
      </c>
      <c r="C35" s="1601"/>
      <c r="D35" s="1601"/>
      <c r="E35" s="1601"/>
      <c r="F35" s="1601"/>
      <c r="G35" s="1601"/>
      <c r="H35" s="1805">
        <v>958034</v>
      </c>
      <c r="I35" s="1805">
        <v>845424</v>
      </c>
      <c r="J35" s="1805">
        <v>789486</v>
      </c>
      <c r="K35" s="1805">
        <v>609131</v>
      </c>
      <c r="L35" s="1805">
        <v>637901</v>
      </c>
      <c r="M35" s="1805">
        <v>666390</v>
      </c>
      <c r="N35" s="1805">
        <v>676351</v>
      </c>
      <c r="O35" s="1805">
        <v>725868</v>
      </c>
      <c r="P35" s="1805">
        <v>709621</v>
      </c>
      <c r="Q35" s="1805">
        <v>746870</v>
      </c>
      <c r="R35" s="1805">
        <v>752059</v>
      </c>
      <c r="S35" s="1805">
        <v>706383</v>
      </c>
      <c r="T35" s="1805">
        <v>672430</v>
      </c>
      <c r="U35" s="1805">
        <v>721016</v>
      </c>
      <c r="V35" s="1805">
        <v>668534</v>
      </c>
      <c r="W35" s="1805">
        <v>761641</v>
      </c>
      <c r="X35" s="1805">
        <v>745739</v>
      </c>
      <c r="Y35" s="1805">
        <v>777461</v>
      </c>
    </row>
    <row r="36" spans="1:26">
      <c r="A36" s="1793"/>
      <c r="B36" s="1644" t="s">
        <v>1667</v>
      </c>
      <c r="C36" s="1807"/>
      <c r="D36" s="1807"/>
      <c r="E36" s="1807"/>
      <c r="F36" s="1807"/>
      <c r="G36" s="1807"/>
      <c r="H36" s="1803">
        <v>3711866.3625977878</v>
      </c>
      <c r="I36" s="1803">
        <v>3736616.2105134204</v>
      </c>
      <c r="J36" s="1803">
        <v>3734551.5783767458</v>
      </c>
      <c r="K36" s="1803">
        <v>3234769.1003289297</v>
      </c>
      <c r="L36" s="1803">
        <v>3363715.109477364</v>
      </c>
      <c r="M36" s="1803">
        <v>3347142</v>
      </c>
      <c r="N36" s="1803">
        <v>3292201</v>
      </c>
      <c r="O36" s="1803">
        <v>3477881</v>
      </c>
      <c r="P36" s="1803">
        <v>3560077</v>
      </c>
      <c r="Q36" s="1803">
        <v>3628849</v>
      </c>
      <c r="R36" s="1803">
        <v>3697164</v>
      </c>
      <c r="S36" s="1803">
        <v>3798503</v>
      </c>
      <c r="T36" s="1803">
        <v>3807596</v>
      </c>
      <c r="U36" s="1803">
        <v>3836860</v>
      </c>
      <c r="V36" s="1803">
        <v>3596246</v>
      </c>
      <c r="W36" s="1803">
        <v>3725623</v>
      </c>
      <c r="X36" s="1803">
        <v>4221035</v>
      </c>
      <c r="Y36" s="1803">
        <v>4641804</v>
      </c>
    </row>
    <row r="37" spans="1:26">
      <c r="A37" s="1793"/>
      <c r="B37" s="1796" t="s">
        <v>1668</v>
      </c>
      <c r="C37" s="1601"/>
      <c r="D37" s="1601"/>
      <c r="E37" s="1601"/>
      <c r="F37" s="1601"/>
      <c r="G37" s="1601"/>
      <c r="H37" s="79">
        <v>805902.76972356229</v>
      </c>
      <c r="I37" s="79">
        <v>686249.23783809599</v>
      </c>
      <c r="J37" s="79">
        <v>691074.78731105966</v>
      </c>
      <c r="K37" s="79">
        <v>765762.11730637983</v>
      </c>
      <c r="L37" s="79">
        <v>821139.7377895586</v>
      </c>
      <c r="M37" s="79">
        <v>646366</v>
      </c>
      <c r="N37" s="79">
        <v>683388</v>
      </c>
      <c r="O37" s="79">
        <v>798377</v>
      </c>
      <c r="P37" s="79">
        <v>752975</v>
      </c>
      <c r="Q37" s="79">
        <v>782994</v>
      </c>
      <c r="R37" s="79">
        <v>801734</v>
      </c>
      <c r="S37" s="79">
        <v>785248</v>
      </c>
      <c r="T37" s="79">
        <v>744241</v>
      </c>
      <c r="U37" s="79">
        <v>867314</v>
      </c>
      <c r="V37" s="79">
        <v>1028123</v>
      </c>
      <c r="W37" s="79">
        <v>993162</v>
      </c>
      <c r="X37" s="79">
        <v>916523</v>
      </c>
      <c r="Y37" s="79">
        <v>898464</v>
      </c>
    </row>
    <row r="38" spans="1:26">
      <c r="A38" s="1793"/>
      <c r="B38" s="1644" t="s">
        <v>1666</v>
      </c>
      <c r="C38" s="1601"/>
      <c r="D38" s="1601"/>
      <c r="E38" s="1601"/>
      <c r="F38" s="1601"/>
      <c r="G38" s="1601"/>
      <c r="H38" s="1805">
        <v>33871</v>
      </c>
      <c r="I38" s="1805">
        <v>25863</v>
      </c>
      <c r="J38" s="1805">
        <v>30438</v>
      </c>
      <c r="K38" s="1805">
        <v>22789</v>
      </c>
      <c r="L38" s="1805">
        <v>22738</v>
      </c>
      <c r="M38" s="1805">
        <v>26757</v>
      </c>
      <c r="N38" s="1805">
        <v>21490</v>
      </c>
      <c r="O38" s="1805">
        <v>26178</v>
      </c>
      <c r="P38" s="1805">
        <v>24142</v>
      </c>
      <c r="Q38" s="1805">
        <v>24024</v>
      </c>
      <c r="R38" s="1805">
        <v>32347</v>
      </c>
      <c r="S38" s="1805">
        <v>36499</v>
      </c>
      <c r="T38" s="1805">
        <v>36010</v>
      </c>
      <c r="U38" s="1805">
        <v>35211</v>
      </c>
      <c r="V38" s="1805">
        <v>40216</v>
      </c>
      <c r="W38" s="1805">
        <v>31134</v>
      </c>
      <c r="X38" s="1805">
        <v>32225</v>
      </c>
      <c r="Y38" s="1805">
        <v>35466</v>
      </c>
    </row>
    <row r="39" spans="1:26">
      <c r="A39" s="1793"/>
      <c r="B39" s="1644" t="s">
        <v>1667</v>
      </c>
      <c r="C39" s="1601"/>
      <c r="D39" s="1601"/>
      <c r="E39" s="1601"/>
      <c r="F39" s="1601"/>
      <c r="G39" s="1601"/>
      <c r="H39" s="1805">
        <v>157211.55501036835</v>
      </c>
      <c r="I39" s="1805">
        <v>125244.78583874468</v>
      </c>
      <c r="J39" s="1805">
        <v>142226.14772604403</v>
      </c>
      <c r="K39" s="1805">
        <v>155453.14727341215</v>
      </c>
      <c r="L39" s="1805">
        <v>152734.57106407531</v>
      </c>
      <c r="M39" s="1805">
        <v>83130</v>
      </c>
      <c r="N39" s="1805">
        <v>129425</v>
      </c>
      <c r="O39" s="1805">
        <v>151270</v>
      </c>
      <c r="P39" s="1805">
        <v>151242</v>
      </c>
      <c r="Q39" s="1805">
        <v>149202</v>
      </c>
      <c r="R39" s="1805">
        <v>137981</v>
      </c>
      <c r="S39" s="1805">
        <v>143751</v>
      </c>
      <c r="T39" s="1805">
        <v>120654</v>
      </c>
      <c r="U39" s="1805">
        <v>146646</v>
      </c>
      <c r="V39" s="1805">
        <v>195883</v>
      </c>
      <c r="W39" s="1805">
        <v>180588</v>
      </c>
      <c r="X39" s="1805">
        <v>182337</v>
      </c>
      <c r="Y39" s="1805">
        <v>170938</v>
      </c>
    </row>
    <row r="40" spans="1:26">
      <c r="A40" s="1793"/>
      <c r="B40" s="2044" t="s">
        <v>1669</v>
      </c>
      <c r="C40" s="1601"/>
      <c r="D40" s="1601"/>
      <c r="E40" s="1601"/>
      <c r="F40" s="1601"/>
      <c r="G40" s="1601"/>
      <c r="H40" s="1805">
        <v>614820.21471319394</v>
      </c>
      <c r="I40" s="1805">
        <v>535141.45199935138</v>
      </c>
      <c r="J40" s="1805">
        <v>518410.63958501566</v>
      </c>
      <c r="K40" s="1805">
        <v>587519.97003296763</v>
      </c>
      <c r="L40" s="1805">
        <v>645667.16672548326</v>
      </c>
      <c r="M40" s="1805">
        <v>536479</v>
      </c>
      <c r="N40" s="1805">
        <v>532474</v>
      </c>
      <c r="O40" s="1805">
        <v>620929</v>
      </c>
      <c r="P40" s="1805">
        <v>577591</v>
      </c>
      <c r="Q40" s="1805">
        <v>609768</v>
      </c>
      <c r="R40" s="1805">
        <v>631406</v>
      </c>
      <c r="S40" s="1805">
        <v>604998</v>
      </c>
      <c r="T40" s="1805">
        <v>587577</v>
      </c>
      <c r="U40" s="1805">
        <v>685457</v>
      </c>
      <c r="V40" s="1805">
        <v>792023</v>
      </c>
      <c r="W40" s="1805">
        <v>781440</v>
      </c>
      <c r="X40" s="1805">
        <v>701961</v>
      </c>
      <c r="Y40" s="1805">
        <v>692061</v>
      </c>
    </row>
    <row r="41" spans="1:26">
      <c r="A41" s="1793"/>
      <c r="B41" s="1644" t="s">
        <v>1670</v>
      </c>
      <c r="C41" s="586"/>
      <c r="D41" s="586"/>
      <c r="E41" s="586"/>
      <c r="F41" s="586"/>
      <c r="G41" s="586"/>
      <c r="H41" s="79">
        <v>26511.523844192376</v>
      </c>
      <c r="I41" s="79">
        <v>82802.735628593655</v>
      </c>
      <c r="J41" s="79">
        <v>177858.53599661525</v>
      </c>
      <c r="K41" s="79">
        <v>-187792.09674042676</v>
      </c>
      <c r="L41" s="79">
        <v>-70785.680786457771</v>
      </c>
      <c r="M41" s="79">
        <v>67228</v>
      </c>
      <c r="N41" s="79">
        <v>15509</v>
      </c>
      <c r="O41" s="79">
        <v>62168</v>
      </c>
      <c r="P41" s="79">
        <v>-11659</v>
      </c>
      <c r="Q41" s="79">
        <v>144459</v>
      </c>
      <c r="R41" s="79">
        <v>-88049</v>
      </c>
      <c r="S41" s="79">
        <v>67151</v>
      </c>
      <c r="T41" s="79">
        <v>72504</v>
      </c>
      <c r="U41" s="79">
        <v>181782</v>
      </c>
      <c r="V41" s="79">
        <v>-233755</v>
      </c>
      <c r="W41" s="79">
        <v>-61803</v>
      </c>
      <c r="X41" s="79">
        <v>295547</v>
      </c>
      <c r="Y41" s="79">
        <v>-16917</v>
      </c>
    </row>
    <row r="42" spans="1:26">
      <c r="A42" s="1793"/>
      <c r="B42" s="1796" t="s">
        <v>1671</v>
      </c>
      <c r="C42" s="586"/>
      <c r="D42" s="586"/>
      <c r="E42" s="586"/>
      <c r="F42" s="586"/>
      <c r="G42" s="586"/>
      <c r="H42" s="1805">
        <v>15595.775042590958</v>
      </c>
      <c r="I42" s="1805">
        <v>79330.687787132949</v>
      </c>
      <c r="J42" s="1805">
        <v>192431.61218192161</v>
      </c>
      <c r="K42" s="1805">
        <v>-196651.89282518681</v>
      </c>
      <c r="L42" s="1805">
        <v>-50838.875645655848</v>
      </c>
      <c r="M42" s="1805">
        <v>71410</v>
      </c>
      <c r="N42" s="1805">
        <v>15577</v>
      </c>
      <c r="O42" s="1805">
        <v>42513</v>
      </c>
      <c r="P42" s="1805">
        <v>-30584</v>
      </c>
      <c r="Q42" s="1805">
        <v>155637</v>
      </c>
      <c r="R42" s="1805">
        <v>-62558</v>
      </c>
      <c r="S42" s="1805">
        <v>52629</v>
      </c>
      <c r="T42" s="1805">
        <v>85436</v>
      </c>
      <c r="U42" s="1805">
        <v>146485</v>
      </c>
      <c r="V42" s="1805">
        <v>-181001</v>
      </c>
      <c r="W42" s="1805">
        <v>-61249</v>
      </c>
      <c r="X42" s="1805">
        <v>252762</v>
      </c>
      <c r="Y42" s="1805">
        <v>-2985</v>
      </c>
    </row>
    <row r="43" spans="1:26">
      <c r="A43" s="1793"/>
      <c r="B43" s="1796" t="s">
        <v>1672</v>
      </c>
      <c r="C43" s="586"/>
      <c r="D43" s="586"/>
      <c r="E43" s="586"/>
      <c r="F43" s="586"/>
      <c r="G43" s="586"/>
      <c r="H43" s="1805">
        <v>10915.748801601418</v>
      </c>
      <c r="I43" s="1805">
        <v>3472.0478414607123</v>
      </c>
      <c r="J43" s="1805">
        <v>-14573.076185306361</v>
      </c>
      <c r="K43" s="1805">
        <v>8859.7960847600589</v>
      </c>
      <c r="L43" s="1805">
        <v>-19946.805140801924</v>
      </c>
      <c r="M43" s="1805">
        <v>-4181</v>
      </c>
      <c r="N43" s="1805">
        <v>-68</v>
      </c>
      <c r="O43" s="1805">
        <v>19655</v>
      </c>
      <c r="P43" s="1805">
        <v>18925</v>
      </c>
      <c r="Q43" s="1805">
        <v>-11179</v>
      </c>
      <c r="R43" s="1805">
        <v>-25491</v>
      </c>
      <c r="S43" s="1805">
        <v>14522</v>
      </c>
      <c r="T43" s="1805">
        <v>-12932</v>
      </c>
      <c r="U43" s="1805">
        <v>35297</v>
      </c>
      <c r="V43" s="1805">
        <v>-52754</v>
      </c>
      <c r="W43" s="1805">
        <v>-554</v>
      </c>
      <c r="X43" s="1805">
        <v>42784</v>
      </c>
      <c r="Y43" s="1805">
        <v>-13931</v>
      </c>
    </row>
    <row r="44" spans="1:26">
      <c r="A44" s="1793"/>
      <c r="B44" s="1796" t="s">
        <v>1673</v>
      </c>
      <c r="C44" s="586"/>
      <c r="D44" s="586"/>
      <c r="E44" s="586"/>
      <c r="F44" s="586"/>
      <c r="G44" s="586"/>
      <c r="H44" s="79">
        <v>-401758.52150672767</v>
      </c>
      <c r="I44" s="79">
        <v>112172.91136753693</v>
      </c>
      <c r="J44" s="79">
        <v>-159004.34265365079</v>
      </c>
      <c r="K44" s="79">
        <v>-595536.90162509284</v>
      </c>
      <c r="L44" s="79">
        <v>107645.74248732743</v>
      </c>
      <c r="M44" s="79">
        <v>-510338</v>
      </c>
      <c r="N44" s="79">
        <v>-556780</v>
      </c>
      <c r="O44" s="79">
        <v>-628776</v>
      </c>
      <c r="P44" s="79">
        <v>-315747</v>
      </c>
      <c r="Q44" s="79">
        <v>184764</v>
      </c>
      <c r="R44" s="79">
        <v>618721</v>
      </c>
      <c r="S44" s="79">
        <v>507189</v>
      </c>
      <c r="T44" s="79">
        <v>433990</v>
      </c>
      <c r="U44" s="79">
        <v>241561</v>
      </c>
      <c r="V44" s="79">
        <v>788675</v>
      </c>
      <c r="W44" s="79">
        <v>492520</v>
      </c>
      <c r="X44" s="79">
        <v>-327900</v>
      </c>
      <c r="Y44" s="79">
        <v>2101</v>
      </c>
    </row>
    <row r="45" spans="1:26">
      <c r="A45" s="1793"/>
      <c r="B45" s="1644" t="s">
        <v>155</v>
      </c>
      <c r="C45" s="1808"/>
      <c r="D45" s="1808"/>
      <c r="E45" s="1808"/>
      <c r="F45" s="1808"/>
      <c r="G45" s="1808"/>
      <c r="H45" s="1805">
        <v>17020830</v>
      </c>
      <c r="I45" s="1805">
        <v>18186045</v>
      </c>
      <c r="J45" s="1805">
        <v>17239515</v>
      </c>
      <c r="K45" s="1805">
        <v>15125960</v>
      </c>
      <c r="L45" s="1805">
        <v>16354293</v>
      </c>
      <c r="M45" s="1805">
        <v>15859697</v>
      </c>
      <c r="N45" s="1805">
        <v>15484526</v>
      </c>
      <c r="O45" s="1805">
        <v>16052073</v>
      </c>
      <c r="P45" s="1805">
        <v>16704569</v>
      </c>
      <c r="Q45" s="1805">
        <v>16860189</v>
      </c>
      <c r="R45" s="1805">
        <v>16419740</v>
      </c>
      <c r="S45" s="1805">
        <v>17384114</v>
      </c>
      <c r="T45" s="1805">
        <v>17568297</v>
      </c>
      <c r="U45" s="1805">
        <v>17399579</v>
      </c>
      <c r="V45" s="1805">
        <v>15724669</v>
      </c>
      <c r="W45" s="1805">
        <v>17776477</v>
      </c>
      <c r="X45" s="1805">
        <v>19653978</v>
      </c>
      <c r="Y45" s="1805"/>
    </row>
    <row r="46" spans="1:26">
      <c r="A46" s="1793"/>
      <c r="B46" s="1644" t="s">
        <v>1695</v>
      </c>
      <c r="C46" s="1808"/>
      <c r="D46" s="1808"/>
      <c r="E46" s="1808"/>
      <c r="F46" s="1808"/>
      <c r="G46" s="1808"/>
      <c r="H46" s="1805">
        <v>17465728</v>
      </c>
      <c r="I46" s="1805">
        <v>18137965</v>
      </c>
      <c r="J46" s="1805">
        <v>17948628</v>
      </c>
      <c r="K46" s="1805">
        <v>15903578</v>
      </c>
      <c r="L46" s="1805">
        <v>16589823</v>
      </c>
      <c r="M46" s="1805">
        <v>16970634</v>
      </c>
      <c r="N46" s="1805">
        <v>16895177</v>
      </c>
      <c r="O46" s="1805">
        <v>17564241</v>
      </c>
      <c r="P46" s="1805">
        <v>17510351</v>
      </c>
      <c r="Q46" s="1805">
        <v>17366396</v>
      </c>
      <c r="R46" s="1805">
        <v>16715635</v>
      </c>
      <c r="S46" s="1805">
        <v>17583131</v>
      </c>
      <c r="T46" s="1805">
        <v>18053636</v>
      </c>
      <c r="U46" s="1805">
        <v>18117939</v>
      </c>
      <c r="V46" s="1805">
        <v>16447492</v>
      </c>
      <c r="W46" s="1805">
        <v>18581356</v>
      </c>
      <c r="X46" s="1805">
        <v>21355734</v>
      </c>
      <c r="Y46" s="1805"/>
    </row>
    <row r="47" spans="1:26">
      <c r="A47" s="1793"/>
      <c r="B47" s="2044" t="s">
        <v>1674</v>
      </c>
      <c r="H47" s="586"/>
      <c r="I47" s="586"/>
      <c r="J47" s="586"/>
      <c r="K47" s="586"/>
      <c r="L47" s="586"/>
      <c r="M47" s="586"/>
      <c r="N47" s="586"/>
      <c r="O47" s="586"/>
      <c r="P47" s="586"/>
      <c r="Q47" s="586"/>
      <c r="R47" s="586"/>
      <c r="S47" s="586"/>
      <c r="T47" s="586"/>
      <c r="U47" s="586"/>
      <c r="V47" s="586"/>
      <c r="W47" s="586"/>
      <c r="X47" s="586"/>
      <c r="Y47" s="586"/>
      <c r="Z47" s="75" t="s">
        <v>1675</v>
      </c>
    </row>
    <row r="48" spans="1:26">
      <c r="A48" s="1793"/>
      <c r="B48" s="1644" t="s">
        <v>1693</v>
      </c>
      <c r="C48" s="1808"/>
      <c r="D48" s="1808"/>
      <c r="E48" s="1808"/>
      <c r="F48" s="1808"/>
      <c r="G48" s="1808"/>
      <c r="H48" s="586">
        <v>-27156.520947235171</v>
      </c>
      <c r="I48" s="586">
        <v>-43570.998591894517</v>
      </c>
      <c r="J48" s="586">
        <v>-110942.40033578174</v>
      </c>
      <c r="K48" s="586">
        <v>14348.943705466052</v>
      </c>
      <c r="L48" s="586">
        <v>-119822.04205329344</v>
      </c>
      <c r="M48" s="586">
        <v>-79606.755177299317</v>
      </c>
      <c r="N48" s="586">
        <v>-64359.882379961433</v>
      </c>
      <c r="O48" s="586">
        <v>-66159.798270532046</v>
      </c>
      <c r="P48" s="586">
        <v>-72647.674104726291</v>
      </c>
      <c r="Q48" s="586">
        <v>-75994.035752502677</v>
      </c>
      <c r="R48" s="586">
        <v>-69372.17622134625</v>
      </c>
      <c r="S48" s="586">
        <v>-55459.418408300029</v>
      </c>
      <c r="T48" s="586">
        <v>-57284.281785935338</v>
      </c>
      <c r="U48" s="586">
        <v>-54356.431469457631</v>
      </c>
      <c r="V48" s="586">
        <v>-41203.02322430606</v>
      </c>
      <c r="W48" s="586">
        <v>-23407.335422951321</v>
      </c>
      <c r="X48" s="586">
        <v>-42451.346241947438</v>
      </c>
      <c r="Y48" s="586"/>
    </row>
    <row r="49" spans="1:27">
      <c r="A49" s="1793"/>
      <c r="B49" s="2044" t="s">
        <v>1257</v>
      </c>
      <c r="C49" s="1808"/>
      <c r="D49" s="1808"/>
      <c r="E49" s="1808"/>
      <c r="F49" s="1808"/>
      <c r="G49" s="1808"/>
      <c r="H49" s="1805">
        <v>543525.15175355738</v>
      </c>
      <c r="I49" s="1805">
        <v>509391.3577556868</v>
      </c>
      <c r="J49" s="1805">
        <v>508400.92061680224</v>
      </c>
      <c r="K49" s="1805">
        <v>520503.65116387221</v>
      </c>
      <c r="L49" s="1805">
        <v>565799.40219228086</v>
      </c>
      <c r="M49" s="1805">
        <v>579374.4057388152</v>
      </c>
      <c r="N49" s="1805">
        <v>571594.15857204434</v>
      </c>
      <c r="O49" s="1805">
        <v>581762.00322469336</v>
      </c>
      <c r="P49" s="1805">
        <v>598271.82186881604</v>
      </c>
      <c r="Q49" s="1805">
        <v>608149.68947252806</v>
      </c>
      <c r="R49" s="1805">
        <v>626789.6614404571</v>
      </c>
      <c r="S49" s="1805">
        <v>635874.25267089915</v>
      </c>
      <c r="T49" s="1805">
        <v>655071.57366134599</v>
      </c>
      <c r="U49" s="1805">
        <v>676976.37667563721</v>
      </c>
      <c r="V49" s="1805">
        <v>651359.71147830377</v>
      </c>
      <c r="W49" s="1805">
        <v>687773.05058647855</v>
      </c>
      <c r="X49" s="1805">
        <v>703065.02952413796</v>
      </c>
      <c r="Y49" s="1805"/>
      <c r="Z49" s="1791"/>
      <c r="AA49" s="1791"/>
    </row>
    <row r="50" spans="1:27">
      <c r="A50" s="1793"/>
      <c r="B50" s="1644" t="s">
        <v>1694</v>
      </c>
      <c r="C50" s="1809"/>
      <c r="D50" s="1809"/>
      <c r="E50" s="1809"/>
      <c r="F50" s="1809"/>
      <c r="G50" s="1809"/>
      <c r="H50" s="1810">
        <v>-473229.15231304988</v>
      </c>
      <c r="I50" s="1810">
        <v>-401727.44779625535</v>
      </c>
      <c r="J50" s="1810">
        <v>152650.13706532866</v>
      </c>
      <c r="K50" s="1810">
        <v>-352771.49649443105</v>
      </c>
      <c r="L50" s="1810">
        <v>-102801.61765166</v>
      </c>
      <c r="M50" s="1810">
        <v>197873</v>
      </c>
      <c r="N50" s="1810">
        <v>329592</v>
      </c>
      <c r="O50" s="1810">
        <v>288694</v>
      </c>
      <c r="P50" s="1810">
        <v>-225623</v>
      </c>
      <c r="Q50" s="1810">
        <v>246617</v>
      </c>
      <c r="R50" s="1810">
        <v>-18168</v>
      </c>
      <c r="S50" s="1810">
        <v>-801019</v>
      </c>
      <c r="T50" s="1810">
        <v>-1222467</v>
      </c>
      <c r="U50" s="1810">
        <v>-1744410</v>
      </c>
      <c r="V50" s="1810">
        <v>-400927</v>
      </c>
      <c r="W50" s="1810">
        <v>-441186</v>
      </c>
      <c r="X50" s="1810">
        <v>-720687</v>
      </c>
      <c r="Y50" s="1810">
        <v>-726292</v>
      </c>
    </row>
    <row r="51" spans="1:27">
      <c r="A51" s="1793"/>
      <c r="B51" s="1644" t="s">
        <v>1258</v>
      </c>
      <c r="C51" s="1601"/>
      <c r="D51" s="1601"/>
      <c r="E51" s="1601"/>
      <c r="F51" s="1601"/>
      <c r="G51" s="1601"/>
      <c r="H51" s="79">
        <v>20759497.994731203</v>
      </c>
      <c r="I51" s="79">
        <v>21335064.09856981</v>
      </c>
      <c r="J51" s="79">
        <v>20974173.292038862</v>
      </c>
      <c r="K51" s="79">
        <v>19501268.680177946</v>
      </c>
      <c r="L51" s="79">
        <v>20556384.727933899</v>
      </c>
      <c r="M51" s="79">
        <v>19997123</v>
      </c>
      <c r="N51" s="79">
        <v>19875506</v>
      </c>
      <c r="O51" s="79">
        <v>20571143</v>
      </c>
      <c r="P51" s="79">
        <v>20741145</v>
      </c>
      <c r="Q51" s="79">
        <v>21747193</v>
      </c>
      <c r="R51" s="79">
        <v>21965422</v>
      </c>
      <c r="S51" s="79">
        <v>22283273</v>
      </c>
      <c r="T51" s="79">
        <v>22237660</v>
      </c>
      <c r="U51" s="79">
        <v>22472835</v>
      </c>
      <c r="V51" s="79">
        <v>21896001</v>
      </c>
      <c r="W51" s="79">
        <v>22596893</v>
      </c>
      <c r="X51" s="79">
        <v>23362116</v>
      </c>
      <c r="Y51" s="79">
        <v>23989541</v>
      </c>
      <c r="Z51" s="1811" t="s">
        <v>1676</v>
      </c>
    </row>
    <row r="52" spans="1:27">
      <c r="A52" s="1792" t="s">
        <v>1677</v>
      </c>
      <c r="B52" s="1797" t="s">
        <v>1678</v>
      </c>
      <c r="C52" s="1812"/>
      <c r="D52" s="1812"/>
      <c r="E52" s="1812"/>
      <c r="F52" s="1812"/>
      <c r="G52" s="1812"/>
      <c r="H52" s="80">
        <v>1634464</v>
      </c>
      <c r="I52" s="80">
        <v>1393996</v>
      </c>
      <c r="J52" s="80">
        <v>1399310</v>
      </c>
      <c r="K52" s="80">
        <v>1647952</v>
      </c>
      <c r="L52" s="80">
        <v>1312423</v>
      </c>
      <c r="M52" s="80">
        <v>1552836</v>
      </c>
      <c r="N52" s="80">
        <v>1637650</v>
      </c>
      <c r="O52" s="80">
        <v>1770985</v>
      </c>
      <c r="P52" s="80">
        <v>1819070</v>
      </c>
      <c r="Q52" s="80">
        <v>1764378</v>
      </c>
      <c r="R52" s="734">
        <v>1568097</v>
      </c>
      <c r="S52" s="80">
        <v>1595309</v>
      </c>
      <c r="T52" s="80">
        <v>1716738</v>
      </c>
      <c r="U52" s="80">
        <v>1735901</v>
      </c>
      <c r="V52" s="80">
        <v>1490919</v>
      </c>
      <c r="W52" s="80">
        <v>1463919</v>
      </c>
      <c r="X52" s="80">
        <v>1642023</v>
      </c>
      <c r="Y52" s="79">
        <v>1442278</v>
      </c>
    </row>
    <row r="53" spans="1:27">
      <c r="A53" s="1794" t="s">
        <v>316</v>
      </c>
      <c r="B53" s="1798" t="s">
        <v>1256</v>
      </c>
      <c r="C53" s="1602"/>
      <c r="D53" s="1602"/>
      <c r="E53" s="1602"/>
      <c r="F53" s="1602"/>
      <c r="G53" s="1602"/>
      <c r="H53" s="81">
        <v>22393961.994731203</v>
      </c>
      <c r="I53" s="81">
        <v>22729060.09856981</v>
      </c>
      <c r="J53" s="81">
        <v>22373483.292038862</v>
      </c>
      <c r="K53" s="81">
        <v>21149220.680177946</v>
      </c>
      <c r="L53" s="81">
        <v>21868807.727933899</v>
      </c>
      <c r="M53" s="81">
        <v>21549959</v>
      </c>
      <c r="N53" s="81">
        <v>21513156</v>
      </c>
      <c r="O53" s="81">
        <v>22342128</v>
      </c>
      <c r="P53" s="81">
        <v>22560215</v>
      </c>
      <c r="Q53" s="81">
        <v>23511571</v>
      </c>
      <c r="R53" s="81">
        <v>23533519</v>
      </c>
      <c r="S53" s="81">
        <v>23878582</v>
      </c>
      <c r="T53" s="81">
        <v>23954398</v>
      </c>
      <c r="U53" s="81">
        <v>24208736</v>
      </c>
      <c r="V53" s="81">
        <v>23386920</v>
      </c>
      <c r="W53" s="81">
        <v>24060812</v>
      </c>
      <c r="X53" s="81">
        <v>25004139</v>
      </c>
      <c r="Y53" s="79">
        <v>25431819</v>
      </c>
    </row>
    <row r="54" spans="1:27">
      <c r="C54" s="568"/>
      <c r="D54" s="568"/>
      <c r="E54" s="568"/>
      <c r="F54" s="568"/>
      <c r="G54" s="568"/>
      <c r="H54" s="1804"/>
      <c r="I54" s="1804"/>
      <c r="J54" s="1804"/>
      <c r="K54" s="1804"/>
      <c r="L54" s="1804"/>
      <c r="M54" s="1804"/>
      <c r="N54" s="1804"/>
      <c r="O54" s="1804"/>
      <c r="P54" s="1804"/>
      <c r="Q54" s="1804"/>
      <c r="R54" s="1804"/>
      <c r="S54" s="1804"/>
      <c r="T54" s="1804"/>
      <c r="U54" s="1804"/>
      <c r="V54" s="1804"/>
      <c r="W54" s="1804"/>
      <c r="X54" s="1804"/>
      <c r="Y54" s="1804"/>
    </row>
    <row r="55" spans="1:27">
      <c r="B55" s="1644" t="s">
        <v>1679</v>
      </c>
      <c r="C55" s="1603"/>
      <c r="D55" s="1603"/>
      <c r="E55" s="1603"/>
      <c r="F55" s="1603"/>
      <c r="G55" s="1603"/>
      <c r="H55" s="587">
        <v>20689201.995290693</v>
      </c>
      <c r="I55" s="587">
        <v>21736791.546366066</v>
      </c>
      <c r="J55" s="587">
        <v>20821523.154973533</v>
      </c>
      <c r="K55" s="587">
        <v>19854040.176672377</v>
      </c>
      <c r="L55" s="587">
        <v>20659186.345585559</v>
      </c>
      <c r="M55" s="587">
        <v>19910018.75963017</v>
      </c>
      <c r="N55" s="587">
        <v>19589350.54282327</v>
      </c>
      <c r="O55" s="587">
        <v>20228761.410361677</v>
      </c>
      <c r="P55" s="587">
        <v>20816456.080467988</v>
      </c>
      <c r="Q55" s="587">
        <v>21608646.191852156</v>
      </c>
      <c r="R55" s="587">
        <v>21674216.553422716</v>
      </c>
      <c r="S55" s="587">
        <v>22286317.808513377</v>
      </c>
      <c r="T55" s="587">
        <v>22164980.381239425</v>
      </c>
      <c r="U55" s="587">
        <v>22501538.226723194</v>
      </c>
      <c r="V55" s="587">
        <v>21359980.40788132</v>
      </c>
      <c r="W55" s="587">
        <v>22259570.106933206</v>
      </c>
      <c r="X55" s="587">
        <v>22856691.763411492</v>
      </c>
      <c r="Y55" s="587"/>
    </row>
    <row r="56" spans="1:27">
      <c r="B56" s="1813" t="s">
        <v>1680</v>
      </c>
      <c r="C56" s="1814"/>
      <c r="D56" s="1814"/>
      <c r="E56" s="1814"/>
      <c r="F56" s="1814"/>
      <c r="G56" s="1814"/>
      <c r="H56" s="806">
        <v>21161256.516237933</v>
      </c>
      <c r="I56" s="806">
        <v>21222891.187202271</v>
      </c>
      <c r="J56" s="806">
        <v>21133177.634692512</v>
      </c>
      <c r="K56" s="806">
        <v>20096805.581803035</v>
      </c>
      <c r="L56" s="806">
        <v>20448738.985446569</v>
      </c>
      <c r="M56" s="806">
        <v>20521188.109068654</v>
      </c>
      <c r="N56" s="806">
        <v>20492767.266631182</v>
      </c>
      <c r="O56" s="806">
        <v>21225327.205407511</v>
      </c>
      <c r="P56" s="806">
        <v>21096613.932703897</v>
      </c>
      <c r="Q56" s="806">
        <v>21582697.538132127</v>
      </c>
      <c r="R56" s="806">
        <v>21412694.068203606</v>
      </c>
      <c r="S56" s="806">
        <v>21904919.974250775</v>
      </c>
      <c r="T56" s="806">
        <v>22052532.089364015</v>
      </c>
      <c r="U56" s="806">
        <v>22597278.281517014</v>
      </c>
      <c r="V56" s="806">
        <v>21472646.719627321</v>
      </c>
      <c r="W56" s="806">
        <v>22400083.391769674</v>
      </c>
      <c r="X56" s="806">
        <v>23897834.080129303</v>
      </c>
      <c r="Y56" s="1804"/>
    </row>
    <row r="57" spans="1:27">
      <c r="B57" s="1220" t="s">
        <v>1681</v>
      </c>
      <c r="C57" s="1807"/>
      <c r="D57" s="1807"/>
      <c r="E57" s="1807"/>
      <c r="F57" s="1807"/>
      <c r="G57" s="1807"/>
      <c r="H57" s="1803">
        <v>20759497.994731203</v>
      </c>
      <c r="I57" s="1803">
        <v>21335064.09856981</v>
      </c>
      <c r="J57" s="1803">
        <v>20974173.292038862</v>
      </c>
      <c r="K57" s="1803">
        <v>19501268.680177946</v>
      </c>
      <c r="L57" s="1803">
        <v>20556384.727933899</v>
      </c>
      <c r="M57" s="1803">
        <v>20028021.640871737</v>
      </c>
      <c r="N57" s="1803">
        <v>19918740.144184083</v>
      </c>
      <c r="O57" s="1803">
        <v>20575401.890284039</v>
      </c>
      <c r="P57" s="1803">
        <v>20739110.740657449</v>
      </c>
      <c r="Q57" s="1803">
        <v>21731105.680007942</v>
      </c>
      <c r="R57" s="1803">
        <v>21926254.940672409</v>
      </c>
      <c r="S57" s="1803">
        <v>22228604.078307662</v>
      </c>
      <c r="T57" s="1803">
        <v>22209421.987449795</v>
      </c>
      <c r="U57" s="1803">
        <v>22420142.581492573</v>
      </c>
      <c r="V57" s="1803">
        <v>21940130.076887973</v>
      </c>
      <c r="W57" s="1803">
        <v>22632376.469123457</v>
      </c>
      <c r="X57" s="1803">
        <v>23462649.108257689</v>
      </c>
      <c r="Y57" s="1803"/>
    </row>
    <row r="58" spans="1:27">
      <c r="C58" s="568"/>
      <c r="D58" s="568"/>
      <c r="E58" s="568"/>
      <c r="F58" s="568"/>
      <c r="G58" s="568"/>
      <c r="H58" s="1804"/>
      <c r="I58" s="1815"/>
      <c r="J58" s="1815"/>
      <c r="K58" s="1815"/>
      <c r="L58" s="1815"/>
      <c r="M58" s="1815"/>
      <c r="N58" s="1815"/>
      <c r="O58" s="1815"/>
      <c r="P58" s="1815"/>
      <c r="Q58" s="1815"/>
      <c r="R58" s="1815"/>
      <c r="S58" s="1815"/>
      <c r="T58" s="1815"/>
      <c r="U58" s="1815"/>
      <c r="V58" s="1815"/>
      <c r="W58" s="1815"/>
      <c r="X58" s="1815"/>
      <c r="Y58" s="1815"/>
    </row>
    <row r="59" spans="1:27">
      <c r="H59" s="587"/>
      <c r="I59" s="587"/>
      <c r="J59" s="587"/>
      <c r="K59" s="587"/>
      <c r="L59" s="587"/>
      <c r="M59" s="587"/>
      <c r="N59" s="587"/>
      <c r="O59" s="587"/>
      <c r="P59" s="587"/>
      <c r="Q59" s="587"/>
      <c r="R59" s="587"/>
      <c r="S59" s="587"/>
      <c r="T59" s="587"/>
      <c r="U59" s="587"/>
      <c r="V59" s="587"/>
      <c r="W59" s="587"/>
      <c r="X59" s="587"/>
      <c r="Y59" s="587"/>
    </row>
    <row r="60" spans="1:27">
      <c r="H60" s="1804"/>
      <c r="I60" s="1815"/>
      <c r="J60" s="1815"/>
      <c r="K60" s="1815"/>
      <c r="L60" s="1815"/>
      <c r="M60" s="1815"/>
      <c r="N60" s="1815"/>
      <c r="O60" s="1815"/>
      <c r="P60" s="1815"/>
      <c r="Q60" s="1815"/>
      <c r="R60" s="1815"/>
      <c r="S60" s="1815"/>
      <c r="T60" s="1815"/>
      <c r="U60" s="1815"/>
      <c r="V60" s="1815"/>
      <c r="W60" s="1815"/>
      <c r="X60" s="1815"/>
      <c r="Y60" s="1815"/>
    </row>
    <row r="61" spans="1:27">
      <c r="B61" s="1644" t="s">
        <v>1682</v>
      </c>
      <c r="C61" s="568"/>
      <c r="D61" s="568"/>
      <c r="E61" s="568"/>
      <c r="F61" s="568"/>
      <c r="G61" s="568"/>
      <c r="H61" s="1804"/>
      <c r="I61" s="1804"/>
      <c r="J61" s="1804"/>
      <c r="K61" s="1816"/>
      <c r="L61" s="1816"/>
      <c r="M61" s="1816"/>
      <c r="N61" s="1816"/>
      <c r="O61" s="1816"/>
      <c r="P61" s="1816"/>
      <c r="Q61" s="1816"/>
      <c r="R61" s="1816"/>
      <c r="S61" s="1816"/>
      <c r="T61" s="1816"/>
      <c r="U61" s="1804"/>
      <c r="V61" s="1804"/>
      <c r="W61" s="1804"/>
      <c r="X61" s="1804"/>
      <c r="Y61" s="1804"/>
    </row>
    <row r="62" spans="1:27">
      <c r="A62" s="130"/>
      <c r="B62" s="1817" t="s">
        <v>1683</v>
      </c>
      <c r="C62" s="1818"/>
      <c r="D62" s="1818"/>
      <c r="E62" s="1818"/>
      <c r="F62" s="1818"/>
      <c r="G62" s="1818"/>
      <c r="H62" s="2045">
        <v>94097900</v>
      </c>
      <c r="I62" s="2045">
        <v>95581800</v>
      </c>
      <c r="J62" s="2045">
        <v>94893300</v>
      </c>
      <c r="K62" s="2046">
        <v>96075900</v>
      </c>
      <c r="L62" s="2046">
        <v>97753900</v>
      </c>
      <c r="M62" s="2046">
        <v>99435800</v>
      </c>
      <c r="N62" s="2046">
        <v>99963200</v>
      </c>
      <c r="O62" s="2046">
        <v>101443100</v>
      </c>
      <c r="P62" s="2046">
        <v>104157800</v>
      </c>
      <c r="Q62" s="2046">
        <v>106285500</v>
      </c>
      <c r="R62" s="2046">
        <v>106798100</v>
      </c>
      <c r="S62" s="2046">
        <v>107706700</v>
      </c>
      <c r="T62" s="2046">
        <v>109089100</v>
      </c>
      <c r="U62" s="2045">
        <v>111827100</v>
      </c>
      <c r="V62" s="2045">
        <v>113834200</v>
      </c>
      <c r="W62" s="2047">
        <v>118769000</v>
      </c>
      <c r="X62" s="2047">
        <v>122091600</v>
      </c>
      <c r="Y62" s="387"/>
      <c r="Z62" s="75" t="s">
        <v>1682</v>
      </c>
    </row>
    <row r="63" spans="1:27">
      <c r="B63" s="1644" t="s">
        <v>1684</v>
      </c>
      <c r="C63" s="1807"/>
      <c r="D63" s="1807"/>
      <c r="E63" s="1807"/>
      <c r="F63" s="1807"/>
      <c r="G63" s="1807"/>
      <c r="H63" s="1804"/>
      <c r="I63" s="1804"/>
      <c r="J63" s="1804"/>
      <c r="K63" s="1804"/>
      <c r="L63" s="1804"/>
      <c r="M63" s="1804"/>
      <c r="N63" s="1804"/>
      <c r="O63" s="1804"/>
      <c r="P63" s="1804"/>
      <c r="Q63" s="1804"/>
      <c r="R63" s="1804"/>
      <c r="S63" s="1804"/>
      <c r="T63" s="1804"/>
      <c r="U63" s="1804"/>
      <c r="V63" s="1804"/>
      <c r="W63" s="1804"/>
      <c r="X63" s="1804"/>
      <c r="Y63" s="1804"/>
      <c r="Z63" s="75" t="s">
        <v>1753</v>
      </c>
    </row>
    <row r="64" spans="1:27">
      <c r="B64" s="1644" t="s">
        <v>1685</v>
      </c>
      <c r="C64" s="1807"/>
      <c r="D64" s="1807"/>
      <c r="E64" s="1807"/>
      <c r="F64" s="1807"/>
      <c r="G64" s="1807"/>
      <c r="H64" s="2046">
        <v>347509300</v>
      </c>
      <c r="I64" s="2046">
        <v>350664700</v>
      </c>
      <c r="J64" s="2046">
        <v>345367200</v>
      </c>
      <c r="K64" s="2046">
        <v>341834400</v>
      </c>
      <c r="L64" s="2046">
        <v>343709800</v>
      </c>
      <c r="M64" s="2046">
        <v>346284400</v>
      </c>
      <c r="N64" s="2046">
        <v>349919700</v>
      </c>
      <c r="O64" s="2046">
        <v>360207400</v>
      </c>
      <c r="P64" s="2046">
        <v>360755700</v>
      </c>
      <c r="Q64" s="2046">
        <v>364798300</v>
      </c>
      <c r="R64" s="2046">
        <v>363301800</v>
      </c>
      <c r="S64" s="2046">
        <v>369343200</v>
      </c>
      <c r="T64" s="2046">
        <v>371838000</v>
      </c>
      <c r="U64" s="2046">
        <v>372634200</v>
      </c>
      <c r="V64" s="2046">
        <v>358601000</v>
      </c>
      <c r="W64" s="582">
        <v>371181500</v>
      </c>
      <c r="X64" s="582">
        <v>390900400</v>
      </c>
      <c r="Y64" s="582"/>
      <c r="Z64" s="75" t="s">
        <v>1754</v>
      </c>
    </row>
    <row r="65" spans="1:26">
      <c r="B65" s="1644" t="s">
        <v>1686</v>
      </c>
      <c r="C65" s="1807"/>
      <c r="D65" s="1807"/>
      <c r="E65" s="1807"/>
      <c r="F65" s="1807"/>
      <c r="G65" s="1807"/>
      <c r="H65" s="2046">
        <v>41222800</v>
      </c>
      <c r="I65" s="2046">
        <v>41349400</v>
      </c>
      <c r="J65" s="2046">
        <v>40221800</v>
      </c>
      <c r="K65" s="2046">
        <v>40021000</v>
      </c>
      <c r="L65" s="2046">
        <v>40154300</v>
      </c>
      <c r="M65" s="2046">
        <v>40097300</v>
      </c>
      <c r="N65" s="2046">
        <v>39520600</v>
      </c>
      <c r="O65" s="2046">
        <v>40007900</v>
      </c>
      <c r="P65" s="2046">
        <v>40924700</v>
      </c>
      <c r="Q65" s="2046">
        <v>41327900</v>
      </c>
      <c r="R65" s="2046">
        <v>41832500</v>
      </c>
      <c r="S65" s="2046">
        <v>41369500</v>
      </c>
      <c r="T65" s="2046">
        <v>42025300</v>
      </c>
      <c r="U65" s="2046">
        <v>43124000</v>
      </c>
      <c r="V65" s="2046">
        <v>44674900</v>
      </c>
      <c r="W65" s="582">
        <v>45776100</v>
      </c>
      <c r="X65" s="582">
        <v>47040400</v>
      </c>
      <c r="Y65" s="582"/>
      <c r="Z65" s="75" t="s">
        <v>1755</v>
      </c>
    </row>
    <row r="66" spans="1:26">
      <c r="C66" s="1819"/>
      <c r="D66" s="1819"/>
      <c r="E66" s="1819"/>
      <c r="F66" s="1819"/>
      <c r="G66" s="1819"/>
      <c r="H66" s="1804"/>
      <c r="I66" s="1804"/>
      <c r="J66" s="1804"/>
      <c r="K66" s="1804"/>
      <c r="L66" s="1804"/>
      <c r="M66" s="1804"/>
      <c r="N66" s="1804"/>
      <c r="O66" s="1804"/>
      <c r="P66" s="1804"/>
      <c r="Q66" s="1804"/>
      <c r="R66" s="1804"/>
      <c r="S66" s="1816"/>
      <c r="T66" s="1816"/>
      <c r="U66" s="1816"/>
      <c r="V66" s="1816"/>
      <c r="W66" s="1804"/>
      <c r="X66" s="1804"/>
      <c r="Y66" s="1804"/>
    </row>
    <row r="67" spans="1:26">
      <c r="A67" s="130"/>
      <c r="B67" s="1820" t="s">
        <v>1687</v>
      </c>
      <c r="C67" s="1821"/>
      <c r="D67" s="1821"/>
      <c r="E67" s="1821"/>
      <c r="F67" s="1821"/>
      <c r="G67" s="1821"/>
      <c r="H67" s="1822">
        <v>16186743.016697742</v>
      </c>
      <c r="I67" s="1822">
        <v>16375442.570724525</v>
      </c>
      <c r="J67" s="1822">
        <v>15984508.266885579</v>
      </c>
      <c r="K67" s="1822">
        <v>14741050.946147934</v>
      </c>
      <c r="L67" s="1822">
        <v>15503501.131284982</v>
      </c>
      <c r="M67" s="1822">
        <v>14924681.030022319</v>
      </c>
      <c r="N67" s="1822">
        <v>15074400.215366241</v>
      </c>
      <c r="O67" s="1822">
        <v>15771340.019123549</v>
      </c>
      <c r="P67" s="1822">
        <v>15663788.357616886</v>
      </c>
      <c r="Q67" s="1822">
        <v>16359048.098570917</v>
      </c>
      <c r="R67" s="1822">
        <v>16482695.223182101</v>
      </c>
      <c r="S67" s="1805">
        <v>16747464.649169272</v>
      </c>
      <c r="T67" s="1805">
        <v>16793344.390345909</v>
      </c>
      <c r="U67" s="1805">
        <v>16791879.051705468</v>
      </c>
      <c r="V67" s="1805">
        <v>15897600.893567834</v>
      </c>
      <c r="W67" s="1822">
        <v>16367913.864549505</v>
      </c>
      <c r="X67" s="1822">
        <v>17019966.94541347</v>
      </c>
      <c r="Y67" s="1805"/>
    </row>
    <row r="68" spans="1:26">
      <c r="A68" s="132"/>
      <c r="B68" s="1221" t="s">
        <v>1688</v>
      </c>
      <c r="C68" s="1823"/>
      <c r="D68" s="1823"/>
      <c r="E68" s="1823"/>
      <c r="F68" s="1823"/>
      <c r="G68" s="1823"/>
      <c r="H68" s="1824">
        <v>14552279.383099079</v>
      </c>
      <c r="I68" s="1824">
        <v>14981446.488778703</v>
      </c>
      <c r="J68" s="1824">
        <v>14585198.46688688</v>
      </c>
      <c r="K68" s="1824">
        <v>13093098.783959378</v>
      </c>
      <c r="L68" s="1824">
        <v>14191078.489768133</v>
      </c>
      <c r="M68" s="1824">
        <v>13550957.713238668</v>
      </c>
      <c r="N68" s="1824">
        <v>13556827.75114705</v>
      </c>
      <c r="O68" s="1824">
        <v>14101867.680137599</v>
      </c>
      <c r="P68" s="1824">
        <v>13982551.940616649</v>
      </c>
      <c r="Q68" s="1824">
        <v>14751863.552932994</v>
      </c>
      <c r="R68" s="1824">
        <v>15017066.353326211</v>
      </c>
      <c r="S68" s="1824">
        <v>15251588.196591929</v>
      </c>
      <c r="T68" s="1824">
        <v>15232210.154716017</v>
      </c>
      <c r="U68" s="1824">
        <v>15228719.262222143</v>
      </c>
      <c r="V68" s="1824">
        <v>14590120.425679132</v>
      </c>
      <c r="W68" s="1824">
        <v>14999542.060310479</v>
      </c>
      <c r="X68" s="1824">
        <v>15553883.733876364</v>
      </c>
      <c r="Y68" s="1803"/>
    </row>
    <row r="69" spans="1:26">
      <c r="B69" s="1220" t="s">
        <v>1689</v>
      </c>
      <c r="C69" s="1603"/>
      <c r="D69" s="1603"/>
      <c r="E69" s="1603"/>
      <c r="F69" s="1603"/>
      <c r="G69" s="1603"/>
      <c r="H69" s="587">
        <v>1634464</v>
      </c>
      <c r="I69" s="587">
        <v>1393996</v>
      </c>
      <c r="J69" s="587">
        <v>1399310</v>
      </c>
      <c r="K69" s="587">
        <v>1647952</v>
      </c>
      <c r="L69" s="587">
        <v>1312423</v>
      </c>
      <c r="M69" s="587">
        <v>1373723</v>
      </c>
      <c r="N69" s="587">
        <v>1517572</v>
      </c>
      <c r="O69" s="587">
        <v>1669472</v>
      </c>
      <c r="P69" s="587">
        <v>1681236</v>
      </c>
      <c r="Q69" s="587">
        <v>1607185</v>
      </c>
      <c r="R69" s="587">
        <v>1465629</v>
      </c>
      <c r="S69" s="587">
        <v>1495876</v>
      </c>
      <c r="T69" s="587">
        <v>1561134</v>
      </c>
      <c r="U69" s="587">
        <v>1563160</v>
      </c>
      <c r="V69" s="587">
        <v>1307480</v>
      </c>
      <c r="W69" s="587">
        <v>1368372</v>
      </c>
      <c r="X69" s="587">
        <v>1466083</v>
      </c>
      <c r="Y69" s="587"/>
    </row>
    <row r="70" spans="1:26">
      <c r="C70" s="568"/>
      <c r="D70" s="568"/>
      <c r="E70" s="568"/>
      <c r="F70" s="568"/>
      <c r="G70" s="568"/>
      <c r="H70" s="1804"/>
      <c r="I70" s="1804"/>
      <c r="J70" s="1804"/>
      <c r="K70" s="1804"/>
      <c r="L70" s="1804"/>
      <c r="M70" s="1804"/>
      <c r="N70" s="1804"/>
      <c r="O70" s="1804"/>
      <c r="P70" s="1804"/>
      <c r="Q70" s="1804"/>
      <c r="R70" s="1804"/>
      <c r="S70" s="1804"/>
      <c r="T70" s="1804"/>
      <c r="U70" s="1804"/>
      <c r="V70" s="1804"/>
      <c r="W70" s="1804"/>
      <c r="X70" s="1804"/>
      <c r="Y70" s="1804"/>
    </row>
    <row r="71" spans="1:26">
      <c r="B71" s="75" t="s">
        <v>1690</v>
      </c>
      <c r="C71" s="1825"/>
      <c r="D71" s="1825"/>
      <c r="E71" s="1825"/>
      <c r="F71" s="1825"/>
      <c r="G71" s="1825"/>
      <c r="H71" s="1804">
        <v>-444898</v>
      </c>
      <c r="I71" s="1804">
        <v>48080</v>
      </c>
      <c r="J71" s="1804">
        <v>-709113</v>
      </c>
      <c r="K71" s="1804">
        <v>-777618</v>
      </c>
      <c r="L71" s="1804">
        <v>-235530</v>
      </c>
      <c r="M71" s="1804">
        <v>-1110937</v>
      </c>
      <c r="N71" s="1804">
        <v>-1410651</v>
      </c>
      <c r="O71" s="1804">
        <v>-1512168</v>
      </c>
      <c r="P71" s="1804">
        <v>-805782</v>
      </c>
      <c r="Q71" s="1804">
        <v>-506207</v>
      </c>
      <c r="R71" s="1804">
        <v>-295895</v>
      </c>
      <c r="S71" s="1804">
        <v>-199017</v>
      </c>
      <c r="T71" s="1804">
        <v>-485339</v>
      </c>
      <c r="U71" s="1804">
        <v>-718360</v>
      </c>
      <c r="V71" s="1804">
        <v>-722823</v>
      </c>
      <c r="W71" s="1804">
        <v>-804879</v>
      </c>
      <c r="X71" s="1804">
        <v>-1701756</v>
      </c>
      <c r="Y71" s="1804"/>
    </row>
    <row r="72" spans="1:26">
      <c r="B72" s="75" t="s">
        <v>1691</v>
      </c>
      <c r="C72" s="1826"/>
      <c r="D72" s="1826"/>
      <c r="E72" s="1826"/>
      <c r="F72" s="1826"/>
      <c r="G72" s="1826"/>
      <c r="H72" s="1804">
        <v>-2.2795789784182462E-2</v>
      </c>
      <c r="I72" s="1804">
        <v>-1.8829446489602299E-2</v>
      </c>
      <c r="J72" s="1804">
        <v>7.2780049511305348E-3</v>
      </c>
      <c r="K72" s="1804">
        <v>-1.8089669050763115E-2</v>
      </c>
      <c r="L72" s="1804">
        <v>-5.00095804842394E-3</v>
      </c>
      <c r="M72" s="1804">
        <v>5.891889042138625E-3</v>
      </c>
      <c r="N72" s="1804">
        <v>1.6536668432666345E-2</v>
      </c>
      <c r="O72" s="1804">
        <v>1.6847324867372317E-2</v>
      </c>
      <c r="P72" s="1804">
        <v>-3.7294434066022599E-3</v>
      </c>
      <c r="Q72" s="1804">
        <v>5.6352166318184875E-3</v>
      </c>
      <c r="R72" s="1804">
        <v>1.1494821524772623E-2</v>
      </c>
      <c r="S72" s="1804">
        <v>-2.5963722239326797E-3</v>
      </c>
      <c r="T72" s="1804">
        <v>2.0010248909441627E-3</v>
      </c>
      <c r="U72" s="1804">
        <v>-3.6304695625714598E-3</v>
      </c>
      <c r="V72" s="1804">
        <v>2.6442398790415128E-2</v>
      </c>
      <c r="W72" s="1804">
        <v>1.6472258788150538E-2</v>
      </c>
      <c r="X72" s="1804">
        <v>2.582646750800742E-2</v>
      </c>
      <c r="Y72" s="1804"/>
    </row>
  </sheetData>
  <phoneticPr fontId="13"/>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D75C-A319-41C5-886C-30F25B94C039}">
  <dimension ref="A1:AL111"/>
  <sheetViews>
    <sheetView workbookViewId="0">
      <pane xSplit="1" ySplit="4" topLeftCell="B5" activePane="bottomRight" state="frozen"/>
      <selection pane="topRight" activeCell="B1" sqref="B1"/>
      <selection pane="bottomLeft" activeCell="A5" sqref="A5"/>
      <selection pane="bottomRight" activeCell="K11" sqref="K11"/>
    </sheetView>
  </sheetViews>
  <sheetFormatPr defaultColWidth="7.2109375" defaultRowHeight="13"/>
  <cols>
    <col min="1" max="1" width="14.0703125" style="75" customWidth="1"/>
    <col min="2" max="14" width="8.2109375" style="75" customWidth="1"/>
    <col min="15" max="38" width="7.2109375" style="1503"/>
    <col min="39" max="16384" width="7.2109375" style="75"/>
  </cols>
  <sheetData>
    <row r="1" spans="1:17" ht="27" customHeight="1" thickBot="1">
      <c r="A1" s="65" t="s">
        <v>1608</v>
      </c>
      <c r="E1" s="1502"/>
      <c r="F1" s="74"/>
      <c r="G1" s="74"/>
      <c r="I1" s="74"/>
      <c r="J1" s="74"/>
      <c r="K1" s="74"/>
      <c r="L1" s="74"/>
      <c r="M1" s="74" t="s">
        <v>1609</v>
      </c>
      <c r="N1" s="74" t="s">
        <v>1609</v>
      </c>
    </row>
    <row r="2" spans="1:17" ht="13.5" customHeight="1">
      <c r="A2" s="1504" t="s">
        <v>1610</v>
      </c>
      <c r="B2" s="1477"/>
      <c r="C2" s="1505" t="s">
        <v>1611</v>
      </c>
      <c r="D2" s="1506"/>
      <c r="E2" s="1506"/>
      <c r="F2" s="1507"/>
      <c r="G2" s="1507"/>
      <c r="H2" s="1507"/>
      <c r="I2" s="1507"/>
      <c r="J2" s="1507" t="s">
        <v>1612</v>
      </c>
      <c r="K2" s="1506"/>
      <c r="L2" s="1507"/>
      <c r="M2" s="1858"/>
      <c r="N2" s="1858"/>
    </row>
    <row r="3" spans="1:17" ht="13.5" customHeight="1">
      <c r="A3" s="1508"/>
      <c r="B3" s="1509" t="s">
        <v>1613</v>
      </c>
      <c r="C3" s="628" t="s">
        <v>1614</v>
      </c>
      <c r="D3" s="1510" t="s">
        <v>1637</v>
      </c>
      <c r="E3" s="1510" t="s">
        <v>1615</v>
      </c>
      <c r="F3" s="1509" t="s">
        <v>1616</v>
      </c>
      <c r="G3" s="1509" t="s">
        <v>1617</v>
      </c>
      <c r="H3" s="1509" t="s">
        <v>1618</v>
      </c>
      <c r="I3" s="1509" t="s">
        <v>1619</v>
      </c>
      <c r="J3" s="1509" t="s">
        <v>1620</v>
      </c>
      <c r="K3" s="1510" t="s">
        <v>1621</v>
      </c>
      <c r="L3" s="1509" t="s">
        <v>1622</v>
      </c>
      <c r="M3" s="1859" t="s">
        <v>1756</v>
      </c>
      <c r="N3" s="1859" t="s">
        <v>1806</v>
      </c>
    </row>
    <row r="4" spans="1:17" ht="13.5" customHeight="1">
      <c r="A4" s="1511" t="s">
        <v>320</v>
      </c>
      <c r="B4" s="1512"/>
      <c r="C4" s="354"/>
      <c r="D4" s="1513"/>
      <c r="E4" s="1513"/>
      <c r="F4" s="1512"/>
      <c r="G4" s="1512"/>
      <c r="H4" s="1512"/>
      <c r="I4" s="1512"/>
      <c r="J4" s="1512"/>
      <c r="K4" s="1513"/>
      <c r="L4" s="1512"/>
      <c r="M4" s="1860"/>
      <c r="N4" s="1860"/>
      <c r="P4" s="1514"/>
      <c r="Q4" s="1514"/>
    </row>
    <row r="5" spans="1:17" ht="13.5" customHeight="1">
      <c r="A5" s="1515" t="s">
        <v>322</v>
      </c>
      <c r="B5" s="1478">
        <v>19997123.807038844</v>
      </c>
      <c r="C5" s="1478">
        <v>19875506</v>
      </c>
      <c r="D5" s="1479">
        <v>20571143</v>
      </c>
      <c r="E5" s="1479">
        <v>20741145</v>
      </c>
      <c r="F5" s="1479">
        <v>21747193</v>
      </c>
      <c r="G5" s="1479">
        <v>21965422</v>
      </c>
      <c r="H5" s="1479">
        <v>22283273</v>
      </c>
      <c r="I5" s="1479">
        <v>22237660</v>
      </c>
      <c r="J5" s="1479">
        <v>22472835</v>
      </c>
      <c r="K5" s="1479">
        <v>21896001</v>
      </c>
      <c r="L5" s="1861">
        <v>22596893</v>
      </c>
      <c r="M5" s="1851">
        <v>23362116</v>
      </c>
      <c r="N5" s="1851">
        <v>23989541</v>
      </c>
    </row>
    <row r="6" spans="1:17" ht="13.5" customHeight="1">
      <c r="A6" s="1508" t="s">
        <v>172</v>
      </c>
      <c r="B6" s="1480">
        <v>6432390.8070388446</v>
      </c>
      <c r="C6" s="1478">
        <v>6348572</v>
      </c>
      <c r="D6" s="1478">
        <v>6421649</v>
      </c>
      <c r="E6" s="1478">
        <v>6542948</v>
      </c>
      <c r="F6" s="1478">
        <v>6861821</v>
      </c>
      <c r="G6" s="1478">
        <v>6885364</v>
      </c>
      <c r="H6" s="1478">
        <v>6983569</v>
      </c>
      <c r="I6" s="1478">
        <v>6950990</v>
      </c>
      <c r="J6" s="1478">
        <v>7083806</v>
      </c>
      <c r="K6" s="1478">
        <v>6827769</v>
      </c>
      <c r="L6" s="1862">
        <v>6947990</v>
      </c>
      <c r="M6" s="1852">
        <v>7287424</v>
      </c>
      <c r="N6" s="1852">
        <v>7529880</v>
      </c>
    </row>
    <row r="7" spans="1:17" ht="13.5" customHeight="1">
      <c r="A7" s="1508" t="s">
        <v>323</v>
      </c>
      <c r="B7" s="1480">
        <v>3245720</v>
      </c>
      <c r="C7" s="1478">
        <v>3169353</v>
      </c>
      <c r="D7" s="1478">
        <v>3309950</v>
      </c>
      <c r="E7" s="1478">
        <v>3308965</v>
      </c>
      <c r="F7" s="1478">
        <v>3538433</v>
      </c>
      <c r="G7" s="1478">
        <v>3558388</v>
      </c>
      <c r="H7" s="1478">
        <v>3670272</v>
      </c>
      <c r="I7" s="1478">
        <v>3642087</v>
      </c>
      <c r="J7" s="1478">
        <v>3695848</v>
      </c>
      <c r="K7" s="1478">
        <v>3523512</v>
      </c>
      <c r="L7" s="1862">
        <v>3696176</v>
      </c>
      <c r="M7" s="1852">
        <v>3765146</v>
      </c>
      <c r="N7" s="1852">
        <v>3908745</v>
      </c>
    </row>
    <row r="8" spans="1:17" ht="13.5" customHeight="1">
      <c r="A8" s="1508" t="s">
        <v>324</v>
      </c>
      <c r="B8" s="1480">
        <v>1916235</v>
      </c>
      <c r="C8" s="1478">
        <v>1951839</v>
      </c>
      <c r="D8" s="1478">
        <v>1969036</v>
      </c>
      <c r="E8" s="1478">
        <v>1950165</v>
      </c>
      <c r="F8" s="1478">
        <v>2053609</v>
      </c>
      <c r="G8" s="1478">
        <v>2143401</v>
      </c>
      <c r="H8" s="1478">
        <v>2115268</v>
      </c>
      <c r="I8" s="1478">
        <v>2107783</v>
      </c>
      <c r="J8" s="1478">
        <v>2072364</v>
      </c>
      <c r="K8" s="1478">
        <v>2047222</v>
      </c>
      <c r="L8" s="1862">
        <v>2206039</v>
      </c>
      <c r="M8" s="1852">
        <v>2267467</v>
      </c>
      <c r="N8" s="1852">
        <v>2397898</v>
      </c>
    </row>
    <row r="9" spans="1:17" ht="13.5" customHeight="1">
      <c r="A9" s="1508" t="s">
        <v>192</v>
      </c>
      <c r="B9" s="1480">
        <v>2589684</v>
      </c>
      <c r="C9" s="1478">
        <v>2742033</v>
      </c>
      <c r="D9" s="1478">
        <v>2788089</v>
      </c>
      <c r="E9" s="1478">
        <v>2821463</v>
      </c>
      <c r="F9" s="1478">
        <v>2957502</v>
      </c>
      <c r="G9" s="1478">
        <v>2909491</v>
      </c>
      <c r="H9" s="1478">
        <v>2926149</v>
      </c>
      <c r="I9" s="1478">
        <v>2965443</v>
      </c>
      <c r="J9" s="1478">
        <v>3002259</v>
      </c>
      <c r="K9" s="1478">
        <v>2971362</v>
      </c>
      <c r="L9" s="1862">
        <v>2960193</v>
      </c>
      <c r="M9" s="1852">
        <v>3191504</v>
      </c>
      <c r="N9" s="1852">
        <v>3149681</v>
      </c>
    </row>
    <row r="10" spans="1:17" ht="13.5" customHeight="1">
      <c r="A10" s="1508" t="s">
        <v>325</v>
      </c>
      <c r="B10" s="1480">
        <v>1113960</v>
      </c>
      <c r="C10" s="1478">
        <v>1094656</v>
      </c>
      <c r="D10" s="1478">
        <v>1151557</v>
      </c>
      <c r="E10" s="1478">
        <v>1151163</v>
      </c>
      <c r="F10" s="1478">
        <v>1197785</v>
      </c>
      <c r="G10" s="1478">
        <v>1259561</v>
      </c>
      <c r="H10" s="1478">
        <v>1311666</v>
      </c>
      <c r="I10" s="1478">
        <v>1296507</v>
      </c>
      <c r="J10" s="1478">
        <v>1310283</v>
      </c>
      <c r="K10" s="1478">
        <v>1299522</v>
      </c>
      <c r="L10" s="1862">
        <v>1319932</v>
      </c>
      <c r="M10" s="1852">
        <v>1305298</v>
      </c>
      <c r="N10" s="1852">
        <v>1356148</v>
      </c>
    </row>
    <row r="11" spans="1:17" ht="13.5" customHeight="1">
      <c r="A11" s="1508" t="s">
        <v>326</v>
      </c>
      <c r="B11" s="1480">
        <v>2382248</v>
      </c>
      <c r="C11" s="1478">
        <v>2318281</v>
      </c>
      <c r="D11" s="1478">
        <v>2510678</v>
      </c>
      <c r="E11" s="1478">
        <v>2534302</v>
      </c>
      <c r="F11" s="1478">
        <v>2608505</v>
      </c>
      <c r="G11" s="1478">
        <v>2670969</v>
      </c>
      <c r="H11" s="1478">
        <v>2678931</v>
      </c>
      <c r="I11" s="1478">
        <v>2674825</v>
      </c>
      <c r="J11" s="1478">
        <v>2648188</v>
      </c>
      <c r="K11" s="1478">
        <v>2592307</v>
      </c>
      <c r="L11" s="1862">
        <v>2822650</v>
      </c>
      <c r="M11" s="1852">
        <v>2901482</v>
      </c>
      <c r="N11" s="1852">
        <v>2930515</v>
      </c>
    </row>
    <row r="12" spans="1:17" ht="13.5" customHeight="1">
      <c r="A12" s="1508" t="s">
        <v>327</v>
      </c>
      <c r="B12" s="1480">
        <v>955124</v>
      </c>
      <c r="C12" s="1478">
        <v>956345</v>
      </c>
      <c r="D12" s="1478">
        <v>963483</v>
      </c>
      <c r="E12" s="1478">
        <v>984203</v>
      </c>
      <c r="F12" s="1478">
        <v>1015903</v>
      </c>
      <c r="G12" s="1478">
        <v>1022521</v>
      </c>
      <c r="H12" s="1478">
        <v>1065770</v>
      </c>
      <c r="I12" s="1478">
        <v>1071203</v>
      </c>
      <c r="J12" s="1478">
        <v>1080047</v>
      </c>
      <c r="K12" s="1478">
        <v>1100471</v>
      </c>
      <c r="L12" s="1862">
        <v>1127246</v>
      </c>
      <c r="M12" s="1852">
        <v>1110408</v>
      </c>
      <c r="N12" s="1852">
        <v>1129678</v>
      </c>
    </row>
    <row r="13" spans="1:17" ht="13.5" customHeight="1">
      <c r="A13" s="1508" t="s">
        <v>210</v>
      </c>
      <c r="B13" s="1480">
        <v>565410</v>
      </c>
      <c r="C13" s="1478">
        <v>570909</v>
      </c>
      <c r="D13" s="1478">
        <v>610691</v>
      </c>
      <c r="E13" s="1478">
        <v>612526</v>
      </c>
      <c r="F13" s="1478">
        <v>630036</v>
      </c>
      <c r="G13" s="1478">
        <v>622690</v>
      </c>
      <c r="H13" s="1478">
        <v>637010</v>
      </c>
      <c r="I13" s="1478">
        <v>625315</v>
      </c>
      <c r="J13" s="1478">
        <v>636327</v>
      </c>
      <c r="K13" s="1478">
        <v>639162</v>
      </c>
      <c r="L13" s="1862">
        <v>604482</v>
      </c>
      <c r="M13" s="1852">
        <v>593538</v>
      </c>
      <c r="N13" s="1852">
        <v>604135</v>
      </c>
    </row>
    <row r="14" spans="1:17" ht="13.5" customHeight="1">
      <c r="A14" s="1508" t="s">
        <v>211</v>
      </c>
      <c r="B14" s="1480">
        <v>355318</v>
      </c>
      <c r="C14" s="1478">
        <v>285502</v>
      </c>
      <c r="D14" s="1478">
        <v>397845</v>
      </c>
      <c r="E14" s="1478">
        <v>391493</v>
      </c>
      <c r="F14" s="1478">
        <v>418388</v>
      </c>
      <c r="G14" s="1478">
        <v>422586</v>
      </c>
      <c r="H14" s="1478">
        <v>426693</v>
      </c>
      <c r="I14" s="1478">
        <v>438473</v>
      </c>
      <c r="J14" s="1478">
        <v>474718</v>
      </c>
      <c r="K14" s="1478">
        <v>453080</v>
      </c>
      <c r="L14" s="1862">
        <v>460054</v>
      </c>
      <c r="M14" s="1852">
        <v>464432</v>
      </c>
      <c r="N14" s="1852">
        <v>481731</v>
      </c>
    </row>
    <row r="15" spans="1:17" ht="13.5" customHeight="1">
      <c r="A15" s="1508" t="s">
        <v>212</v>
      </c>
      <c r="B15" s="1480">
        <v>441034</v>
      </c>
      <c r="C15" s="1478">
        <v>438016</v>
      </c>
      <c r="D15" s="1478">
        <v>448165</v>
      </c>
      <c r="E15" s="1478">
        <v>443917</v>
      </c>
      <c r="F15" s="1478">
        <v>465211</v>
      </c>
      <c r="G15" s="1478">
        <v>470451</v>
      </c>
      <c r="H15" s="1478">
        <v>467945</v>
      </c>
      <c r="I15" s="1478">
        <v>465034</v>
      </c>
      <c r="J15" s="1478">
        <v>468995</v>
      </c>
      <c r="K15" s="1478">
        <v>441594</v>
      </c>
      <c r="L15" s="1862">
        <v>452131</v>
      </c>
      <c r="M15" s="1852">
        <v>475417</v>
      </c>
      <c r="N15" s="1852">
        <v>501130</v>
      </c>
    </row>
    <row r="16" spans="1:17" ht="13.5" customHeight="1">
      <c r="A16" s="1511"/>
      <c r="B16" s="1481"/>
      <c r="C16" s="1481"/>
      <c r="D16" s="1481"/>
      <c r="E16" s="1478"/>
      <c r="F16" s="1478"/>
      <c r="G16" s="1478"/>
      <c r="H16" s="1478"/>
      <c r="I16" s="1478"/>
      <c r="J16" s="1478"/>
      <c r="K16" s="1478"/>
      <c r="L16" s="1862"/>
      <c r="M16" s="1852"/>
      <c r="N16" s="1852"/>
    </row>
    <row r="17" spans="1:14" ht="13.5" customHeight="1">
      <c r="A17" s="1482" t="s">
        <v>172</v>
      </c>
      <c r="B17" s="1516">
        <v>6432390.8070388446</v>
      </c>
      <c r="C17" s="1516">
        <v>6348572</v>
      </c>
      <c r="D17" s="1516">
        <v>6421649</v>
      </c>
      <c r="E17" s="1516">
        <v>6542948</v>
      </c>
      <c r="F17" s="1516">
        <v>6861821</v>
      </c>
      <c r="G17" s="1516">
        <v>6885364</v>
      </c>
      <c r="H17" s="1516">
        <v>6983569</v>
      </c>
      <c r="I17" s="1516">
        <v>6950990</v>
      </c>
      <c r="J17" s="1516">
        <v>7083806</v>
      </c>
      <c r="K17" s="1516">
        <v>6827769</v>
      </c>
      <c r="L17" s="1863">
        <v>6947990</v>
      </c>
      <c r="M17" s="1853">
        <v>7287424</v>
      </c>
      <c r="N17" s="1853">
        <v>7529880</v>
      </c>
    </row>
    <row r="18" spans="1:14" ht="13.5" customHeight="1">
      <c r="A18" s="1483" t="s">
        <v>328</v>
      </c>
      <c r="B18" s="1517">
        <v>3245720</v>
      </c>
      <c r="C18" s="1517">
        <v>3169353</v>
      </c>
      <c r="D18" s="1517">
        <v>3309950</v>
      </c>
      <c r="E18" s="1517">
        <v>3308965</v>
      </c>
      <c r="F18" s="1517">
        <v>3538433</v>
      </c>
      <c r="G18" s="1517">
        <v>3558388</v>
      </c>
      <c r="H18" s="1517">
        <v>3670272</v>
      </c>
      <c r="I18" s="1517">
        <v>3642087</v>
      </c>
      <c r="J18" s="1517">
        <v>3695848</v>
      </c>
      <c r="K18" s="1517">
        <v>3523512</v>
      </c>
      <c r="L18" s="1864">
        <v>3696176</v>
      </c>
      <c r="M18" s="1854">
        <v>3765146</v>
      </c>
      <c r="N18" s="1854">
        <v>3908745</v>
      </c>
    </row>
    <row r="19" spans="1:14" ht="13.5" customHeight="1">
      <c r="A19" s="1508" t="s">
        <v>183</v>
      </c>
      <c r="B19" s="1517">
        <v>1752589</v>
      </c>
      <c r="C19" s="1517">
        <v>1692374</v>
      </c>
      <c r="D19" s="1517">
        <v>1753411</v>
      </c>
      <c r="E19" s="1517">
        <v>1775377</v>
      </c>
      <c r="F19" s="1517">
        <v>1891559</v>
      </c>
      <c r="G19" s="1517">
        <v>1932353</v>
      </c>
      <c r="H19" s="1517">
        <v>1995954</v>
      </c>
      <c r="I19" s="1517">
        <v>1971785</v>
      </c>
      <c r="J19" s="1517">
        <v>2011427</v>
      </c>
      <c r="K19" s="1517">
        <v>1878775</v>
      </c>
      <c r="L19" s="1864">
        <v>2011734</v>
      </c>
      <c r="M19" s="1854">
        <v>2057005</v>
      </c>
      <c r="N19" s="1854">
        <v>2136572</v>
      </c>
    </row>
    <row r="20" spans="1:14" ht="13.5" customHeight="1">
      <c r="A20" s="1508" t="s">
        <v>184</v>
      </c>
      <c r="B20" s="1517">
        <v>1287120</v>
      </c>
      <c r="C20" s="1517">
        <v>1270506</v>
      </c>
      <c r="D20" s="1517">
        <v>1335513</v>
      </c>
      <c r="E20" s="1517">
        <v>1324680</v>
      </c>
      <c r="F20" s="1517">
        <v>1411171</v>
      </c>
      <c r="G20" s="1517">
        <v>1403765</v>
      </c>
      <c r="H20" s="1517">
        <v>1442289</v>
      </c>
      <c r="I20" s="1517">
        <v>1446183</v>
      </c>
      <c r="J20" s="1517">
        <v>1451518</v>
      </c>
      <c r="K20" s="1517">
        <v>1416580</v>
      </c>
      <c r="L20" s="1864">
        <v>1451238</v>
      </c>
      <c r="M20" s="1854">
        <v>1470374</v>
      </c>
      <c r="N20" s="1854">
        <v>1519935</v>
      </c>
    </row>
    <row r="21" spans="1:14" ht="13.5" customHeight="1">
      <c r="A21" s="1508" t="s">
        <v>185</v>
      </c>
      <c r="B21" s="1517">
        <v>206011</v>
      </c>
      <c r="C21" s="1517">
        <v>206473</v>
      </c>
      <c r="D21" s="1517">
        <v>221026</v>
      </c>
      <c r="E21" s="1517">
        <v>208908</v>
      </c>
      <c r="F21" s="1517">
        <v>235703</v>
      </c>
      <c r="G21" s="1517">
        <v>222270</v>
      </c>
      <c r="H21" s="1517">
        <v>232029</v>
      </c>
      <c r="I21" s="1517">
        <v>224119</v>
      </c>
      <c r="J21" s="1517">
        <v>232903</v>
      </c>
      <c r="K21" s="1517">
        <v>228157</v>
      </c>
      <c r="L21" s="1864">
        <v>233204</v>
      </c>
      <c r="M21" s="1854">
        <v>237767</v>
      </c>
      <c r="N21" s="1854">
        <v>252238</v>
      </c>
    </row>
    <row r="22" spans="1:14" ht="13.5" customHeight="1">
      <c r="A22" s="1484" t="s">
        <v>324</v>
      </c>
      <c r="B22" s="1518">
        <v>1916235</v>
      </c>
      <c r="C22" s="1518">
        <v>1951839</v>
      </c>
      <c r="D22" s="1518">
        <v>1969036</v>
      </c>
      <c r="E22" s="1518">
        <v>1950165</v>
      </c>
      <c r="F22" s="1518">
        <v>2053609</v>
      </c>
      <c r="G22" s="1518">
        <v>2143401</v>
      </c>
      <c r="H22" s="1518">
        <v>2115268</v>
      </c>
      <c r="I22" s="1518">
        <v>2107783</v>
      </c>
      <c r="J22" s="1518">
        <v>2072364</v>
      </c>
      <c r="K22" s="1518">
        <v>2047222</v>
      </c>
      <c r="L22" s="1865">
        <v>2206039</v>
      </c>
      <c r="M22" s="1855">
        <v>2267467</v>
      </c>
      <c r="N22" s="1855">
        <v>2397898</v>
      </c>
    </row>
    <row r="23" spans="1:14" ht="13.5" customHeight="1">
      <c r="A23" s="1508" t="s">
        <v>187</v>
      </c>
      <c r="B23" s="1517">
        <v>639450</v>
      </c>
      <c r="C23" s="1517">
        <v>636622</v>
      </c>
      <c r="D23" s="1517">
        <v>670849</v>
      </c>
      <c r="E23" s="1517">
        <v>676888</v>
      </c>
      <c r="F23" s="1517">
        <v>694796</v>
      </c>
      <c r="G23" s="1517">
        <v>730525</v>
      </c>
      <c r="H23" s="1517">
        <v>710880</v>
      </c>
      <c r="I23" s="1517">
        <v>706440</v>
      </c>
      <c r="J23" s="1517">
        <v>699526</v>
      </c>
      <c r="K23" s="1517">
        <v>708582</v>
      </c>
      <c r="L23" s="1864">
        <v>779947</v>
      </c>
      <c r="M23" s="1854">
        <v>783875</v>
      </c>
      <c r="N23" s="1854">
        <v>808108</v>
      </c>
    </row>
    <row r="24" spans="1:14" ht="13.5" customHeight="1">
      <c r="A24" s="1508" t="s">
        <v>188</v>
      </c>
      <c r="B24" s="1517">
        <v>450860</v>
      </c>
      <c r="C24" s="1517">
        <v>453519</v>
      </c>
      <c r="D24" s="1517">
        <v>468431</v>
      </c>
      <c r="E24" s="1517">
        <v>466094</v>
      </c>
      <c r="F24" s="1517">
        <v>488652</v>
      </c>
      <c r="G24" s="1517">
        <v>490527</v>
      </c>
      <c r="H24" s="1517">
        <v>494082</v>
      </c>
      <c r="I24" s="1517">
        <v>500797</v>
      </c>
      <c r="J24" s="1517">
        <v>496141</v>
      </c>
      <c r="K24" s="1517">
        <v>479974</v>
      </c>
      <c r="L24" s="1864">
        <v>497227</v>
      </c>
      <c r="M24" s="1854">
        <v>507141</v>
      </c>
      <c r="N24" s="1854">
        <v>524511</v>
      </c>
    </row>
    <row r="25" spans="1:14" ht="13.5" customHeight="1">
      <c r="A25" s="1508" t="s">
        <v>189</v>
      </c>
      <c r="B25" s="1517">
        <v>322287</v>
      </c>
      <c r="C25" s="1517">
        <v>334721</v>
      </c>
      <c r="D25" s="1517">
        <v>324653</v>
      </c>
      <c r="E25" s="1517">
        <v>329234</v>
      </c>
      <c r="F25" s="1517">
        <v>334662</v>
      </c>
      <c r="G25" s="1517">
        <v>341864</v>
      </c>
      <c r="H25" s="1517">
        <v>349402</v>
      </c>
      <c r="I25" s="1517">
        <v>359555</v>
      </c>
      <c r="J25" s="1517">
        <v>357084</v>
      </c>
      <c r="K25" s="1517">
        <v>345655</v>
      </c>
      <c r="L25" s="1864">
        <v>353632</v>
      </c>
      <c r="M25" s="1854">
        <v>361724</v>
      </c>
      <c r="N25" s="1854">
        <v>376258</v>
      </c>
    </row>
    <row r="26" spans="1:14" ht="13.5" customHeight="1">
      <c r="A26" s="1508" t="s">
        <v>190</v>
      </c>
      <c r="B26" s="1517">
        <v>442677</v>
      </c>
      <c r="C26" s="1517">
        <v>466383</v>
      </c>
      <c r="D26" s="1517">
        <v>442900</v>
      </c>
      <c r="E26" s="1517">
        <v>415559</v>
      </c>
      <c r="F26" s="1517">
        <v>470402</v>
      </c>
      <c r="G26" s="1517">
        <v>516303</v>
      </c>
      <c r="H26" s="1517">
        <v>494336</v>
      </c>
      <c r="I26" s="1517">
        <v>478020</v>
      </c>
      <c r="J26" s="1517">
        <v>456238</v>
      </c>
      <c r="K26" s="1517">
        <v>450240</v>
      </c>
      <c r="L26" s="1864">
        <v>510967</v>
      </c>
      <c r="M26" s="1854">
        <v>550341</v>
      </c>
      <c r="N26" s="1854">
        <v>621907</v>
      </c>
    </row>
    <row r="27" spans="1:14" ht="13.5" customHeight="1">
      <c r="A27" s="1511" t="s">
        <v>191</v>
      </c>
      <c r="B27" s="1519">
        <v>60961</v>
      </c>
      <c r="C27" s="1519">
        <v>60594</v>
      </c>
      <c r="D27" s="1519">
        <v>62203</v>
      </c>
      <c r="E27" s="1519">
        <v>62390</v>
      </c>
      <c r="F27" s="1519">
        <v>65097</v>
      </c>
      <c r="G27" s="1519">
        <v>64182</v>
      </c>
      <c r="H27" s="1519">
        <v>66568</v>
      </c>
      <c r="I27" s="1519">
        <v>62971</v>
      </c>
      <c r="J27" s="1519">
        <v>63375</v>
      </c>
      <c r="K27" s="1519">
        <v>62771</v>
      </c>
      <c r="L27" s="1866">
        <v>64266</v>
      </c>
      <c r="M27" s="1856">
        <v>64386</v>
      </c>
      <c r="N27" s="1856">
        <v>67114</v>
      </c>
    </row>
    <row r="28" spans="1:14" ht="13.5" customHeight="1">
      <c r="A28" s="1483" t="s">
        <v>192</v>
      </c>
      <c r="B28" s="1517">
        <v>2589684</v>
      </c>
      <c r="C28" s="1517">
        <v>2742033</v>
      </c>
      <c r="D28" s="1517">
        <v>2788089</v>
      </c>
      <c r="E28" s="1517">
        <v>2821463</v>
      </c>
      <c r="F28" s="1517">
        <v>2957502</v>
      </c>
      <c r="G28" s="1517">
        <v>2909491</v>
      </c>
      <c r="H28" s="1517">
        <v>2926149</v>
      </c>
      <c r="I28" s="1517">
        <v>2965443</v>
      </c>
      <c r="J28" s="1517">
        <v>3002259</v>
      </c>
      <c r="K28" s="1517">
        <v>2971362</v>
      </c>
      <c r="L28" s="1864">
        <v>2960193</v>
      </c>
      <c r="M28" s="1854">
        <v>3191504</v>
      </c>
      <c r="N28" s="1854">
        <v>3149681</v>
      </c>
    </row>
    <row r="29" spans="1:14" ht="13.5" customHeight="1">
      <c r="A29" s="1508" t="s">
        <v>193</v>
      </c>
      <c r="B29" s="1517">
        <v>999436</v>
      </c>
      <c r="C29" s="1517">
        <v>1097460</v>
      </c>
      <c r="D29" s="1517">
        <v>1072794</v>
      </c>
      <c r="E29" s="1517">
        <v>1142555</v>
      </c>
      <c r="F29" s="1517">
        <v>1192055</v>
      </c>
      <c r="G29" s="1517">
        <v>1167214</v>
      </c>
      <c r="H29" s="1517">
        <v>1158475</v>
      </c>
      <c r="I29" s="1517">
        <v>1195444</v>
      </c>
      <c r="J29" s="1517">
        <v>1215341</v>
      </c>
      <c r="K29" s="1517">
        <v>1167367</v>
      </c>
      <c r="L29" s="1864">
        <v>1145352</v>
      </c>
      <c r="M29" s="1854">
        <v>1271090</v>
      </c>
      <c r="N29" s="1854">
        <v>1305615</v>
      </c>
    </row>
    <row r="30" spans="1:14" ht="13.5" customHeight="1">
      <c r="A30" s="1508" t="s">
        <v>194</v>
      </c>
      <c r="B30" s="1517">
        <v>739650</v>
      </c>
      <c r="C30" s="1517">
        <v>736939</v>
      </c>
      <c r="D30" s="1517">
        <v>802766</v>
      </c>
      <c r="E30" s="1517">
        <v>805895</v>
      </c>
      <c r="F30" s="1517">
        <v>823001</v>
      </c>
      <c r="G30" s="1517">
        <v>857657</v>
      </c>
      <c r="H30" s="1517">
        <v>876650</v>
      </c>
      <c r="I30" s="1517">
        <v>893962</v>
      </c>
      <c r="J30" s="1517">
        <v>895719</v>
      </c>
      <c r="K30" s="1517">
        <v>856308</v>
      </c>
      <c r="L30" s="1864">
        <v>844748</v>
      </c>
      <c r="M30" s="1854">
        <v>855033</v>
      </c>
      <c r="N30" s="1854">
        <v>871548</v>
      </c>
    </row>
    <row r="31" spans="1:14" ht="13.5" customHeight="1">
      <c r="A31" s="1508" t="s">
        <v>195</v>
      </c>
      <c r="B31" s="1517">
        <v>581852</v>
      </c>
      <c r="C31" s="1517">
        <v>611942</v>
      </c>
      <c r="D31" s="1517">
        <v>611137</v>
      </c>
      <c r="E31" s="1517">
        <v>545767</v>
      </c>
      <c r="F31" s="1517">
        <v>591869</v>
      </c>
      <c r="G31" s="1517">
        <v>547207</v>
      </c>
      <c r="H31" s="1517">
        <v>539158</v>
      </c>
      <c r="I31" s="1517">
        <v>518240</v>
      </c>
      <c r="J31" s="1517">
        <v>532214</v>
      </c>
      <c r="K31" s="1517">
        <v>587926</v>
      </c>
      <c r="L31" s="1864">
        <v>551596</v>
      </c>
      <c r="M31" s="1854">
        <v>609404</v>
      </c>
      <c r="N31" s="1854">
        <v>526778</v>
      </c>
    </row>
    <row r="32" spans="1:14" ht="13.5" customHeight="1">
      <c r="A32" s="1508" t="s">
        <v>196</v>
      </c>
      <c r="B32" s="1517">
        <v>149532</v>
      </c>
      <c r="C32" s="1517">
        <v>159509</v>
      </c>
      <c r="D32" s="1517">
        <v>165275</v>
      </c>
      <c r="E32" s="1517">
        <v>171112</v>
      </c>
      <c r="F32" s="1517">
        <v>190785</v>
      </c>
      <c r="G32" s="1517">
        <v>177828</v>
      </c>
      <c r="H32" s="1517">
        <v>183799</v>
      </c>
      <c r="I32" s="1517">
        <v>182715</v>
      </c>
      <c r="J32" s="1517">
        <v>175742</v>
      </c>
      <c r="K32" s="1517">
        <v>151068</v>
      </c>
      <c r="L32" s="1864">
        <v>169263</v>
      </c>
      <c r="M32" s="1854">
        <v>171319</v>
      </c>
      <c r="N32" s="1854">
        <v>174738</v>
      </c>
    </row>
    <row r="33" spans="1:14" ht="13.5" customHeight="1">
      <c r="A33" s="1508" t="s">
        <v>197</v>
      </c>
      <c r="B33" s="1517">
        <v>119214</v>
      </c>
      <c r="C33" s="1517">
        <v>136183</v>
      </c>
      <c r="D33" s="1517">
        <v>136117</v>
      </c>
      <c r="E33" s="1517">
        <v>156134</v>
      </c>
      <c r="F33" s="1517">
        <v>159792</v>
      </c>
      <c r="G33" s="1517">
        <v>159585</v>
      </c>
      <c r="H33" s="1517">
        <v>168067</v>
      </c>
      <c r="I33" s="1517">
        <v>175082</v>
      </c>
      <c r="J33" s="1517">
        <v>183243</v>
      </c>
      <c r="K33" s="1517">
        <v>208693</v>
      </c>
      <c r="L33" s="1864">
        <v>249234</v>
      </c>
      <c r="M33" s="1854">
        <v>284658</v>
      </c>
      <c r="N33" s="1854">
        <v>271002</v>
      </c>
    </row>
    <row r="34" spans="1:14" ht="13.5" customHeight="1">
      <c r="A34" s="1484" t="s">
        <v>325</v>
      </c>
      <c r="B34" s="1518">
        <v>1113960</v>
      </c>
      <c r="C34" s="1518">
        <v>1094656</v>
      </c>
      <c r="D34" s="1518">
        <v>1151557</v>
      </c>
      <c r="E34" s="1518">
        <v>1151163</v>
      </c>
      <c r="F34" s="1518">
        <v>1197785</v>
      </c>
      <c r="G34" s="1518">
        <v>1259561</v>
      </c>
      <c r="H34" s="1518">
        <v>1311666</v>
      </c>
      <c r="I34" s="1518">
        <v>1296507</v>
      </c>
      <c r="J34" s="1518">
        <v>1310283</v>
      </c>
      <c r="K34" s="1518">
        <v>1299522</v>
      </c>
      <c r="L34" s="1865">
        <v>1319932</v>
      </c>
      <c r="M34" s="1855">
        <v>1305298</v>
      </c>
      <c r="N34" s="1855">
        <v>1356148</v>
      </c>
    </row>
    <row r="35" spans="1:14" ht="13.5" customHeight="1">
      <c r="A35" s="1508" t="s">
        <v>1623</v>
      </c>
      <c r="B35" s="1517">
        <v>130104</v>
      </c>
      <c r="C35" s="1517">
        <v>130538</v>
      </c>
      <c r="D35" s="1517">
        <v>147240</v>
      </c>
      <c r="E35" s="1517">
        <v>135004</v>
      </c>
      <c r="F35" s="1517">
        <v>145088</v>
      </c>
      <c r="G35" s="1517">
        <v>143006</v>
      </c>
      <c r="H35" s="1517">
        <v>142540</v>
      </c>
      <c r="I35" s="1517">
        <v>142474</v>
      </c>
      <c r="J35" s="1517">
        <v>151432</v>
      </c>
      <c r="K35" s="1517">
        <v>145709</v>
      </c>
      <c r="L35" s="1864">
        <v>147171</v>
      </c>
      <c r="M35" s="1854">
        <v>151172</v>
      </c>
      <c r="N35" s="1854">
        <v>159346</v>
      </c>
    </row>
    <row r="36" spans="1:14" ht="13.5" customHeight="1">
      <c r="A36" s="1508" t="s">
        <v>1624</v>
      </c>
      <c r="B36" s="1517">
        <v>264140</v>
      </c>
      <c r="C36" s="1517">
        <v>264402</v>
      </c>
      <c r="D36" s="1517">
        <v>269658</v>
      </c>
      <c r="E36" s="1517">
        <v>264450</v>
      </c>
      <c r="F36" s="1517">
        <v>285171</v>
      </c>
      <c r="G36" s="1517">
        <v>296589</v>
      </c>
      <c r="H36" s="1517">
        <v>304827</v>
      </c>
      <c r="I36" s="1517">
        <v>308410</v>
      </c>
      <c r="J36" s="1517">
        <v>308956</v>
      </c>
      <c r="K36" s="1517">
        <v>316527</v>
      </c>
      <c r="L36" s="1864">
        <v>321348</v>
      </c>
      <c r="M36" s="1854">
        <v>323795</v>
      </c>
      <c r="N36" s="1854">
        <v>330552</v>
      </c>
    </row>
    <row r="37" spans="1:14" ht="13.5" customHeight="1">
      <c r="A37" s="1508" t="s">
        <v>200</v>
      </c>
      <c r="B37" s="1517">
        <v>221050</v>
      </c>
      <c r="C37" s="1517">
        <v>206492</v>
      </c>
      <c r="D37" s="1517">
        <v>229833</v>
      </c>
      <c r="E37" s="1517">
        <v>237918</v>
      </c>
      <c r="F37" s="1517">
        <v>255875</v>
      </c>
      <c r="G37" s="1517">
        <v>253099</v>
      </c>
      <c r="H37" s="1517">
        <v>261597</v>
      </c>
      <c r="I37" s="1517">
        <v>263985</v>
      </c>
      <c r="J37" s="1517">
        <v>263822</v>
      </c>
      <c r="K37" s="1517">
        <v>252856</v>
      </c>
      <c r="L37" s="1864">
        <v>259802</v>
      </c>
      <c r="M37" s="1854">
        <v>263214</v>
      </c>
      <c r="N37" s="1854">
        <v>296481</v>
      </c>
    </row>
    <row r="38" spans="1:14" ht="13.5" customHeight="1">
      <c r="A38" s="1508" t="s">
        <v>201</v>
      </c>
      <c r="B38" s="1517">
        <v>197739</v>
      </c>
      <c r="C38" s="1517">
        <v>201820</v>
      </c>
      <c r="D38" s="1517">
        <v>212877</v>
      </c>
      <c r="E38" s="1517">
        <v>203411</v>
      </c>
      <c r="F38" s="1517">
        <v>210687</v>
      </c>
      <c r="G38" s="1517">
        <v>229804</v>
      </c>
      <c r="H38" s="1517">
        <v>252140</v>
      </c>
      <c r="I38" s="1517">
        <v>254849</v>
      </c>
      <c r="J38" s="1517">
        <v>247086</v>
      </c>
      <c r="K38" s="1517">
        <v>234697</v>
      </c>
      <c r="L38" s="1864">
        <v>254100</v>
      </c>
      <c r="M38" s="1854">
        <v>245023</v>
      </c>
      <c r="N38" s="1854">
        <v>257009</v>
      </c>
    </row>
    <row r="39" spans="1:14" ht="13.5" customHeight="1">
      <c r="A39" s="1508" t="s">
        <v>330</v>
      </c>
      <c r="B39" s="1517">
        <v>238158</v>
      </c>
      <c r="C39" s="1517">
        <v>230443</v>
      </c>
      <c r="D39" s="1517">
        <v>229509</v>
      </c>
      <c r="E39" s="1517">
        <v>247072</v>
      </c>
      <c r="F39" s="1517">
        <v>235214</v>
      </c>
      <c r="G39" s="1517">
        <v>269639</v>
      </c>
      <c r="H39" s="1517">
        <v>282184</v>
      </c>
      <c r="I39" s="1517">
        <v>260978</v>
      </c>
      <c r="J39" s="1517">
        <v>273058</v>
      </c>
      <c r="K39" s="1517">
        <v>283315</v>
      </c>
      <c r="L39" s="1864">
        <v>268493</v>
      </c>
      <c r="M39" s="1854">
        <v>248836</v>
      </c>
      <c r="N39" s="1854">
        <v>239288</v>
      </c>
    </row>
    <row r="40" spans="1:14" ht="13.5" customHeight="1">
      <c r="A40" s="1511" t="s">
        <v>331</v>
      </c>
      <c r="B40" s="1519">
        <v>62769</v>
      </c>
      <c r="C40" s="1519">
        <v>60961</v>
      </c>
      <c r="D40" s="1519">
        <v>62440</v>
      </c>
      <c r="E40" s="1517">
        <v>63308</v>
      </c>
      <c r="F40" s="1517">
        <v>65750</v>
      </c>
      <c r="G40" s="1517">
        <v>67424</v>
      </c>
      <c r="H40" s="1517">
        <v>68378</v>
      </c>
      <c r="I40" s="1517">
        <v>65811</v>
      </c>
      <c r="J40" s="1517">
        <v>65929</v>
      </c>
      <c r="K40" s="1517">
        <v>66418</v>
      </c>
      <c r="L40" s="1864">
        <v>69018</v>
      </c>
      <c r="M40" s="1854">
        <v>73258</v>
      </c>
      <c r="N40" s="1854">
        <v>73472</v>
      </c>
    </row>
    <row r="41" spans="1:14" ht="13.5" customHeight="1">
      <c r="A41" s="1483" t="s">
        <v>326</v>
      </c>
      <c r="B41" s="1517">
        <v>2382248</v>
      </c>
      <c r="C41" s="1517">
        <v>2318281</v>
      </c>
      <c r="D41" s="1517">
        <v>2510678</v>
      </c>
      <c r="E41" s="1518">
        <v>2534302</v>
      </c>
      <c r="F41" s="1518">
        <v>2608505</v>
      </c>
      <c r="G41" s="1518">
        <v>2670969</v>
      </c>
      <c r="H41" s="1518">
        <v>2678931</v>
      </c>
      <c r="I41" s="1518">
        <v>2674825</v>
      </c>
      <c r="J41" s="1518">
        <v>2648188</v>
      </c>
      <c r="K41" s="1518">
        <v>2592307</v>
      </c>
      <c r="L41" s="1865">
        <v>2822650</v>
      </c>
      <c r="M41" s="1855">
        <v>2901482</v>
      </c>
      <c r="N41" s="1855">
        <v>2930515</v>
      </c>
    </row>
    <row r="42" spans="1:14" ht="13.5" customHeight="1">
      <c r="A42" s="1508" t="s">
        <v>332</v>
      </c>
      <c r="B42" s="1517">
        <v>2164871</v>
      </c>
      <c r="C42" s="1517">
        <v>2111731</v>
      </c>
      <c r="D42" s="1517">
        <v>2279755</v>
      </c>
      <c r="E42" s="1517">
        <v>2304890</v>
      </c>
      <c r="F42" s="1517">
        <v>2371505</v>
      </c>
      <c r="G42" s="1517">
        <v>2419072</v>
      </c>
      <c r="H42" s="1517">
        <v>2418958</v>
      </c>
      <c r="I42" s="1517">
        <v>2416021</v>
      </c>
      <c r="J42" s="1517">
        <v>2390528</v>
      </c>
      <c r="K42" s="1517">
        <v>2346960</v>
      </c>
      <c r="L42" s="1864">
        <v>2570060</v>
      </c>
      <c r="M42" s="1854">
        <v>2634961</v>
      </c>
      <c r="N42" s="1854">
        <v>2656993</v>
      </c>
    </row>
    <row r="43" spans="1:14" ht="13.5" customHeight="1">
      <c r="A43" s="1508" t="s">
        <v>203</v>
      </c>
      <c r="B43" s="1517">
        <v>31844</v>
      </c>
      <c r="C43" s="1517">
        <v>33631</v>
      </c>
      <c r="D43" s="1517">
        <v>36897</v>
      </c>
      <c r="E43" s="1517">
        <v>35406</v>
      </c>
      <c r="F43" s="1517">
        <v>35444</v>
      </c>
      <c r="G43" s="1517">
        <v>37716</v>
      </c>
      <c r="H43" s="1517">
        <v>37794</v>
      </c>
      <c r="I43" s="1517">
        <v>38688</v>
      </c>
      <c r="J43" s="1517">
        <v>39589</v>
      </c>
      <c r="K43" s="1517">
        <v>38208</v>
      </c>
      <c r="L43" s="1864">
        <v>41972</v>
      </c>
      <c r="M43" s="1854">
        <v>42237</v>
      </c>
      <c r="N43" s="1854">
        <v>44652</v>
      </c>
    </row>
    <row r="44" spans="1:14" ht="13.5" customHeight="1">
      <c r="A44" s="1508" t="s">
        <v>204</v>
      </c>
      <c r="B44" s="1517">
        <v>156539</v>
      </c>
      <c r="C44" s="1517">
        <v>145584</v>
      </c>
      <c r="D44" s="1517">
        <v>163726</v>
      </c>
      <c r="E44" s="1517">
        <v>163940</v>
      </c>
      <c r="F44" s="1517">
        <v>169206</v>
      </c>
      <c r="G44" s="1517">
        <v>182330</v>
      </c>
      <c r="H44" s="1517">
        <v>189242</v>
      </c>
      <c r="I44" s="1517">
        <v>187452</v>
      </c>
      <c r="J44" s="1517">
        <v>186340</v>
      </c>
      <c r="K44" s="1517">
        <v>175405</v>
      </c>
      <c r="L44" s="1864">
        <v>177503</v>
      </c>
      <c r="M44" s="1854">
        <v>188148</v>
      </c>
      <c r="N44" s="1854">
        <v>191258</v>
      </c>
    </row>
    <row r="45" spans="1:14" ht="13.5" customHeight="1">
      <c r="A45" s="1508" t="s">
        <v>333</v>
      </c>
      <c r="B45" s="1517">
        <v>28994</v>
      </c>
      <c r="C45" s="1517">
        <v>27335</v>
      </c>
      <c r="D45" s="1517">
        <v>30300</v>
      </c>
      <c r="E45" s="1517">
        <v>30066</v>
      </c>
      <c r="F45" s="1517">
        <v>32350</v>
      </c>
      <c r="G45" s="1517">
        <v>31851</v>
      </c>
      <c r="H45" s="1517">
        <v>32937</v>
      </c>
      <c r="I45" s="1517">
        <v>32664</v>
      </c>
      <c r="J45" s="1517">
        <v>31731</v>
      </c>
      <c r="K45" s="1517">
        <v>31734</v>
      </c>
      <c r="L45" s="1864">
        <v>33115</v>
      </c>
      <c r="M45" s="1854">
        <v>36136</v>
      </c>
      <c r="N45" s="1854">
        <v>37612</v>
      </c>
    </row>
    <row r="46" spans="1:14" ht="13.5" customHeight="1">
      <c r="A46" s="1484" t="s">
        <v>327</v>
      </c>
      <c r="B46" s="1518">
        <v>955124</v>
      </c>
      <c r="C46" s="1518">
        <v>956345</v>
      </c>
      <c r="D46" s="1518">
        <v>963483</v>
      </c>
      <c r="E46" s="1518">
        <v>984203</v>
      </c>
      <c r="F46" s="1518">
        <v>1015903</v>
      </c>
      <c r="G46" s="1518">
        <v>1022521</v>
      </c>
      <c r="H46" s="1518">
        <v>1065770</v>
      </c>
      <c r="I46" s="1518">
        <v>1071203</v>
      </c>
      <c r="J46" s="1518">
        <v>1080047</v>
      </c>
      <c r="K46" s="1518">
        <v>1100471</v>
      </c>
      <c r="L46" s="1865">
        <v>1127246</v>
      </c>
      <c r="M46" s="1855">
        <v>1110408</v>
      </c>
      <c r="N46" s="1855">
        <v>1129678</v>
      </c>
    </row>
    <row r="47" spans="1:14" ht="13.5" customHeight="1">
      <c r="A47" s="1508" t="s">
        <v>206</v>
      </c>
      <c r="B47" s="1517">
        <v>98484</v>
      </c>
      <c r="C47" s="1517">
        <v>101878</v>
      </c>
      <c r="D47" s="1517">
        <v>98317</v>
      </c>
      <c r="E47" s="1517">
        <v>115247</v>
      </c>
      <c r="F47" s="1517">
        <v>143629</v>
      </c>
      <c r="G47" s="1517">
        <v>108271</v>
      </c>
      <c r="H47" s="1517">
        <v>118385</v>
      </c>
      <c r="I47" s="1517">
        <v>138549</v>
      </c>
      <c r="J47" s="1517">
        <v>145544</v>
      </c>
      <c r="K47" s="1517">
        <v>173140</v>
      </c>
      <c r="L47" s="1864">
        <v>181199</v>
      </c>
      <c r="M47" s="1854">
        <v>192319</v>
      </c>
      <c r="N47" s="1854">
        <v>180506</v>
      </c>
    </row>
    <row r="48" spans="1:14" ht="13.5" customHeight="1">
      <c r="A48" s="1508" t="s">
        <v>207</v>
      </c>
      <c r="B48" s="1517">
        <v>211032</v>
      </c>
      <c r="C48" s="1517">
        <v>214837</v>
      </c>
      <c r="D48" s="1517">
        <v>220981</v>
      </c>
      <c r="E48" s="1517">
        <v>216481</v>
      </c>
      <c r="F48" s="1517">
        <v>227069</v>
      </c>
      <c r="G48" s="1517">
        <v>234555</v>
      </c>
      <c r="H48" s="1517">
        <v>241914</v>
      </c>
      <c r="I48" s="1517">
        <v>235430</v>
      </c>
      <c r="J48" s="1517">
        <v>240172</v>
      </c>
      <c r="K48" s="1517">
        <v>241852</v>
      </c>
      <c r="L48" s="1864">
        <v>232306</v>
      </c>
      <c r="M48" s="1854">
        <v>237715</v>
      </c>
      <c r="N48" s="1854">
        <v>246312</v>
      </c>
    </row>
    <row r="49" spans="1:14" ht="13.5" customHeight="1">
      <c r="A49" s="1508" t="s">
        <v>219</v>
      </c>
      <c r="B49" s="1517">
        <v>113937</v>
      </c>
      <c r="C49" s="1517">
        <v>116463</v>
      </c>
      <c r="D49" s="1517">
        <v>121960</v>
      </c>
      <c r="E49" s="1517">
        <v>119992</v>
      </c>
      <c r="F49" s="1517">
        <v>121565</v>
      </c>
      <c r="G49" s="1517">
        <v>121061</v>
      </c>
      <c r="H49" s="1517">
        <v>120117</v>
      </c>
      <c r="I49" s="1517">
        <v>122112</v>
      </c>
      <c r="J49" s="1517">
        <v>119381</v>
      </c>
      <c r="K49" s="1517">
        <v>111914</v>
      </c>
      <c r="L49" s="1864">
        <v>117995</v>
      </c>
      <c r="M49" s="1854">
        <v>120614</v>
      </c>
      <c r="N49" s="1854">
        <v>122955</v>
      </c>
    </row>
    <row r="50" spans="1:14" ht="13.5" customHeight="1">
      <c r="A50" s="1508" t="s">
        <v>334</v>
      </c>
      <c r="B50" s="1517">
        <v>324835</v>
      </c>
      <c r="C50" s="1517">
        <v>321795</v>
      </c>
      <c r="D50" s="1517">
        <v>330542</v>
      </c>
      <c r="E50" s="1517">
        <v>328633</v>
      </c>
      <c r="F50" s="1517">
        <v>353043</v>
      </c>
      <c r="G50" s="1517">
        <v>359259</v>
      </c>
      <c r="H50" s="1517">
        <v>367078</v>
      </c>
      <c r="I50" s="1517">
        <v>355140</v>
      </c>
      <c r="J50" s="1517">
        <v>359241</v>
      </c>
      <c r="K50" s="1517">
        <v>349957</v>
      </c>
      <c r="L50" s="1864">
        <v>346247</v>
      </c>
      <c r="M50" s="1854">
        <v>342314</v>
      </c>
      <c r="N50" s="1854">
        <v>359200</v>
      </c>
    </row>
    <row r="51" spans="1:14" ht="13.5" customHeight="1">
      <c r="A51" s="1508" t="s">
        <v>208</v>
      </c>
      <c r="B51" s="1517">
        <v>106792</v>
      </c>
      <c r="C51" s="1517">
        <v>102795</v>
      </c>
      <c r="D51" s="1517">
        <v>89054</v>
      </c>
      <c r="E51" s="1517">
        <v>97127</v>
      </c>
      <c r="F51" s="1517">
        <v>60198</v>
      </c>
      <c r="G51" s="1517">
        <v>84747</v>
      </c>
      <c r="H51" s="1517">
        <v>103116</v>
      </c>
      <c r="I51" s="1517">
        <v>104158</v>
      </c>
      <c r="J51" s="1517">
        <v>101296</v>
      </c>
      <c r="K51" s="1517">
        <v>114490</v>
      </c>
      <c r="L51" s="1864">
        <v>132980</v>
      </c>
      <c r="M51" s="1854">
        <v>103176</v>
      </c>
      <c r="N51" s="1854">
        <v>104256</v>
      </c>
    </row>
    <row r="52" spans="1:14" ht="13.5" customHeight="1">
      <c r="A52" s="1508" t="s">
        <v>209</v>
      </c>
      <c r="B52" s="1517">
        <v>40780</v>
      </c>
      <c r="C52" s="1517">
        <v>41212</v>
      </c>
      <c r="D52" s="1517">
        <v>42534</v>
      </c>
      <c r="E52" s="1517">
        <v>47325</v>
      </c>
      <c r="F52" s="1517">
        <v>49299</v>
      </c>
      <c r="G52" s="1517">
        <v>53653</v>
      </c>
      <c r="H52" s="1517">
        <v>52384</v>
      </c>
      <c r="I52" s="1517">
        <v>51794</v>
      </c>
      <c r="J52" s="1517">
        <v>50542</v>
      </c>
      <c r="K52" s="1517">
        <v>50015</v>
      </c>
      <c r="L52" s="1864">
        <v>54604</v>
      </c>
      <c r="M52" s="1854">
        <v>52225</v>
      </c>
      <c r="N52" s="1854">
        <v>51988</v>
      </c>
    </row>
    <row r="53" spans="1:14" ht="13.5" customHeight="1">
      <c r="A53" s="1511" t="s">
        <v>1625</v>
      </c>
      <c r="B53" s="1519">
        <v>59264</v>
      </c>
      <c r="C53" s="1519">
        <v>57365</v>
      </c>
      <c r="D53" s="1519">
        <v>60095</v>
      </c>
      <c r="E53" s="1517">
        <v>59398</v>
      </c>
      <c r="F53" s="1517">
        <v>61100</v>
      </c>
      <c r="G53" s="1517">
        <v>60975</v>
      </c>
      <c r="H53" s="1517">
        <v>62776</v>
      </c>
      <c r="I53" s="1517">
        <v>64020</v>
      </c>
      <c r="J53" s="1517">
        <v>63871</v>
      </c>
      <c r="K53" s="1517">
        <v>59103</v>
      </c>
      <c r="L53" s="1864">
        <v>61915</v>
      </c>
      <c r="M53" s="1854">
        <v>62045</v>
      </c>
      <c r="N53" s="1854">
        <v>64461</v>
      </c>
    </row>
    <row r="54" spans="1:14" ht="13.5" customHeight="1">
      <c r="A54" s="1483" t="s">
        <v>210</v>
      </c>
      <c r="B54" s="1517">
        <v>565410</v>
      </c>
      <c r="C54" s="1517">
        <v>570909</v>
      </c>
      <c r="D54" s="1517">
        <v>610691</v>
      </c>
      <c r="E54" s="1518">
        <v>612526</v>
      </c>
      <c r="F54" s="1518">
        <v>630036</v>
      </c>
      <c r="G54" s="1518">
        <v>622690</v>
      </c>
      <c r="H54" s="1518">
        <v>637010</v>
      </c>
      <c r="I54" s="1518">
        <v>625315</v>
      </c>
      <c r="J54" s="1518">
        <v>636327</v>
      </c>
      <c r="K54" s="1518">
        <v>639162</v>
      </c>
      <c r="L54" s="1865">
        <v>604482</v>
      </c>
      <c r="M54" s="1855">
        <v>593538</v>
      </c>
      <c r="N54" s="1855">
        <v>604135</v>
      </c>
    </row>
    <row r="55" spans="1:14" ht="13.5" customHeight="1">
      <c r="A55" s="1508" t="s">
        <v>1626</v>
      </c>
      <c r="B55" s="1517">
        <v>274173</v>
      </c>
      <c r="C55" s="1517">
        <v>280458</v>
      </c>
      <c r="D55" s="1517">
        <v>301055</v>
      </c>
      <c r="E55" s="1517">
        <v>294759</v>
      </c>
      <c r="F55" s="1517">
        <v>309490</v>
      </c>
      <c r="G55" s="1517">
        <v>310452</v>
      </c>
      <c r="H55" s="1517">
        <v>312007</v>
      </c>
      <c r="I55" s="1517">
        <v>311198</v>
      </c>
      <c r="J55" s="1517">
        <v>312773</v>
      </c>
      <c r="K55" s="1517">
        <v>297021</v>
      </c>
      <c r="L55" s="1864">
        <v>298834</v>
      </c>
      <c r="M55" s="1854">
        <v>297701</v>
      </c>
      <c r="N55" s="1854">
        <v>306664</v>
      </c>
    </row>
    <row r="56" spans="1:14" ht="13.5" customHeight="1">
      <c r="A56" s="1508" t="s">
        <v>337</v>
      </c>
      <c r="B56" s="1517">
        <v>83905</v>
      </c>
      <c r="C56" s="1517">
        <v>85295</v>
      </c>
      <c r="D56" s="1517">
        <v>89904</v>
      </c>
      <c r="E56" s="1517">
        <v>90408</v>
      </c>
      <c r="F56" s="1517">
        <v>85915</v>
      </c>
      <c r="G56" s="1517">
        <v>86105</v>
      </c>
      <c r="H56" s="1517">
        <v>87835</v>
      </c>
      <c r="I56" s="1517">
        <v>83834</v>
      </c>
      <c r="J56" s="1517">
        <v>80066</v>
      </c>
      <c r="K56" s="1517">
        <v>77584</v>
      </c>
      <c r="L56" s="1864">
        <v>82546</v>
      </c>
      <c r="M56" s="1854">
        <v>82721</v>
      </c>
      <c r="N56" s="1854">
        <v>77366</v>
      </c>
    </row>
    <row r="57" spans="1:14" ht="13.5" customHeight="1">
      <c r="A57" s="1508" t="s">
        <v>222</v>
      </c>
      <c r="B57" s="1517">
        <v>118462</v>
      </c>
      <c r="C57" s="1517">
        <v>115101</v>
      </c>
      <c r="D57" s="1517">
        <v>122019</v>
      </c>
      <c r="E57" s="1517">
        <v>128146</v>
      </c>
      <c r="F57" s="1517">
        <v>127954</v>
      </c>
      <c r="G57" s="1517">
        <v>126543</v>
      </c>
      <c r="H57" s="1517">
        <v>131273</v>
      </c>
      <c r="I57" s="1517">
        <v>126726</v>
      </c>
      <c r="J57" s="1517">
        <v>139968</v>
      </c>
      <c r="K57" s="1517">
        <v>167290</v>
      </c>
      <c r="L57" s="1864">
        <v>126362</v>
      </c>
      <c r="M57" s="1854">
        <v>116519</v>
      </c>
      <c r="N57" s="1854">
        <v>118729</v>
      </c>
    </row>
    <row r="58" spans="1:14" ht="13.5" customHeight="1">
      <c r="A58" s="1508" t="s">
        <v>220</v>
      </c>
      <c r="B58" s="1517">
        <v>51320</v>
      </c>
      <c r="C58" s="1517">
        <v>52533</v>
      </c>
      <c r="D58" s="1517">
        <v>55368</v>
      </c>
      <c r="E58" s="1517">
        <v>55623</v>
      </c>
      <c r="F58" s="1517">
        <v>55465</v>
      </c>
      <c r="G58" s="1517">
        <v>55847</v>
      </c>
      <c r="H58" s="1517">
        <v>58677</v>
      </c>
      <c r="I58" s="1517">
        <v>55691</v>
      </c>
      <c r="J58" s="1517">
        <v>56011</v>
      </c>
      <c r="K58" s="1517">
        <v>52788</v>
      </c>
      <c r="L58" s="1864">
        <v>52162</v>
      </c>
      <c r="M58" s="1854">
        <v>52921</v>
      </c>
      <c r="N58" s="1854">
        <v>54653</v>
      </c>
    </row>
    <row r="59" spans="1:14" ht="13.5" customHeight="1">
      <c r="A59" s="1508" t="s">
        <v>338</v>
      </c>
      <c r="B59" s="1517">
        <v>37550</v>
      </c>
      <c r="C59" s="1517">
        <v>37522</v>
      </c>
      <c r="D59" s="1517">
        <v>42345</v>
      </c>
      <c r="E59" s="1517">
        <v>43590</v>
      </c>
      <c r="F59" s="1517">
        <v>51212</v>
      </c>
      <c r="G59" s="1517">
        <v>43743</v>
      </c>
      <c r="H59" s="1517">
        <v>47218</v>
      </c>
      <c r="I59" s="1517">
        <v>47866</v>
      </c>
      <c r="J59" s="1517">
        <v>47509</v>
      </c>
      <c r="K59" s="1517">
        <v>44479</v>
      </c>
      <c r="L59" s="1864">
        <v>44578</v>
      </c>
      <c r="M59" s="1854">
        <v>43676</v>
      </c>
      <c r="N59" s="1854">
        <v>46723</v>
      </c>
    </row>
    <row r="60" spans="1:14" ht="13.5" customHeight="1">
      <c r="A60" s="1484" t="s">
        <v>211</v>
      </c>
      <c r="B60" s="1518">
        <v>355318</v>
      </c>
      <c r="C60" s="1518">
        <v>285502</v>
      </c>
      <c r="D60" s="1518">
        <v>397845</v>
      </c>
      <c r="E60" s="1518">
        <v>391493</v>
      </c>
      <c r="F60" s="1518">
        <v>418388</v>
      </c>
      <c r="G60" s="1518">
        <v>422586</v>
      </c>
      <c r="H60" s="1518">
        <v>426693</v>
      </c>
      <c r="I60" s="1518">
        <v>438473</v>
      </c>
      <c r="J60" s="1518">
        <v>474718</v>
      </c>
      <c r="K60" s="1518">
        <v>453080</v>
      </c>
      <c r="L60" s="1865">
        <v>460054</v>
      </c>
      <c r="M60" s="1855">
        <v>464432</v>
      </c>
      <c r="N60" s="1855">
        <v>481731</v>
      </c>
    </row>
    <row r="61" spans="1:14" ht="13.5" customHeight="1">
      <c r="A61" s="1520" t="s">
        <v>1627</v>
      </c>
      <c r="B61" s="1517">
        <v>115472</v>
      </c>
      <c r="C61" s="1517">
        <v>50039</v>
      </c>
      <c r="D61" s="1517">
        <v>146604</v>
      </c>
      <c r="E61" s="1517">
        <v>145452</v>
      </c>
      <c r="F61" s="1517">
        <v>158212</v>
      </c>
      <c r="G61" s="1517">
        <v>161184</v>
      </c>
      <c r="H61" s="1517">
        <v>167066</v>
      </c>
      <c r="I61" s="1517">
        <v>183058</v>
      </c>
      <c r="J61" s="1517">
        <v>216487</v>
      </c>
      <c r="K61" s="1517">
        <v>205887</v>
      </c>
      <c r="L61" s="1864">
        <v>199933</v>
      </c>
      <c r="M61" s="1854">
        <v>203897</v>
      </c>
      <c r="N61" s="1854">
        <v>214565</v>
      </c>
    </row>
    <row r="62" spans="1:14" ht="13.5" customHeight="1">
      <c r="A62" s="1521" t="s">
        <v>223</v>
      </c>
      <c r="B62" s="1519">
        <v>239846</v>
      </c>
      <c r="C62" s="1519">
        <v>235463</v>
      </c>
      <c r="D62" s="1519">
        <v>251241</v>
      </c>
      <c r="E62" s="1517">
        <v>246041</v>
      </c>
      <c r="F62" s="1517">
        <v>260176</v>
      </c>
      <c r="G62" s="1517">
        <v>261402</v>
      </c>
      <c r="H62" s="1517">
        <v>259627</v>
      </c>
      <c r="I62" s="1517">
        <v>255415</v>
      </c>
      <c r="J62" s="1517">
        <v>258231</v>
      </c>
      <c r="K62" s="1517">
        <v>247193</v>
      </c>
      <c r="L62" s="1864">
        <v>260121</v>
      </c>
      <c r="M62" s="1854">
        <v>260535</v>
      </c>
      <c r="N62" s="1854">
        <v>267166</v>
      </c>
    </row>
    <row r="63" spans="1:14" ht="13.5" customHeight="1">
      <c r="A63" s="1483" t="s">
        <v>212</v>
      </c>
      <c r="B63" s="1517">
        <v>441034</v>
      </c>
      <c r="C63" s="1517">
        <v>438016</v>
      </c>
      <c r="D63" s="1517">
        <v>448165</v>
      </c>
      <c r="E63" s="1518">
        <v>443917</v>
      </c>
      <c r="F63" s="1518">
        <v>465211</v>
      </c>
      <c r="G63" s="1518">
        <v>470451</v>
      </c>
      <c r="H63" s="1518">
        <v>467945</v>
      </c>
      <c r="I63" s="1518">
        <v>465034</v>
      </c>
      <c r="J63" s="1518">
        <v>468995</v>
      </c>
      <c r="K63" s="1518">
        <v>441594</v>
      </c>
      <c r="L63" s="1865">
        <v>452131</v>
      </c>
      <c r="M63" s="1855">
        <v>475417</v>
      </c>
      <c r="N63" s="1855">
        <v>501130</v>
      </c>
    </row>
    <row r="64" spans="1:14" ht="13.5" customHeight="1">
      <c r="A64" s="1508" t="s">
        <v>1628</v>
      </c>
      <c r="B64" s="1517">
        <v>155744</v>
      </c>
      <c r="C64" s="1517">
        <v>154460</v>
      </c>
      <c r="D64" s="1517">
        <v>157693</v>
      </c>
      <c r="E64" s="1517">
        <v>154806</v>
      </c>
      <c r="F64" s="1517">
        <v>166404</v>
      </c>
      <c r="G64" s="1517">
        <v>159950</v>
      </c>
      <c r="H64" s="1517">
        <v>159140</v>
      </c>
      <c r="I64" s="1517">
        <v>157981</v>
      </c>
      <c r="J64" s="1517">
        <v>157474</v>
      </c>
      <c r="K64" s="1517">
        <v>148521</v>
      </c>
      <c r="L64" s="1864">
        <v>154199</v>
      </c>
      <c r="M64" s="1854">
        <v>167515</v>
      </c>
      <c r="N64" s="1854">
        <v>175079</v>
      </c>
    </row>
    <row r="65" spans="1:38" ht="13.5" customHeight="1">
      <c r="A65" s="1508" t="s">
        <v>224</v>
      </c>
      <c r="B65" s="1517">
        <v>153569</v>
      </c>
      <c r="C65" s="1517">
        <v>146999</v>
      </c>
      <c r="D65" s="1517">
        <v>154070</v>
      </c>
      <c r="E65" s="1517">
        <v>153631</v>
      </c>
      <c r="F65" s="1517">
        <v>161900</v>
      </c>
      <c r="G65" s="1517">
        <v>162641</v>
      </c>
      <c r="H65" s="1517">
        <v>163394</v>
      </c>
      <c r="I65" s="1517">
        <v>162143</v>
      </c>
      <c r="J65" s="1517">
        <v>162153</v>
      </c>
      <c r="K65" s="1517">
        <v>150844</v>
      </c>
      <c r="L65" s="1864">
        <v>148754</v>
      </c>
      <c r="M65" s="1854">
        <v>153571</v>
      </c>
      <c r="N65" s="1854">
        <v>162495</v>
      </c>
    </row>
    <row r="66" spans="1:38" ht="13.5" customHeight="1" thickBot="1">
      <c r="A66" s="1522" t="s">
        <v>225</v>
      </c>
      <c r="B66" s="1523">
        <v>131721</v>
      </c>
      <c r="C66" s="1523">
        <v>136557</v>
      </c>
      <c r="D66" s="1523">
        <v>136402</v>
      </c>
      <c r="E66" s="1523">
        <v>135480</v>
      </c>
      <c r="F66" s="1523">
        <v>136907</v>
      </c>
      <c r="G66" s="1523">
        <v>147860</v>
      </c>
      <c r="H66" s="1523">
        <v>145411</v>
      </c>
      <c r="I66" s="1523">
        <v>144910</v>
      </c>
      <c r="J66" s="1523">
        <v>149368</v>
      </c>
      <c r="K66" s="1523">
        <v>142229</v>
      </c>
      <c r="L66" s="1867">
        <v>149178</v>
      </c>
      <c r="M66" s="1857">
        <v>154331</v>
      </c>
      <c r="N66" s="1857">
        <v>163556</v>
      </c>
    </row>
    <row r="68" spans="1:38">
      <c r="B68" s="1524"/>
      <c r="C68" s="1524"/>
      <c r="D68" s="1524"/>
      <c r="E68" s="1524"/>
      <c r="F68" s="1524"/>
      <c r="G68" s="1524"/>
      <c r="H68" s="1524"/>
      <c r="I68" s="1524"/>
      <c r="J68" s="1524"/>
      <c r="K68" s="1524"/>
      <c r="L68" s="1524"/>
      <c r="M68" s="1524"/>
      <c r="N68" s="1524"/>
      <c r="O68" s="1525"/>
      <c r="P68" s="1525"/>
      <c r="Q68" s="1525"/>
      <c r="R68" s="1525"/>
      <c r="S68" s="1525"/>
      <c r="T68" s="1525"/>
      <c r="U68" s="1525"/>
      <c r="V68" s="1525"/>
      <c r="W68" s="1525"/>
      <c r="X68" s="1525"/>
      <c r="Z68" s="1526"/>
      <c r="AA68" s="1526"/>
      <c r="AB68" s="1526"/>
      <c r="AC68" s="1526"/>
      <c r="AD68" s="1526"/>
      <c r="AE68" s="1526"/>
      <c r="AF68" s="1526"/>
      <c r="AG68" s="1526"/>
      <c r="AH68" s="1526"/>
      <c r="AI68" s="1526"/>
      <c r="AJ68" s="1526"/>
      <c r="AK68" s="1526"/>
      <c r="AL68" s="1526"/>
    </row>
    <row r="69" spans="1:38">
      <c r="B69" s="1524"/>
      <c r="C69" s="1524"/>
      <c r="D69" s="1524"/>
      <c r="E69" s="1524"/>
      <c r="F69" s="1524"/>
      <c r="G69" s="1524"/>
      <c r="H69" s="1524"/>
      <c r="I69" s="1524"/>
      <c r="J69" s="1524"/>
      <c r="K69" s="1524"/>
      <c r="L69" s="1524"/>
      <c r="M69" s="1524"/>
      <c r="N69" s="1524"/>
      <c r="O69" s="1525"/>
      <c r="P69" s="1525"/>
      <c r="Q69" s="1525"/>
      <c r="R69" s="1525"/>
      <c r="S69" s="1525"/>
      <c r="T69" s="1525"/>
      <c r="U69" s="1525"/>
      <c r="V69" s="1525"/>
      <c r="W69" s="1525"/>
      <c r="X69" s="1525"/>
      <c r="Z69" s="1526"/>
      <c r="AA69" s="1526"/>
      <c r="AB69" s="1526"/>
      <c r="AC69" s="1526"/>
      <c r="AD69" s="1526"/>
      <c r="AE69" s="1526"/>
      <c r="AF69" s="1526"/>
      <c r="AG69" s="1526"/>
      <c r="AH69" s="1526"/>
      <c r="AI69" s="1526"/>
      <c r="AJ69" s="1526"/>
      <c r="AK69" s="1526"/>
      <c r="AL69" s="1526"/>
    </row>
    <row r="70" spans="1:38">
      <c r="B70" s="1524"/>
      <c r="C70" s="1524"/>
      <c r="D70" s="1524"/>
      <c r="E70" s="1524"/>
      <c r="F70" s="1524"/>
      <c r="G70" s="1524"/>
      <c r="H70" s="1524"/>
      <c r="I70" s="1524"/>
      <c r="J70" s="1524"/>
      <c r="K70" s="1524"/>
      <c r="L70" s="1524"/>
      <c r="M70" s="1524"/>
      <c r="N70" s="1524"/>
      <c r="O70" s="1525"/>
      <c r="P70" s="1525"/>
      <c r="Q70" s="1525"/>
      <c r="R70" s="1525"/>
      <c r="S70" s="1525"/>
      <c r="T70" s="1525"/>
      <c r="U70" s="1525"/>
      <c r="V70" s="1525"/>
      <c r="W70" s="1525"/>
      <c r="X70" s="1525"/>
      <c r="Z70" s="1526"/>
      <c r="AA70" s="1526"/>
      <c r="AB70" s="1526"/>
      <c r="AC70" s="1526"/>
      <c r="AD70" s="1526"/>
      <c r="AE70" s="1526"/>
      <c r="AF70" s="1526"/>
      <c r="AG70" s="1526"/>
      <c r="AH70" s="1526"/>
      <c r="AI70" s="1526"/>
      <c r="AJ70" s="1526"/>
      <c r="AK70" s="1526"/>
      <c r="AL70" s="1526"/>
    </row>
    <row r="71" spans="1:38">
      <c r="B71" s="1524"/>
      <c r="C71" s="1524"/>
      <c r="D71" s="1524"/>
      <c r="E71" s="1524"/>
      <c r="F71" s="1524"/>
      <c r="G71" s="1524"/>
      <c r="H71" s="1524"/>
      <c r="I71" s="1524"/>
      <c r="J71" s="1524"/>
      <c r="K71" s="1524"/>
      <c r="L71" s="1524"/>
      <c r="M71" s="1524"/>
      <c r="N71" s="1524"/>
      <c r="O71" s="1525"/>
      <c r="P71" s="1525"/>
      <c r="Q71" s="1525"/>
      <c r="R71" s="1525"/>
      <c r="S71" s="1525"/>
      <c r="T71" s="1525"/>
      <c r="U71" s="1525"/>
      <c r="V71" s="1525"/>
      <c r="W71" s="1525"/>
      <c r="X71" s="1525"/>
      <c r="Z71" s="1526"/>
      <c r="AA71" s="1526"/>
      <c r="AB71" s="1526"/>
      <c r="AC71" s="1526"/>
      <c r="AD71" s="1526"/>
      <c r="AE71" s="1526"/>
      <c r="AF71" s="1526"/>
      <c r="AG71" s="1526"/>
      <c r="AH71" s="1526"/>
      <c r="AI71" s="1526"/>
      <c r="AJ71" s="1526"/>
      <c r="AK71" s="1526"/>
      <c r="AL71" s="1526"/>
    </row>
    <row r="72" spans="1:38">
      <c r="B72" s="1524"/>
      <c r="C72" s="1524"/>
      <c r="D72" s="1524"/>
      <c r="E72" s="1524"/>
      <c r="F72" s="1524"/>
      <c r="G72" s="1524"/>
      <c r="H72" s="1524"/>
      <c r="I72" s="1524"/>
      <c r="J72" s="1524"/>
      <c r="K72" s="1524"/>
      <c r="L72" s="1524"/>
      <c r="M72" s="1524"/>
      <c r="N72" s="1524"/>
      <c r="O72" s="1525"/>
      <c r="P72" s="1525"/>
      <c r="Q72" s="1525"/>
      <c r="R72" s="1525"/>
      <c r="S72" s="1525"/>
      <c r="T72" s="1525"/>
      <c r="U72" s="1525"/>
      <c r="V72" s="1525"/>
      <c r="W72" s="1525"/>
      <c r="X72" s="1525"/>
      <c r="Z72" s="1526"/>
      <c r="AA72" s="1526"/>
      <c r="AB72" s="1526"/>
      <c r="AC72" s="1526"/>
      <c r="AD72" s="1526"/>
      <c r="AE72" s="1526"/>
      <c r="AF72" s="1526"/>
      <c r="AG72" s="1526"/>
      <c r="AH72" s="1526"/>
      <c r="AI72" s="1526"/>
      <c r="AJ72" s="1526"/>
      <c r="AK72" s="1526"/>
      <c r="AL72" s="1526"/>
    </row>
    <row r="73" spans="1:38">
      <c r="B73" s="1524"/>
      <c r="C73" s="1524"/>
      <c r="D73" s="1524"/>
      <c r="E73" s="1524"/>
      <c r="F73" s="1524"/>
      <c r="G73" s="1524"/>
      <c r="H73" s="1524"/>
      <c r="I73" s="1524"/>
      <c r="J73" s="1524"/>
      <c r="K73" s="1524"/>
      <c r="L73" s="1524"/>
      <c r="M73" s="1524"/>
      <c r="N73" s="1524"/>
      <c r="O73" s="1525"/>
      <c r="P73" s="1525"/>
      <c r="Q73" s="1525"/>
      <c r="R73" s="1525"/>
      <c r="S73" s="1525"/>
      <c r="T73" s="1525"/>
      <c r="U73" s="1525"/>
      <c r="V73" s="1525"/>
      <c r="W73" s="1525"/>
      <c r="X73" s="1525"/>
      <c r="Z73" s="1526"/>
      <c r="AA73" s="1526"/>
      <c r="AB73" s="1526"/>
      <c r="AC73" s="1526"/>
      <c r="AD73" s="1526"/>
      <c r="AE73" s="1526"/>
      <c r="AF73" s="1526"/>
      <c r="AG73" s="1526"/>
      <c r="AH73" s="1526"/>
      <c r="AI73" s="1526"/>
      <c r="AJ73" s="1526"/>
      <c r="AK73" s="1526"/>
      <c r="AL73" s="1526"/>
    </row>
    <row r="74" spans="1:38">
      <c r="B74" s="1524"/>
      <c r="C74" s="1524"/>
      <c r="D74" s="1524"/>
      <c r="E74" s="1524"/>
      <c r="F74" s="1524"/>
      <c r="G74" s="1524"/>
      <c r="H74" s="1524"/>
      <c r="I74" s="1524"/>
      <c r="J74" s="1524"/>
      <c r="K74" s="1524"/>
      <c r="L74" s="1524"/>
      <c r="M74" s="1524"/>
      <c r="N74" s="1524"/>
      <c r="O74" s="1525"/>
      <c r="P74" s="1525"/>
      <c r="Q74" s="1525"/>
      <c r="R74" s="1525"/>
      <c r="S74" s="1525"/>
      <c r="T74" s="1525"/>
      <c r="U74" s="1525"/>
      <c r="V74" s="1525"/>
      <c r="W74" s="1525"/>
      <c r="X74" s="1525"/>
      <c r="Z74" s="1526"/>
      <c r="AA74" s="1526"/>
      <c r="AB74" s="1526"/>
      <c r="AC74" s="1526"/>
      <c r="AD74" s="1526"/>
      <c r="AE74" s="1526"/>
      <c r="AF74" s="1526"/>
      <c r="AG74" s="1526"/>
      <c r="AH74" s="1526"/>
      <c r="AI74" s="1526"/>
      <c r="AJ74" s="1526"/>
      <c r="AK74" s="1526"/>
      <c r="AL74" s="1526"/>
    </row>
    <row r="75" spans="1:38">
      <c r="B75" s="1524"/>
      <c r="C75" s="1524"/>
      <c r="D75" s="1524"/>
      <c r="E75" s="1524"/>
      <c r="F75" s="1524"/>
      <c r="G75" s="1524"/>
      <c r="H75" s="1524"/>
      <c r="I75" s="1524"/>
      <c r="J75" s="1524"/>
      <c r="K75" s="1524"/>
      <c r="L75" s="1524"/>
      <c r="M75" s="1524"/>
      <c r="N75" s="1524"/>
      <c r="O75" s="1525"/>
      <c r="P75" s="1525"/>
      <c r="Q75" s="1525"/>
      <c r="R75" s="1525"/>
      <c r="S75" s="1525"/>
      <c r="T75" s="1525"/>
      <c r="U75" s="1525"/>
      <c r="V75" s="1525"/>
      <c r="W75" s="1525"/>
      <c r="X75" s="1525"/>
      <c r="Z75" s="1526"/>
      <c r="AA75" s="1526"/>
      <c r="AB75" s="1526"/>
      <c r="AC75" s="1526"/>
      <c r="AD75" s="1526"/>
      <c r="AE75" s="1526"/>
      <c r="AF75" s="1526"/>
      <c r="AG75" s="1526"/>
      <c r="AH75" s="1526"/>
      <c r="AI75" s="1526"/>
      <c r="AJ75" s="1526"/>
      <c r="AK75" s="1526"/>
      <c r="AL75" s="1526"/>
    </row>
    <row r="76" spans="1:38">
      <c r="B76" s="1524"/>
      <c r="C76" s="1524"/>
      <c r="D76" s="1524"/>
      <c r="E76" s="1524"/>
      <c r="F76" s="1524"/>
      <c r="G76" s="1524"/>
      <c r="H76" s="1524"/>
      <c r="I76" s="1524"/>
      <c r="J76" s="1524"/>
      <c r="K76" s="1524"/>
      <c r="L76" s="1524"/>
      <c r="M76" s="1524"/>
      <c r="N76" s="1524"/>
      <c r="O76" s="1525"/>
      <c r="P76" s="1525"/>
      <c r="Q76" s="1525"/>
      <c r="R76" s="1525"/>
      <c r="S76" s="1525"/>
      <c r="T76" s="1525"/>
      <c r="U76" s="1525"/>
      <c r="V76" s="1525"/>
      <c r="W76" s="1525"/>
      <c r="X76" s="1525"/>
      <c r="Z76" s="1526"/>
      <c r="AA76" s="1526"/>
      <c r="AB76" s="1526"/>
      <c r="AC76" s="1526"/>
      <c r="AD76" s="1526"/>
      <c r="AE76" s="1526"/>
      <c r="AF76" s="1526"/>
      <c r="AG76" s="1526"/>
      <c r="AH76" s="1526"/>
      <c r="AI76" s="1526"/>
      <c r="AJ76" s="1526"/>
      <c r="AK76" s="1526"/>
      <c r="AL76" s="1526"/>
    </row>
    <row r="77" spans="1:38">
      <c r="B77" s="1524"/>
      <c r="C77" s="1524"/>
      <c r="D77" s="1524"/>
      <c r="E77" s="1524"/>
      <c r="F77" s="1524"/>
      <c r="G77" s="1524"/>
      <c r="H77" s="1524"/>
      <c r="I77" s="1524"/>
      <c r="J77" s="1524"/>
      <c r="K77" s="1524"/>
      <c r="L77" s="1524"/>
      <c r="M77" s="1524"/>
      <c r="N77" s="1524"/>
      <c r="O77" s="1525"/>
      <c r="P77" s="1525"/>
      <c r="Q77" s="1525"/>
      <c r="R77" s="1525"/>
      <c r="S77" s="1525"/>
      <c r="T77" s="1525"/>
      <c r="U77" s="1525"/>
      <c r="V77" s="1525"/>
      <c r="W77" s="1525"/>
      <c r="X77" s="1525"/>
      <c r="Z77" s="1526"/>
      <c r="AA77" s="1526"/>
      <c r="AB77" s="1526"/>
      <c r="AC77" s="1526"/>
      <c r="AD77" s="1526"/>
      <c r="AE77" s="1526"/>
      <c r="AF77" s="1526"/>
      <c r="AG77" s="1526"/>
      <c r="AH77" s="1526"/>
      <c r="AI77" s="1526"/>
      <c r="AJ77" s="1526"/>
      <c r="AK77" s="1526"/>
      <c r="AL77" s="1526"/>
    </row>
    <row r="78" spans="1:38">
      <c r="B78" s="1524"/>
      <c r="C78" s="1524"/>
      <c r="D78" s="1524"/>
      <c r="E78" s="1524"/>
      <c r="F78" s="1524"/>
      <c r="G78" s="1524"/>
      <c r="H78" s="1524"/>
      <c r="I78" s="1524"/>
      <c r="J78" s="1524"/>
      <c r="K78" s="1524"/>
      <c r="L78" s="1524"/>
      <c r="M78" s="1524"/>
      <c r="N78" s="1524"/>
      <c r="O78" s="1525"/>
      <c r="P78" s="1525"/>
      <c r="Q78" s="1525"/>
      <c r="R78" s="1525"/>
      <c r="S78" s="1525"/>
      <c r="T78" s="1525"/>
      <c r="U78" s="1525"/>
      <c r="V78" s="1525"/>
      <c r="W78" s="1525"/>
      <c r="X78" s="1525"/>
      <c r="Z78" s="1526"/>
      <c r="AA78" s="1526"/>
      <c r="AB78" s="1526"/>
      <c r="AC78" s="1526"/>
      <c r="AD78" s="1526"/>
      <c r="AE78" s="1526"/>
      <c r="AF78" s="1526"/>
      <c r="AG78" s="1526"/>
      <c r="AH78" s="1526"/>
      <c r="AI78" s="1526"/>
      <c r="AJ78" s="1526"/>
      <c r="AK78" s="1526"/>
      <c r="AL78" s="1526"/>
    </row>
    <row r="79" spans="1:38">
      <c r="B79" s="1524"/>
      <c r="C79" s="1524"/>
      <c r="D79" s="1524"/>
      <c r="E79" s="1524"/>
      <c r="F79" s="1524"/>
      <c r="G79" s="1524"/>
      <c r="H79" s="1524"/>
      <c r="I79" s="1524"/>
      <c r="J79" s="1524"/>
      <c r="K79" s="1524"/>
      <c r="L79" s="1524"/>
      <c r="M79" s="1524"/>
      <c r="N79" s="1524"/>
      <c r="O79" s="1525"/>
      <c r="P79" s="1525"/>
      <c r="Q79" s="1525"/>
      <c r="R79" s="1525"/>
      <c r="S79" s="1525"/>
      <c r="T79" s="1525"/>
      <c r="U79" s="1525"/>
      <c r="V79" s="1525"/>
      <c r="W79" s="1525"/>
      <c r="X79" s="1525"/>
      <c r="Z79" s="1526"/>
      <c r="AA79" s="1526"/>
      <c r="AB79" s="1526"/>
      <c r="AC79" s="1526"/>
      <c r="AD79" s="1526"/>
      <c r="AE79" s="1526"/>
      <c r="AF79" s="1526"/>
      <c r="AG79" s="1526"/>
      <c r="AH79" s="1526"/>
      <c r="AI79" s="1526"/>
      <c r="AJ79" s="1526"/>
      <c r="AK79" s="1526"/>
      <c r="AL79" s="1526"/>
    </row>
    <row r="80" spans="1:38">
      <c r="B80" s="1524"/>
      <c r="C80" s="1524"/>
      <c r="D80" s="1524"/>
      <c r="E80" s="1524"/>
      <c r="F80" s="1524"/>
      <c r="G80" s="1524"/>
      <c r="H80" s="1524"/>
      <c r="I80" s="1524"/>
      <c r="J80" s="1524"/>
      <c r="K80" s="1524"/>
      <c r="L80" s="1524"/>
      <c r="M80" s="1524"/>
      <c r="N80" s="1524"/>
      <c r="O80" s="1525"/>
      <c r="P80" s="1525"/>
      <c r="Q80" s="1525"/>
      <c r="R80" s="1525"/>
      <c r="S80" s="1525"/>
      <c r="T80" s="1525"/>
      <c r="U80" s="1525"/>
      <c r="V80" s="1525"/>
      <c r="W80" s="1525"/>
      <c r="X80" s="1525"/>
      <c r="Z80" s="1526"/>
      <c r="AA80" s="1526"/>
      <c r="AB80" s="1526"/>
      <c r="AC80" s="1526"/>
      <c r="AD80" s="1526"/>
      <c r="AE80" s="1526"/>
      <c r="AF80" s="1526"/>
      <c r="AG80" s="1526"/>
      <c r="AH80" s="1526"/>
      <c r="AI80" s="1526"/>
      <c r="AJ80" s="1526"/>
      <c r="AK80" s="1526"/>
      <c r="AL80" s="1526"/>
    </row>
    <row r="81" spans="1:38">
      <c r="B81" s="1524"/>
      <c r="C81" s="1524"/>
      <c r="D81" s="1524"/>
      <c r="E81" s="1524"/>
      <c r="F81" s="1524"/>
      <c r="G81" s="1524"/>
      <c r="H81" s="1524"/>
      <c r="I81" s="1524"/>
      <c r="J81" s="1524"/>
      <c r="K81" s="1524"/>
      <c r="L81" s="1524"/>
      <c r="M81" s="1524"/>
      <c r="N81" s="1524"/>
      <c r="O81" s="1525"/>
      <c r="P81" s="1525"/>
      <c r="Q81" s="1525"/>
      <c r="R81" s="1525"/>
      <c r="S81" s="1525"/>
      <c r="T81" s="1525"/>
      <c r="U81" s="1525"/>
      <c r="V81" s="1525"/>
      <c r="W81" s="1525"/>
      <c r="X81" s="1525"/>
      <c r="Z81" s="1526"/>
      <c r="AA81" s="1526"/>
      <c r="AB81" s="1526"/>
      <c r="AC81" s="1526"/>
      <c r="AD81" s="1526"/>
      <c r="AE81" s="1526"/>
      <c r="AF81" s="1526"/>
      <c r="AG81" s="1526"/>
      <c r="AH81" s="1526"/>
      <c r="AI81" s="1526"/>
      <c r="AJ81" s="1526"/>
      <c r="AK81" s="1526"/>
      <c r="AL81" s="1526"/>
    </row>
    <row r="82" spans="1:38">
      <c r="B82" s="1524"/>
      <c r="C82" s="1524"/>
      <c r="D82" s="1524"/>
      <c r="E82" s="1524"/>
      <c r="F82" s="1524"/>
      <c r="G82" s="1524"/>
      <c r="H82" s="1524"/>
      <c r="I82" s="1524"/>
      <c r="J82" s="1524"/>
      <c r="K82" s="1524"/>
      <c r="L82" s="1524"/>
      <c r="M82" s="1524"/>
      <c r="N82" s="1524"/>
      <c r="O82" s="1525"/>
      <c r="P82" s="1525"/>
      <c r="Q82" s="1525"/>
      <c r="R82" s="1525"/>
      <c r="S82" s="1525"/>
      <c r="T82" s="1525"/>
      <c r="U82" s="1525"/>
      <c r="V82" s="1525"/>
      <c r="W82" s="1525"/>
      <c r="X82" s="1525"/>
      <c r="Z82" s="1526"/>
      <c r="AA82" s="1526"/>
      <c r="AB82" s="1526"/>
      <c r="AC82" s="1526"/>
      <c r="AD82" s="1526"/>
      <c r="AE82" s="1526"/>
      <c r="AF82" s="1526"/>
      <c r="AG82" s="1526"/>
      <c r="AH82" s="1526"/>
      <c r="AI82" s="1526"/>
      <c r="AJ82" s="1526"/>
      <c r="AK82" s="1526"/>
      <c r="AL82" s="1526"/>
    </row>
    <row r="83" spans="1:38">
      <c r="B83" s="1524"/>
      <c r="C83" s="1524"/>
      <c r="D83" s="1524"/>
      <c r="E83" s="1524"/>
      <c r="F83" s="1524"/>
      <c r="G83" s="1524"/>
      <c r="H83" s="1524"/>
      <c r="I83" s="1524"/>
      <c r="J83" s="1524"/>
      <c r="K83" s="1524"/>
      <c r="L83" s="1524"/>
      <c r="M83" s="1524"/>
      <c r="N83" s="1524"/>
      <c r="O83" s="1525"/>
      <c r="P83" s="1525"/>
      <c r="Q83" s="1525"/>
      <c r="R83" s="1525"/>
      <c r="S83" s="1525"/>
      <c r="T83" s="1525"/>
      <c r="U83" s="1525"/>
      <c r="V83" s="1525"/>
      <c r="W83" s="1525"/>
      <c r="X83" s="1525"/>
      <c r="Z83" s="1526"/>
      <c r="AA83" s="1526"/>
      <c r="AB83" s="1526"/>
      <c r="AC83" s="1526"/>
      <c r="AD83" s="1526"/>
      <c r="AE83" s="1526"/>
      <c r="AF83" s="1526"/>
      <c r="AG83" s="1526"/>
      <c r="AH83" s="1526"/>
      <c r="AI83" s="1526"/>
      <c r="AJ83" s="1526"/>
      <c r="AK83" s="1526"/>
      <c r="AL83" s="1526"/>
    </row>
    <row r="84" spans="1:38">
      <c r="B84" s="1524"/>
      <c r="C84" s="1524"/>
      <c r="D84" s="1524"/>
      <c r="E84" s="1524"/>
      <c r="F84" s="1524"/>
      <c r="G84" s="1524"/>
      <c r="H84" s="1524"/>
      <c r="I84" s="1524"/>
      <c r="J84" s="1524"/>
      <c r="K84" s="1524"/>
      <c r="L84" s="1524"/>
      <c r="M84" s="1524"/>
      <c r="N84" s="1524"/>
      <c r="O84" s="1525"/>
      <c r="P84" s="1525"/>
      <c r="Q84" s="1525"/>
      <c r="R84" s="1525"/>
      <c r="S84" s="1525"/>
      <c r="T84" s="1525"/>
      <c r="U84" s="1525"/>
      <c r="V84" s="1525"/>
      <c r="W84" s="1525"/>
      <c r="X84" s="1525"/>
      <c r="Z84" s="1526"/>
      <c r="AA84" s="1526"/>
      <c r="AB84" s="1526"/>
      <c r="AC84" s="1526"/>
      <c r="AD84" s="1526"/>
      <c r="AE84" s="1526"/>
      <c r="AF84" s="1526"/>
      <c r="AG84" s="1526"/>
      <c r="AH84" s="1526"/>
      <c r="AI84" s="1526"/>
      <c r="AJ84" s="1526"/>
      <c r="AK84" s="1526"/>
      <c r="AL84" s="1526"/>
    </row>
    <row r="85" spans="1:38">
      <c r="B85" s="1524"/>
      <c r="C85" s="1524"/>
      <c r="D85" s="1524"/>
      <c r="E85" s="1524"/>
      <c r="F85" s="1524"/>
      <c r="G85" s="1524"/>
      <c r="H85" s="1524"/>
      <c r="I85" s="1524"/>
      <c r="J85" s="1524"/>
      <c r="K85" s="1524"/>
      <c r="L85" s="1524"/>
      <c r="M85" s="1524"/>
      <c r="N85" s="1524"/>
      <c r="O85" s="1525"/>
      <c r="P85" s="1525"/>
      <c r="Q85" s="1525"/>
      <c r="R85" s="1525"/>
      <c r="S85" s="1525"/>
      <c r="T85" s="1525"/>
      <c r="U85" s="1525"/>
      <c r="V85" s="1525"/>
      <c r="W85" s="1525"/>
      <c r="X85" s="1525"/>
      <c r="Z85" s="1526"/>
      <c r="AA85" s="1526"/>
      <c r="AB85" s="1526"/>
      <c r="AC85" s="1526"/>
      <c r="AD85" s="1526"/>
      <c r="AE85" s="1526"/>
      <c r="AF85" s="1526"/>
      <c r="AG85" s="1526"/>
      <c r="AH85" s="1526"/>
      <c r="AI85" s="1526"/>
      <c r="AJ85" s="1526"/>
      <c r="AK85" s="1526"/>
      <c r="AL85" s="1526"/>
    </row>
    <row r="86" spans="1:38">
      <c r="B86" s="1524"/>
      <c r="C86" s="1524"/>
      <c r="D86" s="1524"/>
      <c r="E86" s="1524"/>
      <c r="F86" s="1524"/>
      <c r="G86" s="1524"/>
      <c r="H86" s="1524"/>
      <c r="I86" s="1524"/>
      <c r="J86" s="1524"/>
      <c r="K86" s="1524"/>
      <c r="L86" s="1524"/>
      <c r="M86" s="1524"/>
      <c r="N86" s="1524"/>
      <c r="O86" s="1525"/>
      <c r="P86" s="1525"/>
      <c r="Q86" s="1525"/>
      <c r="R86" s="1525"/>
      <c r="S86" s="1525"/>
      <c r="T86" s="1525"/>
      <c r="U86" s="1525"/>
      <c r="V86" s="1525"/>
      <c r="W86" s="1525"/>
      <c r="X86" s="1525"/>
      <c r="Z86" s="1526"/>
      <c r="AA86" s="1526"/>
      <c r="AB86" s="1526"/>
      <c r="AC86" s="1526"/>
      <c r="AD86" s="1526"/>
      <c r="AE86" s="1526"/>
      <c r="AF86" s="1526"/>
      <c r="AG86" s="1526"/>
      <c r="AH86" s="1526"/>
      <c r="AI86" s="1526"/>
      <c r="AJ86" s="1526"/>
      <c r="AK86" s="1526"/>
      <c r="AL86" s="1526"/>
    </row>
    <row r="87" spans="1:38">
      <c r="B87" s="1524"/>
      <c r="C87" s="1524"/>
      <c r="D87" s="1524"/>
      <c r="E87" s="1524"/>
      <c r="F87" s="1524"/>
      <c r="G87" s="1524"/>
      <c r="H87" s="1524"/>
      <c r="I87" s="1524"/>
      <c r="J87" s="1524"/>
      <c r="K87" s="1524"/>
      <c r="L87" s="1524"/>
      <c r="M87" s="1524"/>
      <c r="N87" s="1524"/>
      <c r="O87" s="1525"/>
      <c r="P87" s="1525"/>
      <c r="Q87" s="1525"/>
      <c r="R87" s="1525"/>
      <c r="S87" s="1525"/>
      <c r="T87" s="1525"/>
      <c r="U87" s="1525"/>
      <c r="V87" s="1525"/>
      <c r="W87" s="1525"/>
      <c r="X87" s="1525"/>
      <c r="Z87" s="1526"/>
      <c r="AA87" s="1526"/>
      <c r="AB87" s="1526"/>
      <c r="AC87" s="1526"/>
      <c r="AD87" s="1526"/>
      <c r="AE87" s="1526"/>
      <c r="AF87" s="1526"/>
      <c r="AG87" s="1526"/>
      <c r="AH87" s="1526"/>
      <c r="AI87" s="1526"/>
      <c r="AJ87" s="1526"/>
      <c r="AK87" s="1526"/>
      <c r="AL87" s="1526"/>
    </row>
    <row r="88" spans="1:38">
      <c r="B88" s="1524"/>
      <c r="C88" s="1524"/>
      <c r="D88" s="1524"/>
      <c r="E88" s="1524"/>
      <c r="F88" s="1524"/>
      <c r="G88" s="1524"/>
      <c r="H88" s="1524"/>
      <c r="I88" s="1524"/>
      <c r="J88" s="1524"/>
      <c r="K88" s="1524"/>
      <c r="L88" s="1524"/>
      <c r="M88" s="1524"/>
      <c r="N88" s="1524"/>
      <c r="O88" s="1525"/>
      <c r="P88" s="1525"/>
      <c r="Q88" s="1525"/>
      <c r="R88" s="1525"/>
      <c r="S88" s="1525"/>
      <c r="T88" s="1525"/>
      <c r="U88" s="1525"/>
      <c r="V88" s="1525"/>
      <c r="W88" s="1525"/>
      <c r="X88" s="1525"/>
      <c r="Z88" s="1526"/>
      <c r="AA88" s="1526"/>
      <c r="AB88" s="1526"/>
      <c r="AC88" s="1526"/>
      <c r="AD88" s="1526"/>
      <c r="AE88" s="1526"/>
      <c r="AF88" s="1526"/>
      <c r="AG88" s="1526"/>
      <c r="AH88" s="1526"/>
      <c r="AI88" s="1526"/>
      <c r="AJ88" s="1526"/>
      <c r="AK88" s="1526"/>
      <c r="AL88" s="1526"/>
    </row>
    <row r="89" spans="1:38">
      <c r="B89" s="1524"/>
      <c r="C89" s="1524"/>
      <c r="D89" s="1524"/>
      <c r="E89" s="1524"/>
      <c r="F89" s="1524"/>
      <c r="G89" s="1524"/>
      <c r="H89" s="1524"/>
      <c r="I89" s="1524"/>
      <c r="J89" s="1524"/>
      <c r="K89" s="1524"/>
      <c r="L89" s="1524"/>
      <c r="M89" s="1524"/>
      <c r="N89" s="1524"/>
      <c r="O89" s="1525"/>
      <c r="P89" s="1525"/>
      <c r="Q89" s="1525"/>
      <c r="R89" s="1525"/>
      <c r="S89" s="1525"/>
      <c r="T89" s="1525"/>
      <c r="U89" s="1525"/>
      <c r="V89" s="1525"/>
      <c r="W89" s="1525"/>
      <c r="X89" s="1525"/>
      <c r="Z89" s="1526"/>
      <c r="AA89" s="1526"/>
      <c r="AB89" s="1526"/>
      <c r="AC89" s="1526"/>
      <c r="AD89" s="1526"/>
      <c r="AE89" s="1526"/>
      <c r="AF89" s="1526"/>
      <c r="AG89" s="1526"/>
      <c r="AH89" s="1526"/>
      <c r="AI89" s="1526"/>
      <c r="AJ89" s="1526"/>
      <c r="AK89" s="1526"/>
      <c r="AL89" s="1526"/>
    </row>
    <row r="90" spans="1:38">
      <c r="B90" s="1524"/>
      <c r="C90" s="1524"/>
      <c r="D90" s="1524"/>
      <c r="E90" s="1524"/>
      <c r="F90" s="1524"/>
      <c r="G90" s="1524"/>
      <c r="H90" s="1524"/>
      <c r="I90" s="1524"/>
      <c r="J90" s="1524"/>
      <c r="K90" s="1524"/>
      <c r="L90" s="1524"/>
      <c r="M90" s="1524"/>
      <c r="N90" s="1524"/>
      <c r="O90" s="1525"/>
      <c r="P90" s="1525"/>
      <c r="Q90" s="1525"/>
      <c r="R90" s="1525"/>
      <c r="S90" s="1525"/>
      <c r="T90" s="1525"/>
      <c r="U90" s="1525"/>
      <c r="V90" s="1525"/>
      <c r="W90" s="1525"/>
      <c r="X90" s="1525"/>
      <c r="Z90" s="1526"/>
      <c r="AA90" s="1526"/>
      <c r="AB90" s="1526"/>
      <c r="AC90" s="1526"/>
      <c r="AD90" s="1526"/>
      <c r="AE90" s="1526"/>
      <c r="AF90" s="1526"/>
      <c r="AG90" s="1526"/>
      <c r="AH90" s="1526"/>
      <c r="AI90" s="1526"/>
      <c r="AJ90" s="1526"/>
      <c r="AK90" s="1526"/>
      <c r="AL90" s="1526"/>
    </row>
    <row r="91" spans="1:38">
      <c r="A91" s="316"/>
      <c r="B91" s="1524"/>
      <c r="C91" s="1524"/>
      <c r="D91" s="1524"/>
      <c r="E91" s="1524"/>
      <c r="F91" s="1524"/>
      <c r="G91" s="1524"/>
      <c r="H91" s="1524"/>
      <c r="I91" s="1524"/>
      <c r="J91" s="1524"/>
      <c r="K91" s="1524"/>
      <c r="L91" s="1524"/>
      <c r="M91" s="1524"/>
      <c r="N91" s="1524"/>
      <c r="O91" s="1525"/>
      <c r="P91" s="1525"/>
      <c r="Q91" s="1525"/>
      <c r="R91" s="1525"/>
      <c r="S91" s="1525"/>
      <c r="T91" s="1525"/>
      <c r="U91" s="1525"/>
      <c r="V91" s="1525"/>
      <c r="W91" s="1525"/>
      <c r="X91" s="1525"/>
      <c r="Z91" s="1526"/>
      <c r="AA91" s="1526"/>
      <c r="AB91" s="1526"/>
      <c r="AC91" s="1526"/>
      <c r="AD91" s="1526"/>
      <c r="AE91" s="1526"/>
      <c r="AF91" s="1526"/>
      <c r="AG91" s="1526"/>
      <c r="AH91" s="1526"/>
      <c r="AI91" s="1526"/>
      <c r="AJ91" s="1526"/>
      <c r="AK91" s="1526"/>
      <c r="AL91" s="1526"/>
    </row>
    <row r="92" spans="1:38">
      <c r="B92" s="1524"/>
      <c r="C92" s="1524"/>
      <c r="D92" s="1524"/>
      <c r="E92" s="1524"/>
      <c r="F92" s="1524"/>
      <c r="G92" s="1524"/>
      <c r="H92" s="1524"/>
      <c r="I92" s="1524"/>
      <c r="J92" s="1524"/>
      <c r="K92" s="1524"/>
      <c r="L92" s="1524"/>
      <c r="M92" s="1524"/>
      <c r="N92" s="1524"/>
      <c r="O92" s="1525"/>
      <c r="P92" s="1525"/>
      <c r="Q92" s="1525"/>
      <c r="R92" s="1525"/>
      <c r="S92" s="1525"/>
      <c r="T92" s="1525"/>
      <c r="U92" s="1525"/>
      <c r="V92" s="1525"/>
      <c r="W92" s="1525"/>
      <c r="X92" s="1525"/>
      <c r="Z92" s="1526"/>
      <c r="AA92" s="1526"/>
      <c r="AB92" s="1526"/>
      <c r="AC92" s="1526"/>
      <c r="AD92" s="1526"/>
      <c r="AE92" s="1526"/>
      <c r="AF92" s="1526"/>
      <c r="AG92" s="1526"/>
      <c r="AH92" s="1526"/>
      <c r="AI92" s="1526"/>
      <c r="AJ92" s="1526"/>
      <c r="AK92" s="1526"/>
      <c r="AL92" s="1526"/>
    </row>
    <row r="93" spans="1:38">
      <c r="B93" s="1524"/>
      <c r="C93" s="1524"/>
      <c r="D93" s="1524"/>
      <c r="E93" s="1524"/>
      <c r="F93" s="1524"/>
      <c r="G93" s="1524"/>
      <c r="H93" s="1524"/>
      <c r="I93" s="1524"/>
      <c r="J93" s="1524"/>
      <c r="K93" s="1524"/>
      <c r="L93" s="1524"/>
      <c r="M93" s="1524"/>
      <c r="N93" s="1524"/>
      <c r="O93" s="1525"/>
      <c r="P93" s="1525"/>
      <c r="Q93" s="1525"/>
      <c r="R93" s="1525"/>
      <c r="S93" s="1525"/>
      <c r="T93" s="1525"/>
      <c r="U93" s="1525"/>
      <c r="V93" s="1525"/>
      <c r="W93" s="1525"/>
      <c r="X93" s="1525"/>
      <c r="Z93" s="1526"/>
      <c r="AA93" s="1526"/>
      <c r="AB93" s="1526"/>
      <c r="AC93" s="1526"/>
      <c r="AD93" s="1526"/>
      <c r="AE93" s="1526"/>
      <c r="AF93" s="1526"/>
      <c r="AG93" s="1526"/>
      <c r="AH93" s="1526"/>
      <c r="AI93" s="1526"/>
      <c r="AJ93" s="1526"/>
      <c r="AK93" s="1526"/>
      <c r="AL93" s="1526"/>
    </row>
    <row r="94" spans="1:38">
      <c r="B94" s="1524"/>
      <c r="C94" s="1524"/>
      <c r="D94" s="1524"/>
      <c r="E94" s="1524"/>
      <c r="F94" s="1524"/>
      <c r="G94" s="1524"/>
      <c r="H94" s="1524"/>
      <c r="I94" s="1524"/>
      <c r="J94" s="1524"/>
      <c r="K94" s="1524"/>
      <c r="L94" s="1524"/>
      <c r="M94" s="1524"/>
      <c r="N94" s="1524"/>
      <c r="O94" s="1525"/>
      <c r="P94" s="1525"/>
      <c r="Q94" s="1525"/>
      <c r="R94" s="1525"/>
      <c r="S94" s="1525"/>
      <c r="T94" s="1525"/>
      <c r="U94" s="1525"/>
      <c r="V94" s="1525"/>
      <c r="W94" s="1525"/>
      <c r="X94" s="1525"/>
      <c r="Z94" s="1526"/>
      <c r="AA94" s="1526"/>
      <c r="AB94" s="1526"/>
      <c r="AC94" s="1526"/>
      <c r="AD94" s="1526"/>
      <c r="AE94" s="1526"/>
      <c r="AF94" s="1526"/>
      <c r="AG94" s="1526"/>
      <c r="AH94" s="1526"/>
      <c r="AI94" s="1526"/>
      <c r="AJ94" s="1526"/>
      <c r="AK94" s="1526"/>
      <c r="AL94" s="1526"/>
    </row>
    <row r="95" spans="1:38">
      <c r="B95" s="1524"/>
      <c r="C95" s="1524"/>
      <c r="D95" s="1524"/>
      <c r="E95" s="1524"/>
      <c r="F95" s="1524"/>
      <c r="G95" s="1524"/>
      <c r="H95" s="1524"/>
      <c r="I95" s="1524"/>
      <c r="J95" s="1524"/>
      <c r="K95" s="1524"/>
      <c r="L95" s="1524"/>
      <c r="M95" s="1524"/>
      <c r="N95" s="1524"/>
      <c r="O95" s="1525"/>
      <c r="P95" s="1525"/>
      <c r="Q95" s="1525"/>
      <c r="R95" s="1525"/>
      <c r="S95" s="1525"/>
      <c r="T95" s="1525"/>
      <c r="U95" s="1525"/>
      <c r="V95" s="1525"/>
      <c r="W95" s="1525"/>
      <c r="X95" s="1525"/>
      <c r="Z95" s="1526"/>
      <c r="AA95" s="1526"/>
      <c r="AB95" s="1526"/>
      <c r="AC95" s="1526"/>
      <c r="AD95" s="1526"/>
      <c r="AE95" s="1526"/>
      <c r="AF95" s="1526"/>
      <c r="AG95" s="1526"/>
      <c r="AH95" s="1526"/>
      <c r="AI95" s="1526"/>
      <c r="AJ95" s="1526"/>
      <c r="AK95" s="1526"/>
      <c r="AL95" s="1526"/>
    </row>
    <row r="96" spans="1:38">
      <c r="B96" s="1524"/>
      <c r="C96" s="1524"/>
      <c r="D96" s="1524"/>
      <c r="E96" s="1524"/>
      <c r="F96" s="1524"/>
      <c r="G96" s="1524"/>
      <c r="H96" s="1524"/>
      <c r="I96" s="1524"/>
      <c r="J96" s="1524"/>
      <c r="K96" s="1524"/>
      <c r="L96" s="1524"/>
      <c r="M96" s="1524"/>
      <c r="N96" s="1524"/>
      <c r="O96" s="1525"/>
      <c r="P96" s="1525"/>
      <c r="Q96" s="1525"/>
      <c r="R96" s="1525"/>
      <c r="S96" s="1525"/>
      <c r="T96" s="1525"/>
      <c r="U96" s="1525"/>
      <c r="V96" s="1525"/>
      <c r="W96" s="1525"/>
      <c r="X96" s="1525"/>
      <c r="Z96" s="1526"/>
      <c r="AA96" s="1526"/>
      <c r="AB96" s="1526"/>
      <c r="AC96" s="1526"/>
      <c r="AD96" s="1526"/>
      <c r="AE96" s="1526"/>
      <c r="AF96" s="1526"/>
      <c r="AG96" s="1526"/>
      <c r="AH96" s="1526"/>
      <c r="AI96" s="1526"/>
      <c r="AJ96" s="1526"/>
      <c r="AK96" s="1526"/>
      <c r="AL96" s="1526"/>
    </row>
    <row r="97" spans="2:38">
      <c r="B97" s="1524"/>
      <c r="C97" s="1524"/>
      <c r="D97" s="1524"/>
      <c r="E97" s="1524"/>
      <c r="F97" s="1524"/>
      <c r="G97" s="1524"/>
      <c r="H97" s="1524"/>
      <c r="I97" s="1524"/>
      <c r="J97" s="1524"/>
      <c r="K97" s="1524"/>
      <c r="L97" s="1524"/>
      <c r="M97" s="1524"/>
      <c r="N97" s="1524"/>
      <c r="O97" s="1525"/>
      <c r="P97" s="1525"/>
      <c r="Q97" s="1525"/>
      <c r="R97" s="1525"/>
      <c r="S97" s="1525"/>
      <c r="T97" s="1525"/>
      <c r="U97" s="1525"/>
      <c r="V97" s="1525"/>
      <c r="W97" s="1525"/>
      <c r="X97" s="1525"/>
      <c r="Z97" s="1526"/>
      <c r="AA97" s="1526"/>
      <c r="AB97" s="1526"/>
      <c r="AC97" s="1526"/>
      <c r="AD97" s="1526"/>
      <c r="AE97" s="1526"/>
      <c r="AF97" s="1526"/>
      <c r="AG97" s="1526"/>
      <c r="AH97" s="1526"/>
      <c r="AI97" s="1526"/>
      <c r="AJ97" s="1526"/>
      <c r="AK97" s="1526"/>
      <c r="AL97" s="1526"/>
    </row>
    <row r="98" spans="2:38">
      <c r="B98" s="1524"/>
      <c r="C98" s="1524"/>
      <c r="D98" s="1524"/>
      <c r="E98" s="1524"/>
      <c r="F98" s="1524"/>
      <c r="G98" s="1524"/>
      <c r="H98" s="1524"/>
      <c r="I98" s="1524"/>
      <c r="J98" s="1524"/>
      <c r="K98" s="1524"/>
      <c r="L98" s="1524"/>
      <c r="M98" s="1524"/>
      <c r="N98" s="1524"/>
      <c r="O98" s="1525"/>
      <c r="P98" s="1525"/>
      <c r="Q98" s="1525"/>
      <c r="R98" s="1525"/>
      <c r="S98" s="1525"/>
      <c r="T98" s="1525"/>
      <c r="U98" s="1525"/>
      <c r="V98" s="1525"/>
      <c r="W98" s="1525"/>
      <c r="X98" s="1525"/>
      <c r="Z98" s="1526"/>
      <c r="AA98" s="1526"/>
      <c r="AB98" s="1526"/>
      <c r="AC98" s="1526"/>
      <c r="AD98" s="1526"/>
      <c r="AE98" s="1526"/>
      <c r="AF98" s="1526"/>
      <c r="AG98" s="1526"/>
      <c r="AH98" s="1526"/>
      <c r="AI98" s="1526"/>
      <c r="AJ98" s="1526"/>
      <c r="AK98" s="1526"/>
      <c r="AL98" s="1526"/>
    </row>
    <row r="99" spans="2:38">
      <c r="B99" s="1524"/>
      <c r="C99" s="1524"/>
      <c r="D99" s="1524"/>
      <c r="E99" s="1524"/>
      <c r="F99" s="1524"/>
      <c r="G99" s="1524"/>
      <c r="H99" s="1524"/>
      <c r="I99" s="1524"/>
      <c r="J99" s="1524"/>
      <c r="K99" s="1524"/>
      <c r="L99" s="1524"/>
      <c r="M99" s="1524"/>
      <c r="N99" s="1524"/>
      <c r="O99" s="1525"/>
      <c r="P99" s="1525"/>
      <c r="Q99" s="1525"/>
      <c r="R99" s="1525"/>
      <c r="S99" s="1525"/>
      <c r="T99" s="1525"/>
      <c r="U99" s="1525"/>
      <c r="V99" s="1525"/>
      <c r="W99" s="1525"/>
      <c r="X99" s="1525"/>
      <c r="Z99" s="1526"/>
      <c r="AA99" s="1526"/>
      <c r="AB99" s="1526"/>
      <c r="AC99" s="1526"/>
      <c r="AD99" s="1526"/>
      <c r="AE99" s="1526"/>
      <c r="AF99" s="1526"/>
      <c r="AG99" s="1526"/>
      <c r="AH99" s="1526"/>
      <c r="AI99" s="1526"/>
      <c r="AJ99" s="1526"/>
      <c r="AK99" s="1526"/>
      <c r="AL99" s="1526"/>
    </row>
    <row r="100" spans="2:38">
      <c r="B100" s="1524"/>
      <c r="C100" s="1524"/>
      <c r="D100" s="1524"/>
      <c r="E100" s="1524"/>
      <c r="F100" s="1524"/>
      <c r="G100" s="1524"/>
      <c r="H100" s="1524"/>
      <c r="I100" s="1524"/>
      <c r="J100" s="1524"/>
      <c r="K100" s="1524"/>
      <c r="L100" s="1524"/>
      <c r="M100" s="1524"/>
      <c r="N100" s="1524"/>
      <c r="O100" s="1525"/>
      <c r="P100" s="1525"/>
      <c r="Q100" s="1525"/>
      <c r="R100" s="1525"/>
      <c r="S100" s="1525"/>
      <c r="T100" s="1525"/>
      <c r="U100" s="1525"/>
      <c r="V100" s="1525"/>
      <c r="W100" s="1525"/>
      <c r="X100" s="1525"/>
      <c r="Z100" s="1526"/>
      <c r="AA100" s="1526"/>
      <c r="AB100" s="1526"/>
      <c r="AC100" s="1526"/>
      <c r="AD100" s="1526"/>
      <c r="AE100" s="1526"/>
      <c r="AF100" s="1526"/>
      <c r="AG100" s="1526"/>
      <c r="AH100" s="1526"/>
      <c r="AI100" s="1526"/>
      <c r="AJ100" s="1526"/>
      <c r="AK100" s="1526"/>
      <c r="AL100" s="1526"/>
    </row>
    <row r="101" spans="2:38">
      <c r="B101" s="1524"/>
      <c r="C101" s="1524"/>
      <c r="D101" s="1524"/>
      <c r="E101" s="1524"/>
      <c r="F101" s="1524"/>
      <c r="G101" s="1524"/>
      <c r="H101" s="1524"/>
      <c r="I101" s="1524"/>
      <c r="J101" s="1524"/>
      <c r="K101" s="1524"/>
      <c r="L101" s="1524"/>
      <c r="M101" s="1524"/>
      <c r="N101" s="1524"/>
      <c r="O101" s="1525"/>
      <c r="P101" s="1525"/>
      <c r="Q101" s="1525"/>
      <c r="R101" s="1525"/>
      <c r="S101" s="1525"/>
      <c r="T101" s="1525"/>
      <c r="U101" s="1525"/>
      <c r="V101" s="1525"/>
      <c r="W101" s="1525"/>
      <c r="X101" s="1525"/>
      <c r="Z101" s="1526"/>
      <c r="AA101" s="1526"/>
      <c r="AB101" s="1526"/>
      <c r="AC101" s="1526"/>
      <c r="AD101" s="1526"/>
      <c r="AE101" s="1526"/>
      <c r="AF101" s="1526"/>
      <c r="AG101" s="1526"/>
      <c r="AH101" s="1526"/>
      <c r="AI101" s="1526"/>
      <c r="AJ101" s="1526"/>
      <c r="AK101" s="1526"/>
      <c r="AL101" s="1526"/>
    </row>
    <row r="102" spans="2:38">
      <c r="B102" s="1524"/>
      <c r="C102" s="1524"/>
      <c r="D102" s="1524"/>
      <c r="E102" s="1524"/>
      <c r="F102" s="1524"/>
      <c r="G102" s="1524"/>
      <c r="H102" s="1524"/>
      <c r="I102" s="1524"/>
      <c r="J102" s="1524"/>
      <c r="K102" s="1524"/>
      <c r="L102" s="1524"/>
      <c r="M102" s="1524"/>
      <c r="N102" s="1524"/>
      <c r="O102" s="1525"/>
      <c r="P102" s="1525"/>
      <c r="Q102" s="1525"/>
      <c r="R102" s="1525"/>
      <c r="S102" s="1525"/>
      <c r="T102" s="1525"/>
      <c r="U102" s="1525"/>
      <c r="V102" s="1525"/>
      <c r="W102" s="1525"/>
      <c r="X102" s="1525"/>
      <c r="Z102" s="1526"/>
      <c r="AA102" s="1526"/>
      <c r="AB102" s="1526"/>
      <c r="AC102" s="1526"/>
      <c r="AD102" s="1526"/>
      <c r="AE102" s="1526"/>
      <c r="AF102" s="1526"/>
      <c r="AG102" s="1526"/>
      <c r="AH102" s="1526"/>
      <c r="AI102" s="1526"/>
      <c r="AJ102" s="1526"/>
      <c r="AK102" s="1526"/>
      <c r="AL102" s="1526"/>
    </row>
    <row r="103" spans="2:38">
      <c r="B103" s="1524"/>
      <c r="C103" s="1524"/>
      <c r="D103" s="1524"/>
      <c r="E103" s="1524"/>
      <c r="F103" s="1524"/>
      <c r="G103" s="1524"/>
      <c r="H103" s="1524"/>
      <c r="I103" s="1524"/>
      <c r="J103" s="1524"/>
      <c r="K103" s="1524"/>
      <c r="L103" s="1524"/>
      <c r="M103" s="1524"/>
      <c r="N103" s="1524"/>
      <c r="O103" s="1525"/>
      <c r="P103" s="1525"/>
      <c r="Q103" s="1525"/>
      <c r="R103" s="1525"/>
      <c r="S103" s="1525"/>
      <c r="T103" s="1525"/>
      <c r="U103" s="1525"/>
      <c r="V103" s="1525"/>
      <c r="W103" s="1525"/>
      <c r="X103" s="1525"/>
      <c r="Z103" s="1526"/>
      <c r="AA103" s="1526"/>
      <c r="AB103" s="1526"/>
      <c r="AC103" s="1526"/>
      <c r="AD103" s="1526"/>
      <c r="AE103" s="1526"/>
      <c r="AF103" s="1526"/>
      <c r="AG103" s="1526"/>
      <c r="AH103" s="1526"/>
      <c r="AI103" s="1526"/>
      <c r="AJ103" s="1526"/>
      <c r="AK103" s="1526"/>
      <c r="AL103" s="1526"/>
    </row>
    <row r="104" spans="2:38">
      <c r="B104" s="1524"/>
      <c r="C104" s="1524"/>
      <c r="D104" s="1524"/>
      <c r="E104" s="1524"/>
      <c r="F104" s="1524"/>
      <c r="G104" s="1524"/>
      <c r="H104" s="1524"/>
      <c r="I104" s="1524"/>
      <c r="J104" s="1524"/>
      <c r="K104" s="1524"/>
      <c r="L104" s="1524"/>
      <c r="M104" s="1524"/>
      <c r="N104" s="1524"/>
      <c r="O104" s="1525"/>
      <c r="P104" s="1525"/>
      <c r="Q104" s="1525"/>
      <c r="R104" s="1525"/>
      <c r="S104" s="1525"/>
      <c r="T104" s="1525"/>
      <c r="U104" s="1525"/>
      <c r="V104" s="1525"/>
      <c r="W104" s="1525"/>
      <c r="X104" s="1525"/>
      <c r="Z104" s="1526"/>
      <c r="AA104" s="1526"/>
      <c r="AB104" s="1526"/>
      <c r="AC104" s="1526"/>
      <c r="AD104" s="1526"/>
      <c r="AE104" s="1526"/>
      <c r="AF104" s="1526"/>
      <c r="AG104" s="1526"/>
      <c r="AH104" s="1526"/>
      <c r="AI104" s="1526"/>
      <c r="AJ104" s="1526"/>
      <c r="AK104" s="1526"/>
      <c r="AL104" s="1526"/>
    </row>
    <row r="105" spans="2:38">
      <c r="B105" s="1524"/>
      <c r="C105" s="1524"/>
      <c r="D105" s="1524"/>
      <c r="E105" s="1524"/>
      <c r="F105" s="1524"/>
      <c r="G105" s="1524"/>
      <c r="H105" s="1524"/>
      <c r="I105" s="1524"/>
      <c r="J105" s="1524"/>
      <c r="K105" s="1524"/>
      <c r="L105" s="1524"/>
      <c r="M105" s="1524"/>
      <c r="N105" s="1524"/>
      <c r="O105" s="1525"/>
      <c r="P105" s="1525"/>
      <c r="Q105" s="1525"/>
      <c r="R105" s="1525"/>
      <c r="S105" s="1525"/>
      <c r="T105" s="1525"/>
      <c r="U105" s="1525"/>
      <c r="V105" s="1525"/>
      <c r="W105" s="1525"/>
      <c r="X105" s="1525"/>
      <c r="Z105" s="1526"/>
      <c r="AA105" s="1526"/>
      <c r="AB105" s="1526"/>
      <c r="AC105" s="1526"/>
      <c r="AD105" s="1526"/>
      <c r="AE105" s="1526"/>
      <c r="AF105" s="1526"/>
      <c r="AG105" s="1526"/>
      <c r="AH105" s="1526"/>
      <c r="AI105" s="1526"/>
      <c r="AJ105" s="1526"/>
      <c r="AK105" s="1526"/>
      <c r="AL105" s="1526"/>
    </row>
    <row r="106" spans="2:38">
      <c r="B106" s="1524"/>
      <c r="C106" s="1524"/>
      <c r="D106" s="1524"/>
      <c r="E106" s="1524"/>
      <c r="F106" s="1524"/>
      <c r="G106" s="1524"/>
      <c r="H106" s="1524"/>
      <c r="I106" s="1524"/>
      <c r="J106" s="1524"/>
      <c r="K106" s="1524"/>
      <c r="L106" s="1524"/>
      <c r="M106" s="1524"/>
      <c r="N106" s="1524"/>
      <c r="O106" s="1525"/>
      <c r="P106" s="1525"/>
      <c r="Q106" s="1525"/>
      <c r="R106" s="1525"/>
      <c r="S106" s="1525"/>
      <c r="T106" s="1525"/>
      <c r="U106" s="1525"/>
      <c r="V106" s="1525"/>
      <c r="W106" s="1525"/>
      <c r="X106" s="1525"/>
      <c r="Z106" s="1526"/>
      <c r="AA106" s="1526"/>
      <c r="AB106" s="1526"/>
      <c r="AC106" s="1526"/>
      <c r="AD106" s="1526"/>
      <c r="AE106" s="1526"/>
      <c r="AF106" s="1526"/>
      <c r="AG106" s="1526"/>
      <c r="AH106" s="1526"/>
      <c r="AI106" s="1526"/>
      <c r="AJ106" s="1526"/>
      <c r="AK106" s="1526"/>
      <c r="AL106" s="1526"/>
    </row>
    <row r="107" spans="2:38">
      <c r="B107" s="1524"/>
      <c r="C107" s="1524"/>
      <c r="D107" s="1524"/>
      <c r="E107" s="1524"/>
      <c r="F107" s="1524"/>
      <c r="G107" s="1524"/>
      <c r="H107" s="1524"/>
      <c r="I107" s="1524"/>
      <c r="J107" s="1524"/>
      <c r="K107" s="1524"/>
      <c r="L107" s="1524"/>
      <c r="M107" s="1524"/>
      <c r="N107" s="1524"/>
      <c r="O107" s="1525"/>
      <c r="P107" s="1525"/>
      <c r="Q107" s="1525"/>
      <c r="R107" s="1525"/>
      <c r="S107" s="1525"/>
      <c r="T107" s="1525"/>
      <c r="U107" s="1525"/>
      <c r="V107" s="1525"/>
      <c r="W107" s="1525"/>
      <c r="X107" s="1525"/>
      <c r="Z107" s="1526"/>
      <c r="AA107" s="1526"/>
      <c r="AB107" s="1526"/>
      <c r="AC107" s="1526"/>
      <c r="AD107" s="1526"/>
      <c r="AE107" s="1526"/>
      <c r="AF107" s="1526"/>
      <c r="AG107" s="1526"/>
      <c r="AH107" s="1526"/>
      <c r="AI107" s="1526"/>
      <c r="AJ107" s="1526"/>
      <c r="AK107" s="1526"/>
      <c r="AL107" s="1526"/>
    </row>
    <row r="108" spans="2:38">
      <c r="B108" s="1524"/>
      <c r="C108" s="1524"/>
      <c r="D108" s="1524"/>
      <c r="E108" s="1524"/>
      <c r="F108" s="1524"/>
      <c r="G108" s="1524"/>
      <c r="H108" s="1524"/>
      <c r="I108" s="1524"/>
      <c r="J108" s="1524"/>
      <c r="K108" s="1524"/>
      <c r="L108" s="1524"/>
      <c r="M108" s="1524"/>
      <c r="N108" s="1524"/>
      <c r="O108" s="1525"/>
      <c r="P108" s="1525"/>
      <c r="Q108" s="1525"/>
      <c r="R108" s="1525"/>
      <c r="S108" s="1525"/>
      <c r="T108" s="1525"/>
      <c r="U108" s="1525"/>
      <c r="V108" s="1525"/>
      <c r="W108" s="1525"/>
      <c r="X108" s="1525"/>
      <c r="Z108" s="1526"/>
      <c r="AA108" s="1526"/>
      <c r="AB108" s="1526"/>
      <c r="AC108" s="1526"/>
      <c r="AD108" s="1526"/>
      <c r="AE108" s="1526"/>
      <c r="AF108" s="1526"/>
      <c r="AG108" s="1526"/>
      <c r="AH108" s="1526"/>
      <c r="AI108" s="1526"/>
      <c r="AJ108" s="1526"/>
      <c r="AK108" s="1526"/>
      <c r="AL108" s="1526"/>
    </row>
    <row r="109" spans="2:38">
      <c r="B109" s="1524"/>
      <c r="C109" s="1524"/>
      <c r="D109" s="1524"/>
      <c r="E109" s="1524"/>
      <c r="F109" s="1524"/>
      <c r="G109" s="1524"/>
      <c r="H109" s="1524"/>
      <c r="I109" s="1524"/>
      <c r="J109" s="1524"/>
      <c r="K109" s="1524"/>
      <c r="L109" s="1524"/>
      <c r="M109" s="1524"/>
      <c r="N109" s="1524"/>
      <c r="O109" s="1525"/>
      <c r="P109" s="1525"/>
      <c r="Q109" s="1525"/>
      <c r="R109" s="1525"/>
      <c r="S109" s="1525"/>
      <c r="T109" s="1525"/>
      <c r="U109" s="1525"/>
      <c r="V109" s="1525"/>
      <c r="W109" s="1525"/>
      <c r="X109" s="1525"/>
      <c r="Z109" s="1526"/>
      <c r="AA109" s="1526"/>
      <c r="AB109" s="1526"/>
      <c r="AC109" s="1526"/>
      <c r="AD109" s="1526"/>
      <c r="AE109" s="1526"/>
      <c r="AF109" s="1526"/>
      <c r="AG109" s="1526"/>
      <c r="AH109" s="1526"/>
      <c r="AI109" s="1526"/>
      <c r="AJ109" s="1526"/>
      <c r="AK109" s="1526"/>
      <c r="AL109" s="1526"/>
    </row>
    <row r="111" spans="2:38">
      <c r="Z111" s="1526"/>
      <c r="AA111" s="1526"/>
      <c r="AB111" s="1526"/>
      <c r="AC111" s="1526"/>
      <c r="AD111" s="1526"/>
      <c r="AE111" s="1526"/>
      <c r="AF111" s="1526"/>
      <c r="AG111" s="1526"/>
      <c r="AH111" s="1526"/>
      <c r="AI111" s="1526"/>
      <c r="AJ111" s="1526"/>
      <c r="AK111" s="1526"/>
      <c r="AL111" s="1526"/>
    </row>
  </sheetData>
  <phoneticPr fontId="13"/>
  <pageMargins left="0.7" right="0.7" top="0.75" bottom="0.75" header="0.3" footer="0.3"/>
  <drawing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7"/>
  <dimension ref="A1:S172"/>
  <sheetViews>
    <sheetView workbookViewId="0">
      <pane xSplit="2" ySplit="6" topLeftCell="E96" activePane="bottomRight" state="frozen"/>
      <selection pane="topRight" activeCell="C1" sqref="C1"/>
      <selection pane="bottomLeft" activeCell="A7" sqref="A7"/>
      <selection pane="bottomRight" activeCell="J109" sqref="J109"/>
    </sheetView>
  </sheetViews>
  <sheetFormatPr defaultColWidth="8.7109375" defaultRowHeight="13"/>
  <cols>
    <col min="1" max="1" width="8.78515625" style="75" bestFit="1" customWidth="1"/>
    <col min="2" max="2" width="7.0703125" style="75" customWidth="1"/>
    <col min="3" max="4" width="9.78515625" style="75" bestFit="1" customWidth="1"/>
    <col min="5" max="10" width="9.28515625" style="75" bestFit="1" customWidth="1"/>
    <col min="11" max="12" width="10.5" style="75" bestFit="1" customWidth="1"/>
    <col min="13" max="14" width="9.78515625" style="75" bestFit="1" customWidth="1"/>
    <col min="15" max="15" width="10.5" style="75" bestFit="1" customWidth="1"/>
    <col min="16" max="16" width="7.5" style="75" customWidth="1"/>
    <col min="17" max="17" width="8.7109375" style="75"/>
    <col min="18" max="18" width="9.2109375" style="75" bestFit="1" customWidth="1"/>
    <col min="19" max="16384" width="8.7109375" style="75"/>
  </cols>
  <sheetData>
    <row r="1" spans="1:16">
      <c r="A1" s="2048" t="s">
        <v>15</v>
      </c>
      <c r="B1" s="2049"/>
      <c r="C1" s="2049"/>
      <c r="D1" s="2049"/>
      <c r="E1" s="2049"/>
      <c r="F1" s="2050" t="s">
        <v>1793</v>
      </c>
      <c r="G1" s="2049" t="s">
        <v>16</v>
      </c>
      <c r="H1" s="2051"/>
      <c r="I1" s="2049"/>
      <c r="J1" s="2049"/>
      <c r="K1" s="2051"/>
      <c r="L1" s="2051"/>
      <c r="M1" s="2049"/>
      <c r="N1" s="2049"/>
      <c r="O1" s="2049"/>
      <c r="P1" s="2049"/>
    </row>
    <row r="2" spans="1:16">
      <c r="A2" s="2049"/>
      <c r="B2" s="2049"/>
      <c r="C2" s="2049"/>
      <c r="D2" s="2049"/>
      <c r="E2" s="2049"/>
      <c r="F2" s="2049"/>
      <c r="G2" s="2049"/>
      <c r="H2" s="2049"/>
      <c r="I2" s="2049"/>
      <c r="J2" s="2049"/>
      <c r="K2" s="2051"/>
      <c r="L2" s="2051"/>
      <c r="M2" s="2051"/>
      <c r="N2" s="2049"/>
      <c r="O2" s="2052" t="s">
        <v>17</v>
      </c>
      <c r="P2" s="2049"/>
    </row>
    <row r="3" spans="1:16">
      <c r="A3" s="2053"/>
      <c r="B3" s="2054"/>
      <c r="C3" s="2055"/>
      <c r="D3" s="2055"/>
      <c r="E3" s="2055"/>
      <c r="F3" s="2055"/>
      <c r="G3" s="2055"/>
      <c r="H3" s="2055"/>
      <c r="I3" s="2055"/>
      <c r="J3" s="2055"/>
      <c r="K3" s="2056"/>
      <c r="L3" s="2056"/>
      <c r="M3" s="2056"/>
      <c r="N3" s="2055"/>
      <c r="O3" s="2057"/>
      <c r="P3" s="2058"/>
    </row>
    <row r="4" spans="1:16">
      <c r="A4" s="2059"/>
      <c r="B4" s="2060"/>
      <c r="C4" s="2061" t="s">
        <v>18</v>
      </c>
      <c r="D4" s="2062" t="s">
        <v>19</v>
      </c>
      <c r="E4" s="2062" t="s">
        <v>20</v>
      </c>
      <c r="F4" s="2062" t="s">
        <v>21</v>
      </c>
      <c r="G4" s="2062" t="s">
        <v>22</v>
      </c>
      <c r="H4" s="2062" t="s">
        <v>23</v>
      </c>
      <c r="I4" s="2062" t="s">
        <v>24</v>
      </c>
      <c r="J4" s="2062" t="s">
        <v>25</v>
      </c>
      <c r="K4" s="2063" t="s">
        <v>26</v>
      </c>
      <c r="L4" s="2064"/>
      <c r="M4" s="2065"/>
      <c r="N4" s="2065"/>
      <c r="O4" s="2065"/>
      <c r="P4" s="2066" t="s">
        <v>27</v>
      </c>
    </row>
    <row r="5" spans="1:16">
      <c r="A5" s="2059" t="s">
        <v>28</v>
      </c>
      <c r="B5" s="2060"/>
      <c r="C5" s="2061" t="s">
        <v>29</v>
      </c>
      <c r="D5" s="2067" t="s">
        <v>30</v>
      </c>
      <c r="E5" s="2067" t="s">
        <v>31</v>
      </c>
      <c r="F5" s="2067" t="s">
        <v>32</v>
      </c>
      <c r="G5" s="2067" t="s">
        <v>33</v>
      </c>
      <c r="H5" s="2067" t="s">
        <v>34</v>
      </c>
      <c r="I5" s="2067" t="s">
        <v>35</v>
      </c>
      <c r="J5" s="2067" t="s">
        <v>36</v>
      </c>
      <c r="K5" s="2068" t="s">
        <v>37</v>
      </c>
      <c r="L5" s="2062" t="s">
        <v>38</v>
      </c>
      <c r="M5" s="2062" t="s">
        <v>39</v>
      </c>
      <c r="N5" s="2062" t="s">
        <v>40</v>
      </c>
      <c r="O5" s="2063" t="s">
        <v>41</v>
      </c>
      <c r="P5" s="2066" t="s">
        <v>42</v>
      </c>
    </row>
    <row r="6" spans="1:16">
      <c r="A6" s="2069"/>
      <c r="B6" s="2070"/>
      <c r="C6" s="2071"/>
      <c r="D6" s="2072"/>
      <c r="E6" s="2072"/>
      <c r="F6" s="2072"/>
      <c r="G6" s="2072"/>
      <c r="H6" s="2072"/>
      <c r="I6" s="2072"/>
      <c r="J6" s="2072"/>
      <c r="K6" s="2073" t="s">
        <v>43</v>
      </c>
      <c r="L6" s="2074" t="s">
        <v>44</v>
      </c>
      <c r="M6" s="2072" t="s">
        <v>934</v>
      </c>
      <c r="N6" s="2072" t="s">
        <v>45</v>
      </c>
      <c r="O6" s="2073" t="s">
        <v>46</v>
      </c>
      <c r="P6" s="2066" t="s">
        <v>47</v>
      </c>
    </row>
    <row r="7" spans="1:16" hidden="1">
      <c r="A7" s="2075" t="s">
        <v>882</v>
      </c>
      <c r="B7" s="2076" t="s">
        <v>48</v>
      </c>
      <c r="C7" s="2077">
        <v>4988239.868009584</v>
      </c>
      <c r="D7" s="536">
        <v>3250152.6864071679</v>
      </c>
      <c r="E7" s="536">
        <v>212920.65247456546</v>
      </c>
      <c r="F7" s="536">
        <v>646784.5369206703</v>
      </c>
      <c r="G7" s="536">
        <v>22086.385773528287</v>
      </c>
      <c r="H7" s="536">
        <v>815538.75065260543</v>
      </c>
      <c r="I7" s="536">
        <v>333769.02990650607</v>
      </c>
      <c r="J7" s="536">
        <v>11648.441575924859</v>
      </c>
      <c r="K7" s="536">
        <v>-304660.61570138374</v>
      </c>
      <c r="L7" s="536">
        <v>-215327.14292724943</v>
      </c>
      <c r="M7" s="536">
        <v>3666962.5432398305</v>
      </c>
      <c r="N7" s="536">
        <v>3882289.68616708</v>
      </c>
      <c r="O7" s="536">
        <v>-89333.472774134294</v>
      </c>
      <c r="P7" s="2078"/>
    </row>
    <row r="8" spans="1:16" hidden="1">
      <c r="A8" s="2079">
        <v>-2001</v>
      </c>
      <c r="B8" s="2080" t="s">
        <v>49</v>
      </c>
      <c r="C8" s="2077">
        <v>4993566.9223217508</v>
      </c>
      <c r="D8" s="536">
        <v>3328541.0422380888</v>
      </c>
      <c r="E8" s="536">
        <v>206116.12874703849</v>
      </c>
      <c r="F8" s="536">
        <v>657372.97261761501</v>
      </c>
      <c r="G8" s="536">
        <v>-831.41728660799708</v>
      </c>
      <c r="H8" s="536">
        <v>792102.34445722506</v>
      </c>
      <c r="I8" s="536">
        <v>306041.09728589898</v>
      </c>
      <c r="J8" s="536">
        <v>11899.105320096603</v>
      </c>
      <c r="K8" s="536">
        <v>-307674.35105760512</v>
      </c>
      <c r="L8" s="536">
        <v>-218245.477044967</v>
      </c>
      <c r="M8" s="536">
        <v>3659887.5748508321</v>
      </c>
      <c r="N8" s="536">
        <v>3878133.0518957991</v>
      </c>
      <c r="O8" s="536">
        <v>-89428.874012638116</v>
      </c>
      <c r="P8" s="2081"/>
    </row>
    <row r="9" spans="1:16" hidden="1">
      <c r="A9" s="2082"/>
      <c r="B9" s="2080" t="s">
        <v>50</v>
      </c>
      <c r="C9" s="2077">
        <v>5231333.1950447438</v>
      </c>
      <c r="D9" s="536">
        <v>3393913.4184654341</v>
      </c>
      <c r="E9" s="536">
        <v>217780.72658885684</v>
      </c>
      <c r="F9" s="536">
        <v>664124.13797111751</v>
      </c>
      <c r="G9" s="536">
        <v>52963.82330216319</v>
      </c>
      <c r="H9" s="536">
        <v>828122.94094631192</v>
      </c>
      <c r="I9" s="536">
        <v>354861.92893051135</v>
      </c>
      <c r="J9" s="536">
        <v>11310.719234867676</v>
      </c>
      <c r="K9" s="536">
        <v>-291744.50039451878</v>
      </c>
      <c r="L9" s="536">
        <v>-198057.51381854434</v>
      </c>
      <c r="M9" s="536">
        <v>3816518.5340758143</v>
      </c>
      <c r="N9" s="536">
        <v>4014576.0478943586</v>
      </c>
      <c r="O9" s="536">
        <v>-93686.986575974457</v>
      </c>
      <c r="P9" s="2081"/>
    </row>
    <row r="10" spans="1:16" hidden="1">
      <c r="A10" s="2083"/>
      <c r="B10" s="2084" t="s">
        <v>53</v>
      </c>
      <c r="C10" s="2077">
        <v>5050827.0146239204</v>
      </c>
      <c r="D10" s="536">
        <v>3279327.8528893078</v>
      </c>
      <c r="E10" s="536">
        <v>199477.49218953919</v>
      </c>
      <c r="F10" s="536">
        <v>657787.35249059694</v>
      </c>
      <c r="G10" s="536">
        <v>-86008.79178908348</v>
      </c>
      <c r="H10" s="536">
        <v>807838.96394385758</v>
      </c>
      <c r="I10" s="536">
        <v>329012.94387708354</v>
      </c>
      <c r="J10" s="536">
        <v>12830.73386911086</v>
      </c>
      <c r="K10" s="536">
        <v>-149439.5328464921</v>
      </c>
      <c r="L10" s="536">
        <v>-58985.198344368488</v>
      </c>
      <c r="M10" s="536">
        <v>3717531.1666433532</v>
      </c>
      <c r="N10" s="536">
        <v>3776516.3649877217</v>
      </c>
      <c r="O10" s="536">
        <v>-90454.334502123616</v>
      </c>
      <c r="P10" s="2081"/>
    </row>
    <row r="11" spans="1:16" hidden="1">
      <c r="A11" s="2082" t="s">
        <v>883</v>
      </c>
      <c r="B11" s="2085" t="s">
        <v>48</v>
      </c>
      <c r="C11" s="2086">
        <v>4977863.7523977961</v>
      </c>
      <c r="D11" s="535">
        <v>3262468.2262547403</v>
      </c>
      <c r="E11" s="535">
        <v>198675.89931950156</v>
      </c>
      <c r="F11" s="535">
        <v>586748.99329097779</v>
      </c>
      <c r="G11" s="535">
        <v>-5548.8368296998997</v>
      </c>
      <c r="H11" s="535">
        <v>821292.00007146108</v>
      </c>
      <c r="I11" s="535">
        <v>228596.94932865392</v>
      </c>
      <c r="J11" s="535">
        <v>3193.4233739874817</v>
      </c>
      <c r="K11" s="535">
        <v>-117562.90241182607</v>
      </c>
      <c r="L11" s="535">
        <v>26412.565308792982</v>
      </c>
      <c r="M11" s="535">
        <v>3730578.7735721986</v>
      </c>
      <c r="N11" s="535">
        <v>3704166.2082634056</v>
      </c>
      <c r="O11" s="535">
        <v>-143975.46772061905</v>
      </c>
      <c r="P11" s="2078">
        <v>-0.20801156091814366</v>
      </c>
    </row>
    <row r="12" spans="1:16" hidden="1">
      <c r="A12" s="2079">
        <v>-2002</v>
      </c>
      <c r="B12" s="2080" t="s">
        <v>49</v>
      </c>
      <c r="C12" s="2077">
        <v>4945195.3898943942</v>
      </c>
      <c r="D12" s="536">
        <v>3278548.3488595397</v>
      </c>
      <c r="E12" s="536">
        <v>211040.49933936755</v>
      </c>
      <c r="F12" s="536">
        <v>615087.82916032698</v>
      </c>
      <c r="G12" s="536">
        <v>-24698.559288421446</v>
      </c>
      <c r="H12" s="536">
        <v>804314.67957937613</v>
      </c>
      <c r="I12" s="536">
        <v>227477.1895261016</v>
      </c>
      <c r="J12" s="536">
        <v>3402.8736916622292</v>
      </c>
      <c r="K12" s="536">
        <v>-169977.47097355875</v>
      </c>
      <c r="L12" s="536">
        <v>-26946.874990103766</v>
      </c>
      <c r="M12" s="536">
        <v>3707067.0451215832</v>
      </c>
      <c r="N12" s="536">
        <v>3734013.9201116869</v>
      </c>
      <c r="O12" s="536">
        <v>-143030.59598345499</v>
      </c>
      <c r="P12" s="2081">
        <v>-0.96867696337723885</v>
      </c>
    </row>
    <row r="13" spans="1:16" hidden="1">
      <c r="A13" s="2082"/>
      <c r="B13" s="2080" t="s">
        <v>50</v>
      </c>
      <c r="C13" s="2077">
        <v>5129774.4048297284</v>
      </c>
      <c r="D13" s="536">
        <v>3308559.5189109161</v>
      </c>
      <c r="E13" s="536">
        <v>216714.65790352024</v>
      </c>
      <c r="F13" s="536">
        <v>617331.12884471053</v>
      </c>
      <c r="G13" s="536">
        <v>20237.598213022837</v>
      </c>
      <c r="H13" s="536">
        <v>827328.38762963761</v>
      </c>
      <c r="I13" s="536">
        <v>332780.23080982739</v>
      </c>
      <c r="J13" s="536">
        <v>2911.3839333094402</v>
      </c>
      <c r="K13" s="536">
        <v>-196088.50141521636</v>
      </c>
      <c r="L13" s="536">
        <v>-47719.300092488062</v>
      </c>
      <c r="M13" s="536">
        <v>3878271.1077350681</v>
      </c>
      <c r="N13" s="536">
        <v>3925990.4078275561</v>
      </c>
      <c r="O13" s="536">
        <v>-148369.2013227283</v>
      </c>
      <c r="P13" s="2081">
        <v>-1.9413557964767865</v>
      </c>
    </row>
    <row r="14" spans="1:16" hidden="1">
      <c r="A14" s="2087"/>
      <c r="B14" s="2088" t="s">
        <v>54</v>
      </c>
      <c r="C14" s="2089">
        <v>4922909.4528780803</v>
      </c>
      <c r="D14" s="537">
        <v>3228460.9059748026</v>
      </c>
      <c r="E14" s="537">
        <v>190716.94343761072</v>
      </c>
      <c r="F14" s="537">
        <v>640943.04870398447</v>
      </c>
      <c r="G14" s="537">
        <v>-90019.202094901499</v>
      </c>
      <c r="H14" s="537">
        <v>808648.93271952507</v>
      </c>
      <c r="I14" s="537">
        <v>354514.63033541699</v>
      </c>
      <c r="J14" s="537">
        <v>4117.3190010408434</v>
      </c>
      <c r="K14" s="537">
        <v>-214473.12519939779</v>
      </c>
      <c r="L14" s="537">
        <v>-72087.108570685145</v>
      </c>
      <c r="M14" s="537">
        <v>3722948.1429730193</v>
      </c>
      <c r="N14" s="537">
        <v>3795035.2515437044</v>
      </c>
      <c r="O14" s="537">
        <v>-142386.01662871265</v>
      </c>
      <c r="P14" s="2090">
        <v>-2.5326062717149846</v>
      </c>
    </row>
    <row r="15" spans="1:16" hidden="1">
      <c r="A15" s="2075" t="s">
        <v>884</v>
      </c>
      <c r="B15" s="2076" t="s">
        <v>48</v>
      </c>
      <c r="C15" s="2086">
        <v>4912925.4595347401</v>
      </c>
      <c r="D15" s="535">
        <v>3236609.6857038853</v>
      </c>
      <c r="E15" s="535">
        <v>190189.33820171995</v>
      </c>
      <c r="F15" s="535">
        <v>605140.3872147589</v>
      </c>
      <c r="G15" s="535">
        <v>15043.205756686266</v>
      </c>
      <c r="H15" s="535">
        <v>822652.78724759014</v>
      </c>
      <c r="I15" s="535">
        <v>201174.03912657822</v>
      </c>
      <c r="J15" s="535">
        <v>-8932.1341797892856</v>
      </c>
      <c r="K15" s="535">
        <v>-148951.84953668798</v>
      </c>
      <c r="L15" s="535">
        <v>24951.442904777825</v>
      </c>
      <c r="M15" s="535">
        <v>3702828.8741979799</v>
      </c>
      <c r="N15" s="535">
        <v>3677877.4312932021</v>
      </c>
      <c r="O15" s="535">
        <v>-173903.2924414658</v>
      </c>
      <c r="P15" s="2078">
        <v>-1.3045413874932961</v>
      </c>
    </row>
    <row r="16" spans="1:16" hidden="1">
      <c r="A16" s="2079">
        <v>-2003</v>
      </c>
      <c r="B16" s="2080" t="s">
        <v>49</v>
      </c>
      <c r="C16" s="2077">
        <v>4886372.9002514984</v>
      </c>
      <c r="D16" s="536">
        <v>3268404.9570008558</v>
      </c>
      <c r="E16" s="536">
        <v>206589.64522856651</v>
      </c>
      <c r="F16" s="536">
        <v>621840.15643002081</v>
      </c>
      <c r="G16" s="536">
        <v>-6690.8835700941017</v>
      </c>
      <c r="H16" s="536">
        <v>800664.44023629988</v>
      </c>
      <c r="I16" s="536">
        <v>205423.24884281488</v>
      </c>
      <c r="J16" s="536">
        <v>-8694.4173186870903</v>
      </c>
      <c r="K16" s="536">
        <v>-201164.2465982787</v>
      </c>
      <c r="L16" s="536">
        <v>-28200.837637670804</v>
      </c>
      <c r="M16" s="536">
        <v>3703744.0982964216</v>
      </c>
      <c r="N16" s="536">
        <v>3731944.9359340924</v>
      </c>
      <c r="O16" s="536">
        <v>-172963.40896060789</v>
      </c>
      <c r="P16" s="2081">
        <v>-1.1894876745032299</v>
      </c>
    </row>
    <row r="17" spans="1:17" hidden="1">
      <c r="A17" s="2082"/>
      <c r="B17" s="2080" t="s">
        <v>50</v>
      </c>
      <c r="C17" s="2077">
        <v>5077588.4856840251</v>
      </c>
      <c r="D17" s="536">
        <v>3301926.8786242241</v>
      </c>
      <c r="E17" s="536">
        <v>205963.95178419317</v>
      </c>
      <c r="F17" s="536">
        <v>633412.01973582734</v>
      </c>
      <c r="G17" s="536">
        <v>25856.860668713882</v>
      </c>
      <c r="H17" s="536">
        <v>828668.68011238927</v>
      </c>
      <c r="I17" s="536">
        <v>312300.25121847854</v>
      </c>
      <c r="J17" s="536">
        <v>-9050.4086592983986</v>
      </c>
      <c r="K17" s="536">
        <v>-221489.74780050304</v>
      </c>
      <c r="L17" s="536">
        <v>-41757.862471440807</v>
      </c>
      <c r="M17" s="536">
        <v>3847847.2058443832</v>
      </c>
      <c r="N17" s="536">
        <v>3889605.068315824</v>
      </c>
      <c r="O17" s="536">
        <v>-179731.88532906224</v>
      </c>
      <c r="P17" s="2081">
        <v>-1.0173141161250641</v>
      </c>
    </row>
    <row r="18" spans="1:17" hidden="1">
      <c r="A18" s="2091"/>
      <c r="B18" s="2084" t="s">
        <v>55</v>
      </c>
      <c r="C18" s="2089">
        <v>4916146.1545297345</v>
      </c>
      <c r="D18" s="537">
        <v>3240107.4786710334</v>
      </c>
      <c r="E18" s="537">
        <v>176234.06478552023</v>
      </c>
      <c r="F18" s="537">
        <v>620370.43661939271</v>
      </c>
      <c r="G18" s="537">
        <v>-70908.182855306048</v>
      </c>
      <c r="H18" s="537">
        <v>813827.0924037206</v>
      </c>
      <c r="I18" s="537">
        <v>323285.46081212844</v>
      </c>
      <c r="J18" s="537">
        <v>-7992.0398422252183</v>
      </c>
      <c r="K18" s="537">
        <v>-178778.15606452926</v>
      </c>
      <c r="L18" s="537">
        <v>-4760.8603742471896</v>
      </c>
      <c r="M18" s="537">
        <v>3757895.720922159</v>
      </c>
      <c r="N18" s="537">
        <v>3762656.5812964062</v>
      </c>
      <c r="O18" s="537">
        <v>-174017.29569028207</v>
      </c>
      <c r="P18" s="2090">
        <v>-0.13738417115089871</v>
      </c>
    </row>
    <row r="19" spans="1:17" hidden="1">
      <c r="A19" s="2075" t="s">
        <v>935</v>
      </c>
      <c r="B19" s="2076" t="s">
        <v>48</v>
      </c>
      <c r="C19" s="2086">
        <v>4974205.8753409535</v>
      </c>
      <c r="D19" s="535">
        <v>3262611.1521124323</v>
      </c>
      <c r="E19" s="535">
        <v>178295.00386044697</v>
      </c>
      <c r="F19" s="535">
        <v>593159.14403105958</v>
      </c>
      <c r="G19" s="535">
        <v>24045.836569963667</v>
      </c>
      <c r="H19" s="535">
        <v>834449.88389728288</v>
      </c>
      <c r="I19" s="535">
        <v>191067.66008657063</v>
      </c>
      <c r="J19" s="535">
        <v>-9346.7183593913905</v>
      </c>
      <c r="K19" s="535">
        <v>-100076.08685741105</v>
      </c>
      <c r="L19" s="535">
        <v>140115.5884262179</v>
      </c>
      <c r="M19" s="535">
        <v>3907900.2445147922</v>
      </c>
      <c r="N19" s="535">
        <v>3767784.6560885743</v>
      </c>
      <c r="O19" s="535">
        <v>-240191.67528362895</v>
      </c>
      <c r="P19" s="2078">
        <v>1.2473304614724752</v>
      </c>
    </row>
    <row r="20" spans="1:17" hidden="1">
      <c r="A20" s="2079">
        <v>-2004</v>
      </c>
      <c r="B20" s="2080" t="s">
        <v>49</v>
      </c>
      <c r="C20" s="2077">
        <v>4955962.7400369169</v>
      </c>
      <c r="D20" s="536">
        <v>3276101.734099559</v>
      </c>
      <c r="E20" s="536">
        <v>204140.68416017815</v>
      </c>
      <c r="F20" s="536">
        <v>623935.68032245839</v>
      </c>
      <c r="G20" s="536">
        <v>4636.0773986438326</v>
      </c>
      <c r="H20" s="536">
        <v>815762.15425240609</v>
      </c>
      <c r="I20" s="536">
        <v>194256.64609359758</v>
      </c>
      <c r="J20" s="536">
        <v>-9134.4238870727186</v>
      </c>
      <c r="K20" s="536">
        <v>-153735.81240285287</v>
      </c>
      <c r="L20" s="536">
        <v>85574.948551752139</v>
      </c>
      <c r="M20" s="536">
        <v>3925618.7090854058</v>
      </c>
      <c r="N20" s="536">
        <v>3840043.7605336537</v>
      </c>
      <c r="O20" s="536">
        <v>-239310.76095460501</v>
      </c>
      <c r="P20" s="2081">
        <v>1.4241614630319501</v>
      </c>
    </row>
    <row r="21" spans="1:17" hidden="1">
      <c r="A21" s="2082"/>
      <c r="B21" s="2080" t="s">
        <v>50</v>
      </c>
      <c r="C21" s="2077">
        <v>5129288.3218261264</v>
      </c>
      <c r="D21" s="536">
        <v>3300331.6089636325</v>
      </c>
      <c r="E21" s="536">
        <v>208701.06617340093</v>
      </c>
      <c r="F21" s="536">
        <v>641981.6716150241</v>
      </c>
      <c r="G21" s="536">
        <v>44818.189301188031</v>
      </c>
      <c r="H21" s="536">
        <v>847480.95259125624</v>
      </c>
      <c r="I21" s="536">
        <v>282071.4210759027</v>
      </c>
      <c r="J21" s="536">
        <v>-9573.9162150148913</v>
      </c>
      <c r="K21" s="536">
        <v>-186522.67167926309</v>
      </c>
      <c r="L21" s="536">
        <v>61157.538168851286</v>
      </c>
      <c r="M21" s="536">
        <v>4072790.4765932388</v>
      </c>
      <c r="N21" s="536">
        <v>4011632.9384243875</v>
      </c>
      <c r="O21" s="536">
        <v>-247680.20984811438</v>
      </c>
      <c r="P21" s="2081">
        <v>1.0181966555160211</v>
      </c>
    </row>
    <row r="22" spans="1:17" hidden="1">
      <c r="A22" s="2091"/>
      <c r="B22" s="2084" t="s">
        <v>56</v>
      </c>
      <c r="C22" s="2089">
        <v>4950636.0627960041</v>
      </c>
      <c r="D22" s="537">
        <v>3256355.5048243748</v>
      </c>
      <c r="E22" s="537">
        <v>179129.24580597409</v>
      </c>
      <c r="F22" s="537">
        <v>646531.50403145829</v>
      </c>
      <c r="G22" s="537">
        <v>-52825.103269795523</v>
      </c>
      <c r="H22" s="537">
        <v>831224.00925905467</v>
      </c>
      <c r="I22" s="537">
        <v>331881.27274392912</v>
      </c>
      <c r="J22" s="537">
        <v>-8505.9415385210159</v>
      </c>
      <c r="K22" s="537">
        <v>-233154.42906047023</v>
      </c>
      <c r="L22" s="537">
        <v>5899.1202784008346</v>
      </c>
      <c r="M22" s="537">
        <v>3919029.0309107425</v>
      </c>
      <c r="N22" s="537">
        <v>3913129.9106323416</v>
      </c>
      <c r="O22" s="537">
        <v>-239053.54933887106</v>
      </c>
      <c r="P22" s="2090">
        <v>0.70156393203425449</v>
      </c>
    </row>
    <row r="23" spans="1:17" hidden="1">
      <c r="A23" s="2075" t="s">
        <v>936</v>
      </c>
      <c r="B23" s="2076" t="s">
        <v>48</v>
      </c>
      <c r="C23" s="2086">
        <v>4969795.7770032361</v>
      </c>
      <c r="D23" s="535">
        <v>3293922.2630547537</v>
      </c>
      <c r="E23" s="535">
        <v>175894.18701786469</v>
      </c>
      <c r="F23" s="535">
        <v>659263.8085760657</v>
      </c>
      <c r="G23" s="535">
        <v>27747.208675256064</v>
      </c>
      <c r="H23" s="535">
        <v>841148.49074793002</v>
      </c>
      <c r="I23" s="535">
        <v>197063.52952449807</v>
      </c>
      <c r="J23" s="535">
        <v>-2378.7427167515852</v>
      </c>
      <c r="K23" s="535">
        <v>-222864.96787637926</v>
      </c>
      <c r="L23" s="535">
        <v>-159580.07897629961</v>
      </c>
      <c r="M23" s="535">
        <v>4001045.0906519433</v>
      </c>
      <c r="N23" s="535">
        <v>4160625.169628243</v>
      </c>
      <c r="O23" s="535">
        <v>-63284.888900079663</v>
      </c>
      <c r="P23" s="2078">
        <v>-8.8659344792701558E-2</v>
      </c>
    </row>
    <row r="24" spans="1:17" hidden="1">
      <c r="A24" s="2079">
        <v>-2005</v>
      </c>
      <c r="B24" s="2080" t="s">
        <v>49</v>
      </c>
      <c r="C24" s="2077">
        <v>4946355.4619123787</v>
      </c>
      <c r="D24" s="536">
        <v>3286979.5043037259</v>
      </c>
      <c r="E24" s="536">
        <v>197515.79511448188</v>
      </c>
      <c r="F24" s="536">
        <v>671367.95205521164</v>
      </c>
      <c r="G24" s="536">
        <v>5361.9392998090143</v>
      </c>
      <c r="H24" s="536">
        <v>820245.00916203228</v>
      </c>
      <c r="I24" s="536">
        <v>180494.91890331233</v>
      </c>
      <c r="J24" s="536">
        <v>-2133.9035661044272</v>
      </c>
      <c r="K24" s="536">
        <v>-213475.7533600902</v>
      </c>
      <c r="L24" s="536">
        <v>-150489.35111879278</v>
      </c>
      <c r="M24" s="536">
        <v>4045714.2769929264</v>
      </c>
      <c r="N24" s="536">
        <v>4196203.6281117192</v>
      </c>
      <c r="O24" s="536">
        <v>-62986.402241297415</v>
      </c>
      <c r="P24" s="2081">
        <v>-0.19385291271311467</v>
      </c>
    </row>
    <row r="25" spans="1:17" hidden="1">
      <c r="A25" s="2082"/>
      <c r="B25" s="2080" t="s">
        <v>50</v>
      </c>
      <c r="C25" s="2077">
        <v>5143073.727849789</v>
      </c>
      <c r="D25" s="536">
        <v>3359124.0653978442</v>
      </c>
      <c r="E25" s="536">
        <v>210650.92464536554</v>
      </c>
      <c r="F25" s="536">
        <v>678945.02158890828</v>
      </c>
      <c r="G25" s="536">
        <v>55096.29139124744</v>
      </c>
      <c r="H25" s="536">
        <v>846374.041273518</v>
      </c>
      <c r="I25" s="536">
        <v>290068.59647987288</v>
      </c>
      <c r="J25" s="536">
        <v>-2677.8736349842147</v>
      </c>
      <c r="K25" s="536">
        <v>-294507.33929198404</v>
      </c>
      <c r="L25" s="536">
        <v>-229015.94606854767</v>
      </c>
      <c r="M25" s="536">
        <v>4245518.7631272525</v>
      </c>
      <c r="N25" s="536">
        <v>4474534.7091958001</v>
      </c>
      <c r="O25" s="536">
        <v>-65491.393223436375</v>
      </c>
      <c r="P25" s="2081">
        <v>0.26875864951874384</v>
      </c>
    </row>
    <row r="26" spans="1:17" hidden="1">
      <c r="A26" s="2091"/>
      <c r="B26" s="2084" t="s">
        <v>57</v>
      </c>
      <c r="C26" s="2089">
        <v>4961032.0332345925</v>
      </c>
      <c r="D26" s="537">
        <v>3269389.1672436753</v>
      </c>
      <c r="E26" s="537">
        <v>183855.09322228775</v>
      </c>
      <c r="F26" s="537">
        <v>686720.21777981461</v>
      </c>
      <c r="G26" s="537">
        <v>-44322.439366312523</v>
      </c>
      <c r="H26" s="537">
        <v>826409.45881651994</v>
      </c>
      <c r="I26" s="537">
        <v>306712.95509231673</v>
      </c>
      <c r="J26" s="537">
        <v>-1590.4800821597746</v>
      </c>
      <c r="K26" s="537">
        <v>-266141.93947154895</v>
      </c>
      <c r="L26" s="537">
        <v>-202968.6472196281</v>
      </c>
      <c r="M26" s="537">
        <v>4123514.4269268177</v>
      </c>
      <c r="N26" s="537">
        <v>4326483.0741464458</v>
      </c>
      <c r="O26" s="537">
        <v>-63173.292251920859</v>
      </c>
      <c r="P26" s="2090">
        <v>0.20999262128585972</v>
      </c>
    </row>
    <row r="27" spans="1:17">
      <c r="A27" s="2092" t="s">
        <v>947</v>
      </c>
      <c r="B27" s="2093" t="s">
        <v>48</v>
      </c>
      <c r="C27" s="2094">
        <v>5065467</v>
      </c>
      <c r="D27" s="458">
        <v>3148075</v>
      </c>
      <c r="E27" s="458">
        <v>209063</v>
      </c>
      <c r="F27" s="458">
        <v>842564</v>
      </c>
      <c r="G27" s="458">
        <v>-5849</v>
      </c>
      <c r="H27" s="458">
        <v>716335</v>
      </c>
      <c r="I27" s="458">
        <v>120875</v>
      </c>
      <c r="J27" s="458">
        <v>1801</v>
      </c>
      <c r="K27" s="458">
        <v>32604</v>
      </c>
      <c r="L27" s="458">
        <v>80406</v>
      </c>
      <c r="M27" s="458">
        <v>4360914</v>
      </c>
      <c r="N27" s="458">
        <v>4280508</v>
      </c>
      <c r="O27" s="458">
        <v>-47802</v>
      </c>
      <c r="P27" s="2095" t="s">
        <v>878</v>
      </c>
    </row>
    <row r="28" spans="1:17">
      <c r="A28" s="2096">
        <v>-2006</v>
      </c>
      <c r="B28" s="2097" t="s">
        <v>49</v>
      </c>
      <c r="C28" s="2098">
        <v>5067445</v>
      </c>
      <c r="D28" s="459">
        <v>3205828</v>
      </c>
      <c r="E28" s="459">
        <v>256990</v>
      </c>
      <c r="F28" s="459">
        <v>929178</v>
      </c>
      <c r="G28" s="459">
        <v>-11796</v>
      </c>
      <c r="H28" s="459">
        <v>630765</v>
      </c>
      <c r="I28" s="459">
        <v>162841</v>
      </c>
      <c r="J28" s="459">
        <v>1235</v>
      </c>
      <c r="K28" s="459">
        <v>-107597</v>
      </c>
      <c r="L28" s="459">
        <v>-59776</v>
      </c>
      <c r="M28" s="459">
        <v>4392675</v>
      </c>
      <c r="N28" s="459">
        <v>4452451</v>
      </c>
      <c r="O28" s="459">
        <v>-47821</v>
      </c>
      <c r="P28" s="2099" t="s">
        <v>878</v>
      </c>
    </row>
    <row r="29" spans="1:17">
      <c r="A29" s="2100"/>
      <c r="B29" s="2097" t="s">
        <v>50</v>
      </c>
      <c r="C29" s="2098">
        <v>5427952</v>
      </c>
      <c r="D29" s="459">
        <v>3293946</v>
      </c>
      <c r="E29" s="459">
        <v>263867</v>
      </c>
      <c r="F29" s="459">
        <v>918511</v>
      </c>
      <c r="G29" s="459">
        <v>-18461</v>
      </c>
      <c r="H29" s="459">
        <v>728532</v>
      </c>
      <c r="I29" s="459">
        <v>250738</v>
      </c>
      <c r="J29" s="459">
        <v>600</v>
      </c>
      <c r="K29" s="459">
        <v>-9782</v>
      </c>
      <c r="L29" s="459">
        <v>41442</v>
      </c>
      <c r="M29" s="459">
        <v>4719541</v>
      </c>
      <c r="N29" s="459">
        <v>4678100</v>
      </c>
      <c r="O29" s="459">
        <v>-51223</v>
      </c>
      <c r="P29" s="2099" t="s">
        <v>878</v>
      </c>
    </row>
    <row r="30" spans="1:17">
      <c r="A30" s="2101"/>
      <c r="B30" s="2102" t="s">
        <v>58</v>
      </c>
      <c r="C30" s="2103">
        <v>5199724</v>
      </c>
      <c r="D30" s="460">
        <v>3200135</v>
      </c>
      <c r="E30" s="460">
        <v>228114</v>
      </c>
      <c r="F30" s="460">
        <v>1021752</v>
      </c>
      <c r="G30" s="460">
        <v>51703</v>
      </c>
      <c r="H30" s="460">
        <v>642812</v>
      </c>
      <c r="I30" s="460">
        <v>271449</v>
      </c>
      <c r="J30" s="460">
        <v>7284</v>
      </c>
      <c r="K30" s="460">
        <v>-223524</v>
      </c>
      <c r="L30" s="460">
        <v>-174455</v>
      </c>
      <c r="M30" s="460">
        <v>4515450</v>
      </c>
      <c r="N30" s="460">
        <v>4689905</v>
      </c>
      <c r="O30" s="460">
        <v>-49069</v>
      </c>
      <c r="P30" s="2104" t="s">
        <v>878</v>
      </c>
    </row>
    <row r="31" spans="1:17">
      <c r="A31" s="2092" t="s">
        <v>937</v>
      </c>
      <c r="B31" s="2093" t="s">
        <v>48</v>
      </c>
      <c r="C31" s="2098">
        <v>5275404</v>
      </c>
      <c r="D31" s="459">
        <v>3187565</v>
      </c>
      <c r="E31" s="459">
        <v>216786</v>
      </c>
      <c r="F31" s="459">
        <v>863743</v>
      </c>
      <c r="G31" s="459">
        <v>33692</v>
      </c>
      <c r="H31" s="459">
        <v>729647</v>
      </c>
      <c r="I31" s="459">
        <v>146470</v>
      </c>
      <c r="J31" s="459">
        <v>2192</v>
      </c>
      <c r="K31" s="459">
        <v>95308</v>
      </c>
      <c r="L31" s="459">
        <v>91461</v>
      </c>
      <c r="M31" s="459">
        <v>4669858</v>
      </c>
      <c r="N31" s="459">
        <v>4578397</v>
      </c>
      <c r="O31" s="459">
        <v>3847</v>
      </c>
      <c r="P31" s="2095">
        <v>4.1444680509701426</v>
      </c>
      <c r="Q31" s="75" t="s">
        <v>1607</v>
      </c>
    </row>
    <row r="32" spans="1:17">
      <c r="A32" s="2096">
        <v>-2007</v>
      </c>
      <c r="B32" s="2097" t="s">
        <v>49</v>
      </c>
      <c r="C32" s="2098">
        <v>5244075</v>
      </c>
      <c r="D32" s="459">
        <v>3211220</v>
      </c>
      <c r="E32" s="459">
        <v>221816</v>
      </c>
      <c r="F32" s="459">
        <v>935541</v>
      </c>
      <c r="G32" s="459">
        <v>32164</v>
      </c>
      <c r="H32" s="459">
        <v>643090</v>
      </c>
      <c r="I32" s="459">
        <v>131449</v>
      </c>
      <c r="J32" s="459">
        <v>2046</v>
      </c>
      <c r="K32" s="459">
        <v>66748</v>
      </c>
      <c r="L32" s="459">
        <v>62923</v>
      </c>
      <c r="M32" s="459">
        <v>4641152</v>
      </c>
      <c r="N32" s="459">
        <v>4578228</v>
      </c>
      <c r="O32" s="459">
        <v>3824</v>
      </c>
      <c r="P32" s="2099">
        <v>3.4855790282573733</v>
      </c>
    </row>
    <row r="33" spans="1:19">
      <c r="A33" s="2096"/>
      <c r="B33" s="2097" t="s">
        <v>50</v>
      </c>
      <c r="C33" s="2098">
        <v>5536740</v>
      </c>
      <c r="D33" s="459">
        <v>3294971</v>
      </c>
      <c r="E33" s="459">
        <v>215854</v>
      </c>
      <c r="F33" s="459">
        <v>913094</v>
      </c>
      <c r="G33" s="459">
        <v>-12120</v>
      </c>
      <c r="H33" s="459">
        <v>754878</v>
      </c>
      <c r="I33" s="459">
        <v>190107</v>
      </c>
      <c r="J33" s="459">
        <v>-2172</v>
      </c>
      <c r="K33" s="459">
        <v>182128</v>
      </c>
      <c r="L33" s="459">
        <v>178090</v>
      </c>
      <c r="M33" s="459">
        <v>4946738</v>
      </c>
      <c r="N33" s="459">
        <v>4768647</v>
      </c>
      <c r="O33" s="459">
        <v>4038</v>
      </c>
      <c r="P33" s="2099">
        <v>2.0042040329098021</v>
      </c>
    </row>
    <row r="34" spans="1:19">
      <c r="A34" s="2101"/>
      <c r="B34" s="2102" t="s">
        <v>59</v>
      </c>
      <c r="C34" s="2103">
        <v>5278984</v>
      </c>
      <c r="D34" s="460">
        <v>3289195</v>
      </c>
      <c r="E34" s="460">
        <v>190968</v>
      </c>
      <c r="F34" s="460">
        <v>1024255</v>
      </c>
      <c r="G34" s="460">
        <v>25470</v>
      </c>
      <c r="H34" s="460">
        <v>667101</v>
      </c>
      <c r="I34" s="460">
        <v>218222</v>
      </c>
      <c r="J34" s="460">
        <v>1409</v>
      </c>
      <c r="K34" s="460">
        <v>-137636</v>
      </c>
      <c r="L34" s="460">
        <v>-141486</v>
      </c>
      <c r="M34" s="460">
        <v>4705961</v>
      </c>
      <c r="N34" s="460">
        <v>4847447</v>
      </c>
      <c r="O34" s="460">
        <v>3850</v>
      </c>
      <c r="P34" s="2104">
        <v>1.5243061719653883</v>
      </c>
    </row>
    <row r="35" spans="1:19">
      <c r="A35" s="2092" t="s">
        <v>938</v>
      </c>
      <c r="B35" s="2093" t="s">
        <v>48</v>
      </c>
      <c r="C35" s="2098">
        <v>5383509</v>
      </c>
      <c r="D35" s="459">
        <v>3180866</v>
      </c>
      <c r="E35" s="459">
        <v>189144</v>
      </c>
      <c r="F35" s="459">
        <v>895905</v>
      </c>
      <c r="G35" s="459">
        <v>-4336</v>
      </c>
      <c r="H35" s="459">
        <v>742016</v>
      </c>
      <c r="I35" s="459">
        <v>121599</v>
      </c>
      <c r="J35" s="459">
        <v>-8640</v>
      </c>
      <c r="K35" s="459">
        <v>266954</v>
      </c>
      <c r="L35" s="459">
        <v>76626</v>
      </c>
      <c r="M35" s="459">
        <v>4701945</v>
      </c>
      <c r="N35" s="459">
        <v>4625319</v>
      </c>
      <c r="O35" s="459">
        <v>190328</v>
      </c>
      <c r="P35" s="2095">
        <v>2.0492277863228656</v>
      </c>
      <c r="Q35" s="75" t="s">
        <v>1607</v>
      </c>
    </row>
    <row r="36" spans="1:19">
      <c r="A36" s="2096">
        <v>-2008</v>
      </c>
      <c r="B36" s="2097" t="s">
        <v>49</v>
      </c>
      <c r="C36" s="2098">
        <v>5321318</v>
      </c>
      <c r="D36" s="459">
        <v>3225791</v>
      </c>
      <c r="E36" s="459">
        <v>213186</v>
      </c>
      <c r="F36" s="459">
        <v>968770</v>
      </c>
      <c r="G36" s="459">
        <v>5276</v>
      </c>
      <c r="H36" s="459">
        <v>662173</v>
      </c>
      <c r="I36" s="459">
        <v>143409</v>
      </c>
      <c r="J36" s="459">
        <v>-7724</v>
      </c>
      <c r="K36" s="459">
        <v>110437</v>
      </c>
      <c r="L36" s="459">
        <v>-77692</v>
      </c>
      <c r="M36" s="459">
        <v>4735351</v>
      </c>
      <c r="N36" s="459">
        <v>4813043</v>
      </c>
      <c r="O36" s="459">
        <v>188129</v>
      </c>
      <c r="P36" s="2099">
        <v>1.472968252505628</v>
      </c>
    </row>
    <row r="37" spans="1:19">
      <c r="A37" s="2096"/>
      <c r="B37" s="2097" t="s">
        <v>50</v>
      </c>
      <c r="C37" s="2098">
        <v>5393782</v>
      </c>
      <c r="D37" s="459">
        <v>3221637</v>
      </c>
      <c r="E37" s="459">
        <v>218224</v>
      </c>
      <c r="F37" s="459">
        <v>915564</v>
      </c>
      <c r="G37" s="459">
        <v>37161</v>
      </c>
      <c r="H37" s="459">
        <v>760582</v>
      </c>
      <c r="I37" s="459">
        <v>209984</v>
      </c>
      <c r="J37" s="459">
        <v>-4687</v>
      </c>
      <c r="K37" s="459">
        <v>35317</v>
      </c>
      <c r="L37" s="459">
        <v>-155374</v>
      </c>
      <c r="M37" s="459">
        <v>4548546</v>
      </c>
      <c r="N37" s="459">
        <v>4703920</v>
      </c>
      <c r="O37" s="459">
        <v>190691</v>
      </c>
      <c r="P37" s="2099">
        <v>-2.5819844181564067</v>
      </c>
    </row>
    <row r="38" spans="1:19">
      <c r="A38" s="2105"/>
      <c r="B38" s="2102" t="s">
        <v>60</v>
      </c>
      <c r="C38" s="2103">
        <v>4874840</v>
      </c>
      <c r="D38" s="460">
        <v>3164205</v>
      </c>
      <c r="E38" s="460">
        <v>168932</v>
      </c>
      <c r="F38" s="460">
        <v>954222</v>
      </c>
      <c r="G38" s="460">
        <v>154331</v>
      </c>
      <c r="H38" s="460">
        <v>681716</v>
      </c>
      <c r="I38" s="460">
        <v>216082</v>
      </c>
      <c r="J38" s="460">
        <v>6475</v>
      </c>
      <c r="K38" s="460">
        <v>-471123</v>
      </c>
      <c r="L38" s="460">
        <v>-643467</v>
      </c>
      <c r="M38" s="460">
        <v>3815387</v>
      </c>
      <c r="N38" s="460">
        <v>4458855</v>
      </c>
      <c r="O38" s="460">
        <v>172344</v>
      </c>
      <c r="P38" s="2104">
        <v>-7.6557066595814893</v>
      </c>
    </row>
    <row r="39" spans="1:19">
      <c r="A39" s="2092" t="s">
        <v>939</v>
      </c>
      <c r="B39" s="2093" t="s">
        <v>48</v>
      </c>
      <c r="C39" s="2098">
        <v>4776848</v>
      </c>
      <c r="D39" s="459">
        <v>3154365</v>
      </c>
      <c r="E39" s="459">
        <v>144032</v>
      </c>
      <c r="F39" s="459">
        <v>759498</v>
      </c>
      <c r="G39" s="459">
        <v>-20329</v>
      </c>
      <c r="H39" s="459">
        <v>763734</v>
      </c>
      <c r="I39" s="459">
        <v>147428</v>
      </c>
      <c r="J39" s="459">
        <v>4981</v>
      </c>
      <c r="K39" s="459">
        <v>-176860</v>
      </c>
      <c r="L39" s="459">
        <v>-231408</v>
      </c>
      <c r="M39" s="459">
        <v>3754165</v>
      </c>
      <c r="N39" s="459">
        <v>3985573</v>
      </c>
      <c r="O39" s="459">
        <v>54548</v>
      </c>
      <c r="P39" s="2095">
        <v>-11.268870609738446</v>
      </c>
      <c r="Q39" s="75" t="s">
        <v>1607</v>
      </c>
    </row>
    <row r="40" spans="1:19">
      <c r="A40" s="2096">
        <v>-2009</v>
      </c>
      <c r="B40" s="2097" t="s">
        <v>49</v>
      </c>
      <c r="C40" s="2098">
        <v>4748440</v>
      </c>
      <c r="D40" s="459">
        <v>3144490</v>
      </c>
      <c r="E40" s="459">
        <v>155740</v>
      </c>
      <c r="F40" s="459">
        <v>805964</v>
      </c>
      <c r="G40" s="459">
        <v>-80062</v>
      </c>
      <c r="H40" s="459">
        <v>696662</v>
      </c>
      <c r="I40" s="459">
        <v>139803</v>
      </c>
      <c r="J40" s="459">
        <v>-709</v>
      </c>
      <c r="K40" s="459">
        <v>-113448</v>
      </c>
      <c r="L40" s="459">
        <v>-167671</v>
      </c>
      <c r="M40" s="459">
        <v>3788937</v>
      </c>
      <c r="N40" s="459">
        <v>3956608</v>
      </c>
      <c r="O40" s="459">
        <v>54223</v>
      </c>
      <c r="P40" s="2099">
        <v>-10.765726546609102</v>
      </c>
    </row>
    <row r="41" spans="1:19">
      <c r="A41" s="2096"/>
      <c r="B41" s="2097" t="s">
        <v>50</v>
      </c>
      <c r="C41" s="2098">
        <v>5055588</v>
      </c>
      <c r="D41" s="459">
        <v>3212851</v>
      </c>
      <c r="E41" s="459">
        <v>158317</v>
      </c>
      <c r="F41" s="459">
        <v>784775</v>
      </c>
      <c r="G41" s="459">
        <v>-74546</v>
      </c>
      <c r="H41" s="459">
        <v>785284</v>
      </c>
      <c r="I41" s="459">
        <v>216412</v>
      </c>
      <c r="J41" s="459">
        <v>-183</v>
      </c>
      <c r="K41" s="459">
        <v>-27321</v>
      </c>
      <c r="L41" s="459">
        <v>-85052</v>
      </c>
      <c r="M41" s="459">
        <v>4082020</v>
      </c>
      <c r="N41" s="459">
        <v>4167072</v>
      </c>
      <c r="O41" s="459">
        <v>57731</v>
      </c>
      <c r="P41" s="2099">
        <v>-6.2700620609611306</v>
      </c>
    </row>
    <row r="42" spans="1:19">
      <c r="A42" s="2105"/>
      <c r="B42" s="2102" t="s">
        <v>61</v>
      </c>
      <c r="C42" s="2103">
        <v>4909565</v>
      </c>
      <c r="D42" s="460">
        <v>3143352</v>
      </c>
      <c r="E42" s="460">
        <v>151042</v>
      </c>
      <c r="F42" s="460">
        <v>883310</v>
      </c>
      <c r="G42" s="460">
        <v>-22501</v>
      </c>
      <c r="H42" s="460">
        <v>709254</v>
      </c>
      <c r="I42" s="460">
        <v>262120</v>
      </c>
      <c r="J42" s="460">
        <v>4774</v>
      </c>
      <c r="K42" s="460">
        <v>-221786</v>
      </c>
      <c r="L42" s="460">
        <v>-277849</v>
      </c>
      <c r="M42" s="460">
        <v>3983324</v>
      </c>
      <c r="N42" s="460">
        <v>4261173</v>
      </c>
      <c r="O42" s="460">
        <v>56063</v>
      </c>
      <c r="P42" s="2104">
        <v>0.71233946899685496</v>
      </c>
    </row>
    <row r="43" spans="1:19">
      <c r="A43" s="2092" t="s">
        <v>940</v>
      </c>
      <c r="B43" s="2093" t="s">
        <v>48</v>
      </c>
      <c r="C43" s="2094">
        <v>5090819</v>
      </c>
      <c r="D43" s="458">
        <v>3151235</v>
      </c>
      <c r="E43" s="458">
        <v>141263</v>
      </c>
      <c r="F43" s="458">
        <v>766683</v>
      </c>
      <c r="G43" s="458">
        <v>-14260</v>
      </c>
      <c r="H43" s="458">
        <v>764648</v>
      </c>
      <c r="I43" s="458">
        <v>142562</v>
      </c>
      <c r="J43" s="458">
        <v>-5119</v>
      </c>
      <c r="K43" s="458">
        <v>143807</v>
      </c>
      <c r="L43" s="458">
        <v>-9547</v>
      </c>
      <c r="M43" s="458">
        <v>4145336</v>
      </c>
      <c r="N43" s="458">
        <v>4154884</v>
      </c>
      <c r="O43" s="458">
        <v>153355</v>
      </c>
      <c r="P43" s="2095">
        <v>6.5727738125113317</v>
      </c>
      <c r="Q43" s="75" t="s">
        <v>1607</v>
      </c>
    </row>
    <row r="44" spans="1:19">
      <c r="A44" s="2096">
        <v>-2010</v>
      </c>
      <c r="B44" s="2097" t="s">
        <v>49</v>
      </c>
      <c r="C44" s="2098">
        <v>5115073</v>
      </c>
      <c r="D44" s="459">
        <v>3180055</v>
      </c>
      <c r="E44" s="459">
        <v>161716</v>
      </c>
      <c r="F44" s="459">
        <v>838365</v>
      </c>
      <c r="G44" s="459">
        <v>-34843</v>
      </c>
      <c r="H44" s="459">
        <v>700096</v>
      </c>
      <c r="I44" s="459">
        <v>161093</v>
      </c>
      <c r="J44" s="459">
        <v>-7080</v>
      </c>
      <c r="K44" s="459">
        <v>115671</v>
      </c>
      <c r="L44" s="459">
        <v>-38414</v>
      </c>
      <c r="M44" s="459">
        <v>4131087</v>
      </c>
      <c r="N44" s="459">
        <v>4169501</v>
      </c>
      <c r="O44" s="459">
        <v>154085</v>
      </c>
      <c r="P44" s="2099">
        <v>7.7211278974707076</v>
      </c>
    </row>
    <row r="45" spans="1:19">
      <c r="A45" s="2096"/>
      <c r="B45" s="2097" t="s">
        <v>50</v>
      </c>
      <c r="C45" s="2098">
        <v>5306609</v>
      </c>
      <c r="D45" s="459">
        <v>3207490</v>
      </c>
      <c r="E45" s="459">
        <v>171491</v>
      </c>
      <c r="F45" s="459">
        <v>822514</v>
      </c>
      <c r="G45" s="459">
        <v>-10582</v>
      </c>
      <c r="H45" s="459">
        <v>781212</v>
      </c>
      <c r="I45" s="459">
        <v>234718</v>
      </c>
      <c r="J45" s="459">
        <v>-4769</v>
      </c>
      <c r="K45" s="459">
        <v>104535</v>
      </c>
      <c r="L45" s="459">
        <v>-55320</v>
      </c>
      <c r="M45" s="459">
        <v>4305370</v>
      </c>
      <c r="N45" s="459">
        <v>4360690</v>
      </c>
      <c r="O45" s="459">
        <v>159855</v>
      </c>
      <c r="P45" s="2099">
        <v>4.9652203345082198</v>
      </c>
    </row>
    <row r="46" spans="1:19">
      <c r="A46" s="2105"/>
      <c r="B46" s="2102" t="s">
        <v>62</v>
      </c>
      <c r="C46" s="2103">
        <v>5022933</v>
      </c>
      <c r="D46" s="460">
        <v>3130393</v>
      </c>
      <c r="E46" s="460">
        <v>163431</v>
      </c>
      <c r="F46" s="460">
        <v>933798</v>
      </c>
      <c r="G46" s="460">
        <v>8130</v>
      </c>
      <c r="H46" s="460">
        <v>718755</v>
      </c>
      <c r="I46" s="460">
        <v>282768</v>
      </c>
      <c r="J46" s="460">
        <v>-2986</v>
      </c>
      <c r="K46" s="460">
        <v>-211356</v>
      </c>
      <c r="L46" s="460">
        <v>-362665</v>
      </c>
      <c r="M46" s="460">
        <v>4111361</v>
      </c>
      <c r="N46" s="460">
        <v>4474027</v>
      </c>
      <c r="O46" s="460">
        <v>151310</v>
      </c>
      <c r="P46" s="2104">
        <v>2.3091229954838313</v>
      </c>
    </row>
    <row r="47" spans="1:19" s="2110" customFormat="1">
      <c r="A47" s="2106" t="s">
        <v>941</v>
      </c>
      <c r="B47" s="2107" t="s">
        <v>48</v>
      </c>
      <c r="C47" s="2108">
        <v>4862850</v>
      </c>
      <c r="D47" s="734">
        <v>3151030</v>
      </c>
      <c r="E47" s="734">
        <v>148629</v>
      </c>
      <c r="F47" s="734">
        <v>732973</v>
      </c>
      <c r="G47" s="734">
        <v>70636</v>
      </c>
      <c r="H47" s="734">
        <v>777150</v>
      </c>
      <c r="I47" s="734">
        <v>108668</v>
      </c>
      <c r="J47" s="734">
        <v>3983</v>
      </c>
      <c r="K47" s="734">
        <v>-130218</v>
      </c>
      <c r="L47" s="734">
        <v>-178336</v>
      </c>
      <c r="M47" s="734">
        <v>4089477</v>
      </c>
      <c r="N47" s="734">
        <v>4267813</v>
      </c>
      <c r="O47" s="734">
        <v>48118</v>
      </c>
      <c r="P47" s="2109">
        <v>-4.4780427864575882</v>
      </c>
      <c r="Q47" s="75" t="s">
        <v>1607</v>
      </c>
      <c r="R47" s="75"/>
      <c r="S47" s="75"/>
    </row>
    <row r="48" spans="1:19">
      <c r="A48" s="2111">
        <v>-2011</v>
      </c>
      <c r="B48" s="2112" t="s">
        <v>49</v>
      </c>
      <c r="C48" s="2113">
        <v>4963859</v>
      </c>
      <c r="D48" s="733">
        <v>3178430</v>
      </c>
      <c r="E48" s="733">
        <v>177733</v>
      </c>
      <c r="F48" s="733">
        <v>809819</v>
      </c>
      <c r="G48" s="733">
        <v>-4686</v>
      </c>
      <c r="H48" s="733">
        <v>712497</v>
      </c>
      <c r="I48" s="733">
        <v>113446</v>
      </c>
      <c r="J48" s="733">
        <v>-3192</v>
      </c>
      <c r="K48" s="733">
        <v>-20188</v>
      </c>
      <c r="L48" s="733">
        <v>-69306</v>
      </c>
      <c r="M48" s="733">
        <v>4184770</v>
      </c>
      <c r="N48" s="733">
        <v>4254076</v>
      </c>
      <c r="O48" s="733">
        <v>49118</v>
      </c>
      <c r="P48" s="2114">
        <v>-2.9562456001198965</v>
      </c>
    </row>
    <row r="49" spans="1:17">
      <c r="A49" s="2111"/>
      <c r="B49" s="2112" t="s">
        <v>50</v>
      </c>
      <c r="C49" s="2115">
        <v>5138918</v>
      </c>
      <c r="D49" s="317">
        <v>3233706</v>
      </c>
      <c r="E49" s="317">
        <v>175448</v>
      </c>
      <c r="F49" s="317">
        <v>848592</v>
      </c>
      <c r="G49" s="317">
        <v>-13705</v>
      </c>
      <c r="H49" s="317">
        <v>793026</v>
      </c>
      <c r="I49" s="317">
        <v>191703</v>
      </c>
      <c r="J49" s="317">
        <v>-4052</v>
      </c>
      <c r="K49" s="317">
        <v>-85800</v>
      </c>
      <c r="L49" s="317">
        <v>-136650</v>
      </c>
      <c r="M49" s="317">
        <v>4322609</v>
      </c>
      <c r="N49" s="317">
        <v>4459259</v>
      </c>
      <c r="O49" s="317">
        <v>50850</v>
      </c>
      <c r="P49" s="2114">
        <v>-3.1600390035589627</v>
      </c>
    </row>
    <row r="50" spans="1:17">
      <c r="A50" s="2116"/>
      <c r="B50" s="2117" t="s">
        <v>0</v>
      </c>
      <c r="C50" s="2118">
        <v>5031495</v>
      </c>
      <c r="D50" s="2119">
        <v>3198278</v>
      </c>
      <c r="E50" s="2119">
        <v>164581</v>
      </c>
      <c r="F50" s="2119">
        <v>955757</v>
      </c>
      <c r="G50" s="2119">
        <v>19165</v>
      </c>
      <c r="H50" s="2119">
        <v>736219</v>
      </c>
      <c r="I50" s="2119">
        <v>232548</v>
      </c>
      <c r="J50" s="2119">
        <v>-920</v>
      </c>
      <c r="K50" s="2119">
        <v>-274133</v>
      </c>
      <c r="L50" s="2119">
        <v>-323920</v>
      </c>
      <c r="M50" s="2119">
        <v>4248501</v>
      </c>
      <c r="N50" s="2119">
        <v>4572421</v>
      </c>
      <c r="O50" s="2119">
        <v>49787</v>
      </c>
      <c r="P50" s="2120">
        <v>0.17044476251775856</v>
      </c>
    </row>
    <row r="51" spans="1:17">
      <c r="A51" s="2106" t="s">
        <v>942</v>
      </c>
      <c r="B51" s="2107" t="s">
        <v>48</v>
      </c>
      <c r="C51" s="2121">
        <v>4940837</v>
      </c>
      <c r="D51" s="2122">
        <v>3119568</v>
      </c>
      <c r="E51" s="2122">
        <v>151850</v>
      </c>
      <c r="F51" s="2122">
        <v>757886</v>
      </c>
      <c r="G51" s="2122">
        <v>5833</v>
      </c>
      <c r="H51" s="2122">
        <v>776720</v>
      </c>
      <c r="I51" s="2122">
        <v>107508</v>
      </c>
      <c r="J51" s="2122">
        <v>168</v>
      </c>
      <c r="K51" s="2122">
        <v>21304</v>
      </c>
      <c r="L51" s="2122">
        <v>-60629</v>
      </c>
      <c r="M51" s="2122">
        <v>4124645</v>
      </c>
      <c r="N51" s="2122">
        <v>4185273</v>
      </c>
      <c r="O51" s="2122">
        <v>81933</v>
      </c>
      <c r="P51" s="2109">
        <v>1.6037209449454557</v>
      </c>
      <c r="Q51" s="75" t="s">
        <v>1607</v>
      </c>
    </row>
    <row r="52" spans="1:17">
      <c r="A52" s="2111">
        <v>-2012</v>
      </c>
      <c r="B52" s="2112" t="s">
        <v>49</v>
      </c>
      <c r="C52" s="2123">
        <v>4868480</v>
      </c>
      <c r="D52" s="2124">
        <v>3145570</v>
      </c>
      <c r="E52" s="2124">
        <v>171904</v>
      </c>
      <c r="F52" s="2124">
        <v>812971</v>
      </c>
      <c r="G52" s="2124">
        <v>-13234</v>
      </c>
      <c r="H52" s="2124">
        <v>716192</v>
      </c>
      <c r="I52" s="2124">
        <v>136157</v>
      </c>
      <c r="J52" s="2124">
        <v>-1649</v>
      </c>
      <c r="K52" s="2124">
        <v>-99431</v>
      </c>
      <c r="L52" s="2124">
        <v>-180164</v>
      </c>
      <c r="M52" s="2124">
        <v>4010560</v>
      </c>
      <c r="N52" s="2124">
        <v>4190724</v>
      </c>
      <c r="O52" s="2124">
        <v>80733</v>
      </c>
      <c r="P52" s="2114">
        <v>-1.9214604476583019</v>
      </c>
    </row>
    <row r="53" spans="1:17">
      <c r="A53" s="2111"/>
      <c r="B53" s="2112" t="s">
        <v>50</v>
      </c>
      <c r="C53" s="2125">
        <v>5068528</v>
      </c>
      <c r="D53" s="2126">
        <v>3249476</v>
      </c>
      <c r="E53" s="2126">
        <v>179257</v>
      </c>
      <c r="F53" s="2126">
        <v>806729</v>
      </c>
      <c r="G53" s="2126">
        <v>-12073</v>
      </c>
      <c r="H53" s="2126">
        <v>794910</v>
      </c>
      <c r="I53" s="2126">
        <v>197438</v>
      </c>
      <c r="J53" s="2126">
        <v>-1538</v>
      </c>
      <c r="K53" s="2126">
        <v>-145671</v>
      </c>
      <c r="L53" s="2126">
        <v>-229721</v>
      </c>
      <c r="M53" s="2126">
        <v>4176026</v>
      </c>
      <c r="N53" s="2126">
        <v>4405747</v>
      </c>
      <c r="O53" s="2126">
        <v>84051</v>
      </c>
      <c r="P53" s="2114">
        <v>-1.369754293201308</v>
      </c>
    </row>
    <row r="54" spans="1:17">
      <c r="A54" s="2116"/>
      <c r="B54" s="2117" t="s">
        <v>865</v>
      </c>
      <c r="C54" s="2118">
        <v>4997660</v>
      </c>
      <c r="D54" s="2119">
        <v>3229614</v>
      </c>
      <c r="E54" s="2119">
        <v>173340</v>
      </c>
      <c r="F54" s="2119">
        <v>914615</v>
      </c>
      <c r="G54" s="2119">
        <v>35051</v>
      </c>
      <c r="H54" s="2119">
        <v>732785</v>
      </c>
      <c r="I54" s="2119">
        <v>242286</v>
      </c>
      <c r="J54" s="2119">
        <v>2951</v>
      </c>
      <c r="K54" s="2119">
        <v>-332982</v>
      </c>
      <c r="L54" s="2119">
        <v>-415857</v>
      </c>
      <c r="M54" s="2119">
        <v>4204579</v>
      </c>
      <c r="N54" s="2119">
        <v>4620436</v>
      </c>
      <c r="O54" s="2119">
        <v>82875</v>
      </c>
      <c r="P54" s="2120">
        <v>-0.67245470841771515</v>
      </c>
    </row>
    <row r="55" spans="1:17">
      <c r="A55" s="2106" t="s">
        <v>943</v>
      </c>
      <c r="B55" s="2107" t="s">
        <v>48</v>
      </c>
      <c r="C55" s="2121">
        <v>5058961</v>
      </c>
      <c r="D55" s="2122">
        <v>3184393</v>
      </c>
      <c r="E55" s="2122">
        <v>156225</v>
      </c>
      <c r="F55" s="2122">
        <v>768487</v>
      </c>
      <c r="G55" s="2122">
        <v>34438</v>
      </c>
      <c r="H55" s="2122">
        <v>788184</v>
      </c>
      <c r="I55" s="2122">
        <v>127450</v>
      </c>
      <c r="J55" s="2122">
        <v>7182</v>
      </c>
      <c r="K55" s="2122">
        <v>-7398</v>
      </c>
      <c r="L55" s="2122">
        <v>-78395</v>
      </c>
      <c r="M55" s="2122">
        <v>4176286</v>
      </c>
      <c r="N55" s="2122">
        <v>4254681</v>
      </c>
      <c r="O55" s="2122">
        <v>70997</v>
      </c>
      <c r="P55" s="2109">
        <v>2.3907627557515614</v>
      </c>
      <c r="Q55" s="75" t="s">
        <v>1607</v>
      </c>
    </row>
    <row r="56" spans="1:17">
      <c r="A56" s="2111">
        <v>-2013</v>
      </c>
      <c r="B56" s="2112" t="s">
        <v>49</v>
      </c>
      <c r="C56" s="2125">
        <v>5056534</v>
      </c>
      <c r="D56" s="2126">
        <v>3243923</v>
      </c>
      <c r="E56" s="2126">
        <v>173542</v>
      </c>
      <c r="F56" s="2126">
        <v>844620</v>
      </c>
      <c r="G56" s="2126">
        <v>5711</v>
      </c>
      <c r="H56" s="2126">
        <v>727896</v>
      </c>
      <c r="I56" s="2126">
        <v>193479</v>
      </c>
      <c r="J56" s="2126">
        <v>4445</v>
      </c>
      <c r="K56" s="2126">
        <v>-137082</v>
      </c>
      <c r="L56" s="2126">
        <v>-208045</v>
      </c>
      <c r="M56" s="2126">
        <v>4175604</v>
      </c>
      <c r="N56" s="2126">
        <v>4383649</v>
      </c>
      <c r="O56" s="2126">
        <v>70963</v>
      </c>
      <c r="P56" s="2114">
        <v>3.8626817536472164</v>
      </c>
    </row>
    <row r="57" spans="1:17">
      <c r="A57" s="2111"/>
      <c r="B57" s="2112" t="s">
        <v>50</v>
      </c>
      <c r="C57" s="2125">
        <v>5268676</v>
      </c>
      <c r="D57" s="2126">
        <v>3307456</v>
      </c>
      <c r="E57" s="2126">
        <v>196494</v>
      </c>
      <c r="F57" s="2126">
        <v>851912</v>
      </c>
      <c r="G57" s="2126">
        <v>-14649</v>
      </c>
      <c r="H57" s="2126">
        <v>799971</v>
      </c>
      <c r="I57" s="2126">
        <v>224988</v>
      </c>
      <c r="J57" s="2126">
        <v>2506</v>
      </c>
      <c r="K57" s="2126">
        <v>-100002</v>
      </c>
      <c r="L57" s="2126">
        <v>-173942</v>
      </c>
      <c r="M57" s="2126">
        <v>4400295</v>
      </c>
      <c r="N57" s="2126">
        <v>4574237</v>
      </c>
      <c r="O57" s="2126">
        <v>73940</v>
      </c>
      <c r="P57" s="2114">
        <v>3.9488379721562903</v>
      </c>
    </row>
    <row r="58" spans="1:17">
      <c r="A58" s="2116"/>
      <c r="B58" s="2117" t="s">
        <v>121</v>
      </c>
      <c r="C58" s="2118">
        <v>5186971</v>
      </c>
      <c r="D58" s="2119">
        <v>3341715</v>
      </c>
      <c r="E58" s="2119">
        <v>199607</v>
      </c>
      <c r="F58" s="2119">
        <v>1012862</v>
      </c>
      <c r="G58" s="2119">
        <v>17013</v>
      </c>
      <c r="H58" s="2119">
        <v>742085</v>
      </c>
      <c r="I58" s="2119">
        <v>252460</v>
      </c>
      <c r="J58" s="2119">
        <v>5522</v>
      </c>
      <c r="K58" s="2119">
        <v>-384294</v>
      </c>
      <c r="L58" s="2119">
        <v>-457088</v>
      </c>
      <c r="M58" s="2119">
        <v>4419702</v>
      </c>
      <c r="N58" s="2119">
        <v>4876790</v>
      </c>
      <c r="O58" s="2119">
        <v>72794</v>
      </c>
      <c r="P58" s="2120">
        <v>3.7879802338074144</v>
      </c>
    </row>
    <row r="59" spans="1:17">
      <c r="A59" s="2106" t="s">
        <v>998</v>
      </c>
      <c r="B59" s="2107" t="s">
        <v>48</v>
      </c>
      <c r="C59" s="2121">
        <v>5041914</v>
      </c>
      <c r="D59" s="2122">
        <v>3152225</v>
      </c>
      <c r="E59" s="2122">
        <v>166231</v>
      </c>
      <c r="F59" s="2122">
        <v>780678</v>
      </c>
      <c r="G59" s="2122">
        <v>6164</v>
      </c>
      <c r="H59" s="2122">
        <v>805337</v>
      </c>
      <c r="I59" s="2122">
        <v>129339</v>
      </c>
      <c r="J59" s="2122">
        <v>6047</v>
      </c>
      <c r="K59" s="2122">
        <v>-4106</v>
      </c>
      <c r="L59" s="2122">
        <v>50740</v>
      </c>
      <c r="M59" s="2122">
        <v>4324859</v>
      </c>
      <c r="N59" s="2122">
        <v>4274119</v>
      </c>
      <c r="O59" s="2122">
        <v>-54846</v>
      </c>
      <c r="P59" s="2109">
        <v>-0.33696005539342722</v>
      </c>
      <c r="Q59" s="75" t="s">
        <v>1607</v>
      </c>
    </row>
    <row r="60" spans="1:17">
      <c r="A60" s="2111">
        <v>-2014</v>
      </c>
      <c r="B60" s="2112" t="s">
        <v>49</v>
      </c>
      <c r="C60" s="2127">
        <v>5032199</v>
      </c>
      <c r="D60" s="2128">
        <v>3196007</v>
      </c>
      <c r="E60" s="2128">
        <v>175997</v>
      </c>
      <c r="F60" s="2128">
        <v>864668</v>
      </c>
      <c r="G60" s="2128">
        <v>-25198</v>
      </c>
      <c r="H60" s="2128">
        <v>745801</v>
      </c>
      <c r="I60" s="2128">
        <v>167280</v>
      </c>
      <c r="J60" s="2128">
        <v>3059</v>
      </c>
      <c r="K60" s="2128">
        <v>-95415</v>
      </c>
      <c r="L60" s="2128">
        <v>-40674</v>
      </c>
      <c r="M60" s="2128">
        <v>4336651</v>
      </c>
      <c r="N60" s="2128">
        <v>4377325</v>
      </c>
      <c r="O60" s="2128">
        <v>-54741</v>
      </c>
      <c r="P60" s="2114">
        <v>-0.48125250485536897</v>
      </c>
    </row>
    <row r="61" spans="1:17">
      <c r="A61" s="2111"/>
      <c r="B61" s="2112" t="s">
        <v>50</v>
      </c>
      <c r="C61" s="2125">
        <v>5356931</v>
      </c>
      <c r="D61" s="2126">
        <v>3293104</v>
      </c>
      <c r="E61" s="2126">
        <v>189628</v>
      </c>
      <c r="F61" s="2126">
        <v>867394</v>
      </c>
      <c r="G61" s="2126">
        <v>-27183</v>
      </c>
      <c r="H61" s="2126">
        <v>819520</v>
      </c>
      <c r="I61" s="2126">
        <v>225348</v>
      </c>
      <c r="J61" s="2126">
        <v>2870</v>
      </c>
      <c r="K61" s="2126">
        <v>-13752</v>
      </c>
      <c r="L61" s="2126">
        <v>44521</v>
      </c>
      <c r="M61" s="2126">
        <v>4664819</v>
      </c>
      <c r="N61" s="2126">
        <v>4620298</v>
      </c>
      <c r="O61" s="2126">
        <v>-58273</v>
      </c>
      <c r="P61" s="2114">
        <v>1.6750888339247025</v>
      </c>
    </row>
    <row r="62" spans="1:17">
      <c r="A62" s="2116"/>
      <c r="B62" s="2117" t="s">
        <v>999</v>
      </c>
      <c r="C62" s="2118">
        <v>5310101</v>
      </c>
      <c r="D62" s="2119">
        <v>3268843</v>
      </c>
      <c r="E62" s="2119">
        <v>177764</v>
      </c>
      <c r="F62" s="2119">
        <v>1047337</v>
      </c>
      <c r="G62" s="2119">
        <v>15634</v>
      </c>
      <c r="H62" s="2119">
        <v>765042</v>
      </c>
      <c r="I62" s="2119">
        <v>231007</v>
      </c>
      <c r="J62" s="2119">
        <v>6949</v>
      </c>
      <c r="K62" s="2119">
        <v>-202475</v>
      </c>
      <c r="L62" s="2119">
        <v>-144711</v>
      </c>
      <c r="M62" s="2119">
        <v>4541281</v>
      </c>
      <c r="N62" s="2119">
        <v>4685992</v>
      </c>
      <c r="O62" s="2119">
        <v>-57764</v>
      </c>
      <c r="P62" s="2120">
        <v>2.3738493066674002</v>
      </c>
    </row>
    <row r="63" spans="1:17">
      <c r="A63" s="2106" t="s">
        <v>1031</v>
      </c>
      <c r="B63" s="2107" t="s">
        <v>48</v>
      </c>
      <c r="C63" s="2121">
        <v>5345754</v>
      </c>
      <c r="D63" s="2122">
        <v>3222470</v>
      </c>
      <c r="E63" s="2122">
        <v>172930</v>
      </c>
      <c r="F63" s="2122">
        <v>819369</v>
      </c>
      <c r="G63" s="2122">
        <v>60585</v>
      </c>
      <c r="H63" s="2122">
        <v>813498</v>
      </c>
      <c r="I63" s="2122">
        <v>158945</v>
      </c>
      <c r="J63" s="2122">
        <v>-730</v>
      </c>
      <c r="K63" s="2122">
        <v>98686</v>
      </c>
      <c r="L63" s="2122">
        <v>38064</v>
      </c>
      <c r="M63" s="2122">
        <v>4417996</v>
      </c>
      <c r="N63" s="2122">
        <v>4379932</v>
      </c>
      <c r="O63" s="2122">
        <v>60622</v>
      </c>
      <c r="P63" s="2109">
        <v>6.0262884567986754</v>
      </c>
      <c r="Q63" s="75" t="s">
        <v>1607</v>
      </c>
    </row>
    <row r="64" spans="1:17">
      <c r="A64" s="2111">
        <v>-2015</v>
      </c>
      <c r="B64" s="2112" t="s">
        <v>49</v>
      </c>
      <c r="C64" s="2125">
        <v>5336717</v>
      </c>
      <c r="D64" s="2126">
        <v>3284938</v>
      </c>
      <c r="E64" s="2126">
        <v>184723</v>
      </c>
      <c r="F64" s="2126">
        <v>894524</v>
      </c>
      <c r="G64" s="2126">
        <v>9121</v>
      </c>
      <c r="H64" s="2126">
        <v>750863</v>
      </c>
      <c r="I64" s="2126">
        <v>171513</v>
      </c>
      <c r="J64" s="2126">
        <v>-5632</v>
      </c>
      <c r="K64" s="2126">
        <v>46667</v>
      </c>
      <c r="L64" s="2126">
        <v>-13853</v>
      </c>
      <c r="M64" s="2126">
        <v>4409305</v>
      </c>
      <c r="N64" s="2126">
        <v>4423158</v>
      </c>
      <c r="O64" s="2126">
        <v>60519</v>
      </c>
      <c r="P64" s="2114">
        <v>6.0513746822402235</v>
      </c>
    </row>
    <row r="65" spans="1:17">
      <c r="A65" s="2111"/>
      <c r="B65" s="2112" t="s">
        <v>50</v>
      </c>
      <c r="C65" s="2127">
        <v>5571723</v>
      </c>
      <c r="D65" s="2128">
        <v>3323464</v>
      </c>
      <c r="E65" s="2128">
        <v>195297</v>
      </c>
      <c r="F65" s="2128">
        <v>892618</v>
      </c>
      <c r="G65" s="2128">
        <v>-2430</v>
      </c>
      <c r="H65" s="2128">
        <v>833790</v>
      </c>
      <c r="I65" s="2128">
        <v>209532</v>
      </c>
      <c r="J65" s="2128">
        <v>-6732</v>
      </c>
      <c r="K65" s="2128">
        <v>126186</v>
      </c>
      <c r="L65" s="2128">
        <v>63001</v>
      </c>
      <c r="M65" s="2128">
        <v>4572411</v>
      </c>
      <c r="N65" s="2128">
        <v>4509409</v>
      </c>
      <c r="O65" s="2128">
        <v>63184</v>
      </c>
      <c r="P65" s="2114">
        <v>4.009620584416818</v>
      </c>
    </row>
    <row r="66" spans="1:17">
      <c r="A66" s="2116"/>
      <c r="B66" s="2117" t="s">
        <v>1032</v>
      </c>
      <c r="C66" s="2118">
        <v>5493001</v>
      </c>
      <c r="D66" s="2119">
        <v>3237396</v>
      </c>
      <c r="E66" s="2119">
        <v>193920</v>
      </c>
      <c r="F66" s="2119">
        <v>1022338</v>
      </c>
      <c r="G66" s="2119">
        <v>88361</v>
      </c>
      <c r="H66" s="2119">
        <v>792840</v>
      </c>
      <c r="I66" s="2119">
        <v>243004</v>
      </c>
      <c r="J66" s="2119">
        <v>1916</v>
      </c>
      <c r="K66" s="2119">
        <v>-86774</v>
      </c>
      <c r="L66" s="2119">
        <v>-149066</v>
      </c>
      <c r="M66" s="2119">
        <v>4376296</v>
      </c>
      <c r="N66" s="2119">
        <v>4525362</v>
      </c>
      <c r="O66" s="2119">
        <v>62292</v>
      </c>
      <c r="P66" s="2120">
        <v>3.4443694738833046</v>
      </c>
    </row>
    <row r="67" spans="1:17">
      <c r="A67" s="2106" t="s">
        <v>1053</v>
      </c>
      <c r="B67" s="2107" t="s">
        <v>48</v>
      </c>
      <c r="C67" s="2121">
        <v>5389889</v>
      </c>
      <c r="D67" s="2122">
        <v>3188262</v>
      </c>
      <c r="E67" s="2122">
        <v>181564</v>
      </c>
      <c r="F67" s="2122">
        <v>829686</v>
      </c>
      <c r="G67" s="2122">
        <v>4924</v>
      </c>
      <c r="H67" s="2122">
        <v>826738</v>
      </c>
      <c r="I67" s="2122">
        <v>146789</v>
      </c>
      <c r="J67" s="2122">
        <v>-4414</v>
      </c>
      <c r="K67" s="2122">
        <v>216341</v>
      </c>
      <c r="L67" s="2122">
        <v>220799</v>
      </c>
      <c r="M67" s="2122">
        <v>4313156</v>
      </c>
      <c r="N67" s="2122">
        <v>4092357</v>
      </c>
      <c r="O67" s="2122">
        <v>-4458</v>
      </c>
      <c r="P67" s="2109">
        <v>0.82560213466759036</v>
      </c>
      <c r="Q67" s="75" t="s">
        <v>1607</v>
      </c>
    </row>
    <row r="68" spans="1:17">
      <c r="A68" s="2111">
        <v>-2016</v>
      </c>
      <c r="B68" s="2112" t="s">
        <v>49</v>
      </c>
      <c r="C68" s="2127">
        <v>5361175</v>
      </c>
      <c r="D68" s="2128">
        <v>3217958</v>
      </c>
      <c r="E68" s="2128">
        <v>194672</v>
      </c>
      <c r="F68" s="2128">
        <v>898549</v>
      </c>
      <c r="G68" s="2128">
        <v>-39659</v>
      </c>
      <c r="H68" s="2128">
        <v>765810</v>
      </c>
      <c r="I68" s="2128">
        <v>177199</v>
      </c>
      <c r="J68" s="2128">
        <v>-8661</v>
      </c>
      <c r="K68" s="2128">
        <v>155308</v>
      </c>
      <c r="L68" s="2128">
        <v>159743</v>
      </c>
      <c r="M68" s="2128">
        <v>4260928</v>
      </c>
      <c r="N68" s="2128">
        <v>4101185</v>
      </c>
      <c r="O68" s="2128">
        <v>-4434</v>
      </c>
      <c r="P68" s="2114">
        <v>0.45831000890953699</v>
      </c>
    </row>
    <row r="69" spans="1:17">
      <c r="A69" s="2111"/>
      <c r="B69" s="2112" t="s">
        <v>50</v>
      </c>
      <c r="C69" s="2127">
        <v>5661309</v>
      </c>
      <c r="D69" s="2128">
        <v>3322808</v>
      </c>
      <c r="E69" s="2128">
        <v>191444</v>
      </c>
      <c r="F69" s="2128">
        <v>913880</v>
      </c>
      <c r="G69" s="2128">
        <v>-67968</v>
      </c>
      <c r="H69" s="2128">
        <v>837563</v>
      </c>
      <c r="I69" s="2128">
        <v>235628</v>
      </c>
      <c r="J69" s="2128">
        <v>-11357</v>
      </c>
      <c r="K69" s="2128">
        <v>239311</v>
      </c>
      <c r="L69" s="2128">
        <v>243993</v>
      </c>
      <c r="M69" s="2128">
        <v>4609249</v>
      </c>
      <c r="N69" s="2128">
        <v>4365256</v>
      </c>
      <c r="O69" s="2128">
        <v>-4683</v>
      </c>
      <c r="P69" s="2114">
        <v>1.6078565823662516</v>
      </c>
    </row>
    <row r="70" spans="1:17">
      <c r="A70" s="2116"/>
      <c r="B70" s="2117" t="s">
        <v>1054</v>
      </c>
      <c r="C70" s="2129">
        <v>5553051</v>
      </c>
      <c r="D70" s="2130">
        <v>3242269</v>
      </c>
      <c r="E70" s="2130">
        <v>184380</v>
      </c>
      <c r="F70" s="2130">
        <v>1055049</v>
      </c>
      <c r="G70" s="2130">
        <v>40145</v>
      </c>
      <c r="H70" s="2130">
        <v>782386</v>
      </c>
      <c r="I70" s="2130">
        <v>242118</v>
      </c>
      <c r="J70" s="2130">
        <v>-1059</v>
      </c>
      <c r="K70" s="2130">
        <v>7762</v>
      </c>
      <c r="L70" s="2130">
        <v>12355</v>
      </c>
      <c r="M70" s="2130">
        <v>4576127</v>
      </c>
      <c r="N70" s="2130">
        <v>4563772</v>
      </c>
      <c r="O70" s="2130">
        <v>-4593</v>
      </c>
      <c r="P70" s="2120">
        <v>1.093205261010864</v>
      </c>
    </row>
    <row r="71" spans="1:17">
      <c r="A71" s="2106" t="s">
        <v>1078</v>
      </c>
      <c r="B71" s="2107" t="s">
        <v>48</v>
      </c>
      <c r="C71" s="2121">
        <v>5428363</v>
      </c>
      <c r="D71" s="2122">
        <v>3231905</v>
      </c>
      <c r="E71" s="2122">
        <v>166721</v>
      </c>
      <c r="F71" s="2122">
        <v>845879</v>
      </c>
      <c r="G71" s="2122">
        <v>29880</v>
      </c>
      <c r="H71" s="2122">
        <v>838457</v>
      </c>
      <c r="I71" s="2122">
        <v>142032</v>
      </c>
      <c r="J71" s="2122">
        <v>5224</v>
      </c>
      <c r="K71" s="2122">
        <v>168265</v>
      </c>
      <c r="L71" s="2122">
        <v>363399</v>
      </c>
      <c r="M71" s="2122">
        <v>4633818</v>
      </c>
      <c r="N71" s="2122">
        <v>4270419</v>
      </c>
      <c r="O71" s="2122">
        <v>-195134</v>
      </c>
      <c r="P71" s="2109">
        <v>0.71382100198704945</v>
      </c>
      <c r="Q71" s="75" t="s">
        <v>1607</v>
      </c>
    </row>
    <row r="72" spans="1:17">
      <c r="A72" s="2111">
        <v>-2017</v>
      </c>
      <c r="B72" s="2112" t="s">
        <v>49</v>
      </c>
      <c r="C72" s="2125">
        <v>5482383</v>
      </c>
      <c r="D72" s="2126">
        <v>3259679</v>
      </c>
      <c r="E72" s="2126">
        <v>175276</v>
      </c>
      <c r="F72" s="2126">
        <v>926619</v>
      </c>
      <c r="G72" s="2126">
        <v>13061</v>
      </c>
      <c r="H72" s="2126">
        <v>775523</v>
      </c>
      <c r="I72" s="2126">
        <v>180437</v>
      </c>
      <c r="J72" s="2126">
        <v>3621</v>
      </c>
      <c r="K72" s="2126">
        <v>148167</v>
      </c>
      <c r="L72" s="2126">
        <v>345243</v>
      </c>
      <c r="M72" s="2126">
        <v>4660549</v>
      </c>
      <c r="N72" s="2126">
        <v>4315306</v>
      </c>
      <c r="O72" s="2126">
        <v>-197076</v>
      </c>
      <c r="P72" s="2114">
        <v>2.2608518579466228</v>
      </c>
    </row>
    <row r="73" spans="1:17">
      <c r="A73" s="2111"/>
      <c r="B73" s="2112" t="s">
        <v>50</v>
      </c>
      <c r="C73" s="2125">
        <v>5771178</v>
      </c>
      <c r="D73" s="2126">
        <v>3377524</v>
      </c>
      <c r="E73" s="2126">
        <v>189649</v>
      </c>
      <c r="F73" s="2126">
        <v>944928</v>
      </c>
      <c r="G73" s="2126">
        <v>-14789</v>
      </c>
      <c r="H73" s="2126">
        <v>848716</v>
      </c>
      <c r="I73" s="2126">
        <v>234483</v>
      </c>
      <c r="J73" s="2126">
        <v>968</v>
      </c>
      <c r="K73" s="2126">
        <v>189700</v>
      </c>
      <c r="L73" s="2126">
        <v>397157</v>
      </c>
      <c r="M73" s="2126">
        <v>5008783</v>
      </c>
      <c r="N73" s="2126">
        <v>4611627</v>
      </c>
      <c r="O73" s="2126">
        <v>-207457</v>
      </c>
      <c r="P73" s="2114">
        <v>1.9407112486511613</v>
      </c>
    </row>
    <row r="74" spans="1:17">
      <c r="A74" s="2111"/>
      <c r="B74" s="2131" t="s">
        <v>1079</v>
      </c>
      <c r="C74" s="2125">
        <v>5601347</v>
      </c>
      <c r="D74" s="2126">
        <v>3293967</v>
      </c>
      <c r="E74" s="2126">
        <v>174737</v>
      </c>
      <c r="F74" s="2126">
        <v>1081077</v>
      </c>
      <c r="G74" s="2126">
        <v>24477</v>
      </c>
      <c r="H74" s="2126">
        <v>793027</v>
      </c>
      <c r="I74" s="2126">
        <v>228296</v>
      </c>
      <c r="J74" s="2126">
        <v>4709</v>
      </c>
      <c r="K74" s="2126">
        <v>1057</v>
      </c>
      <c r="L74" s="2126">
        <v>202409</v>
      </c>
      <c r="M74" s="2126">
        <v>4852897</v>
      </c>
      <c r="N74" s="2126">
        <v>4650488</v>
      </c>
      <c r="O74" s="2126">
        <v>-201352</v>
      </c>
      <c r="P74" s="2120">
        <v>0.86972614382788072</v>
      </c>
    </row>
    <row r="75" spans="1:17">
      <c r="A75" s="2106" t="s">
        <v>1116</v>
      </c>
      <c r="B75" s="2132" t="s">
        <v>48</v>
      </c>
      <c r="C75" s="2121">
        <v>5507374</v>
      </c>
      <c r="D75" s="2122">
        <v>3254839</v>
      </c>
      <c r="E75" s="2122">
        <v>159888</v>
      </c>
      <c r="F75" s="2122">
        <v>866251</v>
      </c>
      <c r="G75" s="2122">
        <v>51127</v>
      </c>
      <c r="H75" s="2122">
        <v>845799</v>
      </c>
      <c r="I75" s="2122">
        <v>145959</v>
      </c>
      <c r="J75" s="2122">
        <v>-397</v>
      </c>
      <c r="K75" s="2122">
        <v>183908</v>
      </c>
      <c r="L75" s="2122">
        <v>486664</v>
      </c>
      <c r="M75" s="2122">
        <v>4895562</v>
      </c>
      <c r="N75" s="2122">
        <v>4408898</v>
      </c>
      <c r="O75" s="2122">
        <v>-302756</v>
      </c>
      <c r="P75" s="2109">
        <v>1.4555135530727448</v>
      </c>
      <c r="Q75" s="75" t="s">
        <v>1607</v>
      </c>
    </row>
    <row r="76" spans="1:17">
      <c r="A76" s="2111">
        <v>-2018</v>
      </c>
      <c r="B76" s="2133" t="s">
        <v>49</v>
      </c>
      <c r="C76" s="2127">
        <v>5439206</v>
      </c>
      <c r="D76" s="2128">
        <v>3293134</v>
      </c>
      <c r="E76" s="2128">
        <v>172164</v>
      </c>
      <c r="F76" s="2128">
        <v>912242</v>
      </c>
      <c r="G76" s="2128">
        <v>13486</v>
      </c>
      <c r="H76" s="2128">
        <v>778574</v>
      </c>
      <c r="I76" s="2128">
        <v>157061</v>
      </c>
      <c r="J76" s="2128">
        <v>-3983</v>
      </c>
      <c r="K76" s="2128">
        <v>116528</v>
      </c>
      <c r="L76" s="2128">
        <v>415537</v>
      </c>
      <c r="M76" s="2128">
        <v>4839772</v>
      </c>
      <c r="N76" s="2128">
        <v>4424235</v>
      </c>
      <c r="O76" s="2128">
        <v>-299009</v>
      </c>
      <c r="P76" s="2114">
        <v>-0.78757489879636122</v>
      </c>
    </row>
    <row r="77" spans="1:17">
      <c r="A77" s="2111"/>
      <c r="B77" s="2133" t="s">
        <v>50</v>
      </c>
      <c r="C77" s="2125">
        <v>5721936</v>
      </c>
      <c r="D77" s="2126">
        <v>3392748</v>
      </c>
      <c r="E77" s="2126">
        <v>174098</v>
      </c>
      <c r="F77" s="2126">
        <v>947778</v>
      </c>
      <c r="G77" s="2126">
        <v>-11615</v>
      </c>
      <c r="H77" s="2126">
        <v>859520</v>
      </c>
      <c r="I77" s="2126">
        <v>205273</v>
      </c>
      <c r="J77" s="2126">
        <v>-6374</v>
      </c>
      <c r="K77" s="2126">
        <v>160508</v>
      </c>
      <c r="L77" s="2126">
        <v>475059</v>
      </c>
      <c r="M77" s="2126">
        <v>5171481</v>
      </c>
      <c r="N77" s="2126">
        <v>4696422</v>
      </c>
      <c r="O77" s="2126">
        <v>-314551</v>
      </c>
      <c r="P77" s="2114">
        <v>-0.85324576777513783</v>
      </c>
    </row>
    <row r="78" spans="1:17">
      <c r="A78" s="2116"/>
      <c r="B78" s="2134" t="s">
        <v>1117</v>
      </c>
      <c r="C78" s="2118">
        <v>5569145</v>
      </c>
      <c r="D78" s="2119">
        <v>3287559</v>
      </c>
      <c r="E78" s="2119">
        <v>166281</v>
      </c>
      <c r="F78" s="2119">
        <v>1081325</v>
      </c>
      <c r="G78" s="2119">
        <v>32438</v>
      </c>
      <c r="H78" s="2119">
        <v>794727</v>
      </c>
      <c r="I78" s="2119">
        <v>235948</v>
      </c>
      <c r="J78" s="2119">
        <v>-2178</v>
      </c>
      <c r="K78" s="2119">
        <v>-26954</v>
      </c>
      <c r="L78" s="2119">
        <v>279198</v>
      </c>
      <c r="M78" s="2119">
        <v>4903693</v>
      </c>
      <c r="N78" s="2119">
        <v>4624495</v>
      </c>
      <c r="O78" s="2119">
        <v>-306152</v>
      </c>
      <c r="P78" s="2120">
        <v>-0.57489345080695564</v>
      </c>
    </row>
    <row r="79" spans="1:17">
      <c r="A79" s="2106" t="s">
        <v>1193</v>
      </c>
      <c r="B79" s="2132" t="s">
        <v>48</v>
      </c>
      <c r="C79" s="2121">
        <v>5580314</v>
      </c>
      <c r="D79" s="2122">
        <v>3281039</v>
      </c>
      <c r="E79" s="2122">
        <v>174415</v>
      </c>
      <c r="F79" s="2122">
        <v>872635</v>
      </c>
      <c r="G79" s="2122">
        <v>58383</v>
      </c>
      <c r="H79" s="2122">
        <v>868246</v>
      </c>
      <c r="I79" s="2122">
        <v>142789</v>
      </c>
      <c r="J79" s="2122">
        <v>10897</v>
      </c>
      <c r="K79" s="2122">
        <v>171910</v>
      </c>
      <c r="L79" s="2122">
        <v>605071</v>
      </c>
      <c r="M79" s="2122">
        <v>5028653</v>
      </c>
      <c r="N79" s="2122">
        <v>4423582</v>
      </c>
      <c r="O79" s="2122">
        <v>-433161</v>
      </c>
      <c r="P79" s="2109">
        <v>1.324419958621649</v>
      </c>
      <c r="Q79" s="75" t="s">
        <v>1607</v>
      </c>
    </row>
    <row r="80" spans="1:17">
      <c r="A80" s="2111">
        <v>-2019</v>
      </c>
      <c r="B80" s="2133" t="s">
        <v>49</v>
      </c>
      <c r="C80" s="2127">
        <v>5542266</v>
      </c>
      <c r="D80" s="2128">
        <v>3330272</v>
      </c>
      <c r="E80" s="2128">
        <v>181434</v>
      </c>
      <c r="F80" s="2128">
        <v>963067</v>
      </c>
      <c r="G80" s="2128">
        <v>-7404</v>
      </c>
      <c r="H80" s="2128">
        <v>809824</v>
      </c>
      <c r="I80" s="2128">
        <v>175146</v>
      </c>
      <c r="J80" s="2128">
        <v>4630</v>
      </c>
      <c r="K80" s="2128">
        <v>85296</v>
      </c>
      <c r="L80" s="2128">
        <v>515504</v>
      </c>
      <c r="M80" s="2128">
        <v>4956656</v>
      </c>
      <c r="N80" s="2128">
        <v>4441153</v>
      </c>
      <c r="O80" s="2128">
        <v>-430208</v>
      </c>
      <c r="P80" s="2114">
        <v>1.8947665793128838</v>
      </c>
    </row>
    <row r="81" spans="1:17">
      <c r="A81" s="2111"/>
      <c r="B81" s="2133" t="s">
        <v>50</v>
      </c>
      <c r="C81" s="2127">
        <v>5762372</v>
      </c>
      <c r="D81" s="2128">
        <v>3356401</v>
      </c>
      <c r="E81" s="2128">
        <v>183811</v>
      </c>
      <c r="F81" s="2128">
        <v>919944</v>
      </c>
      <c r="G81" s="2128">
        <v>21643</v>
      </c>
      <c r="H81" s="2128">
        <v>888850</v>
      </c>
      <c r="I81" s="2128">
        <v>246890</v>
      </c>
      <c r="J81" s="2128">
        <v>7397</v>
      </c>
      <c r="K81" s="2128">
        <v>137436</v>
      </c>
      <c r="L81" s="2128">
        <v>584729</v>
      </c>
      <c r="M81" s="2128">
        <v>5166268</v>
      </c>
      <c r="N81" s="2128">
        <v>4581539</v>
      </c>
      <c r="O81" s="2128">
        <v>-447293</v>
      </c>
      <c r="P81" s="2114">
        <v>0.70668717813388626</v>
      </c>
    </row>
    <row r="82" spans="1:17">
      <c r="A82" s="2116"/>
      <c r="B82" s="2134" t="s">
        <v>1130</v>
      </c>
      <c r="C82" s="2118">
        <v>5587883</v>
      </c>
      <c r="D82" s="2119">
        <v>3267906</v>
      </c>
      <c r="E82" s="2119">
        <v>181356</v>
      </c>
      <c r="F82" s="2119">
        <v>1081214</v>
      </c>
      <c r="G82" s="2119">
        <v>73863</v>
      </c>
      <c r="H82" s="2119">
        <v>821764</v>
      </c>
      <c r="I82" s="2119">
        <v>302489</v>
      </c>
      <c r="J82" s="2119">
        <v>12372</v>
      </c>
      <c r="K82" s="2119">
        <v>-153082</v>
      </c>
      <c r="L82" s="2119">
        <v>280667</v>
      </c>
      <c r="M82" s="2119">
        <v>4914404</v>
      </c>
      <c r="N82" s="2119">
        <v>4633737</v>
      </c>
      <c r="O82" s="2119">
        <v>-433748</v>
      </c>
      <c r="P82" s="2120">
        <v>0.33644806468230315</v>
      </c>
    </row>
    <row r="83" spans="1:17">
      <c r="A83" s="2106" t="s">
        <v>1192</v>
      </c>
      <c r="B83" s="2132" t="s">
        <v>48</v>
      </c>
      <c r="C83" s="2121">
        <v>5154235</v>
      </c>
      <c r="D83" s="2122">
        <v>3047300</v>
      </c>
      <c r="E83" s="2122">
        <v>158406</v>
      </c>
      <c r="F83" s="2122">
        <v>795206</v>
      </c>
      <c r="G83" s="2122">
        <v>-10723</v>
      </c>
      <c r="H83" s="2122">
        <v>847902</v>
      </c>
      <c r="I83" s="2122">
        <v>202337</v>
      </c>
      <c r="J83" s="2122">
        <v>-9899</v>
      </c>
      <c r="K83" s="2122">
        <v>123706</v>
      </c>
      <c r="L83" s="2122">
        <v>218082</v>
      </c>
      <c r="M83" s="2122">
        <v>4168122</v>
      </c>
      <c r="N83" s="2122">
        <v>3950040</v>
      </c>
      <c r="O83" s="2122">
        <v>-94377</v>
      </c>
      <c r="P83" s="2109">
        <v>-7.635398931404799</v>
      </c>
      <c r="Q83" s="75" t="s">
        <v>1607</v>
      </c>
    </row>
    <row r="84" spans="1:17">
      <c r="A84" s="2111">
        <v>-2020</v>
      </c>
      <c r="B84" s="2133" t="s">
        <v>49</v>
      </c>
      <c r="C84" s="2127">
        <v>5377488</v>
      </c>
      <c r="D84" s="2128">
        <v>3179194</v>
      </c>
      <c r="E84" s="2128">
        <v>160229</v>
      </c>
      <c r="F84" s="2128">
        <v>865129</v>
      </c>
      <c r="G84" s="2128">
        <v>-81109</v>
      </c>
      <c r="H84" s="2128">
        <v>816376</v>
      </c>
      <c r="I84" s="2128">
        <v>228961</v>
      </c>
      <c r="J84" s="2128">
        <v>-16604</v>
      </c>
      <c r="K84" s="2128">
        <v>225313</v>
      </c>
      <c r="L84" s="2128">
        <v>323777</v>
      </c>
      <c r="M84" s="2128">
        <v>4273930</v>
      </c>
      <c r="N84" s="2128">
        <v>3950153</v>
      </c>
      <c r="O84" s="2128">
        <v>-98465</v>
      </c>
      <c r="P84" s="2114">
        <v>-2.9731113817065835</v>
      </c>
    </row>
    <row r="85" spans="1:17">
      <c r="A85" s="2111"/>
      <c r="B85" s="2133" t="s">
        <v>50</v>
      </c>
      <c r="C85" s="2127">
        <v>5760015</v>
      </c>
      <c r="D85" s="2128">
        <v>3266056</v>
      </c>
      <c r="E85" s="2128">
        <v>173281</v>
      </c>
      <c r="F85" s="2128">
        <v>893219</v>
      </c>
      <c r="G85" s="2128">
        <v>-73904</v>
      </c>
      <c r="H85" s="2128">
        <v>894380</v>
      </c>
      <c r="I85" s="2128">
        <v>304710</v>
      </c>
      <c r="J85" s="2128">
        <v>-15918</v>
      </c>
      <c r="K85" s="2128">
        <v>318191</v>
      </c>
      <c r="L85" s="2128">
        <v>423660</v>
      </c>
      <c r="M85" s="2128">
        <v>4676603</v>
      </c>
      <c r="N85" s="2128">
        <v>4252943</v>
      </c>
      <c r="O85" s="2128">
        <v>-105469</v>
      </c>
      <c r="P85" s="2114">
        <v>-4.0906772199656098E-2</v>
      </c>
    </row>
    <row r="86" spans="1:17">
      <c r="A86" s="2116"/>
      <c r="B86" s="2134" t="s">
        <v>51</v>
      </c>
      <c r="C86" s="2129">
        <v>5604263</v>
      </c>
      <c r="D86" s="2130">
        <v>3170221</v>
      </c>
      <c r="E86" s="2130">
        <v>176618</v>
      </c>
      <c r="F86" s="2130">
        <v>1042692</v>
      </c>
      <c r="G86" s="2130">
        <v>-15265</v>
      </c>
      <c r="H86" s="2130">
        <v>826750</v>
      </c>
      <c r="I86" s="2130">
        <v>292115</v>
      </c>
      <c r="J86" s="2130">
        <v>-10332</v>
      </c>
      <c r="K86" s="2130">
        <v>121464</v>
      </c>
      <c r="L86" s="2130">
        <v>224081</v>
      </c>
      <c r="M86" s="2130">
        <v>4616353</v>
      </c>
      <c r="N86" s="2130">
        <v>4392272</v>
      </c>
      <c r="O86" s="2130">
        <v>-102617</v>
      </c>
      <c r="P86" s="2120">
        <v>0.29313856608769184</v>
      </c>
    </row>
    <row r="87" spans="1:17">
      <c r="A87" s="2106" t="s">
        <v>1232</v>
      </c>
      <c r="B87" s="2132" t="s">
        <v>48</v>
      </c>
      <c r="C87" s="2135">
        <v>5562274</v>
      </c>
      <c r="D87" s="2136">
        <v>3184216</v>
      </c>
      <c r="E87" s="2136">
        <v>177589</v>
      </c>
      <c r="F87" s="2136">
        <v>839631</v>
      </c>
      <c r="G87" s="2136">
        <v>6359</v>
      </c>
      <c r="H87" s="2136">
        <v>918029</v>
      </c>
      <c r="I87" s="2136">
        <v>175670</v>
      </c>
      <c r="J87" s="2136">
        <v>1926</v>
      </c>
      <c r="K87" s="2136">
        <v>258854</v>
      </c>
      <c r="L87" s="2136">
        <v>367453</v>
      </c>
      <c r="M87" s="2136">
        <v>4746092</v>
      </c>
      <c r="N87" s="2136">
        <v>4378639</v>
      </c>
      <c r="O87" s="2136">
        <v>-108599</v>
      </c>
      <c r="P87" s="2109">
        <v>7.9165751943417222</v>
      </c>
      <c r="Q87" s="75" t="s">
        <v>1607</v>
      </c>
    </row>
    <row r="88" spans="1:17">
      <c r="A88" s="2111">
        <v>-2021</v>
      </c>
      <c r="B88" s="2133" t="s">
        <v>49</v>
      </c>
      <c r="C88" s="2127">
        <v>5519021</v>
      </c>
      <c r="D88" s="2128">
        <v>3225113</v>
      </c>
      <c r="E88" s="2128">
        <v>195247</v>
      </c>
      <c r="F88" s="2128">
        <v>898291</v>
      </c>
      <c r="G88" s="2128">
        <v>-31259</v>
      </c>
      <c r="H88" s="2128">
        <v>868479</v>
      </c>
      <c r="I88" s="2128">
        <v>204123</v>
      </c>
      <c r="J88" s="2128">
        <v>-1658</v>
      </c>
      <c r="K88" s="2128">
        <v>160685</v>
      </c>
      <c r="L88" s="2128">
        <v>268439</v>
      </c>
      <c r="M88" s="2128">
        <v>4728294</v>
      </c>
      <c r="N88" s="2128">
        <v>4459855</v>
      </c>
      <c r="O88" s="2128">
        <v>-107755</v>
      </c>
      <c r="P88" s="2114">
        <v>2.6319535111530601</v>
      </c>
    </row>
    <row r="89" spans="1:17">
      <c r="A89" s="2111"/>
      <c r="B89" s="2133" t="s">
        <v>50</v>
      </c>
      <c r="C89" s="2127">
        <v>5856115</v>
      </c>
      <c r="D89" s="2128">
        <v>3390596</v>
      </c>
      <c r="E89" s="2128">
        <v>207220</v>
      </c>
      <c r="F89" s="2128">
        <v>919818</v>
      </c>
      <c r="G89" s="2128">
        <v>-48083</v>
      </c>
      <c r="H89" s="2128">
        <v>942856</v>
      </c>
      <c r="I89" s="2128">
        <v>282122</v>
      </c>
      <c r="J89" s="2128">
        <v>-3260</v>
      </c>
      <c r="K89" s="2128">
        <v>164847</v>
      </c>
      <c r="L89" s="2128">
        <v>279183</v>
      </c>
      <c r="M89" s="2128">
        <v>5107047</v>
      </c>
      <c r="N89" s="2128">
        <v>4827865</v>
      </c>
      <c r="O89" s="2128">
        <v>-114336</v>
      </c>
      <c r="P89" s="2114">
        <v>1.6684013062852405</v>
      </c>
    </row>
    <row r="90" spans="1:17">
      <c r="A90" s="2116"/>
      <c r="B90" s="2134" t="s">
        <v>52</v>
      </c>
      <c r="C90" s="2129">
        <v>5659483</v>
      </c>
      <c r="D90" s="2130">
        <v>3282854</v>
      </c>
      <c r="E90" s="2130">
        <v>181584</v>
      </c>
      <c r="F90" s="2130">
        <v>1067883</v>
      </c>
      <c r="G90" s="2130">
        <v>11734</v>
      </c>
      <c r="H90" s="2130">
        <v>873608</v>
      </c>
      <c r="I90" s="2130">
        <v>331248</v>
      </c>
      <c r="J90" s="2130">
        <v>2438</v>
      </c>
      <c r="K90" s="2130">
        <v>-91865</v>
      </c>
      <c r="L90" s="2130">
        <v>18632</v>
      </c>
      <c r="M90" s="2130">
        <v>5024946</v>
      </c>
      <c r="N90" s="2130">
        <v>5006314</v>
      </c>
      <c r="O90" s="2130">
        <v>-110497</v>
      </c>
      <c r="P90" s="2120">
        <v>0.98532815845142041</v>
      </c>
    </row>
    <row r="91" spans="1:17">
      <c r="A91" s="2106" t="s">
        <v>1545</v>
      </c>
      <c r="B91" s="2132" t="s">
        <v>48</v>
      </c>
      <c r="C91" s="2135">
        <v>5707584</v>
      </c>
      <c r="D91" s="2136">
        <v>3375142</v>
      </c>
      <c r="E91" s="2136">
        <v>176971</v>
      </c>
      <c r="F91" s="2136">
        <v>944916</v>
      </c>
      <c r="G91" s="2136">
        <v>48258</v>
      </c>
      <c r="H91" s="2136">
        <v>933880</v>
      </c>
      <c r="I91" s="2136">
        <v>182523</v>
      </c>
      <c r="J91" s="2136">
        <v>9274</v>
      </c>
      <c r="K91" s="2136">
        <v>36621</v>
      </c>
      <c r="L91" s="2136">
        <v>212691</v>
      </c>
      <c r="M91" s="2136">
        <v>5278927</v>
      </c>
      <c r="N91" s="2136">
        <v>5066235</v>
      </c>
      <c r="O91" s="2136">
        <v>-176071</v>
      </c>
      <c r="P91" s="2109">
        <v>2.6124139334450507</v>
      </c>
    </row>
    <row r="92" spans="1:17">
      <c r="A92" s="2111">
        <v>-2022</v>
      </c>
      <c r="B92" s="2133" t="s">
        <v>49</v>
      </c>
      <c r="C92" s="2127">
        <v>5640671</v>
      </c>
      <c r="D92" s="2128">
        <v>3414358</v>
      </c>
      <c r="E92" s="2128">
        <v>187967</v>
      </c>
      <c r="F92" s="2128">
        <v>1022417</v>
      </c>
      <c r="G92" s="2128">
        <v>33809</v>
      </c>
      <c r="H92" s="2128">
        <v>879222</v>
      </c>
      <c r="I92" s="2128">
        <v>178341</v>
      </c>
      <c r="J92" s="2128">
        <v>7897</v>
      </c>
      <c r="K92" s="2128">
        <v>-83341</v>
      </c>
      <c r="L92" s="2128">
        <v>90665</v>
      </c>
      <c r="M92" s="2128">
        <v>5384198</v>
      </c>
      <c r="N92" s="2128">
        <v>5293533</v>
      </c>
      <c r="O92" s="2128">
        <v>-174006</v>
      </c>
      <c r="P92" s="2114">
        <v>2.2041934793265709</v>
      </c>
    </row>
    <row r="93" spans="1:17">
      <c r="A93" s="2111"/>
      <c r="B93" s="2133" t="s">
        <v>50</v>
      </c>
      <c r="C93" s="2127">
        <v>6063264</v>
      </c>
      <c r="D93" s="2128">
        <v>3550629</v>
      </c>
      <c r="E93" s="2128">
        <v>194397</v>
      </c>
      <c r="F93" s="2128">
        <v>1046253</v>
      </c>
      <c r="G93" s="2128">
        <v>51496</v>
      </c>
      <c r="H93" s="2128">
        <v>962502</v>
      </c>
      <c r="I93" s="2128">
        <v>241505</v>
      </c>
      <c r="J93" s="2128">
        <v>9582</v>
      </c>
      <c r="K93" s="2128">
        <v>6901</v>
      </c>
      <c r="L93" s="2128">
        <v>193944</v>
      </c>
      <c r="M93" s="2128">
        <v>5739458</v>
      </c>
      <c r="N93" s="2128">
        <v>5545514</v>
      </c>
      <c r="O93" s="2128">
        <v>-187043</v>
      </c>
      <c r="P93" s="2114">
        <v>3.5373100049770398</v>
      </c>
    </row>
    <row r="94" spans="1:17">
      <c r="A94" s="2116"/>
      <c r="B94" s="2134" t="s">
        <v>1572</v>
      </c>
      <c r="C94" s="2129">
        <v>5950599</v>
      </c>
      <c r="D94" s="2130">
        <v>3485134</v>
      </c>
      <c r="E94" s="2130">
        <v>186405</v>
      </c>
      <c r="F94" s="2130">
        <v>1207449</v>
      </c>
      <c r="G94" s="2130">
        <v>119199</v>
      </c>
      <c r="H94" s="2130">
        <v>910306</v>
      </c>
      <c r="I94" s="2130">
        <v>314155</v>
      </c>
      <c r="J94" s="2130">
        <v>16032</v>
      </c>
      <c r="K94" s="2130">
        <v>-288079</v>
      </c>
      <c r="L94" s="2130">
        <v>-104512</v>
      </c>
      <c r="M94" s="2130">
        <v>5460116</v>
      </c>
      <c r="N94" s="2130">
        <v>5564628</v>
      </c>
      <c r="O94" s="2130">
        <v>-183567</v>
      </c>
      <c r="P94" s="2120">
        <v>5.143865214575789</v>
      </c>
    </row>
    <row r="95" spans="1:17">
      <c r="A95" s="2106" t="s">
        <v>1589</v>
      </c>
      <c r="B95" s="2107" t="s">
        <v>48</v>
      </c>
      <c r="C95" s="2135">
        <v>5884213</v>
      </c>
      <c r="D95" s="2136">
        <v>3455400</v>
      </c>
      <c r="E95" s="2136">
        <v>184875</v>
      </c>
      <c r="F95" s="2136">
        <v>1047882</v>
      </c>
      <c r="G95" s="2136">
        <v>64757</v>
      </c>
      <c r="H95" s="2136">
        <v>932899</v>
      </c>
      <c r="I95" s="2136">
        <v>165642</v>
      </c>
      <c r="J95" s="2136">
        <v>2757</v>
      </c>
      <c r="K95" s="2136">
        <v>30001</v>
      </c>
      <c r="L95" s="2136">
        <v>208148</v>
      </c>
      <c r="M95" s="2136">
        <v>5348964</v>
      </c>
      <c r="N95" s="2136">
        <v>5140816</v>
      </c>
      <c r="O95" s="2136">
        <v>-178147</v>
      </c>
      <c r="P95" s="2137">
        <v>3.0946436479240629</v>
      </c>
    </row>
    <row r="96" spans="1:17">
      <c r="A96" s="2111">
        <v>-2023</v>
      </c>
      <c r="B96" s="2112" t="s">
        <v>49</v>
      </c>
      <c r="C96" s="2127">
        <v>5870446</v>
      </c>
      <c r="D96" s="2128">
        <v>3469367</v>
      </c>
      <c r="E96" s="2128">
        <v>197050</v>
      </c>
      <c r="F96" s="2128">
        <v>1113903</v>
      </c>
      <c r="G96" s="2128">
        <v>-7967</v>
      </c>
      <c r="H96" s="2128">
        <v>882865</v>
      </c>
      <c r="I96" s="2128">
        <v>181482</v>
      </c>
      <c r="J96" s="2128">
        <v>-4171</v>
      </c>
      <c r="K96" s="2128">
        <v>37916</v>
      </c>
      <c r="L96" s="2128">
        <v>215646</v>
      </c>
      <c r="M96" s="2128">
        <v>5375865</v>
      </c>
      <c r="N96" s="2128">
        <v>5160219</v>
      </c>
      <c r="O96" s="2128">
        <v>-177730</v>
      </c>
      <c r="P96" s="2114">
        <v>4.0735449863650475</v>
      </c>
    </row>
    <row r="97" spans="1:16">
      <c r="A97" s="2111"/>
      <c r="B97" s="2112" t="s">
        <v>50</v>
      </c>
      <c r="C97" s="2127">
        <v>6240501</v>
      </c>
      <c r="D97" s="2128">
        <v>3586414</v>
      </c>
      <c r="E97" s="2128">
        <v>206517</v>
      </c>
      <c r="F97" s="2128">
        <v>1171725</v>
      </c>
      <c r="G97" s="2128">
        <v>-14762</v>
      </c>
      <c r="H97" s="2128">
        <v>953532</v>
      </c>
      <c r="I97" s="2128">
        <v>275904</v>
      </c>
      <c r="J97" s="2128">
        <v>-4818</v>
      </c>
      <c r="K97" s="2128">
        <v>65988</v>
      </c>
      <c r="L97" s="2128">
        <v>254921</v>
      </c>
      <c r="M97" s="2128">
        <v>5802729</v>
      </c>
      <c r="N97" s="2128">
        <v>5547808</v>
      </c>
      <c r="O97" s="2128">
        <v>-188933</v>
      </c>
      <c r="P97" s="2114">
        <v>2.9231202670203724</v>
      </c>
    </row>
    <row r="98" spans="1:16">
      <c r="A98" s="2116"/>
      <c r="B98" s="2117" t="s">
        <v>1590</v>
      </c>
      <c r="C98" s="2129">
        <v>5994380</v>
      </c>
      <c r="D98" s="2130">
        <v>3513384</v>
      </c>
      <c r="E98" s="2130">
        <v>189019</v>
      </c>
      <c r="F98" s="2130">
        <v>1308294</v>
      </c>
      <c r="G98" s="2130">
        <v>-45014</v>
      </c>
      <c r="H98" s="2130">
        <v>892765</v>
      </c>
      <c r="I98" s="2130">
        <v>275436</v>
      </c>
      <c r="J98" s="2130">
        <v>-7700</v>
      </c>
      <c r="K98" s="2130">
        <v>-131804</v>
      </c>
      <c r="L98" s="2130">
        <v>49678</v>
      </c>
      <c r="M98" s="2130">
        <v>5500775</v>
      </c>
      <c r="N98" s="2130">
        <v>5451096</v>
      </c>
      <c r="O98" s="2130">
        <v>-181482</v>
      </c>
      <c r="P98" s="2120">
        <v>0.73573262293357167</v>
      </c>
    </row>
    <row r="99" spans="1:16">
      <c r="A99" s="2106" t="s">
        <v>1720</v>
      </c>
      <c r="B99" s="2107" t="s">
        <v>48</v>
      </c>
      <c r="C99" s="2135">
        <v>6022410</v>
      </c>
      <c r="D99" s="2136">
        <v>3513095</v>
      </c>
      <c r="E99" s="2136">
        <v>182716</v>
      </c>
      <c r="F99" s="2136">
        <v>1096429</v>
      </c>
      <c r="G99" s="2136">
        <v>1468</v>
      </c>
      <c r="H99" s="2136">
        <v>976097</v>
      </c>
      <c r="I99" s="2136">
        <v>208163</v>
      </c>
      <c r="J99" s="2136">
        <v>-3272</v>
      </c>
      <c r="K99" s="2136">
        <v>47715</v>
      </c>
      <c r="L99" s="2136">
        <v>225861</v>
      </c>
      <c r="M99" s="2136">
        <v>5637393</v>
      </c>
      <c r="N99" s="2136">
        <v>5411531</v>
      </c>
      <c r="O99" s="2136">
        <v>-178147</v>
      </c>
      <c r="P99" s="2109">
        <v>2.348606469458733</v>
      </c>
    </row>
    <row r="100" spans="1:16">
      <c r="A100" s="2111">
        <v>-2024</v>
      </c>
      <c r="B100" s="2112" t="s">
        <v>49</v>
      </c>
      <c r="C100" s="2127">
        <v>6035008</v>
      </c>
      <c r="D100" s="2128">
        <v>3538675</v>
      </c>
      <c r="E100" s="2128">
        <v>194273</v>
      </c>
      <c r="F100" s="2128">
        <v>1163246</v>
      </c>
      <c r="G100" s="2128">
        <v>11630</v>
      </c>
      <c r="H100" s="2128">
        <v>924328</v>
      </c>
      <c r="I100" s="2128">
        <v>222363</v>
      </c>
      <c r="J100" s="2128">
        <v>-2304</v>
      </c>
      <c r="K100" s="2128">
        <v>-17202</v>
      </c>
      <c r="L100" s="2128">
        <v>160528</v>
      </c>
      <c r="M100" s="2128">
        <v>5624534</v>
      </c>
      <c r="N100" s="2128">
        <v>5464006</v>
      </c>
      <c r="O100" s="2128">
        <v>-177730</v>
      </c>
      <c r="P100" s="2114">
        <v>2.8032271875159545</v>
      </c>
    </row>
    <row r="101" spans="1:16">
      <c r="A101" s="2111"/>
      <c r="B101" s="2138" t="s">
        <v>50</v>
      </c>
      <c r="C101" s="2139">
        <v>6449817</v>
      </c>
      <c r="D101" s="2140">
        <v>3654614</v>
      </c>
      <c r="E101" s="2140">
        <v>199691</v>
      </c>
      <c r="F101" s="2140">
        <v>1195505</v>
      </c>
      <c r="G101" s="2140">
        <v>-16293</v>
      </c>
      <c r="H101" s="2140">
        <v>1002650</v>
      </c>
      <c r="I101" s="2140">
        <v>234493</v>
      </c>
      <c r="J101" s="2140">
        <v>-4964</v>
      </c>
      <c r="K101" s="2140">
        <v>184121</v>
      </c>
      <c r="L101" s="2140">
        <v>373055</v>
      </c>
      <c r="M101" s="2140">
        <v>5974222</v>
      </c>
      <c r="N101" s="2140">
        <v>5601167</v>
      </c>
      <c r="O101" s="2140">
        <v>-188933</v>
      </c>
      <c r="P101" s="2114">
        <v>3.3541613951925502</v>
      </c>
    </row>
    <row r="102" spans="1:16">
      <c r="A102" s="2116"/>
      <c r="B102" s="2117" t="s">
        <v>1721</v>
      </c>
      <c r="C102" s="2129">
        <v>6257326</v>
      </c>
      <c r="D102" s="2130">
        <v>3641731</v>
      </c>
      <c r="E102" s="2130">
        <v>189476</v>
      </c>
      <c r="F102" s="2130">
        <v>1367725</v>
      </c>
      <c r="G102" s="2130">
        <v>-11247</v>
      </c>
      <c r="H102" s="2130">
        <v>931066</v>
      </c>
      <c r="I102" s="2130">
        <v>254936</v>
      </c>
      <c r="J102" s="2130">
        <v>-4483</v>
      </c>
      <c r="K102" s="2130">
        <v>-111877</v>
      </c>
      <c r="L102" s="2130">
        <v>69605</v>
      </c>
      <c r="M102" s="2130">
        <v>5802462</v>
      </c>
      <c r="N102" s="2130">
        <v>5732857</v>
      </c>
      <c r="O102" s="2130">
        <v>-181482</v>
      </c>
      <c r="P102" s="2120">
        <v>4.3865491679648168</v>
      </c>
    </row>
    <row r="103" spans="1:16">
      <c r="A103" s="2106" t="s">
        <v>1779</v>
      </c>
      <c r="B103" s="2107" t="s">
        <v>48</v>
      </c>
      <c r="C103" s="2135">
        <v>6297887</v>
      </c>
      <c r="D103" s="2136">
        <v>3618605</v>
      </c>
      <c r="E103" s="2136">
        <v>191420</v>
      </c>
      <c r="F103" s="2136">
        <v>1140789</v>
      </c>
      <c r="G103" s="2136">
        <v>17451</v>
      </c>
      <c r="H103" s="2136">
        <v>1023910</v>
      </c>
      <c r="I103" s="2136">
        <v>178538</v>
      </c>
      <c r="J103" s="2136">
        <v>-1917</v>
      </c>
      <c r="K103" s="2136">
        <v>129090</v>
      </c>
      <c r="L103" s="2136">
        <v>307237</v>
      </c>
      <c r="M103" s="2136">
        <v>5802715</v>
      </c>
      <c r="N103" s="2136">
        <v>5495478</v>
      </c>
      <c r="O103" s="2136">
        <v>-178147</v>
      </c>
      <c r="P103" s="2109">
        <v>4.5741927849984414</v>
      </c>
    </row>
    <row r="104" spans="1:16">
      <c r="A104" s="2111">
        <v>-2025</v>
      </c>
      <c r="B104" s="2112" t="s">
        <v>49</v>
      </c>
      <c r="C104" s="2127">
        <v>6248134</v>
      </c>
      <c r="D104" s="2128">
        <v>3700787</v>
      </c>
      <c r="E104" s="2128">
        <v>187654</v>
      </c>
      <c r="F104" s="2128">
        <v>1206026</v>
      </c>
      <c r="G104" s="2128">
        <v>5161</v>
      </c>
      <c r="H104" s="2128">
        <v>962808</v>
      </c>
      <c r="I104" s="2128">
        <v>201276</v>
      </c>
      <c r="J104" s="2128">
        <v>-3016</v>
      </c>
      <c r="K104" s="2128">
        <v>-12562</v>
      </c>
      <c r="L104" s="2128">
        <v>165168</v>
      </c>
      <c r="M104" s="2128">
        <v>5760164</v>
      </c>
      <c r="N104" s="2128">
        <v>5594996</v>
      </c>
      <c r="O104" s="2128">
        <v>-177730</v>
      </c>
      <c r="P104" s="2114">
        <v>3.5314972750703202</v>
      </c>
    </row>
    <row r="105" spans="1:16">
      <c r="A105" s="2111"/>
      <c r="B105" s="2138" t="s">
        <v>50</v>
      </c>
      <c r="C105" s="2127">
        <v>6651396</v>
      </c>
      <c r="D105" s="2128">
        <v>3763341</v>
      </c>
      <c r="E105" s="2128">
        <v>196537</v>
      </c>
      <c r="F105" s="2128">
        <v>1269609</v>
      </c>
      <c r="G105" s="2128">
        <v>-20855</v>
      </c>
      <c r="H105" s="2128">
        <v>1045924</v>
      </c>
      <c r="I105" s="2128">
        <v>221142</v>
      </c>
      <c r="J105" s="2128">
        <v>-5343</v>
      </c>
      <c r="K105" s="2128">
        <v>181040</v>
      </c>
      <c r="L105" s="2128">
        <v>369973</v>
      </c>
      <c r="M105" s="2128">
        <v>6172517</v>
      </c>
      <c r="N105" s="2128">
        <v>5802544</v>
      </c>
      <c r="O105" s="2128">
        <v>-188933</v>
      </c>
      <c r="P105" s="2114">
        <v>3.1253401789681288</v>
      </c>
    </row>
    <row r="106" spans="1:16">
      <c r="A106" s="2116"/>
      <c r="B106" s="2117" t="s">
        <v>1780</v>
      </c>
      <c r="C106" s="2129"/>
      <c r="D106" s="2130"/>
      <c r="E106" s="2130"/>
      <c r="F106" s="2130"/>
      <c r="G106" s="2130"/>
      <c r="H106" s="2130"/>
      <c r="I106" s="2130"/>
      <c r="J106" s="2130"/>
      <c r="K106" s="2130"/>
      <c r="L106" s="2130"/>
      <c r="M106" s="2130"/>
      <c r="N106" s="2130"/>
      <c r="O106" s="2130"/>
      <c r="P106" s="2120"/>
    </row>
    <row r="107" spans="1:16">
      <c r="A107" s="2049" t="s">
        <v>63</v>
      </c>
      <c r="B107" s="2049"/>
      <c r="C107" s="2126"/>
      <c r="D107" s="2126"/>
      <c r="E107" s="2126"/>
      <c r="F107" s="2126"/>
      <c r="G107" s="2126"/>
      <c r="H107" s="2126"/>
      <c r="I107" s="2126"/>
      <c r="J107" s="2126"/>
      <c r="K107" s="2141"/>
      <c r="L107" s="2141"/>
      <c r="M107" s="2141"/>
      <c r="N107" s="2126"/>
      <c r="O107" s="2126" t="s">
        <v>11</v>
      </c>
      <c r="P107" s="2142"/>
    </row>
    <row r="110" spans="1:16">
      <c r="A110" s="2143" t="s">
        <v>988</v>
      </c>
      <c r="B110" s="133"/>
      <c r="C110" s="133"/>
      <c r="D110" s="133"/>
      <c r="E110" s="133"/>
      <c r="F110" s="133"/>
      <c r="G110" s="133"/>
      <c r="H110" s="133"/>
      <c r="I110" s="133"/>
      <c r="J110" s="133"/>
      <c r="K110" s="2144" t="s">
        <v>284</v>
      </c>
      <c r="L110" s="2144"/>
      <c r="M110" s="737"/>
      <c r="N110" s="737"/>
      <c r="O110" s="737"/>
    </row>
    <row r="111" spans="1:16">
      <c r="A111" s="2145" t="s">
        <v>981</v>
      </c>
      <c r="B111" s="2146"/>
      <c r="C111" s="2146" t="s">
        <v>989</v>
      </c>
      <c r="D111" s="207" t="s">
        <v>964</v>
      </c>
      <c r="E111" s="207" t="s">
        <v>965</v>
      </c>
      <c r="F111" s="207" t="s">
        <v>966</v>
      </c>
      <c r="G111" s="207" t="s">
        <v>967</v>
      </c>
      <c r="H111" s="207" t="s">
        <v>968</v>
      </c>
      <c r="I111" s="207" t="s">
        <v>969</v>
      </c>
      <c r="J111" s="207" t="s">
        <v>970</v>
      </c>
      <c r="K111" s="2147" t="s">
        <v>971</v>
      </c>
      <c r="L111" s="2147"/>
      <c r="M111" s="739"/>
      <c r="N111" s="739"/>
      <c r="O111" s="739"/>
      <c r="P111" s="2148" t="s">
        <v>27</v>
      </c>
    </row>
    <row r="112" spans="1:16">
      <c r="A112" s="2149" t="s">
        <v>972</v>
      </c>
      <c r="B112" s="2150"/>
      <c r="C112" s="2150"/>
      <c r="D112" s="2151" t="s">
        <v>973</v>
      </c>
      <c r="E112" s="2151"/>
      <c r="F112" s="2151" t="s">
        <v>974</v>
      </c>
      <c r="G112" s="2151" t="s">
        <v>975</v>
      </c>
      <c r="H112" s="2151" t="s">
        <v>973</v>
      </c>
      <c r="I112" s="2151" t="s">
        <v>976</v>
      </c>
      <c r="J112" s="2151" t="s">
        <v>975</v>
      </c>
      <c r="K112" s="2151" t="s">
        <v>977</v>
      </c>
      <c r="L112" s="2151" t="s">
        <v>487</v>
      </c>
      <c r="M112" s="132" t="s">
        <v>978</v>
      </c>
      <c r="N112" s="132" t="s">
        <v>979</v>
      </c>
      <c r="O112" s="132" t="s">
        <v>980</v>
      </c>
      <c r="P112" s="2152" t="s">
        <v>80</v>
      </c>
    </row>
    <row r="113" spans="1:16" hidden="1">
      <c r="A113" s="2153" t="s">
        <v>885</v>
      </c>
      <c r="B113" s="2154">
        <v>1990</v>
      </c>
      <c r="C113" s="2155">
        <v>19351958.412774645</v>
      </c>
      <c r="D113" s="535">
        <v>9351505.4849999994</v>
      </c>
      <c r="E113" s="535">
        <v>1093219</v>
      </c>
      <c r="F113" s="535">
        <v>3724294.9999999995</v>
      </c>
      <c r="G113" s="535">
        <v>272915.00000000012</v>
      </c>
      <c r="H113" s="535">
        <v>2280682.6320000002</v>
      </c>
      <c r="I113" s="535">
        <v>1318549.295774648</v>
      </c>
      <c r="J113" s="535">
        <v>3716.9999999998922</v>
      </c>
      <c r="K113" s="535">
        <v>1307074.9999999986</v>
      </c>
      <c r="L113" s="535">
        <v>195389.9999999986</v>
      </c>
      <c r="M113" s="535">
        <v>15987319</v>
      </c>
      <c r="N113" s="535">
        <v>15791929</v>
      </c>
      <c r="O113" s="535">
        <v>1111685</v>
      </c>
      <c r="P113" s="2156" t="s">
        <v>878</v>
      </c>
    </row>
    <row r="114" spans="1:16" hidden="1">
      <c r="A114" s="2157" t="s">
        <v>886</v>
      </c>
      <c r="B114" s="2158">
        <v>1991</v>
      </c>
      <c r="C114" s="2159">
        <v>20444381.137038227</v>
      </c>
      <c r="D114" s="536">
        <v>10039342.68</v>
      </c>
      <c r="E114" s="536">
        <v>966128.99999999988</v>
      </c>
      <c r="F114" s="536">
        <v>3756398.0000000005</v>
      </c>
      <c r="G114" s="536">
        <v>343820.00000000006</v>
      </c>
      <c r="H114" s="536">
        <v>2402530.284</v>
      </c>
      <c r="I114" s="536">
        <v>1552362.1730382293</v>
      </c>
      <c r="J114" s="536">
        <v>2650.9999999999486</v>
      </c>
      <c r="K114" s="536">
        <v>1381148.0000000005</v>
      </c>
      <c r="L114" s="536">
        <v>624819.00000000047</v>
      </c>
      <c r="M114" s="536">
        <v>16571985</v>
      </c>
      <c r="N114" s="536">
        <v>15947166</v>
      </c>
      <c r="O114" s="536">
        <v>756329.00000000012</v>
      </c>
      <c r="P114" s="2081">
        <f t="shared" ref="P114:P123" si="0">ROUND((C114-C113)/C113*100,1)</f>
        <v>5.6</v>
      </c>
    </row>
    <row r="115" spans="1:16" hidden="1">
      <c r="A115" s="2157" t="s">
        <v>887</v>
      </c>
      <c r="B115" s="2158">
        <v>1992</v>
      </c>
      <c r="C115" s="2159">
        <v>20783492.364470825</v>
      </c>
      <c r="D115" s="536">
        <v>10338964.83</v>
      </c>
      <c r="E115" s="536">
        <v>924571</v>
      </c>
      <c r="F115" s="536">
        <v>3764595.9999999995</v>
      </c>
      <c r="G115" s="536">
        <v>-8143.99999999998</v>
      </c>
      <c r="H115" s="536">
        <v>2544666.4559999998</v>
      </c>
      <c r="I115" s="536">
        <v>1624513.0784708252</v>
      </c>
      <c r="J115" s="536">
        <v>-2526.0000000000255</v>
      </c>
      <c r="K115" s="536">
        <v>1596850.9999999991</v>
      </c>
      <c r="L115" s="536">
        <v>601707.99999999907</v>
      </c>
      <c r="M115" s="536">
        <v>16082440</v>
      </c>
      <c r="N115" s="536">
        <v>15480732.000000002</v>
      </c>
      <c r="O115" s="536">
        <v>995143.00000000012</v>
      </c>
      <c r="P115" s="2081">
        <f t="shared" si="0"/>
        <v>1.7</v>
      </c>
    </row>
    <row r="116" spans="1:16" hidden="1">
      <c r="A116" s="2157" t="s">
        <v>888</v>
      </c>
      <c r="B116" s="2158">
        <v>1993</v>
      </c>
      <c r="C116" s="2159">
        <v>21316294.998464786</v>
      </c>
      <c r="D116" s="536">
        <v>10594172.024999999</v>
      </c>
      <c r="E116" s="536">
        <v>976670.00000000012</v>
      </c>
      <c r="F116" s="536">
        <v>3335923.0000000005</v>
      </c>
      <c r="G116" s="536">
        <v>-52992.999999999949</v>
      </c>
      <c r="H116" s="536">
        <v>2653245.3960000002</v>
      </c>
      <c r="I116" s="536">
        <v>1949429.5774647885</v>
      </c>
      <c r="J116" s="536">
        <v>-2041.0000000000655</v>
      </c>
      <c r="K116" s="536">
        <v>1861888.9999999988</v>
      </c>
      <c r="L116" s="536">
        <v>588934.99999999907</v>
      </c>
      <c r="M116" s="536">
        <v>15656135</v>
      </c>
      <c r="N116" s="536">
        <v>15067200.000000002</v>
      </c>
      <c r="O116" s="536">
        <v>1272954</v>
      </c>
      <c r="P116" s="2081">
        <f t="shared" si="0"/>
        <v>2.6</v>
      </c>
    </row>
    <row r="117" spans="1:16" hidden="1">
      <c r="A117" s="2157" t="s">
        <v>889</v>
      </c>
      <c r="B117" s="2158">
        <v>1994</v>
      </c>
      <c r="C117" s="2159">
        <v>20901508.78788732</v>
      </c>
      <c r="D117" s="536">
        <v>10479561.299999999</v>
      </c>
      <c r="E117" s="536">
        <v>1058111</v>
      </c>
      <c r="F117" s="536">
        <v>3299324.0000000005</v>
      </c>
      <c r="G117" s="536">
        <v>16518.999999999978</v>
      </c>
      <c r="H117" s="536">
        <v>2868519.84</v>
      </c>
      <c r="I117" s="536">
        <v>1598774.647887324</v>
      </c>
      <c r="J117" s="536">
        <v>-182.99999999997817</v>
      </c>
      <c r="K117" s="536">
        <v>1580882.0000000002</v>
      </c>
      <c r="L117" s="536">
        <v>-454451</v>
      </c>
      <c r="M117" s="536">
        <v>14793337</v>
      </c>
      <c r="N117" s="536">
        <v>15247788.000000002</v>
      </c>
      <c r="O117" s="536">
        <v>2035333.0000000002</v>
      </c>
      <c r="P117" s="2081">
        <f t="shared" si="0"/>
        <v>-1.9</v>
      </c>
    </row>
    <row r="118" spans="1:16" hidden="1">
      <c r="A118" s="2157" t="s">
        <v>890</v>
      </c>
      <c r="B118" s="2158">
        <v>1995</v>
      </c>
      <c r="C118" s="2159">
        <v>22097914.732899394</v>
      </c>
      <c r="D118" s="536">
        <v>10550993.895</v>
      </c>
      <c r="E118" s="536">
        <v>1627945</v>
      </c>
      <c r="F118" s="536">
        <v>3780238</v>
      </c>
      <c r="G118" s="536">
        <v>122899</v>
      </c>
      <c r="H118" s="536">
        <v>3097015.1880000001</v>
      </c>
      <c r="I118" s="536">
        <v>2375941.6498993966</v>
      </c>
      <c r="J118" s="536">
        <v>1361.0000000000036</v>
      </c>
      <c r="K118" s="536">
        <v>541520.9999999986</v>
      </c>
      <c r="L118" s="536">
        <v>-1586031.0000000014</v>
      </c>
      <c r="M118" s="536">
        <v>14883227</v>
      </c>
      <c r="N118" s="536">
        <v>16469258.000000002</v>
      </c>
      <c r="O118" s="536">
        <v>2127552</v>
      </c>
      <c r="P118" s="2081">
        <f t="shared" si="0"/>
        <v>5.7</v>
      </c>
    </row>
    <row r="119" spans="1:16" hidden="1">
      <c r="A119" s="2157" t="s">
        <v>891</v>
      </c>
      <c r="B119" s="2158">
        <v>1996</v>
      </c>
      <c r="C119" s="2159">
        <v>21626051.956424553</v>
      </c>
      <c r="D119" s="536">
        <v>10980634.814999999</v>
      </c>
      <c r="E119" s="536">
        <v>1742754.0000000002</v>
      </c>
      <c r="F119" s="536">
        <v>3963949.0000000005</v>
      </c>
      <c r="G119" s="536">
        <v>223667.99999999994</v>
      </c>
      <c r="H119" s="536">
        <v>2942705.9040000006</v>
      </c>
      <c r="I119" s="536">
        <v>2517706.2374245473</v>
      </c>
      <c r="J119" s="536">
        <v>-684.99999999993815</v>
      </c>
      <c r="K119" s="536">
        <v>-744680.99999999686</v>
      </c>
      <c r="L119" s="536">
        <v>-2530538.9999999967</v>
      </c>
      <c r="M119" s="536">
        <v>15660949</v>
      </c>
      <c r="N119" s="536">
        <v>18191487.999999996</v>
      </c>
      <c r="O119" s="536">
        <v>1785858</v>
      </c>
      <c r="P119" s="2081">
        <f t="shared" si="0"/>
        <v>-2.1</v>
      </c>
    </row>
    <row r="120" spans="1:16" hidden="1">
      <c r="A120" s="2157" t="s">
        <v>892</v>
      </c>
      <c r="B120" s="2158">
        <v>1997</v>
      </c>
      <c r="C120" s="2159">
        <v>21352788.821346071</v>
      </c>
      <c r="D120" s="536">
        <v>11076018.344999999</v>
      </c>
      <c r="E120" s="536">
        <v>1258562</v>
      </c>
      <c r="F120" s="536">
        <v>3724285</v>
      </c>
      <c r="G120" s="536">
        <v>196022</v>
      </c>
      <c r="H120" s="536">
        <v>2983828.7519999999</v>
      </c>
      <c r="I120" s="536">
        <v>2135620.7243460766</v>
      </c>
      <c r="J120" s="536">
        <v>-64.000000000004547</v>
      </c>
      <c r="K120" s="536">
        <v>-21484.000000000058</v>
      </c>
      <c r="L120" s="536">
        <v>-1597199</v>
      </c>
      <c r="M120" s="536">
        <v>15681651</v>
      </c>
      <c r="N120" s="536">
        <v>17278850</v>
      </c>
      <c r="O120" s="536">
        <v>1575715</v>
      </c>
      <c r="P120" s="2081">
        <f t="shared" si="0"/>
        <v>-1.3</v>
      </c>
    </row>
    <row r="121" spans="1:16" hidden="1">
      <c r="A121" s="2157" t="s">
        <v>879</v>
      </c>
      <c r="B121" s="2158">
        <v>1998</v>
      </c>
      <c r="C121" s="2159">
        <v>20797130.601991951</v>
      </c>
      <c r="D121" s="536">
        <v>11032940.609999999</v>
      </c>
      <c r="E121" s="536">
        <v>1033942.9999999999</v>
      </c>
      <c r="F121" s="536">
        <v>3165806</v>
      </c>
      <c r="G121" s="536">
        <v>74973.999999999985</v>
      </c>
      <c r="H121" s="536">
        <v>3044109.66</v>
      </c>
      <c r="I121" s="536">
        <v>1727055.3319919517</v>
      </c>
      <c r="J121" s="536">
        <v>373.00000000000364</v>
      </c>
      <c r="K121" s="536">
        <v>717929.00000000058</v>
      </c>
      <c r="L121" s="536">
        <v>-994739.99999999953</v>
      </c>
      <c r="M121" s="536">
        <v>14952372.999999998</v>
      </c>
      <c r="N121" s="536">
        <v>15947112.999999998</v>
      </c>
      <c r="O121" s="536">
        <v>1712669</v>
      </c>
      <c r="P121" s="2081">
        <f t="shared" si="0"/>
        <v>-2.6</v>
      </c>
    </row>
    <row r="122" spans="1:16" hidden="1">
      <c r="A122" s="2157" t="s">
        <v>880</v>
      </c>
      <c r="B122" s="2158">
        <v>1999</v>
      </c>
      <c r="C122" s="2159">
        <v>20260482.192166999</v>
      </c>
      <c r="D122" s="536">
        <v>11016350.594999999</v>
      </c>
      <c r="E122" s="536">
        <v>969112</v>
      </c>
      <c r="F122" s="536">
        <v>2827916</v>
      </c>
      <c r="G122" s="536">
        <v>-111342</v>
      </c>
      <c r="H122" s="536">
        <v>3214904.736</v>
      </c>
      <c r="I122" s="536">
        <v>1696476.861167002</v>
      </c>
      <c r="J122" s="536">
        <v>258.00000000000364</v>
      </c>
      <c r="K122" s="536">
        <v>646806.00000000093</v>
      </c>
      <c r="L122" s="536">
        <v>-988837.99999999907</v>
      </c>
      <c r="M122" s="536">
        <v>14492131</v>
      </c>
      <c r="N122" s="536">
        <v>15480969</v>
      </c>
      <c r="O122" s="536">
        <v>1635644</v>
      </c>
      <c r="P122" s="2081">
        <f t="shared" si="0"/>
        <v>-2.6</v>
      </c>
    </row>
    <row r="123" spans="1:16" hidden="1">
      <c r="A123" s="2157" t="s">
        <v>881</v>
      </c>
      <c r="B123" s="2158">
        <v>2000</v>
      </c>
      <c r="C123" s="2159">
        <v>20449730.476837024</v>
      </c>
      <c r="D123" s="536">
        <v>10977483.239999996</v>
      </c>
      <c r="E123" s="536">
        <v>926179.99999999988</v>
      </c>
      <c r="F123" s="536">
        <v>2780598.9999999991</v>
      </c>
      <c r="G123" s="536">
        <v>-126313</v>
      </c>
      <c r="H123" s="536">
        <v>3289846.7639999995</v>
      </c>
      <c r="I123" s="536">
        <v>1442745.472837022</v>
      </c>
      <c r="J123" s="536">
        <v>702.00000000000364</v>
      </c>
      <c r="K123" s="536">
        <v>1158487.0000000028</v>
      </c>
      <c r="L123" s="536">
        <v>171722.00000000279</v>
      </c>
      <c r="M123" s="536">
        <v>15384191.000000004</v>
      </c>
      <c r="N123" s="536">
        <v>15212469</v>
      </c>
      <c r="O123" s="536">
        <v>986765</v>
      </c>
      <c r="P123" s="2081">
        <f t="shared" si="0"/>
        <v>0.9</v>
      </c>
    </row>
    <row r="124" spans="1:16">
      <c r="A124" s="2160" t="s">
        <v>882</v>
      </c>
      <c r="B124" s="2161">
        <v>2001</v>
      </c>
      <c r="C124" s="2162">
        <f t="shared" ref="C124:O124" si="1">SUM(C7:C10)</f>
        <v>20263967</v>
      </c>
      <c r="D124" s="734">
        <f t="shared" si="1"/>
        <v>13251935</v>
      </c>
      <c r="E124" s="734">
        <f t="shared" si="1"/>
        <v>836295</v>
      </c>
      <c r="F124" s="734">
        <f t="shared" si="1"/>
        <v>2626069</v>
      </c>
      <c r="G124" s="734">
        <f t="shared" si="1"/>
        <v>-11790</v>
      </c>
      <c r="H124" s="734">
        <f t="shared" si="1"/>
        <v>3243603</v>
      </c>
      <c r="I124" s="734">
        <f t="shared" si="1"/>
        <v>1323685</v>
      </c>
      <c r="J124" s="734">
        <f t="shared" si="1"/>
        <v>47689</v>
      </c>
      <c r="K124" s="734">
        <f t="shared" si="1"/>
        <v>-1053518.9999999995</v>
      </c>
      <c r="L124" s="734">
        <f t="shared" si="1"/>
        <v>-690615.33213512925</v>
      </c>
      <c r="M124" s="734">
        <f t="shared" si="1"/>
        <v>14860899.818809832</v>
      </c>
      <c r="N124" s="734">
        <f t="shared" si="1"/>
        <v>15551515.150944959</v>
      </c>
      <c r="O124" s="734">
        <f t="shared" si="1"/>
        <v>-362903.66786487051</v>
      </c>
      <c r="P124" s="2109"/>
    </row>
    <row r="125" spans="1:16">
      <c r="A125" s="2163" t="s">
        <v>883</v>
      </c>
      <c r="B125" s="2164">
        <v>2002</v>
      </c>
      <c r="C125" s="2165">
        <f t="shared" ref="C125:O125" si="2">SUM(C11:C14)</f>
        <v>19975743</v>
      </c>
      <c r="D125" s="733">
        <f t="shared" si="2"/>
        <v>13078037</v>
      </c>
      <c r="E125" s="733">
        <f t="shared" si="2"/>
        <v>817148.00000000012</v>
      </c>
      <c r="F125" s="733">
        <f t="shared" si="2"/>
        <v>2460110.9999999995</v>
      </c>
      <c r="G125" s="733">
        <f t="shared" si="2"/>
        <v>-100029</v>
      </c>
      <c r="H125" s="733">
        <f t="shared" si="2"/>
        <v>3261583.9999999995</v>
      </c>
      <c r="I125" s="733">
        <f t="shared" si="2"/>
        <v>1143369</v>
      </c>
      <c r="J125" s="733">
        <f t="shared" si="2"/>
        <v>13624.999999999995</v>
      </c>
      <c r="K125" s="733">
        <f t="shared" si="2"/>
        <v>-698101.99999999895</v>
      </c>
      <c r="L125" s="733">
        <f t="shared" si="2"/>
        <v>-120340.71834448399</v>
      </c>
      <c r="M125" s="733">
        <f t="shared" si="2"/>
        <v>15038865.069401868</v>
      </c>
      <c r="N125" s="733">
        <f t="shared" si="2"/>
        <v>15159205.787746353</v>
      </c>
      <c r="O125" s="733">
        <f t="shared" si="2"/>
        <v>-577761.28165551496</v>
      </c>
      <c r="P125" s="2114">
        <f>ROUND((C125-C124)/C124*100,1)</f>
        <v>-1.4</v>
      </c>
    </row>
    <row r="126" spans="1:16">
      <c r="A126" s="2163" t="s">
        <v>884</v>
      </c>
      <c r="B126" s="2164">
        <v>2003</v>
      </c>
      <c r="C126" s="2165">
        <f t="shared" ref="C126:O126" si="3">SUM(C15:C18)</f>
        <v>19793033</v>
      </c>
      <c r="D126" s="733">
        <f t="shared" si="3"/>
        <v>13047048.999999998</v>
      </c>
      <c r="E126" s="733">
        <f t="shared" si="3"/>
        <v>778976.99999999988</v>
      </c>
      <c r="F126" s="733">
        <f t="shared" si="3"/>
        <v>2480763</v>
      </c>
      <c r="G126" s="733">
        <f t="shared" si="3"/>
        <v>-36699</v>
      </c>
      <c r="H126" s="733">
        <f t="shared" si="3"/>
        <v>3265813</v>
      </c>
      <c r="I126" s="733">
        <f t="shared" si="3"/>
        <v>1042183</v>
      </c>
      <c r="J126" s="733">
        <f t="shared" si="3"/>
        <v>-34668.999999999993</v>
      </c>
      <c r="K126" s="733">
        <f t="shared" si="3"/>
        <v>-750383.99999999907</v>
      </c>
      <c r="L126" s="733">
        <f t="shared" si="3"/>
        <v>-49768.117578580976</v>
      </c>
      <c r="M126" s="733">
        <f t="shared" si="3"/>
        <v>15012315.899260944</v>
      </c>
      <c r="N126" s="733">
        <f t="shared" si="3"/>
        <v>15062084.016839525</v>
      </c>
      <c r="O126" s="733">
        <f t="shared" si="3"/>
        <v>-700615.88242141809</v>
      </c>
      <c r="P126" s="2114">
        <f t="shared" ref="P126:P143" si="4">ROUND((C126-C125)/C125*100,1)</f>
        <v>-0.9</v>
      </c>
    </row>
    <row r="127" spans="1:16">
      <c r="A127" s="2163" t="s">
        <v>982</v>
      </c>
      <c r="B127" s="2164" t="s">
        <v>990</v>
      </c>
      <c r="C127" s="2165">
        <f>SUM(C19:C22)</f>
        <v>20010093</v>
      </c>
      <c r="D127" s="733">
        <f t="shared" ref="D127:O127" si="5">SUM(D19:D22)</f>
        <v>13095400</v>
      </c>
      <c r="E127" s="733">
        <f t="shared" si="5"/>
        <v>770266.00000000023</v>
      </c>
      <c r="F127" s="733">
        <f t="shared" si="5"/>
        <v>2505608.0000000005</v>
      </c>
      <c r="G127" s="733">
        <f t="shared" si="5"/>
        <v>20675.000000000015</v>
      </c>
      <c r="H127" s="733">
        <f t="shared" si="5"/>
        <v>3328917</v>
      </c>
      <c r="I127" s="733">
        <f t="shared" si="5"/>
        <v>999277</v>
      </c>
      <c r="J127" s="733">
        <f t="shared" si="5"/>
        <v>-36561.000000000015</v>
      </c>
      <c r="K127" s="733">
        <f t="shared" si="5"/>
        <v>-673488.99999999721</v>
      </c>
      <c r="L127" s="733">
        <f t="shared" si="5"/>
        <v>292747.19542522216</v>
      </c>
      <c r="M127" s="733">
        <f t="shared" si="5"/>
        <v>15825338.461104181</v>
      </c>
      <c r="N127" s="733">
        <f t="shared" si="5"/>
        <v>15532591.265678957</v>
      </c>
      <c r="O127" s="733">
        <f t="shared" si="5"/>
        <v>-966236.19542521937</v>
      </c>
      <c r="P127" s="2114">
        <f t="shared" si="4"/>
        <v>1.1000000000000001</v>
      </c>
    </row>
    <row r="128" spans="1:16">
      <c r="A128" s="2163" t="s">
        <v>983</v>
      </c>
      <c r="B128" s="2164" t="s">
        <v>991</v>
      </c>
      <c r="C128" s="2165">
        <f>SUM(C23:C26)</f>
        <v>20020256.999999996</v>
      </c>
      <c r="D128" s="733">
        <f t="shared" ref="D128:O128" si="6">SUM(D23:D26)</f>
        <v>13209415</v>
      </c>
      <c r="E128" s="733">
        <f t="shared" si="6"/>
        <v>767915.99999999988</v>
      </c>
      <c r="F128" s="733">
        <f t="shared" si="6"/>
        <v>2696297</v>
      </c>
      <c r="G128" s="733">
        <f t="shared" si="6"/>
        <v>43883</v>
      </c>
      <c r="H128" s="733">
        <f t="shared" si="6"/>
        <v>3334177</v>
      </c>
      <c r="I128" s="733">
        <f t="shared" si="6"/>
        <v>974340</v>
      </c>
      <c r="J128" s="733">
        <f t="shared" si="6"/>
        <v>-8781.0000000000018</v>
      </c>
      <c r="K128" s="733">
        <f t="shared" si="6"/>
        <v>-996990.00000000233</v>
      </c>
      <c r="L128" s="733">
        <f t="shared" si="6"/>
        <v>-742054.02338326816</v>
      </c>
      <c r="M128" s="733">
        <f t="shared" si="6"/>
        <v>16415792.557698939</v>
      </c>
      <c r="N128" s="733">
        <f t="shared" si="6"/>
        <v>17157846.58108221</v>
      </c>
      <c r="O128" s="733">
        <f t="shared" si="6"/>
        <v>-254935.97661673429</v>
      </c>
      <c r="P128" s="2114">
        <f t="shared" si="4"/>
        <v>0.1</v>
      </c>
    </row>
    <row r="129" spans="1:18">
      <c r="A129" s="2166" t="s">
        <v>984</v>
      </c>
      <c r="B129" s="2167" t="s">
        <v>992</v>
      </c>
      <c r="C129" s="2165">
        <f>SUM(C27:C30)</f>
        <v>20760588</v>
      </c>
      <c r="D129" s="733">
        <f t="shared" ref="D129:O129" si="7">SUM(D27:D30)</f>
        <v>12847984</v>
      </c>
      <c r="E129" s="733">
        <f t="shared" si="7"/>
        <v>958034</v>
      </c>
      <c r="F129" s="733">
        <f t="shared" si="7"/>
        <v>3712005</v>
      </c>
      <c r="G129" s="733">
        <f t="shared" si="7"/>
        <v>15597</v>
      </c>
      <c r="H129" s="733">
        <f t="shared" si="7"/>
        <v>2718444</v>
      </c>
      <c r="I129" s="733">
        <f t="shared" si="7"/>
        <v>805903</v>
      </c>
      <c r="J129" s="733">
        <f t="shared" si="7"/>
        <v>10920</v>
      </c>
      <c r="K129" s="733">
        <f t="shared" si="7"/>
        <v>-308299</v>
      </c>
      <c r="L129" s="733">
        <f t="shared" si="7"/>
        <v>-112383</v>
      </c>
      <c r="M129" s="733">
        <f t="shared" si="7"/>
        <v>17988580</v>
      </c>
      <c r="N129" s="733">
        <f t="shared" si="7"/>
        <v>18100964</v>
      </c>
      <c r="O129" s="733">
        <f t="shared" si="7"/>
        <v>-195915</v>
      </c>
      <c r="P129" s="2114">
        <f t="shared" si="4"/>
        <v>3.7</v>
      </c>
    </row>
    <row r="130" spans="1:18">
      <c r="A130" s="2166" t="s">
        <v>985</v>
      </c>
      <c r="B130" s="2167" t="s">
        <v>993</v>
      </c>
      <c r="C130" s="2165">
        <f>SUM(C31:C34)</f>
        <v>21335203</v>
      </c>
      <c r="D130" s="733">
        <f t="shared" ref="D130:O130" si="8">SUM(D31:D34)</f>
        <v>12982951</v>
      </c>
      <c r="E130" s="733">
        <f t="shared" si="8"/>
        <v>845424</v>
      </c>
      <c r="F130" s="733">
        <f t="shared" si="8"/>
        <v>3736633</v>
      </c>
      <c r="G130" s="733">
        <f t="shared" si="8"/>
        <v>79206</v>
      </c>
      <c r="H130" s="733">
        <f t="shared" si="8"/>
        <v>2794716</v>
      </c>
      <c r="I130" s="733">
        <f t="shared" si="8"/>
        <v>686248</v>
      </c>
      <c r="J130" s="733">
        <f t="shared" si="8"/>
        <v>3475</v>
      </c>
      <c r="K130" s="733">
        <f t="shared" si="8"/>
        <v>206548</v>
      </c>
      <c r="L130" s="733">
        <f t="shared" si="8"/>
        <v>190988</v>
      </c>
      <c r="M130" s="733">
        <f t="shared" si="8"/>
        <v>18963709</v>
      </c>
      <c r="N130" s="733">
        <f t="shared" si="8"/>
        <v>18772719</v>
      </c>
      <c r="O130" s="733">
        <f t="shared" si="8"/>
        <v>15559</v>
      </c>
      <c r="P130" s="2114">
        <f t="shared" si="4"/>
        <v>2.8</v>
      </c>
    </row>
    <row r="131" spans="1:18">
      <c r="A131" s="2166" t="s">
        <v>986</v>
      </c>
      <c r="B131" s="2167" t="s">
        <v>994</v>
      </c>
      <c r="C131" s="2165">
        <f>SUM(C35:C38)</f>
        <v>20973449</v>
      </c>
      <c r="D131" s="733">
        <f t="shared" ref="D131:O131" si="9">SUM(D35:D38)</f>
        <v>12792499</v>
      </c>
      <c r="E131" s="733">
        <f t="shared" si="9"/>
        <v>789486</v>
      </c>
      <c r="F131" s="733">
        <f t="shared" si="9"/>
        <v>3734461</v>
      </c>
      <c r="G131" s="733">
        <f t="shared" si="9"/>
        <v>192432</v>
      </c>
      <c r="H131" s="733">
        <f t="shared" si="9"/>
        <v>2846487</v>
      </c>
      <c r="I131" s="733">
        <f t="shared" si="9"/>
        <v>691074</v>
      </c>
      <c r="J131" s="733">
        <f t="shared" si="9"/>
        <v>-14576</v>
      </c>
      <c r="K131" s="733">
        <f t="shared" si="9"/>
        <v>-58415</v>
      </c>
      <c r="L131" s="733">
        <f t="shared" si="9"/>
        <v>-799907</v>
      </c>
      <c r="M131" s="733">
        <f t="shared" si="9"/>
        <v>17801229</v>
      </c>
      <c r="N131" s="733">
        <f t="shared" si="9"/>
        <v>18601137</v>
      </c>
      <c r="O131" s="733">
        <f t="shared" si="9"/>
        <v>741492</v>
      </c>
      <c r="P131" s="2114">
        <f t="shared" si="4"/>
        <v>-1.7</v>
      </c>
    </row>
    <row r="132" spans="1:18">
      <c r="A132" s="2166" t="s">
        <v>987</v>
      </c>
      <c r="B132" s="2167" t="s">
        <v>996</v>
      </c>
      <c r="C132" s="2165">
        <f>SUM(C39:C42)</f>
        <v>19490441</v>
      </c>
      <c r="D132" s="733">
        <f t="shared" ref="D132:O132" si="10">SUM(D39:D42)</f>
        <v>12655058</v>
      </c>
      <c r="E132" s="733">
        <f t="shared" si="10"/>
        <v>609131</v>
      </c>
      <c r="F132" s="733">
        <f t="shared" si="10"/>
        <v>3233547</v>
      </c>
      <c r="G132" s="733">
        <f t="shared" si="10"/>
        <v>-197438</v>
      </c>
      <c r="H132" s="733">
        <f t="shared" si="10"/>
        <v>2954934</v>
      </c>
      <c r="I132" s="733">
        <f t="shared" si="10"/>
        <v>765763</v>
      </c>
      <c r="J132" s="733">
        <f t="shared" si="10"/>
        <v>8863</v>
      </c>
      <c r="K132" s="733">
        <f t="shared" si="10"/>
        <v>-539415</v>
      </c>
      <c r="L132" s="733">
        <f t="shared" si="10"/>
        <v>-761980</v>
      </c>
      <c r="M132" s="733">
        <f t="shared" si="10"/>
        <v>15608446</v>
      </c>
      <c r="N132" s="733">
        <f t="shared" si="10"/>
        <v>16370426</v>
      </c>
      <c r="O132" s="733">
        <f t="shared" si="10"/>
        <v>222565</v>
      </c>
      <c r="P132" s="2114">
        <f t="shared" si="4"/>
        <v>-7.1</v>
      </c>
    </row>
    <row r="133" spans="1:18">
      <c r="A133" s="2168" t="s">
        <v>944</v>
      </c>
      <c r="B133" s="2169">
        <v>2010</v>
      </c>
      <c r="C133" s="2170">
        <f>SUM(C43:C46)</f>
        <v>20535434</v>
      </c>
      <c r="D133" s="79">
        <f t="shared" ref="D133:O133" si="11">SUM(D43:D46)</f>
        <v>12669173</v>
      </c>
      <c r="E133" s="79">
        <f t="shared" si="11"/>
        <v>637901</v>
      </c>
      <c r="F133" s="79">
        <f t="shared" si="11"/>
        <v>3361360</v>
      </c>
      <c r="G133" s="79">
        <f t="shared" si="11"/>
        <v>-51555</v>
      </c>
      <c r="H133" s="79">
        <f t="shared" si="11"/>
        <v>2964711</v>
      </c>
      <c r="I133" s="79">
        <f t="shared" si="11"/>
        <v>821141</v>
      </c>
      <c r="J133" s="79">
        <f t="shared" si="11"/>
        <v>-19954</v>
      </c>
      <c r="K133" s="79">
        <f t="shared" si="11"/>
        <v>152657</v>
      </c>
      <c r="L133" s="79">
        <f t="shared" si="11"/>
        <v>-465946</v>
      </c>
      <c r="M133" s="79">
        <f t="shared" si="11"/>
        <v>16693154</v>
      </c>
      <c r="N133" s="79">
        <f t="shared" si="11"/>
        <v>17159102</v>
      </c>
      <c r="O133" s="79">
        <f t="shared" si="11"/>
        <v>618605</v>
      </c>
      <c r="P133" s="2114">
        <f t="shared" si="4"/>
        <v>5.4</v>
      </c>
    </row>
    <row r="134" spans="1:18">
      <c r="A134" s="2168" t="s">
        <v>945</v>
      </c>
      <c r="B134" s="2169">
        <v>2011</v>
      </c>
      <c r="C134" s="2170">
        <f>SUM(C47:C50)</f>
        <v>19997122</v>
      </c>
      <c r="D134" s="79">
        <f t="shared" ref="D134:O134" si="12">SUM(D47:D50)</f>
        <v>12761444</v>
      </c>
      <c r="E134" s="79">
        <f t="shared" si="12"/>
        <v>666391</v>
      </c>
      <c r="F134" s="79">
        <f t="shared" si="12"/>
        <v>3347141</v>
      </c>
      <c r="G134" s="79">
        <f t="shared" si="12"/>
        <v>71410</v>
      </c>
      <c r="H134" s="79">
        <f t="shared" si="12"/>
        <v>3018892</v>
      </c>
      <c r="I134" s="79">
        <f t="shared" si="12"/>
        <v>646365</v>
      </c>
      <c r="J134" s="79">
        <f t="shared" si="12"/>
        <v>-4181</v>
      </c>
      <c r="K134" s="79">
        <f t="shared" si="12"/>
        <v>-510339</v>
      </c>
      <c r="L134" s="79">
        <f t="shared" si="12"/>
        <v>-708212</v>
      </c>
      <c r="M134" s="79">
        <f t="shared" si="12"/>
        <v>16845357</v>
      </c>
      <c r="N134" s="79">
        <f t="shared" si="12"/>
        <v>17553569</v>
      </c>
      <c r="O134" s="79">
        <f t="shared" si="12"/>
        <v>197873</v>
      </c>
      <c r="P134" s="2114">
        <f t="shared" si="4"/>
        <v>-2.6</v>
      </c>
    </row>
    <row r="135" spans="1:18">
      <c r="A135" s="2168" t="s">
        <v>946</v>
      </c>
      <c r="B135" s="2169">
        <v>2012</v>
      </c>
      <c r="C135" s="2171">
        <f>SUM(C51:C54)</f>
        <v>19875505</v>
      </c>
      <c r="D135" s="2172">
        <f t="shared" ref="D135:O135" si="13">SUM(D51:D54)</f>
        <v>12744228</v>
      </c>
      <c r="E135" s="2172">
        <f t="shared" si="13"/>
        <v>676351</v>
      </c>
      <c r="F135" s="2172">
        <f t="shared" si="13"/>
        <v>3292201</v>
      </c>
      <c r="G135" s="2172">
        <f t="shared" si="13"/>
        <v>15577</v>
      </c>
      <c r="H135" s="2172">
        <f t="shared" si="13"/>
        <v>3020607</v>
      </c>
      <c r="I135" s="2172">
        <f t="shared" si="13"/>
        <v>683389</v>
      </c>
      <c r="J135" s="2172">
        <f t="shared" si="13"/>
        <v>-68</v>
      </c>
      <c r="K135" s="2172">
        <f t="shared" si="13"/>
        <v>-556780</v>
      </c>
      <c r="L135" s="2172">
        <f t="shared" si="13"/>
        <v>-886371</v>
      </c>
      <c r="M135" s="2172">
        <f t="shared" si="13"/>
        <v>16515810</v>
      </c>
      <c r="N135" s="2172">
        <f t="shared" si="13"/>
        <v>17402180</v>
      </c>
      <c r="O135" s="2172">
        <f t="shared" si="13"/>
        <v>329592</v>
      </c>
      <c r="P135" s="2114">
        <f t="shared" si="4"/>
        <v>-0.6</v>
      </c>
    </row>
    <row r="136" spans="1:18">
      <c r="A136" s="2168" t="s">
        <v>846</v>
      </c>
      <c r="B136" s="2169">
        <v>2013</v>
      </c>
      <c r="C136" s="2173">
        <f>SUM(C55:C58)</f>
        <v>20571142</v>
      </c>
      <c r="D136" s="1143">
        <f t="shared" ref="D136:O136" si="14">SUM(D55:D58)</f>
        <v>13077487</v>
      </c>
      <c r="E136" s="1143">
        <f t="shared" si="14"/>
        <v>725868</v>
      </c>
      <c r="F136" s="1143">
        <f t="shared" si="14"/>
        <v>3477881</v>
      </c>
      <c r="G136" s="1143">
        <f t="shared" si="14"/>
        <v>42513</v>
      </c>
      <c r="H136" s="1143">
        <f t="shared" si="14"/>
        <v>3058136</v>
      </c>
      <c r="I136" s="1143">
        <f t="shared" si="14"/>
        <v>798377</v>
      </c>
      <c r="J136" s="1143">
        <f t="shared" si="14"/>
        <v>19655</v>
      </c>
      <c r="K136" s="1143">
        <f t="shared" si="14"/>
        <v>-628776</v>
      </c>
      <c r="L136" s="1143">
        <f t="shared" si="14"/>
        <v>-917470</v>
      </c>
      <c r="M136" s="1143">
        <f t="shared" si="14"/>
        <v>17171887</v>
      </c>
      <c r="N136" s="1143">
        <f t="shared" si="14"/>
        <v>18089357</v>
      </c>
      <c r="O136" s="1143">
        <f t="shared" si="14"/>
        <v>288694</v>
      </c>
      <c r="P136" s="2114">
        <f t="shared" si="4"/>
        <v>3.5</v>
      </c>
    </row>
    <row r="137" spans="1:18">
      <c r="A137" s="2168" t="s">
        <v>1021</v>
      </c>
      <c r="B137" s="2169">
        <v>2014</v>
      </c>
      <c r="C137" s="2174">
        <f>SUM(C59:C62)</f>
        <v>20741145</v>
      </c>
      <c r="D137" s="1804">
        <f t="shared" ref="D137:O137" si="15">SUM(D59:D62)</f>
        <v>12910179</v>
      </c>
      <c r="E137" s="1804">
        <f t="shared" si="15"/>
        <v>709620</v>
      </c>
      <c r="F137" s="1804">
        <f t="shared" si="15"/>
        <v>3560077</v>
      </c>
      <c r="G137" s="1804">
        <f t="shared" si="15"/>
        <v>-30583</v>
      </c>
      <c r="H137" s="1804">
        <f t="shared" si="15"/>
        <v>3135700</v>
      </c>
      <c r="I137" s="1804">
        <f t="shared" si="15"/>
        <v>752974</v>
      </c>
      <c r="J137" s="1804">
        <f t="shared" si="15"/>
        <v>18925</v>
      </c>
      <c r="K137" s="1804">
        <f t="shared" si="15"/>
        <v>-315748</v>
      </c>
      <c r="L137" s="1804">
        <f t="shared" si="15"/>
        <v>-90124</v>
      </c>
      <c r="M137" s="1804">
        <f t="shared" si="15"/>
        <v>17867610</v>
      </c>
      <c r="N137" s="1804">
        <f t="shared" si="15"/>
        <v>17957734</v>
      </c>
      <c r="O137" s="1804">
        <f t="shared" si="15"/>
        <v>-225624</v>
      </c>
      <c r="P137" s="2114">
        <f t="shared" si="4"/>
        <v>0.8</v>
      </c>
    </row>
    <row r="138" spans="1:18">
      <c r="A138" s="2168" t="s">
        <v>157</v>
      </c>
      <c r="B138" s="2169">
        <v>2015</v>
      </c>
      <c r="C138" s="512">
        <f>SUM(C63:C66)</f>
        <v>21747195</v>
      </c>
      <c r="D138" s="513">
        <f t="shared" ref="D138:O138" si="16">SUM(D63:D66)</f>
        <v>13068268</v>
      </c>
      <c r="E138" s="513">
        <f t="shared" si="16"/>
        <v>746870</v>
      </c>
      <c r="F138" s="513">
        <f t="shared" si="16"/>
        <v>3628849</v>
      </c>
      <c r="G138" s="513">
        <f t="shared" si="16"/>
        <v>155637</v>
      </c>
      <c r="H138" s="513">
        <f t="shared" si="16"/>
        <v>3190991</v>
      </c>
      <c r="I138" s="513">
        <f t="shared" si="16"/>
        <v>782994</v>
      </c>
      <c r="J138" s="513">
        <f t="shared" si="16"/>
        <v>-11178</v>
      </c>
      <c r="K138" s="513">
        <f t="shared" si="16"/>
        <v>184765</v>
      </c>
      <c r="L138" s="513">
        <f t="shared" si="16"/>
        <v>-61854</v>
      </c>
      <c r="M138" s="513">
        <f t="shared" si="16"/>
        <v>17776008</v>
      </c>
      <c r="N138" s="513">
        <f t="shared" si="16"/>
        <v>17837861</v>
      </c>
      <c r="O138" s="513">
        <f t="shared" si="16"/>
        <v>246617</v>
      </c>
      <c r="P138" s="931">
        <f t="shared" si="4"/>
        <v>4.9000000000000004</v>
      </c>
    </row>
    <row r="139" spans="1:18">
      <c r="A139" s="2175" t="s">
        <v>1000</v>
      </c>
      <c r="B139" s="2169">
        <v>2016</v>
      </c>
      <c r="C139" s="2174">
        <f>SUM(C67:C70)</f>
        <v>21965424</v>
      </c>
      <c r="D139" s="1804">
        <f t="shared" ref="D139:O139" si="17">SUM(D67:D70)</f>
        <v>12971297</v>
      </c>
      <c r="E139" s="1804">
        <f t="shared" si="17"/>
        <v>752060</v>
      </c>
      <c r="F139" s="1804">
        <f t="shared" si="17"/>
        <v>3697164</v>
      </c>
      <c r="G139" s="1804">
        <f t="shared" si="17"/>
        <v>-62558</v>
      </c>
      <c r="H139" s="1804">
        <f t="shared" si="17"/>
        <v>3212497</v>
      </c>
      <c r="I139" s="1804">
        <f t="shared" si="17"/>
        <v>801734</v>
      </c>
      <c r="J139" s="1804">
        <f t="shared" si="17"/>
        <v>-25491</v>
      </c>
      <c r="K139" s="1804">
        <f t="shared" si="17"/>
        <v>618722</v>
      </c>
      <c r="L139" s="1804">
        <f t="shared" si="17"/>
        <v>636890</v>
      </c>
      <c r="M139" s="1804">
        <f t="shared" si="17"/>
        <v>17759460</v>
      </c>
      <c r="N139" s="1804">
        <f t="shared" si="17"/>
        <v>17122570</v>
      </c>
      <c r="O139" s="1804">
        <f t="shared" si="17"/>
        <v>-18168</v>
      </c>
      <c r="P139" s="2114">
        <f t="shared" si="4"/>
        <v>1</v>
      </c>
    </row>
    <row r="140" spans="1:18">
      <c r="A140" s="2175" t="s">
        <v>1036</v>
      </c>
      <c r="B140" s="2176">
        <v>2017</v>
      </c>
      <c r="C140" s="2174">
        <f>SUM(C71:C74)</f>
        <v>22283271</v>
      </c>
      <c r="D140" s="1804">
        <f t="shared" ref="D140:O140" si="18">SUM(D71:D74)</f>
        <v>13163075</v>
      </c>
      <c r="E140" s="1804">
        <f t="shared" si="18"/>
        <v>706383</v>
      </c>
      <c r="F140" s="1804">
        <f t="shared" si="18"/>
        <v>3798503</v>
      </c>
      <c r="G140" s="1804">
        <f t="shared" si="18"/>
        <v>52629</v>
      </c>
      <c r="H140" s="1804">
        <f t="shared" si="18"/>
        <v>3255723</v>
      </c>
      <c r="I140" s="1804">
        <f t="shared" si="18"/>
        <v>785248</v>
      </c>
      <c r="J140" s="1804">
        <f t="shared" si="18"/>
        <v>14522</v>
      </c>
      <c r="K140" s="1804">
        <f t="shared" si="18"/>
        <v>507189</v>
      </c>
      <c r="L140" s="1804">
        <f t="shared" si="18"/>
        <v>1308208</v>
      </c>
      <c r="M140" s="1804">
        <f t="shared" si="18"/>
        <v>19156047</v>
      </c>
      <c r="N140" s="1804">
        <f t="shared" si="18"/>
        <v>17847840</v>
      </c>
      <c r="O140" s="1804">
        <f t="shared" si="18"/>
        <v>-801019</v>
      </c>
      <c r="P140" s="2114">
        <f t="shared" si="4"/>
        <v>1.4</v>
      </c>
    </row>
    <row r="141" spans="1:18">
      <c r="A141" s="2177" t="s">
        <v>1062</v>
      </c>
      <c r="B141" s="2178">
        <v>2018</v>
      </c>
      <c r="C141" s="2179">
        <f>SUM(C75:C78)</f>
        <v>22237661</v>
      </c>
      <c r="D141" s="1816">
        <f t="shared" ref="D141:O141" si="19">SUM(D75:D78)</f>
        <v>13228280</v>
      </c>
      <c r="E141" s="1816">
        <f t="shared" si="19"/>
        <v>672431</v>
      </c>
      <c r="F141" s="1816">
        <f t="shared" si="19"/>
        <v>3807596</v>
      </c>
      <c r="G141" s="1816">
        <f t="shared" si="19"/>
        <v>85436</v>
      </c>
      <c r="H141" s="1816">
        <f t="shared" si="19"/>
        <v>3278620</v>
      </c>
      <c r="I141" s="1816">
        <f t="shared" si="19"/>
        <v>744241</v>
      </c>
      <c r="J141" s="1816">
        <f t="shared" si="19"/>
        <v>-12932</v>
      </c>
      <c r="K141" s="1816">
        <f t="shared" si="19"/>
        <v>433990</v>
      </c>
      <c r="L141" s="1816">
        <f t="shared" si="19"/>
        <v>1656458</v>
      </c>
      <c r="M141" s="1816">
        <f t="shared" si="19"/>
        <v>19810508</v>
      </c>
      <c r="N141" s="1816">
        <f t="shared" si="19"/>
        <v>18154050</v>
      </c>
      <c r="O141" s="1816">
        <f t="shared" si="19"/>
        <v>-1222468</v>
      </c>
      <c r="P141" s="2120">
        <f t="shared" si="4"/>
        <v>-0.2</v>
      </c>
    </row>
    <row r="142" spans="1:18">
      <c r="A142" s="2180" t="s">
        <v>1175</v>
      </c>
      <c r="B142" s="2181">
        <v>2019</v>
      </c>
      <c r="C142" s="806">
        <f>SUM(C79:C82)</f>
        <v>22472835</v>
      </c>
      <c r="D142" s="806">
        <f>ROUND(SUM(D79:D82),0)</f>
        <v>13235618</v>
      </c>
      <c r="E142" s="806">
        <f t="shared" ref="E142:J142" si="20">ROUND(SUM(E79:E82),0)</f>
        <v>721016</v>
      </c>
      <c r="F142" s="806">
        <f t="shared" si="20"/>
        <v>3836860</v>
      </c>
      <c r="G142" s="806">
        <f t="shared" si="20"/>
        <v>146485</v>
      </c>
      <c r="H142" s="806">
        <f t="shared" si="20"/>
        <v>3388684</v>
      </c>
      <c r="I142" s="806">
        <f t="shared" si="20"/>
        <v>867314</v>
      </c>
      <c r="J142" s="806">
        <f t="shared" si="20"/>
        <v>35296</v>
      </c>
      <c r="K142" s="806">
        <f>L142+O142</f>
        <v>241560</v>
      </c>
      <c r="L142" s="806">
        <f>M142-N142</f>
        <v>1985970</v>
      </c>
      <c r="M142" s="806">
        <f>ROUND(SUM(M79:M82),0)</f>
        <v>20065981</v>
      </c>
      <c r="N142" s="806">
        <f>ROUND(SUM(N79:N82),0)</f>
        <v>18080011</v>
      </c>
      <c r="O142" s="2182">
        <f>ROUND(SUM(O79:O82),0)</f>
        <v>-1744410</v>
      </c>
      <c r="P142" s="2183">
        <f t="shared" si="4"/>
        <v>1.1000000000000001</v>
      </c>
      <c r="R142" s="75" t="s">
        <v>1177</v>
      </c>
    </row>
    <row r="143" spans="1:18">
      <c r="A143" s="2180" t="s">
        <v>1221</v>
      </c>
      <c r="B143" s="2181">
        <v>2020</v>
      </c>
      <c r="C143" s="1122">
        <f>SUM(C83:C86)</f>
        <v>21896001</v>
      </c>
      <c r="D143" s="1122">
        <f t="shared" ref="D143:O143" si="21">SUM(D83:D86)</f>
        <v>12662771</v>
      </c>
      <c r="E143" s="1122">
        <f t="shared" si="21"/>
        <v>668534</v>
      </c>
      <c r="F143" s="1122">
        <f t="shared" si="21"/>
        <v>3596246</v>
      </c>
      <c r="G143" s="1122">
        <f t="shared" si="21"/>
        <v>-181001</v>
      </c>
      <c r="H143" s="1122">
        <f t="shared" si="21"/>
        <v>3385408</v>
      </c>
      <c r="I143" s="1122">
        <f t="shared" si="21"/>
        <v>1028123</v>
      </c>
      <c r="J143" s="1122">
        <f t="shared" si="21"/>
        <v>-52753</v>
      </c>
      <c r="K143" s="1122">
        <f t="shared" si="21"/>
        <v>788674</v>
      </c>
      <c r="L143" s="1122">
        <f t="shared" si="21"/>
        <v>1189600</v>
      </c>
      <c r="M143" s="1122">
        <f t="shared" si="21"/>
        <v>17735008</v>
      </c>
      <c r="N143" s="1122">
        <f t="shared" si="21"/>
        <v>16545408</v>
      </c>
      <c r="O143" s="1122">
        <f t="shared" si="21"/>
        <v>-400928</v>
      </c>
      <c r="P143" s="2184">
        <f t="shared" si="4"/>
        <v>-2.6</v>
      </c>
    </row>
    <row r="144" spans="1:18">
      <c r="A144" s="2180" t="s">
        <v>1542</v>
      </c>
      <c r="B144" s="2181">
        <v>2021</v>
      </c>
      <c r="C144" s="806">
        <f>SUM(C87:C90)</f>
        <v>22596893</v>
      </c>
      <c r="D144" s="806">
        <f>SUM(D87:D90)</f>
        <v>13082779</v>
      </c>
      <c r="E144" s="806">
        <f t="shared" ref="E144:O144" si="22">SUM(E87:E90)</f>
        <v>761640</v>
      </c>
      <c r="F144" s="806">
        <f t="shared" si="22"/>
        <v>3725623</v>
      </c>
      <c r="G144" s="806">
        <f t="shared" si="22"/>
        <v>-61249</v>
      </c>
      <c r="H144" s="806">
        <f t="shared" si="22"/>
        <v>3602972</v>
      </c>
      <c r="I144" s="806">
        <f t="shared" si="22"/>
        <v>993163</v>
      </c>
      <c r="J144" s="806">
        <f t="shared" si="22"/>
        <v>-554</v>
      </c>
      <c r="K144" s="806">
        <f t="shared" si="22"/>
        <v>492521</v>
      </c>
      <c r="L144" s="806">
        <f t="shared" si="22"/>
        <v>933707</v>
      </c>
      <c r="M144" s="806">
        <f t="shared" si="22"/>
        <v>19606379</v>
      </c>
      <c r="N144" s="806">
        <f t="shared" si="22"/>
        <v>18672673</v>
      </c>
      <c r="O144" s="806">
        <f t="shared" si="22"/>
        <v>-441187</v>
      </c>
      <c r="P144" s="2184">
        <f>ROUND((C144-C143)/C143*100,1)</f>
        <v>3.2</v>
      </c>
    </row>
    <row r="145" spans="1:16">
      <c r="A145" s="2180" t="s">
        <v>1573</v>
      </c>
      <c r="B145" s="2181">
        <v>2022</v>
      </c>
      <c r="C145" s="1125">
        <f>SUM(C91:C94)</f>
        <v>23362118</v>
      </c>
      <c r="D145" s="1125">
        <f t="shared" ref="D145:O145" si="23">SUM(D91:D94)</f>
        <v>13825263</v>
      </c>
      <c r="E145" s="1125">
        <f t="shared" si="23"/>
        <v>745740</v>
      </c>
      <c r="F145" s="1125">
        <f t="shared" si="23"/>
        <v>4221035</v>
      </c>
      <c r="G145" s="1125">
        <f t="shared" si="23"/>
        <v>252762</v>
      </c>
      <c r="H145" s="1125">
        <f t="shared" si="23"/>
        <v>3685910</v>
      </c>
      <c r="I145" s="1125">
        <f t="shared" si="23"/>
        <v>916524</v>
      </c>
      <c r="J145" s="1125">
        <f t="shared" si="23"/>
        <v>42785</v>
      </c>
      <c r="K145" s="1125">
        <f t="shared" si="23"/>
        <v>-327898</v>
      </c>
      <c r="L145" s="1125">
        <f t="shared" si="23"/>
        <v>392788</v>
      </c>
      <c r="M145" s="1125">
        <f t="shared" si="23"/>
        <v>21862699</v>
      </c>
      <c r="N145" s="1125">
        <f t="shared" si="23"/>
        <v>21469910</v>
      </c>
      <c r="O145" s="1125">
        <f t="shared" si="23"/>
        <v>-720687</v>
      </c>
      <c r="P145" s="2184">
        <f>ROUND((C145-C144)/C144*100,1)</f>
        <v>3.4</v>
      </c>
    </row>
    <row r="146" spans="1:16">
      <c r="A146" s="2180" t="s">
        <v>1716</v>
      </c>
      <c r="B146" s="2181">
        <v>2023</v>
      </c>
      <c r="C146" s="1125">
        <f>SUM(C95:C98)</f>
        <v>23989540</v>
      </c>
      <c r="D146" s="1125">
        <f t="shared" ref="D146:O146" si="24">SUM(D95:D98)</f>
        <v>14024565</v>
      </c>
      <c r="E146" s="1125">
        <f t="shared" si="24"/>
        <v>777461</v>
      </c>
      <c r="F146" s="1125">
        <f t="shared" si="24"/>
        <v>4641804</v>
      </c>
      <c r="G146" s="1125">
        <f t="shared" si="24"/>
        <v>-2986</v>
      </c>
      <c r="H146" s="1125">
        <f t="shared" si="24"/>
        <v>3662061</v>
      </c>
      <c r="I146" s="1125">
        <f t="shared" si="24"/>
        <v>898464</v>
      </c>
      <c r="J146" s="1125">
        <f t="shared" si="24"/>
        <v>-13932</v>
      </c>
      <c r="K146" s="1125">
        <f t="shared" si="24"/>
        <v>2101</v>
      </c>
      <c r="L146" s="1125">
        <f t="shared" si="24"/>
        <v>728393</v>
      </c>
      <c r="M146" s="1125">
        <f t="shared" si="24"/>
        <v>22028333</v>
      </c>
      <c r="N146" s="1125">
        <f t="shared" si="24"/>
        <v>21299939</v>
      </c>
      <c r="O146" s="1125">
        <f t="shared" si="24"/>
        <v>-726292</v>
      </c>
      <c r="P146" s="2184">
        <f>ROUND((C146-C145)/C145*100,1)</f>
        <v>2.7</v>
      </c>
    </row>
    <row r="147" spans="1:16">
      <c r="A147" s="2180" t="s">
        <v>1764</v>
      </c>
      <c r="B147" s="2181">
        <v>2024</v>
      </c>
      <c r="C147" s="1125">
        <f>SUM(C99:C102)</f>
        <v>24764561</v>
      </c>
      <c r="D147" s="1125">
        <f t="shared" ref="D147:O147" si="25">SUM(D99:D102)</f>
        <v>14348115</v>
      </c>
      <c r="E147" s="1125">
        <f t="shared" si="25"/>
        <v>766156</v>
      </c>
      <c r="F147" s="1125">
        <f t="shared" si="25"/>
        <v>4822905</v>
      </c>
      <c r="G147" s="1125">
        <f t="shared" si="25"/>
        <v>-14442</v>
      </c>
      <c r="H147" s="1125">
        <f t="shared" si="25"/>
        <v>3834141</v>
      </c>
      <c r="I147" s="1125">
        <f t="shared" si="25"/>
        <v>919955</v>
      </c>
      <c r="J147" s="1125">
        <f t="shared" si="25"/>
        <v>-15023</v>
      </c>
      <c r="K147" s="1125">
        <f t="shared" si="25"/>
        <v>102757</v>
      </c>
      <c r="L147" s="1125">
        <f t="shared" si="25"/>
        <v>829049</v>
      </c>
      <c r="M147" s="1125">
        <f t="shared" si="25"/>
        <v>23038611</v>
      </c>
      <c r="N147" s="1125">
        <f t="shared" si="25"/>
        <v>22209561</v>
      </c>
      <c r="O147" s="1125">
        <f t="shared" si="25"/>
        <v>-726292</v>
      </c>
      <c r="P147" s="2184">
        <f>ROUND((C147-C146)/C146*100,1)</f>
        <v>3.2</v>
      </c>
    </row>
    <row r="149" spans="1:16">
      <c r="A149" s="75" t="s">
        <v>1202</v>
      </c>
      <c r="B149" s="680">
        <v>2002</v>
      </c>
      <c r="C149" s="75">
        <f>SUM(C10:C13)</f>
        <v>20103660.561745837</v>
      </c>
    </row>
    <row r="150" spans="1:16">
      <c r="A150" s="75" t="s">
        <v>1203</v>
      </c>
      <c r="B150" s="680">
        <v>2003</v>
      </c>
      <c r="C150" s="75">
        <f>SUM(C14:C17)</f>
        <v>19799796.298348345</v>
      </c>
    </row>
    <row r="151" spans="1:16">
      <c r="A151" s="75" t="s">
        <v>1204</v>
      </c>
      <c r="B151" s="680" t="s">
        <v>990</v>
      </c>
      <c r="C151" s="75">
        <f>SUM(C18:C21)</f>
        <v>19975603.091733731</v>
      </c>
    </row>
    <row r="152" spans="1:16">
      <c r="A152" s="75" t="s">
        <v>1205</v>
      </c>
      <c r="B152" s="680" t="s">
        <v>991</v>
      </c>
      <c r="C152" s="75">
        <f>SUM(C22:C25)</f>
        <v>20009861.029561408</v>
      </c>
    </row>
    <row r="153" spans="1:16">
      <c r="A153" s="456" t="s">
        <v>1206</v>
      </c>
      <c r="B153" s="1119" t="s">
        <v>992</v>
      </c>
      <c r="C153" s="456">
        <f>SUM(C26:C29)</f>
        <v>20521896.033234593</v>
      </c>
    </row>
    <row r="154" spans="1:16">
      <c r="A154" s="456" t="s">
        <v>1207</v>
      </c>
      <c r="B154" s="1119" t="s">
        <v>993</v>
      </c>
      <c r="C154" s="456">
        <f>SUM(C30:C33)</f>
        <v>21255943</v>
      </c>
    </row>
    <row r="155" spans="1:16">
      <c r="A155" s="456" t="s">
        <v>1208</v>
      </c>
      <c r="B155" s="1119" t="s">
        <v>994</v>
      </c>
      <c r="C155" s="456">
        <f>SUM(C34:C37)</f>
        <v>21377593</v>
      </c>
    </row>
    <row r="156" spans="1:16">
      <c r="A156" s="456" t="s">
        <v>1209</v>
      </c>
      <c r="B156" s="1119" t="s">
        <v>996</v>
      </c>
      <c r="C156" s="456">
        <f>SUM(C38:C41)</f>
        <v>19455716</v>
      </c>
    </row>
    <row r="157" spans="1:16">
      <c r="A157" s="456" t="s">
        <v>1210</v>
      </c>
      <c r="B157" s="1119">
        <v>2010</v>
      </c>
      <c r="C157" s="456">
        <f>SUM(C42:C45)</f>
        <v>20422066</v>
      </c>
    </row>
    <row r="158" spans="1:16">
      <c r="A158" s="456" t="s">
        <v>1211</v>
      </c>
      <c r="B158" s="1119">
        <v>2011</v>
      </c>
      <c r="C158" s="456">
        <f>SUM(C46:C49)</f>
        <v>19988560</v>
      </c>
    </row>
    <row r="159" spans="1:16">
      <c r="A159" s="456" t="s">
        <v>1212</v>
      </c>
      <c r="B159" s="1119">
        <v>2012</v>
      </c>
      <c r="C159" s="456">
        <f>SUM(C50:C53)</f>
        <v>19909340</v>
      </c>
    </row>
    <row r="160" spans="1:16">
      <c r="A160" s="456" t="s">
        <v>1213</v>
      </c>
      <c r="B160" s="1119">
        <v>2013</v>
      </c>
      <c r="C160" s="456">
        <f>SUM(C54:C57)</f>
        <v>20381831</v>
      </c>
    </row>
    <row r="161" spans="1:3">
      <c r="A161" s="456" t="s">
        <v>1214</v>
      </c>
      <c r="B161" s="1119">
        <v>2014</v>
      </c>
      <c r="C161" s="456">
        <f>SUM(C58:C61)</f>
        <v>20618015</v>
      </c>
    </row>
    <row r="162" spans="1:3">
      <c r="A162" s="456" t="s">
        <v>125</v>
      </c>
      <c r="B162" s="1119">
        <v>2015</v>
      </c>
      <c r="C162" s="456">
        <f>SUM(C62:C65)</f>
        <v>21564295</v>
      </c>
    </row>
    <row r="163" spans="1:3">
      <c r="A163" s="456" t="s">
        <v>1023</v>
      </c>
      <c r="B163" s="1119">
        <v>2016</v>
      </c>
      <c r="C163" s="456">
        <f>SUM(C66:C69)</f>
        <v>21905374</v>
      </c>
    </row>
    <row r="164" spans="1:3">
      <c r="A164" s="456" t="s">
        <v>1058</v>
      </c>
      <c r="B164" s="1119">
        <v>2017</v>
      </c>
      <c r="C164" s="456">
        <f>SUM(C70:C73)</f>
        <v>22234975</v>
      </c>
    </row>
    <row r="165" spans="1:3">
      <c r="A165" s="456" t="s">
        <v>1091</v>
      </c>
      <c r="B165" s="1119">
        <v>2018</v>
      </c>
      <c r="C165" s="456">
        <f>SUM(C74:C77)</f>
        <v>22269863</v>
      </c>
    </row>
    <row r="166" spans="1:3">
      <c r="A166" s="456" t="s">
        <v>1215</v>
      </c>
      <c r="B166" s="1119">
        <v>2019</v>
      </c>
      <c r="C166" s="456">
        <f>SUM(C78:C81)</f>
        <v>22454097</v>
      </c>
    </row>
    <row r="167" spans="1:3">
      <c r="A167" s="456" t="s">
        <v>1216</v>
      </c>
      <c r="B167" s="1120">
        <v>2020</v>
      </c>
      <c r="C167" s="456">
        <f>SUM(C82:C85)</f>
        <v>21879621</v>
      </c>
    </row>
    <row r="168" spans="1:3">
      <c r="A168" s="456" t="s">
        <v>1525</v>
      </c>
      <c r="B168" s="1120">
        <v>2021</v>
      </c>
      <c r="C168" s="456">
        <f>SUM(C86:C89)</f>
        <v>22541673</v>
      </c>
    </row>
    <row r="169" spans="1:3">
      <c r="A169" s="456" t="s">
        <v>1218</v>
      </c>
      <c r="B169" s="1120">
        <v>2022</v>
      </c>
      <c r="C169" s="456">
        <f>SUM(C90:C93)</f>
        <v>23071002</v>
      </c>
    </row>
    <row r="170" spans="1:3">
      <c r="A170" s="456" t="s">
        <v>1548</v>
      </c>
      <c r="B170" s="1120">
        <v>2023</v>
      </c>
      <c r="C170" s="456">
        <f>SUM(C94:C97)</f>
        <v>23945759</v>
      </c>
    </row>
    <row r="171" spans="1:3">
      <c r="A171" s="456" t="s">
        <v>1733</v>
      </c>
      <c r="B171" s="1120">
        <v>2024</v>
      </c>
      <c r="C171" s="456">
        <f>SUM(C98:C101)</f>
        <v>24501615</v>
      </c>
    </row>
    <row r="172" spans="1:3">
      <c r="A172" s="456" t="s">
        <v>1792</v>
      </c>
      <c r="B172" s="1120">
        <v>2025</v>
      </c>
      <c r="C172" s="456">
        <f>SUM(C102:C105)</f>
        <v>25454743</v>
      </c>
    </row>
  </sheetData>
  <phoneticPr fontId="13"/>
  <pageMargins left="0" right="0" top="0.98425196850393704" bottom="0.98425196850393704" header="0.51181102362204722" footer="0.51181102362204722"/>
  <pageSetup paperSize="9" scale="8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8"/>
  <dimension ref="A1:AL197"/>
  <sheetViews>
    <sheetView workbookViewId="0">
      <pane xSplit="20" ySplit="5" topLeftCell="AA6" activePane="bottomRight" state="frozen"/>
      <selection pane="topRight" activeCell="U1" sqref="U1"/>
      <selection pane="bottomLeft" activeCell="A6" sqref="A6"/>
      <selection pane="bottomRight" activeCell="AL8" sqref="AL8"/>
    </sheetView>
  </sheetViews>
  <sheetFormatPr defaultColWidth="8.7109375" defaultRowHeight="16.5"/>
  <cols>
    <col min="1" max="1" width="1.92578125" style="240" customWidth="1"/>
    <col min="2" max="2" width="4.7109375" style="240" customWidth="1"/>
    <col min="3" max="3" width="11.2109375" style="240" customWidth="1"/>
    <col min="4" max="4" width="9.5" style="240" hidden="1" customWidth="1"/>
    <col min="5" max="20" width="10" style="240" hidden="1" customWidth="1"/>
    <col min="21" max="22" width="10" style="240" customWidth="1"/>
    <col min="23" max="26" width="8.7109375" style="240"/>
    <col min="27" max="27" width="9.0703125"/>
    <col min="28" max="28" width="9.0703125" customWidth="1"/>
    <col min="29" max="30" width="8.7109375" style="240"/>
    <col min="31" max="31" width="8.7109375" style="240" customWidth="1"/>
    <col min="32" max="16384" width="8.7109375" style="240"/>
  </cols>
  <sheetData>
    <row r="1" spans="1:38" ht="19" customHeight="1">
      <c r="A1" s="260" t="s">
        <v>1305</v>
      </c>
      <c r="B1" s="261"/>
      <c r="C1" s="262"/>
      <c r="D1" s="262"/>
      <c r="J1" s="263" t="s">
        <v>813</v>
      </c>
      <c r="L1" s="263"/>
      <c r="P1" s="240" t="s">
        <v>852</v>
      </c>
      <c r="Y1" s="240" t="s">
        <v>347</v>
      </c>
      <c r="AA1" s="49" t="s">
        <v>11</v>
      </c>
      <c r="AB1" s="240" t="s">
        <v>11</v>
      </c>
    </row>
    <row r="2" spans="1:38" ht="19" customHeight="1" thickBot="1">
      <c r="A2" s="261"/>
      <c r="B2" s="261"/>
      <c r="C2" s="563" t="s">
        <v>1758</v>
      </c>
      <c r="D2" s="262">
        <v>18616600</v>
      </c>
      <c r="E2" s="262">
        <v>19663092</v>
      </c>
      <c r="F2" s="262">
        <v>20005341</v>
      </c>
      <c r="G2" s="262">
        <v>20539323</v>
      </c>
      <c r="H2" s="262">
        <v>20169682</v>
      </c>
      <c r="I2" s="262">
        <v>21374687</v>
      </c>
      <c r="J2" s="262">
        <v>22125426</v>
      </c>
      <c r="K2" s="262">
        <v>21732653</v>
      </c>
      <c r="L2" s="262">
        <v>20884183</v>
      </c>
      <c r="M2" s="262">
        <v>20272696</v>
      </c>
      <c r="N2" s="262">
        <v>20336615</v>
      </c>
      <c r="O2" s="262">
        <v>19309150</v>
      </c>
      <c r="P2" s="702">
        <f>名目県内総支出!C44</f>
        <v>20263967</v>
      </c>
      <c r="Q2" s="702">
        <f>名目県内総支出!D44</f>
        <v>19975742</v>
      </c>
      <c r="R2" s="702">
        <f>名目県内総支出!E44</f>
        <v>19793033</v>
      </c>
      <c r="S2" s="702">
        <f>名目県内総支出!F44</f>
        <v>20010092</v>
      </c>
      <c r="T2" s="702">
        <f>名目県内総支出!G44</f>
        <v>20020257</v>
      </c>
      <c r="AI2" s="240" t="s">
        <v>818</v>
      </c>
    </row>
    <row r="3" spans="1:38" ht="19" customHeight="1">
      <c r="A3" s="264"/>
      <c r="B3" s="265"/>
      <c r="C3" s="266" t="s">
        <v>319</v>
      </c>
      <c r="D3" s="404"/>
      <c r="E3" s="404"/>
      <c r="F3" s="404"/>
      <c r="G3" s="404"/>
      <c r="H3" s="404"/>
      <c r="I3" s="404"/>
      <c r="J3" s="404"/>
      <c r="K3" s="404"/>
      <c r="L3" s="404"/>
      <c r="M3" s="404"/>
      <c r="N3" s="404"/>
      <c r="O3" s="404"/>
      <c r="P3" s="703"/>
      <c r="Q3" s="703"/>
      <c r="R3" s="704"/>
      <c r="S3" s="704"/>
      <c r="T3" s="704"/>
      <c r="U3" s="900"/>
      <c r="V3" s="677"/>
      <c r="W3" s="677"/>
      <c r="X3" s="1535"/>
      <c r="Y3" s="1535"/>
      <c r="Z3" s="1536"/>
      <c r="AA3" s="1536"/>
      <c r="AB3" s="1536"/>
      <c r="AC3" s="1535"/>
      <c r="AD3" s="1535"/>
      <c r="AE3" s="1535"/>
      <c r="AF3" s="1535"/>
      <c r="AG3" s="1535"/>
      <c r="AH3" s="1068"/>
      <c r="AI3" s="1535"/>
      <c r="AJ3" s="1535"/>
      <c r="AK3" s="1535"/>
      <c r="AL3" s="1535"/>
    </row>
    <row r="4" spans="1:38" ht="19" customHeight="1">
      <c r="A4" s="267"/>
      <c r="B4" s="249"/>
      <c r="C4" s="249"/>
      <c r="D4" s="405" t="s">
        <v>352</v>
      </c>
      <c r="E4" s="405" t="s">
        <v>353</v>
      </c>
      <c r="F4" s="405" t="s">
        <v>354</v>
      </c>
      <c r="G4" s="405" t="s">
        <v>355</v>
      </c>
      <c r="H4" s="405" t="s">
        <v>356</v>
      </c>
      <c r="I4" s="405" t="s">
        <v>357</v>
      </c>
      <c r="J4" s="405" t="s">
        <v>358</v>
      </c>
      <c r="K4" s="405" t="s">
        <v>359</v>
      </c>
      <c r="L4" s="405" t="s">
        <v>361</v>
      </c>
      <c r="M4" s="405" t="s">
        <v>362</v>
      </c>
      <c r="N4" s="405" t="s">
        <v>363</v>
      </c>
      <c r="O4" s="405" t="s">
        <v>364</v>
      </c>
      <c r="P4" s="705" t="s">
        <v>364</v>
      </c>
      <c r="Q4" s="705" t="s">
        <v>365</v>
      </c>
      <c r="R4" s="705" t="s">
        <v>366</v>
      </c>
      <c r="S4" s="706" t="s">
        <v>367</v>
      </c>
      <c r="T4" s="706" t="s">
        <v>368</v>
      </c>
      <c r="U4" s="902" t="s">
        <v>369</v>
      </c>
      <c r="V4" s="678" t="s">
        <v>370</v>
      </c>
      <c r="W4" s="678" t="s">
        <v>858</v>
      </c>
      <c r="X4" s="1537" t="s">
        <v>859</v>
      </c>
      <c r="Y4" s="1537" t="s">
        <v>911</v>
      </c>
      <c r="Z4" s="571" t="s">
        <v>96</v>
      </c>
      <c r="AA4" s="571" t="s">
        <v>118</v>
      </c>
      <c r="AB4" s="571" t="s">
        <v>119</v>
      </c>
      <c r="AC4" s="1537" t="s">
        <v>67</v>
      </c>
      <c r="AD4" s="1537" t="s">
        <v>157</v>
      </c>
      <c r="AE4" s="1537" t="s">
        <v>1000</v>
      </c>
      <c r="AF4" s="1537" t="s">
        <v>1036</v>
      </c>
      <c r="AG4" s="1537" t="s">
        <v>1062</v>
      </c>
      <c r="AH4" s="456" t="s">
        <v>1231</v>
      </c>
      <c r="AI4" s="571" t="s">
        <v>1571</v>
      </c>
      <c r="AJ4" s="571" t="s">
        <v>1696</v>
      </c>
      <c r="AK4" s="571" t="s">
        <v>1757</v>
      </c>
      <c r="AL4" s="571" t="s">
        <v>1836</v>
      </c>
    </row>
    <row r="5" spans="1:38" ht="19" customHeight="1">
      <c r="A5" s="267"/>
      <c r="B5" s="249"/>
      <c r="C5" s="249" t="s">
        <v>320</v>
      </c>
      <c r="D5" s="554"/>
      <c r="E5" s="554"/>
      <c r="F5" s="554"/>
      <c r="G5" s="554"/>
      <c r="H5" s="554"/>
      <c r="I5" s="554"/>
      <c r="J5" s="554"/>
      <c r="K5" s="554"/>
      <c r="L5" s="554"/>
      <c r="M5" s="554"/>
      <c r="N5" s="554"/>
      <c r="O5" s="554"/>
      <c r="P5" s="707"/>
      <c r="Q5" s="707"/>
      <c r="R5" s="708"/>
      <c r="S5" s="708"/>
      <c r="T5" s="708"/>
      <c r="U5" s="904"/>
      <c r="V5" s="905"/>
      <c r="W5" s="905"/>
      <c r="X5" s="1538"/>
      <c r="Y5" s="1538"/>
      <c r="Z5" s="571"/>
      <c r="AA5" s="571"/>
      <c r="AB5" s="571"/>
      <c r="AC5" s="1538"/>
      <c r="AD5" s="1537" t="s">
        <v>1102</v>
      </c>
      <c r="AE5" s="1537" t="s">
        <v>11</v>
      </c>
      <c r="AF5" s="1537" t="s">
        <v>11</v>
      </c>
      <c r="AG5" s="1537" t="s">
        <v>11</v>
      </c>
      <c r="AH5" s="926" t="s">
        <v>11</v>
      </c>
      <c r="AI5" s="1537" t="s">
        <v>11</v>
      </c>
      <c r="AJ5" s="1539"/>
      <c r="AK5" s="1539"/>
      <c r="AL5" s="1539"/>
    </row>
    <row r="6" spans="1:38" ht="19" customHeight="1">
      <c r="A6" s="273" t="s">
        <v>321</v>
      </c>
      <c r="B6" s="270"/>
      <c r="C6" s="270" t="s">
        <v>322</v>
      </c>
      <c r="D6" s="349">
        <f t="shared" ref="D6:O6" si="0">SUM(D7:D16)</f>
        <v>18616600</v>
      </c>
      <c r="E6" s="349">
        <f t="shared" si="0"/>
        <v>19663092</v>
      </c>
      <c r="F6" s="349">
        <f t="shared" si="0"/>
        <v>20005341</v>
      </c>
      <c r="G6" s="349">
        <f t="shared" si="0"/>
        <v>20539323</v>
      </c>
      <c r="H6" s="349">
        <f t="shared" si="0"/>
        <v>20169682</v>
      </c>
      <c r="I6" s="349">
        <f t="shared" si="0"/>
        <v>21374687</v>
      </c>
      <c r="J6" s="349">
        <f t="shared" si="0"/>
        <v>22125426</v>
      </c>
      <c r="K6" s="349">
        <f t="shared" si="0"/>
        <v>21732653</v>
      </c>
      <c r="L6" s="349">
        <f t="shared" si="0"/>
        <v>20884183</v>
      </c>
      <c r="M6" s="349">
        <f t="shared" si="0"/>
        <v>20272696</v>
      </c>
      <c r="N6" s="349">
        <f t="shared" si="0"/>
        <v>20336615</v>
      </c>
      <c r="O6" s="349">
        <f t="shared" si="0"/>
        <v>19309150</v>
      </c>
      <c r="P6" s="709">
        <v>20263967</v>
      </c>
      <c r="Q6" s="709">
        <f>+Q2</f>
        <v>19975742</v>
      </c>
      <c r="R6" s="709">
        <f t="shared" ref="R6:T6" si="1">+R2</f>
        <v>19793033</v>
      </c>
      <c r="S6" s="709">
        <f t="shared" si="1"/>
        <v>20010092</v>
      </c>
      <c r="T6" s="709">
        <f t="shared" si="1"/>
        <v>20020257</v>
      </c>
      <c r="U6" s="262">
        <f>名目県内総支出!H44</f>
        <v>19997123</v>
      </c>
      <c r="V6" s="262">
        <f>名目県内総支出!I44</f>
        <v>19875506</v>
      </c>
      <c r="W6" s="262">
        <f>名目県内総支出!J44</f>
        <v>20571143</v>
      </c>
      <c r="X6" s="262">
        <f>名目県内総支出!K44</f>
        <v>20741145</v>
      </c>
      <c r="Y6" s="262">
        <f>名目県内総支出!L44</f>
        <v>21747193</v>
      </c>
      <c r="Z6" s="262">
        <f>名目県内総支出!M44</f>
        <v>19997123</v>
      </c>
      <c r="AA6" s="262">
        <f>名目県内総支出!N44</f>
        <v>19875506</v>
      </c>
      <c r="AB6" s="262">
        <f>名目県内総支出!O44</f>
        <v>20571143</v>
      </c>
      <c r="AC6" s="262">
        <f>名目県内総支出!P44</f>
        <v>20741145</v>
      </c>
      <c r="AD6" s="262">
        <f>名目県内総支出!Q44</f>
        <v>21747193</v>
      </c>
      <c r="AE6" s="262">
        <f>名目県内総支出!R44</f>
        <v>21965422</v>
      </c>
      <c r="AF6" s="262">
        <f>名目県内総支出!S44</f>
        <v>22283273</v>
      </c>
      <c r="AG6" s="262">
        <f>名目県内総支出!T44</f>
        <v>22237660</v>
      </c>
      <c r="AH6" s="262">
        <f>名目県内総支出!U44</f>
        <v>22472835</v>
      </c>
      <c r="AI6" s="262">
        <f>名目県内総支出!V44</f>
        <v>21896001</v>
      </c>
      <c r="AJ6" s="262">
        <f>名目県内総支出!W44</f>
        <v>22596893</v>
      </c>
      <c r="AK6" s="262">
        <f>名目県内総支出!X44</f>
        <v>23362116</v>
      </c>
      <c r="AL6" s="262">
        <f>名目県内総支出!Y44</f>
        <v>23989541</v>
      </c>
    </row>
    <row r="7" spans="1:38" ht="19" customHeight="1">
      <c r="A7" s="267"/>
      <c r="B7" s="249">
        <v>100</v>
      </c>
      <c r="C7" s="249" t="s">
        <v>172</v>
      </c>
      <c r="D7" s="350">
        <f t="shared" ref="D7:O7" si="2">D18</f>
        <v>6067956</v>
      </c>
      <c r="E7" s="350">
        <f t="shared" si="2"/>
        <v>6416903</v>
      </c>
      <c r="F7" s="350">
        <f t="shared" si="2"/>
        <v>6618219</v>
      </c>
      <c r="G7" s="350">
        <f t="shared" si="2"/>
        <v>6834375</v>
      </c>
      <c r="H7" s="350">
        <f t="shared" si="2"/>
        <v>6670353</v>
      </c>
      <c r="I7" s="350">
        <f t="shared" si="2"/>
        <v>6992509</v>
      </c>
      <c r="J7" s="350">
        <f t="shared" si="2"/>
        <v>7321309</v>
      </c>
      <c r="K7" s="350">
        <f t="shared" si="2"/>
        <v>7090683</v>
      </c>
      <c r="L7" s="350">
        <f t="shared" si="2"/>
        <v>6903493</v>
      </c>
      <c r="M7" s="350">
        <f t="shared" si="2"/>
        <v>6742320</v>
      </c>
      <c r="N7" s="350">
        <f t="shared" si="2"/>
        <v>6701485</v>
      </c>
      <c r="O7" s="350">
        <f t="shared" si="2"/>
        <v>6407686</v>
      </c>
      <c r="P7" s="710">
        <f t="shared" ref="P7:R8" si="3">P18</f>
        <v>6318738</v>
      </c>
      <c r="Q7" s="710">
        <f t="shared" si="3"/>
        <v>6149157</v>
      </c>
      <c r="R7" s="710">
        <f t="shared" si="3"/>
        <v>6100559</v>
      </c>
      <c r="S7" s="710">
        <f t="shared" ref="S7:AG7" si="4">S18</f>
        <v>6165835</v>
      </c>
      <c r="T7" s="710">
        <f t="shared" si="4"/>
        <v>6152822</v>
      </c>
      <c r="U7" s="452">
        <f t="shared" si="4"/>
        <v>6161480</v>
      </c>
      <c r="V7" s="452">
        <f t="shared" si="4"/>
        <v>6108860</v>
      </c>
      <c r="W7" s="452">
        <f t="shared" si="4"/>
        <v>6354679</v>
      </c>
      <c r="X7" s="452">
        <f t="shared" si="4"/>
        <v>6652436</v>
      </c>
      <c r="Y7" s="452">
        <f t="shared" si="4"/>
        <v>6937416</v>
      </c>
      <c r="Z7" s="452">
        <f t="shared" si="4"/>
        <v>6432390</v>
      </c>
      <c r="AA7" s="452">
        <f t="shared" si="4"/>
        <v>6348572</v>
      </c>
      <c r="AB7" s="452">
        <f t="shared" si="4"/>
        <v>6421649</v>
      </c>
      <c r="AC7" s="452">
        <f t="shared" si="4"/>
        <v>6542948</v>
      </c>
      <c r="AD7" s="452">
        <f t="shared" si="4"/>
        <v>6861821</v>
      </c>
      <c r="AE7" s="452">
        <f t="shared" si="4"/>
        <v>6885364</v>
      </c>
      <c r="AF7" s="452">
        <f t="shared" si="4"/>
        <v>6983569</v>
      </c>
      <c r="AG7" s="452">
        <f t="shared" si="4"/>
        <v>6950990</v>
      </c>
      <c r="AH7" s="452">
        <f t="shared" ref="AH7:AJ8" si="5">AH18</f>
        <v>7083806</v>
      </c>
      <c r="AI7" s="452">
        <f t="shared" si="5"/>
        <v>6827769</v>
      </c>
      <c r="AJ7" s="452">
        <f t="shared" si="5"/>
        <v>6947990</v>
      </c>
      <c r="AK7" s="452">
        <f t="shared" ref="AK7:AL7" si="6">AK18</f>
        <v>7287424</v>
      </c>
      <c r="AL7" s="452">
        <f t="shared" si="6"/>
        <v>7529880</v>
      </c>
    </row>
    <row r="8" spans="1:38" ht="19" customHeight="1">
      <c r="A8" s="267"/>
      <c r="B8" s="249">
        <v>1</v>
      </c>
      <c r="C8" s="249" t="s">
        <v>323</v>
      </c>
      <c r="D8" s="350">
        <f t="shared" ref="D8:O8" si="7">D19</f>
        <v>3125545</v>
      </c>
      <c r="E8" s="350">
        <f t="shared" si="7"/>
        <v>3190427</v>
      </c>
      <c r="F8" s="350">
        <f t="shared" si="7"/>
        <v>3207887</v>
      </c>
      <c r="G8" s="350">
        <f t="shared" si="7"/>
        <v>3201428</v>
      </c>
      <c r="H8" s="350">
        <f t="shared" si="7"/>
        <v>3153339</v>
      </c>
      <c r="I8" s="350">
        <f t="shared" si="7"/>
        <v>3435002</v>
      </c>
      <c r="J8" s="350">
        <f t="shared" si="7"/>
        <v>3499138</v>
      </c>
      <c r="K8" s="350">
        <f t="shared" si="7"/>
        <v>3329135</v>
      </c>
      <c r="L8" s="350">
        <f t="shared" si="7"/>
        <v>3051295</v>
      </c>
      <c r="M8" s="350">
        <f t="shared" si="7"/>
        <v>2869443</v>
      </c>
      <c r="N8" s="350">
        <f t="shared" si="7"/>
        <v>2919217</v>
      </c>
      <c r="O8" s="350">
        <f t="shared" si="7"/>
        <v>2794660</v>
      </c>
      <c r="P8" s="710">
        <f t="shared" si="3"/>
        <v>3096571</v>
      </c>
      <c r="Q8" s="710">
        <f t="shared" si="3"/>
        <v>2973093</v>
      </c>
      <c r="R8" s="710">
        <f t="shared" si="3"/>
        <v>2945709</v>
      </c>
      <c r="S8" s="710">
        <f t="shared" ref="S8:AG8" si="8">S19</f>
        <v>2986248</v>
      </c>
      <c r="T8" s="710">
        <f t="shared" si="8"/>
        <v>3027382</v>
      </c>
      <c r="U8" s="452">
        <f t="shared" si="8"/>
        <v>3072775</v>
      </c>
      <c r="V8" s="452">
        <f t="shared" si="8"/>
        <v>3076906</v>
      </c>
      <c r="W8" s="452">
        <f t="shared" si="8"/>
        <v>3121806</v>
      </c>
      <c r="X8" s="452">
        <f t="shared" si="8"/>
        <v>3188094</v>
      </c>
      <c r="Y8" s="452">
        <f t="shared" si="8"/>
        <v>3464074</v>
      </c>
      <c r="Z8" s="452">
        <f t="shared" si="8"/>
        <v>3245720</v>
      </c>
      <c r="AA8" s="452">
        <f t="shared" si="8"/>
        <v>3169353</v>
      </c>
      <c r="AB8" s="452">
        <f t="shared" si="8"/>
        <v>3309950</v>
      </c>
      <c r="AC8" s="452">
        <f t="shared" si="8"/>
        <v>3308965</v>
      </c>
      <c r="AD8" s="452">
        <f t="shared" si="8"/>
        <v>3538433</v>
      </c>
      <c r="AE8" s="452">
        <f t="shared" si="8"/>
        <v>3558388</v>
      </c>
      <c r="AF8" s="452">
        <f t="shared" si="8"/>
        <v>3670272</v>
      </c>
      <c r="AG8" s="452">
        <f t="shared" si="8"/>
        <v>3642087</v>
      </c>
      <c r="AH8" s="452">
        <f t="shared" si="5"/>
        <v>3695848</v>
      </c>
      <c r="AI8" s="452">
        <f t="shared" si="5"/>
        <v>3523512</v>
      </c>
      <c r="AJ8" s="452">
        <f t="shared" si="5"/>
        <v>3696176</v>
      </c>
      <c r="AK8" s="452">
        <f t="shared" ref="AK8:AL8" si="9">AK19</f>
        <v>3765146</v>
      </c>
      <c r="AL8" s="452">
        <f t="shared" si="9"/>
        <v>3908745</v>
      </c>
    </row>
    <row r="9" spans="1:38" ht="19" customHeight="1">
      <c r="A9" s="267"/>
      <c r="B9" s="249">
        <v>2</v>
      </c>
      <c r="C9" s="249" t="s">
        <v>324</v>
      </c>
      <c r="D9" s="350">
        <f t="shared" ref="D9:O9" si="10">D23</f>
        <v>1576950</v>
      </c>
      <c r="E9" s="350">
        <f t="shared" si="10"/>
        <v>1655457</v>
      </c>
      <c r="F9" s="350">
        <f t="shared" si="10"/>
        <v>1683814</v>
      </c>
      <c r="G9" s="350">
        <f t="shared" si="10"/>
        <v>1738581</v>
      </c>
      <c r="H9" s="350">
        <f t="shared" si="10"/>
        <v>1658927</v>
      </c>
      <c r="I9" s="350">
        <f t="shared" si="10"/>
        <v>1825374</v>
      </c>
      <c r="J9" s="350">
        <f t="shared" si="10"/>
        <v>1875970</v>
      </c>
      <c r="K9" s="350">
        <f t="shared" si="10"/>
        <v>1907783</v>
      </c>
      <c r="L9" s="350">
        <f t="shared" si="10"/>
        <v>1867085</v>
      </c>
      <c r="M9" s="350">
        <f t="shared" si="10"/>
        <v>1786138</v>
      </c>
      <c r="N9" s="350">
        <f t="shared" si="10"/>
        <v>1794899</v>
      </c>
      <c r="O9" s="350">
        <f t="shared" si="10"/>
        <v>1724854</v>
      </c>
      <c r="P9" s="710">
        <f>P23</f>
        <v>1798170</v>
      </c>
      <c r="Q9" s="710">
        <f>Q23</f>
        <v>1762877</v>
      </c>
      <c r="R9" s="710">
        <f>R23</f>
        <v>1773838</v>
      </c>
      <c r="S9" s="710">
        <f t="shared" ref="S9:AG9" si="11">S23</f>
        <v>1816741</v>
      </c>
      <c r="T9" s="710">
        <f t="shared" si="11"/>
        <v>1845893</v>
      </c>
      <c r="U9" s="452">
        <f t="shared" si="11"/>
        <v>1858761</v>
      </c>
      <c r="V9" s="452">
        <f t="shared" si="11"/>
        <v>1835755</v>
      </c>
      <c r="W9" s="452">
        <f t="shared" si="11"/>
        <v>1850269</v>
      </c>
      <c r="X9" s="452">
        <f t="shared" si="11"/>
        <v>1896926</v>
      </c>
      <c r="Y9" s="452">
        <f t="shared" si="11"/>
        <v>1981804</v>
      </c>
      <c r="Z9" s="452">
        <f t="shared" si="11"/>
        <v>1916235</v>
      </c>
      <c r="AA9" s="452">
        <f t="shared" si="11"/>
        <v>1951839</v>
      </c>
      <c r="AB9" s="452">
        <f t="shared" si="11"/>
        <v>1969036</v>
      </c>
      <c r="AC9" s="452">
        <f t="shared" si="11"/>
        <v>1950165</v>
      </c>
      <c r="AD9" s="452">
        <f t="shared" si="11"/>
        <v>2053609</v>
      </c>
      <c r="AE9" s="452">
        <f t="shared" si="11"/>
        <v>2143401</v>
      </c>
      <c r="AF9" s="452">
        <f t="shared" si="11"/>
        <v>2115268</v>
      </c>
      <c r="AG9" s="452">
        <f t="shared" si="11"/>
        <v>2107783</v>
      </c>
      <c r="AH9" s="452">
        <f>AH23</f>
        <v>2072364</v>
      </c>
      <c r="AI9" s="452">
        <f>AI23</f>
        <v>2047222</v>
      </c>
      <c r="AJ9" s="452">
        <f>AJ23</f>
        <v>2206039</v>
      </c>
      <c r="AK9" s="452">
        <f>AK23</f>
        <v>2267467</v>
      </c>
      <c r="AL9" s="452">
        <f>AL23</f>
        <v>2397898</v>
      </c>
    </row>
    <row r="10" spans="1:38" ht="19" customHeight="1">
      <c r="A10" s="267"/>
      <c r="B10" s="249">
        <v>3</v>
      </c>
      <c r="C10" s="249" t="s">
        <v>192</v>
      </c>
      <c r="D10" s="350">
        <f t="shared" ref="D10:O10" si="12">D29</f>
        <v>2367397</v>
      </c>
      <c r="E10" s="350">
        <f t="shared" si="12"/>
        <v>2523776</v>
      </c>
      <c r="F10" s="350">
        <f t="shared" si="12"/>
        <v>2478690</v>
      </c>
      <c r="G10" s="350">
        <f t="shared" si="12"/>
        <v>2523951</v>
      </c>
      <c r="H10" s="350">
        <f t="shared" si="12"/>
        <v>2477201</v>
      </c>
      <c r="I10" s="350">
        <f t="shared" si="12"/>
        <v>2665683</v>
      </c>
      <c r="J10" s="350">
        <f t="shared" si="12"/>
        <v>2738032</v>
      </c>
      <c r="K10" s="350">
        <f t="shared" si="12"/>
        <v>2746550</v>
      </c>
      <c r="L10" s="350">
        <f t="shared" si="12"/>
        <v>2604519</v>
      </c>
      <c r="M10" s="350">
        <f t="shared" si="12"/>
        <v>2546275</v>
      </c>
      <c r="N10" s="350">
        <f t="shared" si="12"/>
        <v>2587981</v>
      </c>
      <c r="O10" s="350">
        <f t="shared" si="12"/>
        <v>2354473</v>
      </c>
      <c r="P10" s="710">
        <f>P29</f>
        <v>2559714</v>
      </c>
      <c r="Q10" s="710">
        <f>Q29</f>
        <v>2617974</v>
      </c>
      <c r="R10" s="710">
        <f>R29</f>
        <v>2634526</v>
      </c>
      <c r="S10" s="710">
        <f t="shared" ref="S10:AG10" si="13">S29</f>
        <v>2668198</v>
      </c>
      <c r="T10" s="710">
        <f t="shared" si="13"/>
        <v>2689288</v>
      </c>
      <c r="U10" s="452">
        <f t="shared" si="13"/>
        <v>2752357</v>
      </c>
      <c r="V10" s="452">
        <f t="shared" si="13"/>
        <v>2807437</v>
      </c>
      <c r="W10" s="452">
        <f t="shared" si="13"/>
        <v>2959266</v>
      </c>
      <c r="X10" s="452">
        <f t="shared" si="13"/>
        <v>2756065</v>
      </c>
      <c r="Y10" s="452">
        <f t="shared" si="13"/>
        <v>2871866</v>
      </c>
      <c r="Z10" s="452">
        <f t="shared" si="13"/>
        <v>2589684</v>
      </c>
      <c r="AA10" s="452">
        <f t="shared" si="13"/>
        <v>2742033</v>
      </c>
      <c r="AB10" s="452">
        <f t="shared" si="13"/>
        <v>2788089</v>
      </c>
      <c r="AC10" s="452">
        <f t="shared" si="13"/>
        <v>2821463</v>
      </c>
      <c r="AD10" s="452">
        <f t="shared" si="13"/>
        <v>2957502</v>
      </c>
      <c r="AE10" s="452">
        <f t="shared" si="13"/>
        <v>2909491</v>
      </c>
      <c r="AF10" s="452">
        <f t="shared" si="13"/>
        <v>2926149</v>
      </c>
      <c r="AG10" s="452">
        <f t="shared" si="13"/>
        <v>2965443</v>
      </c>
      <c r="AH10" s="452">
        <f>AH29</f>
        <v>3002259</v>
      </c>
      <c r="AI10" s="452">
        <f>AI29</f>
        <v>2971362</v>
      </c>
      <c r="AJ10" s="452">
        <f>AJ29</f>
        <v>2960193</v>
      </c>
      <c r="AK10" s="452">
        <f>AK29</f>
        <v>3191504</v>
      </c>
      <c r="AL10" s="452">
        <f>AL29</f>
        <v>3149681</v>
      </c>
    </row>
    <row r="11" spans="1:38" ht="19" customHeight="1">
      <c r="A11" s="267"/>
      <c r="B11" s="249">
        <v>4</v>
      </c>
      <c r="C11" s="249" t="s">
        <v>325</v>
      </c>
      <c r="D11" s="350">
        <f t="shared" ref="D11:O11" si="14">D35</f>
        <v>935624</v>
      </c>
      <c r="E11" s="350">
        <f t="shared" si="14"/>
        <v>1000739</v>
      </c>
      <c r="F11" s="350">
        <f t="shared" si="14"/>
        <v>1000435</v>
      </c>
      <c r="G11" s="350">
        <f t="shared" si="14"/>
        <v>1064175</v>
      </c>
      <c r="H11" s="350">
        <f t="shared" si="14"/>
        <v>1069024</v>
      </c>
      <c r="I11" s="350">
        <f t="shared" si="14"/>
        <v>1118785</v>
      </c>
      <c r="J11" s="350">
        <f t="shared" si="14"/>
        <v>1180292</v>
      </c>
      <c r="K11" s="350">
        <f t="shared" si="14"/>
        <v>1168959</v>
      </c>
      <c r="L11" s="350">
        <f t="shared" si="14"/>
        <v>1135522</v>
      </c>
      <c r="M11" s="350">
        <f t="shared" si="14"/>
        <v>1151481</v>
      </c>
      <c r="N11" s="350">
        <f t="shared" si="14"/>
        <v>1150549</v>
      </c>
      <c r="O11" s="350">
        <f t="shared" si="14"/>
        <v>1116779</v>
      </c>
      <c r="P11" s="710">
        <f>P35</f>
        <v>1212508</v>
      </c>
      <c r="Q11" s="710">
        <f>Q35</f>
        <v>1179008</v>
      </c>
      <c r="R11" s="710">
        <f>R35</f>
        <v>1173088</v>
      </c>
      <c r="S11" s="710">
        <f t="shared" ref="S11:AG11" si="15">S35</f>
        <v>1185382</v>
      </c>
      <c r="T11" s="710">
        <f t="shared" si="15"/>
        <v>1177893</v>
      </c>
      <c r="U11" s="452">
        <f t="shared" si="15"/>
        <v>1166063</v>
      </c>
      <c r="V11" s="452">
        <f t="shared" si="15"/>
        <v>1147763</v>
      </c>
      <c r="W11" s="452">
        <f t="shared" si="15"/>
        <v>1186285</v>
      </c>
      <c r="X11" s="452">
        <f t="shared" si="15"/>
        <v>1222708</v>
      </c>
      <c r="Y11" s="452">
        <f t="shared" si="15"/>
        <v>1240812</v>
      </c>
      <c r="Z11" s="452">
        <f t="shared" si="15"/>
        <v>1113960</v>
      </c>
      <c r="AA11" s="452">
        <f t="shared" si="15"/>
        <v>1094656</v>
      </c>
      <c r="AB11" s="452">
        <f t="shared" si="15"/>
        <v>1151557</v>
      </c>
      <c r="AC11" s="452">
        <f t="shared" si="15"/>
        <v>1151163</v>
      </c>
      <c r="AD11" s="452">
        <f t="shared" si="15"/>
        <v>1197785</v>
      </c>
      <c r="AE11" s="452">
        <f t="shared" si="15"/>
        <v>1259561</v>
      </c>
      <c r="AF11" s="452">
        <f t="shared" si="15"/>
        <v>1311666</v>
      </c>
      <c r="AG11" s="452">
        <f t="shared" si="15"/>
        <v>1296507</v>
      </c>
      <c r="AH11" s="452">
        <f>AH35</f>
        <v>1310283</v>
      </c>
      <c r="AI11" s="452">
        <f>AI35</f>
        <v>1299522</v>
      </c>
      <c r="AJ11" s="452">
        <f>AJ35</f>
        <v>1319932</v>
      </c>
      <c r="AK11" s="452">
        <f>AK35</f>
        <v>1305298</v>
      </c>
      <c r="AL11" s="452">
        <f>AL35</f>
        <v>1356148</v>
      </c>
    </row>
    <row r="12" spans="1:38" ht="19" customHeight="1">
      <c r="A12" s="267"/>
      <c r="B12" s="249">
        <v>5</v>
      </c>
      <c r="C12" s="249" t="s">
        <v>326</v>
      </c>
      <c r="D12" s="350">
        <f t="shared" ref="D12:O12" si="16">D42</f>
        <v>2374944</v>
      </c>
      <c r="E12" s="350">
        <f t="shared" si="16"/>
        <v>2532979</v>
      </c>
      <c r="F12" s="350">
        <f t="shared" si="16"/>
        <v>2625167</v>
      </c>
      <c r="G12" s="350">
        <f t="shared" si="16"/>
        <v>2626243</v>
      </c>
      <c r="H12" s="350">
        <f t="shared" si="16"/>
        <v>2571499</v>
      </c>
      <c r="I12" s="350">
        <f t="shared" si="16"/>
        <v>2636915</v>
      </c>
      <c r="J12" s="350">
        <f t="shared" si="16"/>
        <v>2733950</v>
      </c>
      <c r="K12" s="350">
        <f t="shared" si="16"/>
        <v>2713136</v>
      </c>
      <c r="L12" s="350">
        <f t="shared" si="16"/>
        <v>2602948</v>
      </c>
      <c r="M12" s="350">
        <f t="shared" si="16"/>
        <v>2482219</v>
      </c>
      <c r="N12" s="350">
        <f t="shared" si="16"/>
        <v>2490309</v>
      </c>
      <c r="O12" s="350">
        <f t="shared" si="16"/>
        <v>2377101</v>
      </c>
      <c r="P12" s="710">
        <f>P42</f>
        <v>2476248</v>
      </c>
      <c r="Q12" s="710">
        <f>Q42</f>
        <v>2488978</v>
      </c>
      <c r="R12" s="710">
        <f>R42</f>
        <v>2486176</v>
      </c>
      <c r="S12" s="710">
        <f t="shared" ref="S12:AG12" si="17">S42</f>
        <v>2540771</v>
      </c>
      <c r="T12" s="710">
        <f t="shared" si="17"/>
        <v>2561104</v>
      </c>
      <c r="U12" s="452">
        <f t="shared" si="17"/>
        <v>2515903</v>
      </c>
      <c r="V12" s="452">
        <f t="shared" si="17"/>
        <v>2479569</v>
      </c>
      <c r="W12" s="452">
        <f t="shared" si="17"/>
        <v>2681065</v>
      </c>
      <c r="X12" s="452">
        <f t="shared" si="17"/>
        <v>2529549</v>
      </c>
      <c r="Y12" s="452">
        <f t="shared" si="17"/>
        <v>2700289</v>
      </c>
      <c r="Z12" s="452">
        <f t="shared" si="17"/>
        <v>2382248</v>
      </c>
      <c r="AA12" s="452">
        <f t="shared" si="17"/>
        <v>2318281</v>
      </c>
      <c r="AB12" s="452">
        <f t="shared" si="17"/>
        <v>2510678</v>
      </c>
      <c r="AC12" s="452">
        <f t="shared" si="17"/>
        <v>2534302</v>
      </c>
      <c r="AD12" s="452">
        <f t="shared" si="17"/>
        <v>2608505</v>
      </c>
      <c r="AE12" s="452">
        <f t="shared" si="17"/>
        <v>2670969</v>
      </c>
      <c r="AF12" s="452">
        <f t="shared" si="17"/>
        <v>2678931</v>
      </c>
      <c r="AG12" s="452">
        <f t="shared" si="17"/>
        <v>2674825</v>
      </c>
      <c r="AH12" s="452">
        <f>AH42</f>
        <v>2648188</v>
      </c>
      <c r="AI12" s="452">
        <f>AI42</f>
        <v>2592307</v>
      </c>
      <c r="AJ12" s="452">
        <f>AJ42</f>
        <v>2822650</v>
      </c>
      <c r="AK12" s="452">
        <f>AK42</f>
        <v>2901482</v>
      </c>
      <c r="AL12" s="452">
        <f>AL42</f>
        <v>2930515</v>
      </c>
    </row>
    <row r="13" spans="1:38" ht="19" customHeight="1">
      <c r="A13" s="267"/>
      <c r="B13" s="249">
        <v>6</v>
      </c>
      <c r="C13" s="249" t="s">
        <v>327</v>
      </c>
      <c r="D13" s="350">
        <f t="shared" ref="D13:O13" si="18">D47</f>
        <v>841062</v>
      </c>
      <c r="E13" s="350">
        <f t="shared" si="18"/>
        <v>924502</v>
      </c>
      <c r="F13" s="350">
        <f t="shared" si="18"/>
        <v>920204</v>
      </c>
      <c r="G13" s="350">
        <f t="shared" si="18"/>
        <v>987501</v>
      </c>
      <c r="H13" s="350">
        <f t="shared" si="18"/>
        <v>1003328</v>
      </c>
      <c r="I13" s="350">
        <f t="shared" si="18"/>
        <v>1069716</v>
      </c>
      <c r="J13" s="350">
        <f t="shared" si="18"/>
        <v>1091352</v>
      </c>
      <c r="K13" s="350">
        <f t="shared" si="18"/>
        <v>1076205</v>
      </c>
      <c r="L13" s="350">
        <f t="shared" si="18"/>
        <v>1056198</v>
      </c>
      <c r="M13" s="350">
        <f t="shared" si="18"/>
        <v>1076206</v>
      </c>
      <c r="N13" s="350">
        <f t="shared" si="18"/>
        <v>1064573</v>
      </c>
      <c r="O13" s="350">
        <f t="shared" si="18"/>
        <v>978711</v>
      </c>
      <c r="P13" s="710">
        <f>P47</f>
        <v>1102427</v>
      </c>
      <c r="Q13" s="710">
        <f>Q47</f>
        <v>1090223</v>
      </c>
      <c r="R13" s="710">
        <f>R47</f>
        <v>1049339</v>
      </c>
      <c r="S13" s="710">
        <f t="shared" ref="S13:AG13" si="19">S47</f>
        <v>1035054</v>
      </c>
      <c r="T13" s="710">
        <f t="shared" si="19"/>
        <v>1001075</v>
      </c>
      <c r="U13" s="452">
        <f t="shared" si="19"/>
        <v>968752</v>
      </c>
      <c r="V13" s="452">
        <f t="shared" si="19"/>
        <v>954876</v>
      </c>
      <c r="W13" s="452">
        <f t="shared" si="19"/>
        <v>964276</v>
      </c>
      <c r="X13" s="452">
        <f t="shared" si="19"/>
        <v>999083</v>
      </c>
      <c r="Y13" s="452">
        <f t="shared" si="19"/>
        <v>1036995</v>
      </c>
      <c r="Z13" s="452">
        <f t="shared" si="19"/>
        <v>955124</v>
      </c>
      <c r="AA13" s="452">
        <f t="shared" si="19"/>
        <v>956345</v>
      </c>
      <c r="AB13" s="452">
        <f t="shared" si="19"/>
        <v>963483</v>
      </c>
      <c r="AC13" s="452">
        <f t="shared" si="19"/>
        <v>984203</v>
      </c>
      <c r="AD13" s="452">
        <f t="shared" si="19"/>
        <v>1015903</v>
      </c>
      <c r="AE13" s="452">
        <f t="shared" si="19"/>
        <v>1022521</v>
      </c>
      <c r="AF13" s="452">
        <f t="shared" si="19"/>
        <v>1065770</v>
      </c>
      <c r="AG13" s="452">
        <f t="shared" si="19"/>
        <v>1071203</v>
      </c>
      <c r="AH13" s="452">
        <f>AH47</f>
        <v>1080047</v>
      </c>
      <c r="AI13" s="452">
        <f>AI47</f>
        <v>1100471</v>
      </c>
      <c r="AJ13" s="452">
        <f>AJ47</f>
        <v>1127246</v>
      </c>
      <c r="AK13" s="452">
        <f>AK47</f>
        <v>1110408</v>
      </c>
      <c r="AL13" s="452">
        <f>AL47</f>
        <v>1129678</v>
      </c>
    </row>
    <row r="14" spans="1:38" ht="19" customHeight="1">
      <c r="A14" s="267"/>
      <c r="B14" s="249">
        <v>7</v>
      </c>
      <c r="C14" s="249" t="s">
        <v>210</v>
      </c>
      <c r="D14" s="350">
        <f t="shared" ref="D14:O14" si="20">D55</f>
        <v>544201</v>
      </c>
      <c r="E14" s="350">
        <f t="shared" si="20"/>
        <v>575930</v>
      </c>
      <c r="F14" s="350">
        <f t="shared" si="20"/>
        <v>599262</v>
      </c>
      <c r="G14" s="350">
        <f t="shared" si="20"/>
        <v>640142</v>
      </c>
      <c r="H14" s="350">
        <f t="shared" si="20"/>
        <v>623559</v>
      </c>
      <c r="I14" s="350">
        <f t="shared" si="20"/>
        <v>655625</v>
      </c>
      <c r="J14" s="350">
        <f t="shared" si="20"/>
        <v>691925</v>
      </c>
      <c r="K14" s="350">
        <f t="shared" si="20"/>
        <v>710593</v>
      </c>
      <c r="L14" s="350">
        <f t="shared" si="20"/>
        <v>705992</v>
      </c>
      <c r="M14" s="350">
        <f t="shared" si="20"/>
        <v>697265</v>
      </c>
      <c r="N14" s="350">
        <f t="shared" si="20"/>
        <v>696485</v>
      </c>
      <c r="O14" s="350">
        <f t="shared" si="20"/>
        <v>661996</v>
      </c>
      <c r="P14" s="710">
        <f>P55</f>
        <v>698553</v>
      </c>
      <c r="Q14" s="710">
        <f>Q55</f>
        <v>717542</v>
      </c>
      <c r="R14" s="710">
        <f>R55</f>
        <v>681602</v>
      </c>
      <c r="S14" s="710">
        <f t="shared" ref="S14:AG14" si="21">S55</f>
        <v>680158</v>
      </c>
      <c r="T14" s="710">
        <f t="shared" si="21"/>
        <v>660508</v>
      </c>
      <c r="U14" s="452">
        <f t="shared" si="21"/>
        <v>625093</v>
      </c>
      <c r="V14" s="452">
        <f t="shared" si="21"/>
        <v>610343</v>
      </c>
      <c r="W14" s="452">
        <f t="shared" si="21"/>
        <v>608472</v>
      </c>
      <c r="X14" s="452">
        <f t="shared" si="21"/>
        <v>626037</v>
      </c>
      <c r="Y14" s="452">
        <f t="shared" si="21"/>
        <v>626163</v>
      </c>
      <c r="Z14" s="452">
        <f t="shared" si="21"/>
        <v>565410</v>
      </c>
      <c r="AA14" s="452">
        <f t="shared" si="21"/>
        <v>570909</v>
      </c>
      <c r="AB14" s="452">
        <f t="shared" si="21"/>
        <v>610691</v>
      </c>
      <c r="AC14" s="452">
        <f t="shared" si="21"/>
        <v>612526</v>
      </c>
      <c r="AD14" s="452">
        <f t="shared" si="21"/>
        <v>630036</v>
      </c>
      <c r="AE14" s="452">
        <f t="shared" si="21"/>
        <v>622690</v>
      </c>
      <c r="AF14" s="452">
        <f t="shared" si="21"/>
        <v>637010</v>
      </c>
      <c r="AG14" s="452">
        <f t="shared" si="21"/>
        <v>625315</v>
      </c>
      <c r="AH14" s="452">
        <f>AH55</f>
        <v>636327</v>
      </c>
      <c r="AI14" s="452">
        <f>AI55</f>
        <v>639162</v>
      </c>
      <c r="AJ14" s="452">
        <f>AJ55</f>
        <v>604482</v>
      </c>
      <c r="AK14" s="452">
        <f>AK55</f>
        <v>593538</v>
      </c>
      <c r="AL14" s="452">
        <f>AL55</f>
        <v>604135</v>
      </c>
    </row>
    <row r="15" spans="1:38" ht="19" customHeight="1">
      <c r="A15" s="267"/>
      <c r="B15" s="249">
        <v>8</v>
      </c>
      <c r="C15" s="249" t="s">
        <v>211</v>
      </c>
      <c r="D15" s="350">
        <f t="shared" ref="D15:O15" si="22">D61</f>
        <v>310091</v>
      </c>
      <c r="E15" s="350">
        <f t="shared" si="22"/>
        <v>336109</v>
      </c>
      <c r="F15" s="350">
        <f t="shared" si="22"/>
        <v>356683</v>
      </c>
      <c r="G15" s="350">
        <f t="shared" si="22"/>
        <v>372205</v>
      </c>
      <c r="H15" s="350">
        <f t="shared" si="22"/>
        <v>391764</v>
      </c>
      <c r="I15" s="350">
        <f t="shared" si="22"/>
        <v>411887</v>
      </c>
      <c r="J15" s="350">
        <f t="shared" si="22"/>
        <v>415938</v>
      </c>
      <c r="K15" s="350">
        <f t="shared" si="22"/>
        <v>389187</v>
      </c>
      <c r="L15" s="350">
        <f t="shared" si="22"/>
        <v>386174</v>
      </c>
      <c r="M15" s="350">
        <f t="shared" si="22"/>
        <v>364968</v>
      </c>
      <c r="N15" s="350">
        <f t="shared" si="22"/>
        <v>379849</v>
      </c>
      <c r="O15" s="350">
        <f t="shared" si="22"/>
        <v>373285</v>
      </c>
      <c r="P15" s="710">
        <f>P61</f>
        <v>417845</v>
      </c>
      <c r="Q15" s="710">
        <f>Q61</f>
        <v>423193</v>
      </c>
      <c r="R15" s="710">
        <f>R61</f>
        <v>412250</v>
      </c>
      <c r="S15" s="710">
        <f t="shared" ref="S15:AG15" si="23">S61</f>
        <v>404197</v>
      </c>
      <c r="T15" s="710">
        <f t="shared" si="23"/>
        <v>394029</v>
      </c>
      <c r="U15" s="452">
        <f t="shared" si="23"/>
        <v>385650</v>
      </c>
      <c r="V15" s="452">
        <f t="shared" si="23"/>
        <v>385879</v>
      </c>
      <c r="W15" s="452">
        <f t="shared" si="23"/>
        <v>373363</v>
      </c>
      <c r="X15" s="452">
        <f t="shared" si="23"/>
        <v>381050</v>
      </c>
      <c r="Y15" s="452">
        <f t="shared" si="23"/>
        <v>389641</v>
      </c>
      <c r="Z15" s="452">
        <f t="shared" si="23"/>
        <v>355318</v>
      </c>
      <c r="AA15" s="452">
        <f t="shared" si="23"/>
        <v>285502</v>
      </c>
      <c r="AB15" s="452">
        <f t="shared" si="23"/>
        <v>397845</v>
      </c>
      <c r="AC15" s="452">
        <f t="shared" si="23"/>
        <v>391493</v>
      </c>
      <c r="AD15" s="452">
        <f t="shared" si="23"/>
        <v>418388</v>
      </c>
      <c r="AE15" s="452">
        <f t="shared" si="23"/>
        <v>422586</v>
      </c>
      <c r="AF15" s="452">
        <f t="shared" si="23"/>
        <v>426693</v>
      </c>
      <c r="AG15" s="452">
        <f t="shared" si="23"/>
        <v>438473</v>
      </c>
      <c r="AH15" s="452">
        <f>AH61</f>
        <v>474718</v>
      </c>
      <c r="AI15" s="452">
        <f>AI61</f>
        <v>453080</v>
      </c>
      <c r="AJ15" s="452">
        <f>AJ61</f>
        <v>460054</v>
      </c>
      <c r="AK15" s="452">
        <f>AK61</f>
        <v>464432</v>
      </c>
      <c r="AL15" s="452">
        <f>AL61</f>
        <v>481731</v>
      </c>
    </row>
    <row r="16" spans="1:38" ht="19" customHeight="1">
      <c r="A16" s="267"/>
      <c r="B16" s="249">
        <v>9</v>
      </c>
      <c r="C16" s="249" t="s">
        <v>212</v>
      </c>
      <c r="D16" s="350">
        <f t="shared" ref="D16:O16" si="24">D64</f>
        <v>472830</v>
      </c>
      <c r="E16" s="350">
        <f t="shared" si="24"/>
        <v>506270</v>
      </c>
      <c r="F16" s="350">
        <f t="shared" si="24"/>
        <v>514980</v>
      </c>
      <c r="G16" s="350">
        <f t="shared" si="24"/>
        <v>550722</v>
      </c>
      <c r="H16" s="350">
        <f t="shared" si="24"/>
        <v>550688</v>
      </c>
      <c r="I16" s="350">
        <f t="shared" si="24"/>
        <v>563191</v>
      </c>
      <c r="J16" s="350">
        <f t="shared" si="24"/>
        <v>577520</v>
      </c>
      <c r="K16" s="350">
        <f t="shared" si="24"/>
        <v>600422</v>
      </c>
      <c r="L16" s="350">
        <f t="shared" si="24"/>
        <v>570957</v>
      </c>
      <c r="M16" s="350">
        <f t="shared" si="24"/>
        <v>556381</v>
      </c>
      <c r="N16" s="350">
        <f t="shared" si="24"/>
        <v>551268</v>
      </c>
      <c r="O16" s="350">
        <f t="shared" si="24"/>
        <v>519605</v>
      </c>
      <c r="P16" s="710">
        <f>P64</f>
        <v>583193</v>
      </c>
      <c r="Q16" s="710">
        <f>Q64</f>
        <v>573697</v>
      </c>
      <c r="R16" s="710">
        <f>R64</f>
        <v>535946</v>
      </c>
      <c r="S16" s="710">
        <f t="shared" ref="S16:AG16" si="25">S64</f>
        <v>527508</v>
      </c>
      <c r="T16" s="710">
        <f t="shared" si="25"/>
        <v>510263</v>
      </c>
      <c r="U16" s="452">
        <f t="shared" si="25"/>
        <v>490289</v>
      </c>
      <c r="V16" s="452">
        <f t="shared" si="25"/>
        <v>468118</v>
      </c>
      <c r="W16" s="452">
        <f t="shared" si="25"/>
        <v>471662</v>
      </c>
      <c r="X16" s="452">
        <f t="shared" si="25"/>
        <v>489197</v>
      </c>
      <c r="Y16" s="452">
        <f t="shared" si="25"/>
        <v>498133</v>
      </c>
      <c r="Z16" s="452">
        <f t="shared" si="25"/>
        <v>441034</v>
      </c>
      <c r="AA16" s="452">
        <f t="shared" si="25"/>
        <v>438016</v>
      </c>
      <c r="AB16" s="452">
        <f t="shared" si="25"/>
        <v>448165</v>
      </c>
      <c r="AC16" s="452">
        <f t="shared" si="25"/>
        <v>443917</v>
      </c>
      <c r="AD16" s="452">
        <f t="shared" si="25"/>
        <v>465211</v>
      </c>
      <c r="AE16" s="452">
        <f t="shared" si="25"/>
        <v>470451</v>
      </c>
      <c r="AF16" s="452">
        <f t="shared" si="25"/>
        <v>467945</v>
      </c>
      <c r="AG16" s="452">
        <f t="shared" si="25"/>
        <v>465034</v>
      </c>
      <c r="AH16" s="452">
        <f>AH64</f>
        <v>468995</v>
      </c>
      <c r="AI16" s="452">
        <f>AI64</f>
        <v>441594</v>
      </c>
      <c r="AJ16" s="452">
        <f>AJ64</f>
        <v>452131</v>
      </c>
      <c r="AK16" s="452">
        <f>AK64</f>
        <v>475417</v>
      </c>
      <c r="AL16" s="452">
        <f>AL64</f>
        <v>501130</v>
      </c>
    </row>
    <row r="17" spans="1:38" ht="19" customHeight="1">
      <c r="A17" s="271"/>
      <c r="B17" s="906" t="s">
        <v>1352</v>
      </c>
      <c r="C17" s="272"/>
      <c r="D17" s="403"/>
      <c r="E17" s="403"/>
      <c r="F17" s="403"/>
      <c r="G17" s="403"/>
      <c r="H17" s="403"/>
      <c r="I17" s="403"/>
      <c r="J17" s="403"/>
      <c r="K17" s="403"/>
      <c r="L17" s="403"/>
      <c r="M17" s="403"/>
      <c r="N17" s="403"/>
      <c r="O17" s="403"/>
      <c r="P17" s="711" t="s">
        <v>1142</v>
      </c>
      <c r="Q17" s="711" t="s">
        <v>1142</v>
      </c>
      <c r="R17" s="711" t="s">
        <v>1142</v>
      </c>
      <c r="S17" s="711" t="s">
        <v>1142</v>
      </c>
      <c r="T17" s="711" t="s">
        <v>1142</v>
      </c>
      <c r="U17" s="907">
        <f>ROUND(U$6*U82/U$70,0)-U18</f>
        <v>2</v>
      </c>
      <c r="V17" s="907">
        <f t="shared" ref="V17:AG17" si="26">ROUND(V$6*V82/V$70,0)-V18</f>
        <v>2</v>
      </c>
      <c r="W17" s="907">
        <f t="shared" si="26"/>
        <v>-1</v>
      </c>
      <c r="X17" s="907">
        <f t="shared" si="26"/>
        <v>-2</v>
      </c>
      <c r="Y17" s="907">
        <f t="shared" si="26"/>
        <v>-3</v>
      </c>
      <c r="Z17" s="907">
        <f t="shared" si="26"/>
        <v>1</v>
      </c>
      <c r="AA17" s="907">
        <f t="shared" si="26"/>
        <v>0</v>
      </c>
      <c r="AB17" s="907">
        <f t="shared" si="26"/>
        <v>0</v>
      </c>
      <c r="AC17" s="907">
        <f t="shared" si="26"/>
        <v>0</v>
      </c>
      <c r="AD17" s="907">
        <f t="shared" si="26"/>
        <v>0</v>
      </c>
      <c r="AE17" s="907">
        <f t="shared" si="26"/>
        <v>0</v>
      </c>
      <c r="AF17" s="907">
        <f t="shared" si="26"/>
        <v>0</v>
      </c>
      <c r="AG17" s="907">
        <f t="shared" si="26"/>
        <v>0</v>
      </c>
      <c r="AH17" s="907">
        <f>ROUND(AH$6*AH82/AH$70,0)-AH18</f>
        <v>0</v>
      </c>
      <c r="AI17" s="907">
        <f>ROUND(AI$6*AI82/AI$70,0)-AI18</f>
        <v>0</v>
      </c>
      <c r="AJ17" s="907">
        <f>ROUND(AJ$6*AJ82/AJ$70,0)-AJ18</f>
        <v>0</v>
      </c>
      <c r="AK17" s="907">
        <f>ROUND(AK$6*AK82/AK$70,0)-AK18</f>
        <v>0</v>
      </c>
      <c r="AL17" s="907">
        <f>ROUND(AL$6*AL82/AL$70,0)-AL18</f>
        <v>0</v>
      </c>
    </row>
    <row r="18" spans="1:38" ht="19" customHeight="1">
      <c r="A18" s="268" t="s">
        <v>321</v>
      </c>
      <c r="B18" s="269">
        <v>100</v>
      </c>
      <c r="C18" s="269" t="s">
        <v>172</v>
      </c>
      <c r="D18" s="402">
        <f t="shared" ref="D18:O18" si="27">D2-SUM(D8:D16)</f>
        <v>6067956</v>
      </c>
      <c r="E18" s="402">
        <f t="shared" si="27"/>
        <v>6416903</v>
      </c>
      <c r="F18" s="402">
        <f t="shared" si="27"/>
        <v>6618219</v>
      </c>
      <c r="G18" s="402">
        <f t="shared" si="27"/>
        <v>6834375</v>
      </c>
      <c r="H18" s="402">
        <f t="shared" si="27"/>
        <v>6670353</v>
      </c>
      <c r="I18" s="402">
        <f t="shared" si="27"/>
        <v>6992509</v>
      </c>
      <c r="J18" s="402">
        <f t="shared" si="27"/>
        <v>7321309</v>
      </c>
      <c r="K18" s="402">
        <f t="shared" si="27"/>
        <v>7090683</v>
      </c>
      <c r="L18" s="402">
        <f t="shared" si="27"/>
        <v>6903493</v>
      </c>
      <c r="M18" s="402">
        <f t="shared" si="27"/>
        <v>6742320</v>
      </c>
      <c r="N18" s="402">
        <f t="shared" si="27"/>
        <v>6701485</v>
      </c>
      <c r="O18" s="402">
        <f t="shared" si="27"/>
        <v>6407686</v>
      </c>
      <c r="P18" s="712">
        <f t="shared" ref="P18:U18" si="28">P6-SUM(P8:P16)</f>
        <v>6318738</v>
      </c>
      <c r="Q18" s="712">
        <f t="shared" si="28"/>
        <v>6149157</v>
      </c>
      <c r="R18" s="712">
        <f t="shared" si="28"/>
        <v>6100559</v>
      </c>
      <c r="S18" s="712">
        <f t="shared" si="28"/>
        <v>6165835</v>
      </c>
      <c r="T18" s="712">
        <f t="shared" si="28"/>
        <v>6152822</v>
      </c>
      <c r="U18" s="269">
        <f t="shared" si="28"/>
        <v>6161480</v>
      </c>
      <c r="V18" s="269">
        <f t="shared" ref="V18:AG18" si="29">V6-SUM(V8:V16)</f>
        <v>6108860</v>
      </c>
      <c r="W18" s="269">
        <f t="shared" si="29"/>
        <v>6354679</v>
      </c>
      <c r="X18" s="269">
        <f t="shared" si="29"/>
        <v>6652436</v>
      </c>
      <c r="Y18" s="269">
        <f t="shared" si="29"/>
        <v>6937416</v>
      </c>
      <c r="Z18" s="269">
        <f t="shared" si="29"/>
        <v>6432390</v>
      </c>
      <c r="AA18" s="269">
        <f t="shared" si="29"/>
        <v>6348572</v>
      </c>
      <c r="AB18" s="269">
        <f t="shared" si="29"/>
        <v>6421649</v>
      </c>
      <c r="AC18" s="269">
        <f t="shared" si="29"/>
        <v>6542948</v>
      </c>
      <c r="AD18" s="269">
        <f t="shared" si="29"/>
        <v>6861821</v>
      </c>
      <c r="AE18" s="269">
        <f t="shared" si="29"/>
        <v>6885364</v>
      </c>
      <c r="AF18" s="269">
        <f t="shared" si="29"/>
        <v>6983569</v>
      </c>
      <c r="AG18" s="269">
        <f t="shared" si="29"/>
        <v>6950990</v>
      </c>
      <c r="AH18" s="269">
        <f>AH6-SUM(AH8:AH16)</f>
        <v>7083806</v>
      </c>
      <c r="AI18" s="269">
        <f>AI6-SUM(AI8:AI16)</f>
        <v>6827769</v>
      </c>
      <c r="AJ18" s="269">
        <f>AJ6-SUM(AJ8:AJ16)</f>
        <v>6947990</v>
      </c>
      <c r="AK18" s="269">
        <f>AK6-SUM(AK8:AK16)</f>
        <v>7287424</v>
      </c>
      <c r="AL18" s="269">
        <f>AL6-SUM(AL8:AL16)</f>
        <v>7529880</v>
      </c>
    </row>
    <row r="19" spans="1:38" ht="19" customHeight="1">
      <c r="A19" s="273" t="s">
        <v>341</v>
      </c>
      <c r="B19" s="249">
        <v>1</v>
      </c>
      <c r="C19" s="249" t="s">
        <v>328</v>
      </c>
      <c r="D19" s="350">
        <f t="shared" ref="D19:O19" si="30">SUM(D20:D22)</f>
        <v>3125545</v>
      </c>
      <c r="E19" s="350">
        <f t="shared" si="30"/>
        <v>3190427</v>
      </c>
      <c r="F19" s="350">
        <f t="shared" si="30"/>
        <v>3207887</v>
      </c>
      <c r="G19" s="350">
        <f t="shared" si="30"/>
        <v>3201428</v>
      </c>
      <c r="H19" s="350">
        <f t="shared" si="30"/>
        <v>3153339</v>
      </c>
      <c r="I19" s="350">
        <f t="shared" si="30"/>
        <v>3435002</v>
      </c>
      <c r="J19" s="350">
        <f t="shared" si="30"/>
        <v>3499138</v>
      </c>
      <c r="K19" s="350">
        <f t="shared" si="30"/>
        <v>3329135</v>
      </c>
      <c r="L19" s="350">
        <f t="shared" si="30"/>
        <v>3051295</v>
      </c>
      <c r="M19" s="350">
        <f t="shared" si="30"/>
        <v>2869443</v>
      </c>
      <c r="N19" s="350">
        <f t="shared" si="30"/>
        <v>2919217</v>
      </c>
      <c r="O19" s="350">
        <f t="shared" si="30"/>
        <v>2794660</v>
      </c>
      <c r="P19" s="710">
        <f>SUM(P20:P22)</f>
        <v>3096571</v>
      </c>
      <c r="Q19" s="710">
        <f>SUM(Q20:Q22)</f>
        <v>2973093</v>
      </c>
      <c r="R19" s="710">
        <f>SUM(R20:R22)</f>
        <v>2945709</v>
      </c>
      <c r="S19" s="710">
        <f>SUM(S20:S22)</f>
        <v>2986248</v>
      </c>
      <c r="T19" s="710">
        <f t="shared" ref="T19:AF19" si="31">SUM(T20:T22)</f>
        <v>3027382</v>
      </c>
      <c r="U19" s="465">
        <f t="shared" si="31"/>
        <v>3072775</v>
      </c>
      <c r="V19" s="465">
        <f t="shared" si="31"/>
        <v>3076906</v>
      </c>
      <c r="W19" s="465">
        <f t="shared" si="31"/>
        <v>3121806</v>
      </c>
      <c r="X19" s="465">
        <f t="shared" si="31"/>
        <v>3188094</v>
      </c>
      <c r="Y19" s="465">
        <f t="shared" si="31"/>
        <v>3464074</v>
      </c>
      <c r="Z19" s="465">
        <f t="shared" si="31"/>
        <v>3245720</v>
      </c>
      <c r="AA19" s="465">
        <f t="shared" si="31"/>
        <v>3169353</v>
      </c>
      <c r="AB19" s="465">
        <f t="shared" si="31"/>
        <v>3309950</v>
      </c>
      <c r="AC19" s="465">
        <f t="shared" si="31"/>
        <v>3308965</v>
      </c>
      <c r="AD19" s="465">
        <f t="shared" si="31"/>
        <v>3538433</v>
      </c>
      <c r="AE19" s="465">
        <f t="shared" si="31"/>
        <v>3558388</v>
      </c>
      <c r="AF19" s="465">
        <f t="shared" si="31"/>
        <v>3670272</v>
      </c>
      <c r="AG19" s="465">
        <f t="shared" ref="AG19:AL19" si="32">SUM(AG20:AG22)</f>
        <v>3642087</v>
      </c>
      <c r="AH19" s="465">
        <f t="shared" si="32"/>
        <v>3695848</v>
      </c>
      <c r="AI19" s="465">
        <f t="shared" si="32"/>
        <v>3523512</v>
      </c>
      <c r="AJ19" s="465">
        <f t="shared" si="32"/>
        <v>3696176</v>
      </c>
      <c r="AK19" s="465">
        <f t="shared" si="32"/>
        <v>3765146</v>
      </c>
      <c r="AL19" s="465">
        <f t="shared" si="32"/>
        <v>3908745</v>
      </c>
    </row>
    <row r="20" spans="1:38" ht="19" customHeight="1">
      <c r="A20" s="267"/>
      <c r="B20" s="249">
        <v>202</v>
      </c>
      <c r="C20" s="249" t="s">
        <v>183</v>
      </c>
      <c r="D20" s="350">
        <f t="shared" ref="D20:O20" si="33">ROUND(D$2*D84/D$70,0)</f>
        <v>1870137</v>
      </c>
      <c r="E20" s="350">
        <f t="shared" si="33"/>
        <v>1924857</v>
      </c>
      <c r="F20" s="350">
        <f t="shared" si="33"/>
        <v>1944113</v>
      </c>
      <c r="G20" s="350">
        <f t="shared" si="33"/>
        <v>1962413</v>
      </c>
      <c r="H20" s="350">
        <f t="shared" si="33"/>
        <v>1933899</v>
      </c>
      <c r="I20" s="350">
        <f t="shared" si="33"/>
        <v>1983862</v>
      </c>
      <c r="J20" s="350">
        <f t="shared" si="33"/>
        <v>2002074</v>
      </c>
      <c r="K20" s="350">
        <f t="shared" si="33"/>
        <v>1920357</v>
      </c>
      <c r="L20" s="350">
        <f t="shared" si="33"/>
        <v>1732157</v>
      </c>
      <c r="M20" s="350">
        <f t="shared" si="33"/>
        <v>1607093</v>
      </c>
      <c r="N20" s="350">
        <f t="shared" si="33"/>
        <v>1651015</v>
      </c>
      <c r="O20" s="350">
        <f t="shared" si="33"/>
        <v>1573902</v>
      </c>
      <c r="P20" s="710">
        <f t="shared" ref="P20:S22" si="34">ROUND(P$2*P84/P$70,0)</f>
        <v>1698748</v>
      </c>
      <c r="Q20" s="710">
        <f t="shared" si="34"/>
        <v>1583439</v>
      </c>
      <c r="R20" s="710">
        <f t="shared" si="34"/>
        <v>1555216</v>
      </c>
      <c r="S20" s="710">
        <f t="shared" si="34"/>
        <v>1602687</v>
      </c>
      <c r="T20" s="710">
        <f>ROUND(T$2*T84/T$70,0)</f>
        <v>1666125</v>
      </c>
      <c r="U20" s="465">
        <f t="shared" ref="U20:AG20" si="35">ROUND(U$6*U84/U$70,0)</f>
        <v>1729431</v>
      </c>
      <c r="V20" s="465">
        <f t="shared" si="35"/>
        <v>1745448</v>
      </c>
      <c r="W20" s="465">
        <f t="shared" si="35"/>
        <v>1723874</v>
      </c>
      <c r="X20" s="465">
        <f t="shared" si="35"/>
        <v>1745894</v>
      </c>
      <c r="Y20" s="465">
        <f t="shared" si="35"/>
        <v>1940658</v>
      </c>
      <c r="Z20" s="465">
        <f t="shared" si="35"/>
        <v>1752589</v>
      </c>
      <c r="AA20" s="465">
        <f t="shared" si="35"/>
        <v>1692374</v>
      </c>
      <c r="AB20" s="465">
        <f t="shared" si="35"/>
        <v>1753411</v>
      </c>
      <c r="AC20" s="465">
        <f t="shared" si="35"/>
        <v>1775377</v>
      </c>
      <c r="AD20" s="465">
        <f t="shared" si="35"/>
        <v>1891559</v>
      </c>
      <c r="AE20" s="465">
        <f t="shared" si="35"/>
        <v>1932353</v>
      </c>
      <c r="AF20" s="465">
        <f t="shared" si="35"/>
        <v>1995954</v>
      </c>
      <c r="AG20" s="465">
        <f t="shared" si="35"/>
        <v>1971785</v>
      </c>
      <c r="AH20" s="465">
        <f>ROUND(AH$6*AH84/AH$70,0)</f>
        <v>2011427</v>
      </c>
      <c r="AI20" s="465">
        <f>ROUND(AI$6*AI84/AI$70,0)</f>
        <v>1878775</v>
      </c>
      <c r="AJ20" s="465">
        <f>ROUND(AJ$6*AJ84/AJ$70,0)</f>
        <v>2011734</v>
      </c>
      <c r="AK20" s="465">
        <f>ROUND(AK$6*AK84/AK$70,0)</f>
        <v>2057005</v>
      </c>
      <c r="AL20" s="465">
        <f>ROUND(AL$6*AL84/AL$70,0)</f>
        <v>2136572</v>
      </c>
    </row>
    <row r="21" spans="1:38" ht="19" customHeight="1">
      <c r="A21" s="267"/>
      <c r="B21" s="249">
        <v>204</v>
      </c>
      <c r="C21" s="249" t="s">
        <v>184</v>
      </c>
      <c r="D21" s="350">
        <f t="shared" ref="D21:O21" si="36">ROUND(D$2*D85/D$70,0)</f>
        <v>1074988</v>
      </c>
      <c r="E21" s="350">
        <f t="shared" si="36"/>
        <v>1090981</v>
      </c>
      <c r="F21" s="350">
        <f t="shared" si="36"/>
        <v>1099946</v>
      </c>
      <c r="G21" s="350">
        <f t="shared" si="36"/>
        <v>1073480</v>
      </c>
      <c r="H21" s="350">
        <f t="shared" si="36"/>
        <v>1056795</v>
      </c>
      <c r="I21" s="350">
        <f t="shared" si="36"/>
        <v>1248204</v>
      </c>
      <c r="J21" s="350">
        <f t="shared" si="36"/>
        <v>1286766</v>
      </c>
      <c r="K21" s="350">
        <f t="shared" si="36"/>
        <v>1221397</v>
      </c>
      <c r="L21" s="350">
        <f t="shared" si="36"/>
        <v>1128510</v>
      </c>
      <c r="M21" s="350">
        <f t="shared" si="36"/>
        <v>1082042</v>
      </c>
      <c r="N21" s="350">
        <f t="shared" si="36"/>
        <v>1076034</v>
      </c>
      <c r="O21" s="350">
        <f t="shared" si="36"/>
        <v>1032893</v>
      </c>
      <c r="P21" s="710">
        <f t="shared" si="34"/>
        <v>1196590</v>
      </c>
      <c r="Q21" s="710">
        <f t="shared" si="34"/>
        <v>1194433</v>
      </c>
      <c r="R21" s="710">
        <f t="shared" si="34"/>
        <v>1198301</v>
      </c>
      <c r="S21" s="710">
        <f t="shared" si="34"/>
        <v>1185231</v>
      </c>
      <c r="T21" s="710">
        <f>ROUND(T$2*T85/T$70,0)</f>
        <v>1168731</v>
      </c>
      <c r="U21" s="465">
        <f t="shared" ref="U21:AH21" si="37">ROUND(U$6*U85/U$70,0)</f>
        <v>1148424</v>
      </c>
      <c r="V21" s="465">
        <f t="shared" si="37"/>
        <v>1141491</v>
      </c>
      <c r="W21" s="465">
        <f t="shared" si="37"/>
        <v>1201250</v>
      </c>
      <c r="X21" s="465">
        <f t="shared" si="37"/>
        <v>1231982</v>
      </c>
      <c r="Y21" s="465">
        <f t="shared" si="37"/>
        <v>1299577</v>
      </c>
      <c r="Z21" s="465">
        <f t="shared" si="37"/>
        <v>1287120</v>
      </c>
      <c r="AA21" s="465">
        <f t="shared" si="37"/>
        <v>1270506</v>
      </c>
      <c r="AB21" s="465">
        <f t="shared" si="37"/>
        <v>1335513</v>
      </c>
      <c r="AC21" s="465">
        <f t="shared" si="37"/>
        <v>1324680</v>
      </c>
      <c r="AD21" s="465">
        <f t="shared" si="37"/>
        <v>1411171</v>
      </c>
      <c r="AE21" s="465">
        <f t="shared" si="37"/>
        <v>1403765</v>
      </c>
      <c r="AF21" s="465">
        <f t="shared" si="37"/>
        <v>1442289</v>
      </c>
      <c r="AG21" s="465">
        <f t="shared" si="37"/>
        <v>1446183</v>
      </c>
      <c r="AH21" s="465">
        <f t="shared" si="37"/>
        <v>1451518</v>
      </c>
      <c r="AI21" s="465">
        <f t="shared" ref="AI21:AJ21" si="38">ROUND(AI$6*AI85/AI$70,0)</f>
        <v>1416580</v>
      </c>
      <c r="AJ21" s="465">
        <f t="shared" si="38"/>
        <v>1451238</v>
      </c>
      <c r="AK21" s="465">
        <f t="shared" ref="AK21:AL21" si="39">ROUND(AK$6*AK85/AK$70,0)</f>
        <v>1470374</v>
      </c>
      <c r="AL21" s="465">
        <f t="shared" si="39"/>
        <v>1519935</v>
      </c>
    </row>
    <row r="22" spans="1:38" ht="19" customHeight="1">
      <c r="A22" s="267"/>
      <c r="B22" s="249">
        <v>206</v>
      </c>
      <c r="C22" s="249" t="s">
        <v>185</v>
      </c>
      <c r="D22" s="350">
        <f t="shared" ref="D22:O22" si="40">ROUND(D$2*D86/D$70,0)</f>
        <v>180420</v>
      </c>
      <c r="E22" s="350">
        <f t="shared" si="40"/>
        <v>174589</v>
      </c>
      <c r="F22" s="350">
        <f t="shared" si="40"/>
        <v>163828</v>
      </c>
      <c r="G22" s="350">
        <f t="shared" si="40"/>
        <v>165535</v>
      </c>
      <c r="H22" s="350">
        <f t="shared" si="40"/>
        <v>162645</v>
      </c>
      <c r="I22" s="350">
        <f t="shared" si="40"/>
        <v>202936</v>
      </c>
      <c r="J22" s="350">
        <f t="shared" si="40"/>
        <v>210298</v>
      </c>
      <c r="K22" s="350">
        <f t="shared" si="40"/>
        <v>187381</v>
      </c>
      <c r="L22" s="350">
        <f t="shared" si="40"/>
        <v>190628</v>
      </c>
      <c r="M22" s="350">
        <f t="shared" si="40"/>
        <v>180308</v>
      </c>
      <c r="N22" s="350">
        <f t="shared" si="40"/>
        <v>192168</v>
      </c>
      <c r="O22" s="350">
        <f t="shared" si="40"/>
        <v>187865</v>
      </c>
      <c r="P22" s="712">
        <f t="shared" si="34"/>
        <v>201233</v>
      </c>
      <c r="Q22" s="712">
        <f t="shared" si="34"/>
        <v>195221</v>
      </c>
      <c r="R22" s="712">
        <f t="shared" si="34"/>
        <v>192192</v>
      </c>
      <c r="S22" s="712">
        <f t="shared" si="34"/>
        <v>198330</v>
      </c>
      <c r="T22" s="712">
        <f>ROUND(T$2*T86/T$70,0)</f>
        <v>192526</v>
      </c>
      <c r="U22" s="525">
        <f t="shared" ref="U22:AG22" si="41">ROUND(U$6*U86/U$70,0)</f>
        <v>194920</v>
      </c>
      <c r="V22" s="525">
        <f t="shared" si="41"/>
        <v>189967</v>
      </c>
      <c r="W22" s="525">
        <f t="shared" si="41"/>
        <v>196682</v>
      </c>
      <c r="X22" s="525">
        <f t="shared" si="41"/>
        <v>210218</v>
      </c>
      <c r="Y22" s="525">
        <f t="shared" si="41"/>
        <v>223839</v>
      </c>
      <c r="Z22" s="525">
        <f t="shared" si="41"/>
        <v>206011</v>
      </c>
      <c r="AA22" s="525">
        <f t="shared" si="41"/>
        <v>206473</v>
      </c>
      <c r="AB22" s="525">
        <f t="shared" si="41"/>
        <v>221026</v>
      </c>
      <c r="AC22" s="525">
        <f t="shared" si="41"/>
        <v>208908</v>
      </c>
      <c r="AD22" s="525">
        <f t="shared" si="41"/>
        <v>235703</v>
      </c>
      <c r="AE22" s="525">
        <f t="shared" si="41"/>
        <v>222270</v>
      </c>
      <c r="AF22" s="525">
        <f t="shared" si="41"/>
        <v>232029</v>
      </c>
      <c r="AG22" s="525">
        <f t="shared" si="41"/>
        <v>224119</v>
      </c>
      <c r="AH22" s="525">
        <f>ROUND(AH$6*AH86/AH$70,0)</f>
        <v>232903</v>
      </c>
      <c r="AI22" s="525">
        <f>ROUND(AI$6*AI86/AI$70,0)</f>
        <v>228157</v>
      </c>
      <c r="AJ22" s="525">
        <f>ROUND(AJ$6*AJ86/AJ$70,0)</f>
        <v>233204</v>
      </c>
      <c r="AK22" s="525">
        <f>ROUND(AK$6*AK86/AK$70,0)</f>
        <v>237767</v>
      </c>
      <c r="AL22" s="525">
        <f>ROUND(AL$6*AL86/AL$70,0)</f>
        <v>252238</v>
      </c>
    </row>
    <row r="23" spans="1:38" ht="19" customHeight="1">
      <c r="A23" s="273" t="s">
        <v>342</v>
      </c>
      <c r="B23" s="270">
        <v>2</v>
      </c>
      <c r="C23" s="270" t="s">
        <v>324</v>
      </c>
      <c r="D23" s="349">
        <f t="shared" ref="D23:O23" si="42">SUM(D24:D28)</f>
        <v>1576950</v>
      </c>
      <c r="E23" s="349">
        <f t="shared" si="42"/>
        <v>1655457</v>
      </c>
      <c r="F23" s="349">
        <f t="shared" si="42"/>
        <v>1683814</v>
      </c>
      <c r="G23" s="349">
        <f t="shared" si="42"/>
        <v>1738581</v>
      </c>
      <c r="H23" s="349">
        <f t="shared" si="42"/>
        <v>1658927</v>
      </c>
      <c r="I23" s="349">
        <f t="shared" si="42"/>
        <v>1825374</v>
      </c>
      <c r="J23" s="349">
        <f t="shared" si="42"/>
        <v>1875970</v>
      </c>
      <c r="K23" s="349">
        <f t="shared" si="42"/>
        <v>1907783</v>
      </c>
      <c r="L23" s="349">
        <f t="shared" si="42"/>
        <v>1867085</v>
      </c>
      <c r="M23" s="349">
        <f t="shared" si="42"/>
        <v>1786138</v>
      </c>
      <c r="N23" s="349">
        <f t="shared" si="42"/>
        <v>1794899</v>
      </c>
      <c r="O23" s="349">
        <f t="shared" si="42"/>
        <v>1724854</v>
      </c>
      <c r="P23" s="709">
        <f>SUM(P24:P28)</f>
        <v>1798170</v>
      </c>
      <c r="Q23" s="709">
        <f>SUM(Q24:Q28)</f>
        <v>1762877</v>
      </c>
      <c r="R23" s="709">
        <f>SUM(R24:R28)</f>
        <v>1773838</v>
      </c>
      <c r="S23" s="709">
        <f>SUM(S24:S28)</f>
        <v>1816741</v>
      </c>
      <c r="T23" s="709">
        <f t="shared" ref="T23:AG23" si="43">SUM(T24:T28)</f>
        <v>1845893</v>
      </c>
      <c r="U23" s="464">
        <f t="shared" si="43"/>
        <v>1858761</v>
      </c>
      <c r="V23" s="464">
        <f t="shared" si="43"/>
        <v>1835755</v>
      </c>
      <c r="W23" s="464">
        <f t="shared" si="43"/>
        <v>1850269</v>
      </c>
      <c r="X23" s="464">
        <f t="shared" si="43"/>
        <v>1896926</v>
      </c>
      <c r="Y23" s="464">
        <f t="shared" si="43"/>
        <v>1981804</v>
      </c>
      <c r="Z23" s="464">
        <f t="shared" si="43"/>
        <v>1916235</v>
      </c>
      <c r="AA23" s="464">
        <f t="shared" si="43"/>
        <v>1951839</v>
      </c>
      <c r="AB23" s="464">
        <f t="shared" si="43"/>
        <v>1969036</v>
      </c>
      <c r="AC23" s="464">
        <f t="shared" si="43"/>
        <v>1950165</v>
      </c>
      <c r="AD23" s="464">
        <f t="shared" si="43"/>
        <v>2053609</v>
      </c>
      <c r="AE23" s="464">
        <f t="shared" si="43"/>
        <v>2143401</v>
      </c>
      <c r="AF23" s="464">
        <f t="shared" si="43"/>
        <v>2115268</v>
      </c>
      <c r="AG23" s="464">
        <f t="shared" si="43"/>
        <v>2107783</v>
      </c>
      <c r="AH23" s="464">
        <f>SUM(AH24:AH28)</f>
        <v>2072364</v>
      </c>
      <c r="AI23" s="464">
        <f>SUM(AI24:AI28)</f>
        <v>2047222</v>
      </c>
      <c r="AJ23" s="464">
        <f>SUM(AJ24:AJ28)</f>
        <v>2206039</v>
      </c>
      <c r="AK23" s="464">
        <f>SUM(AK24:AK28)</f>
        <v>2267467</v>
      </c>
      <c r="AL23" s="464">
        <f>SUM(AL24:AL28)</f>
        <v>2397898</v>
      </c>
    </row>
    <row r="24" spans="1:38" ht="19" customHeight="1">
      <c r="A24" s="267"/>
      <c r="B24" s="249">
        <v>207</v>
      </c>
      <c r="C24" s="249" t="s">
        <v>187</v>
      </c>
      <c r="D24" s="350">
        <f t="shared" ref="D24:O24" si="44">ROUND(D$2*D88/D$70,0)</f>
        <v>628292</v>
      </c>
      <c r="E24" s="350">
        <f t="shared" si="44"/>
        <v>660955</v>
      </c>
      <c r="F24" s="350">
        <f t="shared" si="44"/>
        <v>654292</v>
      </c>
      <c r="G24" s="350">
        <f t="shared" si="44"/>
        <v>655458</v>
      </c>
      <c r="H24" s="350">
        <f t="shared" si="44"/>
        <v>607453</v>
      </c>
      <c r="I24" s="350">
        <f t="shared" si="44"/>
        <v>658742</v>
      </c>
      <c r="J24" s="350">
        <f t="shared" si="44"/>
        <v>673654</v>
      </c>
      <c r="K24" s="350">
        <f t="shared" si="44"/>
        <v>655073</v>
      </c>
      <c r="L24" s="350">
        <f t="shared" si="44"/>
        <v>629713</v>
      </c>
      <c r="M24" s="350">
        <f t="shared" si="44"/>
        <v>592114</v>
      </c>
      <c r="N24" s="350">
        <f t="shared" si="44"/>
        <v>588712</v>
      </c>
      <c r="O24" s="350">
        <f t="shared" si="44"/>
        <v>576619</v>
      </c>
      <c r="P24" s="710">
        <f t="shared" ref="P24:S28" si="45">ROUND(P$2*P88/P$70,0)</f>
        <v>600885</v>
      </c>
      <c r="Q24" s="710">
        <f t="shared" si="45"/>
        <v>558218</v>
      </c>
      <c r="R24" s="710">
        <f t="shared" si="45"/>
        <v>562522</v>
      </c>
      <c r="S24" s="710">
        <f t="shared" si="45"/>
        <v>603339</v>
      </c>
      <c r="T24" s="710">
        <f>ROUND(T$2*T88/T$70,0)</f>
        <v>637910</v>
      </c>
      <c r="U24" s="465">
        <f t="shared" ref="U24:AH24" si="46">ROUND(U$6*U88/U$70,0)</f>
        <v>647096</v>
      </c>
      <c r="V24" s="465">
        <f t="shared" si="46"/>
        <v>647525</v>
      </c>
      <c r="W24" s="465">
        <f t="shared" si="46"/>
        <v>625498</v>
      </c>
      <c r="X24" s="465">
        <f t="shared" si="46"/>
        <v>608917</v>
      </c>
      <c r="Y24" s="465">
        <f t="shared" si="46"/>
        <v>649233</v>
      </c>
      <c r="Z24" s="465">
        <f t="shared" si="46"/>
        <v>639450</v>
      </c>
      <c r="AA24" s="465">
        <f t="shared" si="46"/>
        <v>636622</v>
      </c>
      <c r="AB24" s="465">
        <f t="shared" si="46"/>
        <v>670849</v>
      </c>
      <c r="AC24" s="465">
        <f t="shared" si="46"/>
        <v>676888</v>
      </c>
      <c r="AD24" s="465">
        <f t="shared" si="46"/>
        <v>694796</v>
      </c>
      <c r="AE24" s="465">
        <f t="shared" si="46"/>
        <v>730525</v>
      </c>
      <c r="AF24" s="465">
        <f t="shared" si="46"/>
        <v>710880</v>
      </c>
      <c r="AG24" s="465">
        <f t="shared" si="46"/>
        <v>706440</v>
      </c>
      <c r="AH24" s="465">
        <f t="shared" si="46"/>
        <v>699526</v>
      </c>
      <c r="AI24" s="465">
        <f t="shared" ref="AI24:AJ24" si="47">ROUND(AI$6*AI88/AI$70,0)</f>
        <v>708582</v>
      </c>
      <c r="AJ24" s="465">
        <f t="shared" si="47"/>
        <v>779947</v>
      </c>
      <c r="AK24" s="465">
        <f t="shared" ref="AK24:AL24" si="48">ROUND(AK$6*AK88/AK$70,0)</f>
        <v>783875</v>
      </c>
      <c r="AL24" s="465">
        <f t="shared" si="48"/>
        <v>808108</v>
      </c>
    </row>
    <row r="25" spans="1:38" ht="19" customHeight="1">
      <c r="A25" s="267"/>
      <c r="B25" s="249">
        <v>214</v>
      </c>
      <c r="C25" s="249" t="s">
        <v>188</v>
      </c>
      <c r="D25" s="350">
        <f t="shared" ref="D25:O25" si="49">ROUND(D$2*D89/D$70,0)</f>
        <v>441337</v>
      </c>
      <c r="E25" s="350">
        <f t="shared" si="49"/>
        <v>420329</v>
      </c>
      <c r="F25" s="350">
        <f t="shared" si="49"/>
        <v>419375</v>
      </c>
      <c r="G25" s="350">
        <f t="shared" si="49"/>
        <v>455848</v>
      </c>
      <c r="H25" s="350">
        <f t="shared" si="49"/>
        <v>423489</v>
      </c>
      <c r="I25" s="350">
        <f t="shared" si="49"/>
        <v>490610</v>
      </c>
      <c r="J25" s="350">
        <f t="shared" si="49"/>
        <v>493955</v>
      </c>
      <c r="K25" s="350">
        <f t="shared" si="49"/>
        <v>483776</v>
      </c>
      <c r="L25" s="350">
        <f t="shared" si="49"/>
        <v>465486</v>
      </c>
      <c r="M25" s="350">
        <f t="shared" si="49"/>
        <v>465185</v>
      </c>
      <c r="N25" s="350">
        <f t="shared" si="49"/>
        <v>456573</v>
      </c>
      <c r="O25" s="350">
        <f t="shared" si="49"/>
        <v>427748</v>
      </c>
      <c r="P25" s="710">
        <f t="shared" si="45"/>
        <v>444855</v>
      </c>
      <c r="Q25" s="710">
        <f t="shared" si="45"/>
        <v>434845</v>
      </c>
      <c r="R25" s="710">
        <f t="shared" si="45"/>
        <v>449666</v>
      </c>
      <c r="S25" s="710">
        <f t="shared" si="45"/>
        <v>451212</v>
      </c>
      <c r="T25" s="710">
        <f>ROUND(T$2*T89/T$70,0)</f>
        <v>448121</v>
      </c>
      <c r="U25" s="465">
        <f t="shared" ref="U25:AH25" si="50">ROUND(U$6*U89/U$70,0)</f>
        <v>456473</v>
      </c>
      <c r="V25" s="465">
        <f t="shared" si="50"/>
        <v>427951</v>
      </c>
      <c r="W25" s="465">
        <f t="shared" si="50"/>
        <v>444942</v>
      </c>
      <c r="X25" s="465">
        <f t="shared" si="50"/>
        <v>484088</v>
      </c>
      <c r="Y25" s="465">
        <f t="shared" si="50"/>
        <v>479985</v>
      </c>
      <c r="Z25" s="465">
        <f t="shared" si="50"/>
        <v>450860</v>
      </c>
      <c r="AA25" s="465">
        <f t="shared" si="50"/>
        <v>453519</v>
      </c>
      <c r="AB25" s="465">
        <f t="shared" si="50"/>
        <v>468431</v>
      </c>
      <c r="AC25" s="465">
        <f t="shared" si="50"/>
        <v>466094</v>
      </c>
      <c r="AD25" s="465">
        <f t="shared" si="50"/>
        <v>488652</v>
      </c>
      <c r="AE25" s="465">
        <f t="shared" si="50"/>
        <v>490527</v>
      </c>
      <c r="AF25" s="465">
        <f t="shared" si="50"/>
        <v>494082</v>
      </c>
      <c r="AG25" s="465">
        <f t="shared" si="50"/>
        <v>500797</v>
      </c>
      <c r="AH25" s="465">
        <f t="shared" si="50"/>
        <v>496141</v>
      </c>
      <c r="AI25" s="465">
        <f t="shared" ref="AI25:AJ25" si="51">ROUND(AI$6*AI89/AI$70,0)</f>
        <v>479974</v>
      </c>
      <c r="AJ25" s="465">
        <f t="shared" si="51"/>
        <v>497227</v>
      </c>
      <c r="AK25" s="465">
        <f t="shared" ref="AK25:AL25" si="52">ROUND(AK$6*AK89/AK$70,0)</f>
        <v>507141</v>
      </c>
      <c r="AL25" s="465">
        <f t="shared" si="52"/>
        <v>524511</v>
      </c>
    </row>
    <row r="26" spans="1:38" ht="19" customHeight="1">
      <c r="A26" s="267"/>
      <c r="B26" s="249">
        <v>217</v>
      </c>
      <c r="C26" s="249" t="s">
        <v>189</v>
      </c>
      <c r="D26" s="350">
        <f t="shared" ref="D26:O26" si="53">ROUND(D$2*D90/D$70,0)</f>
        <v>244007</v>
      </c>
      <c r="E26" s="350">
        <f t="shared" si="53"/>
        <v>261854</v>
      </c>
      <c r="F26" s="350">
        <f t="shared" si="53"/>
        <v>278596</v>
      </c>
      <c r="G26" s="350">
        <f t="shared" si="53"/>
        <v>278553</v>
      </c>
      <c r="H26" s="350">
        <f t="shared" si="53"/>
        <v>273395</v>
      </c>
      <c r="I26" s="350">
        <f t="shared" si="53"/>
        <v>300175</v>
      </c>
      <c r="J26" s="350">
        <f t="shared" si="53"/>
        <v>310596</v>
      </c>
      <c r="K26" s="350">
        <f t="shared" si="53"/>
        <v>331866</v>
      </c>
      <c r="L26" s="350">
        <f t="shared" si="53"/>
        <v>323120</v>
      </c>
      <c r="M26" s="350">
        <f t="shared" si="53"/>
        <v>302765</v>
      </c>
      <c r="N26" s="350">
        <f t="shared" si="53"/>
        <v>310275</v>
      </c>
      <c r="O26" s="350">
        <f t="shared" si="53"/>
        <v>309491</v>
      </c>
      <c r="P26" s="710">
        <f t="shared" si="45"/>
        <v>328193</v>
      </c>
      <c r="Q26" s="710">
        <f t="shared" si="45"/>
        <v>321452</v>
      </c>
      <c r="R26" s="710">
        <f t="shared" si="45"/>
        <v>317679</v>
      </c>
      <c r="S26" s="710">
        <f t="shared" si="45"/>
        <v>315841</v>
      </c>
      <c r="T26" s="710">
        <f>ROUND(T$2*T90/T$70,0)</f>
        <v>312206</v>
      </c>
      <c r="U26" s="465">
        <f t="shared" ref="U26:AH26" si="54">ROUND(U$6*U90/U$70,0)</f>
        <v>301541</v>
      </c>
      <c r="V26" s="465">
        <f t="shared" si="54"/>
        <v>298975</v>
      </c>
      <c r="W26" s="465">
        <f t="shared" si="54"/>
        <v>304752</v>
      </c>
      <c r="X26" s="465">
        <f t="shared" si="54"/>
        <v>317979</v>
      </c>
      <c r="Y26" s="465">
        <f t="shared" si="54"/>
        <v>332830</v>
      </c>
      <c r="Z26" s="465">
        <f t="shared" si="54"/>
        <v>322287</v>
      </c>
      <c r="AA26" s="465">
        <f t="shared" si="54"/>
        <v>334721</v>
      </c>
      <c r="AB26" s="465">
        <f t="shared" si="54"/>
        <v>324653</v>
      </c>
      <c r="AC26" s="465">
        <f t="shared" si="54"/>
        <v>329234</v>
      </c>
      <c r="AD26" s="465">
        <f t="shared" si="54"/>
        <v>334662</v>
      </c>
      <c r="AE26" s="465">
        <f t="shared" si="54"/>
        <v>341864</v>
      </c>
      <c r="AF26" s="465">
        <f t="shared" si="54"/>
        <v>349402</v>
      </c>
      <c r="AG26" s="465">
        <f t="shared" si="54"/>
        <v>359555</v>
      </c>
      <c r="AH26" s="465">
        <f t="shared" si="54"/>
        <v>357084</v>
      </c>
      <c r="AI26" s="465">
        <f t="shared" ref="AI26:AJ26" si="55">ROUND(AI$6*AI90/AI$70,0)</f>
        <v>345655</v>
      </c>
      <c r="AJ26" s="465">
        <f t="shared" si="55"/>
        <v>353632</v>
      </c>
      <c r="AK26" s="465">
        <f t="shared" ref="AK26:AL26" si="56">ROUND(AK$6*AK90/AK$70,0)</f>
        <v>361724</v>
      </c>
      <c r="AL26" s="465">
        <f t="shared" si="56"/>
        <v>376258</v>
      </c>
    </row>
    <row r="27" spans="1:38" ht="19" customHeight="1">
      <c r="A27" s="267"/>
      <c r="B27" s="249">
        <v>219</v>
      </c>
      <c r="C27" s="249" t="s">
        <v>190</v>
      </c>
      <c r="D27" s="350">
        <f t="shared" ref="D27:O27" si="57">ROUND(D$2*D91/D$70,0)</f>
        <v>221542</v>
      </c>
      <c r="E27" s="350">
        <f t="shared" si="57"/>
        <v>268571</v>
      </c>
      <c r="F27" s="350">
        <f t="shared" si="57"/>
        <v>285567</v>
      </c>
      <c r="G27" s="350">
        <f t="shared" si="57"/>
        <v>302023</v>
      </c>
      <c r="H27" s="350">
        <f t="shared" si="57"/>
        <v>302741</v>
      </c>
      <c r="I27" s="350">
        <f t="shared" si="57"/>
        <v>324716</v>
      </c>
      <c r="J27" s="350">
        <f t="shared" si="57"/>
        <v>345876</v>
      </c>
      <c r="K27" s="350">
        <f t="shared" si="57"/>
        <v>373083</v>
      </c>
      <c r="L27" s="350">
        <f t="shared" si="57"/>
        <v>387609</v>
      </c>
      <c r="M27" s="350">
        <f t="shared" si="57"/>
        <v>367744</v>
      </c>
      <c r="N27" s="350">
        <f t="shared" si="57"/>
        <v>376702</v>
      </c>
      <c r="O27" s="350">
        <f t="shared" si="57"/>
        <v>350114</v>
      </c>
      <c r="P27" s="710">
        <f t="shared" si="45"/>
        <v>365939</v>
      </c>
      <c r="Q27" s="710">
        <f t="shared" si="45"/>
        <v>389572</v>
      </c>
      <c r="R27" s="710">
        <f t="shared" si="45"/>
        <v>382217</v>
      </c>
      <c r="S27" s="710">
        <f t="shared" si="45"/>
        <v>391057</v>
      </c>
      <c r="T27" s="710">
        <f>ROUND(T$2*T91/T$70,0)</f>
        <v>387400</v>
      </c>
      <c r="U27" s="465">
        <f t="shared" ref="U27:AH27" si="58">ROUND(U$6*U91/U$70,0)</f>
        <v>391000</v>
      </c>
      <c r="V27" s="465">
        <f t="shared" si="58"/>
        <v>403570</v>
      </c>
      <c r="W27" s="465">
        <f t="shared" si="58"/>
        <v>415426</v>
      </c>
      <c r="X27" s="465">
        <f t="shared" si="58"/>
        <v>423131</v>
      </c>
      <c r="Y27" s="465">
        <f t="shared" si="58"/>
        <v>456136</v>
      </c>
      <c r="Z27" s="465">
        <f t="shared" si="58"/>
        <v>442677</v>
      </c>
      <c r="AA27" s="465">
        <f t="shared" si="58"/>
        <v>466383</v>
      </c>
      <c r="AB27" s="465">
        <f t="shared" si="58"/>
        <v>442900</v>
      </c>
      <c r="AC27" s="465">
        <f t="shared" si="58"/>
        <v>415559</v>
      </c>
      <c r="AD27" s="465">
        <f t="shared" si="58"/>
        <v>470402</v>
      </c>
      <c r="AE27" s="465">
        <f t="shared" si="58"/>
        <v>516303</v>
      </c>
      <c r="AF27" s="465">
        <f t="shared" si="58"/>
        <v>494336</v>
      </c>
      <c r="AG27" s="465">
        <f t="shared" si="58"/>
        <v>478020</v>
      </c>
      <c r="AH27" s="465">
        <f t="shared" si="58"/>
        <v>456238</v>
      </c>
      <c r="AI27" s="465">
        <f t="shared" ref="AI27:AJ27" si="59">ROUND(AI$6*AI91/AI$70,0)</f>
        <v>450240</v>
      </c>
      <c r="AJ27" s="465">
        <f t="shared" si="59"/>
        <v>510967</v>
      </c>
      <c r="AK27" s="465">
        <f t="shared" ref="AK27:AL27" si="60">ROUND(AK$6*AK91/AK$70,0)</f>
        <v>550341</v>
      </c>
      <c r="AL27" s="465">
        <f t="shared" si="60"/>
        <v>621907</v>
      </c>
    </row>
    <row r="28" spans="1:38" ht="19" customHeight="1">
      <c r="A28" s="268"/>
      <c r="B28" s="269">
        <v>301</v>
      </c>
      <c r="C28" s="249" t="s">
        <v>191</v>
      </c>
      <c r="D28" s="350">
        <f t="shared" ref="D28:O28" si="61">ROUND(D$2*D92/D$70,0)</f>
        <v>41772</v>
      </c>
      <c r="E28" s="350">
        <f t="shared" si="61"/>
        <v>43748</v>
      </c>
      <c r="F28" s="350">
        <f t="shared" si="61"/>
        <v>45984</v>
      </c>
      <c r="G28" s="350">
        <f t="shared" si="61"/>
        <v>46699</v>
      </c>
      <c r="H28" s="350">
        <f t="shared" si="61"/>
        <v>51849</v>
      </c>
      <c r="I28" s="350">
        <f t="shared" si="61"/>
        <v>51131</v>
      </c>
      <c r="J28" s="350">
        <f t="shared" si="61"/>
        <v>51889</v>
      </c>
      <c r="K28" s="350">
        <f t="shared" si="61"/>
        <v>63985</v>
      </c>
      <c r="L28" s="350">
        <f t="shared" si="61"/>
        <v>61157</v>
      </c>
      <c r="M28" s="350">
        <f t="shared" si="61"/>
        <v>58330</v>
      </c>
      <c r="N28" s="350">
        <f t="shared" si="61"/>
        <v>62637</v>
      </c>
      <c r="O28" s="350">
        <f t="shared" si="61"/>
        <v>60882</v>
      </c>
      <c r="P28" s="710">
        <f t="shared" si="45"/>
        <v>58298</v>
      </c>
      <c r="Q28" s="710">
        <f t="shared" si="45"/>
        <v>58790</v>
      </c>
      <c r="R28" s="710">
        <f t="shared" si="45"/>
        <v>61754</v>
      </c>
      <c r="S28" s="710">
        <f t="shared" si="45"/>
        <v>55292</v>
      </c>
      <c r="T28" s="710">
        <f>ROUND(T$2*T92/T$70,0)</f>
        <v>60256</v>
      </c>
      <c r="U28" s="465">
        <f t="shared" ref="U28:AH28" si="62">ROUND(U$6*U92/U$70,0)</f>
        <v>62651</v>
      </c>
      <c r="V28" s="465">
        <f t="shared" si="62"/>
        <v>57734</v>
      </c>
      <c r="W28" s="465">
        <f t="shared" si="62"/>
        <v>59651</v>
      </c>
      <c r="X28" s="465">
        <f t="shared" si="62"/>
        <v>62811</v>
      </c>
      <c r="Y28" s="465">
        <f t="shared" si="62"/>
        <v>63620</v>
      </c>
      <c r="Z28" s="465">
        <f t="shared" si="62"/>
        <v>60961</v>
      </c>
      <c r="AA28" s="465">
        <f t="shared" si="62"/>
        <v>60594</v>
      </c>
      <c r="AB28" s="465">
        <f t="shared" si="62"/>
        <v>62203</v>
      </c>
      <c r="AC28" s="465">
        <f t="shared" si="62"/>
        <v>62390</v>
      </c>
      <c r="AD28" s="465">
        <f t="shared" si="62"/>
        <v>65097</v>
      </c>
      <c r="AE28" s="465">
        <f t="shared" si="62"/>
        <v>64182</v>
      </c>
      <c r="AF28" s="465">
        <f t="shared" si="62"/>
        <v>66568</v>
      </c>
      <c r="AG28" s="465">
        <f t="shared" si="62"/>
        <v>62971</v>
      </c>
      <c r="AH28" s="465">
        <f t="shared" si="62"/>
        <v>63375</v>
      </c>
      <c r="AI28" s="465">
        <f t="shared" ref="AI28:AJ28" si="63">ROUND(AI$6*AI92/AI$70,0)</f>
        <v>62771</v>
      </c>
      <c r="AJ28" s="465">
        <f t="shared" si="63"/>
        <v>64266</v>
      </c>
      <c r="AK28" s="465">
        <f t="shared" ref="AK28:AL28" si="64">ROUND(AK$6*AK92/AK$70,0)</f>
        <v>64386</v>
      </c>
      <c r="AL28" s="465">
        <f t="shared" si="64"/>
        <v>67114</v>
      </c>
    </row>
    <row r="29" spans="1:38" ht="19" customHeight="1">
      <c r="A29" s="267" t="s">
        <v>343</v>
      </c>
      <c r="B29" s="249">
        <v>3</v>
      </c>
      <c r="C29" s="270" t="s">
        <v>192</v>
      </c>
      <c r="D29" s="349">
        <f t="shared" ref="D29:O29" si="65">SUM(D30:D34)</f>
        <v>2367397</v>
      </c>
      <c r="E29" s="349">
        <f t="shared" si="65"/>
        <v>2523776</v>
      </c>
      <c r="F29" s="349">
        <f t="shared" si="65"/>
        <v>2478690</v>
      </c>
      <c r="G29" s="349">
        <f t="shared" si="65"/>
        <v>2523951</v>
      </c>
      <c r="H29" s="349">
        <f t="shared" si="65"/>
        <v>2477201</v>
      </c>
      <c r="I29" s="349">
        <f t="shared" si="65"/>
        <v>2665683</v>
      </c>
      <c r="J29" s="349">
        <f t="shared" si="65"/>
        <v>2738032</v>
      </c>
      <c r="K29" s="349">
        <f t="shared" si="65"/>
        <v>2746550</v>
      </c>
      <c r="L29" s="349">
        <f t="shared" si="65"/>
        <v>2604519</v>
      </c>
      <c r="M29" s="349">
        <f t="shared" si="65"/>
        <v>2546275</v>
      </c>
      <c r="N29" s="349">
        <f t="shared" si="65"/>
        <v>2587981</v>
      </c>
      <c r="O29" s="349">
        <f t="shared" si="65"/>
        <v>2354473</v>
      </c>
      <c r="P29" s="709">
        <f>SUM(P30:P34)</f>
        <v>2559714</v>
      </c>
      <c r="Q29" s="709">
        <f>SUM(Q30:Q34)</f>
        <v>2617974</v>
      </c>
      <c r="R29" s="709">
        <f>SUM(R30:R34)</f>
        <v>2634526</v>
      </c>
      <c r="S29" s="709">
        <f>SUM(S30:S34)</f>
        <v>2668198</v>
      </c>
      <c r="T29" s="709">
        <f t="shared" ref="T29:AG29" si="66">SUM(T30:T34)</f>
        <v>2689288</v>
      </c>
      <c r="U29" s="464">
        <f t="shared" si="66"/>
        <v>2752357</v>
      </c>
      <c r="V29" s="464">
        <f t="shared" si="66"/>
        <v>2807437</v>
      </c>
      <c r="W29" s="464">
        <f t="shared" si="66"/>
        <v>2959266</v>
      </c>
      <c r="X29" s="464">
        <f t="shared" si="66"/>
        <v>2756065</v>
      </c>
      <c r="Y29" s="464">
        <f t="shared" si="66"/>
        <v>2871866</v>
      </c>
      <c r="Z29" s="464">
        <f t="shared" si="66"/>
        <v>2589684</v>
      </c>
      <c r="AA29" s="464">
        <f t="shared" si="66"/>
        <v>2742033</v>
      </c>
      <c r="AB29" s="464">
        <f t="shared" si="66"/>
        <v>2788089</v>
      </c>
      <c r="AC29" s="464">
        <f t="shared" si="66"/>
        <v>2821463</v>
      </c>
      <c r="AD29" s="464">
        <f t="shared" si="66"/>
        <v>2957502</v>
      </c>
      <c r="AE29" s="464">
        <f t="shared" si="66"/>
        <v>2909491</v>
      </c>
      <c r="AF29" s="464">
        <f t="shared" si="66"/>
        <v>2926149</v>
      </c>
      <c r="AG29" s="464">
        <f t="shared" si="66"/>
        <v>2965443</v>
      </c>
      <c r="AH29" s="464">
        <f>SUM(AH30:AH34)</f>
        <v>3002259</v>
      </c>
      <c r="AI29" s="464">
        <f>SUM(AI30:AI34)</f>
        <v>2971362</v>
      </c>
      <c r="AJ29" s="464">
        <f>SUM(AJ30:AJ34)</f>
        <v>2960193</v>
      </c>
      <c r="AK29" s="464">
        <f>SUM(AK30:AK34)</f>
        <v>3191504</v>
      </c>
      <c r="AL29" s="464">
        <f>SUM(AL30:AL34)</f>
        <v>3149681</v>
      </c>
    </row>
    <row r="30" spans="1:38" ht="19" customHeight="1">
      <c r="A30" s="267"/>
      <c r="B30" s="249">
        <v>203</v>
      </c>
      <c r="C30" s="249" t="s">
        <v>193</v>
      </c>
      <c r="D30" s="350">
        <f t="shared" ref="D30:O30" si="67">ROUND(D$2*D94/D$70,0)</f>
        <v>975715</v>
      </c>
      <c r="E30" s="350">
        <f t="shared" si="67"/>
        <v>1030131</v>
      </c>
      <c r="F30" s="350">
        <f t="shared" si="67"/>
        <v>985250</v>
      </c>
      <c r="G30" s="350">
        <f t="shared" si="67"/>
        <v>999599</v>
      </c>
      <c r="H30" s="350">
        <f t="shared" si="67"/>
        <v>952843</v>
      </c>
      <c r="I30" s="350">
        <f t="shared" si="67"/>
        <v>1049236</v>
      </c>
      <c r="J30" s="350">
        <f t="shared" si="67"/>
        <v>1089669</v>
      </c>
      <c r="K30" s="350">
        <f t="shared" si="67"/>
        <v>1063794</v>
      </c>
      <c r="L30" s="350">
        <f t="shared" si="67"/>
        <v>991116</v>
      </c>
      <c r="M30" s="350">
        <f t="shared" si="67"/>
        <v>955479</v>
      </c>
      <c r="N30" s="350">
        <f t="shared" si="67"/>
        <v>994065</v>
      </c>
      <c r="O30" s="350">
        <f t="shared" si="67"/>
        <v>911236</v>
      </c>
      <c r="P30" s="710">
        <f t="shared" ref="P30:S34" si="68">ROUND(P$2*P94/P$70,0)</f>
        <v>990152</v>
      </c>
      <c r="Q30" s="710">
        <f t="shared" si="68"/>
        <v>1033568</v>
      </c>
      <c r="R30" s="710">
        <f t="shared" si="68"/>
        <v>1048757</v>
      </c>
      <c r="S30" s="710">
        <f t="shared" si="68"/>
        <v>1041092</v>
      </c>
      <c r="T30" s="710">
        <f>ROUND(T$2*T94/T$70,0)</f>
        <v>1033946</v>
      </c>
      <c r="U30" s="465">
        <f t="shared" ref="U30:AH30" si="69">ROUND(U$6*U94/U$70,0)</f>
        <v>1074423</v>
      </c>
      <c r="V30" s="465">
        <f t="shared" si="69"/>
        <v>1090361</v>
      </c>
      <c r="W30" s="465">
        <f t="shared" si="69"/>
        <v>1117352</v>
      </c>
      <c r="X30" s="465">
        <f t="shared" si="69"/>
        <v>1070357</v>
      </c>
      <c r="Y30" s="465">
        <f t="shared" si="69"/>
        <v>1090335</v>
      </c>
      <c r="Z30" s="465">
        <f t="shared" si="69"/>
        <v>999436</v>
      </c>
      <c r="AA30" s="465">
        <f t="shared" si="69"/>
        <v>1097460</v>
      </c>
      <c r="AB30" s="465">
        <f t="shared" si="69"/>
        <v>1072794</v>
      </c>
      <c r="AC30" s="465">
        <f t="shared" si="69"/>
        <v>1142555</v>
      </c>
      <c r="AD30" s="465">
        <f t="shared" si="69"/>
        <v>1192055</v>
      </c>
      <c r="AE30" s="465">
        <f t="shared" si="69"/>
        <v>1167214</v>
      </c>
      <c r="AF30" s="465">
        <f t="shared" si="69"/>
        <v>1158475</v>
      </c>
      <c r="AG30" s="465">
        <f t="shared" si="69"/>
        <v>1195444</v>
      </c>
      <c r="AH30" s="465">
        <f t="shared" si="69"/>
        <v>1215341</v>
      </c>
      <c r="AI30" s="465">
        <f t="shared" ref="AI30:AJ30" si="70">ROUND(AI$6*AI94/AI$70,0)</f>
        <v>1167367</v>
      </c>
      <c r="AJ30" s="465">
        <f t="shared" si="70"/>
        <v>1145352</v>
      </c>
      <c r="AK30" s="465">
        <f t="shared" ref="AK30:AL30" si="71">ROUND(AK$6*AK94/AK$70,0)</f>
        <v>1271090</v>
      </c>
      <c r="AL30" s="465">
        <f t="shared" si="71"/>
        <v>1305615</v>
      </c>
    </row>
    <row r="31" spans="1:38" ht="19" customHeight="1">
      <c r="A31" s="267"/>
      <c r="B31" s="249">
        <v>210</v>
      </c>
      <c r="C31" s="249" t="s">
        <v>194</v>
      </c>
      <c r="D31" s="350">
        <f t="shared" ref="D31:O31" si="72">ROUND(D$2*D95/D$70,0)</f>
        <v>745671</v>
      </c>
      <c r="E31" s="350">
        <f t="shared" si="72"/>
        <v>761812</v>
      </c>
      <c r="F31" s="350">
        <f t="shared" si="72"/>
        <v>770629</v>
      </c>
      <c r="G31" s="350">
        <f t="shared" si="72"/>
        <v>783562</v>
      </c>
      <c r="H31" s="350">
        <f t="shared" si="72"/>
        <v>776301</v>
      </c>
      <c r="I31" s="350">
        <f t="shared" si="72"/>
        <v>812753</v>
      </c>
      <c r="J31" s="350">
        <f t="shared" si="72"/>
        <v>861393</v>
      </c>
      <c r="K31" s="350">
        <f t="shared" si="72"/>
        <v>890215</v>
      </c>
      <c r="L31" s="350">
        <f t="shared" si="72"/>
        <v>867920</v>
      </c>
      <c r="M31" s="350">
        <f t="shared" si="72"/>
        <v>851814</v>
      </c>
      <c r="N31" s="350">
        <f t="shared" si="72"/>
        <v>820965</v>
      </c>
      <c r="O31" s="350">
        <f t="shared" si="72"/>
        <v>734742</v>
      </c>
      <c r="P31" s="710">
        <f t="shared" si="68"/>
        <v>788559</v>
      </c>
      <c r="Q31" s="710">
        <f t="shared" si="68"/>
        <v>791025</v>
      </c>
      <c r="R31" s="710">
        <f t="shared" si="68"/>
        <v>820046</v>
      </c>
      <c r="S31" s="710">
        <f t="shared" si="68"/>
        <v>855692</v>
      </c>
      <c r="T31" s="710">
        <f>ROUND(T$2*T95/T$70,0)</f>
        <v>858002</v>
      </c>
      <c r="U31" s="465">
        <f t="shared" ref="U31:AH31" si="73">ROUND(U$6*U95/U$70,0)</f>
        <v>855038</v>
      </c>
      <c r="V31" s="465">
        <f t="shared" si="73"/>
        <v>881971</v>
      </c>
      <c r="W31" s="465">
        <f t="shared" si="73"/>
        <v>935443</v>
      </c>
      <c r="X31" s="465">
        <f t="shared" si="73"/>
        <v>789683</v>
      </c>
      <c r="Y31" s="465">
        <f t="shared" si="73"/>
        <v>857731</v>
      </c>
      <c r="Z31" s="465">
        <f t="shared" si="73"/>
        <v>739650</v>
      </c>
      <c r="AA31" s="465">
        <f t="shared" si="73"/>
        <v>736939</v>
      </c>
      <c r="AB31" s="465">
        <f t="shared" si="73"/>
        <v>802766</v>
      </c>
      <c r="AC31" s="465">
        <f t="shared" si="73"/>
        <v>805895</v>
      </c>
      <c r="AD31" s="465">
        <f t="shared" si="73"/>
        <v>823001</v>
      </c>
      <c r="AE31" s="465">
        <f t="shared" si="73"/>
        <v>857657</v>
      </c>
      <c r="AF31" s="465">
        <f t="shared" si="73"/>
        <v>876650</v>
      </c>
      <c r="AG31" s="465">
        <f t="shared" si="73"/>
        <v>893962</v>
      </c>
      <c r="AH31" s="465">
        <f t="shared" si="73"/>
        <v>895719</v>
      </c>
      <c r="AI31" s="465">
        <f t="shared" ref="AI31:AJ31" si="74">ROUND(AI$6*AI95/AI$70,0)</f>
        <v>856308</v>
      </c>
      <c r="AJ31" s="465">
        <f t="shared" si="74"/>
        <v>844748</v>
      </c>
      <c r="AK31" s="465">
        <f t="shared" ref="AK31:AL31" si="75">ROUND(AK$6*AK95/AK$70,0)</f>
        <v>855033</v>
      </c>
      <c r="AL31" s="465">
        <f t="shared" si="75"/>
        <v>871548</v>
      </c>
    </row>
    <row r="32" spans="1:38" ht="19" customHeight="1">
      <c r="A32" s="267"/>
      <c r="B32" s="249">
        <v>216</v>
      </c>
      <c r="C32" s="249" t="s">
        <v>195</v>
      </c>
      <c r="D32" s="350">
        <f t="shared" ref="D32:O32" si="76">ROUND(D$2*D96/D$70,0)</f>
        <v>425795</v>
      </c>
      <c r="E32" s="350">
        <f t="shared" si="76"/>
        <v>496504</v>
      </c>
      <c r="F32" s="350">
        <f t="shared" si="76"/>
        <v>480154</v>
      </c>
      <c r="G32" s="350">
        <f t="shared" si="76"/>
        <v>498409</v>
      </c>
      <c r="H32" s="350">
        <f t="shared" si="76"/>
        <v>493169</v>
      </c>
      <c r="I32" s="350">
        <f t="shared" si="76"/>
        <v>517687</v>
      </c>
      <c r="J32" s="350">
        <f t="shared" si="76"/>
        <v>503672</v>
      </c>
      <c r="K32" s="350">
        <f t="shared" si="76"/>
        <v>515024</v>
      </c>
      <c r="L32" s="350">
        <f t="shared" si="76"/>
        <v>466804</v>
      </c>
      <c r="M32" s="350">
        <f t="shared" si="76"/>
        <v>480392</v>
      </c>
      <c r="N32" s="350">
        <f t="shared" si="76"/>
        <v>514778</v>
      </c>
      <c r="O32" s="350">
        <f t="shared" si="76"/>
        <v>471988</v>
      </c>
      <c r="P32" s="710">
        <f t="shared" si="68"/>
        <v>520667</v>
      </c>
      <c r="Q32" s="710">
        <f t="shared" si="68"/>
        <v>537861</v>
      </c>
      <c r="R32" s="710">
        <f t="shared" si="68"/>
        <v>516920</v>
      </c>
      <c r="S32" s="710">
        <f t="shared" si="68"/>
        <v>512942</v>
      </c>
      <c r="T32" s="710">
        <f>ROUND(T$2*T96/T$70,0)</f>
        <v>532279</v>
      </c>
      <c r="U32" s="465">
        <f t="shared" ref="U32:AH32" si="77">ROUND(U$6*U96/U$70,0)</f>
        <v>549521</v>
      </c>
      <c r="V32" s="465">
        <f t="shared" si="77"/>
        <v>564004</v>
      </c>
      <c r="W32" s="465">
        <f t="shared" si="77"/>
        <v>622431</v>
      </c>
      <c r="X32" s="465">
        <f t="shared" si="77"/>
        <v>620977</v>
      </c>
      <c r="Y32" s="465">
        <f t="shared" si="77"/>
        <v>659678</v>
      </c>
      <c r="Z32" s="465">
        <f t="shared" si="77"/>
        <v>581852</v>
      </c>
      <c r="AA32" s="465">
        <f t="shared" si="77"/>
        <v>611942</v>
      </c>
      <c r="AB32" s="465">
        <f t="shared" si="77"/>
        <v>611137</v>
      </c>
      <c r="AC32" s="465">
        <f t="shared" si="77"/>
        <v>545767</v>
      </c>
      <c r="AD32" s="465">
        <f t="shared" si="77"/>
        <v>591869</v>
      </c>
      <c r="AE32" s="465">
        <f t="shared" si="77"/>
        <v>547207</v>
      </c>
      <c r="AF32" s="465">
        <f t="shared" si="77"/>
        <v>539158</v>
      </c>
      <c r="AG32" s="465">
        <f t="shared" si="77"/>
        <v>518240</v>
      </c>
      <c r="AH32" s="465">
        <f t="shared" si="77"/>
        <v>532214</v>
      </c>
      <c r="AI32" s="465">
        <f t="shared" ref="AI32:AJ32" si="78">ROUND(AI$6*AI96/AI$70,0)</f>
        <v>587926</v>
      </c>
      <c r="AJ32" s="465">
        <f t="shared" si="78"/>
        <v>551596</v>
      </c>
      <c r="AK32" s="465">
        <f t="shared" ref="AK32:AL32" si="79">ROUND(AK$6*AK96/AK$70,0)</f>
        <v>609404</v>
      </c>
      <c r="AL32" s="465">
        <f t="shared" si="79"/>
        <v>526778</v>
      </c>
    </row>
    <row r="33" spans="1:38" ht="19" customHeight="1">
      <c r="A33" s="267"/>
      <c r="B33" s="249">
        <v>381</v>
      </c>
      <c r="C33" s="249" t="s">
        <v>196</v>
      </c>
      <c r="D33" s="350">
        <f t="shared" ref="D33:O33" si="80">ROUND(D$2*D97/D$70,0)</f>
        <v>87100</v>
      </c>
      <c r="E33" s="350">
        <f t="shared" si="80"/>
        <v>96558</v>
      </c>
      <c r="F33" s="350">
        <f t="shared" si="80"/>
        <v>97523</v>
      </c>
      <c r="G33" s="350">
        <f t="shared" si="80"/>
        <v>109980</v>
      </c>
      <c r="H33" s="350">
        <f t="shared" si="80"/>
        <v>112560</v>
      </c>
      <c r="I33" s="350">
        <f t="shared" si="80"/>
        <v>123390</v>
      </c>
      <c r="J33" s="350">
        <f t="shared" si="80"/>
        <v>127054</v>
      </c>
      <c r="K33" s="350">
        <f t="shared" si="80"/>
        <v>124905</v>
      </c>
      <c r="L33" s="350">
        <f t="shared" si="80"/>
        <v>130564</v>
      </c>
      <c r="M33" s="350">
        <f t="shared" si="80"/>
        <v>123677</v>
      </c>
      <c r="N33" s="350">
        <f t="shared" si="80"/>
        <v>127298</v>
      </c>
      <c r="O33" s="350">
        <f t="shared" si="80"/>
        <v>115241</v>
      </c>
      <c r="P33" s="710">
        <f t="shared" si="68"/>
        <v>129024</v>
      </c>
      <c r="Q33" s="710">
        <f t="shared" si="68"/>
        <v>127266</v>
      </c>
      <c r="R33" s="710">
        <f t="shared" si="68"/>
        <v>124171</v>
      </c>
      <c r="S33" s="710">
        <f t="shared" si="68"/>
        <v>131707</v>
      </c>
      <c r="T33" s="710">
        <f>ROUND(T$2*T97/T$70,0)</f>
        <v>128861</v>
      </c>
      <c r="U33" s="465">
        <f t="shared" ref="U33:AH33" si="81">ROUND(U$6*U97/U$70,0)</f>
        <v>140398</v>
      </c>
      <c r="V33" s="465">
        <f t="shared" si="81"/>
        <v>141826</v>
      </c>
      <c r="W33" s="465">
        <f t="shared" si="81"/>
        <v>142304</v>
      </c>
      <c r="X33" s="465">
        <f t="shared" si="81"/>
        <v>131222</v>
      </c>
      <c r="Y33" s="465">
        <f t="shared" si="81"/>
        <v>141245</v>
      </c>
      <c r="Z33" s="465">
        <f t="shared" si="81"/>
        <v>149532</v>
      </c>
      <c r="AA33" s="465">
        <f t="shared" si="81"/>
        <v>159509</v>
      </c>
      <c r="AB33" s="465">
        <f t="shared" si="81"/>
        <v>165275</v>
      </c>
      <c r="AC33" s="465">
        <f t="shared" si="81"/>
        <v>171112</v>
      </c>
      <c r="AD33" s="465">
        <f t="shared" si="81"/>
        <v>190785</v>
      </c>
      <c r="AE33" s="465">
        <f t="shared" si="81"/>
        <v>177828</v>
      </c>
      <c r="AF33" s="465">
        <f t="shared" si="81"/>
        <v>183799</v>
      </c>
      <c r="AG33" s="465">
        <f t="shared" si="81"/>
        <v>182715</v>
      </c>
      <c r="AH33" s="465">
        <f t="shared" si="81"/>
        <v>175742</v>
      </c>
      <c r="AI33" s="465">
        <f t="shared" ref="AI33:AJ33" si="82">ROUND(AI$6*AI97/AI$70,0)</f>
        <v>151068</v>
      </c>
      <c r="AJ33" s="465">
        <f t="shared" si="82"/>
        <v>169263</v>
      </c>
      <c r="AK33" s="465">
        <f t="shared" ref="AK33:AL33" si="83">ROUND(AK$6*AK97/AK$70,0)</f>
        <v>171319</v>
      </c>
      <c r="AL33" s="465">
        <f t="shared" si="83"/>
        <v>174738</v>
      </c>
    </row>
    <row r="34" spans="1:38" ht="19" customHeight="1">
      <c r="A34" s="268"/>
      <c r="B34" s="269">
        <v>382</v>
      </c>
      <c r="C34" s="269" t="s">
        <v>197</v>
      </c>
      <c r="D34" s="402">
        <f t="shared" ref="D34:O34" si="84">ROUND(D$2*D98/D$70,0)</f>
        <v>133116</v>
      </c>
      <c r="E34" s="402">
        <f t="shared" si="84"/>
        <v>138771</v>
      </c>
      <c r="F34" s="402">
        <f t="shared" si="84"/>
        <v>145134</v>
      </c>
      <c r="G34" s="402">
        <f t="shared" si="84"/>
        <v>132401</v>
      </c>
      <c r="H34" s="402">
        <f t="shared" si="84"/>
        <v>142328</v>
      </c>
      <c r="I34" s="402">
        <f t="shared" si="84"/>
        <v>162617</v>
      </c>
      <c r="J34" s="402">
        <f t="shared" si="84"/>
        <v>156244</v>
      </c>
      <c r="K34" s="402">
        <f t="shared" si="84"/>
        <v>152612</v>
      </c>
      <c r="L34" s="402">
        <f t="shared" si="84"/>
        <v>148115</v>
      </c>
      <c r="M34" s="402">
        <f t="shared" si="84"/>
        <v>134913</v>
      </c>
      <c r="N34" s="402">
        <f t="shared" si="84"/>
        <v>130875</v>
      </c>
      <c r="O34" s="402">
        <f t="shared" si="84"/>
        <v>121266</v>
      </c>
      <c r="P34" s="712">
        <f t="shared" si="68"/>
        <v>131312</v>
      </c>
      <c r="Q34" s="712">
        <f t="shared" si="68"/>
        <v>128254</v>
      </c>
      <c r="R34" s="712">
        <f t="shared" si="68"/>
        <v>124632</v>
      </c>
      <c r="S34" s="712">
        <f t="shared" si="68"/>
        <v>126765</v>
      </c>
      <c r="T34" s="712">
        <f>ROUND(T$2*T98/T$70,0)</f>
        <v>136200</v>
      </c>
      <c r="U34" s="525">
        <f t="shared" ref="U34:AH34" si="85">ROUND(U$6*U98/U$70,0)</f>
        <v>132977</v>
      </c>
      <c r="V34" s="525">
        <f t="shared" si="85"/>
        <v>129275</v>
      </c>
      <c r="W34" s="525">
        <f t="shared" si="85"/>
        <v>141736</v>
      </c>
      <c r="X34" s="525">
        <f t="shared" si="85"/>
        <v>143826</v>
      </c>
      <c r="Y34" s="525">
        <f t="shared" si="85"/>
        <v>122877</v>
      </c>
      <c r="Z34" s="525">
        <f t="shared" si="85"/>
        <v>119214</v>
      </c>
      <c r="AA34" s="525">
        <f t="shared" si="85"/>
        <v>136183</v>
      </c>
      <c r="AB34" s="525">
        <f t="shared" si="85"/>
        <v>136117</v>
      </c>
      <c r="AC34" s="525">
        <f t="shared" si="85"/>
        <v>156134</v>
      </c>
      <c r="AD34" s="525">
        <f t="shared" si="85"/>
        <v>159792</v>
      </c>
      <c r="AE34" s="525">
        <f t="shared" si="85"/>
        <v>159585</v>
      </c>
      <c r="AF34" s="525">
        <f t="shared" si="85"/>
        <v>168067</v>
      </c>
      <c r="AG34" s="525">
        <f t="shared" si="85"/>
        <v>175082</v>
      </c>
      <c r="AH34" s="525">
        <f t="shared" si="85"/>
        <v>183243</v>
      </c>
      <c r="AI34" s="525">
        <f t="shared" ref="AI34:AJ34" si="86">ROUND(AI$6*AI98/AI$70,0)</f>
        <v>208693</v>
      </c>
      <c r="AJ34" s="525">
        <f t="shared" si="86"/>
        <v>249234</v>
      </c>
      <c r="AK34" s="525">
        <f t="shared" ref="AK34:AL34" si="87">ROUND(AK$6*AK98/AK$70,0)</f>
        <v>284658</v>
      </c>
      <c r="AL34" s="525">
        <f t="shared" si="87"/>
        <v>271002</v>
      </c>
    </row>
    <row r="35" spans="1:38" ht="19" customHeight="1">
      <c r="A35" s="267" t="s">
        <v>343</v>
      </c>
      <c r="B35" s="249">
        <v>4</v>
      </c>
      <c r="C35" s="249" t="s">
        <v>325</v>
      </c>
      <c r="D35" s="350">
        <f t="shared" ref="D35:O35" si="88">SUM(D36:D41)</f>
        <v>935624</v>
      </c>
      <c r="E35" s="350">
        <f t="shared" si="88"/>
        <v>1000739</v>
      </c>
      <c r="F35" s="350">
        <f t="shared" si="88"/>
        <v>1000435</v>
      </c>
      <c r="G35" s="350">
        <f t="shared" si="88"/>
        <v>1064175</v>
      </c>
      <c r="H35" s="350">
        <f t="shared" si="88"/>
        <v>1069024</v>
      </c>
      <c r="I35" s="350">
        <f t="shared" si="88"/>
        <v>1118785</v>
      </c>
      <c r="J35" s="350">
        <f t="shared" si="88"/>
        <v>1180292</v>
      </c>
      <c r="K35" s="350">
        <f t="shared" si="88"/>
        <v>1168959</v>
      </c>
      <c r="L35" s="350">
        <f t="shared" si="88"/>
        <v>1135522</v>
      </c>
      <c r="M35" s="350">
        <f t="shared" si="88"/>
        <v>1151481</v>
      </c>
      <c r="N35" s="350">
        <f t="shared" si="88"/>
        <v>1150549</v>
      </c>
      <c r="O35" s="350">
        <f t="shared" si="88"/>
        <v>1116779</v>
      </c>
      <c r="P35" s="710">
        <f>SUM(P36:P41)</f>
        <v>1212508</v>
      </c>
      <c r="Q35" s="710">
        <f>SUM(Q36:Q41)</f>
        <v>1179008</v>
      </c>
      <c r="R35" s="710">
        <f>SUM(R36:R41)</f>
        <v>1173088</v>
      </c>
      <c r="S35" s="710">
        <f>SUM(S36:S41)</f>
        <v>1185382</v>
      </c>
      <c r="T35" s="710">
        <f t="shared" ref="T35:AG35" si="89">SUM(T36:T41)</f>
        <v>1177893</v>
      </c>
      <c r="U35" s="465">
        <f t="shared" si="89"/>
        <v>1166063</v>
      </c>
      <c r="V35" s="465">
        <f t="shared" si="89"/>
        <v>1147763</v>
      </c>
      <c r="W35" s="465">
        <f t="shared" si="89"/>
        <v>1186285</v>
      </c>
      <c r="X35" s="465">
        <f t="shared" si="89"/>
        <v>1222708</v>
      </c>
      <c r="Y35" s="465">
        <f t="shared" si="89"/>
        <v>1240812</v>
      </c>
      <c r="Z35" s="465">
        <f t="shared" si="89"/>
        <v>1113960</v>
      </c>
      <c r="AA35" s="465">
        <f t="shared" si="89"/>
        <v>1094656</v>
      </c>
      <c r="AB35" s="465">
        <f t="shared" si="89"/>
        <v>1151557</v>
      </c>
      <c r="AC35" s="465">
        <f t="shared" si="89"/>
        <v>1151163</v>
      </c>
      <c r="AD35" s="465">
        <f t="shared" si="89"/>
        <v>1197785</v>
      </c>
      <c r="AE35" s="465">
        <f t="shared" si="89"/>
        <v>1259561</v>
      </c>
      <c r="AF35" s="465">
        <f t="shared" si="89"/>
        <v>1311666</v>
      </c>
      <c r="AG35" s="465">
        <f t="shared" si="89"/>
        <v>1296507</v>
      </c>
      <c r="AH35" s="465">
        <f>SUM(AH36:AH41)</f>
        <v>1310283</v>
      </c>
      <c r="AI35" s="465">
        <f>SUM(AI36:AI41)</f>
        <v>1299522</v>
      </c>
      <c r="AJ35" s="465">
        <f>SUM(AJ36:AJ41)</f>
        <v>1319932</v>
      </c>
      <c r="AK35" s="465">
        <f>SUM(AK36:AK41)</f>
        <v>1305298</v>
      </c>
      <c r="AL35" s="465">
        <f>SUM(AL36:AL41)</f>
        <v>1356148</v>
      </c>
    </row>
    <row r="36" spans="1:38" ht="19" customHeight="1">
      <c r="A36" s="267"/>
      <c r="B36" s="249">
        <v>213</v>
      </c>
      <c r="C36" s="249" t="s">
        <v>199</v>
      </c>
      <c r="D36" s="350">
        <f t="shared" ref="D36:D41" si="90">ROUND(D$2*D100/D$70,0)</f>
        <v>145886</v>
      </c>
      <c r="E36" s="350">
        <f t="shared" ref="E36:S36" si="91">ROUND(E$2*E100/E$70,0)</f>
        <v>145240</v>
      </c>
      <c r="F36" s="350">
        <f t="shared" si="91"/>
        <v>145215</v>
      </c>
      <c r="G36" s="350">
        <f t="shared" si="91"/>
        <v>153541</v>
      </c>
      <c r="H36" s="350">
        <f t="shared" si="91"/>
        <v>165012</v>
      </c>
      <c r="I36" s="350">
        <f t="shared" si="91"/>
        <v>170277</v>
      </c>
      <c r="J36" s="350">
        <f t="shared" si="91"/>
        <v>151504</v>
      </c>
      <c r="K36" s="350">
        <f t="shared" si="91"/>
        <v>146524</v>
      </c>
      <c r="L36" s="350">
        <f t="shared" si="91"/>
        <v>161014</v>
      </c>
      <c r="M36" s="350">
        <f t="shared" si="91"/>
        <v>176014</v>
      </c>
      <c r="N36" s="350">
        <f t="shared" si="91"/>
        <v>187205</v>
      </c>
      <c r="O36" s="350">
        <f t="shared" si="91"/>
        <v>160560</v>
      </c>
      <c r="P36" s="710">
        <f t="shared" si="91"/>
        <v>174835</v>
      </c>
      <c r="Q36" s="710">
        <f t="shared" si="91"/>
        <v>172424</v>
      </c>
      <c r="R36" s="710">
        <f t="shared" si="91"/>
        <v>174722</v>
      </c>
      <c r="S36" s="710">
        <f t="shared" si="91"/>
        <v>166441</v>
      </c>
      <c r="T36" s="710">
        <f t="shared" ref="T36:T41" si="92">ROUND(T$2*T100/T$70,0)</f>
        <v>159054</v>
      </c>
      <c r="U36" s="465">
        <f t="shared" ref="U36:AH36" si="93">ROUND(U$6*U100/U$70,0)</f>
        <v>157665</v>
      </c>
      <c r="V36" s="465">
        <f t="shared" si="93"/>
        <v>158484</v>
      </c>
      <c r="W36" s="465">
        <f t="shared" si="93"/>
        <v>157261</v>
      </c>
      <c r="X36" s="465">
        <f t="shared" si="93"/>
        <v>161988</v>
      </c>
      <c r="Y36" s="465">
        <f t="shared" si="93"/>
        <v>163148</v>
      </c>
      <c r="Z36" s="465">
        <f t="shared" si="93"/>
        <v>130104</v>
      </c>
      <c r="AA36" s="465">
        <f t="shared" si="93"/>
        <v>130538</v>
      </c>
      <c r="AB36" s="465">
        <f t="shared" si="93"/>
        <v>147240</v>
      </c>
      <c r="AC36" s="465">
        <f t="shared" si="93"/>
        <v>135004</v>
      </c>
      <c r="AD36" s="465">
        <f t="shared" si="93"/>
        <v>145088</v>
      </c>
      <c r="AE36" s="465">
        <f t="shared" si="93"/>
        <v>143006</v>
      </c>
      <c r="AF36" s="465">
        <f t="shared" si="93"/>
        <v>142540</v>
      </c>
      <c r="AG36" s="465">
        <f t="shared" si="93"/>
        <v>142474</v>
      </c>
      <c r="AH36" s="465">
        <f t="shared" si="93"/>
        <v>151432</v>
      </c>
      <c r="AI36" s="465">
        <f t="shared" ref="AI36:AJ36" si="94">ROUND(AI$6*AI100/AI$70,0)</f>
        <v>145709</v>
      </c>
      <c r="AJ36" s="465">
        <f t="shared" si="94"/>
        <v>147171</v>
      </c>
      <c r="AK36" s="465">
        <f t="shared" ref="AK36:AL36" si="95">ROUND(AK$6*AK100/AK$70,0)</f>
        <v>151172</v>
      </c>
      <c r="AL36" s="465">
        <f t="shared" si="95"/>
        <v>159346</v>
      </c>
    </row>
    <row r="37" spans="1:38" ht="19" customHeight="1">
      <c r="A37" s="267"/>
      <c r="B37" s="249">
        <v>215</v>
      </c>
      <c r="C37" s="249" t="s">
        <v>329</v>
      </c>
      <c r="D37" s="350">
        <f t="shared" si="90"/>
        <v>231941</v>
      </c>
      <c r="E37" s="350">
        <f t="shared" ref="E37:O37" si="96">ROUND(E$2*E101/E$70,0)</f>
        <v>235496</v>
      </c>
      <c r="F37" s="350">
        <f t="shared" si="96"/>
        <v>250791</v>
      </c>
      <c r="G37" s="350">
        <f t="shared" si="96"/>
        <v>261849</v>
      </c>
      <c r="H37" s="350">
        <f t="shared" si="96"/>
        <v>265938</v>
      </c>
      <c r="I37" s="350">
        <f t="shared" si="96"/>
        <v>275577</v>
      </c>
      <c r="J37" s="350">
        <f t="shared" si="96"/>
        <v>335619</v>
      </c>
      <c r="K37" s="350">
        <f t="shared" si="96"/>
        <v>327069</v>
      </c>
      <c r="L37" s="350">
        <f t="shared" si="96"/>
        <v>286708</v>
      </c>
      <c r="M37" s="350">
        <f t="shared" si="96"/>
        <v>288003</v>
      </c>
      <c r="N37" s="350">
        <f t="shared" si="96"/>
        <v>276283</v>
      </c>
      <c r="O37" s="350">
        <f t="shared" si="96"/>
        <v>270862</v>
      </c>
      <c r="P37" s="710">
        <f t="shared" ref="P37:S41" si="97">ROUND(P$2*P101/P$70,0)</f>
        <v>296367</v>
      </c>
      <c r="Q37" s="710">
        <f t="shared" si="97"/>
        <v>294592</v>
      </c>
      <c r="R37" s="710">
        <f t="shared" si="97"/>
        <v>291287</v>
      </c>
      <c r="S37" s="710">
        <f t="shared" si="97"/>
        <v>289953</v>
      </c>
      <c r="T37" s="710">
        <f t="shared" si="92"/>
        <v>288437</v>
      </c>
      <c r="U37" s="465">
        <f t="shared" ref="U37:AH37" si="98">ROUND(U$6*U101/U$70,0)</f>
        <v>276471</v>
      </c>
      <c r="V37" s="465">
        <f t="shared" si="98"/>
        <v>274588</v>
      </c>
      <c r="W37" s="465">
        <f t="shared" si="98"/>
        <v>283836</v>
      </c>
      <c r="X37" s="465">
        <f t="shared" si="98"/>
        <v>288809</v>
      </c>
      <c r="Y37" s="465">
        <f t="shared" si="98"/>
        <v>291567</v>
      </c>
      <c r="Z37" s="465">
        <f t="shared" si="98"/>
        <v>264140</v>
      </c>
      <c r="AA37" s="465">
        <f t="shared" si="98"/>
        <v>264402</v>
      </c>
      <c r="AB37" s="465">
        <f t="shared" si="98"/>
        <v>269658</v>
      </c>
      <c r="AC37" s="465">
        <f t="shared" si="98"/>
        <v>264450</v>
      </c>
      <c r="AD37" s="465">
        <f t="shared" si="98"/>
        <v>285171</v>
      </c>
      <c r="AE37" s="465">
        <f t="shared" si="98"/>
        <v>296589</v>
      </c>
      <c r="AF37" s="465">
        <f t="shared" si="98"/>
        <v>304827</v>
      </c>
      <c r="AG37" s="465">
        <f t="shared" si="98"/>
        <v>308410</v>
      </c>
      <c r="AH37" s="465">
        <f t="shared" si="98"/>
        <v>308956</v>
      </c>
      <c r="AI37" s="465">
        <f t="shared" ref="AI37:AJ37" si="99">ROUND(AI$6*AI101/AI$70,0)</f>
        <v>316527</v>
      </c>
      <c r="AJ37" s="465">
        <f t="shared" si="99"/>
        <v>321348</v>
      </c>
      <c r="AK37" s="465">
        <f t="shared" ref="AK37:AL37" si="100">ROUND(AK$6*AK101/AK$70,0)</f>
        <v>323795</v>
      </c>
      <c r="AL37" s="465">
        <f t="shared" si="100"/>
        <v>330552</v>
      </c>
    </row>
    <row r="38" spans="1:38" ht="19" customHeight="1">
      <c r="A38" s="267"/>
      <c r="B38" s="249">
        <v>218</v>
      </c>
      <c r="C38" s="249" t="s">
        <v>200</v>
      </c>
      <c r="D38" s="350">
        <f t="shared" si="90"/>
        <v>170073</v>
      </c>
      <c r="E38" s="350">
        <f t="shared" ref="E38:O38" si="101">ROUND(E$2*E102/E$70,0)</f>
        <v>192219</v>
      </c>
      <c r="F38" s="350">
        <f t="shared" si="101"/>
        <v>180223</v>
      </c>
      <c r="G38" s="350">
        <f t="shared" si="101"/>
        <v>189691</v>
      </c>
      <c r="H38" s="350">
        <f t="shared" si="101"/>
        <v>193482</v>
      </c>
      <c r="I38" s="350">
        <f t="shared" si="101"/>
        <v>205803</v>
      </c>
      <c r="J38" s="350">
        <f t="shared" si="101"/>
        <v>203938</v>
      </c>
      <c r="K38" s="350">
        <f t="shared" si="101"/>
        <v>208851</v>
      </c>
      <c r="L38" s="350">
        <f t="shared" si="101"/>
        <v>206642</v>
      </c>
      <c r="M38" s="350">
        <f t="shared" si="101"/>
        <v>208745</v>
      </c>
      <c r="N38" s="350">
        <f t="shared" si="101"/>
        <v>204340</v>
      </c>
      <c r="O38" s="350">
        <f t="shared" si="101"/>
        <v>198499</v>
      </c>
      <c r="P38" s="710">
        <f t="shared" si="97"/>
        <v>213399</v>
      </c>
      <c r="Q38" s="710">
        <f t="shared" si="97"/>
        <v>215711</v>
      </c>
      <c r="R38" s="710">
        <f t="shared" si="97"/>
        <v>212992</v>
      </c>
      <c r="S38" s="710">
        <f t="shared" si="97"/>
        <v>221598</v>
      </c>
      <c r="T38" s="710">
        <f t="shared" si="92"/>
        <v>218051</v>
      </c>
      <c r="U38" s="465">
        <f t="shared" ref="U38:AH38" si="102">ROUND(U$6*U102/U$70,0)</f>
        <v>219000</v>
      </c>
      <c r="V38" s="465">
        <f t="shared" si="102"/>
        <v>217416</v>
      </c>
      <c r="W38" s="465">
        <f t="shared" si="102"/>
        <v>231387</v>
      </c>
      <c r="X38" s="465">
        <f t="shared" si="102"/>
        <v>235141</v>
      </c>
      <c r="Y38" s="465">
        <f t="shared" si="102"/>
        <v>239102</v>
      </c>
      <c r="Z38" s="465">
        <f t="shared" si="102"/>
        <v>221050</v>
      </c>
      <c r="AA38" s="465">
        <f t="shared" si="102"/>
        <v>206492</v>
      </c>
      <c r="AB38" s="465">
        <f t="shared" si="102"/>
        <v>229833</v>
      </c>
      <c r="AC38" s="465">
        <f t="shared" si="102"/>
        <v>237918</v>
      </c>
      <c r="AD38" s="465">
        <f t="shared" si="102"/>
        <v>255875</v>
      </c>
      <c r="AE38" s="465">
        <f t="shared" si="102"/>
        <v>253099</v>
      </c>
      <c r="AF38" s="465">
        <f t="shared" si="102"/>
        <v>261597</v>
      </c>
      <c r="AG38" s="465">
        <f t="shared" si="102"/>
        <v>263985</v>
      </c>
      <c r="AH38" s="465">
        <f t="shared" si="102"/>
        <v>263822</v>
      </c>
      <c r="AI38" s="465">
        <f t="shared" ref="AI38:AJ38" si="103">ROUND(AI$6*AI102/AI$70,0)</f>
        <v>252856</v>
      </c>
      <c r="AJ38" s="465">
        <f t="shared" si="103"/>
        <v>259802</v>
      </c>
      <c r="AK38" s="465">
        <f t="shared" ref="AK38:AL38" si="104">ROUND(AK$6*AK102/AK$70,0)</f>
        <v>263214</v>
      </c>
      <c r="AL38" s="465">
        <f t="shared" si="104"/>
        <v>296481</v>
      </c>
    </row>
    <row r="39" spans="1:38" ht="19" customHeight="1">
      <c r="A39" s="267"/>
      <c r="B39" s="249">
        <v>220</v>
      </c>
      <c r="C39" s="249" t="s">
        <v>201</v>
      </c>
      <c r="D39" s="350">
        <f t="shared" si="90"/>
        <v>158944</v>
      </c>
      <c r="E39" s="350">
        <f t="shared" ref="E39:O39" si="105">ROUND(E$2*E103/E$70,0)</f>
        <v>170743</v>
      </c>
      <c r="F39" s="350">
        <f t="shared" si="105"/>
        <v>173625</v>
      </c>
      <c r="G39" s="350">
        <f t="shared" si="105"/>
        <v>181520</v>
      </c>
      <c r="H39" s="350">
        <f t="shared" si="105"/>
        <v>182048</v>
      </c>
      <c r="I39" s="350">
        <f t="shared" si="105"/>
        <v>183014</v>
      </c>
      <c r="J39" s="350">
        <f t="shared" si="105"/>
        <v>200179</v>
      </c>
      <c r="K39" s="350">
        <f t="shared" si="105"/>
        <v>195792</v>
      </c>
      <c r="L39" s="350">
        <f t="shared" si="105"/>
        <v>189769</v>
      </c>
      <c r="M39" s="350">
        <f t="shared" si="105"/>
        <v>183302</v>
      </c>
      <c r="N39" s="350">
        <f t="shared" si="105"/>
        <v>183093</v>
      </c>
      <c r="O39" s="350">
        <f t="shared" si="105"/>
        <v>182610</v>
      </c>
      <c r="P39" s="710">
        <f t="shared" si="97"/>
        <v>197564</v>
      </c>
      <c r="Q39" s="710">
        <f t="shared" si="97"/>
        <v>193034</v>
      </c>
      <c r="R39" s="710">
        <f t="shared" si="97"/>
        <v>191571</v>
      </c>
      <c r="S39" s="710">
        <f t="shared" si="97"/>
        <v>198068</v>
      </c>
      <c r="T39" s="710">
        <f t="shared" si="92"/>
        <v>197808</v>
      </c>
      <c r="U39" s="465">
        <f t="shared" ref="U39:AH39" si="106">ROUND(U$6*U103/U$70,0)</f>
        <v>192381</v>
      </c>
      <c r="V39" s="465">
        <f t="shared" si="106"/>
        <v>194447</v>
      </c>
      <c r="W39" s="465">
        <f t="shared" si="106"/>
        <v>200138</v>
      </c>
      <c r="X39" s="465">
        <f t="shared" si="106"/>
        <v>213474</v>
      </c>
      <c r="Y39" s="465">
        <f t="shared" si="106"/>
        <v>209561</v>
      </c>
      <c r="Z39" s="465">
        <f t="shared" si="106"/>
        <v>197739</v>
      </c>
      <c r="AA39" s="465">
        <f t="shared" si="106"/>
        <v>201820</v>
      </c>
      <c r="AB39" s="465">
        <f t="shared" si="106"/>
        <v>212877</v>
      </c>
      <c r="AC39" s="465">
        <f t="shared" si="106"/>
        <v>203411</v>
      </c>
      <c r="AD39" s="465">
        <f t="shared" si="106"/>
        <v>210687</v>
      </c>
      <c r="AE39" s="465">
        <f t="shared" si="106"/>
        <v>229804</v>
      </c>
      <c r="AF39" s="465">
        <f t="shared" si="106"/>
        <v>252140</v>
      </c>
      <c r="AG39" s="465">
        <f t="shared" si="106"/>
        <v>254849</v>
      </c>
      <c r="AH39" s="465">
        <f t="shared" si="106"/>
        <v>247086</v>
      </c>
      <c r="AI39" s="465">
        <f t="shared" ref="AI39:AJ39" si="107">ROUND(AI$6*AI103/AI$70,0)</f>
        <v>234697</v>
      </c>
      <c r="AJ39" s="465">
        <f t="shared" si="107"/>
        <v>254100</v>
      </c>
      <c r="AK39" s="465">
        <f t="shared" ref="AK39:AL39" si="108">ROUND(AK$6*AK103/AK$70,0)</f>
        <v>245023</v>
      </c>
      <c r="AL39" s="465">
        <f t="shared" si="108"/>
        <v>257009</v>
      </c>
    </row>
    <row r="40" spans="1:38" ht="19" customHeight="1">
      <c r="A40" s="267"/>
      <c r="B40" s="249">
        <v>228</v>
      </c>
      <c r="C40" s="249" t="s">
        <v>330</v>
      </c>
      <c r="D40" s="350">
        <f t="shared" si="90"/>
        <v>178170</v>
      </c>
      <c r="E40" s="350">
        <f t="shared" ref="E40:O40" si="109">ROUND(E$2*E104/E$70,0)</f>
        <v>198596</v>
      </c>
      <c r="F40" s="350">
        <f t="shared" si="109"/>
        <v>188996</v>
      </c>
      <c r="G40" s="350">
        <f t="shared" si="109"/>
        <v>212755</v>
      </c>
      <c r="H40" s="350">
        <f t="shared" si="109"/>
        <v>197503</v>
      </c>
      <c r="I40" s="350">
        <f t="shared" si="109"/>
        <v>216283</v>
      </c>
      <c r="J40" s="350">
        <f t="shared" si="109"/>
        <v>220107</v>
      </c>
      <c r="K40" s="350">
        <f t="shared" si="109"/>
        <v>221678</v>
      </c>
      <c r="L40" s="350">
        <f t="shared" si="109"/>
        <v>223368</v>
      </c>
      <c r="M40" s="350">
        <f t="shared" si="109"/>
        <v>230177</v>
      </c>
      <c r="N40" s="350">
        <f t="shared" si="109"/>
        <v>233799</v>
      </c>
      <c r="O40" s="350">
        <f t="shared" si="109"/>
        <v>239069</v>
      </c>
      <c r="P40" s="710">
        <f t="shared" si="97"/>
        <v>260617</v>
      </c>
      <c r="Q40" s="710">
        <f t="shared" si="97"/>
        <v>234471</v>
      </c>
      <c r="R40" s="710">
        <f t="shared" si="97"/>
        <v>233853</v>
      </c>
      <c r="S40" s="710">
        <f t="shared" si="97"/>
        <v>241595</v>
      </c>
      <c r="T40" s="710">
        <f t="shared" si="92"/>
        <v>247382</v>
      </c>
      <c r="U40" s="465">
        <f t="shared" ref="U40:AH40" si="110">ROUND(U$6*U104/U$70,0)</f>
        <v>256338</v>
      </c>
      <c r="V40" s="465">
        <f t="shared" si="110"/>
        <v>240348</v>
      </c>
      <c r="W40" s="465">
        <f t="shared" si="110"/>
        <v>249999</v>
      </c>
      <c r="X40" s="465">
        <f t="shared" si="110"/>
        <v>262980</v>
      </c>
      <c r="Y40" s="465">
        <f t="shared" si="110"/>
        <v>275253</v>
      </c>
      <c r="Z40" s="465">
        <f t="shared" si="110"/>
        <v>238158</v>
      </c>
      <c r="AA40" s="465">
        <f t="shared" si="110"/>
        <v>230443</v>
      </c>
      <c r="AB40" s="465">
        <f t="shared" si="110"/>
        <v>229509</v>
      </c>
      <c r="AC40" s="465">
        <f t="shared" si="110"/>
        <v>247072</v>
      </c>
      <c r="AD40" s="465">
        <f t="shared" si="110"/>
        <v>235214</v>
      </c>
      <c r="AE40" s="465">
        <f t="shared" si="110"/>
        <v>269639</v>
      </c>
      <c r="AF40" s="465">
        <f t="shared" si="110"/>
        <v>282184</v>
      </c>
      <c r="AG40" s="465">
        <f t="shared" si="110"/>
        <v>260978</v>
      </c>
      <c r="AH40" s="465">
        <f t="shared" si="110"/>
        <v>273058</v>
      </c>
      <c r="AI40" s="465">
        <f t="shared" ref="AI40:AJ40" si="111">ROUND(AI$6*AI104/AI$70,0)</f>
        <v>283315</v>
      </c>
      <c r="AJ40" s="465">
        <f t="shared" si="111"/>
        <v>268493</v>
      </c>
      <c r="AK40" s="465">
        <f t="shared" ref="AK40:AL40" si="112">ROUND(AK$6*AK104/AK$70,0)</f>
        <v>248836</v>
      </c>
      <c r="AL40" s="465">
        <f t="shared" si="112"/>
        <v>239288</v>
      </c>
    </row>
    <row r="41" spans="1:38" ht="19" customHeight="1">
      <c r="A41" s="267"/>
      <c r="B41" s="249">
        <v>365</v>
      </c>
      <c r="C41" s="249" t="s">
        <v>331</v>
      </c>
      <c r="D41" s="350">
        <f t="shared" si="90"/>
        <v>50610</v>
      </c>
      <c r="E41" s="350">
        <f t="shared" ref="E41:O41" si="113">ROUND(E$2*E105/E$70,0)</f>
        <v>58445</v>
      </c>
      <c r="F41" s="350">
        <f t="shared" si="113"/>
        <v>61585</v>
      </c>
      <c r="G41" s="350">
        <f t="shared" si="113"/>
        <v>64819</v>
      </c>
      <c r="H41" s="350">
        <f t="shared" si="113"/>
        <v>65041</v>
      </c>
      <c r="I41" s="350">
        <f t="shared" si="113"/>
        <v>67831</v>
      </c>
      <c r="J41" s="350">
        <f t="shared" si="113"/>
        <v>68945</v>
      </c>
      <c r="K41" s="350">
        <f t="shared" si="113"/>
        <v>69045</v>
      </c>
      <c r="L41" s="350">
        <f t="shared" si="113"/>
        <v>68021</v>
      </c>
      <c r="M41" s="350">
        <f t="shared" si="113"/>
        <v>65240</v>
      </c>
      <c r="N41" s="350">
        <f t="shared" si="113"/>
        <v>65829</v>
      </c>
      <c r="O41" s="350">
        <f t="shared" si="113"/>
        <v>65179</v>
      </c>
      <c r="P41" s="710">
        <f t="shared" si="97"/>
        <v>69726</v>
      </c>
      <c r="Q41" s="710">
        <f t="shared" si="97"/>
        <v>68776</v>
      </c>
      <c r="R41" s="710">
        <f t="shared" si="97"/>
        <v>68663</v>
      </c>
      <c r="S41" s="710">
        <f t="shared" si="97"/>
        <v>67727</v>
      </c>
      <c r="T41" s="710">
        <f t="shared" si="92"/>
        <v>67161</v>
      </c>
      <c r="U41" s="465">
        <f t="shared" ref="U41:AH41" si="114">ROUND(U$6*U105/U$70,0)</f>
        <v>64208</v>
      </c>
      <c r="V41" s="465">
        <f t="shared" si="114"/>
        <v>62480</v>
      </c>
      <c r="W41" s="465">
        <f t="shared" si="114"/>
        <v>63664</v>
      </c>
      <c r="X41" s="465">
        <f t="shared" si="114"/>
        <v>60316</v>
      </c>
      <c r="Y41" s="465">
        <f t="shared" si="114"/>
        <v>62181</v>
      </c>
      <c r="Z41" s="465">
        <f t="shared" si="114"/>
        <v>62769</v>
      </c>
      <c r="AA41" s="465">
        <f t="shared" si="114"/>
        <v>60961</v>
      </c>
      <c r="AB41" s="465">
        <f t="shared" si="114"/>
        <v>62440</v>
      </c>
      <c r="AC41" s="465">
        <f t="shared" si="114"/>
        <v>63308</v>
      </c>
      <c r="AD41" s="465">
        <f t="shared" si="114"/>
        <v>65750</v>
      </c>
      <c r="AE41" s="465">
        <f t="shared" si="114"/>
        <v>67424</v>
      </c>
      <c r="AF41" s="465">
        <f t="shared" si="114"/>
        <v>68378</v>
      </c>
      <c r="AG41" s="465">
        <f t="shared" si="114"/>
        <v>65811</v>
      </c>
      <c r="AH41" s="465">
        <f t="shared" si="114"/>
        <v>65929</v>
      </c>
      <c r="AI41" s="465">
        <f t="shared" ref="AI41:AJ41" si="115">ROUND(AI$6*AI105/AI$70,0)</f>
        <v>66418</v>
      </c>
      <c r="AJ41" s="465">
        <f t="shared" si="115"/>
        <v>69018</v>
      </c>
      <c r="AK41" s="465">
        <f t="shared" ref="AK41:AL41" si="116">ROUND(AK$6*AK105/AK$70,0)</f>
        <v>73258</v>
      </c>
      <c r="AL41" s="465">
        <f t="shared" si="116"/>
        <v>73472</v>
      </c>
    </row>
    <row r="42" spans="1:38" ht="19" customHeight="1">
      <c r="A42" s="273" t="s">
        <v>344</v>
      </c>
      <c r="B42" s="270">
        <v>5</v>
      </c>
      <c r="C42" s="270" t="s">
        <v>326</v>
      </c>
      <c r="D42" s="349">
        <f t="shared" ref="D42:O42" si="117">SUM(D43:D46)</f>
        <v>2374944</v>
      </c>
      <c r="E42" s="349">
        <f t="shared" si="117"/>
        <v>2532979</v>
      </c>
      <c r="F42" s="349">
        <f t="shared" si="117"/>
        <v>2625167</v>
      </c>
      <c r="G42" s="349">
        <f t="shared" si="117"/>
        <v>2626243</v>
      </c>
      <c r="H42" s="349">
        <f t="shared" si="117"/>
        <v>2571499</v>
      </c>
      <c r="I42" s="349">
        <f t="shared" si="117"/>
        <v>2636915</v>
      </c>
      <c r="J42" s="349">
        <f t="shared" si="117"/>
        <v>2733950</v>
      </c>
      <c r="K42" s="349">
        <f t="shared" si="117"/>
        <v>2713136</v>
      </c>
      <c r="L42" s="349">
        <f t="shared" si="117"/>
        <v>2602948</v>
      </c>
      <c r="M42" s="349">
        <f t="shared" si="117"/>
        <v>2482219</v>
      </c>
      <c r="N42" s="349">
        <f t="shared" si="117"/>
        <v>2490309</v>
      </c>
      <c r="O42" s="349">
        <f t="shared" si="117"/>
        <v>2377101</v>
      </c>
      <c r="P42" s="709">
        <f>SUM(P43:P46)</f>
        <v>2476248</v>
      </c>
      <c r="Q42" s="709">
        <f>SUM(Q43:Q46)</f>
        <v>2488978</v>
      </c>
      <c r="R42" s="709">
        <f>SUM(R43:R46)</f>
        <v>2486176</v>
      </c>
      <c r="S42" s="709">
        <f>SUM(S43:S46)</f>
        <v>2540771</v>
      </c>
      <c r="T42" s="709">
        <f t="shared" ref="T42:AG42" si="118">SUM(T43:T46)</f>
        <v>2561104</v>
      </c>
      <c r="U42" s="464">
        <f t="shared" si="118"/>
        <v>2515903</v>
      </c>
      <c r="V42" s="464">
        <f t="shared" si="118"/>
        <v>2479569</v>
      </c>
      <c r="W42" s="464">
        <f t="shared" si="118"/>
        <v>2681065</v>
      </c>
      <c r="X42" s="464">
        <f t="shared" si="118"/>
        <v>2529549</v>
      </c>
      <c r="Y42" s="464">
        <f t="shared" si="118"/>
        <v>2700289</v>
      </c>
      <c r="Z42" s="464">
        <f t="shared" si="118"/>
        <v>2382248</v>
      </c>
      <c r="AA42" s="464">
        <f t="shared" si="118"/>
        <v>2318281</v>
      </c>
      <c r="AB42" s="464">
        <f t="shared" si="118"/>
        <v>2510678</v>
      </c>
      <c r="AC42" s="464">
        <f t="shared" si="118"/>
        <v>2534302</v>
      </c>
      <c r="AD42" s="464">
        <f t="shared" si="118"/>
        <v>2608505</v>
      </c>
      <c r="AE42" s="464">
        <f t="shared" si="118"/>
        <v>2670969</v>
      </c>
      <c r="AF42" s="464">
        <f t="shared" si="118"/>
        <v>2678931</v>
      </c>
      <c r="AG42" s="464">
        <f t="shared" si="118"/>
        <v>2674825</v>
      </c>
      <c r="AH42" s="464">
        <f>SUM(AH43:AH46)</f>
        <v>2648188</v>
      </c>
      <c r="AI42" s="464">
        <f>SUM(AI43:AI46)</f>
        <v>2592307</v>
      </c>
      <c r="AJ42" s="464">
        <f>SUM(AJ43:AJ46)</f>
        <v>2822650</v>
      </c>
      <c r="AK42" s="464">
        <f>SUM(AK43:AK46)</f>
        <v>2901482</v>
      </c>
      <c r="AL42" s="464">
        <f>SUM(AL43:AL46)</f>
        <v>2930515</v>
      </c>
    </row>
    <row r="43" spans="1:38" ht="19" customHeight="1">
      <c r="A43" s="267"/>
      <c r="B43" s="249">
        <v>201</v>
      </c>
      <c r="C43" s="249" t="s">
        <v>332</v>
      </c>
      <c r="D43" s="350">
        <f t="shared" ref="D43:O43" si="119">ROUND(D$2*D107/D$70,0)</f>
        <v>2200151</v>
      </c>
      <c r="E43" s="350">
        <f t="shared" si="119"/>
        <v>2357572</v>
      </c>
      <c r="F43" s="350">
        <f t="shared" si="119"/>
        <v>2442276</v>
      </c>
      <c r="G43" s="350">
        <f t="shared" si="119"/>
        <v>2432534</v>
      </c>
      <c r="H43" s="350">
        <f t="shared" si="119"/>
        <v>2381390</v>
      </c>
      <c r="I43" s="350">
        <f t="shared" si="119"/>
        <v>2428577</v>
      </c>
      <c r="J43" s="350">
        <f t="shared" si="119"/>
        <v>2519569</v>
      </c>
      <c r="K43" s="350">
        <f t="shared" si="119"/>
        <v>2500257</v>
      </c>
      <c r="L43" s="350">
        <f t="shared" si="119"/>
        <v>2391035</v>
      </c>
      <c r="M43" s="350">
        <f t="shared" si="119"/>
        <v>2280901</v>
      </c>
      <c r="N43" s="350">
        <f t="shared" si="119"/>
        <v>2283715</v>
      </c>
      <c r="O43" s="350">
        <f t="shared" si="119"/>
        <v>2172162</v>
      </c>
      <c r="P43" s="710">
        <f t="shared" ref="P43:S46" si="120">ROUND(P$2*P107/P$70,0)</f>
        <v>2255227</v>
      </c>
      <c r="Q43" s="710">
        <f t="shared" si="120"/>
        <v>2267772</v>
      </c>
      <c r="R43" s="710">
        <f t="shared" si="120"/>
        <v>2259363</v>
      </c>
      <c r="S43" s="710">
        <f t="shared" si="120"/>
        <v>2305346</v>
      </c>
      <c r="T43" s="710">
        <f>ROUND(T$2*T107/T$70,0)</f>
        <v>2336111</v>
      </c>
      <c r="U43" s="465">
        <f t="shared" ref="U43:AH43" si="121">ROUND(U$6*U107/U$70,0)</f>
        <v>2299388</v>
      </c>
      <c r="V43" s="465">
        <f t="shared" si="121"/>
        <v>2265006</v>
      </c>
      <c r="W43" s="465">
        <f t="shared" si="121"/>
        <v>2461077</v>
      </c>
      <c r="X43" s="465">
        <f t="shared" si="121"/>
        <v>2308385</v>
      </c>
      <c r="Y43" s="465">
        <f t="shared" si="121"/>
        <v>2465019</v>
      </c>
      <c r="Z43" s="465">
        <f t="shared" si="121"/>
        <v>2164871</v>
      </c>
      <c r="AA43" s="465">
        <f t="shared" si="121"/>
        <v>2111731</v>
      </c>
      <c r="AB43" s="465">
        <f t="shared" si="121"/>
        <v>2279755</v>
      </c>
      <c r="AC43" s="465">
        <f t="shared" si="121"/>
        <v>2304890</v>
      </c>
      <c r="AD43" s="465">
        <f t="shared" si="121"/>
        <v>2371505</v>
      </c>
      <c r="AE43" s="465">
        <f t="shared" si="121"/>
        <v>2419072</v>
      </c>
      <c r="AF43" s="465">
        <f t="shared" si="121"/>
        <v>2418958</v>
      </c>
      <c r="AG43" s="465">
        <f t="shared" si="121"/>
        <v>2416021</v>
      </c>
      <c r="AH43" s="465">
        <f t="shared" si="121"/>
        <v>2390528</v>
      </c>
      <c r="AI43" s="465">
        <f t="shared" ref="AI43:AJ43" si="122">ROUND(AI$6*AI107/AI$70,0)</f>
        <v>2346960</v>
      </c>
      <c r="AJ43" s="465">
        <f t="shared" si="122"/>
        <v>2570060</v>
      </c>
      <c r="AK43" s="465">
        <f t="shared" ref="AK43:AL43" si="123">ROUND(AK$6*AK107/AK$70,0)</f>
        <v>2634961</v>
      </c>
      <c r="AL43" s="465">
        <f t="shared" si="123"/>
        <v>2656993</v>
      </c>
    </row>
    <row r="44" spans="1:38" ht="19" customHeight="1">
      <c r="A44" s="267"/>
      <c r="B44" s="249">
        <v>442</v>
      </c>
      <c r="C44" s="249" t="s">
        <v>203</v>
      </c>
      <c r="D44" s="350">
        <f t="shared" ref="D44:O44" si="124">ROUND(D$2*D108/D$70,0)</f>
        <v>32159</v>
      </c>
      <c r="E44" s="350">
        <f t="shared" si="124"/>
        <v>33981</v>
      </c>
      <c r="F44" s="350">
        <f t="shared" si="124"/>
        <v>32859</v>
      </c>
      <c r="G44" s="350">
        <f t="shared" si="124"/>
        <v>33421</v>
      </c>
      <c r="H44" s="350">
        <f t="shared" si="124"/>
        <v>36623</v>
      </c>
      <c r="I44" s="350">
        <f t="shared" si="124"/>
        <v>37393</v>
      </c>
      <c r="J44" s="350">
        <f t="shared" si="124"/>
        <v>39354</v>
      </c>
      <c r="K44" s="350">
        <f t="shared" si="124"/>
        <v>38419</v>
      </c>
      <c r="L44" s="350">
        <f t="shared" si="124"/>
        <v>39913</v>
      </c>
      <c r="M44" s="350">
        <f t="shared" si="124"/>
        <v>37094</v>
      </c>
      <c r="N44" s="350">
        <f t="shared" si="124"/>
        <v>37393</v>
      </c>
      <c r="O44" s="350">
        <f t="shared" si="124"/>
        <v>34509</v>
      </c>
      <c r="P44" s="710">
        <f t="shared" si="120"/>
        <v>37749</v>
      </c>
      <c r="Q44" s="710">
        <f t="shared" si="120"/>
        <v>38215</v>
      </c>
      <c r="R44" s="710">
        <f t="shared" si="120"/>
        <v>39245</v>
      </c>
      <c r="S44" s="710">
        <f t="shared" si="120"/>
        <v>42687</v>
      </c>
      <c r="T44" s="710">
        <f>ROUND(T$2*T108/T$70,0)</f>
        <v>42671</v>
      </c>
      <c r="U44" s="465">
        <f t="shared" ref="U44:AH44" si="125">ROUND(U$6*U108/U$70,0)</f>
        <v>41427</v>
      </c>
      <c r="V44" s="465">
        <f t="shared" si="125"/>
        <v>39156</v>
      </c>
      <c r="W44" s="465">
        <f t="shared" si="125"/>
        <v>39000</v>
      </c>
      <c r="X44" s="465">
        <f t="shared" si="125"/>
        <v>37651</v>
      </c>
      <c r="Y44" s="465">
        <f t="shared" si="125"/>
        <v>35453</v>
      </c>
      <c r="Z44" s="465">
        <f t="shared" si="125"/>
        <v>31844</v>
      </c>
      <c r="AA44" s="465">
        <f t="shared" si="125"/>
        <v>33631</v>
      </c>
      <c r="AB44" s="465">
        <f t="shared" si="125"/>
        <v>36897</v>
      </c>
      <c r="AC44" s="465">
        <f t="shared" si="125"/>
        <v>35406</v>
      </c>
      <c r="AD44" s="465">
        <f t="shared" si="125"/>
        <v>35444</v>
      </c>
      <c r="AE44" s="465">
        <f t="shared" si="125"/>
        <v>37716</v>
      </c>
      <c r="AF44" s="465">
        <f t="shared" si="125"/>
        <v>37794</v>
      </c>
      <c r="AG44" s="465">
        <f t="shared" si="125"/>
        <v>38688</v>
      </c>
      <c r="AH44" s="465">
        <f t="shared" si="125"/>
        <v>39589</v>
      </c>
      <c r="AI44" s="465">
        <f t="shared" ref="AI44:AJ44" si="126">ROUND(AI$6*AI108/AI$70,0)</f>
        <v>38208</v>
      </c>
      <c r="AJ44" s="465">
        <f t="shared" si="126"/>
        <v>41972</v>
      </c>
      <c r="AK44" s="465">
        <f t="shared" ref="AK44:AL44" si="127">ROUND(AK$6*AK108/AK$70,0)</f>
        <v>42237</v>
      </c>
      <c r="AL44" s="465">
        <f t="shared" si="127"/>
        <v>44652</v>
      </c>
    </row>
    <row r="45" spans="1:38" ht="19" customHeight="1">
      <c r="A45" s="267"/>
      <c r="B45" s="249">
        <v>443</v>
      </c>
      <c r="C45" s="249" t="s">
        <v>204</v>
      </c>
      <c r="D45" s="350">
        <f t="shared" ref="D45:O45" si="128">ROUND(D$2*D109/D$70,0)</f>
        <v>112490</v>
      </c>
      <c r="E45" s="350">
        <f t="shared" si="128"/>
        <v>110571</v>
      </c>
      <c r="F45" s="350">
        <f t="shared" si="128"/>
        <v>115837</v>
      </c>
      <c r="G45" s="350">
        <f t="shared" si="128"/>
        <v>121814</v>
      </c>
      <c r="H45" s="350">
        <f t="shared" si="128"/>
        <v>118420</v>
      </c>
      <c r="I45" s="350">
        <f t="shared" si="128"/>
        <v>134243</v>
      </c>
      <c r="J45" s="350">
        <f t="shared" si="128"/>
        <v>139869</v>
      </c>
      <c r="K45" s="350">
        <f t="shared" si="128"/>
        <v>136826</v>
      </c>
      <c r="L45" s="350">
        <f t="shared" si="128"/>
        <v>134585</v>
      </c>
      <c r="M45" s="350">
        <f t="shared" si="128"/>
        <v>127323</v>
      </c>
      <c r="N45" s="350">
        <f t="shared" si="128"/>
        <v>130972</v>
      </c>
      <c r="O45" s="350">
        <f t="shared" si="128"/>
        <v>132668</v>
      </c>
      <c r="P45" s="710">
        <f t="shared" si="120"/>
        <v>145781</v>
      </c>
      <c r="Q45" s="710">
        <f t="shared" si="120"/>
        <v>147109</v>
      </c>
      <c r="R45" s="710">
        <f t="shared" si="120"/>
        <v>152090</v>
      </c>
      <c r="S45" s="710">
        <f t="shared" si="120"/>
        <v>157347</v>
      </c>
      <c r="T45" s="710">
        <f>ROUND(T$2*T109/T$70,0)</f>
        <v>146382</v>
      </c>
      <c r="U45" s="465">
        <f t="shared" ref="U45:AH45" si="129">ROUND(U$6*U109/U$70,0)</f>
        <v>140737</v>
      </c>
      <c r="V45" s="465">
        <f t="shared" si="129"/>
        <v>143204</v>
      </c>
      <c r="W45" s="465">
        <f t="shared" si="129"/>
        <v>147534</v>
      </c>
      <c r="X45" s="465">
        <f t="shared" si="129"/>
        <v>148143</v>
      </c>
      <c r="Y45" s="465">
        <f t="shared" si="129"/>
        <v>166121</v>
      </c>
      <c r="Z45" s="465">
        <f t="shared" si="129"/>
        <v>156539</v>
      </c>
      <c r="AA45" s="465">
        <f t="shared" si="129"/>
        <v>145584</v>
      </c>
      <c r="AB45" s="465">
        <f t="shared" si="129"/>
        <v>163726</v>
      </c>
      <c r="AC45" s="465">
        <f t="shared" si="129"/>
        <v>163940</v>
      </c>
      <c r="AD45" s="465">
        <f t="shared" si="129"/>
        <v>169206</v>
      </c>
      <c r="AE45" s="465">
        <f t="shared" si="129"/>
        <v>182330</v>
      </c>
      <c r="AF45" s="465">
        <f t="shared" si="129"/>
        <v>189242</v>
      </c>
      <c r="AG45" s="465">
        <f t="shared" si="129"/>
        <v>187452</v>
      </c>
      <c r="AH45" s="465">
        <f t="shared" si="129"/>
        <v>186340</v>
      </c>
      <c r="AI45" s="465">
        <f t="shared" ref="AI45:AJ45" si="130">ROUND(AI$6*AI109/AI$70,0)</f>
        <v>175405</v>
      </c>
      <c r="AJ45" s="465">
        <f t="shared" si="130"/>
        <v>177503</v>
      </c>
      <c r="AK45" s="465">
        <f t="shared" ref="AK45:AL45" si="131">ROUND(AK$6*AK109/AK$70,0)</f>
        <v>188148</v>
      </c>
      <c r="AL45" s="465">
        <f t="shared" si="131"/>
        <v>191258</v>
      </c>
    </row>
    <row r="46" spans="1:38" ht="19" customHeight="1">
      <c r="A46" s="268"/>
      <c r="B46" s="269">
        <v>446</v>
      </c>
      <c r="C46" s="269" t="s">
        <v>333</v>
      </c>
      <c r="D46" s="402">
        <f t="shared" ref="D46:O46" si="132">ROUND(D$2*D110/D$70,0)</f>
        <v>30144</v>
      </c>
      <c r="E46" s="402">
        <f t="shared" si="132"/>
        <v>30855</v>
      </c>
      <c r="F46" s="402">
        <f t="shared" si="132"/>
        <v>34195</v>
      </c>
      <c r="G46" s="402">
        <f t="shared" si="132"/>
        <v>38474</v>
      </c>
      <c r="H46" s="402">
        <f t="shared" si="132"/>
        <v>35066</v>
      </c>
      <c r="I46" s="402">
        <f t="shared" si="132"/>
        <v>36702</v>
      </c>
      <c r="J46" s="402">
        <f t="shared" si="132"/>
        <v>35158</v>
      </c>
      <c r="K46" s="402">
        <f t="shared" si="132"/>
        <v>37634</v>
      </c>
      <c r="L46" s="402">
        <f t="shared" si="132"/>
        <v>37415</v>
      </c>
      <c r="M46" s="402">
        <f t="shared" si="132"/>
        <v>36901</v>
      </c>
      <c r="N46" s="402">
        <f t="shared" si="132"/>
        <v>38229</v>
      </c>
      <c r="O46" s="402">
        <f t="shared" si="132"/>
        <v>37762</v>
      </c>
      <c r="P46" s="712">
        <f t="shared" si="120"/>
        <v>37491</v>
      </c>
      <c r="Q46" s="712">
        <f t="shared" si="120"/>
        <v>35882</v>
      </c>
      <c r="R46" s="712">
        <f t="shared" si="120"/>
        <v>35478</v>
      </c>
      <c r="S46" s="712">
        <f t="shared" si="120"/>
        <v>35391</v>
      </c>
      <c r="T46" s="712">
        <f>ROUND(T$2*T110/T$70,0)</f>
        <v>35940</v>
      </c>
      <c r="U46" s="525">
        <f t="shared" ref="U46:AH46" si="133">ROUND(U$6*U110/U$70,0)</f>
        <v>34351</v>
      </c>
      <c r="V46" s="525">
        <f t="shared" si="133"/>
        <v>32203</v>
      </c>
      <c r="W46" s="525">
        <f t="shared" si="133"/>
        <v>33454</v>
      </c>
      <c r="X46" s="525">
        <f t="shared" si="133"/>
        <v>35370</v>
      </c>
      <c r="Y46" s="525">
        <f t="shared" si="133"/>
        <v>33696</v>
      </c>
      <c r="Z46" s="525">
        <f t="shared" si="133"/>
        <v>28994</v>
      </c>
      <c r="AA46" s="525">
        <f t="shared" si="133"/>
        <v>27335</v>
      </c>
      <c r="AB46" s="525">
        <f t="shared" si="133"/>
        <v>30300</v>
      </c>
      <c r="AC46" s="525">
        <f t="shared" si="133"/>
        <v>30066</v>
      </c>
      <c r="AD46" s="525">
        <f t="shared" si="133"/>
        <v>32350</v>
      </c>
      <c r="AE46" s="525">
        <f t="shared" si="133"/>
        <v>31851</v>
      </c>
      <c r="AF46" s="525">
        <f t="shared" si="133"/>
        <v>32937</v>
      </c>
      <c r="AG46" s="525">
        <f t="shared" si="133"/>
        <v>32664</v>
      </c>
      <c r="AH46" s="525">
        <f t="shared" si="133"/>
        <v>31731</v>
      </c>
      <c r="AI46" s="525">
        <f t="shared" ref="AI46:AJ46" si="134">ROUND(AI$6*AI110/AI$70,0)</f>
        <v>31734</v>
      </c>
      <c r="AJ46" s="525">
        <f t="shared" si="134"/>
        <v>33115</v>
      </c>
      <c r="AK46" s="525">
        <f t="shared" ref="AK46:AL46" si="135">ROUND(AK$6*AK110/AK$70,0)</f>
        <v>36136</v>
      </c>
      <c r="AL46" s="525">
        <f t="shared" si="135"/>
        <v>37612</v>
      </c>
    </row>
    <row r="47" spans="1:38" ht="19" customHeight="1">
      <c r="A47" s="267" t="s">
        <v>345</v>
      </c>
      <c r="B47" s="249">
        <v>6</v>
      </c>
      <c r="C47" s="249" t="s">
        <v>327</v>
      </c>
      <c r="D47" s="350">
        <f t="shared" ref="D47:O47" si="136">SUM(D48:D54)</f>
        <v>841062</v>
      </c>
      <c r="E47" s="350">
        <f t="shared" si="136"/>
        <v>924502</v>
      </c>
      <c r="F47" s="350">
        <f t="shared" si="136"/>
        <v>920204</v>
      </c>
      <c r="G47" s="350">
        <f t="shared" si="136"/>
        <v>987501</v>
      </c>
      <c r="H47" s="350">
        <f t="shared" si="136"/>
        <v>1003328</v>
      </c>
      <c r="I47" s="350">
        <f t="shared" si="136"/>
        <v>1069716</v>
      </c>
      <c r="J47" s="350">
        <f t="shared" si="136"/>
        <v>1091352</v>
      </c>
      <c r="K47" s="350">
        <f t="shared" si="136"/>
        <v>1076205</v>
      </c>
      <c r="L47" s="350">
        <f t="shared" si="136"/>
        <v>1056198</v>
      </c>
      <c r="M47" s="350">
        <f t="shared" si="136"/>
        <v>1076206</v>
      </c>
      <c r="N47" s="350">
        <f t="shared" si="136"/>
        <v>1064573</v>
      </c>
      <c r="O47" s="350">
        <f t="shared" si="136"/>
        <v>978711</v>
      </c>
      <c r="P47" s="710">
        <f>SUM(P48:P54)</f>
        <v>1102427</v>
      </c>
      <c r="Q47" s="710">
        <f>SUM(Q48:Q54)</f>
        <v>1090223</v>
      </c>
      <c r="R47" s="710">
        <f>SUM(R48:R54)</f>
        <v>1049339</v>
      </c>
      <c r="S47" s="710">
        <f>SUM(S48:S54)</f>
        <v>1035054</v>
      </c>
      <c r="T47" s="710">
        <f t="shared" ref="T47:AG47" si="137">SUM(T48:T54)</f>
        <v>1001075</v>
      </c>
      <c r="U47" s="465">
        <f t="shared" si="137"/>
        <v>968752</v>
      </c>
      <c r="V47" s="465">
        <f t="shared" si="137"/>
        <v>954876</v>
      </c>
      <c r="W47" s="465">
        <f t="shared" si="137"/>
        <v>964276</v>
      </c>
      <c r="X47" s="465">
        <f t="shared" si="137"/>
        <v>999083</v>
      </c>
      <c r="Y47" s="465">
        <f t="shared" si="137"/>
        <v>1036995</v>
      </c>
      <c r="Z47" s="465">
        <f t="shared" si="137"/>
        <v>955124</v>
      </c>
      <c r="AA47" s="465">
        <f t="shared" si="137"/>
        <v>956345</v>
      </c>
      <c r="AB47" s="465">
        <f t="shared" si="137"/>
        <v>963483</v>
      </c>
      <c r="AC47" s="465">
        <f t="shared" si="137"/>
        <v>984203</v>
      </c>
      <c r="AD47" s="465">
        <f t="shared" si="137"/>
        <v>1015903</v>
      </c>
      <c r="AE47" s="465">
        <f t="shared" si="137"/>
        <v>1022521</v>
      </c>
      <c r="AF47" s="465">
        <f t="shared" si="137"/>
        <v>1065770</v>
      </c>
      <c r="AG47" s="465">
        <f t="shared" si="137"/>
        <v>1071203</v>
      </c>
      <c r="AH47" s="465">
        <f>SUM(AH48:AH54)</f>
        <v>1080047</v>
      </c>
      <c r="AI47" s="465">
        <f>SUM(AI48:AI54)</f>
        <v>1100471</v>
      </c>
      <c r="AJ47" s="465">
        <f>SUM(AJ48:AJ54)</f>
        <v>1127246</v>
      </c>
      <c r="AK47" s="465">
        <f>SUM(AK48:AK54)</f>
        <v>1110408</v>
      </c>
      <c r="AL47" s="465">
        <f>SUM(AL48:AL54)</f>
        <v>1129678</v>
      </c>
    </row>
    <row r="48" spans="1:38" ht="19" customHeight="1">
      <c r="A48" s="267"/>
      <c r="B48" s="249">
        <v>208</v>
      </c>
      <c r="C48" s="249" t="s">
        <v>206</v>
      </c>
      <c r="D48" s="350">
        <f t="shared" ref="D48:D54" si="138">ROUND(D$2*D112/D$70,0)</f>
        <v>123502</v>
      </c>
      <c r="E48" s="350">
        <f t="shared" ref="E48:S48" si="139">ROUND(E$2*E112/E$70,0)</f>
        <v>129004</v>
      </c>
      <c r="F48" s="350">
        <f t="shared" si="139"/>
        <v>129729</v>
      </c>
      <c r="G48" s="350">
        <f t="shared" si="139"/>
        <v>145566</v>
      </c>
      <c r="H48" s="350">
        <f t="shared" si="139"/>
        <v>150973</v>
      </c>
      <c r="I48" s="350">
        <f t="shared" si="139"/>
        <v>162288</v>
      </c>
      <c r="J48" s="350">
        <f t="shared" si="139"/>
        <v>165363</v>
      </c>
      <c r="K48" s="350">
        <f t="shared" si="139"/>
        <v>154403</v>
      </c>
      <c r="L48" s="350">
        <f t="shared" si="139"/>
        <v>150187</v>
      </c>
      <c r="M48" s="350">
        <f t="shared" si="139"/>
        <v>187404</v>
      </c>
      <c r="N48" s="350">
        <f t="shared" si="139"/>
        <v>158053</v>
      </c>
      <c r="O48" s="350">
        <f t="shared" si="139"/>
        <v>135771</v>
      </c>
      <c r="P48" s="710">
        <f t="shared" si="139"/>
        <v>146960</v>
      </c>
      <c r="Q48" s="710">
        <f t="shared" si="139"/>
        <v>119487</v>
      </c>
      <c r="R48" s="710">
        <f t="shared" si="139"/>
        <v>109171</v>
      </c>
      <c r="S48" s="710">
        <f t="shared" si="139"/>
        <v>112811</v>
      </c>
      <c r="T48" s="710">
        <f t="shared" ref="T48:T54" si="140">ROUND(T$2*T112/T$70,0)</f>
        <v>129330</v>
      </c>
      <c r="U48" s="465">
        <f t="shared" ref="U48:AH48" si="141">ROUND(U$6*U112/U$70,0)</f>
        <v>131924</v>
      </c>
      <c r="V48" s="465">
        <f t="shared" si="141"/>
        <v>129353</v>
      </c>
      <c r="W48" s="465">
        <f t="shared" si="141"/>
        <v>132465</v>
      </c>
      <c r="X48" s="465">
        <f t="shared" si="141"/>
        <v>139268</v>
      </c>
      <c r="Y48" s="465">
        <f t="shared" si="141"/>
        <v>135310</v>
      </c>
      <c r="Z48" s="465">
        <f t="shared" si="141"/>
        <v>98484</v>
      </c>
      <c r="AA48" s="465">
        <f t="shared" si="141"/>
        <v>101878</v>
      </c>
      <c r="AB48" s="465">
        <f t="shared" si="141"/>
        <v>98317</v>
      </c>
      <c r="AC48" s="465">
        <f t="shared" si="141"/>
        <v>115247</v>
      </c>
      <c r="AD48" s="465">
        <f t="shared" si="141"/>
        <v>143629</v>
      </c>
      <c r="AE48" s="465">
        <f t="shared" si="141"/>
        <v>108271</v>
      </c>
      <c r="AF48" s="465">
        <f t="shared" si="141"/>
        <v>118385</v>
      </c>
      <c r="AG48" s="465">
        <f t="shared" si="141"/>
        <v>138549</v>
      </c>
      <c r="AH48" s="465">
        <f t="shared" si="141"/>
        <v>145544</v>
      </c>
      <c r="AI48" s="465">
        <f t="shared" ref="AI48:AJ48" si="142">ROUND(AI$6*AI112/AI$70,0)</f>
        <v>173140</v>
      </c>
      <c r="AJ48" s="465">
        <f t="shared" si="142"/>
        <v>181199</v>
      </c>
      <c r="AK48" s="465">
        <f t="shared" ref="AK48:AL48" si="143">ROUND(AK$6*AK112/AK$70,0)</f>
        <v>192319</v>
      </c>
      <c r="AL48" s="465">
        <f t="shared" si="143"/>
        <v>180506</v>
      </c>
    </row>
    <row r="49" spans="1:38" ht="19" customHeight="1">
      <c r="A49" s="267"/>
      <c r="B49" s="249">
        <v>212</v>
      </c>
      <c r="C49" s="249" t="s">
        <v>207</v>
      </c>
      <c r="D49" s="350">
        <f t="shared" si="138"/>
        <v>169189</v>
      </c>
      <c r="E49" s="350">
        <f t="shared" ref="E49:O49" si="144">ROUND(E$2*E113/E$70,0)</f>
        <v>185876</v>
      </c>
      <c r="F49" s="350">
        <f t="shared" si="144"/>
        <v>187920</v>
      </c>
      <c r="G49" s="350">
        <f t="shared" si="144"/>
        <v>191383</v>
      </c>
      <c r="H49" s="350">
        <f t="shared" si="144"/>
        <v>192841</v>
      </c>
      <c r="I49" s="350">
        <f t="shared" si="144"/>
        <v>218497</v>
      </c>
      <c r="J49" s="350">
        <f t="shared" si="144"/>
        <v>221688</v>
      </c>
      <c r="K49" s="350">
        <f t="shared" si="144"/>
        <v>216867</v>
      </c>
      <c r="L49" s="350">
        <f t="shared" si="144"/>
        <v>212720</v>
      </c>
      <c r="M49" s="350">
        <f t="shared" si="144"/>
        <v>210885</v>
      </c>
      <c r="N49" s="350">
        <f t="shared" si="144"/>
        <v>224209</v>
      </c>
      <c r="O49" s="350">
        <f t="shared" si="144"/>
        <v>196476</v>
      </c>
      <c r="P49" s="710">
        <f t="shared" ref="P49:S54" si="145">ROUND(P$2*P113/P$70,0)</f>
        <v>210492</v>
      </c>
      <c r="Q49" s="710">
        <f t="shared" si="145"/>
        <v>214532</v>
      </c>
      <c r="R49" s="710">
        <f t="shared" si="145"/>
        <v>212264</v>
      </c>
      <c r="S49" s="710">
        <f t="shared" si="145"/>
        <v>213674</v>
      </c>
      <c r="T49" s="710">
        <f t="shared" si="140"/>
        <v>206760</v>
      </c>
      <c r="U49" s="465">
        <f t="shared" ref="U49:AH49" si="146">ROUND(U$6*U113/U$70,0)</f>
        <v>193412</v>
      </c>
      <c r="V49" s="465">
        <f t="shared" si="146"/>
        <v>185377</v>
      </c>
      <c r="W49" s="465">
        <f t="shared" si="146"/>
        <v>187045</v>
      </c>
      <c r="X49" s="465">
        <f t="shared" si="146"/>
        <v>210150</v>
      </c>
      <c r="Y49" s="465">
        <f t="shared" si="146"/>
        <v>226928</v>
      </c>
      <c r="Z49" s="465">
        <f t="shared" si="146"/>
        <v>211032</v>
      </c>
      <c r="AA49" s="465">
        <f t="shared" si="146"/>
        <v>214837</v>
      </c>
      <c r="AB49" s="465">
        <f t="shared" si="146"/>
        <v>220981</v>
      </c>
      <c r="AC49" s="465">
        <f t="shared" si="146"/>
        <v>216481</v>
      </c>
      <c r="AD49" s="465">
        <f t="shared" si="146"/>
        <v>227069</v>
      </c>
      <c r="AE49" s="465">
        <f t="shared" si="146"/>
        <v>234555</v>
      </c>
      <c r="AF49" s="465">
        <f t="shared" si="146"/>
        <v>241914</v>
      </c>
      <c r="AG49" s="465">
        <f t="shared" si="146"/>
        <v>235430</v>
      </c>
      <c r="AH49" s="465">
        <f t="shared" si="146"/>
        <v>240172</v>
      </c>
      <c r="AI49" s="465">
        <f t="shared" ref="AI49:AJ49" si="147">ROUND(AI$6*AI113/AI$70,0)</f>
        <v>241852</v>
      </c>
      <c r="AJ49" s="465">
        <f t="shared" si="147"/>
        <v>232306</v>
      </c>
      <c r="AK49" s="465">
        <f t="shared" ref="AK49:AL49" si="148">ROUND(AK$6*AK113/AK$70,0)</f>
        <v>237715</v>
      </c>
      <c r="AL49" s="465">
        <f t="shared" si="148"/>
        <v>246312</v>
      </c>
    </row>
    <row r="50" spans="1:38" ht="19" customHeight="1">
      <c r="A50" s="267"/>
      <c r="B50" s="249">
        <v>227</v>
      </c>
      <c r="C50" s="249" t="s">
        <v>219</v>
      </c>
      <c r="D50" s="350">
        <f t="shared" si="138"/>
        <v>115172</v>
      </c>
      <c r="E50" s="350">
        <f t="shared" ref="E50:O50" si="149">ROUND(E$2*E114/E$70,0)</f>
        <v>126453</v>
      </c>
      <c r="F50" s="350">
        <f t="shared" si="149"/>
        <v>130705</v>
      </c>
      <c r="G50" s="350">
        <f t="shared" si="149"/>
        <v>137036</v>
      </c>
      <c r="H50" s="350">
        <f t="shared" si="149"/>
        <v>140088</v>
      </c>
      <c r="I50" s="350">
        <f t="shared" si="149"/>
        <v>148395</v>
      </c>
      <c r="J50" s="350">
        <f t="shared" si="149"/>
        <v>148065</v>
      </c>
      <c r="K50" s="350">
        <f t="shared" si="149"/>
        <v>147174</v>
      </c>
      <c r="L50" s="350">
        <f t="shared" si="149"/>
        <v>139506</v>
      </c>
      <c r="M50" s="350">
        <f t="shared" si="149"/>
        <v>132842</v>
      </c>
      <c r="N50" s="350">
        <f t="shared" si="149"/>
        <v>142324</v>
      </c>
      <c r="O50" s="350">
        <f t="shared" si="149"/>
        <v>139203</v>
      </c>
      <c r="P50" s="710">
        <f t="shared" si="145"/>
        <v>143405</v>
      </c>
      <c r="Q50" s="710">
        <f t="shared" si="145"/>
        <v>144775</v>
      </c>
      <c r="R50" s="710">
        <f t="shared" si="145"/>
        <v>138447</v>
      </c>
      <c r="S50" s="710">
        <f t="shared" si="145"/>
        <v>136162</v>
      </c>
      <c r="T50" s="710">
        <f t="shared" si="140"/>
        <v>131981</v>
      </c>
      <c r="U50" s="465">
        <f t="shared" ref="U50:AH50" si="150">ROUND(U$6*U114/U$70,0)</f>
        <v>125200</v>
      </c>
      <c r="V50" s="465">
        <f t="shared" si="150"/>
        <v>123297</v>
      </c>
      <c r="W50" s="465">
        <f t="shared" si="150"/>
        <v>122003</v>
      </c>
      <c r="X50" s="465">
        <f t="shared" si="150"/>
        <v>126623</v>
      </c>
      <c r="Y50" s="465">
        <f t="shared" si="150"/>
        <v>124632</v>
      </c>
      <c r="Z50" s="465">
        <f t="shared" si="150"/>
        <v>113937</v>
      </c>
      <c r="AA50" s="465">
        <f t="shared" si="150"/>
        <v>116463</v>
      </c>
      <c r="AB50" s="465">
        <f t="shared" si="150"/>
        <v>121960</v>
      </c>
      <c r="AC50" s="465">
        <f t="shared" si="150"/>
        <v>119992</v>
      </c>
      <c r="AD50" s="465">
        <f t="shared" si="150"/>
        <v>121565</v>
      </c>
      <c r="AE50" s="465">
        <f t="shared" si="150"/>
        <v>121061</v>
      </c>
      <c r="AF50" s="465">
        <f t="shared" si="150"/>
        <v>120117</v>
      </c>
      <c r="AG50" s="465">
        <f t="shared" si="150"/>
        <v>122112</v>
      </c>
      <c r="AH50" s="465">
        <f t="shared" si="150"/>
        <v>119381</v>
      </c>
      <c r="AI50" s="465">
        <f t="shared" ref="AI50:AJ50" si="151">ROUND(AI$6*AI114/AI$70,0)</f>
        <v>111914</v>
      </c>
      <c r="AJ50" s="465">
        <f t="shared" si="151"/>
        <v>117995</v>
      </c>
      <c r="AK50" s="465">
        <f t="shared" ref="AK50:AL50" si="152">ROUND(AK$6*AK114/AK$70,0)</f>
        <v>120614</v>
      </c>
      <c r="AL50" s="465">
        <f t="shared" si="152"/>
        <v>122955</v>
      </c>
    </row>
    <row r="51" spans="1:38" ht="19" customHeight="1">
      <c r="A51" s="267"/>
      <c r="B51" s="249">
        <v>229</v>
      </c>
      <c r="C51" s="249" t="s">
        <v>334</v>
      </c>
      <c r="D51" s="350">
        <f t="shared" si="138"/>
        <v>245038</v>
      </c>
      <c r="E51" s="350">
        <f t="shared" ref="E51:O51" si="153">ROUND(E$2*E115/E$70,0)</f>
        <v>260121</v>
      </c>
      <c r="F51" s="350">
        <f t="shared" si="153"/>
        <v>275889</v>
      </c>
      <c r="G51" s="350">
        <f t="shared" si="153"/>
        <v>294134</v>
      </c>
      <c r="H51" s="350">
        <f t="shared" si="153"/>
        <v>293129</v>
      </c>
      <c r="I51" s="350">
        <f t="shared" si="153"/>
        <v>305312</v>
      </c>
      <c r="J51" s="350">
        <f t="shared" si="153"/>
        <v>302839</v>
      </c>
      <c r="K51" s="350">
        <f t="shared" si="153"/>
        <v>304732</v>
      </c>
      <c r="L51" s="350">
        <f t="shared" si="153"/>
        <v>291115</v>
      </c>
      <c r="M51" s="350">
        <f t="shared" si="153"/>
        <v>290580</v>
      </c>
      <c r="N51" s="350">
        <f t="shared" si="153"/>
        <v>287131</v>
      </c>
      <c r="O51" s="350">
        <f t="shared" si="153"/>
        <v>275181</v>
      </c>
      <c r="P51" s="710">
        <f t="shared" si="145"/>
        <v>349113</v>
      </c>
      <c r="Q51" s="710">
        <f t="shared" si="145"/>
        <v>352966</v>
      </c>
      <c r="R51" s="710">
        <f t="shared" si="145"/>
        <v>344391</v>
      </c>
      <c r="S51" s="710">
        <f t="shared" si="145"/>
        <v>331582</v>
      </c>
      <c r="T51" s="710">
        <f t="shared" si="140"/>
        <v>310271</v>
      </c>
      <c r="U51" s="465">
        <f t="shared" ref="U51:AH51" si="154">ROUND(U$6*U115/U$70,0)</f>
        <v>308097</v>
      </c>
      <c r="V51" s="465">
        <f t="shared" si="154"/>
        <v>306774</v>
      </c>
      <c r="W51" s="465">
        <f t="shared" si="154"/>
        <v>319419</v>
      </c>
      <c r="X51" s="465">
        <f t="shared" si="154"/>
        <v>314742</v>
      </c>
      <c r="Y51" s="465">
        <f t="shared" si="154"/>
        <v>330253</v>
      </c>
      <c r="Z51" s="465">
        <f t="shared" si="154"/>
        <v>324835</v>
      </c>
      <c r="AA51" s="465">
        <f t="shared" si="154"/>
        <v>321795</v>
      </c>
      <c r="AB51" s="465">
        <f t="shared" si="154"/>
        <v>330542</v>
      </c>
      <c r="AC51" s="465">
        <f t="shared" si="154"/>
        <v>328633</v>
      </c>
      <c r="AD51" s="465">
        <f t="shared" si="154"/>
        <v>353043</v>
      </c>
      <c r="AE51" s="465">
        <f t="shared" si="154"/>
        <v>359259</v>
      </c>
      <c r="AF51" s="465">
        <f t="shared" si="154"/>
        <v>367078</v>
      </c>
      <c r="AG51" s="465">
        <f t="shared" si="154"/>
        <v>355140</v>
      </c>
      <c r="AH51" s="465">
        <f t="shared" si="154"/>
        <v>359241</v>
      </c>
      <c r="AI51" s="465">
        <f t="shared" ref="AI51:AJ51" si="155">ROUND(AI$6*AI115/AI$70,0)</f>
        <v>349957</v>
      </c>
      <c r="AJ51" s="465">
        <f t="shared" si="155"/>
        <v>346247</v>
      </c>
      <c r="AK51" s="465">
        <f t="shared" ref="AK51:AL51" si="156">ROUND(AK$6*AK115/AK$70,0)</f>
        <v>342314</v>
      </c>
      <c r="AL51" s="465">
        <f t="shared" si="156"/>
        <v>359200</v>
      </c>
    </row>
    <row r="52" spans="1:38" ht="19" customHeight="1">
      <c r="A52" s="267"/>
      <c r="B52" s="249">
        <v>464</v>
      </c>
      <c r="C52" s="249" t="s">
        <v>208</v>
      </c>
      <c r="D52" s="350">
        <f t="shared" si="138"/>
        <v>91720</v>
      </c>
      <c r="E52" s="350">
        <f t="shared" ref="E52:O52" si="157">ROUND(E$2*E116/E$70,0)</f>
        <v>91360</v>
      </c>
      <c r="F52" s="350">
        <f t="shared" si="157"/>
        <v>87170</v>
      </c>
      <c r="G52" s="350">
        <f t="shared" si="157"/>
        <v>105402</v>
      </c>
      <c r="H52" s="350">
        <f t="shared" si="157"/>
        <v>111242</v>
      </c>
      <c r="I52" s="350">
        <f t="shared" si="157"/>
        <v>115347</v>
      </c>
      <c r="J52" s="350">
        <f t="shared" si="157"/>
        <v>122461</v>
      </c>
      <c r="K52" s="350">
        <f t="shared" si="157"/>
        <v>129819</v>
      </c>
      <c r="L52" s="350">
        <f t="shared" si="157"/>
        <v>136887</v>
      </c>
      <c r="M52" s="350">
        <f t="shared" si="157"/>
        <v>135043</v>
      </c>
      <c r="N52" s="350">
        <f t="shared" si="157"/>
        <v>133337</v>
      </c>
      <c r="O52" s="350">
        <f t="shared" si="157"/>
        <v>116633</v>
      </c>
      <c r="P52" s="710">
        <f t="shared" si="145"/>
        <v>128712</v>
      </c>
      <c r="Q52" s="710">
        <f t="shared" si="145"/>
        <v>135469</v>
      </c>
      <c r="R52" s="710">
        <f t="shared" si="145"/>
        <v>126168</v>
      </c>
      <c r="S52" s="710">
        <f t="shared" si="145"/>
        <v>121209</v>
      </c>
      <c r="T52" s="710">
        <f t="shared" si="140"/>
        <v>111152</v>
      </c>
      <c r="U52" s="465">
        <f t="shared" ref="U52:AH52" si="158">ROUND(U$6*U116/U$70,0)</f>
        <v>103774</v>
      </c>
      <c r="V52" s="465">
        <f t="shared" si="158"/>
        <v>106706</v>
      </c>
      <c r="W52" s="465">
        <f t="shared" si="158"/>
        <v>98849</v>
      </c>
      <c r="X52" s="465">
        <f t="shared" si="158"/>
        <v>99170</v>
      </c>
      <c r="Y52" s="465">
        <f t="shared" si="158"/>
        <v>108804</v>
      </c>
      <c r="Z52" s="465">
        <f t="shared" si="158"/>
        <v>106792</v>
      </c>
      <c r="AA52" s="465">
        <f t="shared" si="158"/>
        <v>102795</v>
      </c>
      <c r="AB52" s="465">
        <f t="shared" si="158"/>
        <v>89054</v>
      </c>
      <c r="AC52" s="465">
        <f t="shared" si="158"/>
        <v>97127</v>
      </c>
      <c r="AD52" s="465">
        <f t="shared" si="158"/>
        <v>60198</v>
      </c>
      <c r="AE52" s="465">
        <f t="shared" si="158"/>
        <v>84747</v>
      </c>
      <c r="AF52" s="465">
        <f t="shared" si="158"/>
        <v>103116</v>
      </c>
      <c r="AG52" s="465">
        <f t="shared" si="158"/>
        <v>104158</v>
      </c>
      <c r="AH52" s="465">
        <f t="shared" si="158"/>
        <v>101296</v>
      </c>
      <c r="AI52" s="465">
        <f t="shared" ref="AI52:AJ52" si="159">ROUND(AI$6*AI116/AI$70,0)</f>
        <v>114490</v>
      </c>
      <c r="AJ52" s="465">
        <f t="shared" si="159"/>
        <v>132980</v>
      </c>
      <c r="AK52" s="465">
        <f t="shared" ref="AK52:AL52" si="160">ROUND(AK$6*AK116/AK$70,0)</f>
        <v>103176</v>
      </c>
      <c r="AL52" s="465">
        <f t="shared" si="160"/>
        <v>104256</v>
      </c>
    </row>
    <row r="53" spans="1:38" ht="19" customHeight="1">
      <c r="A53" s="267"/>
      <c r="B53" s="249">
        <v>481</v>
      </c>
      <c r="C53" s="249" t="s">
        <v>209</v>
      </c>
      <c r="D53" s="350">
        <f t="shared" si="138"/>
        <v>41026</v>
      </c>
      <c r="E53" s="350">
        <f t="shared" ref="E53:O53" si="161">ROUND(E$2*E117/E$70,0)</f>
        <v>44843</v>
      </c>
      <c r="F53" s="350">
        <f t="shared" si="161"/>
        <v>48010</v>
      </c>
      <c r="G53" s="350">
        <f t="shared" si="161"/>
        <v>48081</v>
      </c>
      <c r="H53" s="350">
        <f t="shared" si="161"/>
        <v>47301</v>
      </c>
      <c r="I53" s="350">
        <f t="shared" si="161"/>
        <v>51802</v>
      </c>
      <c r="J53" s="350">
        <f t="shared" si="161"/>
        <v>55103</v>
      </c>
      <c r="K53" s="350">
        <f t="shared" si="161"/>
        <v>51113</v>
      </c>
      <c r="L53" s="350">
        <f t="shared" si="161"/>
        <v>54498</v>
      </c>
      <c r="M53" s="350">
        <f t="shared" si="161"/>
        <v>49609</v>
      </c>
      <c r="N53" s="350">
        <f t="shared" si="161"/>
        <v>52457</v>
      </c>
      <c r="O53" s="350">
        <f t="shared" si="161"/>
        <v>51007</v>
      </c>
      <c r="P53" s="710">
        <f t="shared" si="145"/>
        <v>54614</v>
      </c>
      <c r="Q53" s="710">
        <f t="shared" si="145"/>
        <v>51123</v>
      </c>
      <c r="R53" s="710">
        <f t="shared" si="145"/>
        <v>49449</v>
      </c>
      <c r="S53" s="710">
        <f t="shared" si="145"/>
        <v>50528</v>
      </c>
      <c r="T53" s="710">
        <f t="shared" si="140"/>
        <v>48472</v>
      </c>
      <c r="U53" s="465">
        <f t="shared" ref="U53:AH53" si="162">ROUND(U$6*U117/U$70,0)</f>
        <v>45491</v>
      </c>
      <c r="V53" s="465">
        <f t="shared" si="162"/>
        <v>45239</v>
      </c>
      <c r="W53" s="465">
        <f t="shared" si="162"/>
        <v>44775</v>
      </c>
      <c r="X53" s="465">
        <f t="shared" si="162"/>
        <v>45708</v>
      </c>
      <c r="Y53" s="465">
        <f t="shared" si="162"/>
        <v>45634</v>
      </c>
      <c r="Z53" s="465">
        <f t="shared" si="162"/>
        <v>40780</v>
      </c>
      <c r="AA53" s="465">
        <f t="shared" si="162"/>
        <v>41212</v>
      </c>
      <c r="AB53" s="465">
        <f t="shared" si="162"/>
        <v>42534</v>
      </c>
      <c r="AC53" s="465">
        <f t="shared" si="162"/>
        <v>47325</v>
      </c>
      <c r="AD53" s="465">
        <f t="shared" si="162"/>
        <v>49299</v>
      </c>
      <c r="AE53" s="465">
        <f t="shared" si="162"/>
        <v>53653</v>
      </c>
      <c r="AF53" s="465">
        <f t="shared" si="162"/>
        <v>52384</v>
      </c>
      <c r="AG53" s="465">
        <f t="shared" si="162"/>
        <v>51794</v>
      </c>
      <c r="AH53" s="465">
        <f t="shared" si="162"/>
        <v>50542</v>
      </c>
      <c r="AI53" s="465">
        <f t="shared" ref="AI53:AJ53" si="163">ROUND(AI$6*AI117/AI$70,0)</f>
        <v>50015</v>
      </c>
      <c r="AJ53" s="465">
        <f t="shared" si="163"/>
        <v>54604</v>
      </c>
      <c r="AK53" s="465">
        <f t="shared" ref="AK53:AL53" si="164">ROUND(AK$6*AK117/AK$70,0)</f>
        <v>52225</v>
      </c>
      <c r="AL53" s="465">
        <f t="shared" si="164"/>
        <v>51988</v>
      </c>
    </row>
    <row r="54" spans="1:38" ht="19" customHeight="1">
      <c r="A54" s="268"/>
      <c r="B54" s="249">
        <v>501</v>
      </c>
      <c r="C54" s="315" t="s">
        <v>335</v>
      </c>
      <c r="D54" s="350">
        <f t="shared" si="138"/>
        <v>55415</v>
      </c>
      <c r="E54" s="350">
        <f t="shared" ref="E54:O54" si="165">ROUND(E$2*E118/E$70,0)</f>
        <v>86845</v>
      </c>
      <c r="F54" s="350">
        <f t="shared" si="165"/>
        <v>60781</v>
      </c>
      <c r="G54" s="350">
        <f t="shared" si="165"/>
        <v>65899</v>
      </c>
      <c r="H54" s="350">
        <f t="shared" si="165"/>
        <v>67754</v>
      </c>
      <c r="I54" s="350">
        <f t="shared" si="165"/>
        <v>68075</v>
      </c>
      <c r="J54" s="350">
        <f t="shared" si="165"/>
        <v>75833</v>
      </c>
      <c r="K54" s="350">
        <f t="shared" si="165"/>
        <v>72097</v>
      </c>
      <c r="L54" s="350">
        <f t="shared" si="165"/>
        <v>71285</v>
      </c>
      <c r="M54" s="350">
        <f t="shared" si="165"/>
        <v>69843</v>
      </c>
      <c r="N54" s="350">
        <f t="shared" si="165"/>
        <v>67062</v>
      </c>
      <c r="O54" s="350">
        <f t="shared" si="165"/>
        <v>64440</v>
      </c>
      <c r="P54" s="710">
        <f t="shared" si="145"/>
        <v>69131</v>
      </c>
      <c r="Q54" s="710">
        <f t="shared" si="145"/>
        <v>71871</v>
      </c>
      <c r="R54" s="710">
        <f t="shared" si="145"/>
        <v>69449</v>
      </c>
      <c r="S54" s="710">
        <f t="shared" si="145"/>
        <v>69088</v>
      </c>
      <c r="T54" s="710">
        <f t="shared" si="140"/>
        <v>63109</v>
      </c>
      <c r="U54" s="465">
        <f t="shared" ref="U54:AH54" si="166">ROUND(U$6*U118/U$70,0)</f>
        <v>60854</v>
      </c>
      <c r="V54" s="465">
        <f t="shared" si="166"/>
        <v>58130</v>
      </c>
      <c r="W54" s="465">
        <f t="shared" si="166"/>
        <v>59720</v>
      </c>
      <c r="X54" s="465">
        <f t="shared" si="166"/>
        <v>63422</v>
      </c>
      <c r="Y54" s="465">
        <f t="shared" si="166"/>
        <v>65434</v>
      </c>
      <c r="Z54" s="465">
        <f t="shared" si="166"/>
        <v>59264</v>
      </c>
      <c r="AA54" s="465">
        <f t="shared" si="166"/>
        <v>57365</v>
      </c>
      <c r="AB54" s="465">
        <f t="shared" si="166"/>
        <v>60095</v>
      </c>
      <c r="AC54" s="465">
        <f t="shared" si="166"/>
        <v>59398</v>
      </c>
      <c r="AD54" s="465">
        <f t="shared" si="166"/>
        <v>61100</v>
      </c>
      <c r="AE54" s="465">
        <f t="shared" si="166"/>
        <v>60975</v>
      </c>
      <c r="AF54" s="465">
        <f t="shared" si="166"/>
        <v>62776</v>
      </c>
      <c r="AG54" s="465">
        <f t="shared" si="166"/>
        <v>64020</v>
      </c>
      <c r="AH54" s="465">
        <f t="shared" si="166"/>
        <v>63871</v>
      </c>
      <c r="AI54" s="465">
        <f t="shared" ref="AI54:AJ54" si="167">ROUND(AI$6*AI118/AI$70,0)</f>
        <v>59103</v>
      </c>
      <c r="AJ54" s="465">
        <f t="shared" si="167"/>
        <v>61915</v>
      </c>
      <c r="AK54" s="465">
        <f t="shared" ref="AK54:AL54" si="168">ROUND(AK$6*AK118/AK$70,0)</f>
        <v>62045</v>
      </c>
      <c r="AL54" s="465">
        <f t="shared" si="168"/>
        <v>64461</v>
      </c>
    </row>
    <row r="55" spans="1:38" ht="19" customHeight="1">
      <c r="A55" s="267" t="s">
        <v>346</v>
      </c>
      <c r="B55" s="270">
        <v>7</v>
      </c>
      <c r="C55" s="270" t="s">
        <v>210</v>
      </c>
      <c r="D55" s="349">
        <f t="shared" ref="D55:O55" si="169">SUM(D56:D60)</f>
        <v>544201</v>
      </c>
      <c r="E55" s="349">
        <f t="shared" si="169"/>
        <v>575930</v>
      </c>
      <c r="F55" s="349">
        <f t="shared" si="169"/>
        <v>599262</v>
      </c>
      <c r="G55" s="349">
        <f t="shared" si="169"/>
        <v>640142</v>
      </c>
      <c r="H55" s="349">
        <f t="shared" si="169"/>
        <v>623559</v>
      </c>
      <c r="I55" s="349">
        <f t="shared" si="169"/>
        <v>655625</v>
      </c>
      <c r="J55" s="349">
        <f t="shared" si="169"/>
        <v>691925</v>
      </c>
      <c r="K55" s="349">
        <f t="shared" si="169"/>
        <v>710593</v>
      </c>
      <c r="L55" s="349">
        <f t="shared" si="169"/>
        <v>705992</v>
      </c>
      <c r="M55" s="349">
        <f t="shared" si="169"/>
        <v>697265</v>
      </c>
      <c r="N55" s="349">
        <f t="shared" si="169"/>
        <v>696485</v>
      </c>
      <c r="O55" s="349">
        <f t="shared" si="169"/>
        <v>661996</v>
      </c>
      <c r="P55" s="709">
        <f>SUM(P56:P60)</f>
        <v>698553</v>
      </c>
      <c r="Q55" s="709">
        <f>SUM(Q56:Q60)</f>
        <v>717542</v>
      </c>
      <c r="R55" s="709">
        <f>SUM(R56:R60)</f>
        <v>681602</v>
      </c>
      <c r="S55" s="709">
        <f>SUM(S56:S60)</f>
        <v>680158</v>
      </c>
      <c r="T55" s="709">
        <f t="shared" ref="T55:AG55" si="170">SUM(T56:T60)</f>
        <v>660508</v>
      </c>
      <c r="U55" s="464">
        <f t="shared" si="170"/>
        <v>625093</v>
      </c>
      <c r="V55" s="464">
        <f t="shared" si="170"/>
        <v>610343</v>
      </c>
      <c r="W55" s="464">
        <f t="shared" si="170"/>
        <v>608472</v>
      </c>
      <c r="X55" s="464">
        <f t="shared" si="170"/>
        <v>626037</v>
      </c>
      <c r="Y55" s="464">
        <f t="shared" si="170"/>
        <v>626163</v>
      </c>
      <c r="Z55" s="464">
        <f t="shared" si="170"/>
        <v>565410</v>
      </c>
      <c r="AA55" s="464">
        <f t="shared" si="170"/>
        <v>570909</v>
      </c>
      <c r="AB55" s="464">
        <f t="shared" si="170"/>
        <v>610691</v>
      </c>
      <c r="AC55" s="464">
        <f t="shared" si="170"/>
        <v>612526</v>
      </c>
      <c r="AD55" s="464">
        <f t="shared" si="170"/>
        <v>630036</v>
      </c>
      <c r="AE55" s="464">
        <f t="shared" si="170"/>
        <v>622690</v>
      </c>
      <c r="AF55" s="464">
        <f t="shared" si="170"/>
        <v>637010</v>
      </c>
      <c r="AG55" s="464">
        <f t="shared" si="170"/>
        <v>625315</v>
      </c>
      <c r="AH55" s="464">
        <f>SUM(AH56:AH60)</f>
        <v>636327</v>
      </c>
      <c r="AI55" s="464">
        <f>SUM(AI56:AI60)</f>
        <v>639162</v>
      </c>
      <c r="AJ55" s="464">
        <f>SUM(AJ56:AJ60)</f>
        <v>604482</v>
      </c>
      <c r="AK55" s="464">
        <f>SUM(AK56:AK60)</f>
        <v>593538</v>
      </c>
      <c r="AL55" s="464">
        <f>SUM(AL56:AL60)</f>
        <v>604135</v>
      </c>
    </row>
    <row r="56" spans="1:38" ht="19" customHeight="1">
      <c r="A56" s="267"/>
      <c r="B56" s="249">
        <v>209</v>
      </c>
      <c r="C56" s="249" t="s">
        <v>336</v>
      </c>
      <c r="D56" s="350">
        <f t="shared" ref="D56:O56" si="171">ROUND(D$2*D120/D$70,0)</f>
        <v>259989</v>
      </c>
      <c r="E56" s="350">
        <f t="shared" si="171"/>
        <v>272106</v>
      </c>
      <c r="F56" s="350">
        <f t="shared" si="171"/>
        <v>283437</v>
      </c>
      <c r="G56" s="350">
        <f t="shared" si="171"/>
        <v>303960</v>
      </c>
      <c r="H56" s="350">
        <f t="shared" si="171"/>
        <v>293303</v>
      </c>
      <c r="I56" s="350">
        <f t="shared" si="171"/>
        <v>311200</v>
      </c>
      <c r="J56" s="350">
        <f t="shared" si="171"/>
        <v>324117</v>
      </c>
      <c r="K56" s="350">
        <f t="shared" si="171"/>
        <v>331414</v>
      </c>
      <c r="L56" s="350">
        <f t="shared" si="171"/>
        <v>331052</v>
      </c>
      <c r="M56" s="350">
        <f t="shared" si="171"/>
        <v>327034</v>
      </c>
      <c r="N56" s="350">
        <f t="shared" si="171"/>
        <v>326645</v>
      </c>
      <c r="O56" s="350">
        <f t="shared" si="171"/>
        <v>311939</v>
      </c>
      <c r="P56" s="710">
        <f t="shared" ref="P56:S60" si="172">ROUND(P$2*P120/P$70,0)</f>
        <v>329940</v>
      </c>
      <c r="Q56" s="710">
        <f t="shared" si="172"/>
        <v>348871</v>
      </c>
      <c r="R56" s="710">
        <f t="shared" si="172"/>
        <v>330184</v>
      </c>
      <c r="S56" s="710">
        <f t="shared" si="172"/>
        <v>331425</v>
      </c>
      <c r="T56" s="710">
        <f>ROUND(T$2*T120/T$70,0)</f>
        <v>322138</v>
      </c>
      <c r="U56" s="465">
        <f t="shared" ref="U56:AH56" si="173">ROUND(U$6*U120/U$70,0)</f>
        <v>305897</v>
      </c>
      <c r="V56" s="465">
        <f t="shared" si="173"/>
        <v>296942</v>
      </c>
      <c r="W56" s="465">
        <f t="shared" si="173"/>
        <v>299001</v>
      </c>
      <c r="X56" s="465">
        <f t="shared" si="173"/>
        <v>310364</v>
      </c>
      <c r="Y56" s="465">
        <f t="shared" si="173"/>
        <v>309160</v>
      </c>
      <c r="Z56" s="465">
        <f t="shared" si="173"/>
        <v>274173</v>
      </c>
      <c r="AA56" s="465">
        <f t="shared" si="173"/>
        <v>280458</v>
      </c>
      <c r="AB56" s="465">
        <f t="shared" si="173"/>
        <v>301055</v>
      </c>
      <c r="AC56" s="465">
        <f t="shared" si="173"/>
        <v>294759</v>
      </c>
      <c r="AD56" s="465">
        <f t="shared" si="173"/>
        <v>309490</v>
      </c>
      <c r="AE56" s="465">
        <f t="shared" si="173"/>
        <v>310452</v>
      </c>
      <c r="AF56" s="465">
        <f t="shared" si="173"/>
        <v>312007</v>
      </c>
      <c r="AG56" s="465">
        <f t="shared" si="173"/>
        <v>311198</v>
      </c>
      <c r="AH56" s="465">
        <f t="shared" si="173"/>
        <v>312773</v>
      </c>
      <c r="AI56" s="465">
        <f t="shared" ref="AI56:AJ56" si="174">ROUND(AI$6*AI120/AI$70,0)</f>
        <v>297021</v>
      </c>
      <c r="AJ56" s="465">
        <f t="shared" si="174"/>
        <v>298834</v>
      </c>
      <c r="AK56" s="465">
        <f t="shared" ref="AK56:AL56" si="175">ROUND(AK$6*AK120/AK$70,0)</f>
        <v>297701</v>
      </c>
      <c r="AL56" s="465">
        <f t="shared" si="175"/>
        <v>306664</v>
      </c>
    </row>
    <row r="57" spans="1:38" ht="19" customHeight="1">
      <c r="A57" s="267"/>
      <c r="B57" s="249">
        <v>222</v>
      </c>
      <c r="C57" s="249" t="s">
        <v>337</v>
      </c>
      <c r="D57" s="350">
        <f t="shared" ref="D57:O57" si="176">ROUND(D$2*D121/D$70,0)</f>
        <v>81400</v>
      </c>
      <c r="E57" s="350">
        <f t="shared" si="176"/>
        <v>89279</v>
      </c>
      <c r="F57" s="350">
        <f t="shared" si="176"/>
        <v>91924</v>
      </c>
      <c r="G57" s="350">
        <f t="shared" si="176"/>
        <v>93543</v>
      </c>
      <c r="H57" s="350">
        <f t="shared" si="176"/>
        <v>94636</v>
      </c>
      <c r="I57" s="350">
        <f t="shared" si="176"/>
        <v>98302</v>
      </c>
      <c r="J57" s="350">
        <f t="shared" si="176"/>
        <v>107179</v>
      </c>
      <c r="K57" s="350">
        <f t="shared" si="176"/>
        <v>111626</v>
      </c>
      <c r="L57" s="350">
        <f t="shared" si="176"/>
        <v>109625</v>
      </c>
      <c r="M57" s="350">
        <f t="shared" si="176"/>
        <v>108273</v>
      </c>
      <c r="N57" s="350">
        <f t="shared" si="176"/>
        <v>105251</v>
      </c>
      <c r="O57" s="350">
        <f t="shared" si="176"/>
        <v>98459</v>
      </c>
      <c r="P57" s="710">
        <f t="shared" si="172"/>
        <v>100690</v>
      </c>
      <c r="Q57" s="710">
        <f t="shared" si="172"/>
        <v>109644</v>
      </c>
      <c r="R57" s="710">
        <f t="shared" si="172"/>
        <v>97635</v>
      </c>
      <c r="S57" s="710">
        <f t="shared" si="172"/>
        <v>95774</v>
      </c>
      <c r="T57" s="710">
        <f>ROUND(T$2*T121/T$70,0)</f>
        <v>95005</v>
      </c>
      <c r="U57" s="465">
        <f t="shared" ref="U57:AH57" si="177">ROUND(U$6*U121/U$70,0)</f>
        <v>90859</v>
      </c>
      <c r="V57" s="465">
        <f t="shared" si="177"/>
        <v>84860</v>
      </c>
      <c r="W57" s="465">
        <f t="shared" si="177"/>
        <v>83896</v>
      </c>
      <c r="X57" s="465">
        <f t="shared" si="177"/>
        <v>77706</v>
      </c>
      <c r="Y57" s="465">
        <f t="shared" si="177"/>
        <v>82504</v>
      </c>
      <c r="Z57" s="465">
        <f t="shared" si="177"/>
        <v>83905</v>
      </c>
      <c r="AA57" s="465">
        <f t="shared" si="177"/>
        <v>85295</v>
      </c>
      <c r="AB57" s="465">
        <f t="shared" si="177"/>
        <v>89904</v>
      </c>
      <c r="AC57" s="465">
        <f t="shared" si="177"/>
        <v>90408</v>
      </c>
      <c r="AD57" s="465">
        <f t="shared" si="177"/>
        <v>85915</v>
      </c>
      <c r="AE57" s="465">
        <f t="shared" si="177"/>
        <v>86105</v>
      </c>
      <c r="AF57" s="465">
        <f t="shared" si="177"/>
        <v>87835</v>
      </c>
      <c r="AG57" s="465">
        <f t="shared" si="177"/>
        <v>83834</v>
      </c>
      <c r="AH57" s="465">
        <f t="shared" si="177"/>
        <v>80066</v>
      </c>
      <c r="AI57" s="465">
        <f t="shared" ref="AI57:AJ57" si="178">ROUND(AI$6*AI121/AI$70,0)</f>
        <v>77584</v>
      </c>
      <c r="AJ57" s="465">
        <f t="shared" si="178"/>
        <v>82546</v>
      </c>
      <c r="AK57" s="465">
        <f t="shared" ref="AK57:AL57" si="179">ROUND(AK$6*AK121/AK$70,0)</f>
        <v>82721</v>
      </c>
      <c r="AL57" s="465">
        <f t="shared" si="179"/>
        <v>77366</v>
      </c>
    </row>
    <row r="58" spans="1:38" ht="19" customHeight="1">
      <c r="A58" s="267"/>
      <c r="B58" s="249">
        <v>225</v>
      </c>
      <c r="C58" s="249" t="s">
        <v>222</v>
      </c>
      <c r="D58" s="350">
        <f t="shared" ref="D58:O58" si="180">ROUND(D$2*D122/D$70,0)</f>
        <v>102311</v>
      </c>
      <c r="E58" s="350">
        <f t="shared" si="180"/>
        <v>109942</v>
      </c>
      <c r="F58" s="350">
        <f t="shared" si="180"/>
        <v>112983</v>
      </c>
      <c r="G58" s="350">
        <f t="shared" si="180"/>
        <v>120207</v>
      </c>
      <c r="H58" s="350">
        <f t="shared" si="180"/>
        <v>121780</v>
      </c>
      <c r="I58" s="350">
        <f t="shared" si="180"/>
        <v>130308</v>
      </c>
      <c r="J58" s="350">
        <f t="shared" si="180"/>
        <v>141703</v>
      </c>
      <c r="K58" s="350">
        <f t="shared" si="180"/>
        <v>146201</v>
      </c>
      <c r="L58" s="350">
        <f t="shared" si="180"/>
        <v>142054</v>
      </c>
      <c r="M58" s="350">
        <f t="shared" si="180"/>
        <v>141426</v>
      </c>
      <c r="N58" s="350">
        <f t="shared" si="180"/>
        <v>144116</v>
      </c>
      <c r="O58" s="350">
        <f t="shared" si="180"/>
        <v>135799</v>
      </c>
      <c r="P58" s="710">
        <f t="shared" si="172"/>
        <v>147436</v>
      </c>
      <c r="Q58" s="710">
        <f t="shared" si="172"/>
        <v>140207</v>
      </c>
      <c r="R58" s="710">
        <f t="shared" si="172"/>
        <v>137225</v>
      </c>
      <c r="S58" s="710">
        <f t="shared" si="172"/>
        <v>136452</v>
      </c>
      <c r="T58" s="710">
        <f>ROUND(T$2*T122/T$70,0)</f>
        <v>128912</v>
      </c>
      <c r="U58" s="465">
        <f t="shared" ref="U58:AH58" si="181">ROUND(U$6*U122/U$70,0)</f>
        <v>122026</v>
      </c>
      <c r="V58" s="465">
        <f t="shared" si="181"/>
        <v>127069</v>
      </c>
      <c r="W58" s="465">
        <f t="shared" si="181"/>
        <v>126087</v>
      </c>
      <c r="X58" s="465">
        <f t="shared" si="181"/>
        <v>134766</v>
      </c>
      <c r="Y58" s="465">
        <f t="shared" si="181"/>
        <v>136050</v>
      </c>
      <c r="Z58" s="465">
        <f t="shared" si="181"/>
        <v>118462</v>
      </c>
      <c r="AA58" s="465">
        <f t="shared" si="181"/>
        <v>115101</v>
      </c>
      <c r="AB58" s="465">
        <f t="shared" si="181"/>
        <v>122019</v>
      </c>
      <c r="AC58" s="465">
        <f t="shared" si="181"/>
        <v>128146</v>
      </c>
      <c r="AD58" s="465">
        <f t="shared" si="181"/>
        <v>127954</v>
      </c>
      <c r="AE58" s="465">
        <f t="shared" si="181"/>
        <v>126543</v>
      </c>
      <c r="AF58" s="465">
        <f t="shared" si="181"/>
        <v>131273</v>
      </c>
      <c r="AG58" s="465">
        <f t="shared" si="181"/>
        <v>126726</v>
      </c>
      <c r="AH58" s="465">
        <f t="shared" si="181"/>
        <v>139968</v>
      </c>
      <c r="AI58" s="465">
        <f t="shared" ref="AI58:AJ58" si="182">ROUND(AI$6*AI122/AI$70,0)</f>
        <v>167290</v>
      </c>
      <c r="AJ58" s="465">
        <f t="shared" si="182"/>
        <v>126362</v>
      </c>
      <c r="AK58" s="465">
        <f t="shared" ref="AK58:AL58" si="183">ROUND(AK$6*AK122/AK$70,0)</f>
        <v>116519</v>
      </c>
      <c r="AL58" s="465">
        <f t="shared" si="183"/>
        <v>118729</v>
      </c>
    </row>
    <row r="59" spans="1:38" ht="19" customHeight="1">
      <c r="A59" s="267"/>
      <c r="B59" s="249">
        <v>585</v>
      </c>
      <c r="C59" s="249" t="s">
        <v>220</v>
      </c>
      <c r="D59" s="350">
        <f t="shared" ref="D59:O59" si="184">ROUND(D$2*D123/D$70,0)</f>
        <v>58468</v>
      </c>
      <c r="E59" s="350">
        <f t="shared" si="184"/>
        <v>61246</v>
      </c>
      <c r="F59" s="350">
        <f t="shared" si="184"/>
        <v>64399</v>
      </c>
      <c r="G59" s="350">
        <f t="shared" si="184"/>
        <v>70313</v>
      </c>
      <c r="H59" s="350">
        <f t="shared" si="184"/>
        <v>64708</v>
      </c>
      <c r="I59" s="350">
        <f t="shared" si="184"/>
        <v>68219</v>
      </c>
      <c r="J59" s="350">
        <f t="shared" si="184"/>
        <v>69671</v>
      </c>
      <c r="K59" s="350">
        <f t="shared" si="184"/>
        <v>70598</v>
      </c>
      <c r="L59" s="350">
        <f t="shared" si="184"/>
        <v>70578</v>
      </c>
      <c r="M59" s="350">
        <f t="shared" si="184"/>
        <v>71357</v>
      </c>
      <c r="N59" s="350">
        <f t="shared" si="184"/>
        <v>69867</v>
      </c>
      <c r="O59" s="350">
        <f t="shared" si="184"/>
        <v>66982</v>
      </c>
      <c r="P59" s="710">
        <f t="shared" si="172"/>
        <v>69892</v>
      </c>
      <c r="Q59" s="710">
        <f t="shared" si="172"/>
        <v>68671</v>
      </c>
      <c r="R59" s="710">
        <f t="shared" si="172"/>
        <v>66655</v>
      </c>
      <c r="S59" s="710">
        <f t="shared" si="172"/>
        <v>66762</v>
      </c>
      <c r="T59" s="710">
        <f>ROUND(T$2*T123/T$70,0)</f>
        <v>66512</v>
      </c>
      <c r="U59" s="465">
        <f t="shared" ref="U59:AH59" si="185">ROUND(U$6*U123/U$70,0)</f>
        <v>61027</v>
      </c>
      <c r="V59" s="465">
        <f t="shared" si="185"/>
        <v>58623</v>
      </c>
      <c r="W59" s="465">
        <f t="shared" si="185"/>
        <v>57671</v>
      </c>
      <c r="X59" s="465">
        <f t="shared" si="185"/>
        <v>59857</v>
      </c>
      <c r="Y59" s="465">
        <f t="shared" si="185"/>
        <v>56965</v>
      </c>
      <c r="Z59" s="465">
        <f t="shared" si="185"/>
        <v>51320</v>
      </c>
      <c r="AA59" s="465">
        <f t="shared" si="185"/>
        <v>52533</v>
      </c>
      <c r="AB59" s="465">
        <f t="shared" si="185"/>
        <v>55368</v>
      </c>
      <c r="AC59" s="465">
        <f t="shared" si="185"/>
        <v>55623</v>
      </c>
      <c r="AD59" s="465">
        <f t="shared" si="185"/>
        <v>55465</v>
      </c>
      <c r="AE59" s="465">
        <f t="shared" si="185"/>
        <v>55847</v>
      </c>
      <c r="AF59" s="465">
        <f t="shared" si="185"/>
        <v>58677</v>
      </c>
      <c r="AG59" s="465">
        <f t="shared" si="185"/>
        <v>55691</v>
      </c>
      <c r="AH59" s="465">
        <f t="shared" si="185"/>
        <v>56011</v>
      </c>
      <c r="AI59" s="465">
        <f t="shared" ref="AI59:AJ59" si="186">ROUND(AI$6*AI123/AI$70,0)</f>
        <v>52788</v>
      </c>
      <c r="AJ59" s="465">
        <f t="shared" si="186"/>
        <v>52162</v>
      </c>
      <c r="AK59" s="465">
        <f t="shared" ref="AK59:AL59" si="187">ROUND(AK$6*AK123/AK$70,0)</f>
        <v>52921</v>
      </c>
      <c r="AL59" s="465">
        <f t="shared" si="187"/>
        <v>54653</v>
      </c>
    </row>
    <row r="60" spans="1:38" ht="19" customHeight="1">
      <c r="A60" s="268"/>
      <c r="B60" s="269">
        <v>586</v>
      </c>
      <c r="C60" s="269" t="s">
        <v>338</v>
      </c>
      <c r="D60" s="402">
        <f t="shared" ref="D60:O60" si="188">ROUND(D$2*D124/D$70,0)</f>
        <v>42033</v>
      </c>
      <c r="E60" s="402">
        <f t="shared" si="188"/>
        <v>43357</v>
      </c>
      <c r="F60" s="402">
        <f t="shared" si="188"/>
        <v>46519</v>
      </c>
      <c r="G60" s="402">
        <f t="shared" si="188"/>
        <v>52119</v>
      </c>
      <c r="H60" s="402">
        <f t="shared" si="188"/>
        <v>49132</v>
      </c>
      <c r="I60" s="402">
        <f t="shared" si="188"/>
        <v>47596</v>
      </c>
      <c r="J60" s="402">
        <f t="shared" si="188"/>
        <v>49255</v>
      </c>
      <c r="K60" s="402">
        <f t="shared" si="188"/>
        <v>50754</v>
      </c>
      <c r="L60" s="402">
        <f t="shared" si="188"/>
        <v>52683</v>
      </c>
      <c r="M60" s="402">
        <f t="shared" si="188"/>
        <v>49175</v>
      </c>
      <c r="N60" s="402">
        <f t="shared" si="188"/>
        <v>50606</v>
      </c>
      <c r="O60" s="402">
        <f t="shared" si="188"/>
        <v>48817</v>
      </c>
      <c r="P60" s="712">
        <f t="shared" si="172"/>
        <v>50595</v>
      </c>
      <c r="Q60" s="712">
        <f t="shared" si="172"/>
        <v>50149</v>
      </c>
      <c r="R60" s="712">
        <f t="shared" si="172"/>
        <v>49903</v>
      </c>
      <c r="S60" s="712">
        <f t="shared" si="172"/>
        <v>49745</v>
      </c>
      <c r="T60" s="712">
        <f>ROUND(T$2*T124/T$70,0)</f>
        <v>47941</v>
      </c>
      <c r="U60" s="525">
        <f t="shared" ref="U60:AH60" si="189">ROUND(U$6*U124/U$70,0)</f>
        <v>45284</v>
      </c>
      <c r="V60" s="525">
        <f t="shared" si="189"/>
        <v>42849</v>
      </c>
      <c r="W60" s="525">
        <f t="shared" si="189"/>
        <v>41817</v>
      </c>
      <c r="X60" s="525">
        <f t="shared" si="189"/>
        <v>43344</v>
      </c>
      <c r="Y60" s="525">
        <f t="shared" si="189"/>
        <v>41484</v>
      </c>
      <c r="Z60" s="525">
        <f t="shared" si="189"/>
        <v>37550</v>
      </c>
      <c r="AA60" s="525">
        <f t="shared" si="189"/>
        <v>37522</v>
      </c>
      <c r="AB60" s="525">
        <f t="shared" si="189"/>
        <v>42345</v>
      </c>
      <c r="AC60" s="525">
        <f t="shared" si="189"/>
        <v>43590</v>
      </c>
      <c r="AD60" s="525">
        <f t="shared" si="189"/>
        <v>51212</v>
      </c>
      <c r="AE60" s="525">
        <f t="shared" si="189"/>
        <v>43743</v>
      </c>
      <c r="AF60" s="525">
        <f t="shared" si="189"/>
        <v>47218</v>
      </c>
      <c r="AG60" s="525">
        <f t="shared" si="189"/>
        <v>47866</v>
      </c>
      <c r="AH60" s="525">
        <f t="shared" si="189"/>
        <v>47509</v>
      </c>
      <c r="AI60" s="525">
        <f t="shared" ref="AI60:AJ60" si="190">ROUND(AI$6*AI124/AI$70,0)</f>
        <v>44479</v>
      </c>
      <c r="AJ60" s="525">
        <f t="shared" si="190"/>
        <v>44578</v>
      </c>
      <c r="AK60" s="525">
        <f t="shared" ref="AK60:AL60" si="191">ROUND(AK$6*AK124/AK$70,0)</f>
        <v>43676</v>
      </c>
      <c r="AL60" s="525">
        <f t="shared" si="191"/>
        <v>46723</v>
      </c>
    </row>
    <row r="61" spans="1:38" ht="19" customHeight="1">
      <c r="A61" s="267" t="s">
        <v>346</v>
      </c>
      <c r="B61" s="249">
        <v>8</v>
      </c>
      <c r="C61" s="249" t="s">
        <v>211</v>
      </c>
      <c r="D61" s="350">
        <f t="shared" ref="D61:O61" si="192">SUM(D62:D63)</f>
        <v>310091</v>
      </c>
      <c r="E61" s="350">
        <f t="shared" si="192"/>
        <v>336109</v>
      </c>
      <c r="F61" s="350">
        <f t="shared" si="192"/>
        <v>356683</v>
      </c>
      <c r="G61" s="350">
        <f t="shared" si="192"/>
        <v>372205</v>
      </c>
      <c r="H61" s="350">
        <f t="shared" si="192"/>
        <v>391764</v>
      </c>
      <c r="I61" s="350">
        <f t="shared" si="192"/>
        <v>411887</v>
      </c>
      <c r="J61" s="350">
        <f t="shared" si="192"/>
        <v>415938</v>
      </c>
      <c r="K61" s="350">
        <f t="shared" si="192"/>
        <v>389187</v>
      </c>
      <c r="L61" s="350">
        <f t="shared" si="192"/>
        <v>386174</v>
      </c>
      <c r="M61" s="350">
        <f t="shared" si="192"/>
        <v>364968</v>
      </c>
      <c r="N61" s="350">
        <f t="shared" si="192"/>
        <v>379849</v>
      </c>
      <c r="O61" s="350">
        <f t="shared" si="192"/>
        <v>373285</v>
      </c>
      <c r="P61" s="710">
        <f>SUM(P62:P63)</f>
        <v>417845</v>
      </c>
      <c r="Q61" s="710">
        <f>SUM(Q62:Q63)</f>
        <v>423193</v>
      </c>
      <c r="R61" s="710">
        <f>SUM(R62:R63)</f>
        <v>412250</v>
      </c>
      <c r="S61" s="710">
        <f>SUM(S62:S63)</f>
        <v>404197</v>
      </c>
      <c r="T61" s="710">
        <f t="shared" ref="T61:AG61" si="193">SUM(T62:T63)</f>
        <v>394029</v>
      </c>
      <c r="U61" s="465">
        <f t="shared" si="193"/>
        <v>385650</v>
      </c>
      <c r="V61" s="465">
        <f t="shared" si="193"/>
        <v>385879</v>
      </c>
      <c r="W61" s="465">
        <f t="shared" si="193"/>
        <v>373363</v>
      </c>
      <c r="X61" s="465">
        <f t="shared" si="193"/>
        <v>381050</v>
      </c>
      <c r="Y61" s="465">
        <f t="shared" si="193"/>
        <v>389641</v>
      </c>
      <c r="Z61" s="465">
        <f t="shared" si="193"/>
        <v>355318</v>
      </c>
      <c r="AA61" s="465">
        <f t="shared" si="193"/>
        <v>285502</v>
      </c>
      <c r="AB61" s="465">
        <f t="shared" si="193"/>
        <v>397845</v>
      </c>
      <c r="AC61" s="465">
        <f t="shared" si="193"/>
        <v>391493</v>
      </c>
      <c r="AD61" s="465">
        <f t="shared" si="193"/>
        <v>418388</v>
      </c>
      <c r="AE61" s="465">
        <f t="shared" si="193"/>
        <v>422586</v>
      </c>
      <c r="AF61" s="465">
        <f t="shared" si="193"/>
        <v>426693</v>
      </c>
      <c r="AG61" s="465">
        <f t="shared" si="193"/>
        <v>438473</v>
      </c>
      <c r="AH61" s="465">
        <f>SUM(AH62:AH63)</f>
        <v>474718</v>
      </c>
      <c r="AI61" s="465">
        <f>SUM(AI62:AI63)</f>
        <v>453080</v>
      </c>
      <c r="AJ61" s="465">
        <f>SUM(AJ62:AJ63)</f>
        <v>460054</v>
      </c>
      <c r="AK61" s="465">
        <f>SUM(AK62:AK63)</f>
        <v>464432</v>
      </c>
      <c r="AL61" s="465">
        <f>SUM(AL62:AL63)</f>
        <v>481731</v>
      </c>
    </row>
    <row r="62" spans="1:38" ht="19" customHeight="1">
      <c r="A62" s="267"/>
      <c r="B62" s="249">
        <v>221</v>
      </c>
      <c r="C62" s="249" t="s">
        <v>1157</v>
      </c>
      <c r="D62" s="350">
        <f t="shared" ref="D62:O62" si="194">ROUND(D$2*D126/D$70,0)</f>
        <v>107323</v>
      </c>
      <c r="E62" s="350">
        <f t="shared" si="194"/>
        <v>118672</v>
      </c>
      <c r="F62" s="350">
        <f t="shared" si="194"/>
        <v>135195</v>
      </c>
      <c r="G62" s="350">
        <f t="shared" si="194"/>
        <v>147030</v>
      </c>
      <c r="H62" s="350">
        <f t="shared" si="194"/>
        <v>163104</v>
      </c>
      <c r="I62" s="350">
        <f t="shared" si="194"/>
        <v>173962</v>
      </c>
      <c r="J62" s="350">
        <f t="shared" si="194"/>
        <v>180417</v>
      </c>
      <c r="K62" s="350">
        <f t="shared" si="194"/>
        <v>156181</v>
      </c>
      <c r="L62" s="350">
        <f t="shared" si="194"/>
        <v>149904</v>
      </c>
      <c r="M62" s="350">
        <f t="shared" si="194"/>
        <v>138949</v>
      </c>
      <c r="N62" s="350">
        <f t="shared" si="194"/>
        <v>143920</v>
      </c>
      <c r="O62" s="350">
        <f t="shared" si="194"/>
        <v>146244</v>
      </c>
      <c r="P62" s="710">
        <f t="shared" ref="P62:S63" si="195">ROUND(P$2*P126/P$70,0)</f>
        <v>163022</v>
      </c>
      <c r="Q62" s="710">
        <f t="shared" si="195"/>
        <v>164165</v>
      </c>
      <c r="R62" s="710">
        <f t="shared" si="195"/>
        <v>161006</v>
      </c>
      <c r="S62" s="710">
        <f t="shared" si="195"/>
        <v>150154</v>
      </c>
      <c r="T62" s="710">
        <f>ROUND(T$2*T126/T$70,0)</f>
        <v>149947</v>
      </c>
      <c r="U62" s="465">
        <f t="shared" ref="U62:AH62" si="196">ROUND(U$6*U126/U$70,0)</f>
        <v>149325</v>
      </c>
      <c r="V62" s="465">
        <f t="shared" si="196"/>
        <v>146519</v>
      </c>
      <c r="W62" s="465">
        <f t="shared" si="196"/>
        <v>146452</v>
      </c>
      <c r="X62" s="465">
        <f t="shared" si="196"/>
        <v>153086</v>
      </c>
      <c r="Y62" s="465">
        <f t="shared" si="196"/>
        <v>157192</v>
      </c>
      <c r="Z62" s="465">
        <f t="shared" si="196"/>
        <v>115472</v>
      </c>
      <c r="AA62" s="465">
        <f t="shared" si="196"/>
        <v>50039</v>
      </c>
      <c r="AB62" s="465">
        <f t="shared" si="196"/>
        <v>146604</v>
      </c>
      <c r="AC62" s="465">
        <f t="shared" si="196"/>
        <v>145452</v>
      </c>
      <c r="AD62" s="465">
        <f t="shared" si="196"/>
        <v>158212</v>
      </c>
      <c r="AE62" s="465">
        <f t="shared" si="196"/>
        <v>161184</v>
      </c>
      <c r="AF62" s="465">
        <f t="shared" si="196"/>
        <v>167066</v>
      </c>
      <c r="AG62" s="465">
        <f t="shared" si="196"/>
        <v>183058</v>
      </c>
      <c r="AH62" s="465">
        <f t="shared" si="196"/>
        <v>216487</v>
      </c>
      <c r="AI62" s="465">
        <f t="shared" ref="AI62:AJ62" si="197">ROUND(AI$6*AI126/AI$70,0)</f>
        <v>205887</v>
      </c>
      <c r="AJ62" s="465">
        <f t="shared" si="197"/>
        <v>199933</v>
      </c>
      <c r="AK62" s="465">
        <f t="shared" ref="AK62:AL62" si="198">ROUND(AK$6*AK126/AK$70,0)</f>
        <v>203897</v>
      </c>
      <c r="AL62" s="465">
        <f t="shared" si="198"/>
        <v>214565</v>
      </c>
    </row>
    <row r="63" spans="1:38" ht="19" customHeight="1">
      <c r="A63" s="267"/>
      <c r="B63" s="249">
        <v>223</v>
      </c>
      <c r="C63" s="249" t="s">
        <v>223</v>
      </c>
      <c r="D63" s="350">
        <f t="shared" ref="D63:O63" si="199">ROUND(D$2*D127/D$70,0)</f>
        <v>202768</v>
      </c>
      <c r="E63" s="350">
        <f t="shared" si="199"/>
        <v>217437</v>
      </c>
      <c r="F63" s="350">
        <f t="shared" si="199"/>
        <v>221488</v>
      </c>
      <c r="G63" s="350">
        <f t="shared" si="199"/>
        <v>225175</v>
      </c>
      <c r="H63" s="350">
        <f t="shared" si="199"/>
        <v>228660</v>
      </c>
      <c r="I63" s="350">
        <f t="shared" si="199"/>
        <v>237925</v>
      </c>
      <c r="J63" s="350">
        <f t="shared" si="199"/>
        <v>235521</v>
      </c>
      <c r="K63" s="350">
        <f t="shared" si="199"/>
        <v>233006</v>
      </c>
      <c r="L63" s="350">
        <f t="shared" si="199"/>
        <v>236270</v>
      </c>
      <c r="M63" s="350">
        <f t="shared" si="199"/>
        <v>226019</v>
      </c>
      <c r="N63" s="350">
        <f t="shared" si="199"/>
        <v>235929</v>
      </c>
      <c r="O63" s="350">
        <f t="shared" si="199"/>
        <v>227041</v>
      </c>
      <c r="P63" s="710">
        <f t="shared" si="195"/>
        <v>254823</v>
      </c>
      <c r="Q63" s="710">
        <f t="shared" si="195"/>
        <v>259028</v>
      </c>
      <c r="R63" s="710">
        <f t="shared" si="195"/>
        <v>251244</v>
      </c>
      <c r="S63" s="710">
        <f t="shared" si="195"/>
        <v>254043</v>
      </c>
      <c r="T63" s="710">
        <f>ROUND(T$2*T127/T$70,0)</f>
        <v>244082</v>
      </c>
      <c r="U63" s="465">
        <f t="shared" ref="U63:AH63" si="200">ROUND(U$6*U127/U$70,0)</f>
        <v>236325</v>
      </c>
      <c r="V63" s="465">
        <f t="shared" si="200"/>
        <v>239360</v>
      </c>
      <c r="W63" s="465">
        <f t="shared" si="200"/>
        <v>226911</v>
      </c>
      <c r="X63" s="465">
        <f t="shared" si="200"/>
        <v>227964</v>
      </c>
      <c r="Y63" s="465">
        <f t="shared" si="200"/>
        <v>232449</v>
      </c>
      <c r="Z63" s="465">
        <f t="shared" si="200"/>
        <v>239846</v>
      </c>
      <c r="AA63" s="465">
        <f t="shared" si="200"/>
        <v>235463</v>
      </c>
      <c r="AB63" s="465">
        <f t="shared" si="200"/>
        <v>251241</v>
      </c>
      <c r="AC63" s="465">
        <f t="shared" si="200"/>
        <v>246041</v>
      </c>
      <c r="AD63" s="465">
        <f t="shared" si="200"/>
        <v>260176</v>
      </c>
      <c r="AE63" s="465">
        <f t="shared" si="200"/>
        <v>261402</v>
      </c>
      <c r="AF63" s="465">
        <f t="shared" si="200"/>
        <v>259627</v>
      </c>
      <c r="AG63" s="465">
        <f t="shared" si="200"/>
        <v>255415</v>
      </c>
      <c r="AH63" s="465">
        <f t="shared" si="200"/>
        <v>258231</v>
      </c>
      <c r="AI63" s="465">
        <f t="shared" ref="AI63:AJ63" si="201">ROUND(AI$6*AI127/AI$70,0)</f>
        <v>247193</v>
      </c>
      <c r="AJ63" s="465">
        <f t="shared" si="201"/>
        <v>260121</v>
      </c>
      <c r="AK63" s="465">
        <f t="shared" ref="AK63:AL63" si="202">ROUND(AK$6*AK127/AK$70,0)</f>
        <v>260535</v>
      </c>
      <c r="AL63" s="465">
        <f t="shared" si="202"/>
        <v>267166</v>
      </c>
    </row>
    <row r="64" spans="1:38" ht="19" customHeight="1">
      <c r="A64" s="273" t="s">
        <v>344</v>
      </c>
      <c r="B64" s="270">
        <v>9</v>
      </c>
      <c r="C64" s="270" t="s">
        <v>212</v>
      </c>
      <c r="D64" s="349">
        <f t="shared" ref="D64:O64" si="203">SUM(D65:D67)</f>
        <v>472830</v>
      </c>
      <c r="E64" s="349">
        <f t="shared" si="203"/>
        <v>506270</v>
      </c>
      <c r="F64" s="349">
        <f t="shared" si="203"/>
        <v>514980</v>
      </c>
      <c r="G64" s="349">
        <f t="shared" si="203"/>
        <v>550722</v>
      </c>
      <c r="H64" s="349">
        <f t="shared" si="203"/>
        <v>550688</v>
      </c>
      <c r="I64" s="349">
        <f t="shared" si="203"/>
        <v>563191</v>
      </c>
      <c r="J64" s="349">
        <f t="shared" si="203"/>
        <v>577520</v>
      </c>
      <c r="K64" s="349">
        <f t="shared" si="203"/>
        <v>600422</v>
      </c>
      <c r="L64" s="349">
        <f t="shared" si="203"/>
        <v>570957</v>
      </c>
      <c r="M64" s="349">
        <f t="shared" si="203"/>
        <v>556381</v>
      </c>
      <c r="N64" s="349">
        <f t="shared" si="203"/>
        <v>551268</v>
      </c>
      <c r="O64" s="349">
        <f t="shared" si="203"/>
        <v>519605</v>
      </c>
      <c r="P64" s="709">
        <f>SUM(P65:P67)</f>
        <v>583193</v>
      </c>
      <c r="Q64" s="709">
        <f>SUM(Q65:Q67)</f>
        <v>573697</v>
      </c>
      <c r="R64" s="709">
        <f>SUM(R65:R67)</f>
        <v>535946</v>
      </c>
      <c r="S64" s="709">
        <f>SUM(S65:S67)</f>
        <v>527508</v>
      </c>
      <c r="T64" s="709">
        <f t="shared" ref="T64:AG64" si="204">SUM(T65:T67)</f>
        <v>510263</v>
      </c>
      <c r="U64" s="464">
        <f t="shared" si="204"/>
        <v>490289</v>
      </c>
      <c r="V64" s="464">
        <f t="shared" si="204"/>
        <v>468118</v>
      </c>
      <c r="W64" s="464">
        <f t="shared" si="204"/>
        <v>471662</v>
      </c>
      <c r="X64" s="464">
        <f t="shared" si="204"/>
        <v>489197</v>
      </c>
      <c r="Y64" s="464">
        <f t="shared" si="204"/>
        <v>498133</v>
      </c>
      <c r="Z64" s="464">
        <f t="shared" si="204"/>
        <v>441034</v>
      </c>
      <c r="AA64" s="464">
        <f t="shared" si="204"/>
        <v>438016</v>
      </c>
      <c r="AB64" s="464">
        <f t="shared" si="204"/>
        <v>448165</v>
      </c>
      <c r="AC64" s="464">
        <f t="shared" si="204"/>
        <v>443917</v>
      </c>
      <c r="AD64" s="464">
        <f t="shared" si="204"/>
        <v>465211</v>
      </c>
      <c r="AE64" s="464">
        <f t="shared" si="204"/>
        <v>470451</v>
      </c>
      <c r="AF64" s="464">
        <f t="shared" si="204"/>
        <v>467945</v>
      </c>
      <c r="AG64" s="464">
        <f t="shared" si="204"/>
        <v>465034</v>
      </c>
      <c r="AH64" s="464">
        <f>SUM(AH65:AH67)</f>
        <v>468995</v>
      </c>
      <c r="AI64" s="464">
        <f>SUM(AI65:AI67)</f>
        <v>441594</v>
      </c>
      <c r="AJ64" s="464">
        <f>SUM(AJ65:AJ67)</f>
        <v>452131</v>
      </c>
      <c r="AK64" s="464">
        <f>SUM(AK65:AK67)</f>
        <v>475417</v>
      </c>
      <c r="AL64" s="464">
        <f>SUM(AL65:AL67)</f>
        <v>501130</v>
      </c>
    </row>
    <row r="65" spans="1:38" ht="19" customHeight="1">
      <c r="A65" s="267"/>
      <c r="B65" s="249">
        <v>205</v>
      </c>
      <c r="C65" s="249" t="s">
        <v>339</v>
      </c>
      <c r="D65" s="350">
        <f t="shared" ref="D65:O65" si="205">ROUND(D$2*D129/D$70,0)</f>
        <v>197724</v>
      </c>
      <c r="E65" s="350">
        <f t="shared" si="205"/>
        <v>210337</v>
      </c>
      <c r="F65" s="350">
        <f t="shared" si="205"/>
        <v>209474</v>
      </c>
      <c r="G65" s="350">
        <f t="shared" si="205"/>
        <v>221947</v>
      </c>
      <c r="H65" s="350">
        <f t="shared" si="205"/>
        <v>231080</v>
      </c>
      <c r="I65" s="350">
        <f t="shared" si="205"/>
        <v>227613</v>
      </c>
      <c r="J65" s="350">
        <f t="shared" si="205"/>
        <v>229647</v>
      </c>
      <c r="K65" s="350">
        <f t="shared" si="205"/>
        <v>244126</v>
      </c>
      <c r="L65" s="350">
        <f t="shared" si="205"/>
        <v>229993</v>
      </c>
      <c r="M65" s="350">
        <f t="shared" si="205"/>
        <v>226322</v>
      </c>
      <c r="N65" s="350">
        <f t="shared" si="205"/>
        <v>236860</v>
      </c>
      <c r="O65" s="350">
        <f t="shared" si="205"/>
        <v>217164</v>
      </c>
      <c r="P65" s="710">
        <f t="shared" ref="P65:S67" si="206">ROUND(P$2*P129/P$70,0)</f>
        <v>243050</v>
      </c>
      <c r="Q65" s="710">
        <f t="shared" si="206"/>
        <v>229016</v>
      </c>
      <c r="R65" s="710">
        <f t="shared" si="206"/>
        <v>204304</v>
      </c>
      <c r="S65" s="710">
        <f t="shared" si="206"/>
        <v>204802</v>
      </c>
      <c r="T65" s="710">
        <f>ROUND(T$2*T129/T$70,0)</f>
        <v>203636</v>
      </c>
      <c r="U65" s="465">
        <f t="shared" ref="U65:AH65" si="207">ROUND(U$6*U129/U$70,0)</f>
        <v>195347</v>
      </c>
      <c r="V65" s="465">
        <f t="shared" si="207"/>
        <v>181885</v>
      </c>
      <c r="W65" s="465">
        <f t="shared" si="207"/>
        <v>178186</v>
      </c>
      <c r="X65" s="465">
        <f t="shared" si="207"/>
        <v>188590</v>
      </c>
      <c r="Y65" s="465">
        <f t="shared" si="207"/>
        <v>190810</v>
      </c>
      <c r="Z65" s="465">
        <f t="shared" si="207"/>
        <v>155744</v>
      </c>
      <c r="AA65" s="465">
        <f t="shared" si="207"/>
        <v>154460</v>
      </c>
      <c r="AB65" s="465">
        <f t="shared" si="207"/>
        <v>157693</v>
      </c>
      <c r="AC65" s="465">
        <f t="shared" si="207"/>
        <v>154806</v>
      </c>
      <c r="AD65" s="465">
        <f t="shared" si="207"/>
        <v>166404</v>
      </c>
      <c r="AE65" s="465">
        <f t="shared" si="207"/>
        <v>159950</v>
      </c>
      <c r="AF65" s="465">
        <f t="shared" si="207"/>
        <v>159140</v>
      </c>
      <c r="AG65" s="465">
        <f t="shared" si="207"/>
        <v>157981</v>
      </c>
      <c r="AH65" s="465">
        <f t="shared" si="207"/>
        <v>157474</v>
      </c>
      <c r="AI65" s="465">
        <f t="shared" ref="AI65:AJ65" si="208">ROUND(AI$6*AI129/AI$70,0)</f>
        <v>148521</v>
      </c>
      <c r="AJ65" s="465">
        <f t="shared" si="208"/>
        <v>154199</v>
      </c>
      <c r="AK65" s="465">
        <f t="shared" ref="AK65:AL65" si="209">ROUND(AK$6*AK129/AK$70,0)</f>
        <v>167515</v>
      </c>
      <c r="AL65" s="465">
        <f t="shared" si="209"/>
        <v>175079</v>
      </c>
    </row>
    <row r="66" spans="1:38" ht="19" customHeight="1">
      <c r="A66" s="267"/>
      <c r="B66" s="249">
        <v>224</v>
      </c>
      <c r="C66" s="249" t="s">
        <v>224</v>
      </c>
      <c r="D66" s="350">
        <f t="shared" ref="D66:O66" si="210">ROUND(D$2*D130/D$70,0)</f>
        <v>150359</v>
      </c>
      <c r="E66" s="350">
        <f t="shared" si="210"/>
        <v>160491</v>
      </c>
      <c r="F66" s="350">
        <f t="shared" si="210"/>
        <v>165528</v>
      </c>
      <c r="G66" s="350">
        <f t="shared" si="210"/>
        <v>183043</v>
      </c>
      <c r="H66" s="350">
        <f t="shared" si="210"/>
        <v>179942</v>
      </c>
      <c r="I66" s="350">
        <f t="shared" si="210"/>
        <v>176643</v>
      </c>
      <c r="J66" s="350">
        <f t="shared" si="210"/>
        <v>185287</v>
      </c>
      <c r="K66" s="350">
        <f t="shared" si="210"/>
        <v>182209</v>
      </c>
      <c r="L66" s="350">
        <f t="shared" si="210"/>
        <v>181377</v>
      </c>
      <c r="M66" s="350">
        <f t="shared" si="210"/>
        <v>167057</v>
      </c>
      <c r="N66" s="350">
        <f t="shared" si="210"/>
        <v>169671</v>
      </c>
      <c r="O66" s="350">
        <f t="shared" si="210"/>
        <v>163088</v>
      </c>
      <c r="P66" s="710">
        <f t="shared" si="206"/>
        <v>180125</v>
      </c>
      <c r="Q66" s="710">
        <f t="shared" si="206"/>
        <v>185384</v>
      </c>
      <c r="R66" s="710">
        <f t="shared" si="206"/>
        <v>181017</v>
      </c>
      <c r="S66" s="710">
        <f t="shared" si="206"/>
        <v>173609</v>
      </c>
      <c r="T66" s="710">
        <f>ROUND(T$2*T130/T$70,0)</f>
        <v>165448</v>
      </c>
      <c r="U66" s="465">
        <f t="shared" ref="U66:AH66" si="211">ROUND(U$6*U130/U$70,0)</f>
        <v>156514</v>
      </c>
      <c r="V66" s="465">
        <f t="shared" si="211"/>
        <v>149642</v>
      </c>
      <c r="W66" s="465">
        <f t="shared" si="211"/>
        <v>154709</v>
      </c>
      <c r="X66" s="465">
        <f t="shared" si="211"/>
        <v>157402</v>
      </c>
      <c r="Y66" s="465">
        <f t="shared" si="211"/>
        <v>164774</v>
      </c>
      <c r="Z66" s="465">
        <f t="shared" si="211"/>
        <v>153569</v>
      </c>
      <c r="AA66" s="465">
        <f t="shared" si="211"/>
        <v>146999</v>
      </c>
      <c r="AB66" s="465">
        <f t="shared" si="211"/>
        <v>154070</v>
      </c>
      <c r="AC66" s="465">
        <f t="shared" si="211"/>
        <v>153631</v>
      </c>
      <c r="AD66" s="465">
        <f t="shared" si="211"/>
        <v>161900</v>
      </c>
      <c r="AE66" s="465">
        <f t="shared" si="211"/>
        <v>162641</v>
      </c>
      <c r="AF66" s="465">
        <f t="shared" si="211"/>
        <v>163394</v>
      </c>
      <c r="AG66" s="465">
        <f t="shared" si="211"/>
        <v>162143</v>
      </c>
      <c r="AH66" s="465">
        <f t="shared" si="211"/>
        <v>162153</v>
      </c>
      <c r="AI66" s="465">
        <f t="shared" ref="AI66:AJ66" si="212">ROUND(AI$6*AI130/AI$70,0)</f>
        <v>150844</v>
      </c>
      <c r="AJ66" s="465">
        <f t="shared" si="212"/>
        <v>148754</v>
      </c>
      <c r="AK66" s="465">
        <f t="shared" ref="AK66:AL66" si="213">ROUND(AK$6*AK130/AK$70,0)</f>
        <v>153571</v>
      </c>
      <c r="AL66" s="465">
        <f t="shared" si="213"/>
        <v>162495</v>
      </c>
    </row>
    <row r="67" spans="1:38" ht="19" customHeight="1">
      <c r="A67" s="268"/>
      <c r="B67" s="269">
        <v>226</v>
      </c>
      <c r="C67" s="269" t="s">
        <v>225</v>
      </c>
      <c r="D67" s="402">
        <f t="shared" ref="D67:O67" si="214">ROUND(D$2*D131/D$70,0)</f>
        <v>124747</v>
      </c>
      <c r="E67" s="402">
        <f t="shared" si="214"/>
        <v>135442</v>
      </c>
      <c r="F67" s="402">
        <f t="shared" si="214"/>
        <v>139978</v>
      </c>
      <c r="G67" s="402">
        <f t="shared" si="214"/>
        <v>145732</v>
      </c>
      <c r="H67" s="402">
        <f t="shared" si="214"/>
        <v>139666</v>
      </c>
      <c r="I67" s="402">
        <f t="shared" si="214"/>
        <v>158935</v>
      </c>
      <c r="J67" s="402">
        <f t="shared" si="214"/>
        <v>162586</v>
      </c>
      <c r="K67" s="402">
        <f t="shared" si="214"/>
        <v>174087</v>
      </c>
      <c r="L67" s="402">
        <f t="shared" si="214"/>
        <v>159587</v>
      </c>
      <c r="M67" s="402">
        <f t="shared" si="214"/>
        <v>163002</v>
      </c>
      <c r="N67" s="402">
        <f t="shared" si="214"/>
        <v>144737</v>
      </c>
      <c r="O67" s="402">
        <f t="shared" si="214"/>
        <v>139353</v>
      </c>
      <c r="P67" s="712">
        <f t="shared" si="206"/>
        <v>160018</v>
      </c>
      <c r="Q67" s="712">
        <f t="shared" si="206"/>
        <v>159297</v>
      </c>
      <c r="R67" s="712">
        <f t="shared" si="206"/>
        <v>150625</v>
      </c>
      <c r="S67" s="712">
        <f t="shared" si="206"/>
        <v>149097</v>
      </c>
      <c r="T67" s="712">
        <f>ROUND(T$2*T131/T$70,0)</f>
        <v>141179</v>
      </c>
      <c r="U67" s="525">
        <f t="shared" ref="U67:AH67" si="215">ROUND(U$6*U131/U$70,0)</f>
        <v>138428</v>
      </c>
      <c r="V67" s="525">
        <f t="shared" si="215"/>
        <v>136591</v>
      </c>
      <c r="W67" s="525">
        <f t="shared" si="215"/>
        <v>138767</v>
      </c>
      <c r="X67" s="525">
        <f t="shared" si="215"/>
        <v>143205</v>
      </c>
      <c r="Y67" s="525">
        <f t="shared" si="215"/>
        <v>142549</v>
      </c>
      <c r="Z67" s="525">
        <f t="shared" si="215"/>
        <v>131721</v>
      </c>
      <c r="AA67" s="525">
        <f t="shared" si="215"/>
        <v>136557</v>
      </c>
      <c r="AB67" s="525">
        <f t="shared" si="215"/>
        <v>136402</v>
      </c>
      <c r="AC67" s="525">
        <f t="shared" si="215"/>
        <v>135480</v>
      </c>
      <c r="AD67" s="525">
        <f t="shared" si="215"/>
        <v>136907</v>
      </c>
      <c r="AE67" s="525">
        <f t="shared" si="215"/>
        <v>147860</v>
      </c>
      <c r="AF67" s="525">
        <f t="shared" si="215"/>
        <v>145411</v>
      </c>
      <c r="AG67" s="525">
        <f t="shared" si="215"/>
        <v>144910</v>
      </c>
      <c r="AH67" s="525">
        <f t="shared" si="215"/>
        <v>149368</v>
      </c>
      <c r="AI67" s="525">
        <f t="shared" ref="AI67:AJ67" si="216">ROUND(AI$6*AI131/AI$70,0)</f>
        <v>142229</v>
      </c>
      <c r="AJ67" s="525">
        <f t="shared" si="216"/>
        <v>149178</v>
      </c>
      <c r="AK67" s="525">
        <f t="shared" ref="AK67:AL67" si="217">ROUND(AK$6*AK131/AK$70,0)</f>
        <v>154331</v>
      </c>
      <c r="AL67" s="525">
        <f t="shared" si="217"/>
        <v>163556</v>
      </c>
    </row>
    <row r="68" spans="1:38" ht="19" customHeight="1">
      <c r="E68" s="274"/>
      <c r="F68" s="274"/>
      <c r="G68" s="274"/>
      <c r="H68" s="274"/>
      <c r="I68" s="274"/>
      <c r="J68" s="274"/>
      <c r="K68" s="274"/>
      <c r="L68" s="274"/>
      <c r="M68" s="274"/>
      <c r="N68" s="274"/>
      <c r="O68" s="274"/>
      <c r="P68" s="713"/>
      <c r="Q68" s="713"/>
      <c r="R68" s="713"/>
      <c r="S68" s="713"/>
      <c r="T68" s="713"/>
      <c r="U68" s="274"/>
      <c r="V68" s="274"/>
      <c r="AA68" s="240"/>
      <c r="AE68" s="550"/>
    </row>
    <row r="69" spans="1:38">
      <c r="A69" s="280"/>
      <c r="B69" s="280"/>
      <c r="C69" s="280"/>
      <c r="P69" s="714" t="s">
        <v>1083</v>
      </c>
      <c r="Q69" s="714" t="s">
        <v>1083</v>
      </c>
      <c r="R69" s="714" t="s">
        <v>1083</v>
      </c>
      <c r="S69" s="714" t="s">
        <v>1083</v>
      </c>
      <c r="T69" s="714" t="s">
        <v>1083</v>
      </c>
      <c r="U69" s="240" t="s">
        <v>1230</v>
      </c>
      <c r="AA69" s="240"/>
      <c r="AD69" s="240" t="s">
        <v>1123</v>
      </c>
      <c r="AE69" s="550" t="s">
        <v>1123</v>
      </c>
    </row>
    <row r="70" spans="1:38" ht="12.5">
      <c r="A70" s="267" t="s">
        <v>321</v>
      </c>
      <c r="B70" s="249"/>
      <c r="C70" s="249" t="s">
        <v>322</v>
      </c>
      <c r="D70" s="349">
        <v>18616600</v>
      </c>
      <c r="E70" s="349">
        <v>19663092</v>
      </c>
      <c r="F70" s="349">
        <v>20005341</v>
      </c>
      <c r="G70" s="349">
        <v>20539323</v>
      </c>
      <c r="H70" s="349">
        <v>20169682</v>
      </c>
      <c r="I70" s="349">
        <v>21374687</v>
      </c>
      <c r="J70" s="349">
        <v>22125426</v>
      </c>
      <c r="K70" s="349">
        <v>21732653</v>
      </c>
      <c r="L70" s="349">
        <v>20884183</v>
      </c>
      <c r="M70" s="349">
        <v>20272696</v>
      </c>
      <c r="N70" s="349">
        <v>20336615</v>
      </c>
      <c r="O70" s="349">
        <v>19309150</v>
      </c>
      <c r="P70" s="709">
        <v>20263967</v>
      </c>
      <c r="Q70" s="709">
        <v>19975742</v>
      </c>
      <c r="R70" s="709">
        <v>19793033</v>
      </c>
      <c r="S70" s="709">
        <v>20010092</v>
      </c>
      <c r="T70" s="709">
        <v>20020257</v>
      </c>
      <c r="U70" s="567">
        <v>20820671.471545432</v>
      </c>
      <c r="V70" s="567">
        <v>21379985.45622652</v>
      </c>
      <c r="W70" s="567">
        <v>20989274.086266659</v>
      </c>
      <c r="X70" s="567">
        <v>19575722.337635133</v>
      </c>
      <c r="Y70" s="567">
        <v>20606047.064188525</v>
      </c>
      <c r="Z70" s="1540">
        <f>市町名目!B5</f>
        <v>19997123.807038844</v>
      </c>
      <c r="AA70" s="1540">
        <f>市町名目!C5</f>
        <v>19875506</v>
      </c>
      <c r="AB70" s="1540">
        <f>市町名目!D5</f>
        <v>20571143</v>
      </c>
      <c r="AC70" s="1540">
        <f>市町名目!E5</f>
        <v>20741145</v>
      </c>
      <c r="AD70" s="1540">
        <f>市町名目!F5</f>
        <v>21747193</v>
      </c>
      <c r="AE70" s="1540">
        <f>市町名目!G5</f>
        <v>21965422</v>
      </c>
      <c r="AF70" s="1540">
        <f>市町名目!H5</f>
        <v>22283273</v>
      </c>
      <c r="AG70" s="1540">
        <f>市町名目!I5</f>
        <v>22237660</v>
      </c>
      <c r="AH70" s="1540">
        <f>市町名目!J5</f>
        <v>22472835</v>
      </c>
      <c r="AI70" s="1540">
        <f>市町名目!K5</f>
        <v>21896001</v>
      </c>
      <c r="AJ70" s="1540">
        <f>市町名目!L5</f>
        <v>22596893</v>
      </c>
      <c r="AK70" s="1540">
        <f>市町名目!M5</f>
        <v>23362116</v>
      </c>
      <c r="AL70" s="1540">
        <f>市町名目!N5</f>
        <v>23989541</v>
      </c>
    </row>
    <row r="71" spans="1:38" ht="12.5">
      <c r="A71" s="267"/>
      <c r="B71" s="249">
        <v>100</v>
      </c>
      <c r="C71" s="249" t="s">
        <v>172</v>
      </c>
      <c r="D71" s="350">
        <v>6067956</v>
      </c>
      <c r="E71" s="350">
        <v>6416903</v>
      </c>
      <c r="F71" s="350">
        <v>6618219</v>
      </c>
      <c r="G71" s="350">
        <v>6834375</v>
      </c>
      <c r="H71" s="350">
        <v>6670353</v>
      </c>
      <c r="I71" s="350">
        <v>6992509</v>
      </c>
      <c r="J71" s="350">
        <v>7321309</v>
      </c>
      <c r="K71" s="350">
        <v>7090683</v>
      </c>
      <c r="L71" s="350">
        <v>6903493</v>
      </c>
      <c r="M71" s="350">
        <v>6742320</v>
      </c>
      <c r="N71" s="350">
        <v>6701485</v>
      </c>
      <c r="O71" s="350">
        <v>6407686</v>
      </c>
      <c r="P71" s="710">
        <v>6318738</v>
      </c>
      <c r="Q71" s="710">
        <v>6149157</v>
      </c>
      <c r="R71" s="710">
        <v>6100559</v>
      </c>
      <c r="S71" s="710">
        <v>6165835</v>
      </c>
      <c r="T71" s="710">
        <v>6152822</v>
      </c>
      <c r="U71" s="567">
        <v>6415232.4715454327</v>
      </c>
      <c r="V71" s="567">
        <v>6571273.4562265221</v>
      </c>
      <c r="W71" s="567">
        <v>6483844.0862666573</v>
      </c>
      <c r="X71" s="567">
        <v>6278641.3376351334</v>
      </c>
      <c r="Y71" s="567">
        <v>6573384.0641885241</v>
      </c>
      <c r="Z71" s="1540">
        <f>市町名目!B6</f>
        <v>6432390.8070388446</v>
      </c>
      <c r="AA71" s="1540">
        <f>市町名目!C6</f>
        <v>6348572</v>
      </c>
      <c r="AB71" s="1540">
        <f>市町名目!D6</f>
        <v>6421649</v>
      </c>
      <c r="AC71" s="1540">
        <f>市町名目!E6</f>
        <v>6542948</v>
      </c>
      <c r="AD71" s="1540">
        <f>市町名目!F6</f>
        <v>6861821</v>
      </c>
      <c r="AE71" s="1540">
        <f>市町名目!G6</f>
        <v>6885364</v>
      </c>
      <c r="AF71" s="1540">
        <f>市町名目!H6</f>
        <v>6983569</v>
      </c>
      <c r="AG71" s="1540">
        <f>市町名目!I6</f>
        <v>6950990</v>
      </c>
      <c r="AH71" s="1540">
        <f>市町名目!J6</f>
        <v>7083806</v>
      </c>
      <c r="AI71" s="1540">
        <f>市町名目!K6</f>
        <v>6827769</v>
      </c>
      <c r="AJ71" s="1540">
        <f>市町名目!L6</f>
        <v>6947990</v>
      </c>
      <c r="AK71" s="1540">
        <f>市町名目!M6</f>
        <v>7287424</v>
      </c>
      <c r="AL71" s="1540">
        <f>市町名目!N6</f>
        <v>7529880</v>
      </c>
    </row>
    <row r="72" spans="1:38" ht="12.5">
      <c r="A72" s="267"/>
      <c r="B72" s="249">
        <v>1</v>
      </c>
      <c r="C72" s="249" t="s">
        <v>323</v>
      </c>
      <c r="D72" s="350">
        <v>3125545</v>
      </c>
      <c r="E72" s="350">
        <v>3190427</v>
      </c>
      <c r="F72" s="350">
        <v>3207887</v>
      </c>
      <c r="G72" s="350">
        <v>3201428</v>
      </c>
      <c r="H72" s="350">
        <v>3153339</v>
      </c>
      <c r="I72" s="350">
        <v>3435002</v>
      </c>
      <c r="J72" s="350">
        <v>3499138</v>
      </c>
      <c r="K72" s="350">
        <v>3329135</v>
      </c>
      <c r="L72" s="350">
        <v>3051295</v>
      </c>
      <c r="M72" s="350">
        <v>2869443</v>
      </c>
      <c r="N72" s="350">
        <v>2919217</v>
      </c>
      <c r="O72" s="350">
        <v>2794660</v>
      </c>
      <c r="P72" s="710">
        <v>3096571</v>
      </c>
      <c r="Q72" s="710">
        <v>2973093</v>
      </c>
      <c r="R72" s="710">
        <v>2945709</v>
      </c>
      <c r="S72" s="710">
        <v>2986248</v>
      </c>
      <c r="T72" s="710">
        <v>3027382</v>
      </c>
      <c r="U72" s="567">
        <v>3199322</v>
      </c>
      <c r="V72" s="567">
        <v>3309813</v>
      </c>
      <c r="W72" s="567">
        <v>3185261</v>
      </c>
      <c r="X72" s="567">
        <v>3008958</v>
      </c>
      <c r="Y72" s="567">
        <v>3282302</v>
      </c>
      <c r="Z72" s="1540">
        <f>市町名目!B7</f>
        <v>3245720</v>
      </c>
      <c r="AA72" s="1540">
        <f>市町名目!C7</f>
        <v>3169353</v>
      </c>
      <c r="AB72" s="1540">
        <f>市町名目!D7</f>
        <v>3309950</v>
      </c>
      <c r="AC72" s="1540">
        <f>市町名目!E7</f>
        <v>3308965</v>
      </c>
      <c r="AD72" s="1540">
        <f>市町名目!F7</f>
        <v>3538433</v>
      </c>
      <c r="AE72" s="1540">
        <f>市町名目!G7</f>
        <v>3558388</v>
      </c>
      <c r="AF72" s="1540">
        <f>市町名目!H7</f>
        <v>3670272</v>
      </c>
      <c r="AG72" s="1540">
        <f>市町名目!I7</f>
        <v>3642087</v>
      </c>
      <c r="AH72" s="1540">
        <f>市町名目!J7</f>
        <v>3695848</v>
      </c>
      <c r="AI72" s="1540">
        <f>市町名目!K7</f>
        <v>3523512</v>
      </c>
      <c r="AJ72" s="1540">
        <f>市町名目!L7</f>
        <v>3696176</v>
      </c>
      <c r="AK72" s="1540">
        <f>市町名目!M7</f>
        <v>3765146</v>
      </c>
      <c r="AL72" s="1540">
        <f>市町名目!N7</f>
        <v>3908745</v>
      </c>
    </row>
    <row r="73" spans="1:38" ht="12.5">
      <c r="A73" s="267"/>
      <c r="B73" s="249">
        <v>2</v>
      </c>
      <c r="C73" s="249" t="s">
        <v>324</v>
      </c>
      <c r="D73" s="350">
        <v>1576950</v>
      </c>
      <c r="E73" s="350">
        <v>1655457</v>
      </c>
      <c r="F73" s="350">
        <v>1683814</v>
      </c>
      <c r="G73" s="350">
        <v>1738581</v>
      </c>
      <c r="H73" s="350">
        <v>1658927</v>
      </c>
      <c r="I73" s="350">
        <v>1825374</v>
      </c>
      <c r="J73" s="350">
        <v>1875970</v>
      </c>
      <c r="K73" s="350">
        <v>1907783</v>
      </c>
      <c r="L73" s="350">
        <v>1867085</v>
      </c>
      <c r="M73" s="350">
        <v>1786138</v>
      </c>
      <c r="N73" s="350">
        <v>1794899</v>
      </c>
      <c r="O73" s="350">
        <v>1724854</v>
      </c>
      <c r="P73" s="710">
        <v>1798170</v>
      </c>
      <c r="Q73" s="710">
        <v>1762877</v>
      </c>
      <c r="R73" s="710">
        <v>1773838</v>
      </c>
      <c r="S73" s="710">
        <v>1816741</v>
      </c>
      <c r="T73" s="710">
        <v>1845893</v>
      </c>
      <c r="U73" s="567">
        <v>1935311</v>
      </c>
      <c r="V73" s="567">
        <v>1974712</v>
      </c>
      <c r="W73" s="567">
        <v>1887877</v>
      </c>
      <c r="X73" s="567">
        <v>1790341</v>
      </c>
      <c r="Y73" s="567">
        <v>1877813</v>
      </c>
      <c r="Z73" s="1540">
        <f>市町名目!B8</f>
        <v>1916235</v>
      </c>
      <c r="AA73" s="1540">
        <f>市町名目!C8</f>
        <v>1951839</v>
      </c>
      <c r="AB73" s="1540">
        <f>市町名目!D8</f>
        <v>1969036</v>
      </c>
      <c r="AC73" s="1540">
        <f>市町名目!E8</f>
        <v>1950165</v>
      </c>
      <c r="AD73" s="1540">
        <f>市町名目!F8</f>
        <v>2053609</v>
      </c>
      <c r="AE73" s="1540">
        <f>市町名目!G8</f>
        <v>2143401</v>
      </c>
      <c r="AF73" s="1540">
        <f>市町名目!H8</f>
        <v>2115268</v>
      </c>
      <c r="AG73" s="1540">
        <f>市町名目!I8</f>
        <v>2107783</v>
      </c>
      <c r="AH73" s="1540">
        <f>市町名目!J8</f>
        <v>2072364</v>
      </c>
      <c r="AI73" s="1540">
        <f>市町名目!K8</f>
        <v>2047222</v>
      </c>
      <c r="AJ73" s="1540">
        <f>市町名目!L8</f>
        <v>2206039</v>
      </c>
      <c r="AK73" s="1540">
        <f>市町名目!M8</f>
        <v>2267467</v>
      </c>
      <c r="AL73" s="1540">
        <f>市町名目!N8</f>
        <v>2397898</v>
      </c>
    </row>
    <row r="74" spans="1:38" ht="12.5">
      <c r="A74" s="267"/>
      <c r="B74" s="249">
        <v>3</v>
      </c>
      <c r="C74" s="249" t="s">
        <v>192</v>
      </c>
      <c r="D74" s="350">
        <v>2367397</v>
      </c>
      <c r="E74" s="350">
        <v>2523776</v>
      </c>
      <c r="F74" s="350">
        <v>2478690</v>
      </c>
      <c r="G74" s="350">
        <v>2523951</v>
      </c>
      <c r="H74" s="350">
        <v>2477201</v>
      </c>
      <c r="I74" s="350">
        <v>2665683</v>
      </c>
      <c r="J74" s="350">
        <v>2738032</v>
      </c>
      <c r="K74" s="350">
        <v>2746550</v>
      </c>
      <c r="L74" s="350">
        <v>2604519</v>
      </c>
      <c r="M74" s="350">
        <v>2546275</v>
      </c>
      <c r="N74" s="350">
        <v>2587981</v>
      </c>
      <c r="O74" s="350">
        <v>2354473</v>
      </c>
      <c r="P74" s="710">
        <v>2559714</v>
      </c>
      <c r="Q74" s="710">
        <v>2617974</v>
      </c>
      <c r="R74" s="710">
        <v>2634526</v>
      </c>
      <c r="S74" s="710">
        <v>2668198</v>
      </c>
      <c r="T74" s="710">
        <v>2689288</v>
      </c>
      <c r="U74" s="567">
        <v>2865707</v>
      </c>
      <c r="V74" s="567">
        <v>3019946</v>
      </c>
      <c r="W74" s="567">
        <v>3019416</v>
      </c>
      <c r="X74" s="567">
        <v>2601206</v>
      </c>
      <c r="Y74" s="567">
        <v>2721170</v>
      </c>
      <c r="Z74" s="1540">
        <f>市町名目!B9</f>
        <v>2589684</v>
      </c>
      <c r="AA74" s="1540">
        <f>市町名目!C9</f>
        <v>2742033</v>
      </c>
      <c r="AB74" s="1540">
        <f>市町名目!D9</f>
        <v>2788089</v>
      </c>
      <c r="AC74" s="1540">
        <f>市町名目!E9</f>
        <v>2821463</v>
      </c>
      <c r="AD74" s="1540">
        <f>市町名目!F9</f>
        <v>2957502</v>
      </c>
      <c r="AE74" s="1540">
        <f>市町名目!G9</f>
        <v>2909491</v>
      </c>
      <c r="AF74" s="1540">
        <f>市町名目!H9</f>
        <v>2926149</v>
      </c>
      <c r="AG74" s="1540">
        <f>市町名目!I9</f>
        <v>2965443</v>
      </c>
      <c r="AH74" s="1540">
        <f>市町名目!J9</f>
        <v>3002259</v>
      </c>
      <c r="AI74" s="1540">
        <f>市町名目!K9</f>
        <v>2971362</v>
      </c>
      <c r="AJ74" s="1540">
        <f>市町名目!L9</f>
        <v>2960193</v>
      </c>
      <c r="AK74" s="1540">
        <f>市町名目!M9</f>
        <v>3191504</v>
      </c>
      <c r="AL74" s="1540">
        <f>市町名目!N9</f>
        <v>3149681</v>
      </c>
    </row>
    <row r="75" spans="1:38" ht="12.5">
      <c r="A75" s="267"/>
      <c r="B75" s="249">
        <v>4</v>
      </c>
      <c r="C75" s="249" t="s">
        <v>325</v>
      </c>
      <c r="D75" s="350">
        <v>935624</v>
      </c>
      <c r="E75" s="350">
        <v>1000739</v>
      </c>
      <c r="F75" s="350">
        <v>1000435</v>
      </c>
      <c r="G75" s="350">
        <v>1064175</v>
      </c>
      <c r="H75" s="350">
        <v>1069024</v>
      </c>
      <c r="I75" s="350">
        <v>1118785</v>
      </c>
      <c r="J75" s="350">
        <v>1180292</v>
      </c>
      <c r="K75" s="350">
        <v>1168959</v>
      </c>
      <c r="L75" s="350">
        <v>1135522</v>
      </c>
      <c r="M75" s="350">
        <v>1151481</v>
      </c>
      <c r="N75" s="350">
        <v>1150549</v>
      </c>
      <c r="O75" s="350">
        <v>1116779</v>
      </c>
      <c r="P75" s="710">
        <v>1212508</v>
      </c>
      <c r="Q75" s="710">
        <v>1179008</v>
      </c>
      <c r="R75" s="710">
        <v>1173088</v>
      </c>
      <c r="S75" s="710">
        <v>1185382</v>
      </c>
      <c r="T75" s="710">
        <v>1177893</v>
      </c>
      <c r="U75" s="567">
        <v>1214085</v>
      </c>
      <c r="V75" s="567">
        <v>1234642</v>
      </c>
      <c r="W75" s="567">
        <v>1210397</v>
      </c>
      <c r="X75" s="567">
        <v>1154005</v>
      </c>
      <c r="Y75" s="567">
        <v>1175704</v>
      </c>
      <c r="Z75" s="1540">
        <f>市町名目!B10</f>
        <v>1113960</v>
      </c>
      <c r="AA75" s="1540">
        <f>市町名目!C10</f>
        <v>1094656</v>
      </c>
      <c r="AB75" s="1540">
        <f>市町名目!D10</f>
        <v>1151557</v>
      </c>
      <c r="AC75" s="1540">
        <f>市町名目!E10</f>
        <v>1151163</v>
      </c>
      <c r="AD75" s="1540">
        <f>市町名目!F10</f>
        <v>1197785</v>
      </c>
      <c r="AE75" s="1540">
        <f>市町名目!G10</f>
        <v>1259561</v>
      </c>
      <c r="AF75" s="1540">
        <f>市町名目!H10</f>
        <v>1311666</v>
      </c>
      <c r="AG75" s="1540">
        <f>市町名目!I10</f>
        <v>1296507</v>
      </c>
      <c r="AH75" s="1540">
        <f>市町名目!J10</f>
        <v>1310283</v>
      </c>
      <c r="AI75" s="1540">
        <f>市町名目!K10</f>
        <v>1299522</v>
      </c>
      <c r="AJ75" s="1540">
        <f>市町名目!L10</f>
        <v>1319932</v>
      </c>
      <c r="AK75" s="1540">
        <f>市町名目!M10</f>
        <v>1305298</v>
      </c>
      <c r="AL75" s="1540">
        <f>市町名目!N10</f>
        <v>1356148</v>
      </c>
    </row>
    <row r="76" spans="1:38" ht="12.5">
      <c r="A76" s="267"/>
      <c r="B76" s="249">
        <v>5</v>
      </c>
      <c r="C76" s="249" t="s">
        <v>326</v>
      </c>
      <c r="D76" s="350">
        <v>2374944</v>
      </c>
      <c r="E76" s="350">
        <v>2532979</v>
      </c>
      <c r="F76" s="350">
        <v>2625167</v>
      </c>
      <c r="G76" s="350">
        <v>2626243</v>
      </c>
      <c r="H76" s="350">
        <v>2571499</v>
      </c>
      <c r="I76" s="350">
        <v>2636915</v>
      </c>
      <c r="J76" s="350">
        <v>2733950</v>
      </c>
      <c r="K76" s="350">
        <v>2713136</v>
      </c>
      <c r="L76" s="350">
        <v>2602948</v>
      </c>
      <c r="M76" s="350">
        <v>2482219</v>
      </c>
      <c r="N76" s="350">
        <v>2490309</v>
      </c>
      <c r="O76" s="350">
        <v>2377101</v>
      </c>
      <c r="P76" s="710">
        <v>2476248</v>
      </c>
      <c r="Q76" s="710">
        <v>2488978</v>
      </c>
      <c r="R76" s="710">
        <v>2486176</v>
      </c>
      <c r="S76" s="710">
        <v>2540771</v>
      </c>
      <c r="T76" s="710">
        <v>2561104</v>
      </c>
      <c r="U76" s="567">
        <v>2619517</v>
      </c>
      <c r="V76" s="567">
        <v>2667261</v>
      </c>
      <c r="W76" s="567">
        <v>2735561</v>
      </c>
      <c r="X76" s="567">
        <v>2387416</v>
      </c>
      <c r="Y76" s="567">
        <v>2558596</v>
      </c>
      <c r="Z76" s="1540">
        <f>市町名目!B11</f>
        <v>2382248</v>
      </c>
      <c r="AA76" s="1540">
        <f>市町名目!C11</f>
        <v>2318281</v>
      </c>
      <c r="AB76" s="1540">
        <f>市町名目!D11</f>
        <v>2510678</v>
      </c>
      <c r="AC76" s="1540">
        <f>市町名目!E11</f>
        <v>2534302</v>
      </c>
      <c r="AD76" s="1540">
        <f>市町名目!F11</f>
        <v>2608505</v>
      </c>
      <c r="AE76" s="1540">
        <f>市町名目!G11</f>
        <v>2670969</v>
      </c>
      <c r="AF76" s="1540">
        <f>市町名目!H11</f>
        <v>2678931</v>
      </c>
      <c r="AG76" s="1540">
        <f>市町名目!I11</f>
        <v>2674825</v>
      </c>
      <c r="AH76" s="1540">
        <f>市町名目!J11</f>
        <v>2648188</v>
      </c>
      <c r="AI76" s="1540">
        <f>市町名目!K11</f>
        <v>2592307</v>
      </c>
      <c r="AJ76" s="1540">
        <f>市町名目!L11</f>
        <v>2822650</v>
      </c>
      <c r="AK76" s="1540">
        <f>市町名目!M11</f>
        <v>2901482</v>
      </c>
      <c r="AL76" s="1540">
        <f>市町名目!N11</f>
        <v>2930515</v>
      </c>
    </row>
    <row r="77" spans="1:38" ht="12.5">
      <c r="A77" s="267"/>
      <c r="B77" s="249">
        <v>6</v>
      </c>
      <c r="C77" s="249" t="s">
        <v>327</v>
      </c>
      <c r="D77" s="350">
        <v>841062</v>
      </c>
      <c r="E77" s="350">
        <v>924502</v>
      </c>
      <c r="F77" s="350">
        <v>920204</v>
      </c>
      <c r="G77" s="350">
        <v>987501</v>
      </c>
      <c r="H77" s="350">
        <v>1003328</v>
      </c>
      <c r="I77" s="350">
        <v>1069716</v>
      </c>
      <c r="J77" s="350">
        <v>1091352</v>
      </c>
      <c r="K77" s="350">
        <v>1076205</v>
      </c>
      <c r="L77" s="350">
        <v>1056198</v>
      </c>
      <c r="M77" s="350">
        <v>1076206</v>
      </c>
      <c r="N77" s="350">
        <v>1064573</v>
      </c>
      <c r="O77" s="350">
        <v>978711</v>
      </c>
      <c r="P77" s="710">
        <v>1102427</v>
      </c>
      <c r="Q77" s="710">
        <v>1090223</v>
      </c>
      <c r="R77" s="710">
        <v>1049339</v>
      </c>
      <c r="S77" s="710">
        <v>1035054</v>
      </c>
      <c r="T77" s="710">
        <v>1001075</v>
      </c>
      <c r="U77" s="567">
        <v>1008647</v>
      </c>
      <c r="V77" s="567">
        <v>1027154</v>
      </c>
      <c r="W77" s="567">
        <v>983876</v>
      </c>
      <c r="X77" s="567">
        <v>942946</v>
      </c>
      <c r="Y77" s="567">
        <v>982580</v>
      </c>
      <c r="Z77" s="1540">
        <f>市町名目!B12</f>
        <v>955124</v>
      </c>
      <c r="AA77" s="1540">
        <f>市町名目!C12</f>
        <v>956345</v>
      </c>
      <c r="AB77" s="1540">
        <f>市町名目!D12</f>
        <v>963483</v>
      </c>
      <c r="AC77" s="1540">
        <f>市町名目!E12</f>
        <v>984203</v>
      </c>
      <c r="AD77" s="1540">
        <f>市町名目!F12</f>
        <v>1015903</v>
      </c>
      <c r="AE77" s="1540">
        <f>市町名目!G12</f>
        <v>1022521</v>
      </c>
      <c r="AF77" s="1540">
        <f>市町名目!H12</f>
        <v>1065770</v>
      </c>
      <c r="AG77" s="1540">
        <f>市町名目!I12</f>
        <v>1071203</v>
      </c>
      <c r="AH77" s="1540">
        <f>市町名目!J12</f>
        <v>1080047</v>
      </c>
      <c r="AI77" s="1540">
        <f>市町名目!K12</f>
        <v>1100471</v>
      </c>
      <c r="AJ77" s="1540">
        <f>市町名目!L12</f>
        <v>1127246</v>
      </c>
      <c r="AK77" s="1540">
        <f>市町名目!M12</f>
        <v>1110408</v>
      </c>
      <c r="AL77" s="1540">
        <f>市町名目!N12</f>
        <v>1129678</v>
      </c>
    </row>
    <row r="78" spans="1:38" ht="12.5">
      <c r="A78" s="267"/>
      <c r="B78" s="249">
        <v>7</v>
      </c>
      <c r="C78" s="249" t="s">
        <v>210</v>
      </c>
      <c r="D78" s="350">
        <v>544201</v>
      </c>
      <c r="E78" s="350">
        <v>575930</v>
      </c>
      <c r="F78" s="350">
        <v>599262</v>
      </c>
      <c r="G78" s="350">
        <v>640142</v>
      </c>
      <c r="H78" s="350">
        <v>623559</v>
      </c>
      <c r="I78" s="350">
        <v>655625</v>
      </c>
      <c r="J78" s="350">
        <v>691925</v>
      </c>
      <c r="K78" s="350">
        <v>710593</v>
      </c>
      <c r="L78" s="350">
        <v>705992</v>
      </c>
      <c r="M78" s="350">
        <v>697265</v>
      </c>
      <c r="N78" s="350">
        <v>696485</v>
      </c>
      <c r="O78" s="350">
        <v>661996</v>
      </c>
      <c r="P78" s="710">
        <v>698553</v>
      </c>
      <c r="Q78" s="710">
        <v>717542</v>
      </c>
      <c r="R78" s="710">
        <v>681602</v>
      </c>
      <c r="S78" s="710">
        <v>680158</v>
      </c>
      <c r="T78" s="710">
        <v>660508</v>
      </c>
      <c r="U78" s="567">
        <v>650836</v>
      </c>
      <c r="V78" s="567">
        <v>656544</v>
      </c>
      <c r="W78" s="567">
        <v>620840</v>
      </c>
      <c r="X78" s="567">
        <v>590862</v>
      </c>
      <c r="Y78" s="567">
        <v>593306</v>
      </c>
      <c r="Z78" s="1540">
        <f>市町名目!B13</f>
        <v>565410</v>
      </c>
      <c r="AA78" s="1540">
        <f>市町名目!C13</f>
        <v>570909</v>
      </c>
      <c r="AB78" s="1540">
        <f>市町名目!D13</f>
        <v>610691</v>
      </c>
      <c r="AC78" s="1540">
        <f>市町名目!E13</f>
        <v>612526</v>
      </c>
      <c r="AD78" s="1540">
        <f>市町名目!F13</f>
        <v>630036</v>
      </c>
      <c r="AE78" s="1540">
        <f>市町名目!G13</f>
        <v>622690</v>
      </c>
      <c r="AF78" s="1540">
        <f>市町名目!H13</f>
        <v>637010</v>
      </c>
      <c r="AG78" s="1540">
        <f>市町名目!I13</f>
        <v>625315</v>
      </c>
      <c r="AH78" s="1540">
        <f>市町名目!J13</f>
        <v>636327</v>
      </c>
      <c r="AI78" s="1540">
        <f>市町名目!K13</f>
        <v>639162</v>
      </c>
      <c r="AJ78" s="1540">
        <f>市町名目!L13</f>
        <v>604482</v>
      </c>
      <c r="AK78" s="1540">
        <f>市町名目!M13</f>
        <v>593538</v>
      </c>
      <c r="AL78" s="1540">
        <f>市町名目!N13</f>
        <v>604135</v>
      </c>
    </row>
    <row r="79" spans="1:38" ht="12.5">
      <c r="A79" s="267"/>
      <c r="B79" s="249">
        <v>8</v>
      </c>
      <c r="C79" s="249" t="s">
        <v>211</v>
      </c>
      <c r="D79" s="350">
        <v>310091</v>
      </c>
      <c r="E79" s="350">
        <v>336109</v>
      </c>
      <c r="F79" s="350">
        <v>356683</v>
      </c>
      <c r="G79" s="350">
        <v>372205</v>
      </c>
      <c r="H79" s="350">
        <v>391764</v>
      </c>
      <c r="I79" s="350">
        <v>411887</v>
      </c>
      <c r="J79" s="350">
        <v>415938</v>
      </c>
      <c r="K79" s="350">
        <v>389187</v>
      </c>
      <c r="L79" s="350">
        <v>386174</v>
      </c>
      <c r="M79" s="350">
        <v>364968</v>
      </c>
      <c r="N79" s="350">
        <v>379849</v>
      </c>
      <c r="O79" s="350">
        <v>373285</v>
      </c>
      <c r="P79" s="710">
        <v>417845</v>
      </c>
      <c r="Q79" s="710">
        <v>423193</v>
      </c>
      <c r="R79" s="710">
        <v>412250</v>
      </c>
      <c r="S79" s="710">
        <v>404197</v>
      </c>
      <c r="T79" s="710">
        <v>394029</v>
      </c>
      <c r="U79" s="567">
        <v>401533</v>
      </c>
      <c r="V79" s="567">
        <v>415088</v>
      </c>
      <c r="W79" s="567">
        <v>380952</v>
      </c>
      <c r="X79" s="567">
        <v>359639</v>
      </c>
      <c r="Y79" s="567">
        <v>369196</v>
      </c>
      <c r="Z79" s="1540">
        <f>市町名目!B14</f>
        <v>355318</v>
      </c>
      <c r="AA79" s="1540">
        <f>市町名目!C14</f>
        <v>285502</v>
      </c>
      <c r="AB79" s="1540">
        <f>市町名目!D14</f>
        <v>397845</v>
      </c>
      <c r="AC79" s="1540">
        <f>市町名目!E14</f>
        <v>391493</v>
      </c>
      <c r="AD79" s="1540">
        <f>市町名目!F14</f>
        <v>418388</v>
      </c>
      <c r="AE79" s="1540">
        <f>市町名目!G14</f>
        <v>422586</v>
      </c>
      <c r="AF79" s="1540">
        <f>市町名目!H14</f>
        <v>426693</v>
      </c>
      <c r="AG79" s="1540">
        <f>市町名目!I14</f>
        <v>438473</v>
      </c>
      <c r="AH79" s="1540">
        <f>市町名目!J14</f>
        <v>474718</v>
      </c>
      <c r="AI79" s="1540">
        <f>市町名目!K14</f>
        <v>453080</v>
      </c>
      <c r="AJ79" s="1540">
        <f>市町名目!L14</f>
        <v>460054</v>
      </c>
      <c r="AK79" s="1540">
        <f>市町名目!M14</f>
        <v>464432</v>
      </c>
      <c r="AL79" s="1540">
        <f>市町名目!N14</f>
        <v>481731</v>
      </c>
    </row>
    <row r="80" spans="1:38" ht="12.5">
      <c r="A80" s="267"/>
      <c r="B80" s="249">
        <v>9</v>
      </c>
      <c r="C80" s="249" t="s">
        <v>212</v>
      </c>
      <c r="D80" s="350">
        <v>472830</v>
      </c>
      <c r="E80" s="350">
        <v>506270</v>
      </c>
      <c r="F80" s="350">
        <v>514980</v>
      </c>
      <c r="G80" s="350">
        <v>550722</v>
      </c>
      <c r="H80" s="350">
        <v>550688</v>
      </c>
      <c r="I80" s="350">
        <v>563191</v>
      </c>
      <c r="J80" s="350">
        <v>577520</v>
      </c>
      <c r="K80" s="350">
        <v>600422</v>
      </c>
      <c r="L80" s="350">
        <v>570957</v>
      </c>
      <c r="M80" s="350">
        <v>556381</v>
      </c>
      <c r="N80" s="350">
        <v>551268</v>
      </c>
      <c r="O80" s="350">
        <v>519605</v>
      </c>
      <c r="P80" s="710">
        <v>583193</v>
      </c>
      <c r="Q80" s="710">
        <v>573697</v>
      </c>
      <c r="R80" s="710">
        <v>535946</v>
      </c>
      <c r="S80" s="710">
        <v>527508</v>
      </c>
      <c r="T80" s="710">
        <v>510263</v>
      </c>
      <c r="U80" s="567">
        <v>510481</v>
      </c>
      <c r="V80" s="567">
        <v>503552</v>
      </c>
      <c r="W80" s="567">
        <v>481250</v>
      </c>
      <c r="X80" s="567">
        <v>461709</v>
      </c>
      <c r="Y80" s="567">
        <v>471995</v>
      </c>
      <c r="Z80" s="1540">
        <f>市町名目!B15</f>
        <v>441034</v>
      </c>
      <c r="AA80" s="1540">
        <f>市町名目!C15</f>
        <v>438016</v>
      </c>
      <c r="AB80" s="1540">
        <f>市町名目!D15</f>
        <v>448165</v>
      </c>
      <c r="AC80" s="1540">
        <f>市町名目!E15</f>
        <v>443917</v>
      </c>
      <c r="AD80" s="1540">
        <f>市町名目!F15</f>
        <v>465211</v>
      </c>
      <c r="AE80" s="1540">
        <f>市町名目!G15</f>
        <v>470451</v>
      </c>
      <c r="AF80" s="1540">
        <f>市町名目!H15</f>
        <v>467945</v>
      </c>
      <c r="AG80" s="1540">
        <f>市町名目!I15</f>
        <v>465034</v>
      </c>
      <c r="AH80" s="1540">
        <f>市町名目!J15</f>
        <v>468995</v>
      </c>
      <c r="AI80" s="1540">
        <f>市町名目!K15</f>
        <v>441594</v>
      </c>
      <c r="AJ80" s="1540">
        <f>市町名目!L15</f>
        <v>452131</v>
      </c>
      <c r="AK80" s="1540">
        <f>市町名目!M15</f>
        <v>475417</v>
      </c>
      <c r="AL80" s="1540">
        <f>市町名目!N15</f>
        <v>501130</v>
      </c>
    </row>
    <row r="81" spans="1:38" ht="12.5">
      <c r="A81" s="268"/>
      <c r="B81" s="269"/>
      <c r="C81" s="269"/>
      <c r="D81" s="402"/>
      <c r="E81" s="402"/>
      <c r="F81" s="402"/>
      <c r="G81" s="402"/>
      <c r="H81" s="402"/>
      <c r="I81" s="402"/>
      <c r="J81" s="402"/>
      <c r="K81" s="402"/>
      <c r="L81" s="402"/>
      <c r="M81" s="402"/>
      <c r="N81" s="402"/>
      <c r="O81" s="402"/>
      <c r="P81" s="710" t="s">
        <v>106</v>
      </c>
      <c r="Q81" s="710" t="s">
        <v>106</v>
      </c>
      <c r="R81" s="710" t="s">
        <v>106</v>
      </c>
      <c r="S81" s="710" t="s">
        <v>106</v>
      </c>
      <c r="T81" s="710" t="s">
        <v>106</v>
      </c>
      <c r="U81" s="465"/>
      <c r="V81" s="465"/>
      <c r="W81" s="465"/>
      <c r="X81" s="465"/>
      <c r="Y81" s="465"/>
      <c r="Z81" s="1540">
        <f>市町名目!B16</f>
        <v>0</v>
      </c>
      <c r="AA81" s="1540">
        <f>市町名目!C16</f>
        <v>0</v>
      </c>
      <c r="AB81" s="1540">
        <f>市町名目!D16</f>
        <v>0</v>
      </c>
      <c r="AC81" s="1540">
        <f>市町名目!E16</f>
        <v>0</v>
      </c>
      <c r="AD81" s="1540">
        <f>市町名目!F16</f>
        <v>0</v>
      </c>
      <c r="AE81" s="1540">
        <f>市町名目!G16</f>
        <v>0</v>
      </c>
      <c r="AF81" s="1540">
        <f>市町名目!H16</f>
        <v>0</v>
      </c>
      <c r="AG81" s="1540">
        <f>市町名目!I16</f>
        <v>0</v>
      </c>
      <c r="AH81" s="1540">
        <f>市町名目!J16</f>
        <v>0</v>
      </c>
      <c r="AI81" s="1540">
        <f>市町名目!K16</f>
        <v>0</v>
      </c>
      <c r="AJ81" s="1540">
        <f>市町名目!L16</f>
        <v>0</v>
      </c>
      <c r="AK81" s="1540">
        <f>市町名目!M16</f>
        <v>0</v>
      </c>
      <c r="AL81" s="1540">
        <f>市町名目!N16</f>
        <v>0</v>
      </c>
    </row>
    <row r="82" spans="1:38" ht="12.5">
      <c r="A82" s="271" t="s">
        <v>321</v>
      </c>
      <c r="B82" s="272">
        <v>100</v>
      </c>
      <c r="C82" s="272" t="s">
        <v>172</v>
      </c>
      <c r="D82" s="403">
        <v>6067956</v>
      </c>
      <c r="E82" s="403">
        <v>6416903</v>
      </c>
      <c r="F82" s="403">
        <v>6618219</v>
      </c>
      <c r="G82" s="403">
        <v>6834375</v>
      </c>
      <c r="H82" s="403">
        <v>6670353</v>
      </c>
      <c r="I82" s="403">
        <v>6992509</v>
      </c>
      <c r="J82" s="403">
        <v>7321309</v>
      </c>
      <c r="K82" s="403">
        <v>7090683</v>
      </c>
      <c r="L82" s="403">
        <v>6903493</v>
      </c>
      <c r="M82" s="403">
        <v>6742320</v>
      </c>
      <c r="N82" s="403">
        <v>6701485</v>
      </c>
      <c r="O82" s="403">
        <v>6407686</v>
      </c>
      <c r="P82" s="710">
        <v>6318738</v>
      </c>
      <c r="Q82" s="710">
        <v>6149157</v>
      </c>
      <c r="R82" s="710">
        <v>6100559</v>
      </c>
      <c r="S82" s="710">
        <v>6165835</v>
      </c>
      <c r="T82" s="710">
        <v>6152822</v>
      </c>
      <c r="U82" s="567">
        <v>6415232.4715454327</v>
      </c>
      <c r="V82" s="567">
        <v>6571273.4562265221</v>
      </c>
      <c r="W82" s="567">
        <v>6483844.0862666573</v>
      </c>
      <c r="X82" s="567">
        <v>6278641.3376351334</v>
      </c>
      <c r="Y82" s="567">
        <v>6573384.0641885241</v>
      </c>
      <c r="Z82" s="1540">
        <f>市町名目!B17</f>
        <v>6432390.8070388446</v>
      </c>
      <c r="AA82" s="1540">
        <f>市町名目!C17</f>
        <v>6348572</v>
      </c>
      <c r="AB82" s="1540">
        <f>市町名目!D17</f>
        <v>6421649</v>
      </c>
      <c r="AC82" s="1540">
        <f>市町名目!E17</f>
        <v>6542948</v>
      </c>
      <c r="AD82" s="1540">
        <f>市町名目!F17</f>
        <v>6861821</v>
      </c>
      <c r="AE82" s="1540">
        <f>市町名目!G17</f>
        <v>6885364</v>
      </c>
      <c r="AF82" s="1540">
        <f>市町名目!H17</f>
        <v>6983569</v>
      </c>
      <c r="AG82" s="1540">
        <f>市町名目!I17</f>
        <v>6950990</v>
      </c>
      <c r="AH82" s="1540">
        <f>市町名目!J17</f>
        <v>7083806</v>
      </c>
      <c r="AI82" s="1540">
        <f>市町名目!K17</f>
        <v>6827769</v>
      </c>
      <c r="AJ82" s="1540">
        <f>市町名目!L17</f>
        <v>6947990</v>
      </c>
      <c r="AK82" s="1540">
        <f>市町名目!M17</f>
        <v>7287424</v>
      </c>
      <c r="AL82" s="1540">
        <f>市町名目!N17</f>
        <v>7529880</v>
      </c>
    </row>
    <row r="83" spans="1:38" ht="12.5">
      <c r="A83" s="273" t="s">
        <v>341</v>
      </c>
      <c r="B83" s="270">
        <v>1</v>
      </c>
      <c r="C83" s="270" t="s">
        <v>328</v>
      </c>
      <c r="D83" s="349">
        <v>3125545</v>
      </c>
      <c r="E83" s="349">
        <v>3190427</v>
      </c>
      <c r="F83" s="349">
        <v>3207887</v>
      </c>
      <c r="G83" s="349">
        <v>3201428</v>
      </c>
      <c r="H83" s="349">
        <v>3153339</v>
      </c>
      <c r="I83" s="349">
        <v>3435002</v>
      </c>
      <c r="J83" s="349">
        <v>3499138</v>
      </c>
      <c r="K83" s="349">
        <v>3329135</v>
      </c>
      <c r="L83" s="349">
        <v>3051295</v>
      </c>
      <c r="M83" s="349">
        <v>2869443</v>
      </c>
      <c r="N83" s="349">
        <v>2919217</v>
      </c>
      <c r="O83" s="349">
        <v>2794660</v>
      </c>
      <c r="P83" s="710">
        <v>3096571</v>
      </c>
      <c r="Q83" s="710">
        <v>2973093</v>
      </c>
      <c r="R83" s="710">
        <v>2945709</v>
      </c>
      <c r="S83" s="710">
        <v>2986248</v>
      </c>
      <c r="T83" s="710">
        <v>3027382</v>
      </c>
      <c r="U83" s="567">
        <v>3199322</v>
      </c>
      <c r="V83" s="567">
        <v>3309813</v>
      </c>
      <c r="W83" s="567">
        <v>3185261</v>
      </c>
      <c r="X83" s="567">
        <v>3008958</v>
      </c>
      <c r="Y83" s="567">
        <v>3282302</v>
      </c>
      <c r="Z83" s="1540">
        <f>市町名目!B18</f>
        <v>3245720</v>
      </c>
      <c r="AA83" s="1540">
        <f>市町名目!C18</f>
        <v>3169353</v>
      </c>
      <c r="AB83" s="1540">
        <f>市町名目!D18</f>
        <v>3309950</v>
      </c>
      <c r="AC83" s="1540">
        <f>市町名目!E18</f>
        <v>3308965</v>
      </c>
      <c r="AD83" s="1540">
        <f>市町名目!F18</f>
        <v>3538433</v>
      </c>
      <c r="AE83" s="1540">
        <f>市町名目!G18</f>
        <v>3558388</v>
      </c>
      <c r="AF83" s="1540">
        <f>市町名目!H18</f>
        <v>3670272</v>
      </c>
      <c r="AG83" s="1540">
        <f>市町名目!I18</f>
        <v>3642087</v>
      </c>
      <c r="AH83" s="1540">
        <f>市町名目!J18</f>
        <v>3695848</v>
      </c>
      <c r="AI83" s="1540">
        <f>市町名目!K18</f>
        <v>3523512</v>
      </c>
      <c r="AJ83" s="1540">
        <f>市町名目!L18</f>
        <v>3696176</v>
      </c>
      <c r="AK83" s="1540">
        <f>市町名目!M18</f>
        <v>3765146</v>
      </c>
      <c r="AL83" s="1540">
        <f>市町名目!N18</f>
        <v>3908745</v>
      </c>
    </row>
    <row r="84" spans="1:38" ht="12.5">
      <c r="A84" s="267"/>
      <c r="B84" s="249">
        <v>202</v>
      </c>
      <c r="C84" s="249" t="s">
        <v>183</v>
      </c>
      <c r="D84" s="350">
        <v>1870137</v>
      </c>
      <c r="E84" s="350">
        <v>1924857</v>
      </c>
      <c r="F84" s="350">
        <v>1944113</v>
      </c>
      <c r="G84" s="350">
        <v>1962413</v>
      </c>
      <c r="H84" s="350">
        <v>1933899</v>
      </c>
      <c r="I84" s="350">
        <v>1983862</v>
      </c>
      <c r="J84" s="350">
        <v>2002074</v>
      </c>
      <c r="K84" s="350">
        <v>1920357</v>
      </c>
      <c r="L84" s="350">
        <v>1732157</v>
      </c>
      <c r="M84" s="350">
        <v>1607093</v>
      </c>
      <c r="N84" s="350">
        <v>1651015</v>
      </c>
      <c r="O84" s="350">
        <v>1573902</v>
      </c>
      <c r="P84" s="710">
        <v>1698748</v>
      </c>
      <c r="Q84" s="710">
        <v>1583439</v>
      </c>
      <c r="R84" s="710">
        <v>1555216</v>
      </c>
      <c r="S84" s="710">
        <v>1602687</v>
      </c>
      <c r="T84" s="710">
        <v>1666125</v>
      </c>
      <c r="U84" s="567">
        <v>1800655</v>
      </c>
      <c r="V84" s="567">
        <v>1877570</v>
      </c>
      <c r="W84" s="567">
        <v>1758914</v>
      </c>
      <c r="X84" s="567">
        <v>1647794</v>
      </c>
      <c r="Y84" s="567">
        <v>1838825</v>
      </c>
      <c r="Z84" s="1540">
        <f>市町名目!B19</f>
        <v>1752589</v>
      </c>
      <c r="AA84" s="1540">
        <f>市町名目!C19</f>
        <v>1692374</v>
      </c>
      <c r="AB84" s="1540">
        <f>市町名目!D19</f>
        <v>1753411</v>
      </c>
      <c r="AC84" s="1540">
        <f>市町名目!E19</f>
        <v>1775377</v>
      </c>
      <c r="AD84" s="1540">
        <f>市町名目!F19</f>
        <v>1891559</v>
      </c>
      <c r="AE84" s="1540">
        <f>市町名目!G19</f>
        <v>1932353</v>
      </c>
      <c r="AF84" s="1540">
        <f>市町名目!H19</f>
        <v>1995954</v>
      </c>
      <c r="AG84" s="1540">
        <f>市町名目!I19</f>
        <v>1971785</v>
      </c>
      <c r="AH84" s="1540">
        <f>市町名目!J19</f>
        <v>2011427</v>
      </c>
      <c r="AI84" s="1540">
        <f>市町名目!K19</f>
        <v>1878775</v>
      </c>
      <c r="AJ84" s="1540">
        <f>市町名目!L19</f>
        <v>2011734</v>
      </c>
      <c r="AK84" s="1540">
        <f>市町名目!M19</f>
        <v>2057005</v>
      </c>
      <c r="AL84" s="1540">
        <f>市町名目!N19</f>
        <v>2136572</v>
      </c>
    </row>
    <row r="85" spans="1:38" ht="12.5">
      <c r="A85" s="267"/>
      <c r="B85" s="249">
        <v>204</v>
      </c>
      <c r="C85" s="249" t="s">
        <v>184</v>
      </c>
      <c r="D85" s="350">
        <v>1074988</v>
      </c>
      <c r="E85" s="350">
        <v>1090981</v>
      </c>
      <c r="F85" s="350">
        <v>1099946</v>
      </c>
      <c r="G85" s="350">
        <v>1073480</v>
      </c>
      <c r="H85" s="350">
        <v>1056795</v>
      </c>
      <c r="I85" s="350">
        <v>1248204</v>
      </c>
      <c r="J85" s="350">
        <v>1286766</v>
      </c>
      <c r="K85" s="350">
        <v>1221397</v>
      </c>
      <c r="L85" s="350">
        <v>1128510</v>
      </c>
      <c r="M85" s="350">
        <v>1082042</v>
      </c>
      <c r="N85" s="350">
        <v>1076034</v>
      </c>
      <c r="O85" s="350">
        <v>1032893</v>
      </c>
      <c r="P85" s="710">
        <v>1196590</v>
      </c>
      <c r="Q85" s="710">
        <v>1194433</v>
      </c>
      <c r="R85" s="710">
        <v>1198301</v>
      </c>
      <c r="S85" s="710">
        <v>1185231</v>
      </c>
      <c r="T85" s="710">
        <v>1168731</v>
      </c>
      <c r="U85" s="567">
        <v>1195720</v>
      </c>
      <c r="V85" s="567">
        <v>1227896</v>
      </c>
      <c r="W85" s="567">
        <v>1225667</v>
      </c>
      <c r="X85" s="567">
        <v>1162758</v>
      </c>
      <c r="Y85" s="567">
        <v>1231384</v>
      </c>
      <c r="Z85" s="1540">
        <f>市町名目!B20</f>
        <v>1287120</v>
      </c>
      <c r="AA85" s="1540">
        <f>市町名目!C20</f>
        <v>1270506</v>
      </c>
      <c r="AB85" s="1540">
        <f>市町名目!D20</f>
        <v>1335513</v>
      </c>
      <c r="AC85" s="1540">
        <f>市町名目!E20</f>
        <v>1324680</v>
      </c>
      <c r="AD85" s="1540">
        <f>市町名目!F20</f>
        <v>1411171</v>
      </c>
      <c r="AE85" s="1540">
        <f>市町名目!G20</f>
        <v>1403765</v>
      </c>
      <c r="AF85" s="1540">
        <f>市町名目!H20</f>
        <v>1442289</v>
      </c>
      <c r="AG85" s="1540">
        <f>市町名目!I20</f>
        <v>1446183</v>
      </c>
      <c r="AH85" s="1540">
        <f>市町名目!J20</f>
        <v>1451518</v>
      </c>
      <c r="AI85" s="1540">
        <f>市町名目!K20</f>
        <v>1416580</v>
      </c>
      <c r="AJ85" s="1540">
        <f>市町名目!L20</f>
        <v>1451238</v>
      </c>
      <c r="AK85" s="1540">
        <f>市町名目!M20</f>
        <v>1470374</v>
      </c>
      <c r="AL85" s="1540">
        <f>市町名目!N20</f>
        <v>1519935</v>
      </c>
    </row>
    <row r="86" spans="1:38" ht="12.5">
      <c r="A86" s="268"/>
      <c r="B86" s="269">
        <v>206</v>
      </c>
      <c r="C86" s="269" t="s">
        <v>185</v>
      </c>
      <c r="D86" s="402">
        <v>180420</v>
      </c>
      <c r="E86" s="402">
        <v>174589</v>
      </c>
      <c r="F86" s="402">
        <v>163828</v>
      </c>
      <c r="G86" s="402">
        <v>165535</v>
      </c>
      <c r="H86" s="402">
        <v>162645</v>
      </c>
      <c r="I86" s="402">
        <v>202936</v>
      </c>
      <c r="J86" s="402">
        <v>210298</v>
      </c>
      <c r="K86" s="402">
        <v>187381</v>
      </c>
      <c r="L86" s="402">
        <v>190628</v>
      </c>
      <c r="M86" s="402">
        <v>180308</v>
      </c>
      <c r="N86" s="402">
        <v>192168</v>
      </c>
      <c r="O86" s="402">
        <v>187865</v>
      </c>
      <c r="P86" s="710">
        <v>201233</v>
      </c>
      <c r="Q86" s="710">
        <v>195221</v>
      </c>
      <c r="R86" s="710">
        <v>192192</v>
      </c>
      <c r="S86" s="710">
        <v>198330</v>
      </c>
      <c r="T86" s="710">
        <v>192526</v>
      </c>
      <c r="U86" s="567">
        <v>202947</v>
      </c>
      <c r="V86" s="567">
        <v>204347</v>
      </c>
      <c r="W86" s="567">
        <v>200680</v>
      </c>
      <c r="X86" s="567">
        <v>198406</v>
      </c>
      <c r="Y86" s="567">
        <v>212093</v>
      </c>
      <c r="Z86" s="1540">
        <f>市町名目!B21</f>
        <v>206011</v>
      </c>
      <c r="AA86" s="1540">
        <f>市町名目!C21</f>
        <v>206473</v>
      </c>
      <c r="AB86" s="1540">
        <f>市町名目!D21</f>
        <v>221026</v>
      </c>
      <c r="AC86" s="1540">
        <f>市町名目!E21</f>
        <v>208908</v>
      </c>
      <c r="AD86" s="1540">
        <f>市町名目!F21</f>
        <v>235703</v>
      </c>
      <c r="AE86" s="1540">
        <f>市町名目!G21</f>
        <v>222270</v>
      </c>
      <c r="AF86" s="1540">
        <f>市町名目!H21</f>
        <v>232029</v>
      </c>
      <c r="AG86" s="1540">
        <f>市町名目!I21</f>
        <v>224119</v>
      </c>
      <c r="AH86" s="1540">
        <f>市町名目!J21</f>
        <v>232903</v>
      </c>
      <c r="AI86" s="1540">
        <f>市町名目!K21</f>
        <v>228157</v>
      </c>
      <c r="AJ86" s="1540">
        <f>市町名目!L21</f>
        <v>233204</v>
      </c>
      <c r="AK86" s="1540">
        <f>市町名目!M21</f>
        <v>237767</v>
      </c>
      <c r="AL86" s="1540">
        <f>市町名目!N21</f>
        <v>252238</v>
      </c>
    </row>
    <row r="87" spans="1:38" ht="12.5">
      <c r="A87" s="267" t="s">
        <v>342</v>
      </c>
      <c r="B87" s="249">
        <v>2</v>
      </c>
      <c r="C87" s="249" t="s">
        <v>324</v>
      </c>
      <c r="D87" s="350">
        <v>1576950</v>
      </c>
      <c r="E87" s="350">
        <v>1655457</v>
      </c>
      <c r="F87" s="350">
        <v>1683814</v>
      </c>
      <c r="G87" s="350">
        <v>1738581</v>
      </c>
      <c r="H87" s="350">
        <v>1658927</v>
      </c>
      <c r="I87" s="350">
        <v>1825374</v>
      </c>
      <c r="J87" s="350">
        <v>1875970</v>
      </c>
      <c r="K87" s="350">
        <v>1907783</v>
      </c>
      <c r="L87" s="350">
        <v>1867085</v>
      </c>
      <c r="M87" s="350">
        <v>1786138</v>
      </c>
      <c r="N87" s="350">
        <v>1794899</v>
      </c>
      <c r="O87" s="350">
        <v>1724854</v>
      </c>
      <c r="P87" s="710">
        <v>1798170</v>
      </c>
      <c r="Q87" s="710">
        <v>1762877</v>
      </c>
      <c r="R87" s="710">
        <v>1773838</v>
      </c>
      <c r="S87" s="710">
        <v>1816741</v>
      </c>
      <c r="T87" s="710">
        <v>1845893</v>
      </c>
      <c r="U87" s="567">
        <v>1935311</v>
      </c>
      <c r="V87" s="567">
        <v>1974712</v>
      </c>
      <c r="W87" s="567">
        <v>1887877</v>
      </c>
      <c r="X87" s="567">
        <v>1790341</v>
      </c>
      <c r="Y87" s="567">
        <v>1877813</v>
      </c>
      <c r="Z87" s="1540">
        <f>市町名目!B22</f>
        <v>1916235</v>
      </c>
      <c r="AA87" s="1540">
        <f>市町名目!C22</f>
        <v>1951839</v>
      </c>
      <c r="AB87" s="1540">
        <f>市町名目!D22</f>
        <v>1969036</v>
      </c>
      <c r="AC87" s="1540">
        <f>市町名目!E22</f>
        <v>1950165</v>
      </c>
      <c r="AD87" s="1540">
        <f>市町名目!F22</f>
        <v>2053609</v>
      </c>
      <c r="AE87" s="1540">
        <f>市町名目!G22</f>
        <v>2143401</v>
      </c>
      <c r="AF87" s="1540">
        <f>市町名目!H22</f>
        <v>2115268</v>
      </c>
      <c r="AG87" s="1540">
        <f>市町名目!I22</f>
        <v>2107783</v>
      </c>
      <c r="AH87" s="1540">
        <f>市町名目!J22</f>
        <v>2072364</v>
      </c>
      <c r="AI87" s="1540">
        <f>市町名目!K22</f>
        <v>2047222</v>
      </c>
      <c r="AJ87" s="1540">
        <f>市町名目!L22</f>
        <v>2206039</v>
      </c>
      <c r="AK87" s="1540">
        <f>市町名目!M22</f>
        <v>2267467</v>
      </c>
      <c r="AL87" s="1540">
        <f>市町名目!N22</f>
        <v>2397898</v>
      </c>
    </row>
    <row r="88" spans="1:38" ht="12.5">
      <c r="A88" s="267"/>
      <c r="B88" s="249">
        <v>207</v>
      </c>
      <c r="C88" s="249" t="s">
        <v>187</v>
      </c>
      <c r="D88" s="350">
        <v>628292</v>
      </c>
      <c r="E88" s="350">
        <v>660955</v>
      </c>
      <c r="F88" s="350">
        <v>654292</v>
      </c>
      <c r="G88" s="350">
        <v>655458</v>
      </c>
      <c r="H88" s="350">
        <v>607453</v>
      </c>
      <c r="I88" s="350">
        <v>658742</v>
      </c>
      <c r="J88" s="350">
        <v>673654</v>
      </c>
      <c r="K88" s="350">
        <v>655073</v>
      </c>
      <c r="L88" s="350">
        <v>629713</v>
      </c>
      <c r="M88" s="350">
        <v>592114</v>
      </c>
      <c r="N88" s="350">
        <v>588712</v>
      </c>
      <c r="O88" s="350">
        <v>576619</v>
      </c>
      <c r="P88" s="710">
        <v>600885</v>
      </c>
      <c r="Q88" s="710">
        <v>558218</v>
      </c>
      <c r="R88" s="710">
        <v>562522</v>
      </c>
      <c r="S88" s="710">
        <v>603339</v>
      </c>
      <c r="T88" s="710">
        <v>637910</v>
      </c>
      <c r="U88" s="567">
        <v>673746</v>
      </c>
      <c r="V88" s="567">
        <v>696539</v>
      </c>
      <c r="W88" s="567">
        <v>638212</v>
      </c>
      <c r="X88" s="567">
        <v>574703</v>
      </c>
      <c r="Y88" s="567">
        <v>615166</v>
      </c>
      <c r="Z88" s="1540">
        <f>市町名目!B23</f>
        <v>639450</v>
      </c>
      <c r="AA88" s="1540">
        <f>市町名目!C23</f>
        <v>636622</v>
      </c>
      <c r="AB88" s="1540">
        <f>市町名目!D23</f>
        <v>670849</v>
      </c>
      <c r="AC88" s="1540">
        <f>市町名目!E23</f>
        <v>676888</v>
      </c>
      <c r="AD88" s="1540">
        <f>市町名目!F23</f>
        <v>694796</v>
      </c>
      <c r="AE88" s="1540">
        <f>市町名目!G23</f>
        <v>730525</v>
      </c>
      <c r="AF88" s="1540">
        <f>市町名目!H23</f>
        <v>710880</v>
      </c>
      <c r="AG88" s="1540">
        <f>市町名目!I23</f>
        <v>706440</v>
      </c>
      <c r="AH88" s="1540">
        <f>市町名目!J23</f>
        <v>699526</v>
      </c>
      <c r="AI88" s="1540">
        <f>市町名目!K23</f>
        <v>708582</v>
      </c>
      <c r="AJ88" s="1540">
        <f>市町名目!L23</f>
        <v>779947</v>
      </c>
      <c r="AK88" s="1540">
        <f>市町名目!M23</f>
        <v>783875</v>
      </c>
      <c r="AL88" s="1540">
        <f>市町名目!N23</f>
        <v>808108</v>
      </c>
    </row>
    <row r="89" spans="1:38" ht="12.5">
      <c r="A89" s="267"/>
      <c r="B89" s="249">
        <v>214</v>
      </c>
      <c r="C89" s="249" t="s">
        <v>188</v>
      </c>
      <c r="D89" s="350">
        <v>441337</v>
      </c>
      <c r="E89" s="350">
        <v>420329</v>
      </c>
      <c r="F89" s="350">
        <v>419375</v>
      </c>
      <c r="G89" s="350">
        <v>455848</v>
      </c>
      <c r="H89" s="350">
        <v>423489</v>
      </c>
      <c r="I89" s="350">
        <v>490610</v>
      </c>
      <c r="J89" s="350">
        <v>493955</v>
      </c>
      <c r="K89" s="350">
        <v>483776</v>
      </c>
      <c r="L89" s="350">
        <v>465486</v>
      </c>
      <c r="M89" s="350">
        <v>465185</v>
      </c>
      <c r="N89" s="350">
        <v>456573</v>
      </c>
      <c r="O89" s="350">
        <v>427748</v>
      </c>
      <c r="P89" s="710">
        <v>444855</v>
      </c>
      <c r="Q89" s="710">
        <v>434845</v>
      </c>
      <c r="R89" s="710">
        <v>449666</v>
      </c>
      <c r="S89" s="710">
        <v>451212</v>
      </c>
      <c r="T89" s="710">
        <v>448121</v>
      </c>
      <c r="U89" s="567">
        <v>475272</v>
      </c>
      <c r="V89" s="567">
        <v>460345</v>
      </c>
      <c r="W89" s="567">
        <v>453986</v>
      </c>
      <c r="X89" s="567">
        <v>456888</v>
      </c>
      <c r="Y89" s="567">
        <v>454799</v>
      </c>
      <c r="Z89" s="1540">
        <f>市町名目!B24</f>
        <v>450860</v>
      </c>
      <c r="AA89" s="1540">
        <f>市町名目!C24</f>
        <v>453519</v>
      </c>
      <c r="AB89" s="1540">
        <f>市町名目!D24</f>
        <v>468431</v>
      </c>
      <c r="AC89" s="1540">
        <f>市町名目!E24</f>
        <v>466094</v>
      </c>
      <c r="AD89" s="1540">
        <f>市町名目!F24</f>
        <v>488652</v>
      </c>
      <c r="AE89" s="1540">
        <f>市町名目!G24</f>
        <v>490527</v>
      </c>
      <c r="AF89" s="1540">
        <f>市町名目!H24</f>
        <v>494082</v>
      </c>
      <c r="AG89" s="1540">
        <f>市町名目!I24</f>
        <v>500797</v>
      </c>
      <c r="AH89" s="1540">
        <f>市町名目!J24</f>
        <v>496141</v>
      </c>
      <c r="AI89" s="1540">
        <f>市町名目!K24</f>
        <v>479974</v>
      </c>
      <c r="AJ89" s="1540">
        <f>市町名目!L24</f>
        <v>497227</v>
      </c>
      <c r="AK89" s="1540">
        <f>市町名目!M24</f>
        <v>507141</v>
      </c>
      <c r="AL89" s="1540">
        <f>市町名目!N24</f>
        <v>524511</v>
      </c>
    </row>
    <row r="90" spans="1:38" ht="12.5">
      <c r="A90" s="267"/>
      <c r="B90" s="249">
        <v>217</v>
      </c>
      <c r="C90" s="249" t="s">
        <v>189</v>
      </c>
      <c r="D90" s="350">
        <v>244007</v>
      </c>
      <c r="E90" s="350">
        <v>261854</v>
      </c>
      <c r="F90" s="350">
        <v>278596</v>
      </c>
      <c r="G90" s="350">
        <v>278553</v>
      </c>
      <c r="H90" s="350">
        <v>273395</v>
      </c>
      <c r="I90" s="350">
        <v>300175</v>
      </c>
      <c r="J90" s="350">
        <v>310596</v>
      </c>
      <c r="K90" s="350">
        <v>331866</v>
      </c>
      <c r="L90" s="350">
        <v>323120</v>
      </c>
      <c r="M90" s="350">
        <v>302765</v>
      </c>
      <c r="N90" s="350">
        <v>310275</v>
      </c>
      <c r="O90" s="350">
        <v>309491</v>
      </c>
      <c r="P90" s="710">
        <v>328193</v>
      </c>
      <c r="Q90" s="710">
        <v>321452</v>
      </c>
      <c r="R90" s="710">
        <v>317679</v>
      </c>
      <c r="S90" s="710">
        <v>315841</v>
      </c>
      <c r="T90" s="710">
        <v>312206</v>
      </c>
      <c r="U90" s="567">
        <v>313959</v>
      </c>
      <c r="V90" s="567">
        <v>321606</v>
      </c>
      <c r="W90" s="567">
        <v>310946</v>
      </c>
      <c r="X90" s="567">
        <v>300112</v>
      </c>
      <c r="Y90" s="567">
        <v>315365</v>
      </c>
      <c r="Z90" s="1540">
        <f>市町名目!B25</f>
        <v>322287</v>
      </c>
      <c r="AA90" s="1540">
        <f>市町名目!C25</f>
        <v>334721</v>
      </c>
      <c r="AB90" s="1540">
        <f>市町名目!D25</f>
        <v>324653</v>
      </c>
      <c r="AC90" s="1540">
        <f>市町名目!E25</f>
        <v>329234</v>
      </c>
      <c r="AD90" s="1540">
        <f>市町名目!F25</f>
        <v>334662</v>
      </c>
      <c r="AE90" s="1540">
        <f>市町名目!G25</f>
        <v>341864</v>
      </c>
      <c r="AF90" s="1540">
        <f>市町名目!H25</f>
        <v>349402</v>
      </c>
      <c r="AG90" s="1540">
        <f>市町名目!I25</f>
        <v>359555</v>
      </c>
      <c r="AH90" s="1540">
        <f>市町名目!J25</f>
        <v>357084</v>
      </c>
      <c r="AI90" s="1540">
        <f>市町名目!K25</f>
        <v>345655</v>
      </c>
      <c r="AJ90" s="1540">
        <f>市町名目!L25</f>
        <v>353632</v>
      </c>
      <c r="AK90" s="1540">
        <f>市町名目!M25</f>
        <v>361724</v>
      </c>
      <c r="AL90" s="1540">
        <f>市町名目!N25</f>
        <v>376258</v>
      </c>
    </row>
    <row r="91" spans="1:38" ht="12.5">
      <c r="A91" s="267"/>
      <c r="B91" s="249">
        <v>219</v>
      </c>
      <c r="C91" s="249" t="s">
        <v>190</v>
      </c>
      <c r="D91" s="350">
        <v>221542</v>
      </c>
      <c r="E91" s="350">
        <v>268571</v>
      </c>
      <c r="F91" s="350">
        <v>285567</v>
      </c>
      <c r="G91" s="350">
        <v>302023</v>
      </c>
      <c r="H91" s="350">
        <v>302741</v>
      </c>
      <c r="I91" s="350">
        <v>324716</v>
      </c>
      <c r="J91" s="350">
        <v>345876</v>
      </c>
      <c r="K91" s="350">
        <v>373083</v>
      </c>
      <c r="L91" s="350">
        <v>387609</v>
      </c>
      <c r="M91" s="350">
        <v>367744</v>
      </c>
      <c r="N91" s="350">
        <v>376702</v>
      </c>
      <c r="O91" s="350">
        <v>350114</v>
      </c>
      <c r="P91" s="710">
        <v>365939</v>
      </c>
      <c r="Q91" s="710">
        <v>389572</v>
      </c>
      <c r="R91" s="710">
        <v>382217</v>
      </c>
      <c r="S91" s="710">
        <v>391057</v>
      </c>
      <c r="T91" s="710">
        <v>387400</v>
      </c>
      <c r="U91" s="567">
        <v>407103</v>
      </c>
      <c r="V91" s="567">
        <v>434118</v>
      </c>
      <c r="W91" s="567">
        <v>423870</v>
      </c>
      <c r="X91" s="567">
        <v>399356</v>
      </c>
      <c r="Y91" s="567">
        <v>432201</v>
      </c>
      <c r="Z91" s="1540">
        <f>市町名目!B26</f>
        <v>442677</v>
      </c>
      <c r="AA91" s="1540">
        <f>市町名目!C26</f>
        <v>466383</v>
      </c>
      <c r="AB91" s="1540">
        <f>市町名目!D26</f>
        <v>442900</v>
      </c>
      <c r="AC91" s="1540">
        <f>市町名目!E26</f>
        <v>415559</v>
      </c>
      <c r="AD91" s="1540">
        <f>市町名目!F26</f>
        <v>470402</v>
      </c>
      <c r="AE91" s="1540">
        <f>市町名目!G26</f>
        <v>516303</v>
      </c>
      <c r="AF91" s="1540">
        <f>市町名目!H26</f>
        <v>494336</v>
      </c>
      <c r="AG91" s="1540">
        <f>市町名目!I26</f>
        <v>478020</v>
      </c>
      <c r="AH91" s="1540">
        <f>市町名目!J26</f>
        <v>456238</v>
      </c>
      <c r="AI91" s="1540">
        <f>市町名目!K26</f>
        <v>450240</v>
      </c>
      <c r="AJ91" s="1540">
        <f>市町名目!L26</f>
        <v>510967</v>
      </c>
      <c r="AK91" s="1540">
        <f>市町名目!M26</f>
        <v>550341</v>
      </c>
      <c r="AL91" s="1540">
        <f>市町名目!N26</f>
        <v>621907</v>
      </c>
    </row>
    <row r="92" spans="1:38" ht="12.5">
      <c r="A92" s="267"/>
      <c r="B92" s="249">
        <v>301</v>
      </c>
      <c r="C92" s="249" t="s">
        <v>191</v>
      </c>
      <c r="D92" s="350">
        <v>41772</v>
      </c>
      <c r="E92" s="350">
        <v>43748</v>
      </c>
      <c r="F92" s="350">
        <v>45984</v>
      </c>
      <c r="G92" s="350">
        <v>46699</v>
      </c>
      <c r="H92" s="350">
        <v>51849</v>
      </c>
      <c r="I92" s="350">
        <v>51131</v>
      </c>
      <c r="J92" s="350">
        <v>51889</v>
      </c>
      <c r="K92" s="350">
        <v>63985</v>
      </c>
      <c r="L92" s="350">
        <v>61157</v>
      </c>
      <c r="M92" s="350">
        <v>58330</v>
      </c>
      <c r="N92" s="350">
        <v>62637</v>
      </c>
      <c r="O92" s="350">
        <v>60882</v>
      </c>
      <c r="P92" s="710">
        <v>58298</v>
      </c>
      <c r="Q92" s="710">
        <v>58790</v>
      </c>
      <c r="R92" s="710">
        <v>61754</v>
      </c>
      <c r="S92" s="710">
        <v>55292</v>
      </c>
      <c r="T92" s="710">
        <v>60256</v>
      </c>
      <c r="U92" s="567">
        <v>65231</v>
      </c>
      <c r="V92" s="567">
        <v>62104</v>
      </c>
      <c r="W92" s="567">
        <v>60863</v>
      </c>
      <c r="X92" s="567">
        <v>59282</v>
      </c>
      <c r="Y92" s="567">
        <v>60282</v>
      </c>
      <c r="Z92" s="1540">
        <f>市町名目!B27</f>
        <v>60961</v>
      </c>
      <c r="AA92" s="1540">
        <f>市町名目!C27</f>
        <v>60594</v>
      </c>
      <c r="AB92" s="1540">
        <f>市町名目!D27</f>
        <v>62203</v>
      </c>
      <c r="AC92" s="1540">
        <f>市町名目!E27</f>
        <v>62390</v>
      </c>
      <c r="AD92" s="1540">
        <f>市町名目!F27</f>
        <v>65097</v>
      </c>
      <c r="AE92" s="1540">
        <f>市町名目!G27</f>
        <v>64182</v>
      </c>
      <c r="AF92" s="1540">
        <f>市町名目!H27</f>
        <v>66568</v>
      </c>
      <c r="AG92" s="1540">
        <f>市町名目!I27</f>
        <v>62971</v>
      </c>
      <c r="AH92" s="1540">
        <f>市町名目!J27</f>
        <v>63375</v>
      </c>
      <c r="AI92" s="1540">
        <f>市町名目!K27</f>
        <v>62771</v>
      </c>
      <c r="AJ92" s="1540">
        <f>市町名目!L27</f>
        <v>64266</v>
      </c>
      <c r="AK92" s="1540">
        <f>市町名目!M27</f>
        <v>64386</v>
      </c>
      <c r="AL92" s="1540">
        <f>市町名目!N27</f>
        <v>67114</v>
      </c>
    </row>
    <row r="93" spans="1:38" ht="12.5">
      <c r="A93" s="273" t="s">
        <v>343</v>
      </c>
      <c r="B93" s="270">
        <v>3</v>
      </c>
      <c r="C93" s="270" t="s">
        <v>192</v>
      </c>
      <c r="D93" s="349">
        <v>2367397</v>
      </c>
      <c r="E93" s="349">
        <v>2523776</v>
      </c>
      <c r="F93" s="349">
        <v>2478690</v>
      </c>
      <c r="G93" s="349">
        <v>2523951</v>
      </c>
      <c r="H93" s="349">
        <v>2477201</v>
      </c>
      <c r="I93" s="349">
        <v>2665683</v>
      </c>
      <c r="J93" s="349">
        <v>2738032</v>
      </c>
      <c r="K93" s="349">
        <v>2746550</v>
      </c>
      <c r="L93" s="349">
        <v>2604519</v>
      </c>
      <c r="M93" s="349">
        <v>2546275</v>
      </c>
      <c r="N93" s="349">
        <v>2587981</v>
      </c>
      <c r="O93" s="349">
        <v>2354473</v>
      </c>
      <c r="P93" s="710">
        <v>2559714</v>
      </c>
      <c r="Q93" s="710">
        <v>2617974</v>
      </c>
      <c r="R93" s="710">
        <v>2634526</v>
      </c>
      <c r="S93" s="710">
        <v>2668198</v>
      </c>
      <c r="T93" s="710">
        <v>2689288</v>
      </c>
      <c r="U93" s="567">
        <v>2865707</v>
      </c>
      <c r="V93" s="567">
        <v>3019946</v>
      </c>
      <c r="W93" s="567">
        <v>3019416</v>
      </c>
      <c r="X93" s="567">
        <v>2601206</v>
      </c>
      <c r="Y93" s="567">
        <v>2721170</v>
      </c>
      <c r="Z93" s="1540">
        <f>市町名目!B28</f>
        <v>2589684</v>
      </c>
      <c r="AA93" s="1540">
        <f>市町名目!C28</f>
        <v>2742033</v>
      </c>
      <c r="AB93" s="1540">
        <f>市町名目!D28</f>
        <v>2788089</v>
      </c>
      <c r="AC93" s="1540">
        <f>市町名目!E28</f>
        <v>2821463</v>
      </c>
      <c r="AD93" s="1540">
        <f>市町名目!F28</f>
        <v>2957502</v>
      </c>
      <c r="AE93" s="1540">
        <f>市町名目!G28</f>
        <v>2909491</v>
      </c>
      <c r="AF93" s="1540">
        <f>市町名目!H28</f>
        <v>2926149</v>
      </c>
      <c r="AG93" s="1540">
        <f>市町名目!I28</f>
        <v>2965443</v>
      </c>
      <c r="AH93" s="1540">
        <f>市町名目!J28</f>
        <v>3002259</v>
      </c>
      <c r="AI93" s="1540">
        <f>市町名目!K28</f>
        <v>2971362</v>
      </c>
      <c r="AJ93" s="1540">
        <f>市町名目!L28</f>
        <v>2960193</v>
      </c>
      <c r="AK93" s="1540">
        <f>市町名目!M28</f>
        <v>3191504</v>
      </c>
      <c r="AL93" s="1540">
        <f>市町名目!N28</f>
        <v>3149681</v>
      </c>
    </row>
    <row r="94" spans="1:38" ht="12.5">
      <c r="A94" s="267"/>
      <c r="B94" s="249">
        <v>203</v>
      </c>
      <c r="C94" s="249" t="s">
        <v>193</v>
      </c>
      <c r="D94" s="350">
        <v>975715</v>
      </c>
      <c r="E94" s="350">
        <v>1030131</v>
      </c>
      <c r="F94" s="350">
        <v>985250</v>
      </c>
      <c r="G94" s="350">
        <v>999599</v>
      </c>
      <c r="H94" s="350">
        <v>952843</v>
      </c>
      <c r="I94" s="350">
        <v>1049236</v>
      </c>
      <c r="J94" s="350">
        <v>1089669</v>
      </c>
      <c r="K94" s="350">
        <v>1063794</v>
      </c>
      <c r="L94" s="350">
        <v>991116</v>
      </c>
      <c r="M94" s="350">
        <v>955479</v>
      </c>
      <c r="N94" s="350">
        <v>994065</v>
      </c>
      <c r="O94" s="350">
        <v>911236</v>
      </c>
      <c r="P94" s="710">
        <v>990152</v>
      </c>
      <c r="Q94" s="710">
        <v>1033568</v>
      </c>
      <c r="R94" s="710">
        <v>1048757</v>
      </c>
      <c r="S94" s="710">
        <v>1041092</v>
      </c>
      <c r="T94" s="710">
        <v>1033946</v>
      </c>
      <c r="U94" s="567">
        <v>1118671</v>
      </c>
      <c r="V94" s="567">
        <v>1172896</v>
      </c>
      <c r="W94" s="567">
        <v>1140063</v>
      </c>
      <c r="X94" s="567">
        <v>1010215</v>
      </c>
      <c r="Y94" s="567">
        <v>1033122</v>
      </c>
      <c r="Z94" s="1540">
        <f>市町名目!B29</f>
        <v>999436</v>
      </c>
      <c r="AA94" s="1540">
        <f>市町名目!C29</f>
        <v>1097460</v>
      </c>
      <c r="AB94" s="1540">
        <f>市町名目!D29</f>
        <v>1072794</v>
      </c>
      <c r="AC94" s="1540">
        <f>市町名目!E29</f>
        <v>1142555</v>
      </c>
      <c r="AD94" s="1540">
        <f>市町名目!F29</f>
        <v>1192055</v>
      </c>
      <c r="AE94" s="1540">
        <f>市町名目!G29</f>
        <v>1167214</v>
      </c>
      <c r="AF94" s="1540">
        <f>市町名目!H29</f>
        <v>1158475</v>
      </c>
      <c r="AG94" s="1540">
        <f>市町名目!I29</f>
        <v>1195444</v>
      </c>
      <c r="AH94" s="1540">
        <f>市町名目!J29</f>
        <v>1215341</v>
      </c>
      <c r="AI94" s="1540">
        <f>市町名目!K29</f>
        <v>1167367</v>
      </c>
      <c r="AJ94" s="1540">
        <f>市町名目!L29</f>
        <v>1145352</v>
      </c>
      <c r="AK94" s="1540">
        <f>市町名目!M29</f>
        <v>1271090</v>
      </c>
      <c r="AL94" s="1540">
        <f>市町名目!N29</f>
        <v>1305615</v>
      </c>
    </row>
    <row r="95" spans="1:38" ht="12.5">
      <c r="A95" s="267"/>
      <c r="B95" s="249">
        <v>210</v>
      </c>
      <c r="C95" s="249" t="s">
        <v>194</v>
      </c>
      <c r="D95" s="350">
        <v>745671</v>
      </c>
      <c r="E95" s="350">
        <v>761812</v>
      </c>
      <c r="F95" s="350">
        <v>770629</v>
      </c>
      <c r="G95" s="350">
        <v>783562</v>
      </c>
      <c r="H95" s="350">
        <v>776301</v>
      </c>
      <c r="I95" s="350">
        <v>812753</v>
      </c>
      <c r="J95" s="350">
        <v>861393</v>
      </c>
      <c r="K95" s="350">
        <v>890215</v>
      </c>
      <c r="L95" s="350">
        <v>867920</v>
      </c>
      <c r="M95" s="350">
        <v>851814</v>
      </c>
      <c r="N95" s="350">
        <v>820965</v>
      </c>
      <c r="O95" s="350">
        <v>734742</v>
      </c>
      <c r="P95" s="710">
        <v>788559</v>
      </c>
      <c r="Q95" s="710">
        <v>791025</v>
      </c>
      <c r="R95" s="710">
        <v>820046</v>
      </c>
      <c r="S95" s="710">
        <v>855692</v>
      </c>
      <c r="T95" s="710">
        <v>858002</v>
      </c>
      <c r="U95" s="567">
        <v>890251</v>
      </c>
      <c r="V95" s="567">
        <v>948732</v>
      </c>
      <c r="W95" s="567">
        <v>954457</v>
      </c>
      <c r="X95" s="567">
        <v>745312</v>
      </c>
      <c r="Y95" s="567">
        <v>812723</v>
      </c>
      <c r="Z95" s="1540">
        <f>市町名目!B30</f>
        <v>739650</v>
      </c>
      <c r="AA95" s="1540">
        <f>市町名目!C30</f>
        <v>736939</v>
      </c>
      <c r="AB95" s="1540">
        <f>市町名目!D30</f>
        <v>802766</v>
      </c>
      <c r="AC95" s="1540">
        <f>市町名目!E30</f>
        <v>805895</v>
      </c>
      <c r="AD95" s="1540">
        <f>市町名目!F30</f>
        <v>823001</v>
      </c>
      <c r="AE95" s="1540">
        <f>市町名目!G30</f>
        <v>857657</v>
      </c>
      <c r="AF95" s="1540">
        <f>市町名目!H30</f>
        <v>876650</v>
      </c>
      <c r="AG95" s="1540">
        <f>市町名目!I30</f>
        <v>893962</v>
      </c>
      <c r="AH95" s="1540">
        <f>市町名目!J30</f>
        <v>895719</v>
      </c>
      <c r="AI95" s="1540">
        <f>市町名目!K30</f>
        <v>856308</v>
      </c>
      <c r="AJ95" s="1540">
        <f>市町名目!L30</f>
        <v>844748</v>
      </c>
      <c r="AK95" s="1540">
        <f>市町名目!M30</f>
        <v>855033</v>
      </c>
      <c r="AL95" s="1540">
        <f>市町名目!N30</f>
        <v>871548</v>
      </c>
    </row>
    <row r="96" spans="1:38" ht="12.5">
      <c r="A96" s="267"/>
      <c r="B96" s="249">
        <v>216</v>
      </c>
      <c r="C96" s="249" t="s">
        <v>195</v>
      </c>
      <c r="D96" s="350">
        <v>425795</v>
      </c>
      <c r="E96" s="350">
        <v>496504</v>
      </c>
      <c r="F96" s="350">
        <v>480154</v>
      </c>
      <c r="G96" s="350">
        <v>498409</v>
      </c>
      <c r="H96" s="350">
        <v>493169</v>
      </c>
      <c r="I96" s="350">
        <v>517687</v>
      </c>
      <c r="J96" s="350">
        <v>503672</v>
      </c>
      <c r="K96" s="350">
        <v>515024</v>
      </c>
      <c r="L96" s="350">
        <v>466804</v>
      </c>
      <c r="M96" s="350">
        <v>480392</v>
      </c>
      <c r="N96" s="350">
        <v>514778</v>
      </c>
      <c r="O96" s="350">
        <v>471988</v>
      </c>
      <c r="P96" s="710">
        <v>520667</v>
      </c>
      <c r="Q96" s="710">
        <v>537861</v>
      </c>
      <c r="R96" s="710">
        <v>516920</v>
      </c>
      <c r="S96" s="710">
        <v>512942</v>
      </c>
      <c r="T96" s="710">
        <v>532279</v>
      </c>
      <c r="U96" s="567">
        <v>572152</v>
      </c>
      <c r="V96" s="567">
        <v>606696</v>
      </c>
      <c r="W96" s="567">
        <v>635083</v>
      </c>
      <c r="X96" s="567">
        <v>586085</v>
      </c>
      <c r="Y96" s="567">
        <v>625063</v>
      </c>
      <c r="Z96" s="1540">
        <f>市町名目!B31</f>
        <v>581852</v>
      </c>
      <c r="AA96" s="1540">
        <f>市町名目!C31</f>
        <v>611942</v>
      </c>
      <c r="AB96" s="1540">
        <f>市町名目!D31</f>
        <v>611137</v>
      </c>
      <c r="AC96" s="1540">
        <f>市町名目!E31</f>
        <v>545767</v>
      </c>
      <c r="AD96" s="1540">
        <f>市町名目!F31</f>
        <v>591869</v>
      </c>
      <c r="AE96" s="1540">
        <f>市町名目!G31</f>
        <v>547207</v>
      </c>
      <c r="AF96" s="1540">
        <f>市町名目!H31</f>
        <v>539158</v>
      </c>
      <c r="AG96" s="1540">
        <f>市町名目!I31</f>
        <v>518240</v>
      </c>
      <c r="AH96" s="1540">
        <f>市町名目!J31</f>
        <v>532214</v>
      </c>
      <c r="AI96" s="1540">
        <f>市町名目!K31</f>
        <v>587926</v>
      </c>
      <c r="AJ96" s="1540">
        <f>市町名目!L31</f>
        <v>551596</v>
      </c>
      <c r="AK96" s="1540">
        <f>市町名目!M31</f>
        <v>609404</v>
      </c>
      <c r="AL96" s="1540">
        <f>市町名目!N31</f>
        <v>526778</v>
      </c>
    </row>
    <row r="97" spans="1:38" ht="12.5">
      <c r="A97" s="267"/>
      <c r="B97" s="249">
        <v>381</v>
      </c>
      <c r="C97" s="249" t="s">
        <v>196</v>
      </c>
      <c r="D97" s="350">
        <v>87100</v>
      </c>
      <c r="E97" s="350">
        <v>96558</v>
      </c>
      <c r="F97" s="350">
        <v>97523</v>
      </c>
      <c r="G97" s="350">
        <v>109980</v>
      </c>
      <c r="H97" s="350">
        <v>112560</v>
      </c>
      <c r="I97" s="350">
        <v>123390</v>
      </c>
      <c r="J97" s="350">
        <v>127054</v>
      </c>
      <c r="K97" s="350">
        <v>124905</v>
      </c>
      <c r="L97" s="350">
        <v>130564</v>
      </c>
      <c r="M97" s="350">
        <v>123677</v>
      </c>
      <c r="N97" s="350">
        <v>127298</v>
      </c>
      <c r="O97" s="350">
        <v>115241</v>
      </c>
      <c r="P97" s="710">
        <v>129024</v>
      </c>
      <c r="Q97" s="710">
        <v>127266</v>
      </c>
      <c r="R97" s="710">
        <v>124171</v>
      </c>
      <c r="S97" s="710">
        <v>131707</v>
      </c>
      <c r="T97" s="710">
        <v>128861</v>
      </c>
      <c r="U97" s="567">
        <v>146180</v>
      </c>
      <c r="V97" s="567">
        <v>152562</v>
      </c>
      <c r="W97" s="567">
        <v>145196</v>
      </c>
      <c r="X97" s="567">
        <v>123849</v>
      </c>
      <c r="Y97" s="567">
        <v>133833</v>
      </c>
      <c r="Z97" s="1540">
        <f>市町名目!B32</f>
        <v>149532</v>
      </c>
      <c r="AA97" s="1540">
        <f>市町名目!C32</f>
        <v>159509</v>
      </c>
      <c r="AB97" s="1540">
        <f>市町名目!D32</f>
        <v>165275</v>
      </c>
      <c r="AC97" s="1540">
        <f>市町名目!E32</f>
        <v>171112</v>
      </c>
      <c r="AD97" s="1540">
        <f>市町名目!F32</f>
        <v>190785</v>
      </c>
      <c r="AE97" s="1540">
        <f>市町名目!G32</f>
        <v>177828</v>
      </c>
      <c r="AF97" s="1540">
        <f>市町名目!H32</f>
        <v>183799</v>
      </c>
      <c r="AG97" s="1540">
        <f>市町名目!I32</f>
        <v>182715</v>
      </c>
      <c r="AH97" s="1540">
        <f>市町名目!J32</f>
        <v>175742</v>
      </c>
      <c r="AI97" s="1540">
        <f>市町名目!K32</f>
        <v>151068</v>
      </c>
      <c r="AJ97" s="1540">
        <f>市町名目!L32</f>
        <v>169263</v>
      </c>
      <c r="AK97" s="1540">
        <f>市町名目!M32</f>
        <v>171319</v>
      </c>
      <c r="AL97" s="1540">
        <f>市町名目!N32</f>
        <v>174738</v>
      </c>
    </row>
    <row r="98" spans="1:38" ht="12.5">
      <c r="A98" s="268"/>
      <c r="B98" s="269">
        <v>382</v>
      </c>
      <c r="C98" s="269" t="s">
        <v>197</v>
      </c>
      <c r="D98" s="402">
        <v>133116</v>
      </c>
      <c r="E98" s="402">
        <v>138771</v>
      </c>
      <c r="F98" s="402">
        <v>145134</v>
      </c>
      <c r="G98" s="402">
        <v>132401</v>
      </c>
      <c r="H98" s="402">
        <v>142328</v>
      </c>
      <c r="I98" s="402">
        <v>162617</v>
      </c>
      <c r="J98" s="402">
        <v>156244</v>
      </c>
      <c r="K98" s="402">
        <v>152612</v>
      </c>
      <c r="L98" s="402">
        <v>148115</v>
      </c>
      <c r="M98" s="402">
        <v>134913</v>
      </c>
      <c r="N98" s="402">
        <v>130875</v>
      </c>
      <c r="O98" s="402">
        <v>121266</v>
      </c>
      <c r="P98" s="710">
        <v>131312</v>
      </c>
      <c r="Q98" s="710">
        <v>128254</v>
      </c>
      <c r="R98" s="710">
        <v>124632</v>
      </c>
      <c r="S98" s="710">
        <v>126765</v>
      </c>
      <c r="T98" s="710">
        <v>136200</v>
      </c>
      <c r="U98" s="567">
        <v>138453</v>
      </c>
      <c r="V98" s="567">
        <v>139060</v>
      </c>
      <c r="W98" s="567">
        <v>144617</v>
      </c>
      <c r="X98" s="567">
        <v>135745</v>
      </c>
      <c r="Y98" s="567">
        <v>116429</v>
      </c>
      <c r="Z98" s="1540">
        <f>市町名目!B33</f>
        <v>119214</v>
      </c>
      <c r="AA98" s="1540">
        <f>市町名目!C33</f>
        <v>136183</v>
      </c>
      <c r="AB98" s="1540">
        <f>市町名目!D33</f>
        <v>136117</v>
      </c>
      <c r="AC98" s="1540">
        <f>市町名目!E33</f>
        <v>156134</v>
      </c>
      <c r="AD98" s="1540">
        <f>市町名目!F33</f>
        <v>159792</v>
      </c>
      <c r="AE98" s="1540">
        <f>市町名目!G33</f>
        <v>159585</v>
      </c>
      <c r="AF98" s="1540">
        <f>市町名目!H33</f>
        <v>168067</v>
      </c>
      <c r="AG98" s="1540">
        <f>市町名目!I33</f>
        <v>175082</v>
      </c>
      <c r="AH98" s="1540">
        <f>市町名目!J33</f>
        <v>183243</v>
      </c>
      <c r="AI98" s="1540">
        <f>市町名目!K33</f>
        <v>208693</v>
      </c>
      <c r="AJ98" s="1540">
        <f>市町名目!L33</f>
        <v>249234</v>
      </c>
      <c r="AK98" s="1540">
        <f>市町名目!M33</f>
        <v>284658</v>
      </c>
      <c r="AL98" s="1540">
        <f>市町名目!N33</f>
        <v>271002</v>
      </c>
    </row>
    <row r="99" spans="1:38" ht="12.5">
      <c r="A99" s="267" t="s">
        <v>343</v>
      </c>
      <c r="B99" s="249">
        <v>4</v>
      </c>
      <c r="C99" s="249" t="s">
        <v>325</v>
      </c>
      <c r="D99" s="350">
        <v>935624</v>
      </c>
      <c r="E99" s="350">
        <v>1000739</v>
      </c>
      <c r="F99" s="350">
        <v>1000435</v>
      </c>
      <c r="G99" s="350">
        <v>1064175</v>
      </c>
      <c r="H99" s="350">
        <v>1069024</v>
      </c>
      <c r="I99" s="350">
        <v>1118785</v>
      </c>
      <c r="J99" s="350">
        <v>1180292</v>
      </c>
      <c r="K99" s="350">
        <v>1168959</v>
      </c>
      <c r="L99" s="350">
        <v>1135522</v>
      </c>
      <c r="M99" s="350">
        <v>1151481</v>
      </c>
      <c r="N99" s="350">
        <v>1150549</v>
      </c>
      <c r="O99" s="350">
        <v>1116779</v>
      </c>
      <c r="P99" s="710">
        <v>1212508</v>
      </c>
      <c r="Q99" s="710">
        <v>1179008</v>
      </c>
      <c r="R99" s="710">
        <v>1173088</v>
      </c>
      <c r="S99" s="710">
        <v>1185382</v>
      </c>
      <c r="T99" s="710">
        <v>1177893</v>
      </c>
      <c r="U99" s="567">
        <v>1214085</v>
      </c>
      <c r="V99" s="567">
        <v>1234642</v>
      </c>
      <c r="W99" s="567">
        <v>1210397</v>
      </c>
      <c r="X99" s="567">
        <v>1154005</v>
      </c>
      <c r="Y99" s="567">
        <v>1175704</v>
      </c>
      <c r="Z99" s="1540">
        <f>市町名目!B34</f>
        <v>1113960</v>
      </c>
      <c r="AA99" s="1540">
        <f>市町名目!C34</f>
        <v>1094656</v>
      </c>
      <c r="AB99" s="1540">
        <f>市町名目!D34</f>
        <v>1151557</v>
      </c>
      <c r="AC99" s="1540">
        <f>市町名目!E34</f>
        <v>1151163</v>
      </c>
      <c r="AD99" s="1540">
        <f>市町名目!F34</f>
        <v>1197785</v>
      </c>
      <c r="AE99" s="1540">
        <f>市町名目!G34</f>
        <v>1259561</v>
      </c>
      <c r="AF99" s="1540">
        <f>市町名目!H34</f>
        <v>1311666</v>
      </c>
      <c r="AG99" s="1540">
        <f>市町名目!I34</f>
        <v>1296507</v>
      </c>
      <c r="AH99" s="1540">
        <f>市町名目!J34</f>
        <v>1310283</v>
      </c>
      <c r="AI99" s="1540">
        <f>市町名目!K34</f>
        <v>1299522</v>
      </c>
      <c r="AJ99" s="1540">
        <f>市町名目!L34</f>
        <v>1319932</v>
      </c>
      <c r="AK99" s="1540">
        <f>市町名目!M34</f>
        <v>1305298</v>
      </c>
      <c r="AL99" s="1540">
        <f>市町名目!N34</f>
        <v>1356148</v>
      </c>
    </row>
    <row r="100" spans="1:38" ht="12.5">
      <c r="A100" s="267"/>
      <c r="B100" s="249">
        <v>213</v>
      </c>
      <c r="C100" s="249" t="s">
        <v>199</v>
      </c>
      <c r="D100" s="350">
        <v>145886</v>
      </c>
      <c r="E100" s="350">
        <v>145240</v>
      </c>
      <c r="F100" s="350">
        <v>145215</v>
      </c>
      <c r="G100" s="350">
        <v>153541</v>
      </c>
      <c r="H100" s="350">
        <v>165012</v>
      </c>
      <c r="I100" s="350">
        <v>170277</v>
      </c>
      <c r="J100" s="350">
        <v>151504</v>
      </c>
      <c r="K100" s="350">
        <v>146524</v>
      </c>
      <c r="L100" s="350">
        <v>161014</v>
      </c>
      <c r="M100" s="350">
        <v>176014</v>
      </c>
      <c r="N100" s="350">
        <v>187205</v>
      </c>
      <c r="O100" s="350">
        <v>160560</v>
      </c>
      <c r="P100" s="710">
        <v>174835</v>
      </c>
      <c r="Q100" s="710">
        <v>172424</v>
      </c>
      <c r="R100" s="710">
        <v>174722</v>
      </c>
      <c r="S100" s="710">
        <v>166441</v>
      </c>
      <c r="T100" s="710">
        <v>159054</v>
      </c>
      <c r="U100" s="567">
        <v>164158</v>
      </c>
      <c r="V100" s="567">
        <v>170480</v>
      </c>
      <c r="W100" s="567">
        <v>160458</v>
      </c>
      <c r="X100" s="567">
        <v>152886</v>
      </c>
      <c r="Y100" s="567">
        <v>154587</v>
      </c>
      <c r="Z100" s="1540">
        <f>市町名目!B35</f>
        <v>130104</v>
      </c>
      <c r="AA100" s="1540">
        <f>市町名目!C35</f>
        <v>130538</v>
      </c>
      <c r="AB100" s="1540">
        <f>市町名目!D35</f>
        <v>147240</v>
      </c>
      <c r="AC100" s="1540">
        <f>市町名目!E35</f>
        <v>135004</v>
      </c>
      <c r="AD100" s="1540">
        <f>市町名目!F35</f>
        <v>145088</v>
      </c>
      <c r="AE100" s="1540">
        <f>市町名目!G35</f>
        <v>143006</v>
      </c>
      <c r="AF100" s="1540">
        <f>市町名目!H35</f>
        <v>142540</v>
      </c>
      <c r="AG100" s="1540">
        <f>市町名目!I35</f>
        <v>142474</v>
      </c>
      <c r="AH100" s="1540">
        <f>市町名目!J35</f>
        <v>151432</v>
      </c>
      <c r="AI100" s="1540">
        <f>市町名目!K35</f>
        <v>145709</v>
      </c>
      <c r="AJ100" s="1540">
        <f>市町名目!L35</f>
        <v>147171</v>
      </c>
      <c r="AK100" s="1540">
        <f>市町名目!M35</f>
        <v>151172</v>
      </c>
      <c r="AL100" s="1540">
        <f>市町名目!N35</f>
        <v>159346</v>
      </c>
    </row>
    <row r="101" spans="1:38" ht="12.5">
      <c r="A101" s="267"/>
      <c r="B101" s="249">
        <v>215</v>
      </c>
      <c r="C101" s="249" t="s">
        <v>329</v>
      </c>
      <c r="D101" s="350">
        <v>231941</v>
      </c>
      <c r="E101" s="350">
        <v>235496</v>
      </c>
      <c r="F101" s="350">
        <v>250791</v>
      </c>
      <c r="G101" s="350">
        <v>261849</v>
      </c>
      <c r="H101" s="350">
        <v>265938</v>
      </c>
      <c r="I101" s="350">
        <v>275577</v>
      </c>
      <c r="J101" s="350">
        <v>335619</v>
      </c>
      <c r="K101" s="350">
        <v>327069</v>
      </c>
      <c r="L101" s="350">
        <v>286708</v>
      </c>
      <c r="M101" s="350">
        <v>288003</v>
      </c>
      <c r="N101" s="350">
        <v>276283</v>
      </c>
      <c r="O101" s="350">
        <v>270862</v>
      </c>
      <c r="P101" s="710">
        <v>296367</v>
      </c>
      <c r="Q101" s="710">
        <v>294592</v>
      </c>
      <c r="R101" s="710">
        <v>291287</v>
      </c>
      <c r="S101" s="710">
        <v>289953</v>
      </c>
      <c r="T101" s="710">
        <v>288437</v>
      </c>
      <c r="U101" s="567">
        <v>287857</v>
      </c>
      <c r="V101" s="567">
        <v>295373</v>
      </c>
      <c r="W101" s="567">
        <v>289605</v>
      </c>
      <c r="X101" s="567">
        <v>272581</v>
      </c>
      <c r="Y101" s="567">
        <v>276268</v>
      </c>
      <c r="Z101" s="1540">
        <f>市町名目!B36</f>
        <v>264140</v>
      </c>
      <c r="AA101" s="1540">
        <f>市町名目!C36</f>
        <v>264402</v>
      </c>
      <c r="AB101" s="1540">
        <f>市町名目!D36</f>
        <v>269658</v>
      </c>
      <c r="AC101" s="1540">
        <f>市町名目!E36</f>
        <v>264450</v>
      </c>
      <c r="AD101" s="1540">
        <f>市町名目!F36</f>
        <v>285171</v>
      </c>
      <c r="AE101" s="1540">
        <f>市町名目!G36</f>
        <v>296589</v>
      </c>
      <c r="AF101" s="1540">
        <f>市町名目!H36</f>
        <v>304827</v>
      </c>
      <c r="AG101" s="1540">
        <f>市町名目!I36</f>
        <v>308410</v>
      </c>
      <c r="AH101" s="1540">
        <f>市町名目!J36</f>
        <v>308956</v>
      </c>
      <c r="AI101" s="1540">
        <f>市町名目!K36</f>
        <v>316527</v>
      </c>
      <c r="AJ101" s="1540">
        <f>市町名目!L36</f>
        <v>321348</v>
      </c>
      <c r="AK101" s="1540">
        <f>市町名目!M36</f>
        <v>323795</v>
      </c>
      <c r="AL101" s="1540">
        <f>市町名目!N36</f>
        <v>330552</v>
      </c>
    </row>
    <row r="102" spans="1:38" ht="12.5">
      <c r="A102" s="267"/>
      <c r="B102" s="249">
        <v>218</v>
      </c>
      <c r="C102" s="249" t="s">
        <v>200</v>
      </c>
      <c r="D102" s="350">
        <v>170073</v>
      </c>
      <c r="E102" s="350">
        <v>192219</v>
      </c>
      <c r="F102" s="350">
        <v>180223</v>
      </c>
      <c r="G102" s="350">
        <v>189691</v>
      </c>
      <c r="H102" s="350">
        <v>193482</v>
      </c>
      <c r="I102" s="350">
        <v>205803</v>
      </c>
      <c r="J102" s="350">
        <v>203938</v>
      </c>
      <c r="K102" s="350">
        <v>208851</v>
      </c>
      <c r="L102" s="350">
        <v>206642</v>
      </c>
      <c r="M102" s="350">
        <v>208745</v>
      </c>
      <c r="N102" s="350">
        <v>204340</v>
      </c>
      <c r="O102" s="350">
        <v>198499</v>
      </c>
      <c r="P102" s="710">
        <v>213399</v>
      </c>
      <c r="Q102" s="710">
        <v>215711</v>
      </c>
      <c r="R102" s="710">
        <v>212992</v>
      </c>
      <c r="S102" s="710">
        <v>221598</v>
      </c>
      <c r="T102" s="710">
        <v>218051</v>
      </c>
      <c r="U102" s="567">
        <v>228019</v>
      </c>
      <c r="V102" s="567">
        <v>233873</v>
      </c>
      <c r="W102" s="567">
        <v>236090</v>
      </c>
      <c r="X102" s="567">
        <v>221929</v>
      </c>
      <c r="Y102" s="567">
        <v>226556</v>
      </c>
      <c r="Z102" s="1540">
        <f>市町名目!B37</f>
        <v>221050</v>
      </c>
      <c r="AA102" s="1540">
        <f>市町名目!C37</f>
        <v>206492</v>
      </c>
      <c r="AB102" s="1540">
        <f>市町名目!D37</f>
        <v>229833</v>
      </c>
      <c r="AC102" s="1540">
        <f>市町名目!E37</f>
        <v>237918</v>
      </c>
      <c r="AD102" s="1540">
        <f>市町名目!F37</f>
        <v>255875</v>
      </c>
      <c r="AE102" s="1540">
        <f>市町名目!G37</f>
        <v>253099</v>
      </c>
      <c r="AF102" s="1540">
        <f>市町名目!H37</f>
        <v>261597</v>
      </c>
      <c r="AG102" s="1540">
        <f>市町名目!I37</f>
        <v>263985</v>
      </c>
      <c r="AH102" s="1540">
        <f>市町名目!J37</f>
        <v>263822</v>
      </c>
      <c r="AI102" s="1540">
        <f>市町名目!K37</f>
        <v>252856</v>
      </c>
      <c r="AJ102" s="1540">
        <f>市町名目!L37</f>
        <v>259802</v>
      </c>
      <c r="AK102" s="1540">
        <f>市町名目!M37</f>
        <v>263214</v>
      </c>
      <c r="AL102" s="1540">
        <f>市町名目!N37</f>
        <v>296481</v>
      </c>
    </row>
    <row r="103" spans="1:38" ht="12.5">
      <c r="A103" s="267"/>
      <c r="B103" s="249">
        <v>220</v>
      </c>
      <c r="C103" s="249" t="s">
        <v>201</v>
      </c>
      <c r="D103" s="350">
        <v>158944</v>
      </c>
      <c r="E103" s="350">
        <v>170743</v>
      </c>
      <c r="F103" s="350">
        <v>173625</v>
      </c>
      <c r="G103" s="350">
        <v>181520</v>
      </c>
      <c r="H103" s="350">
        <v>182048</v>
      </c>
      <c r="I103" s="350">
        <v>183014</v>
      </c>
      <c r="J103" s="350">
        <v>200179</v>
      </c>
      <c r="K103" s="350">
        <v>195792</v>
      </c>
      <c r="L103" s="350">
        <v>189769</v>
      </c>
      <c r="M103" s="350">
        <v>183302</v>
      </c>
      <c r="N103" s="350">
        <v>183093</v>
      </c>
      <c r="O103" s="350">
        <v>182610</v>
      </c>
      <c r="P103" s="710">
        <v>197564</v>
      </c>
      <c r="Q103" s="710">
        <v>193034</v>
      </c>
      <c r="R103" s="710">
        <v>191571</v>
      </c>
      <c r="S103" s="710">
        <v>198068</v>
      </c>
      <c r="T103" s="710">
        <v>197808</v>
      </c>
      <c r="U103" s="567">
        <v>200304</v>
      </c>
      <c r="V103" s="567">
        <v>209166</v>
      </c>
      <c r="W103" s="567">
        <v>204206</v>
      </c>
      <c r="X103" s="567">
        <v>201479</v>
      </c>
      <c r="Y103" s="567">
        <v>198565</v>
      </c>
      <c r="Z103" s="1540">
        <f>市町名目!B38</f>
        <v>197739</v>
      </c>
      <c r="AA103" s="1540">
        <f>市町名目!C38</f>
        <v>201820</v>
      </c>
      <c r="AB103" s="1540">
        <f>市町名目!D38</f>
        <v>212877</v>
      </c>
      <c r="AC103" s="1540">
        <f>市町名目!E38</f>
        <v>203411</v>
      </c>
      <c r="AD103" s="1540">
        <f>市町名目!F38</f>
        <v>210687</v>
      </c>
      <c r="AE103" s="1540">
        <f>市町名目!G38</f>
        <v>229804</v>
      </c>
      <c r="AF103" s="1540">
        <f>市町名目!H38</f>
        <v>252140</v>
      </c>
      <c r="AG103" s="1540">
        <f>市町名目!I38</f>
        <v>254849</v>
      </c>
      <c r="AH103" s="1540">
        <f>市町名目!J38</f>
        <v>247086</v>
      </c>
      <c r="AI103" s="1540">
        <f>市町名目!K38</f>
        <v>234697</v>
      </c>
      <c r="AJ103" s="1540">
        <f>市町名目!L38</f>
        <v>254100</v>
      </c>
      <c r="AK103" s="1540">
        <f>市町名目!M38</f>
        <v>245023</v>
      </c>
      <c r="AL103" s="1540">
        <f>市町名目!N38</f>
        <v>257009</v>
      </c>
    </row>
    <row r="104" spans="1:38" ht="12.5">
      <c r="A104" s="267"/>
      <c r="B104" s="249">
        <v>228</v>
      </c>
      <c r="C104" s="249" t="s">
        <v>330</v>
      </c>
      <c r="D104" s="350">
        <v>178170</v>
      </c>
      <c r="E104" s="350">
        <v>198596</v>
      </c>
      <c r="F104" s="350">
        <v>188996</v>
      </c>
      <c r="G104" s="350">
        <v>212755</v>
      </c>
      <c r="H104" s="350">
        <v>197503</v>
      </c>
      <c r="I104" s="350">
        <v>216283</v>
      </c>
      <c r="J104" s="350">
        <v>220107</v>
      </c>
      <c r="K104" s="350">
        <v>221678</v>
      </c>
      <c r="L104" s="350">
        <v>223368</v>
      </c>
      <c r="M104" s="350">
        <v>230177</v>
      </c>
      <c r="N104" s="350">
        <v>233799</v>
      </c>
      <c r="O104" s="350">
        <v>239069</v>
      </c>
      <c r="P104" s="710">
        <v>260617</v>
      </c>
      <c r="Q104" s="710">
        <v>234471</v>
      </c>
      <c r="R104" s="710">
        <v>233853</v>
      </c>
      <c r="S104" s="710">
        <v>241595</v>
      </c>
      <c r="T104" s="710">
        <v>247382</v>
      </c>
      <c r="U104" s="567">
        <v>266895</v>
      </c>
      <c r="V104" s="567">
        <v>258541</v>
      </c>
      <c r="W104" s="567">
        <v>255080</v>
      </c>
      <c r="X104" s="567">
        <v>248203</v>
      </c>
      <c r="Y104" s="567">
        <v>260810</v>
      </c>
      <c r="Z104" s="1540">
        <f>市町名目!B39</f>
        <v>238158</v>
      </c>
      <c r="AA104" s="1540">
        <f>市町名目!C39</f>
        <v>230443</v>
      </c>
      <c r="AB104" s="1540">
        <f>市町名目!D39</f>
        <v>229509</v>
      </c>
      <c r="AC104" s="1540">
        <f>市町名目!E39</f>
        <v>247072</v>
      </c>
      <c r="AD104" s="1540">
        <f>市町名目!F39</f>
        <v>235214</v>
      </c>
      <c r="AE104" s="1540">
        <f>市町名目!G39</f>
        <v>269639</v>
      </c>
      <c r="AF104" s="1540">
        <f>市町名目!H39</f>
        <v>282184</v>
      </c>
      <c r="AG104" s="1540">
        <f>市町名目!I39</f>
        <v>260978</v>
      </c>
      <c r="AH104" s="1540">
        <f>市町名目!J39</f>
        <v>273058</v>
      </c>
      <c r="AI104" s="1540">
        <f>市町名目!K39</f>
        <v>283315</v>
      </c>
      <c r="AJ104" s="1540">
        <f>市町名目!L39</f>
        <v>268493</v>
      </c>
      <c r="AK104" s="1540">
        <f>市町名目!M39</f>
        <v>248836</v>
      </c>
      <c r="AL104" s="1540">
        <f>市町名目!N39</f>
        <v>239288</v>
      </c>
    </row>
    <row r="105" spans="1:38" ht="12.5">
      <c r="A105" s="267"/>
      <c r="B105" s="249">
        <v>365</v>
      </c>
      <c r="C105" s="249" t="s">
        <v>331</v>
      </c>
      <c r="D105" s="350">
        <v>50610</v>
      </c>
      <c r="E105" s="350">
        <v>58445</v>
      </c>
      <c r="F105" s="350">
        <v>61585</v>
      </c>
      <c r="G105" s="350">
        <v>64819</v>
      </c>
      <c r="H105" s="350">
        <v>65041</v>
      </c>
      <c r="I105" s="350">
        <v>67831</v>
      </c>
      <c r="J105" s="350">
        <v>68945</v>
      </c>
      <c r="K105" s="350">
        <v>69045</v>
      </c>
      <c r="L105" s="350">
        <v>68021</v>
      </c>
      <c r="M105" s="350">
        <v>65240</v>
      </c>
      <c r="N105" s="350">
        <v>65829</v>
      </c>
      <c r="O105" s="350">
        <v>65179</v>
      </c>
      <c r="P105" s="710">
        <v>69726</v>
      </c>
      <c r="Q105" s="710">
        <v>68776</v>
      </c>
      <c r="R105" s="710">
        <v>68663</v>
      </c>
      <c r="S105" s="710">
        <v>67727</v>
      </c>
      <c r="T105" s="710">
        <v>67161</v>
      </c>
      <c r="U105" s="567">
        <v>66852</v>
      </c>
      <c r="V105" s="567">
        <v>67209</v>
      </c>
      <c r="W105" s="567">
        <v>64958</v>
      </c>
      <c r="X105" s="567">
        <v>56927</v>
      </c>
      <c r="Y105" s="567">
        <v>58918</v>
      </c>
      <c r="Z105" s="1540">
        <f>市町名目!B40</f>
        <v>62769</v>
      </c>
      <c r="AA105" s="1540">
        <f>市町名目!C40</f>
        <v>60961</v>
      </c>
      <c r="AB105" s="1540">
        <f>市町名目!D40</f>
        <v>62440</v>
      </c>
      <c r="AC105" s="1540">
        <f>市町名目!E40</f>
        <v>63308</v>
      </c>
      <c r="AD105" s="1540">
        <f>市町名目!F40</f>
        <v>65750</v>
      </c>
      <c r="AE105" s="1540">
        <f>市町名目!G40</f>
        <v>67424</v>
      </c>
      <c r="AF105" s="1540">
        <f>市町名目!H40</f>
        <v>68378</v>
      </c>
      <c r="AG105" s="1540">
        <f>市町名目!I40</f>
        <v>65811</v>
      </c>
      <c r="AH105" s="1540">
        <f>市町名目!J40</f>
        <v>65929</v>
      </c>
      <c r="AI105" s="1540">
        <f>市町名目!K40</f>
        <v>66418</v>
      </c>
      <c r="AJ105" s="1540">
        <f>市町名目!L40</f>
        <v>69018</v>
      </c>
      <c r="AK105" s="1540">
        <f>市町名目!M40</f>
        <v>73258</v>
      </c>
      <c r="AL105" s="1540">
        <f>市町名目!N40</f>
        <v>73472</v>
      </c>
    </row>
    <row r="106" spans="1:38" ht="12.5">
      <c r="A106" s="273" t="s">
        <v>344</v>
      </c>
      <c r="B106" s="270">
        <v>5</v>
      </c>
      <c r="C106" s="270" t="s">
        <v>326</v>
      </c>
      <c r="D106" s="349">
        <v>2374944</v>
      </c>
      <c r="E106" s="349">
        <v>2532979</v>
      </c>
      <c r="F106" s="349">
        <v>2625167</v>
      </c>
      <c r="G106" s="349">
        <v>2626243</v>
      </c>
      <c r="H106" s="349">
        <v>2571499</v>
      </c>
      <c r="I106" s="349">
        <v>2636915</v>
      </c>
      <c r="J106" s="349">
        <v>2733950</v>
      </c>
      <c r="K106" s="349">
        <v>2713136</v>
      </c>
      <c r="L106" s="349">
        <v>2602948</v>
      </c>
      <c r="M106" s="349">
        <v>2482219</v>
      </c>
      <c r="N106" s="349">
        <v>2490309</v>
      </c>
      <c r="O106" s="349">
        <v>2377101</v>
      </c>
      <c r="P106" s="710">
        <v>2476248</v>
      </c>
      <c r="Q106" s="710">
        <v>2488978</v>
      </c>
      <c r="R106" s="710">
        <v>2486176</v>
      </c>
      <c r="S106" s="710">
        <v>2540771</v>
      </c>
      <c r="T106" s="710">
        <v>2561104</v>
      </c>
      <c r="U106" s="567">
        <v>2619517</v>
      </c>
      <c r="V106" s="567">
        <v>2667261</v>
      </c>
      <c r="W106" s="567">
        <v>2735561</v>
      </c>
      <c r="X106" s="567">
        <v>2387416</v>
      </c>
      <c r="Y106" s="567">
        <v>2558596</v>
      </c>
      <c r="Z106" s="1540">
        <f>市町名目!B41</f>
        <v>2382248</v>
      </c>
      <c r="AA106" s="1540">
        <f>市町名目!C41</f>
        <v>2318281</v>
      </c>
      <c r="AB106" s="1540">
        <f>市町名目!D41</f>
        <v>2510678</v>
      </c>
      <c r="AC106" s="1540">
        <f>市町名目!E41</f>
        <v>2534302</v>
      </c>
      <c r="AD106" s="1540">
        <f>市町名目!F41</f>
        <v>2608505</v>
      </c>
      <c r="AE106" s="1540">
        <f>市町名目!G41</f>
        <v>2670969</v>
      </c>
      <c r="AF106" s="1540">
        <f>市町名目!H41</f>
        <v>2678931</v>
      </c>
      <c r="AG106" s="1540">
        <f>市町名目!I41</f>
        <v>2674825</v>
      </c>
      <c r="AH106" s="1540">
        <f>市町名目!J41</f>
        <v>2648188</v>
      </c>
      <c r="AI106" s="1540">
        <f>市町名目!K41</f>
        <v>2592307</v>
      </c>
      <c r="AJ106" s="1540">
        <f>市町名目!L41</f>
        <v>2822650</v>
      </c>
      <c r="AK106" s="1540">
        <f>市町名目!M41</f>
        <v>2901482</v>
      </c>
      <c r="AL106" s="1540">
        <f>市町名目!N41</f>
        <v>2930515</v>
      </c>
    </row>
    <row r="107" spans="1:38" ht="12.5">
      <c r="A107" s="267"/>
      <c r="B107" s="249">
        <v>201</v>
      </c>
      <c r="C107" s="249" t="s">
        <v>332</v>
      </c>
      <c r="D107" s="350">
        <v>2200151</v>
      </c>
      <c r="E107" s="350">
        <v>2357572</v>
      </c>
      <c r="F107" s="350">
        <v>2442276</v>
      </c>
      <c r="G107" s="350">
        <v>2432534</v>
      </c>
      <c r="H107" s="350">
        <v>2381390</v>
      </c>
      <c r="I107" s="350">
        <v>2428577</v>
      </c>
      <c r="J107" s="350">
        <v>2519569</v>
      </c>
      <c r="K107" s="350">
        <v>2500257</v>
      </c>
      <c r="L107" s="350">
        <v>2391035</v>
      </c>
      <c r="M107" s="350">
        <v>2280901</v>
      </c>
      <c r="N107" s="350">
        <v>2283715</v>
      </c>
      <c r="O107" s="350">
        <v>2172162</v>
      </c>
      <c r="P107" s="710">
        <v>2255227</v>
      </c>
      <c r="Q107" s="710">
        <v>2267772</v>
      </c>
      <c r="R107" s="710">
        <v>2259363</v>
      </c>
      <c r="S107" s="710">
        <v>2305346</v>
      </c>
      <c r="T107" s="710">
        <v>2336111</v>
      </c>
      <c r="U107" s="567">
        <v>2394085</v>
      </c>
      <c r="V107" s="567">
        <v>2436456</v>
      </c>
      <c r="W107" s="567">
        <v>2511101</v>
      </c>
      <c r="X107" s="567">
        <v>2178679</v>
      </c>
      <c r="Y107" s="567">
        <v>2335671</v>
      </c>
      <c r="Z107" s="1540">
        <f>市町名目!B42</f>
        <v>2164871</v>
      </c>
      <c r="AA107" s="1540">
        <f>市町名目!C42</f>
        <v>2111731</v>
      </c>
      <c r="AB107" s="1540">
        <f>市町名目!D42</f>
        <v>2279755</v>
      </c>
      <c r="AC107" s="1540">
        <f>市町名目!E42</f>
        <v>2304890</v>
      </c>
      <c r="AD107" s="1540">
        <f>市町名目!F42</f>
        <v>2371505</v>
      </c>
      <c r="AE107" s="1540">
        <f>市町名目!G42</f>
        <v>2419072</v>
      </c>
      <c r="AF107" s="1540">
        <f>市町名目!H42</f>
        <v>2418958</v>
      </c>
      <c r="AG107" s="1540">
        <f>市町名目!I42</f>
        <v>2416021</v>
      </c>
      <c r="AH107" s="1540">
        <f>市町名目!J42</f>
        <v>2390528</v>
      </c>
      <c r="AI107" s="1540">
        <f>市町名目!K42</f>
        <v>2346960</v>
      </c>
      <c r="AJ107" s="1540">
        <f>市町名目!L42</f>
        <v>2570060</v>
      </c>
      <c r="AK107" s="1540">
        <f>市町名目!M42</f>
        <v>2634961</v>
      </c>
      <c r="AL107" s="1540">
        <f>市町名目!N42</f>
        <v>2656993</v>
      </c>
    </row>
    <row r="108" spans="1:38" ht="12.5">
      <c r="A108" s="267"/>
      <c r="B108" s="249">
        <v>442</v>
      </c>
      <c r="C108" s="249" t="s">
        <v>203</v>
      </c>
      <c r="D108" s="350">
        <v>32159</v>
      </c>
      <c r="E108" s="350">
        <v>33981</v>
      </c>
      <c r="F108" s="350">
        <v>32859</v>
      </c>
      <c r="G108" s="350">
        <v>33421</v>
      </c>
      <c r="H108" s="350">
        <v>36623</v>
      </c>
      <c r="I108" s="350">
        <v>37393</v>
      </c>
      <c r="J108" s="350">
        <v>39354</v>
      </c>
      <c r="K108" s="350">
        <v>38419</v>
      </c>
      <c r="L108" s="350">
        <v>39913</v>
      </c>
      <c r="M108" s="350">
        <v>37094</v>
      </c>
      <c r="N108" s="350">
        <v>37393</v>
      </c>
      <c r="O108" s="350">
        <v>34509</v>
      </c>
      <c r="P108" s="710">
        <v>37749</v>
      </c>
      <c r="Q108" s="710">
        <v>38215</v>
      </c>
      <c r="R108" s="710">
        <v>39245</v>
      </c>
      <c r="S108" s="710">
        <v>42687</v>
      </c>
      <c r="T108" s="710">
        <v>42671</v>
      </c>
      <c r="U108" s="567">
        <v>43133</v>
      </c>
      <c r="V108" s="567">
        <v>42120</v>
      </c>
      <c r="W108" s="567">
        <v>39793</v>
      </c>
      <c r="X108" s="567">
        <v>35535</v>
      </c>
      <c r="Y108" s="567">
        <v>33593</v>
      </c>
      <c r="Z108" s="1540">
        <f>市町名目!B43</f>
        <v>31844</v>
      </c>
      <c r="AA108" s="1540">
        <f>市町名目!C43</f>
        <v>33631</v>
      </c>
      <c r="AB108" s="1540">
        <f>市町名目!D43</f>
        <v>36897</v>
      </c>
      <c r="AC108" s="1540">
        <f>市町名目!E43</f>
        <v>35406</v>
      </c>
      <c r="AD108" s="1540">
        <f>市町名目!F43</f>
        <v>35444</v>
      </c>
      <c r="AE108" s="1540">
        <f>市町名目!G43</f>
        <v>37716</v>
      </c>
      <c r="AF108" s="1540">
        <f>市町名目!H43</f>
        <v>37794</v>
      </c>
      <c r="AG108" s="1540">
        <f>市町名目!I43</f>
        <v>38688</v>
      </c>
      <c r="AH108" s="1540">
        <f>市町名目!J43</f>
        <v>39589</v>
      </c>
      <c r="AI108" s="1540">
        <f>市町名目!K43</f>
        <v>38208</v>
      </c>
      <c r="AJ108" s="1540">
        <f>市町名目!L43</f>
        <v>41972</v>
      </c>
      <c r="AK108" s="1540">
        <f>市町名目!M43</f>
        <v>42237</v>
      </c>
      <c r="AL108" s="1540">
        <f>市町名目!N43</f>
        <v>44652</v>
      </c>
    </row>
    <row r="109" spans="1:38" ht="12.5">
      <c r="A109" s="267"/>
      <c r="B109" s="249">
        <v>443</v>
      </c>
      <c r="C109" s="249" t="s">
        <v>204</v>
      </c>
      <c r="D109" s="350">
        <v>112490</v>
      </c>
      <c r="E109" s="350">
        <v>110571</v>
      </c>
      <c r="F109" s="350">
        <v>115837</v>
      </c>
      <c r="G109" s="350">
        <v>121814</v>
      </c>
      <c r="H109" s="350">
        <v>118420</v>
      </c>
      <c r="I109" s="350">
        <v>134243</v>
      </c>
      <c r="J109" s="350">
        <v>139869</v>
      </c>
      <c r="K109" s="350">
        <v>136826</v>
      </c>
      <c r="L109" s="350">
        <v>134585</v>
      </c>
      <c r="M109" s="350">
        <v>127323</v>
      </c>
      <c r="N109" s="350">
        <v>130972</v>
      </c>
      <c r="O109" s="350">
        <v>132668</v>
      </c>
      <c r="P109" s="710">
        <v>145781</v>
      </c>
      <c r="Q109" s="710">
        <v>147109</v>
      </c>
      <c r="R109" s="710">
        <v>152090</v>
      </c>
      <c r="S109" s="710">
        <v>157347</v>
      </c>
      <c r="T109" s="710">
        <v>146382</v>
      </c>
      <c r="U109" s="567">
        <v>146533</v>
      </c>
      <c r="V109" s="567">
        <v>154044</v>
      </c>
      <c r="W109" s="567">
        <v>150533</v>
      </c>
      <c r="X109" s="567">
        <v>139819</v>
      </c>
      <c r="Y109" s="567">
        <v>157404</v>
      </c>
      <c r="Z109" s="1540">
        <f>市町名目!B44</f>
        <v>156539</v>
      </c>
      <c r="AA109" s="1540">
        <f>市町名目!C44</f>
        <v>145584</v>
      </c>
      <c r="AB109" s="1540">
        <f>市町名目!D44</f>
        <v>163726</v>
      </c>
      <c r="AC109" s="1540">
        <f>市町名目!E44</f>
        <v>163940</v>
      </c>
      <c r="AD109" s="1540">
        <f>市町名目!F44</f>
        <v>169206</v>
      </c>
      <c r="AE109" s="1540">
        <f>市町名目!G44</f>
        <v>182330</v>
      </c>
      <c r="AF109" s="1540">
        <f>市町名目!H44</f>
        <v>189242</v>
      </c>
      <c r="AG109" s="1540">
        <f>市町名目!I44</f>
        <v>187452</v>
      </c>
      <c r="AH109" s="1540">
        <f>市町名目!J44</f>
        <v>186340</v>
      </c>
      <c r="AI109" s="1540">
        <f>市町名目!K44</f>
        <v>175405</v>
      </c>
      <c r="AJ109" s="1540">
        <f>市町名目!L44</f>
        <v>177503</v>
      </c>
      <c r="AK109" s="1540">
        <f>市町名目!M44</f>
        <v>188148</v>
      </c>
      <c r="AL109" s="1540">
        <f>市町名目!N44</f>
        <v>191258</v>
      </c>
    </row>
    <row r="110" spans="1:38" ht="12.5">
      <c r="A110" s="268"/>
      <c r="B110" s="269">
        <v>446</v>
      </c>
      <c r="C110" s="269" t="s">
        <v>333</v>
      </c>
      <c r="D110" s="402">
        <v>30144</v>
      </c>
      <c r="E110" s="402">
        <v>30855</v>
      </c>
      <c r="F110" s="402">
        <v>34195</v>
      </c>
      <c r="G110" s="402">
        <v>38474</v>
      </c>
      <c r="H110" s="402">
        <v>35066</v>
      </c>
      <c r="I110" s="402">
        <v>36702</v>
      </c>
      <c r="J110" s="402">
        <v>35158</v>
      </c>
      <c r="K110" s="402">
        <v>37634</v>
      </c>
      <c r="L110" s="402">
        <v>37415</v>
      </c>
      <c r="M110" s="402">
        <v>36901</v>
      </c>
      <c r="N110" s="402">
        <v>38229</v>
      </c>
      <c r="O110" s="402">
        <v>37762</v>
      </c>
      <c r="P110" s="710">
        <v>37491</v>
      </c>
      <c r="Q110" s="710">
        <v>35882</v>
      </c>
      <c r="R110" s="710">
        <v>35478</v>
      </c>
      <c r="S110" s="710">
        <v>35391</v>
      </c>
      <c r="T110" s="710">
        <v>35940</v>
      </c>
      <c r="U110" s="567">
        <v>35766</v>
      </c>
      <c r="V110" s="567">
        <v>34641</v>
      </c>
      <c r="W110" s="567">
        <v>34134</v>
      </c>
      <c r="X110" s="567">
        <v>33383</v>
      </c>
      <c r="Y110" s="567">
        <v>31928</v>
      </c>
      <c r="Z110" s="1540">
        <f>市町名目!B45</f>
        <v>28994</v>
      </c>
      <c r="AA110" s="1540">
        <f>市町名目!C45</f>
        <v>27335</v>
      </c>
      <c r="AB110" s="1540">
        <f>市町名目!D45</f>
        <v>30300</v>
      </c>
      <c r="AC110" s="1540">
        <f>市町名目!E45</f>
        <v>30066</v>
      </c>
      <c r="AD110" s="1540">
        <f>市町名目!F45</f>
        <v>32350</v>
      </c>
      <c r="AE110" s="1540">
        <f>市町名目!G45</f>
        <v>31851</v>
      </c>
      <c r="AF110" s="1540">
        <f>市町名目!H45</f>
        <v>32937</v>
      </c>
      <c r="AG110" s="1540">
        <f>市町名目!I45</f>
        <v>32664</v>
      </c>
      <c r="AH110" s="1540">
        <f>市町名目!J45</f>
        <v>31731</v>
      </c>
      <c r="AI110" s="1540">
        <f>市町名目!K45</f>
        <v>31734</v>
      </c>
      <c r="AJ110" s="1540">
        <f>市町名目!L45</f>
        <v>33115</v>
      </c>
      <c r="AK110" s="1540">
        <f>市町名目!M45</f>
        <v>36136</v>
      </c>
      <c r="AL110" s="1540">
        <f>市町名目!N45</f>
        <v>37612</v>
      </c>
    </row>
    <row r="111" spans="1:38" ht="12.5">
      <c r="A111" s="267" t="s">
        <v>345</v>
      </c>
      <c r="B111" s="249">
        <v>6</v>
      </c>
      <c r="C111" s="249" t="s">
        <v>327</v>
      </c>
      <c r="D111" s="350">
        <v>841062</v>
      </c>
      <c r="E111" s="350">
        <v>924502</v>
      </c>
      <c r="F111" s="350">
        <v>920204</v>
      </c>
      <c r="G111" s="350">
        <v>987501</v>
      </c>
      <c r="H111" s="350">
        <v>1003328</v>
      </c>
      <c r="I111" s="350">
        <v>1069716</v>
      </c>
      <c r="J111" s="350">
        <v>1091352</v>
      </c>
      <c r="K111" s="350">
        <v>1076205</v>
      </c>
      <c r="L111" s="350">
        <v>1056198</v>
      </c>
      <c r="M111" s="350">
        <v>1076206</v>
      </c>
      <c r="N111" s="350">
        <v>1064573</v>
      </c>
      <c r="O111" s="350">
        <v>978711</v>
      </c>
      <c r="P111" s="710">
        <v>1102427</v>
      </c>
      <c r="Q111" s="710">
        <v>1090223</v>
      </c>
      <c r="R111" s="710">
        <v>1049339</v>
      </c>
      <c r="S111" s="710">
        <v>1035054</v>
      </c>
      <c r="T111" s="710">
        <v>1001075</v>
      </c>
      <c r="U111" s="567">
        <v>1008647</v>
      </c>
      <c r="V111" s="567">
        <v>1027154</v>
      </c>
      <c r="W111" s="567">
        <v>983876</v>
      </c>
      <c r="X111" s="567">
        <v>942946</v>
      </c>
      <c r="Y111" s="567">
        <v>982580</v>
      </c>
      <c r="Z111" s="1540">
        <f>市町名目!B46</f>
        <v>955124</v>
      </c>
      <c r="AA111" s="1540">
        <f>市町名目!C46</f>
        <v>956345</v>
      </c>
      <c r="AB111" s="1540">
        <f>市町名目!D46</f>
        <v>963483</v>
      </c>
      <c r="AC111" s="1540">
        <f>市町名目!E46</f>
        <v>984203</v>
      </c>
      <c r="AD111" s="1540">
        <f>市町名目!F46</f>
        <v>1015903</v>
      </c>
      <c r="AE111" s="1540">
        <f>市町名目!G46</f>
        <v>1022521</v>
      </c>
      <c r="AF111" s="1540">
        <f>市町名目!H46</f>
        <v>1065770</v>
      </c>
      <c r="AG111" s="1540">
        <f>市町名目!I46</f>
        <v>1071203</v>
      </c>
      <c r="AH111" s="1540">
        <f>市町名目!J46</f>
        <v>1080047</v>
      </c>
      <c r="AI111" s="1540">
        <f>市町名目!K46</f>
        <v>1100471</v>
      </c>
      <c r="AJ111" s="1540">
        <f>市町名目!L46</f>
        <v>1127246</v>
      </c>
      <c r="AK111" s="1540">
        <f>市町名目!M46</f>
        <v>1110408</v>
      </c>
      <c r="AL111" s="1540">
        <f>市町名目!N46</f>
        <v>1129678</v>
      </c>
    </row>
    <row r="112" spans="1:38" ht="12.5">
      <c r="A112" s="267"/>
      <c r="B112" s="249">
        <v>208</v>
      </c>
      <c r="C112" s="249" t="s">
        <v>206</v>
      </c>
      <c r="D112" s="350">
        <v>123502</v>
      </c>
      <c r="E112" s="350">
        <v>129004</v>
      </c>
      <c r="F112" s="350">
        <v>129729</v>
      </c>
      <c r="G112" s="350">
        <v>145566</v>
      </c>
      <c r="H112" s="350">
        <v>150973</v>
      </c>
      <c r="I112" s="350">
        <v>162288</v>
      </c>
      <c r="J112" s="350">
        <v>165363</v>
      </c>
      <c r="K112" s="350">
        <v>154403</v>
      </c>
      <c r="L112" s="350">
        <v>150187</v>
      </c>
      <c r="M112" s="350">
        <v>187404</v>
      </c>
      <c r="N112" s="350">
        <v>158053</v>
      </c>
      <c r="O112" s="350">
        <v>135771</v>
      </c>
      <c r="P112" s="710">
        <v>146960</v>
      </c>
      <c r="Q112" s="710">
        <v>119487</v>
      </c>
      <c r="R112" s="710">
        <v>109171</v>
      </c>
      <c r="S112" s="710">
        <v>112811</v>
      </c>
      <c r="T112" s="710">
        <v>129330</v>
      </c>
      <c r="U112" s="567">
        <v>137357</v>
      </c>
      <c r="V112" s="567">
        <v>139144</v>
      </c>
      <c r="W112" s="567">
        <v>135157</v>
      </c>
      <c r="X112" s="567">
        <v>131443</v>
      </c>
      <c r="Y112" s="567">
        <v>128210</v>
      </c>
      <c r="Z112" s="1540">
        <f>市町名目!B47</f>
        <v>98484</v>
      </c>
      <c r="AA112" s="1540">
        <f>市町名目!C47</f>
        <v>101878</v>
      </c>
      <c r="AB112" s="1540">
        <f>市町名目!D47</f>
        <v>98317</v>
      </c>
      <c r="AC112" s="1540">
        <f>市町名目!E47</f>
        <v>115247</v>
      </c>
      <c r="AD112" s="1540">
        <f>市町名目!F47</f>
        <v>143629</v>
      </c>
      <c r="AE112" s="1540">
        <f>市町名目!G47</f>
        <v>108271</v>
      </c>
      <c r="AF112" s="1540">
        <f>市町名目!H47</f>
        <v>118385</v>
      </c>
      <c r="AG112" s="1540">
        <f>市町名目!I47</f>
        <v>138549</v>
      </c>
      <c r="AH112" s="1540">
        <f>市町名目!J47</f>
        <v>145544</v>
      </c>
      <c r="AI112" s="1540">
        <f>市町名目!K47</f>
        <v>173140</v>
      </c>
      <c r="AJ112" s="1540">
        <f>市町名目!L47</f>
        <v>181199</v>
      </c>
      <c r="AK112" s="1540">
        <f>市町名目!M47</f>
        <v>192319</v>
      </c>
      <c r="AL112" s="1540">
        <f>市町名目!N47</f>
        <v>180506</v>
      </c>
    </row>
    <row r="113" spans="1:38" ht="12.5">
      <c r="A113" s="267"/>
      <c r="B113" s="249">
        <v>212</v>
      </c>
      <c r="C113" s="249" t="s">
        <v>207</v>
      </c>
      <c r="D113" s="350">
        <v>169189</v>
      </c>
      <c r="E113" s="350">
        <v>185876</v>
      </c>
      <c r="F113" s="350">
        <v>187920</v>
      </c>
      <c r="G113" s="350">
        <v>191383</v>
      </c>
      <c r="H113" s="350">
        <v>192841</v>
      </c>
      <c r="I113" s="350">
        <v>218497</v>
      </c>
      <c r="J113" s="350">
        <v>221688</v>
      </c>
      <c r="K113" s="350">
        <v>216867</v>
      </c>
      <c r="L113" s="350">
        <v>212720</v>
      </c>
      <c r="M113" s="350">
        <v>210885</v>
      </c>
      <c r="N113" s="350">
        <v>224209</v>
      </c>
      <c r="O113" s="350">
        <v>196476</v>
      </c>
      <c r="P113" s="710">
        <v>210492</v>
      </c>
      <c r="Q113" s="710">
        <v>214532</v>
      </c>
      <c r="R113" s="710">
        <v>212264</v>
      </c>
      <c r="S113" s="710">
        <v>213674</v>
      </c>
      <c r="T113" s="710">
        <v>206760</v>
      </c>
      <c r="U113" s="567">
        <v>201377</v>
      </c>
      <c r="V113" s="567">
        <v>199409</v>
      </c>
      <c r="W113" s="567">
        <v>190847</v>
      </c>
      <c r="X113" s="567">
        <v>198342</v>
      </c>
      <c r="Y113" s="567">
        <v>215020</v>
      </c>
      <c r="Z113" s="1540">
        <f>市町名目!B48</f>
        <v>211032</v>
      </c>
      <c r="AA113" s="1540">
        <f>市町名目!C48</f>
        <v>214837</v>
      </c>
      <c r="AB113" s="1540">
        <f>市町名目!D48</f>
        <v>220981</v>
      </c>
      <c r="AC113" s="1540">
        <f>市町名目!E48</f>
        <v>216481</v>
      </c>
      <c r="AD113" s="1540">
        <f>市町名目!F48</f>
        <v>227069</v>
      </c>
      <c r="AE113" s="1540">
        <f>市町名目!G48</f>
        <v>234555</v>
      </c>
      <c r="AF113" s="1540">
        <f>市町名目!H48</f>
        <v>241914</v>
      </c>
      <c r="AG113" s="1540">
        <f>市町名目!I48</f>
        <v>235430</v>
      </c>
      <c r="AH113" s="1540">
        <f>市町名目!J48</f>
        <v>240172</v>
      </c>
      <c r="AI113" s="1540">
        <f>市町名目!K48</f>
        <v>241852</v>
      </c>
      <c r="AJ113" s="1540">
        <f>市町名目!L48</f>
        <v>232306</v>
      </c>
      <c r="AK113" s="1540">
        <f>市町名目!M48</f>
        <v>237715</v>
      </c>
      <c r="AL113" s="1540">
        <f>市町名目!N48</f>
        <v>246312</v>
      </c>
    </row>
    <row r="114" spans="1:38" ht="12.5">
      <c r="A114" s="267"/>
      <c r="B114" s="249">
        <v>227</v>
      </c>
      <c r="C114" s="249" t="s">
        <v>219</v>
      </c>
      <c r="D114" s="350">
        <v>115172</v>
      </c>
      <c r="E114" s="350">
        <v>126453</v>
      </c>
      <c r="F114" s="350">
        <v>130705</v>
      </c>
      <c r="G114" s="350">
        <v>137036</v>
      </c>
      <c r="H114" s="350">
        <v>140088</v>
      </c>
      <c r="I114" s="350">
        <v>148395</v>
      </c>
      <c r="J114" s="350">
        <v>148065</v>
      </c>
      <c r="K114" s="350">
        <v>147174</v>
      </c>
      <c r="L114" s="350">
        <v>139506</v>
      </c>
      <c r="M114" s="350">
        <v>132842</v>
      </c>
      <c r="N114" s="350">
        <v>142324</v>
      </c>
      <c r="O114" s="350">
        <v>139203</v>
      </c>
      <c r="P114" s="710">
        <v>143405</v>
      </c>
      <c r="Q114" s="710">
        <v>144775</v>
      </c>
      <c r="R114" s="710">
        <v>138447</v>
      </c>
      <c r="S114" s="710">
        <v>136162</v>
      </c>
      <c r="T114" s="710">
        <v>131981</v>
      </c>
      <c r="U114" s="567">
        <v>130356</v>
      </c>
      <c r="V114" s="567">
        <v>132630</v>
      </c>
      <c r="W114" s="567">
        <v>124483</v>
      </c>
      <c r="X114" s="567">
        <v>119508</v>
      </c>
      <c r="Y114" s="567">
        <v>118092</v>
      </c>
      <c r="Z114" s="1540">
        <f>市町名目!B49</f>
        <v>113937</v>
      </c>
      <c r="AA114" s="1540">
        <f>市町名目!C49</f>
        <v>116463</v>
      </c>
      <c r="AB114" s="1540">
        <f>市町名目!D49</f>
        <v>121960</v>
      </c>
      <c r="AC114" s="1540">
        <f>市町名目!E49</f>
        <v>119992</v>
      </c>
      <c r="AD114" s="1540">
        <f>市町名目!F49</f>
        <v>121565</v>
      </c>
      <c r="AE114" s="1540">
        <f>市町名目!G49</f>
        <v>121061</v>
      </c>
      <c r="AF114" s="1540">
        <f>市町名目!H49</f>
        <v>120117</v>
      </c>
      <c r="AG114" s="1540">
        <f>市町名目!I49</f>
        <v>122112</v>
      </c>
      <c r="AH114" s="1540">
        <f>市町名目!J49</f>
        <v>119381</v>
      </c>
      <c r="AI114" s="1540">
        <f>市町名目!K49</f>
        <v>111914</v>
      </c>
      <c r="AJ114" s="1540">
        <f>市町名目!L49</f>
        <v>117995</v>
      </c>
      <c r="AK114" s="1540">
        <f>市町名目!M49</f>
        <v>120614</v>
      </c>
      <c r="AL114" s="1540">
        <f>市町名目!N49</f>
        <v>122955</v>
      </c>
    </row>
    <row r="115" spans="1:38" ht="12.5">
      <c r="A115" s="267"/>
      <c r="B115" s="249">
        <v>229</v>
      </c>
      <c r="C115" s="249" t="s">
        <v>334</v>
      </c>
      <c r="D115" s="350">
        <v>245038</v>
      </c>
      <c r="E115" s="350">
        <v>260121</v>
      </c>
      <c r="F115" s="350">
        <v>275889</v>
      </c>
      <c r="G115" s="350">
        <v>294134</v>
      </c>
      <c r="H115" s="350">
        <v>293129</v>
      </c>
      <c r="I115" s="350">
        <v>305312</v>
      </c>
      <c r="J115" s="350">
        <v>302839</v>
      </c>
      <c r="K115" s="350">
        <v>304732</v>
      </c>
      <c r="L115" s="350">
        <v>291115</v>
      </c>
      <c r="M115" s="350">
        <v>290580</v>
      </c>
      <c r="N115" s="350">
        <v>287131</v>
      </c>
      <c r="O115" s="350">
        <v>275181</v>
      </c>
      <c r="P115" s="710">
        <v>349113</v>
      </c>
      <c r="Q115" s="710">
        <v>352966</v>
      </c>
      <c r="R115" s="710">
        <v>344391</v>
      </c>
      <c r="S115" s="710">
        <v>331582</v>
      </c>
      <c r="T115" s="710">
        <v>310271</v>
      </c>
      <c r="U115" s="567">
        <v>320785</v>
      </c>
      <c r="V115" s="567">
        <v>329995</v>
      </c>
      <c r="W115" s="567">
        <v>325912</v>
      </c>
      <c r="X115" s="567">
        <v>297057</v>
      </c>
      <c r="Y115" s="567">
        <v>312924</v>
      </c>
      <c r="Z115" s="1540">
        <f>市町名目!B50</f>
        <v>324835</v>
      </c>
      <c r="AA115" s="1540">
        <f>市町名目!C50</f>
        <v>321795</v>
      </c>
      <c r="AB115" s="1540">
        <f>市町名目!D50</f>
        <v>330542</v>
      </c>
      <c r="AC115" s="1540">
        <f>市町名目!E50</f>
        <v>328633</v>
      </c>
      <c r="AD115" s="1540">
        <f>市町名目!F50</f>
        <v>353043</v>
      </c>
      <c r="AE115" s="1540">
        <f>市町名目!G50</f>
        <v>359259</v>
      </c>
      <c r="AF115" s="1540">
        <f>市町名目!H50</f>
        <v>367078</v>
      </c>
      <c r="AG115" s="1540">
        <f>市町名目!I50</f>
        <v>355140</v>
      </c>
      <c r="AH115" s="1540">
        <f>市町名目!J50</f>
        <v>359241</v>
      </c>
      <c r="AI115" s="1540">
        <f>市町名目!K50</f>
        <v>349957</v>
      </c>
      <c r="AJ115" s="1540">
        <f>市町名目!L50</f>
        <v>346247</v>
      </c>
      <c r="AK115" s="1540">
        <f>市町名目!M50</f>
        <v>342314</v>
      </c>
      <c r="AL115" s="1540">
        <f>市町名目!N50</f>
        <v>359200</v>
      </c>
    </row>
    <row r="116" spans="1:38" ht="12.5">
      <c r="A116" s="267"/>
      <c r="B116" s="249">
        <v>464</v>
      </c>
      <c r="C116" s="249" t="s">
        <v>208</v>
      </c>
      <c r="D116" s="350">
        <v>91720</v>
      </c>
      <c r="E116" s="350">
        <v>91360</v>
      </c>
      <c r="F116" s="350">
        <v>87170</v>
      </c>
      <c r="G116" s="350">
        <v>105402</v>
      </c>
      <c r="H116" s="350">
        <v>111242</v>
      </c>
      <c r="I116" s="350">
        <v>115347</v>
      </c>
      <c r="J116" s="350">
        <v>122461</v>
      </c>
      <c r="K116" s="350">
        <v>129819</v>
      </c>
      <c r="L116" s="350">
        <v>136887</v>
      </c>
      <c r="M116" s="350">
        <v>135043</v>
      </c>
      <c r="N116" s="350">
        <v>133337</v>
      </c>
      <c r="O116" s="350">
        <v>116633</v>
      </c>
      <c r="P116" s="710">
        <v>128712</v>
      </c>
      <c r="Q116" s="710">
        <v>135469</v>
      </c>
      <c r="R116" s="710">
        <v>126168</v>
      </c>
      <c r="S116" s="710">
        <v>121209</v>
      </c>
      <c r="T116" s="710">
        <v>111152</v>
      </c>
      <c r="U116" s="567">
        <v>108048</v>
      </c>
      <c r="V116" s="567">
        <v>114783</v>
      </c>
      <c r="W116" s="567">
        <v>100858</v>
      </c>
      <c r="X116" s="567">
        <v>93598</v>
      </c>
      <c r="Y116" s="567">
        <v>103095</v>
      </c>
      <c r="Z116" s="1540">
        <f>市町名目!B51</f>
        <v>106792</v>
      </c>
      <c r="AA116" s="1540">
        <f>市町名目!C51</f>
        <v>102795</v>
      </c>
      <c r="AB116" s="1540">
        <f>市町名目!D51</f>
        <v>89054</v>
      </c>
      <c r="AC116" s="1540">
        <f>市町名目!E51</f>
        <v>97127</v>
      </c>
      <c r="AD116" s="1540">
        <f>市町名目!F51</f>
        <v>60198</v>
      </c>
      <c r="AE116" s="1540">
        <f>市町名目!G51</f>
        <v>84747</v>
      </c>
      <c r="AF116" s="1540">
        <f>市町名目!H51</f>
        <v>103116</v>
      </c>
      <c r="AG116" s="1540">
        <f>市町名目!I51</f>
        <v>104158</v>
      </c>
      <c r="AH116" s="1540">
        <f>市町名目!J51</f>
        <v>101296</v>
      </c>
      <c r="AI116" s="1540">
        <f>市町名目!K51</f>
        <v>114490</v>
      </c>
      <c r="AJ116" s="1540">
        <f>市町名目!L51</f>
        <v>132980</v>
      </c>
      <c r="AK116" s="1540">
        <f>市町名目!M51</f>
        <v>103176</v>
      </c>
      <c r="AL116" s="1540">
        <f>市町名目!N51</f>
        <v>104256</v>
      </c>
    </row>
    <row r="117" spans="1:38" ht="12.5">
      <c r="A117" s="267"/>
      <c r="B117" s="249">
        <v>481</v>
      </c>
      <c r="C117" s="249" t="s">
        <v>209</v>
      </c>
      <c r="D117" s="350">
        <v>41026</v>
      </c>
      <c r="E117" s="350">
        <v>44843</v>
      </c>
      <c r="F117" s="350">
        <v>48010</v>
      </c>
      <c r="G117" s="350">
        <v>48081</v>
      </c>
      <c r="H117" s="350">
        <v>47301</v>
      </c>
      <c r="I117" s="350">
        <v>51802</v>
      </c>
      <c r="J117" s="350">
        <v>55103</v>
      </c>
      <c r="K117" s="350">
        <v>51113</v>
      </c>
      <c r="L117" s="350">
        <v>54498</v>
      </c>
      <c r="M117" s="350">
        <v>49609</v>
      </c>
      <c r="N117" s="350">
        <v>52457</v>
      </c>
      <c r="O117" s="350">
        <v>51007</v>
      </c>
      <c r="P117" s="710">
        <v>54614</v>
      </c>
      <c r="Q117" s="710">
        <v>51123</v>
      </c>
      <c r="R117" s="710">
        <v>49449</v>
      </c>
      <c r="S117" s="710">
        <v>50528</v>
      </c>
      <c r="T117" s="710">
        <v>48472</v>
      </c>
      <c r="U117" s="567">
        <v>47364</v>
      </c>
      <c r="V117" s="567">
        <v>48663</v>
      </c>
      <c r="W117" s="567">
        <v>45685</v>
      </c>
      <c r="X117" s="567">
        <v>43140</v>
      </c>
      <c r="Y117" s="567">
        <v>43239</v>
      </c>
      <c r="Z117" s="1540">
        <f>市町名目!B52</f>
        <v>40780</v>
      </c>
      <c r="AA117" s="1540">
        <f>市町名目!C52</f>
        <v>41212</v>
      </c>
      <c r="AB117" s="1540">
        <f>市町名目!D52</f>
        <v>42534</v>
      </c>
      <c r="AC117" s="1540">
        <f>市町名目!E52</f>
        <v>47325</v>
      </c>
      <c r="AD117" s="1540">
        <f>市町名目!F52</f>
        <v>49299</v>
      </c>
      <c r="AE117" s="1540">
        <f>市町名目!G52</f>
        <v>53653</v>
      </c>
      <c r="AF117" s="1540">
        <f>市町名目!H52</f>
        <v>52384</v>
      </c>
      <c r="AG117" s="1540">
        <f>市町名目!I52</f>
        <v>51794</v>
      </c>
      <c r="AH117" s="1540">
        <f>市町名目!J52</f>
        <v>50542</v>
      </c>
      <c r="AI117" s="1540">
        <f>市町名目!K52</f>
        <v>50015</v>
      </c>
      <c r="AJ117" s="1540">
        <f>市町名目!L52</f>
        <v>54604</v>
      </c>
      <c r="AK117" s="1540">
        <f>市町名目!M52</f>
        <v>52225</v>
      </c>
      <c r="AL117" s="1540">
        <f>市町名目!N52</f>
        <v>51988</v>
      </c>
    </row>
    <row r="118" spans="1:38" ht="12.5">
      <c r="A118" s="268"/>
      <c r="B118" s="249">
        <v>501</v>
      </c>
      <c r="C118" s="315" t="s">
        <v>335</v>
      </c>
      <c r="D118" s="350">
        <v>55415</v>
      </c>
      <c r="E118" s="350">
        <v>86845</v>
      </c>
      <c r="F118" s="350">
        <v>60781</v>
      </c>
      <c r="G118" s="350">
        <v>65899</v>
      </c>
      <c r="H118" s="350">
        <v>67754</v>
      </c>
      <c r="I118" s="350">
        <v>68075</v>
      </c>
      <c r="J118" s="350">
        <v>75833</v>
      </c>
      <c r="K118" s="350">
        <v>72097</v>
      </c>
      <c r="L118" s="350">
        <v>71285</v>
      </c>
      <c r="M118" s="350">
        <v>69843</v>
      </c>
      <c r="N118" s="350">
        <v>67062</v>
      </c>
      <c r="O118" s="350">
        <v>64440</v>
      </c>
      <c r="P118" s="710">
        <v>69131</v>
      </c>
      <c r="Q118" s="710">
        <v>71871</v>
      </c>
      <c r="R118" s="710">
        <v>69449</v>
      </c>
      <c r="S118" s="710">
        <v>69088</v>
      </c>
      <c r="T118" s="710">
        <v>63109</v>
      </c>
      <c r="U118" s="567">
        <v>63360</v>
      </c>
      <c r="V118" s="567">
        <v>62530</v>
      </c>
      <c r="W118" s="567">
        <v>60934</v>
      </c>
      <c r="X118" s="567">
        <v>59858</v>
      </c>
      <c r="Y118" s="567">
        <v>62000</v>
      </c>
      <c r="Z118" s="1540">
        <f>市町名目!B53</f>
        <v>59264</v>
      </c>
      <c r="AA118" s="1540">
        <f>市町名目!C53</f>
        <v>57365</v>
      </c>
      <c r="AB118" s="1540">
        <f>市町名目!D53</f>
        <v>60095</v>
      </c>
      <c r="AC118" s="1540">
        <f>市町名目!E53</f>
        <v>59398</v>
      </c>
      <c r="AD118" s="1540">
        <f>市町名目!F53</f>
        <v>61100</v>
      </c>
      <c r="AE118" s="1540">
        <f>市町名目!G53</f>
        <v>60975</v>
      </c>
      <c r="AF118" s="1540">
        <f>市町名目!H53</f>
        <v>62776</v>
      </c>
      <c r="AG118" s="1540">
        <f>市町名目!I53</f>
        <v>64020</v>
      </c>
      <c r="AH118" s="1540">
        <f>市町名目!J53</f>
        <v>63871</v>
      </c>
      <c r="AI118" s="1540">
        <f>市町名目!K53</f>
        <v>59103</v>
      </c>
      <c r="AJ118" s="1540">
        <f>市町名目!L53</f>
        <v>61915</v>
      </c>
      <c r="AK118" s="1540">
        <f>市町名目!M53</f>
        <v>62045</v>
      </c>
      <c r="AL118" s="1540">
        <f>市町名目!N53</f>
        <v>64461</v>
      </c>
    </row>
    <row r="119" spans="1:38" ht="12.5">
      <c r="A119" s="267" t="s">
        <v>346</v>
      </c>
      <c r="B119" s="270">
        <v>7</v>
      </c>
      <c r="C119" s="270" t="s">
        <v>210</v>
      </c>
      <c r="D119" s="349">
        <v>544201</v>
      </c>
      <c r="E119" s="349">
        <v>575930</v>
      </c>
      <c r="F119" s="349">
        <v>599262</v>
      </c>
      <c r="G119" s="349">
        <v>640142</v>
      </c>
      <c r="H119" s="349">
        <v>623559</v>
      </c>
      <c r="I119" s="349">
        <v>655625</v>
      </c>
      <c r="J119" s="349">
        <v>691925</v>
      </c>
      <c r="K119" s="349">
        <v>710593</v>
      </c>
      <c r="L119" s="349">
        <v>705992</v>
      </c>
      <c r="M119" s="349">
        <v>697265</v>
      </c>
      <c r="N119" s="349">
        <v>696485</v>
      </c>
      <c r="O119" s="349">
        <v>661996</v>
      </c>
      <c r="P119" s="710">
        <v>698553</v>
      </c>
      <c r="Q119" s="710">
        <v>717542</v>
      </c>
      <c r="R119" s="710">
        <v>681602</v>
      </c>
      <c r="S119" s="710">
        <v>680158</v>
      </c>
      <c r="T119" s="710">
        <v>660508</v>
      </c>
      <c r="U119" s="567">
        <v>650836</v>
      </c>
      <c r="V119" s="567">
        <v>656544</v>
      </c>
      <c r="W119" s="567">
        <v>620840</v>
      </c>
      <c r="X119" s="567">
        <v>590862</v>
      </c>
      <c r="Y119" s="567">
        <v>593306</v>
      </c>
      <c r="Z119" s="1540">
        <f>市町名目!B54</f>
        <v>565410</v>
      </c>
      <c r="AA119" s="1540">
        <f>市町名目!C54</f>
        <v>570909</v>
      </c>
      <c r="AB119" s="1540">
        <f>市町名目!D54</f>
        <v>610691</v>
      </c>
      <c r="AC119" s="1540">
        <f>市町名目!E54</f>
        <v>612526</v>
      </c>
      <c r="AD119" s="1540">
        <f>市町名目!F54</f>
        <v>630036</v>
      </c>
      <c r="AE119" s="1540">
        <f>市町名目!G54</f>
        <v>622690</v>
      </c>
      <c r="AF119" s="1540">
        <f>市町名目!H54</f>
        <v>637010</v>
      </c>
      <c r="AG119" s="1540">
        <f>市町名目!I54</f>
        <v>625315</v>
      </c>
      <c r="AH119" s="1540">
        <f>市町名目!J54</f>
        <v>636327</v>
      </c>
      <c r="AI119" s="1540">
        <f>市町名目!K54</f>
        <v>639162</v>
      </c>
      <c r="AJ119" s="1540">
        <f>市町名目!L54</f>
        <v>604482</v>
      </c>
      <c r="AK119" s="1540">
        <f>市町名目!M54</f>
        <v>593538</v>
      </c>
      <c r="AL119" s="1540">
        <f>市町名目!N54</f>
        <v>604135</v>
      </c>
    </row>
    <row r="120" spans="1:38" ht="12.5">
      <c r="A120" s="267"/>
      <c r="B120" s="249">
        <v>209</v>
      </c>
      <c r="C120" s="249" t="s">
        <v>336</v>
      </c>
      <c r="D120" s="350">
        <v>259989</v>
      </c>
      <c r="E120" s="350">
        <v>272106</v>
      </c>
      <c r="F120" s="350">
        <v>283437</v>
      </c>
      <c r="G120" s="350">
        <v>303960</v>
      </c>
      <c r="H120" s="350">
        <v>293303</v>
      </c>
      <c r="I120" s="350">
        <v>311200</v>
      </c>
      <c r="J120" s="350">
        <v>324117</v>
      </c>
      <c r="K120" s="350">
        <v>331414</v>
      </c>
      <c r="L120" s="350">
        <v>331052</v>
      </c>
      <c r="M120" s="350">
        <v>327034</v>
      </c>
      <c r="N120" s="350">
        <v>326645</v>
      </c>
      <c r="O120" s="350">
        <v>311939</v>
      </c>
      <c r="P120" s="710">
        <v>329940</v>
      </c>
      <c r="Q120" s="710">
        <v>348871</v>
      </c>
      <c r="R120" s="710">
        <v>330184</v>
      </c>
      <c r="S120" s="710">
        <v>331425</v>
      </c>
      <c r="T120" s="710">
        <v>322138</v>
      </c>
      <c r="U120" s="567">
        <v>318495</v>
      </c>
      <c r="V120" s="567">
        <v>319419</v>
      </c>
      <c r="W120" s="567">
        <v>305079</v>
      </c>
      <c r="X120" s="567">
        <v>292925</v>
      </c>
      <c r="Y120" s="567">
        <v>292937</v>
      </c>
      <c r="Z120" s="1540">
        <f>市町名目!B55</f>
        <v>274173</v>
      </c>
      <c r="AA120" s="1540">
        <f>市町名目!C55</f>
        <v>280458</v>
      </c>
      <c r="AB120" s="1540">
        <f>市町名目!D55</f>
        <v>301055</v>
      </c>
      <c r="AC120" s="1540">
        <f>市町名目!E55</f>
        <v>294759</v>
      </c>
      <c r="AD120" s="1540">
        <f>市町名目!F55</f>
        <v>309490</v>
      </c>
      <c r="AE120" s="1540">
        <f>市町名目!G55</f>
        <v>310452</v>
      </c>
      <c r="AF120" s="1540">
        <f>市町名目!H55</f>
        <v>312007</v>
      </c>
      <c r="AG120" s="1540">
        <f>市町名目!I55</f>
        <v>311198</v>
      </c>
      <c r="AH120" s="1540">
        <f>市町名目!J55</f>
        <v>312773</v>
      </c>
      <c r="AI120" s="1540">
        <f>市町名目!K55</f>
        <v>297021</v>
      </c>
      <c r="AJ120" s="1540">
        <f>市町名目!L55</f>
        <v>298834</v>
      </c>
      <c r="AK120" s="1540">
        <f>市町名目!M55</f>
        <v>297701</v>
      </c>
      <c r="AL120" s="1540">
        <f>市町名目!N55</f>
        <v>306664</v>
      </c>
    </row>
    <row r="121" spans="1:38" ht="12.5">
      <c r="A121" s="267"/>
      <c r="B121" s="249">
        <v>222</v>
      </c>
      <c r="C121" s="249" t="s">
        <v>337</v>
      </c>
      <c r="D121" s="350">
        <v>81400</v>
      </c>
      <c r="E121" s="350">
        <v>89279</v>
      </c>
      <c r="F121" s="350">
        <v>91924</v>
      </c>
      <c r="G121" s="350">
        <v>93543</v>
      </c>
      <c r="H121" s="350">
        <v>94636</v>
      </c>
      <c r="I121" s="350">
        <v>98302</v>
      </c>
      <c r="J121" s="350">
        <v>107179</v>
      </c>
      <c r="K121" s="350">
        <v>111626</v>
      </c>
      <c r="L121" s="350">
        <v>109625</v>
      </c>
      <c r="M121" s="350">
        <v>108273</v>
      </c>
      <c r="N121" s="350">
        <v>105251</v>
      </c>
      <c r="O121" s="350">
        <v>98459</v>
      </c>
      <c r="P121" s="710">
        <v>100690</v>
      </c>
      <c r="Q121" s="710">
        <v>109644</v>
      </c>
      <c r="R121" s="710">
        <v>97635</v>
      </c>
      <c r="S121" s="710">
        <v>95774</v>
      </c>
      <c r="T121" s="710">
        <v>95005</v>
      </c>
      <c r="U121" s="567">
        <v>94601</v>
      </c>
      <c r="V121" s="567">
        <v>91284</v>
      </c>
      <c r="W121" s="567">
        <v>85601</v>
      </c>
      <c r="X121" s="567">
        <v>73340</v>
      </c>
      <c r="Y121" s="567">
        <v>78175</v>
      </c>
      <c r="Z121" s="1540">
        <f>市町名目!B56</f>
        <v>83905</v>
      </c>
      <c r="AA121" s="1540">
        <f>市町名目!C56</f>
        <v>85295</v>
      </c>
      <c r="AB121" s="1540">
        <f>市町名目!D56</f>
        <v>89904</v>
      </c>
      <c r="AC121" s="1540">
        <f>市町名目!E56</f>
        <v>90408</v>
      </c>
      <c r="AD121" s="1540">
        <f>市町名目!F56</f>
        <v>85915</v>
      </c>
      <c r="AE121" s="1540">
        <f>市町名目!G56</f>
        <v>86105</v>
      </c>
      <c r="AF121" s="1540">
        <f>市町名目!H56</f>
        <v>87835</v>
      </c>
      <c r="AG121" s="1540">
        <f>市町名目!I56</f>
        <v>83834</v>
      </c>
      <c r="AH121" s="1540">
        <f>市町名目!J56</f>
        <v>80066</v>
      </c>
      <c r="AI121" s="1540">
        <f>市町名目!K56</f>
        <v>77584</v>
      </c>
      <c r="AJ121" s="1540">
        <f>市町名目!L56</f>
        <v>82546</v>
      </c>
      <c r="AK121" s="1540">
        <f>市町名目!M56</f>
        <v>82721</v>
      </c>
      <c r="AL121" s="1540">
        <f>市町名目!N56</f>
        <v>77366</v>
      </c>
    </row>
    <row r="122" spans="1:38" ht="12.5">
      <c r="A122" s="267"/>
      <c r="B122" s="249">
        <v>225</v>
      </c>
      <c r="C122" s="249" t="s">
        <v>222</v>
      </c>
      <c r="D122" s="350">
        <v>102311</v>
      </c>
      <c r="E122" s="350">
        <v>109942</v>
      </c>
      <c r="F122" s="350">
        <v>112983</v>
      </c>
      <c r="G122" s="350">
        <v>120207</v>
      </c>
      <c r="H122" s="350">
        <v>121780</v>
      </c>
      <c r="I122" s="350">
        <v>130308</v>
      </c>
      <c r="J122" s="350">
        <v>141703</v>
      </c>
      <c r="K122" s="350">
        <v>146201</v>
      </c>
      <c r="L122" s="350">
        <v>142054</v>
      </c>
      <c r="M122" s="350">
        <v>141426</v>
      </c>
      <c r="N122" s="350">
        <v>144116</v>
      </c>
      <c r="O122" s="350">
        <v>135799</v>
      </c>
      <c r="P122" s="710">
        <v>147436</v>
      </c>
      <c r="Q122" s="710">
        <v>140207</v>
      </c>
      <c r="R122" s="710">
        <v>137225</v>
      </c>
      <c r="S122" s="710">
        <v>136452</v>
      </c>
      <c r="T122" s="710">
        <v>128912</v>
      </c>
      <c r="U122" s="567">
        <v>127051</v>
      </c>
      <c r="V122" s="567">
        <v>136688</v>
      </c>
      <c r="W122" s="567">
        <v>128650</v>
      </c>
      <c r="X122" s="567">
        <v>127194</v>
      </c>
      <c r="Y122" s="567">
        <v>128911</v>
      </c>
      <c r="Z122" s="1540">
        <f>市町名目!B57</f>
        <v>118462</v>
      </c>
      <c r="AA122" s="1540">
        <f>市町名目!C57</f>
        <v>115101</v>
      </c>
      <c r="AB122" s="1540">
        <f>市町名目!D57</f>
        <v>122019</v>
      </c>
      <c r="AC122" s="1540">
        <f>市町名目!E57</f>
        <v>128146</v>
      </c>
      <c r="AD122" s="1540">
        <f>市町名目!F57</f>
        <v>127954</v>
      </c>
      <c r="AE122" s="1540">
        <f>市町名目!G57</f>
        <v>126543</v>
      </c>
      <c r="AF122" s="1540">
        <f>市町名目!H57</f>
        <v>131273</v>
      </c>
      <c r="AG122" s="1540">
        <f>市町名目!I57</f>
        <v>126726</v>
      </c>
      <c r="AH122" s="1540">
        <f>市町名目!J57</f>
        <v>139968</v>
      </c>
      <c r="AI122" s="1540">
        <f>市町名目!K57</f>
        <v>167290</v>
      </c>
      <c r="AJ122" s="1540">
        <f>市町名目!L57</f>
        <v>126362</v>
      </c>
      <c r="AK122" s="1540">
        <f>市町名目!M57</f>
        <v>116519</v>
      </c>
      <c r="AL122" s="1540">
        <f>市町名目!N57</f>
        <v>118729</v>
      </c>
    </row>
    <row r="123" spans="1:38" ht="12.5">
      <c r="A123" s="267"/>
      <c r="B123" s="249">
        <v>585</v>
      </c>
      <c r="C123" s="249" t="s">
        <v>220</v>
      </c>
      <c r="D123" s="350">
        <v>58468</v>
      </c>
      <c r="E123" s="350">
        <v>61246</v>
      </c>
      <c r="F123" s="350">
        <v>64399</v>
      </c>
      <c r="G123" s="350">
        <v>70313</v>
      </c>
      <c r="H123" s="350">
        <v>64708</v>
      </c>
      <c r="I123" s="350">
        <v>68219</v>
      </c>
      <c r="J123" s="350">
        <v>69671</v>
      </c>
      <c r="K123" s="350">
        <v>70598</v>
      </c>
      <c r="L123" s="350">
        <v>70578</v>
      </c>
      <c r="M123" s="350">
        <v>71357</v>
      </c>
      <c r="N123" s="350">
        <v>69867</v>
      </c>
      <c r="O123" s="350">
        <v>66982</v>
      </c>
      <c r="P123" s="710">
        <v>69892</v>
      </c>
      <c r="Q123" s="710">
        <v>68671</v>
      </c>
      <c r="R123" s="710">
        <v>66655</v>
      </c>
      <c r="S123" s="710">
        <v>66762</v>
      </c>
      <c r="T123" s="710">
        <v>66512</v>
      </c>
      <c r="U123" s="567">
        <v>63540</v>
      </c>
      <c r="V123" s="567">
        <v>63061</v>
      </c>
      <c r="W123" s="567">
        <v>58843</v>
      </c>
      <c r="X123" s="567">
        <v>56494</v>
      </c>
      <c r="Y123" s="567">
        <v>53976</v>
      </c>
      <c r="Z123" s="1540">
        <f>市町名目!B58</f>
        <v>51320</v>
      </c>
      <c r="AA123" s="1540">
        <f>市町名目!C58</f>
        <v>52533</v>
      </c>
      <c r="AB123" s="1540">
        <f>市町名目!D58</f>
        <v>55368</v>
      </c>
      <c r="AC123" s="1540">
        <f>市町名目!E58</f>
        <v>55623</v>
      </c>
      <c r="AD123" s="1540">
        <f>市町名目!F58</f>
        <v>55465</v>
      </c>
      <c r="AE123" s="1540">
        <f>市町名目!G58</f>
        <v>55847</v>
      </c>
      <c r="AF123" s="1540">
        <f>市町名目!H58</f>
        <v>58677</v>
      </c>
      <c r="AG123" s="1540">
        <f>市町名目!I58</f>
        <v>55691</v>
      </c>
      <c r="AH123" s="1540">
        <f>市町名目!J58</f>
        <v>56011</v>
      </c>
      <c r="AI123" s="1540">
        <f>市町名目!K58</f>
        <v>52788</v>
      </c>
      <c r="AJ123" s="1540">
        <f>市町名目!L58</f>
        <v>52162</v>
      </c>
      <c r="AK123" s="1540">
        <f>市町名目!M58</f>
        <v>52921</v>
      </c>
      <c r="AL123" s="1540">
        <f>市町名目!N58</f>
        <v>54653</v>
      </c>
    </row>
    <row r="124" spans="1:38" ht="12.5">
      <c r="A124" s="268"/>
      <c r="B124" s="269">
        <v>586</v>
      </c>
      <c r="C124" s="269" t="s">
        <v>338</v>
      </c>
      <c r="D124" s="402">
        <v>42033</v>
      </c>
      <c r="E124" s="402">
        <v>43357</v>
      </c>
      <c r="F124" s="402">
        <v>46519</v>
      </c>
      <c r="G124" s="402">
        <v>52119</v>
      </c>
      <c r="H124" s="402">
        <v>49132</v>
      </c>
      <c r="I124" s="402">
        <v>47596</v>
      </c>
      <c r="J124" s="402">
        <v>49255</v>
      </c>
      <c r="K124" s="402">
        <v>50754</v>
      </c>
      <c r="L124" s="402">
        <v>52683</v>
      </c>
      <c r="M124" s="402">
        <v>49175</v>
      </c>
      <c r="N124" s="402">
        <v>50606</v>
      </c>
      <c r="O124" s="402">
        <v>48817</v>
      </c>
      <c r="P124" s="710">
        <v>50595</v>
      </c>
      <c r="Q124" s="710">
        <v>50149</v>
      </c>
      <c r="R124" s="710">
        <v>49903</v>
      </c>
      <c r="S124" s="710">
        <v>49745</v>
      </c>
      <c r="T124" s="710">
        <v>47941</v>
      </c>
      <c r="U124" s="567">
        <v>47149</v>
      </c>
      <c r="V124" s="567">
        <v>46092</v>
      </c>
      <c r="W124" s="567">
        <v>42667</v>
      </c>
      <c r="X124" s="567">
        <v>40909</v>
      </c>
      <c r="Y124" s="567">
        <v>39307</v>
      </c>
      <c r="Z124" s="1540">
        <f>市町名目!B59</f>
        <v>37550</v>
      </c>
      <c r="AA124" s="1540">
        <f>市町名目!C59</f>
        <v>37522</v>
      </c>
      <c r="AB124" s="1540">
        <f>市町名目!D59</f>
        <v>42345</v>
      </c>
      <c r="AC124" s="1540">
        <f>市町名目!E59</f>
        <v>43590</v>
      </c>
      <c r="AD124" s="1540">
        <f>市町名目!F59</f>
        <v>51212</v>
      </c>
      <c r="AE124" s="1540">
        <f>市町名目!G59</f>
        <v>43743</v>
      </c>
      <c r="AF124" s="1540">
        <f>市町名目!H59</f>
        <v>47218</v>
      </c>
      <c r="AG124" s="1540">
        <f>市町名目!I59</f>
        <v>47866</v>
      </c>
      <c r="AH124" s="1540">
        <f>市町名目!J59</f>
        <v>47509</v>
      </c>
      <c r="AI124" s="1540">
        <f>市町名目!K59</f>
        <v>44479</v>
      </c>
      <c r="AJ124" s="1540">
        <f>市町名目!L59</f>
        <v>44578</v>
      </c>
      <c r="AK124" s="1540">
        <f>市町名目!M59</f>
        <v>43676</v>
      </c>
      <c r="AL124" s="1540">
        <f>市町名目!N59</f>
        <v>46723</v>
      </c>
    </row>
    <row r="125" spans="1:38" ht="12.5">
      <c r="A125" s="267" t="s">
        <v>346</v>
      </c>
      <c r="B125" s="249">
        <v>8</v>
      </c>
      <c r="C125" s="249" t="s">
        <v>211</v>
      </c>
      <c r="D125" s="350">
        <v>310091</v>
      </c>
      <c r="E125" s="350">
        <v>336109</v>
      </c>
      <c r="F125" s="350">
        <v>356683</v>
      </c>
      <c r="G125" s="350">
        <v>372205</v>
      </c>
      <c r="H125" s="350">
        <v>391764</v>
      </c>
      <c r="I125" s="350">
        <v>411887</v>
      </c>
      <c r="J125" s="350">
        <v>415938</v>
      </c>
      <c r="K125" s="350">
        <v>389187</v>
      </c>
      <c r="L125" s="350">
        <v>386174</v>
      </c>
      <c r="M125" s="350">
        <v>364968</v>
      </c>
      <c r="N125" s="350">
        <v>379849</v>
      </c>
      <c r="O125" s="350">
        <v>373285</v>
      </c>
      <c r="P125" s="710">
        <v>417845</v>
      </c>
      <c r="Q125" s="710">
        <v>423193</v>
      </c>
      <c r="R125" s="710">
        <v>412250</v>
      </c>
      <c r="S125" s="710">
        <v>404197</v>
      </c>
      <c r="T125" s="710">
        <v>394029</v>
      </c>
      <c r="U125" s="567">
        <v>401533</v>
      </c>
      <c r="V125" s="567">
        <v>415088</v>
      </c>
      <c r="W125" s="567">
        <v>380952</v>
      </c>
      <c r="X125" s="567">
        <v>359639</v>
      </c>
      <c r="Y125" s="567">
        <v>369196</v>
      </c>
      <c r="Z125" s="1540">
        <f>市町名目!B60</f>
        <v>355318</v>
      </c>
      <c r="AA125" s="1540">
        <f>市町名目!C60</f>
        <v>285502</v>
      </c>
      <c r="AB125" s="1540">
        <f>市町名目!D60</f>
        <v>397845</v>
      </c>
      <c r="AC125" s="1540">
        <f>市町名目!E60</f>
        <v>391493</v>
      </c>
      <c r="AD125" s="1540">
        <f>市町名目!F60</f>
        <v>418388</v>
      </c>
      <c r="AE125" s="1540">
        <f>市町名目!G60</f>
        <v>422586</v>
      </c>
      <c r="AF125" s="1540">
        <f>市町名目!H60</f>
        <v>426693</v>
      </c>
      <c r="AG125" s="1540">
        <f>市町名目!I60</f>
        <v>438473</v>
      </c>
      <c r="AH125" s="1540">
        <f>市町名目!J60</f>
        <v>474718</v>
      </c>
      <c r="AI125" s="1540">
        <f>市町名目!K60</f>
        <v>453080</v>
      </c>
      <c r="AJ125" s="1540">
        <f>市町名目!L60</f>
        <v>460054</v>
      </c>
      <c r="AK125" s="1540">
        <f>市町名目!M60</f>
        <v>464432</v>
      </c>
      <c r="AL125" s="1540">
        <f>市町名目!N60</f>
        <v>481731</v>
      </c>
    </row>
    <row r="126" spans="1:38" ht="12.5">
      <c r="A126" s="267"/>
      <c r="B126" s="249">
        <v>221</v>
      </c>
      <c r="C126" s="249" t="s">
        <v>1157</v>
      </c>
      <c r="D126" s="350">
        <v>107323</v>
      </c>
      <c r="E126" s="350">
        <v>118672</v>
      </c>
      <c r="F126" s="350">
        <v>135195</v>
      </c>
      <c r="G126" s="350">
        <v>147030</v>
      </c>
      <c r="H126" s="350">
        <v>163104</v>
      </c>
      <c r="I126" s="350">
        <v>173962</v>
      </c>
      <c r="J126" s="350">
        <v>180417</v>
      </c>
      <c r="K126" s="350">
        <v>156181</v>
      </c>
      <c r="L126" s="350">
        <v>149904</v>
      </c>
      <c r="M126" s="350">
        <v>138949</v>
      </c>
      <c r="N126" s="350">
        <v>143920</v>
      </c>
      <c r="O126" s="350">
        <v>146244</v>
      </c>
      <c r="P126" s="710">
        <v>163022</v>
      </c>
      <c r="Q126" s="710">
        <v>164165</v>
      </c>
      <c r="R126" s="710">
        <v>161006</v>
      </c>
      <c r="S126" s="710">
        <v>150154</v>
      </c>
      <c r="T126" s="710">
        <v>149947</v>
      </c>
      <c r="U126" s="567">
        <v>155475</v>
      </c>
      <c r="V126" s="567">
        <v>157610</v>
      </c>
      <c r="W126" s="567">
        <v>149429</v>
      </c>
      <c r="X126" s="567">
        <v>144484</v>
      </c>
      <c r="Y126" s="567">
        <v>148944</v>
      </c>
      <c r="Z126" s="1540">
        <f>市町名目!B61</f>
        <v>115472</v>
      </c>
      <c r="AA126" s="1540">
        <f>市町名目!C61</f>
        <v>50039</v>
      </c>
      <c r="AB126" s="1540">
        <f>市町名目!D61</f>
        <v>146604</v>
      </c>
      <c r="AC126" s="1540">
        <f>市町名目!E61</f>
        <v>145452</v>
      </c>
      <c r="AD126" s="1540">
        <f>市町名目!F61</f>
        <v>158212</v>
      </c>
      <c r="AE126" s="1540">
        <f>市町名目!G61</f>
        <v>161184</v>
      </c>
      <c r="AF126" s="1540">
        <f>市町名目!H61</f>
        <v>167066</v>
      </c>
      <c r="AG126" s="1540">
        <f>市町名目!I61</f>
        <v>183058</v>
      </c>
      <c r="AH126" s="1540">
        <f>市町名目!J61</f>
        <v>216487</v>
      </c>
      <c r="AI126" s="1540">
        <f>市町名目!K61</f>
        <v>205887</v>
      </c>
      <c r="AJ126" s="1540">
        <f>市町名目!L61</f>
        <v>199933</v>
      </c>
      <c r="AK126" s="1540">
        <f>市町名目!M61</f>
        <v>203897</v>
      </c>
      <c r="AL126" s="1540">
        <f>市町名目!N61</f>
        <v>214565</v>
      </c>
    </row>
    <row r="127" spans="1:38" ht="12.5">
      <c r="A127" s="267"/>
      <c r="B127" s="249">
        <v>223</v>
      </c>
      <c r="C127" s="249" t="s">
        <v>223</v>
      </c>
      <c r="D127" s="350">
        <v>202768</v>
      </c>
      <c r="E127" s="350">
        <v>217437</v>
      </c>
      <c r="F127" s="350">
        <v>221488</v>
      </c>
      <c r="G127" s="350">
        <v>225175</v>
      </c>
      <c r="H127" s="350">
        <v>228660</v>
      </c>
      <c r="I127" s="350">
        <v>237925</v>
      </c>
      <c r="J127" s="350">
        <v>235521</v>
      </c>
      <c r="K127" s="350">
        <v>233006</v>
      </c>
      <c r="L127" s="350">
        <v>236270</v>
      </c>
      <c r="M127" s="350">
        <v>226019</v>
      </c>
      <c r="N127" s="350">
        <v>235929</v>
      </c>
      <c r="O127" s="350">
        <v>227041</v>
      </c>
      <c r="P127" s="710">
        <v>254823</v>
      </c>
      <c r="Q127" s="710">
        <v>259028</v>
      </c>
      <c r="R127" s="710">
        <v>251244</v>
      </c>
      <c r="S127" s="710">
        <v>254043</v>
      </c>
      <c r="T127" s="710">
        <v>244082</v>
      </c>
      <c r="U127" s="567">
        <v>246058</v>
      </c>
      <c r="V127" s="567">
        <v>257478</v>
      </c>
      <c r="W127" s="567">
        <v>231523</v>
      </c>
      <c r="X127" s="567">
        <v>215155</v>
      </c>
      <c r="Y127" s="567">
        <v>220252</v>
      </c>
      <c r="Z127" s="1540">
        <f>市町名目!B62</f>
        <v>239846</v>
      </c>
      <c r="AA127" s="1540">
        <f>市町名目!C62</f>
        <v>235463</v>
      </c>
      <c r="AB127" s="1540">
        <f>市町名目!D62</f>
        <v>251241</v>
      </c>
      <c r="AC127" s="1540">
        <f>市町名目!E62</f>
        <v>246041</v>
      </c>
      <c r="AD127" s="1540">
        <f>市町名目!F62</f>
        <v>260176</v>
      </c>
      <c r="AE127" s="1540">
        <f>市町名目!G62</f>
        <v>261402</v>
      </c>
      <c r="AF127" s="1540">
        <f>市町名目!H62</f>
        <v>259627</v>
      </c>
      <c r="AG127" s="1540">
        <f>市町名目!I62</f>
        <v>255415</v>
      </c>
      <c r="AH127" s="1540">
        <f>市町名目!J62</f>
        <v>258231</v>
      </c>
      <c r="AI127" s="1540">
        <f>市町名目!K62</f>
        <v>247193</v>
      </c>
      <c r="AJ127" s="1540">
        <f>市町名目!L62</f>
        <v>260121</v>
      </c>
      <c r="AK127" s="1540">
        <f>市町名目!M62</f>
        <v>260535</v>
      </c>
      <c r="AL127" s="1540">
        <f>市町名目!N62</f>
        <v>267166</v>
      </c>
    </row>
    <row r="128" spans="1:38" ht="12.5">
      <c r="A128" s="273" t="s">
        <v>344</v>
      </c>
      <c r="B128" s="270">
        <v>9</v>
      </c>
      <c r="C128" s="270" t="s">
        <v>212</v>
      </c>
      <c r="D128" s="349">
        <v>472830</v>
      </c>
      <c r="E128" s="349">
        <v>506270</v>
      </c>
      <c r="F128" s="349">
        <v>514980</v>
      </c>
      <c r="G128" s="349">
        <v>550722</v>
      </c>
      <c r="H128" s="349">
        <v>550688</v>
      </c>
      <c r="I128" s="349">
        <v>563191</v>
      </c>
      <c r="J128" s="349">
        <v>577520</v>
      </c>
      <c r="K128" s="349">
        <v>600422</v>
      </c>
      <c r="L128" s="349">
        <v>570957</v>
      </c>
      <c r="M128" s="349">
        <v>556381</v>
      </c>
      <c r="N128" s="349">
        <v>551268</v>
      </c>
      <c r="O128" s="349">
        <v>519605</v>
      </c>
      <c r="P128" s="710">
        <v>583193</v>
      </c>
      <c r="Q128" s="710">
        <v>573697</v>
      </c>
      <c r="R128" s="710">
        <v>535946</v>
      </c>
      <c r="S128" s="710">
        <v>527508</v>
      </c>
      <c r="T128" s="710">
        <v>510263</v>
      </c>
      <c r="U128" s="567">
        <v>510481</v>
      </c>
      <c r="V128" s="567">
        <v>503552</v>
      </c>
      <c r="W128" s="567">
        <v>481250</v>
      </c>
      <c r="X128" s="567">
        <v>461709</v>
      </c>
      <c r="Y128" s="567">
        <v>471995</v>
      </c>
      <c r="Z128" s="1540">
        <f>市町名目!B63</f>
        <v>441034</v>
      </c>
      <c r="AA128" s="1540">
        <f>市町名目!C63</f>
        <v>438016</v>
      </c>
      <c r="AB128" s="1540">
        <f>市町名目!D63</f>
        <v>448165</v>
      </c>
      <c r="AC128" s="1540">
        <f>市町名目!E63</f>
        <v>443917</v>
      </c>
      <c r="AD128" s="1540">
        <f>市町名目!F63</f>
        <v>465211</v>
      </c>
      <c r="AE128" s="1540">
        <f>市町名目!G63</f>
        <v>470451</v>
      </c>
      <c r="AF128" s="1540">
        <f>市町名目!H63</f>
        <v>467945</v>
      </c>
      <c r="AG128" s="1540">
        <f>市町名目!I63</f>
        <v>465034</v>
      </c>
      <c r="AH128" s="1540">
        <f>市町名目!J63</f>
        <v>468995</v>
      </c>
      <c r="AI128" s="1540">
        <f>市町名目!K63</f>
        <v>441594</v>
      </c>
      <c r="AJ128" s="1540">
        <f>市町名目!L63</f>
        <v>452131</v>
      </c>
      <c r="AK128" s="1540">
        <f>市町名目!M63</f>
        <v>475417</v>
      </c>
      <c r="AL128" s="1540">
        <f>市町名目!N63</f>
        <v>501130</v>
      </c>
    </row>
    <row r="129" spans="1:38" ht="12.5">
      <c r="A129" s="267"/>
      <c r="B129" s="249">
        <v>205</v>
      </c>
      <c r="C129" s="249" t="s">
        <v>339</v>
      </c>
      <c r="D129" s="350">
        <v>197724</v>
      </c>
      <c r="E129" s="350">
        <v>210337</v>
      </c>
      <c r="F129" s="350">
        <v>209474</v>
      </c>
      <c r="G129" s="350">
        <v>221947</v>
      </c>
      <c r="H129" s="350">
        <v>231080</v>
      </c>
      <c r="I129" s="350">
        <v>227613</v>
      </c>
      <c r="J129" s="350">
        <v>229647</v>
      </c>
      <c r="K129" s="350">
        <v>244126</v>
      </c>
      <c r="L129" s="350">
        <v>229993</v>
      </c>
      <c r="M129" s="350">
        <v>226322</v>
      </c>
      <c r="N129" s="350">
        <v>236860</v>
      </c>
      <c r="O129" s="350">
        <v>217164</v>
      </c>
      <c r="P129" s="710">
        <v>243050</v>
      </c>
      <c r="Q129" s="710">
        <v>229016</v>
      </c>
      <c r="R129" s="710">
        <v>204304</v>
      </c>
      <c r="S129" s="710">
        <v>204802</v>
      </c>
      <c r="T129" s="710">
        <v>203636</v>
      </c>
      <c r="U129" s="567">
        <v>203392</v>
      </c>
      <c r="V129" s="567">
        <v>195653</v>
      </c>
      <c r="W129" s="567">
        <v>181808</v>
      </c>
      <c r="X129" s="567">
        <v>177993</v>
      </c>
      <c r="Y129" s="567">
        <v>180798</v>
      </c>
      <c r="Z129" s="1540">
        <f>市町名目!B64</f>
        <v>155744</v>
      </c>
      <c r="AA129" s="1540">
        <f>市町名目!C64</f>
        <v>154460</v>
      </c>
      <c r="AB129" s="1540">
        <f>市町名目!D64</f>
        <v>157693</v>
      </c>
      <c r="AC129" s="1540">
        <f>市町名目!E64</f>
        <v>154806</v>
      </c>
      <c r="AD129" s="1540">
        <f>市町名目!F64</f>
        <v>166404</v>
      </c>
      <c r="AE129" s="1540">
        <f>市町名目!G64</f>
        <v>159950</v>
      </c>
      <c r="AF129" s="1540">
        <f>市町名目!H64</f>
        <v>159140</v>
      </c>
      <c r="AG129" s="1540">
        <f>市町名目!I64</f>
        <v>157981</v>
      </c>
      <c r="AH129" s="1540">
        <f>市町名目!J64</f>
        <v>157474</v>
      </c>
      <c r="AI129" s="1540">
        <f>市町名目!K64</f>
        <v>148521</v>
      </c>
      <c r="AJ129" s="1540">
        <f>市町名目!L64</f>
        <v>154199</v>
      </c>
      <c r="AK129" s="1540">
        <f>市町名目!M64</f>
        <v>167515</v>
      </c>
      <c r="AL129" s="1540">
        <f>市町名目!N64</f>
        <v>175079</v>
      </c>
    </row>
    <row r="130" spans="1:38" ht="12.5">
      <c r="A130" s="267"/>
      <c r="B130" s="249">
        <v>224</v>
      </c>
      <c r="C130" s="249" t="s">
        <v>224</v>
      </c>
      <c r="D130" s="350">
        <v>150359</v>
      </c>
      <c r="E130" s="350">
        <v>160491</v>
      </c>
      <c r="F130" s="350">
        <v>165528</v>
      </c>
      <c r="G130" s="350">
        <v>183043</v>
      </c>
      <c r="H130" s="350">
        <v>179942</v>
      </c>
      <c r="I130" s="350">
        <v>176643</v>
      </c>
      <c r="J130" s="350">
        <v>185287</v>
      </c>
      <c r="K130" s="350">
        <v>182209</v>
      </c>
      <c r="L130" s="350">
        <v>181377</v>
      </c>
      <c r="M130" s="350">
        <v>167057</v>
      </c>
      <c r="N130" s="350">
        <v>169671</v>
      </c>
      <c r="O130" s="350">
        <v>163088</v>
      </c>
      <c r="P130" s="710">
        <v>180125</v>
      </c>
      <c r="Q130" s="710">
        <v>185384</v>
      </c>
      <c r="R130" s="710">
        <v>181017</v>
      </c>
      <c r="S130" s="710">
        <v>173609</v>
      </c>
      <c r="T130" s="710">
        <v>165448</v>
      </c>
      <c r="U130" s="567">
        <v>162960</v>
      </c>
      <c r="V130" s="567">
        <v>160969</v>
      </c>
      <c r="W130" s="567">
        <v>157854</v>
      </c>
      <c r="X130" s="567">
        <v>148558</v>
      </c>
      <c r="Y130" s="567">
        <v>156128</v>
      </c>
      <c r="Z130" s="1540">
        <f>市町名目!B65</f>
        <v>153569</v>
      </c>
      <c r="AA130" s="1540">
        <f>市町名目!C65</f>
        <v>146999</v>
      </c>
      <c r="AB130" s="1540">
        <f>市町名目!D65</f>
        <v>154070</v>
      </c>
      <c r="AC130" s="1540">
        <f>市町名目!E65</f>
        <v>153631</v>
      </c>
      <c r="AD130" s="1540">
        <f>市町名目!F65</f>
        <v>161900</v>
      </c>
      <c r="AE130" s="1540">
        <f>市町名目!G65</f>
        <v>162641</v>
      </c>
      <c r="AF130" s="1540">
        <f>市町名目!H65</f>
        <v>163394</v>
      </c>
      <c r="AG130" s="1540">
        <f>市町名目!I65</f>
        <v>162143</v>
      </c>
      <c r="AH130" s="1540">
        <f>市町名目!J65</f>
        <v>162153</v>
      </c>
      <c r="AI130" s="1540">
        <f>市町名目!K65</f>
        <v>150844</v>
      </c>
      <c r="AJ130" s="1540">
        <f>市町名目!L65</f>
        <v>148754</v>
      </c>
      <c r="AK130" s="1540">
        <f>市町名目!M65</f>
        <v>153571</v>
      </c>
      <c r="AL130" s="1540">
        <f>市町名目!N65</f>
        <v>162495</v>
      </c>
    </row>
    <row r="131" spans="1:38" ht="12.5">
      <c r="A131" s="268"/>
      <c r="B131" s="269">
        <v>226</v>
      </c>
      <c r="C131" s="269" t="s">
        <v>225</v>
      </c>
      <c r="D131" s="402">
        <v>124747</v>
      </c>
      <c r="E131" s="402">
        <v>135442</v>
      </c>
      <c r="F131" s="402">
        <v>139978</v>
      </c>
      <c r="G131" s="402">
        <v>145732</v>
      </c>
      <c r="H131" s="402">
        <v>139666</v>
      </c>
      <c r="I131" s="402">
        <v>158935</v>
      </c>
      <c r="J131" s="402">
        <v>162586</v>
      </c>
      <c r="K131" s="402">
        <v>174087</v>
      </c>
      <c r="L131" s="402">
        <v>159587</v>
      </c>
      <c r="M131" s="402">
        <v>163002</v>
      </c>
      <c r="N131" s="402">
        <v>144737</v>
      </c>
      <c r="O131" s="402">
        <v>139353</v>
      </c>
      <c r="P131" s="712">
        <v>160018</v>
      </c>
      <c r="Q131" s="712">
        <v>159297</v>
      </c>
      <c r="R131" s="712">
        <v>150625</v>
      </c>
      <c r="S131" s="712">
        <v>149097</v>
      </c>
      <c r="T131" s="712">
        <v>141179</v>
      </c>
      <c r="U131" s="567">
        <v>144129</v>
      </c>
      <c r="V131" s="567">
        <v>146930</v>
      </c>
      <c r="W131" s="567">
        <v>141588</v>
      </c>
      <c r="X131" s="567">
        <v>135158</v>
      </c>
      <c r="Y131" s="567">
        <v>135069</v>
      </c>
      <c r="Z131" s="1540">
        <f>市町名目!B66</f>
        <v>131721</v>
      </c>
      <c r="AA131" s="1540">
        <f>市町名目!C66</f>
        <v>136557</v>
      </c>
      <c r="AB131" s="1540">
        <f>市町名目!D66</f>
        <v>136402</v>
      </c>
      <c r="AC131" s="1540">
        <f>市町名目!E66</f>
        <v>135480</v>
      </c>
      <c r="AD131" s="1540">
        <f>市町名目!F66</f>
        <v>136907</v>
      </c>
      <c r="AE131" s="1540">
        <f>市町名目!G66</f>
        <v>147860</v>
      </c>
      <c r="AF131" s="1540">
        <f>市町名目!H66</f>
        <v>145411</v>
      </c>
      <c r="AG131" s="1540">
        <f>市町名目!I66</f>
        <v>144910</v>
      </c>
      <c r="AH131" s="1540">
        <f>市町名目!J66</f>
        <v>149368</v>
      </c>
      <c r="AI131" s="1540">
        <f>市町名目!K66</f>
        <v>142229</v>
      </c>
      <c r="AJ131" s="1540">
        <f>市町名目!L66</f>
        <v>149178</v>
      </c>
      <c r="AK131" s="1540">
        <f>市町名目!M66</f>
        <v>154331</v>
      </c>
      <c r="AL131" s="1540">
        <f>市町名目!N66</f>
        <v>163556</v>
      </c>
    </row>
    <row r="132" spans="1:38" ht="12.5">
      <c r="P132" s="714"/>
      <c r="Q132" s="714"/>
      <c r="R132" s="714"/>
      <c r="S132" s="714"/>
      <c r="T132" s="714"/>
      <c r="AA132" s="240"/>
      <c r="AB132" s="240"/>
    </row>
    <row r="133" spans="1:38" ht="12.5">
      <c r="AA133" s="240"/>
      <c r="AB133" s="240"/>
    </row>
    <row r="134" spans="1:38" ht="12.5">
      <c r="AA134" s="240"/>
      <c r="AB134" s="240"/>
    </row>
    <row r="135" spans="1:38" ht="12.5">
      <c r="AA135" s="240"/>
      <c r="AB135" s="240"/>
    </row>
    <row r="136" spans="1:38" ht="12.5">
      <c r="AA136" s="240"/>
      <c r="AB136" s="240"/>
    </row>
    <row r="137" spans="1:38" ht="12.5">
      <c r="AA137" s="240"/>
      <c r="AB137" s="240"/>
    </row>
    <row r="138" spans="1:38" ht="12.5">
      <c r="AA138" s="240"/>
      <c r="AB138" s="240"/>
    </row>
    <row r="139" spans="1:38" ht="12.5">
      <c r="AA139" s="240"/>
      <c r="AB139" s="240"/>
    </row>
    <row r="140" spans="1:38" ht="12.5">
      <c r="AA140" s="240"/>
      <c r="AB140" s="240"/>
    </row>
    <row r="141" spans="1:38" ht="12.5">
      <c r="AA141" s="240"/>
      <c r="AB141" s="240"/>
    </row>
    <row r="142" spans="1:38" ht="12.5">
      <c r="AA142" s="240"/>
      <c r="AB142" s="240"/>
    </row>
    <row r="143" spans="1:38" ht="12.5">
      <c r="AA143" s="240"/>
      <c r="AB143" s="240"/>
    </row>
    <row r="144" spans="1:38" ht="12.5">
      <c r="AA144" s="240"/>
      <c r="AB144" s="240"/>
    </row>
    <row r="145" s="240" customFormat="1" ht="12.5"/>
    <row r="146" s="240" customFormat="1" ht="12.5"/>
    <row r="147" s="240" customFormat="1" ht="12.5"/>
    <row r="148" s="240" customFormat="1" ht="12.5"/>
    <row r="149" s="240" customFormat="1" ht="12.5"/>
    <row r="150" s="240" customFormat="1" ht="12.5"/>
    <row r="151" s="240" customFormat="1" ht="12.5"/>
    <row r="152" s="240" customFormat="1" ht="12.5"/>
    <row r="153" s="240" customFormat="1" ht="12.5"/>
    <row r="154" s="240" customFormat="1" ht="12.5"/>
    <row r="155" s="240" customFormat="1" ht="12.5"/>
    <row r="156" s="240" customFormat="1" ht="12.5"/>
    <row r="157" s="240" customFormat="1" ht="12.5"/>
    <row r="158" s="240" customFormat="1" ht="12.5"/>
    <row r="159" s="240" customFormat="1" ht="12.5"/>
    <row r="160" s="240" customFormat="1" ht="12.5"/>
    <row r="161" s="240" customFormat="1" ht="12.5"/>
    <row r="162" s="240" customFormat="1" ht="12.5"/>
    <row r="163" s="240" customFormat="1" ht="12.5"/>
    <row r="164" s="240" customFormat="1" ht="12.5"/>
    <row r="165" s="240" customFormat="1" ht="12.5"/>
    <row r="166" s="240" customFormat="1" ht="12.5"/>
    <row r="167" s="240" customFormat="1" ht="12.5"/>
    <row r="168" s="240" customFormat="1" ht="12.5"/>
    <row r="169" s="240" customFormat="1" ht="12.5"/>
    <row r="170" s="240" customFormat="1" ht="12.5"/>
    <row r="171" s="240" customFormat="1" ht="12.5"/>
    <row r="172" s="240" customFormat="1" ht="12.5"/>
    <row r="173" s="240" customFormat="1" ht="12.5"/>
    <row r="174" s="240" customFormat="1" ht="12.5"/>
    <row r="175" s="240" customFormat="1" ht="12.5"/>
    <row r="176" s="240" customFormat="1" ht="12.5"/>
    <row r="177" spans="27:28" ht="12.5">
      <c r="AA177" s="240"/>
      <c r="AB177" s="240"/>
    </row>
    <row r="178" spans="27:28" ht="12.5">
      <c r="AA178" s="240"/>
      <c r="AB178" s="240"/>
    </row>
    <row r="179" spans="27:28" ht="12.5">
      <c r="AA179" s="240"/>
      <c r="AB179" s="240"/>
    </row>
    <row r="180" spans="27:28" ht="12.5">
      <c r="AA180" s="240"/>
      <c r="AB180" s="240"/>
    </row>
    <row r="181" spans="27:28" ht="12.5">
      <c r="AA181" s="240"/>
      <c r="AB181" s="240"/>
    </row>
    <row r="182" spans="27:28" ht="12.5">
      <c r="AA182" s="240"/>
      <c r="AB182" s="240"/>
    </row>
    <row r="183" spans="27:28" ht="12.5">
      <c r="AA183" s="240"/>
      <c r="AB183" s="240"/>
    </row>
    <row r="184" spans="27:28" ht="12.5">
      <c r="AA184" s="240"/>
      <c r="AB184" s="240"/>
    </row>
    <row r="185" spans="27:28" ht="12.5">
      <c r="AA185" s="240"/>
      <c r="AB185" s="240"/>
    </row>
    <row r="186" spans="27:28">
      <c r="AA186" s="240"/>
    </row>
    <row r="187" spans="27:28">
      <c r="AA187" s="240"/>
    </row>
    <row r="188" spans="27:28">
      <c r="AA188" s="240"/>
    </row>
    <row r="189" spans="27:28">
      <c r="AA189" s="240"/>
    </row>
    <row r="190" spans="27:28">
      <c r="AA190" s="240"/>
    </row>
    <row r="191" spans="27:28">
      <c r="AA191" s="240"/>
    </row>
    <row r="192" spans="27:28">
      <c r="AA192" s="240"/>
    </row>
    <row r="193" spans="16:27">
      <c r="AA193" s="240"/>
    </row>
    <row r="194" spans="16:27">
      <c r="AA194" s="240"/>
    </row>
    <row r="195" spans="16:27">
      <c r="AA195" s="240"/>
    </row>
    <row r="196" spans="16:27">
      <c r="AA196" s="240"/>
    </row>
    <row r="197" spans="16:27">
      <c r="P197" s="240" t="s">
        <v>449</v>
      </c>
    </row>
  </sheetData>
  <phoneticPr fontId="13"/>
  <pageMargins left="0.75" right="0.75" top="1" bottom="1" header="0.51200000000000001" footer="0.51200000000000001"/>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9">
    <tabColor theme="0"/>
  </sheetPr>
  <dimension ref="A1:AM197"/>
  <sheetViews>
    <sheetView workbookViewId="0">
      <pane xSplit="20" ySplit="5" topLeftCell="Z6" activePane="bottomRight" state="frozen"/>
      <selection pane="topRight" activeCell="U1" sqref="U1"/>
      <selection pane="bottomLeft" activeCell="A6" sqref="A6"/>
      <selection pane="bottomRight" activeCell="AK10" sqref="AK10"/>
    </sheetView>
  </sheetViews>
  <sheetFormatPr defaultColWidth="8.7109375" defaultRowHeight="16.5"/>
  <cols>
    <col min="1" max="1" width="2.42578125" style="75" customWidth="1"/>
    <col min="2" max="2" width="4.2109375" style="75" customWidth="1"/>
    <col min="3" max="3" width="8.7109375" style="75"/>
    <col min="4" max="15" width="8.7109375" style="75" hidden="1" customWidth="1"/>
    <col min="16" max="20" width="0" style="75" hidden="1" customWidth="1"/>
    <col min="21" max="26" width="8.7109375" style="75"/>
    <col min="27" max="27" width="9.0703125"/>
    <col min="28" max="28" width="8.92578125" customWidth="1"/>
    <col min="29" max="16384" width="8.7109375" style="75"/>
  </cols>
  <sheetData>
    <row r="1" spans="1:39" ht="13">
      <c r="A1" s="260" t="s">
        <v>1306</v>
      </c>
      <c r="B1" s="261"/>
      <c r="C1" s="262"/>
      <c r="D1" s="262"/>
      <c r="E1" s="240"/>
      <c r="F1" s="240"/>
      <c r="G1" s="240"/>
      <c r="H1" s="240"/>
      <c r="I1" s="240"/>
      <c r="J1" s="263" t="s">
        <v>813</v>
      </c>
      <c r="K1" s="240"/>
      <c r="L1" s="263"/>
      <c r="M1" s="240"/>
      <c r="N1" s="240"/>
      <c r="O1" s="240"/>
      <c r="P1" s="240" t="s">
        <v>1085</v>
      </c>
      <c r="Q1" s="240"/>
      <c r="R1" s="240"/>
      <c r="S1" s="240"/>
      <c r="T1" s="240"/>
      <c r="U1" s="240"/>
      <c r="V1" s="240"/>
      <c r="W1" s="240" t="s">
        <v>818</v>
      </c>
      <c r="X1" s="240"/>
      <c r="Y1" s="75" t="s">
        <v>347</v>
      </c>
      <c r="AA1" s="49" t="s">
        <v>11</v>
      </c>
      <c r="AB1" s="49" t="s">
        <v>11</v>
      </c>
      <c r="AH1" s="1868"/>
      <c r="AI1" s="1868"/>
      <c r="AJ1" s="1868"/>
      <c r="AK1" s="1868"/>
      <c r="AL1" s="1868"/>
    </row>
    <row r="2" spans="1:39" ht="13">
      <c r="A2" s="261"/>
      <c r="B2" s="261"/>
      <c r="C2" s="262" t="s">
        <v>1576</v>
      </c>
      <c r="D2" s="262">
        <v>19635795</v>
      </c>
      <c r="E2" s="262">
        <v>20001102</v>
      </c>
      <c r="F2" s="262">
        <v>20063722</v>
      </c>
      <c r="G2" s="262">
        <v>20395714</v>
      </c>
      <c r="H2" s="262">
        <v>19966793</v>
      </c>
      <c r="I2" s="262">
        <v>21228355</v>
      </c>
      <c r="J2" s="262">
        <v>21732657</v>
      </c>
      <c r="K2" s="262">
        <v>21193983</v>
      </c>
      <c r="L2" s="262">
        <v>20348388</v>
      </c>
      <c r="M2" s="262">
        <v>20023358</v>
      </c>
      <c r="N2" s="262">
        <v>20381209</v>
      </c>
      <c r="O2" s="262">
        <v>19657402</v>
      </c>
      <c r="P2" s="702">
        <f>実質県内総支出!C47</f>
        <v>19784388</v>
      </c>
      <c r="Q2" s="702">
        <f>実質県内総支出!D47</f>
        <v>19144708</v>
      </c>
      <c r="R2" s="702">
        <f>実質県内総支出!E47</f>
        <v>19285155</v>
      </c>
      <c r="S2" s="702">
        <f>実質県内総支出!F47</f>
        <v>19441327</v>
      </c>
      <c r="T2" s="702">
        <f>実質県内総支出!G47</f>
        <v>19901837</v>
      </c>
      <c r="U2" s="262">
        <f>実質県内総支出!H47</f>
        <v>20501653.973164532</v>
      </c>
      <c r="V2" s="262">
        <f>実質県内総支出!I47</f>
        <v>21207934.908757254</v>
      </c>
      <c r="W2" s="262">
        <f>実質県内総支出!J47</f>
        <v>20888190.977017112</v>
      </c>
      <c r="X2" s="262">
        <f>実質県内総支出!K47</f>
        <v>19517905.089812346</v>
      </c>
      <c r="Y2" s="262">
        <f>実質県内総支出!L47</f>
        <v>20926524.575804144</v>
      </c>
      <c r="Z2" s="262">
        <f>実質県内総支出!M47</f>
        <v>20641997</v>
      </c>
      <c r="AA2" s="262">
        <f>実質県内総支出!N47</f>
        <v>20585255</v>
      </c>
      <c r="AB2" s="262">
        <f>実質県内総支出!O47</f>
        <v>21339377</v>
      </c>
      <c r="AC2" s="262">
        <f>実質県内総支出!P47</f>
        <v>21092930</v>
      </c>
      <c r="AD2" s="262">
        <f>実質県内総支出!Q47</f>
        <v>21764162</v>
      </c>
      <c r="AE2" s="262">
        <f>実質県内総支出!R47</f>
        <v>21938484</v>
      </c>
      <c r="AF2" s="262">
        <f>実質県内総支出!S47</f>
        <v>22281249</v>
      </c>
      <c r="AG2" s="262">
        <f>実質県内総支出!T47</f>
        <v>22230964</v>
      </c>
      <c r="AH2" s="262">
        <f>実質県内総支出!U47</f>
        <v>22373322</v>
      </c>
      <c r="AI2" s="262">
        <f>実質県内総支出!V47</f>
        <v>21583878</v>
      </c>
      <c r="AJ2" s="262">
        <f>実質県内総支出!W47</f>
        <v>22305839</v>
      </c>
      <c r="AK2" s="262">
        <f>実質県内総支出!X47</f>
        <v>22878289</v>
      </c>
      <c r="AL2" s="262">
        <f>実質県内総支出!Y47</f>
        <v>22921318</v>
      </c>
      <c r="AM2" s="550" t="s">
        <v>1196</v>
      </c>
    </row>
    <row r="3" spans="1:39" ht="13">
      <c r="A3" s="270"/>
      <c r="B3" s="270"/>
      <c r="C3" s="348" t="s">
        <v>319</v>
      </c>
      <c r="D3" s="399"/>
      <c r="E3" s="399"/>
      <c r="F3" s="399"/>
      <c r="G3" s="399"/>
      <c r="H3" s="399"/>
      <c r="I3" s="399"/>
      <c r="J3" s="399"/>
      <c r="K3" s="399"/>
      <c r="L3" s="399"/>
      <c r="M3" s="399"/>
      <c r="N3" s="399"/>
      <c r="O3" s="399"/>
      <c r="P3" s="715">
        <v>0</v>
      </c>
      <c r="Q3" s="715"/>
      <c r="R3" s="715"/>
      <c r="S3" s="715"/>
      <c r="T3" s="715"/>
      <c r="U3" s="2242"/>
      <c r="V3" s="2242"/>
      <c r="W3" s="2242"/>
      <c r="X3" s="2242"/>
      <c r="Y3" s="1068"/>
      <c r="Z3" s="130"/>
      <c r="AA3" s="130"/>
      <c r="AB3" s="130"/>
      <c r="AC3" s="130"/>
      <c r="AD3" s="130"/>
      <c r="AE3" s="130"/>
      <c r="AF3" s="130"/>
      <c r="AG3" s="130"/>
      <c r="AH3" s="130"/>
      <c r="AI3" s="677"/>
      <c r="AJ3" s="677"/>
      <c r="AK3" s="677"/>
      <c r="AL3" s="677"/>
      <c r="AM3" s="453"/>
    </row>
    <row r="4" spans="1:39" ht="13">
      <c r="A4" s="249"/>
      <c r="B4" s="249"/>
      <c r="C4" s="249"/>
      <c r="D4" s="400" t="s">
        <v>352</v>
      </c>
      <c r="E4" s="400" t="s">
        <v>353</v>
      </c>
      <c r="F4" s="400" t="s">
        <v>354</v>
      </c>
      <c r="G4" s="400" t="s">
        <v>355</v>
      </c>
      <c r="H4" s="400" t="s">
        <v>356</v>
      </c>
      <c r="I4" s="400" t="s">
        <v>357</v>
      </c>
      <c r="J4" s="400" t="s">
        <v>358</v>
      </c>
      <c r="K4" s="400" t="s">
        <v>359</v>
      </c>
      <c r="L4" s="400" t="s">
        <v>361</v>
      </c>
      <c r="M4" s="400" t="s">
        <v>362</v>
      </c>
      <c r="N4" s="400" t="s">
        <v>363</v>
      </c>
      <c r="O4" s="400" t="s">
        <v>364</v>
      </c>
      <c r="P4" s="716" t="s">
        <v>364</v>
      </c>
      <c r="Q4" s="716" t="s">
        <v>365</v>
      </c>
      <c r="R4" s="716" t="s">
        <v>366</v>
      </c>
      <c r="S4" s="716" t="s">
        <v>367</v>
      </c>
      <c r="T4" s="716" t="s">
        <v>368</v>
      </c>
      <c r="U4" s="2243" t="s">
        <v>369</v>
      </c>
      <c r="V4" s="2243" t="s">
        <v>370</v>
      </c>
      <c r="W4" s="2243" t="s">
        <v>858</v>
      </c>
      <c r="X4" s="2243" t="s">
        <v>859</v>
      </c>
      <c r="Y4" s="456" t="s">
        <v>911</v>
      </c>
      <c r="Z4" s="75" t="s">
        <v>96</v>
      </c>
      <c r="AA4" s="75" t="s">
        <v>118</v>
      </c>
      <c r="AB4" s="75" t="s">
        <v>119</v>
      </c>
      <c r="AC4" s="75" t="s">
        <v>67</v>
      </c>
      <c r="AD4" s="75" t="s">
        <v>1047</v>
      </c>
      <c r="AE4" s="75" t="s">
        <v>1087</v>
      </c>
      <c r="AF4" s="75" t="s">
        <v>1119</v>
      </c>
      <c r="AG4" s="75" t="s">
        <v>1140</v>
      </c>
      <c r="AH4" s="75" t="s">
        <v>1231</v>
      </c>
      <c r="AI4" s="903" t="s">
        <v>1571</v>
      </c>
      <c r="AJ4" s="903" t="s">
        <v>1696</v>
      </c>
      <c r="AK4" s="903" t="s">
        <v>1757</v>
      </c>
      <c r="AL4" s="903" t="s">
        <v>1836</v>
      </c>
      <c r="AM4" s="453"/>
    </row>
    <row r="5" spans="1:39" ht="13">
      <c r="A5" s="269"/>
      <c r="B5" s="269"/>
      <c r="C5" s="269" t="s">
        <v>320</v>
      </c>
      <c r="D5" s="401"/>
      <c r="E5" s="401"/>
      <c r="F5" s="401"/>
      <c r="G5" s="401"/>
      <c r="H5" s="401"/>
      <c r="I5" s="401"/>
      <c r="J5" s="401"/>
      <c r="K5" s="401"/>
      <c r="L5" s="401"/>
      <c r="M5" s="401"/>
      <c r="N5" s="401"/>
      <c r="O5" s="401"/>
      <c r="P5" s="717"/>
      <c r="Q5" s="717"/>
      <c r="R5" s="717"/>
      <c r="S5" s="717"/>
      <c r="T5" s="717"/>
      <c r="U5" s="2244"/>
      <c r="V5" s="2244"/>
      <c r="W5" s="2244"/>
      <c r="X5" s="2244"/>
      <c r="Y5" s="461"/>
      <c r="Z5" s="132"/>
      <c r="AA5" s="132"/>
      <c r="AB5" s="132"/>
      <c r="AC5" s="132"/>
      <c r="AD5" s="132"/>
      <c r="AE5" s="354" t="s">
        <v>11</v>
      </c>
      <c r="AF5" s="354" t="s">
        <v>11</v>
      </c>
      <c r="AG5" s="354"/>
      <c r="AH5" s="354" t="s">
        <v>11</v>
      </c>
      <c r="AI5" s="678" t="s">
        <v>11</v>
      </c>
      <c r="AJ5" s="678" t="s">
        <v>11</v>
      </c>
      <c r="AK5" s="678" t="s">
        <v>11</v>
      </c>
      <c r="AL5" s="678" t="s">
        <v>11</v>
      </c>
      <c r="AM5" s="453"/>
    </row>
    <row r="6" spans="1:39" ht="13">
      <c r="A6" s="267" t="s">
        <v>321</v>
      </c>
      <c r="B6" s="249"/>
      <c r="C6" s="249" t="s">
        <v>322</v>
      </c>
      <c r="D6" s="349">
        <f>SUM(D7:D16)</f>
        <v>19635795</v>
      </c>
      <c r="E6" s="349">
        <f t="shared" ref="E6:N6" si="0">SUM(E7:E16)</f>
        <v>20001102</v>
      </c>
      <c r="F6" s="349">
        <f t="shared" si="0"/>
        <v>20063722</v>
      </c>
      <c r="G6" s="349">
        <f t="shared" si="0"/>
        <v>20395714</v>
      </c>
      <c r="H6" s="349">
        <f t="shared" si="0"/>
        <v>19966793</v>
      </c>
      <c r="I6" s="349">
        <f t="shared" si="0"/>
        <v>21228355</v>
      </c>
      <c r="J6" s="349">
        <f t="shared" si="0"/>
        <v>21732657</v>
      </c>
      <c r="K6" s="349">
        <f t="shared" si="0"/>
        <v>21193983</v>
      </c>
      <c r="L6" s="349">
        <f t="shared" si="0"/>
        <v>20348388</v>
      </c>
      <c r="M6" s="349">
        <f t="shared" si="0"/>
        <v>20023358</v>
      </c>
      <c r="N6" s="349">
        <f t="shared" si="0"/>
        <v>20381209</v>
      </c>
      <c r="O6" s="349">
        <f>SUM(O7:O16)</f>
        <v>19657402</v>
      </c>
      <c r="P6" s="709">
        <v>19784388</v>
      </c>
      <c r="Q6" s="709">
        <v>19144708</v>
      </c>
      <c r="R6" s="709">
        <v>19285155</v>
      </c>
      <c r="S6" s="709">
        <v>19441327</v>
      </c>
      <c r="T6" s="709">
        <v>19901837</v>
      </c>
      <c r="U6" s="464">
        <f>+U2</f>
        <v>20501653.973164532</v>
      </c>
      <c r="V6" s="464">
        <f t="shared" ref="V6:AG6" si="1">+V2</f>
        <v>21207934.908757254</v>
      </c>
      <c r="W6" s="464">
        <f t="shared" si="1"/>
        <v>20888190.977017112</v>
      </c>
      <c r="X6" s="464">
        <f t="shared" si="1"/>
        <v>19517905.089812346</v>
      </c>
      <c r="Y6" s="464">
        <f t="shared" si="1"/>
        <v>20926524.575804144</v>
      </c>
      <c r="Z6" s="270">
        <f t="shared" si="1"/>
        <v>20641997</v>
      </c>
      <c r="AA6" s="270">
        <f t="shared" si="1"/>
        <v>20585255</v>
      </c>
      <c r="AB6" s="270">
        <f t="shared" si="1"/>
        <v>21339377</v>
      </c>
      <c r="AC6" s="270">
        <f t="shared" si="1"/>
        <v>21092930</v>
      </c>
      <c r="AD6" s="270">
        <f t="shared" si="1"/>
        <v>21764162</v>
      </c>
      <c r="AE6" s="270">
        <f t="shared" si="1"/>
        <v>21938484</v>
      </c>
      <c r="AF6" s="270">
        <f t="shared" si="1"/>
        <v>22281249</v>
      </c>
      <c r="AG6" s="270">
        <f t="shared" si="1"/>
        <v>22230964</v>
      </c>
      <c r="AH6" s="270">
        <f>+AH2</f>
        <v>22373322</v>
      </c>
      <c r="AI6" s="270">
        <f>+AI2</f>
        <v>21583878</v>
      </c>
      <c r="AJ6" s="270">
        <f t="shared" ref="AJ6:AK6" si="2">+AJ2</f>
        <v>22305839</v>
      </c>
      <c r="AK6" s="270">
        <f t="shared" si="2"/>
        <v>22878289</v>
      </c>
      <c r="AL6" s="270">
        <f t="shared" ref="AL6" si="3">+AL2</f>
        <v>22921318</v>
      </c>
      <c r="AM6" s="550" t="s">
        <v>1198</v>
      </c>
    </row>
    <row r="7" spans="1:39" ht="13">
      <c r="A7" s="267"/>
      <c r="B7" s="249">
        <v>100</v>
      </c>
      <c r="C7" s="249" t="s">
        <v>172</v>
      </c>
      <c r="D7" s="350">
        <f>D18</f>
        <v>6351099</v>
      </c>
      <c r="E7" s="350">
        <f t="shared" ref="E7:N7" si="4">E18</f>
        <v>6480473</v>
      </c>
      <c r="F7" s="350">
        <f t="shared" si="4"/>
        <v>6588232</v>
      </c>
      <c r="G7" s="350">
        <f t="shared" si="4"/>
        <v>6740215</v>
      </c>
      <c r="H7" s="350">
        <f t="shared" si="4"/>
        <v>6556000</v>
      </c>
      <c r="I7" s="350">
        <f t="shared" si="4"/>
        <v>6895187</v>
      </c>
      <c r="J7" s="350">
        <f t="shared" si="4"/>
        <v>7126232</v>
      </c>
      <c r="K7" s="350">
        <f t="shared" si="4"/>
        <v>6857399</v>
      </c>
      <c r="L7" s="350">
        <f t="shared" si="4"/>
        <v>6666706</v>
      </c>
      <c r="M7" s="350">
        <f t="shared" si="4"/>
        <v>6618114</v>
      </c>
      <c r="N7" s="350">
        <f t="shared" si="4"/>
        <v>6699488</v>
      </c>
      <c r="O7" s="350">
        <f t="shared" ref="O7:T8" si="5">O18</f>
        <v>6533177</v>
      </c>
      <c r="P7" s="710">
        <f t="shared" si="5"/>
        <v>6178208</v>
      </c>
      <c r="Q7" s="710">
        <f t="shared" si="5"/>
        <v>5918298</v>
      </c>
      <c r="R7" s="710">
        <f t="shared" si="5"/>
        <v>5971918</v>
      </c>
      <c r="S7" s="710">
        <f t="shared" si="5"/>
        <v>6001894</v>
      </c>
      <c r="T7" s="710">
        <f t="shared" si="5"/>
        <v>6116619</v>
      </c>
      <c r="U7" s="465">
        <f t="shared" ref="U7:AG7" si="6">U18</f>
        <v>6386661.9731645323</v>
      </c>
      <c r="V7" s="465">
        <f t="shared" si="6"/>
        <v>6593937.9087572545</v>
      </c>
      <c r="W7" s="465">
        <f t="shared" si="6"/>
        <v>6531581.9770171121</v>
      </c>
      <c r="X7" s="465">
        <f t="shared" si="6"/>
        <v>6331426.0898123458</v>
      </c>
      <c r="Y7" s="465">
        <f t="shared" si="6"/>
        <v>6751674.5758041441</v>
      </c>
      <c r="Z7" s="452">
        <f t="shared" si="6"/>
        <v>6639825</v>
      </c>
      <c r="AA7" s="452">
        <f t="shared" si="6"/>
        <v>6575277</v>
      </c>
      <c r="AB7" s="452">
        <f t="shared" si="6"/>
        <v>6661471</v>
      </c>
      <c r="AC7" s="452">
        <f t="shared" si="6"/>
        <v>6653923</v>
      </c>
      <c r="AD7" s="452">
        <f t="shared" si="6"/>
        <v>6867175</v>
      </c>
      <c r="AE7" s="452">
        <f t="shared" si="6"/>
        <v>6876921</v>
      </c>
      <c r="AF7" s="452">
        <f t="shared" si="6"/>
        <v>6982935</v>
      </c>
      <c r="AG7" s="452">
        <f t="shared" si="6"/>
        <v>6948898</v>
      </c>
      <c r="AH7" s="452">
        <f>AH18</f>
        <v>7052438</v>
      </c>
      <c r="AI7" s="452">
        <f>AI18</f>
        <v>6730443</v>
      </c>
      <c r="AJ7" s="452">
        <f t="shared" ref="AJ7:AK7" si="7">AJ18</f>
        <v>6858498</v>
      </c>
      <c r="AK7" s="452">
        <f t="shared" si="7"/>
        <v>7136502</v>
      </c>
      <c r="AL7" s="452">
        <f t="shared" ref="AL7" si="8">AL18</f>
        <v>7194583</v>
      </c>
      <c r="AM7" s="550"/>
    </row>
    <row r="8" spans="1:39" ht="13">
      <c r="A8" s="267"/>
      <c r="B8" s="249">
        <v>1</v>
      </c>
      <c r="C8" s="249" t="s">
        <v>323</v>
      </c>
      <c r="D8" s="350">
        <f>D19</f>
        <v>3295493</v>
      </c>
      <c r="E8" s="350">
        <f t="shared" ref="E8:N8" si="9">E19</f>
        <v>3244932</v>
      </c>
      <c r="F8" s="350">
        <f t="shared" si="9"/>
        <v>3218925</v>
      </c>
      <c r="G8" s="350">
        <f t="shared" si="9"/>
        <v>3179225</v>
      </c>
      <c r="H8" s="350">
        <f t="shared" si="9"/>
        <v>3117638</v>
      </c>
      <c r="I8" s="350">
        <f t="shared" si="9"/>
        <v>3407337</v>
      </c>
      <c r="J8" s="350">
        <f t="shared" si="9"/>
        <v>3432588</v>
      </c>
      <c r="K8" s="350">
        <f t="shared" si="9"/>
        <v>3244686</v>
      </c>
      <c r="L8" s="350">
        <f t="shared" si="9"/>
        <v>2966663</v>
      </c>
      <c r="M8" s="350">
        <f t="shared" si="9"/>
        <v>2830471</v>
      </c>
      <c r="N8" s="350">
        <f t="shared" si="9"/>
        <v>2924190</v>
      </c>
      <c r="O8" s="350">
        <f t="shared" si="5"/>
        <v>2843587</v>
      </c>
      <c r="P8" s="710">
        <f t="shared" si="5"/>
        <v>3022275</v>
      </c>
      <c r="Q8" s="710">
        <f t="shared" si="5"/>
        <v>2848396</v>
      </c>
      <c r="R8" s="710">
        <f t="shared" si="5"/>
        <v>2865039</v>
      </c>
      <c r="S8" s="710">
        <f t="shared" si="5"/>
        <v>2898727</v>
      </c>
      <c r="T8" s="710">
        <f t="shared" si="5"/>
        <v>3009571</v>
      </c>
      <c r="U8" s="465">
        <f t="shared" ref="U8:AG8" si="10">U19</f>
        <v>3131716</v>
      </c>
      <c r="V8" s="465">
        <f t="shared" si="10"/>
        <v>3261907</v>
      </c>
      <c r="W8" s="465">
        <f t="shared" si="10"/>
        <v>3153042</v>
      </c>
      <c r="X8" s="465">
        <f t="shared" si="10"/>
        <v>2981059</v>
      </c>
      <c r="Y8" s="465">
        <f t="shared" si="10"/>
        <v>3312417</v>
      </c>
      <c r="Z8" s="452">
        <f t="shared" si="10"/>
        <v>3350389</v>
      </c>
      <c r="AA8" s="452">
        <f t="shared" si="10"/>
        <v>3282530</v>
      </c>
      <c r="AB8" s="452">
        <f t="shared" si="10"/>
        <v>3433560</v>
      </c>
      <c r="AC8" s="452">
        <f t="shared" si="10"/>
        <v>3365087</v>
      </c>
      <c r="AD8" s="452">
        <f t="shared" si="10"/>
        <v>3541195</v>
      </c>
      <c r="AE8" s="452">
        <f t="shared" si="10"/>
        <v>3554025</v>
      </c>
      <c r="AF8" s="452">
        <f t="shared" si="10"/>
        <v>3669939</v>
      </c>
      <c r="AG8" s="452">
        <f t="shared" si="10"/>
        <v>3640991</v>
      </c>
      <c r="AH8" s="452">
        <f>AH19</f>
        <v>3679482</v>
      </c>
      <c r="AI8" s="452">
        <f>AI19</f>
        <v>3473285</v>
      </c>
      <c r="AJ8" s="452">
        <f t="shared" ref="AJ8:AK8" si="11">AJ19</f>
        <v>3648568</v>
      </c>
      <c r="AK8" s="452">
        <f t="shared" si="11"/>
        <v>3687169</v>
      </c>
      <c r="AL8" s="452">
        <f t="shared" ref="AL8" si="12">AL19</f>
        <v>3734693</v>
      </c>
      <c r="AM8" s="550"/>
    </row>
    <row r="9" spans="1:39" ht="13">
      <c r="A9" s="267"/>
      <c r="B9" s="249">
        <v>2</v>
      </c>
      <c r="C9" s="249" t="s">
        <v>324</v>
      </c>
      <c r="D9" s="350">
        <f>D23</f>
        <v>1662695</v>
      </c>
      <c r="E9" s="350">
        <f t="shared" ref="E9:N9" si="13">E23</f>
        <v>1683738</v>
      </c>
      <c r="F9" s="350">
        <f t="shared" si="13"/>
        <v>1689608</v>
      </c>
      <c r="G9" s="350">
        <f t="shared" si="13"/>
        <v>1726523</v>
      </c>
      <c r="H9" s="350">
        <f t="shared" si="13"/>
        <v>1640145</v>
      </c>
      <c r="I9" s="350">
        <f t="shared" si="13"/>
        <v>1810672</v>
      </c>
      <c r="J9" s="350">
        <f t="shared" si="13"/>
        <v>1840292</v>
      </c>
      <c r="K9" s="350">
        <f t="shared" si="13"/>
        <v>1859389</v>
      </c>
      <c r="L9" s="350">
        <f t="shared" si="13"/>
        <v>1815299</v>
      </c>
      <c r="M9" s="350">
        <f t="shared" si="13"/>
        <v>1761879</v>
      </c>
      <c r="N9" s="350">
        <f t="shared" si="13"/>
        <v>1797958</v>
      </c>
      <c r="O9" s="350">
        <f t="shared" ref="O9:T9" si="14">O23</f>
        <v>1755052</v>
      </c>
      <c r="P9" s="710">
        <f t="shared" si="14"/>
        <v>1755025</v>
      </c>
      <c r="Q9" s="710">
        <f t="shared" si="14"/>
        <v>1688937</v>
      </c>
      <c r="R9" s="710">
        <f t="shared" si="14"/>
        <v>1725261</v>
      </c>
      <c r="S9" s="710">
        <f t="shared" si="14"/>
        <v>1763495</v>
      </c>
      <c r="T9" s="710">
        <f t="shared" si="14"/>
        <v>1835033</v>
      </c>
      <c r="U9" s="465">
        <f t="shared" ref="U9:AG9" si="15">U23</f>
        <v>1894608</v>
      </c>
      <c r="V9" s="465">
        <f t="shared" si="15"/>
        <v>1946526</v>
      </c>
      <c r="W9" s="465">
        <f t="shared" si="15"/>
        <v>1868619</v>
      </c>
      <c r="X9" s="465">
        <f t="shared" si="15"/>
        <v>1773677</v>
      </c>
      <c r="Y9" s="465">
        <f t="shared" si="15"/>
        <v>1893868</v>
      </c>
      <c r="Z9" s="452">
        <f t="shared" si="15"/>
        <v>1978032</v>
      </c>
      <c r="AA9" s="452">
        <f t="shared" si="15"/>
        <v>2021539</v>
      </c>
      <c r="AB9" s="452">
        <f t="shared" si="15"/>
        <v>2042568</v>
      </c>
      <c r="AC9" s="452">
        <f t="shared" si="15"/>
        <v>1983242</v>
      </c>
      <c r="AD9" s="452">
        <f t="shared" si="15"/>
        <v>2055211</v>
      </c>
      <c r="AE9" s="452">
        <f t="shared" si="15"/>
        <v>2140771</v>
      </c>
      <c r="AF9" s="452">
        <f t="shared" si="15"/>
        <v>2115075</v>
      </c>
      <c r="AG9" s="452">
        <f t="shared" si="15"/>
        <v>2107148</v>
      </c>
      <c r="AH9" s="452">
        <f>AH23</f>
        <v>2063186</v>
      </c>
      <c r="AI9" s="452">
        <f>AI23</f>
        <v>2018040</v>
      </c>
      <c r="AJ9" s="452">
        <f t="shared" ref="AJ9:AK9" si="16">AJ23</f>
        <v>2177625</v>
      </c>
      <c r="AK9" s="452">
        <f t="shared" si="16"/>
        <v>2220509</v>
      </c>
      <c r="AL9" s="452">
        <f t="shared" ref="AL9" si="17">AL23</f>
        <v>2291123</v>
      </c>
      <c r="AM9" s="550" t="s">
        <v>1197</v>
      </c>
    </row>
    <row r="10" spans="1:39" ht="13">
      <c r="A10" s="267"/>
      <c r="B10" s="249">
        <v>3</v>
      </c>
      <c r="C10" s="249" t="s">
        <v>192</v>
      </c>
      <c r="D10" s="350">
        <f>D29</f>
        <v>2517320</v>
      </c>
      <c r="E10" s="350">
        <f t="shared" ref="E10:N10" si="18">E29</f>
        <v>2587911</v>
      </c>
      <c r="F10" s="350">
        <f t="shared" si="18"/>
        <v>2507298</v>
      </c>
      <c r="G10" s="350">
        <f t="shared" si="18"/>
        <v>2526479</v>
      </c>
      <c r="H10" s="350">
        <f t="shared" si="18"/>
        <v>2473573</v>
      </c>
      <c r="I10" s="350">
        <f t="shared" si="18"/>
        <v>2668012</v>
      </c>
      <c r="J10" s="350">
        <f t="shared" si="18"/>
        <v>2712525</v>
      </c>
      <c r="K10" s="350">
        <f t="shared" si="18"/>
        <v>2700545</v>
      </c>
      <c r="L10" s="350">
        <f t="shared" si="18"/>
        <v>2557105</v>
      </c>
      <c r="M10" s="350">
        <f t="shared" si="18"/>
        <v>2531666</v>
      </c>
      <c r="N10" s="350">
        <f t="shared" si="18"/>
        <v>2597590</v>
      </c>
      <c r="O10" s="350">
        <f t="shared" ref="O10:T10" si="19">O29</f>
        <v>2400583</v>
      </c>
      <c r="P10" s="710">
        <f t="shared" si="19"/>
        <v>2505032</v>
      </c>
      <c r="Q10" s="710">
        <f t="shared" si="19"/>
        <v>2515066</v>
      </c>
      <c r="R10" s="710">
        <f t="shared" si="19"/>
        <v>2571832</v>
      </c>
      <c r="S10" s="710">
        <f t="shared" si="19"/>
        <v>2594831</v>
      </c>
      <c r="T10" s="710">
        <f t="shared" si="19"/>
        <v>2673465</v>
      </c>
      <c r="U10" s="465">
        <f t="shared" ref="U10:AG10" si="20">U29</f>
        <v>2813002</v>
      </c>
      <c r="V10" s="465">
        <f t="shared" si="20"/>
        <v>2987289</v>
      </c>
      <c r="W10" s="465">
        <f t="shared" si="20"/>
        <v>2989050</v>
      </c>
      <c r="X10" s="465">
        <f t="shared" si="20"/>
        <v>2582059</v>
      </c>
      <c r="Y10" s="465">
        <f t="shared" si="20"/>
        <v>2752668</v>
      </c>
      <c r="Z10" s="452">
        <f t="shared" si="20"/>
        <v>2673197</v>
      </c>
      <c r="AA10" s="452">
        <f t="shared" si="20"/>
        <v>2839950</v>
      </c>
      <c r="AB10" s="452">
        <f t="shared" si="20"/>
        <v>2892211</v>
      </c>
      <c r="AC10" s="452">
        <f t="shared" si="20"/>
        <v>2869315</v>
      </c>
      <c r="AD10" s="452">
        <f t="shared" si="20"/>
        <v>2959810</v>
      </c>
      <c r="AE10" s="452">
        <f t="shared" si="20"/>
        <v>2905924</v>
      </c>
      <c r="AF10" s="452">
        <f t="shared" si="20"/>
        <v>2925883</v>
      </c>
      <c r="AG10" s="452">
        <f t="shared" si="20"/>
        <v>2964550</v>
      </c>
      <c r="AH10" s="452">
        <f>AH29</f>
        <v>2988965</v>
      </c>
      <c r="AI10" s="452">
        <f>AI29</f>
        <v>2929006</v>
      </c>
      <c r="AJ10" s="452">
        <f t="shared" ref="AJ10:AK10" si="21">AJ29</f>
        <v>2922065</v>
      </c>
      <c r="AK10" s="452">
        <f t="shared" si="21"/>
        <v>3125410</v>
      </c>
      <c r="AL10" s="452">
        <f t="shared" ref="AL10" si="22">AL29</f>
        <v>3009430</v>
      </c>
    </row>
    <row r="11" spans="1:39" ht="13">
      <c r="A11" s="267"/>
      <c r="B11" s="249">
        <v>4</v>
      </c>
      <c r="C11" s="249" t="s">
        <v>325</v>
      </c>
      <c r="D11" s="350">
        <f>D35</f>
        <v>994875</v>
      </c>
      <c r="E11" s="350">
        <f t="shared" ref="E11:N11" si="23">E35</f>
        <v>1026170</v>
      </c>
      <c r="F11" s="350">
        <f t="shared" si="23"/>
        <v>1011982</v>
      </c>
      <c r="G11" s="350">
        <f t="shared" si="23"/>
        <v>1065241</v>
      </c>
      <c r="H11" s="350">
        <f t="shared" si="23"/>
        <v>1067459</v>
      </c>
      <c r="I11" s="350">
        <f t="shared" si="23"/>
        <v>1119763</v>
      </c>
      <c r="J11" s="350">
        <f t="shared" si="23"/>
        <v>1169297</v>
      </c>
      <c r="K11" s="350">
        <f t="shared" si="23"/>
        <v>1149380</v>
      </c>
      <c r="L11" s="350">
        <f t="shared" si="23"/>
        <v>1114850</v>
      </c>
      <c r="M11" s="350">
        <f t="shared" si="23"/>
        <v>1144873</v>
      </c>
      <c r="N11" s="350">
        <f t="shared" si="23"/>
        <v>1154821</v>
      </c>
      <c r="O11" s="350">
        <f t="shared" ref="O11:T11" si="24">O35</f>
        <v>1138648</v>
      </c>
      <c r="P11" s="710">
        <f t="shared" si="24"/>
        <v>1186603</v>
      </c>
      <c r="Q11" s="710">
        <f t="shared" si="24"/>
        <v>1132665</v>
      </c>
      <c r="R11" s="710">
        <f t="shared" si="24"/>
        <v>1145172</v>
      </c>
      <c r="S11" s="710">
        <f t="shared" si="24"/>
        <v>1152787</v>
      </c>
      <c r="T11" s="710">
        <f t="shared" si="24"/>
        <v>1170962</v>
      </c>
      <c r="U11" s="465">
        <f t="shared" ref="U11:AG11" si="25">U35</f>
        <v>1191651</v>
      </c>
      <c r="V11" s="465">
        <f t="shared" si="25"/>
        <v>1221515</v>
      </c>
      <c r="W11" s="465">
        <f t="shared" si="25"/>
        <v>1198607</v>
      </c>
      <c r="X11" s="465">
        <f t="shared" si="25"/>
        <v>1146172</v>
      </c>
      <c r="Y11" s="465">
        <f t="shared" si="25"/>
        <v>1190688</v>
      </c>
      <c r="Z11" s="452">
        <f t="shared" si="25"/>
        <v>1149883</v>
      </c>
      <c r="AA11" s="452">
        <f t="shared" si="25"/>
        <v>1133747</v>
      </c>
      <c r="AB11" s="452">
        <f t="shared" si="25"/>
        <v>1194562</v>
      </c>
      <c r="AC11" s="452">
        <f t="shared" si="25"/>
        <v>1170689</v>
      </c>
      <c r="AD11" s="452">
        <f t="shared" si="25"/>
        <v>1198719</v>
      </c>
      <c r="AE11" s="452">
        <f t="shared" si="25"/>
        <v>1258017</v>
      </c>
      <c r="AF11" s="452">
        <f t="shared" si="25"/>
        <v>1311546</v>
      </c>
      <c r="AG11" s="452">
        <f t="shared" si="25"/>
        <v>1296116</v>
      </c>
      <c r="AH11" s="452">
        <f>AH35</f>
        <v>1304482</v>
      </c>
      <c r="AI11" s="452">
        <f>AI35</f>
        <v>1280998</v>
      </c>
      <c r="AJ11" s="452">
        <f t="shared" ref="AJ11:AK11" si="26">AJ35</f>
        <v>1302930</v>
      </c>
      <c r="AK11" s="452">
        <f t="shared" si="26"/>
        <v>1278266</v>
      </c>
      <c r="AL11" s="452">
        <f t="shared" ref="AL11" si="27">AL35</f>
        <v>1295760</v>
      </c>
    </row>
    <row r="12" spans="1:39" ht="13">
      <c r="A12" s="267"/>
      <c r="B12" s="249">
        <v>5</v>
      </c>
      <c r="C12" s="249" t="s">
        <v>326</v>
      </c>
      <c r="D12" s="350">
        <f>D42</f>
        <v>2517328</v>
      </c>
      <c r="E12" s="350">
        <f t="shared" ref="E12:N12" si="28">E42</f>
        <v>2586757</v>
      </c>
      <c r="F12" s="350">
        <f t="shared" si="28"/>
        <v>2642134</v>
      </c>
      <c r="G12" s="350">
        <f t="shared" si="28"/>
        <v>2615806</v>
      </c>
      <c r="H12" s="350">
        <f t="shared" si="28"/>
        <v>2557534</v>
      </c>
      <c r="I12" s="350">
        <f t="shared" si="28"/>
        <v>2633951</v>
      </c>
      <c r="J12" s="350">
        <f t="shared" si="28"/>
        <v>2705805</v>
      </c>
      <c r="K12" s="350">
        <f t="shared" si="28"/>
        <v>2659852</v>
      </c>
      <c r="L12" s="350">
        <f t="shared" si="28"/>
        <v>2558071</v>
      </c>
      <c r="M12" s="350">
        <f t="shared" si="28"/>
        <v>2463080</v>
      </c>
      <c r="N12" s="350">
        <f t="shared" si="28"/>
        <v>2504580</v>
      </c>
      <c r="O12" s="350">
        <f t="shared" ref="O12:T12" si="29">O42</f>
        <v>2413802</v>
      </c>
      <c r="P12" s="710">
        <f t="shared" si="29"/>
        <v>2410353</v>
      </c>
      <c r="Q12" s="710">
        <f t="shared" si="29"/>
        <v>2369422</v>
      </c>
      <c r="R12" s="710">
        <f t="shared" si="29"/>
        <v>2411442</v>
      </c>
      <c r="S12" s="710">
        <f t="shared" si="29"/>
        <v>2464012</v>
      </c>
      <c r="T12" s="710">
        <f t="shared" si="29"/>
        <v>2546034</v>
      </c>
      <c r="U12" s="465">
        <f t="shared" ref="U12:AG12" si="30">U42</f>
        <v>2565099</v>
      </c>
      <c r="V12" s="465">
        <f t="shared" si="30"/>
        <v>2629643</v>
      </c>
      <c r="W12" s="465">
        <f t="shared" si="30"/>
        <v>2708790</v>
      </c>
      <c r="X12" s="465">
        <f t="shared" si="30"/>
        <v>2370256</v>
      </c>
      <c r="Y12" s="465">
        <f t="shared" si="30"/>
        <v>2584373</v>
      </c>
      <c r="Z12" s="452">
        <f t="shared" si="30"/>
        <v>2459071</v>
      </c>
      <c r="AA12" s="452">
        <f t="shared" si="30"/>
        <v>2401066</v>
      </c>
      <c r="AB12" s="452">
        <f t="shared" si="30"/>
        <v>2604440</v>
      </c>
      <c r="AC12" s="452">
        <f t="shared" si="30"/>
        <v>2577285</v>
      </c>
      <c r="AD12" s="452">
        <f t="shared" si="30"/>
        <v>2610540</v>
      </c>
      <c r="AE12" s="452">
        <f t="shared" si="30"/>
        <v>2667693</v>
      </c>
      <c r="AF12" s="452">
        <f t="shared" si="30"/>
        <v>2678688</v>
      </c>
      <c r="AG12" s="452">
        <f t="shared" si="30"/>
        <v>2674020</v>
      </c>
      <c r="AH12" s="452">
        <f>AH42</f>
        <v>2636461</v>
      </c>
      <c r="AI12" s="452">
        <f>AI42</f>
        <v>2555353</v>
      </c>
      <c r="AJ12" s="452">
        <f t="shared" ref="AJ12:AK12" si="31">AJ42</f>
        <v>2786293</v>
      </c>
      <c r="AK12" s="452">
        <f t="shared" si="31"/>
        <v>2841392</v>
      </c>
      <c r="AL12" s="452">
        <f t="shared" ref="AL12" si="32">AL42</f>
        <v>2800023</v>
      </c>
    </row>
    <row r="13" spans="1:39" ht="13">
      <c r="A13" s="267"/>
      <c r="B13" s="249">
        <v>6</v>
      </c>
      <c r="C13" s="249" t="s">
        <v>327</v>
      </c>
      <c r="D13" s="350">
        <f>D47</f>
        <v>891486</v>
      </c>
      <c r="E13" s="350">
        <f t="shared" ref="E13:N13" si="33">E47</f>
        <v>944131</v>
      </c>
      <c r="F13" s="350">
        <f t="shared" si="33"/>
        <v>926151</v>
      </c>
      <c r="G13" s="350">
        <f t="shared" si="33"/>
        <v>983577</v>
      </c>
      <c r="H13" s="350">
        <f t="shared" si="33"/>
        <v>997879</v>
      </c>
      <c r="I13" s="350">
        <f t="shared" si="33"/>
        <v>1068513</v>
      </c>
      <c r="J13" s="350">
        <f t="shared" si="33"/>
        <v>1080117</v>
      </c>
      <c r="K13" s="350">
        <f t="shared" si="33"/>
        <v>1055069</v>
      </c>
      <c r="L13" s="350">
        <f t="shared" si="33"/>
        <v>1037989</v>
      </c>
      <c r="M13" s="350">
        <f t="shared" si="33"/>
        <v>1067910</v>
      </c>
      <c r="N13" s="350">
        <f t="shared" si="33"/>
        <v>1070674</v>
      </c>
      <c r="O13" s="350">
        <f t="shared" ref="O13:T13" si="34">O47</f>
        <v>993822</v>
      </c>
      <c r="P13" s="710">
        <f t="shared" si="34"/>
        <v>1073090</v>
      </c>
      <c r="Q13" s="710">
        <f t="shared" si="34"/>
        <v>1037856</v>
      </c>
      <c r="R13" s="710">
        <f t="shared" si="34"/>
        <v>1017795</v>
      </c>
      <c r="S13" s="710">
        <f t="shared" si="34"/>
        <v>1003783</v>
      </c>
      <c r="T13" s="710">
        <f t="shared" si="34"/>
        <v>995183</v>
      </c>
      <c r="U13" s="465">
        <f t="shared" ref="U13:AG13" si="35">U47</f>
        <v>988227</v>
      </c>
      <c r="V13" s="465">
        <f t="shared" si="35"/>
        <v>1013274</v>
      </c>
      <c r="W13" s="465">
        <f t="shared" si="35"/>
        <v>973912</v>
      </c>
      <c r="X13" s="465">
        <f t="shared" si="35"/>
        <v>935893</v>
      </c>
      <c r="Y13" s="465">
        <f t="shared" si="35"/>
        <v>993858</v>
      </c>
      <c r="Z13" s="452">
        <f t="shared" si="35"/>
        <v>985923</v>
      </c>
      <c r="AA13" s="452">
        <f t="shared" si="35"/>
        <v>990496</v>
      </c>
      <c r="AB13" s="452">
        <f t="shared" si="35"/>
        <v>999464</v>
      </c>
      <c r="AC13" s="452">
        <f t="shared" si="35"/>
        <v>1000895</v>
      </c>
      <c r="AD13" s="452">
        <f t="shared" si="35"/>
        <v>1016695</v>
      </c>
      <c r="AE13" s="452">
        <f t="shared" si="35"/>
        <v>1021266</v>
      </c>
      <c r="AF13" s="452">
        <f t="shared" si="35"/>
        <v>1065673</v>
      </c>
      <c r="AG13" s="452">
        <f t="shared" si="35"/>
        <v>1070880</v>
      </c>
      <c r="AH13" s="452">
        <f>AH47</f>
        <v>1075264</v>
      </c>
      <c r="AI13" s="452">
        <f>AI47</f>
        <v>1084785</v>
      </c>
      <c r="AJ13" s="452">
        <f t="shared" ref="AJ13:AK13" si="36">AJ47</f>
        <v>1112726</v>
      </c>
      <c r="AK13" s="452">
        <f t="shared" si="36"/>
        <v>1087411</v>
      </c>
      <c r="AL13" s="452">
        <f t="shared" ref="AL13" si="37">AL47</f>
        <v>1079374</v>
      </c>
    </row>
    <row r="14" spans="1:39" ht="13">
      <c r="A14" s="267"/>
      <c r="B14" s="249">
        <v>7</v>
      </c>
      <c r="C14" s="249" t="s">
        <v>210</v>
      </c>
      <c r="D14" s="350">
        <f>D55</f>
        <v>581752</v>
      </c>
      <c r="E14" s="350">
        <f t="shared" ref="E14:N14" si="38">E55</f>
        <v>592994</v>
      </c>
      <c r="F14" s="350">
        <f t="shared" si="38"/>
        <v>608019</v>
      </c>
      <c r="G14" s="350">
        <f t="shared" si="38"/>
        <v>644647</v>
      </c>
      <c r="H14" s="350">
        <f t="shared" si="38"/>
        <v>626392</v>
      </c>
      <c r="I14" s="350">
        <f t="shared" si="38"/>
        <v>660159</v>
      </c>
      <c r="J14" s="350">
        <f t="shared" si="38"/>
        <v>691636</v>
      </c>
      <c r="K14" s="350">
        <f t="shared" si="38"/>
        <v>703527</v>
      </c>
      <c r="L14" s="350">
        <f t="shared" si="38"/>
        <v>699310</v>
      </c>
      <c r="M14" s="350">
        <f t="shared" si="38"/>
        <v>697424</v>
      </c>
      <c r="N14" s="350">
        <f t="shared" si="38"/>
        <v>703303</v>
      </c>
      <c r="O14" s="350">
        <f t="shared" ref="O14:T14" si="39">O55</f>
        <v>674960</v>
      </c>
      <c r="P14" s="710">
        <f t="shared" si="39"/>
        <v>683016</v>
      </c>
      <c r="Q14" s="710">
        <f t="shared" si="39"/>
        <v>681838</v>
      </c>
      <c r="R14" s="710">
        <f t="shared" si="39"/>
        <v>658097</v>
      </c>
      <c r="S14" s="710">
        <f t="shared" si="39"/>
        <v>656557</v>
      </c>
      <c r="T14" s="710">
        <f t="shared" si="39"/>
        <v>656001</v>
      </c>
      <c r="U14" s="465">
        <f t="shared" ref="U14:AG14" si="40">U55</f>
        <v>635187</v>
      </c>
      <c r="V14" s="465">
        <f t="shared" si="40"/>
        <v>644104</v>
      </c>
      <c r="W14" s="465">
        <f t="shared" si="40"/>
        <v>610959</v>
      </c>
      <c r="X14" s="465">
        <f t="shared" si="40"/>
        <v>582183</v>
      </c>
      <c r="Y14" s="465">
        <f t="shared" si="40"/>
        <v>596840</v>
      </c>
      <c r="Z14" s="452">
        <f t="shared" si="40"/>
        <v>583643</v>
      </c>
      <c r="AA14" s="452">
        <f t="shared" si="40"/>
        <v>591296</v>
      </c>
      <c r="AB14" s="452">
        <f t="shared" si="40"/>
        <v>633497</v>
      </c>
      <c r="AC14" s="452">
        <f t="shared" si="40"/>
        <v>622915</v>
      </c>
      <c r="AD14" s="452">
        <f t="shared" si="40"/>
        <v>630529</v>
      </c>
      <c r="AE14" s="452">
        <f t="shared" si="40"/>
        <v>621925</v>
      </c>
      <c r="AF14" s="452">
        <f t="shared" si="40"/>
        <v>636953</v>
      </c>
      <c r="AG14" s="452">
        <f t="shared" si="40"/>
        <v>625127</v>
      </c>
      <c r="AH14" s="452">
        <f>AH55</f>
        <v>633509</v>
      </c>
      <c r="AI14" s="452">
        <f>AI55</f>
        <v>630050</v>
      </c>
      <c r="AJ14" s="452">
        <f t="shared" ref="AJ14:AK14" si="41">AJ55</f>
        <v>596697</v>
      </c>
      <c r="AK14" s="452">
        <f t="shared" si="41"/>
        <v>581246</v>
      </c>
      <c r="AL14" s="452">
        <f t="shared" ref="AL14" si="42">AL55</f>
        <v>577235</v>
      </c>
    </row>
    <row r="15" spans="1:39" ht="13">
      <c r="A15" s="267"/>
      <c r="B15" s="249">
        <v>8</v>
      </c>
      <c r="C15" s="249" t="s">
        <v>211</v>
      </c>
      <c r="D15" s="350">
        <f>D61</f>
        <v>327297</v>
      </c>
      <c r="E15" s="350">
        <f t="shared" ref="E15:N15" si="43">E61</f>
        <v>341159</v>
      </c>
      <c r="F15" s="350">
        <f t="shared" si="43"/>
        <v>357195</v>
      </c>
      <c r="G15" s="350">
        <f t="shared" si="43"/>
        <v>369258</v>
      </c>
      <c r="H15" s="350">
        <f t="shared" si="43"/>
        <v>387328</v>
      </c>
      <c r="I15" s="350">
        <f t="shared" si="43"/>
        <v>407762</v>
      </c>
      <c r="J15" s="350">
        <f t="shared" si="43"/>
        <v>407629</v>
      </c>
      <c r="K15" s="350">
        <f t="shared" si="43"/>
        <v>378945</v>
      </c>
      <c r="L15" s="350">
        <f t="shared" si="43"/>
        <v>376194</v>
      </c>
      <c r="M15" s="350">
        <f t="shared" si="43"/>
        <v>359657</v>
      </c>
      <c r="N15" s="350">
        <f t="shared" si="43"/>
        <v>378601</v>
      </c>
      <c r="O15" s="350">
        <f t="shared" ref="O15:T15" si="44">O61</f>
        <v>378280</v>
      </c>
      <c r="P15" s="710">
        <f t="shared" si="44"/>
        <v>405637</v>
      </c>
      <c r="Q15" s="710">
        <f t="shared" si="44"/>
        <v>403599</v>
      </c>
      <c r="R15" s="710">
        <f t="shared" si="44"/>
        <v>398762</v>
      </c>
      <c r="S15" s="710">
        <f t="shared" si="44"/>
        <v>392716</v>
      </c>
      <c r="T15" s="710">
        <f t="shared" si="44"/>
        <v>391710</v>
      </c>
      <c r="U15" s="465">
        <f t="shared" ref="U15:AG15" si="45">U61</f>
        <v>394597</v>
      </c>
      <c r="V15" s="465">
        <f t="shared" si="45"/>
        <v>411175</v>
      </c>
      <c r="W15" s="465">
        <f t="shared" si="45"/>
        <v>377214</v>
      </c>
      <c r="X15" s="465">
        <f t="shared" si="45"/>
        <v>357061</v>
      </c>
      <c r="Y15" s="465">
        <f t="shared" si="45"/>
        <v>373206</v>
      </c>
      <c r="Z15" s="452">
        <f t="shared" si="45"/>
        <v>366777</v>
      </c>
      <c r="AA15" s="452">
        <f t="shared" si="45"/>
        <v>295698</v>
      </c>
      <c r="AB15" s="452">
        <f t="shared" si="45"/>
        <v>412702</v>
      </c>
      <c r="AC15" s="452">
        <f t="shared" si="45"/>
        <v>398133</v>
      </c>
      <c r="AD15" s="452">
        <f t="shared" si="45"/>
        <v>418714</v>
      </c>
      <c r="AE15" s="452">
        <f t="shared" si="45"/>
        <v>422068</v>
      </c>
      <c r="AF15" s="452">
        <f t="shared" si="45"/>
        <v>426654</v>
      </c>
      <c r="AG15" s="452">
        <f t="shared" si="45"/>
        <v>438341</v>
      </c>
      <c r="AH15" s="452">
        <f>AH61</f>
        <v>472616</v>
      </c>
      <c r="AI15" s="452">
        <f>AI61</f>
        <v>446621</v>
      </c>
      <c r="AJ15" s="452">
        <f t="shared" ref="AJ15:AK15" si="46">AJ61</f>
        <v>454129</v>
      </c>
      <c r="AK15" s="452">
        <f t="shared" si="46"/>
        <v>454813</v>
      </c>
      <c r="AL15" s="452">
        <f t="shared" ref="AL15" si="47">AL61</f>
        <v>460281</v>
      </c>
    </row>
    <row r="16" spans="1:39" ht="13">
      <c r="A16" s="267"/>
      <c r="B16" s="249">
        <v>9</v>
      </c>
      <c r="C16" s="249" t="s">
        <v>212</v>
      </c>
      <c r="D16" s="350">
        <f>D64</f>
        <v>496450</v>
      </c>
      <c r="E16" s="350">
        <f t="shared" ref="E16:N16" si="48">E64</f>
        <v>512837</v>
      </c>
      <c r="F16" s="350">
        <f t="shared" si="48"/>
        <v>514178</v>
      </c>
      <c r="G16" s="350">
        <f t="shared" si="48"/>
        <v>544743</v>
      </c>
      <c r="H16" s="350">
        <f t="shared" si="48"/>
        <v>542845</v>
      </c>
      <c r="I16" s="350">
        <f t="shared" si="48"/>
        <v>556999</v>
      </c>
      <c r="J16" s="350">
        <f t="shared" si="48"/>
        <v>566536</v>
      </c>
      <c r="K16" s="350">
        <f t="shared" si="48"/>
        <v>585191</v>
      </c>
      <c r="L16" s="350">
        <f t="shared" si="48"/>
        <v>556201</v>
      </c>
      <c r="M16" s="350">
        <f t="shared" si="48"/>
        <v>548284</v>
      </c>
      <c r="N16" s="350">
        <f t="shared" si="48"/>
        <v>550004</v>
      </c>
      <c r="O16" s="350">
        <f t="shared" ref="O16:T16" si="49">O64</f>
        <v>525491</v>
      </c>
      <c r="P16" s="710">
        <f t="shared" si="49"/>
        <v>565149</v>
      </c>
      <c r="Q16" s="710">
        <f t="shared" si="49"/>
        <v>548631</v>
      </c>
      <c r="R16" s="710">
        <f t="shared" si="49"/>
        <v>519837</v>
      </c>
      <c r="S16" s="710">
        <f t="shared" si="49"/>
        <v>512525</v>
      </c>
      <c r="T16" s="710">
        <f t="shared" si="49"/>
        <v>507259</v>
      </c>
      <c r="U16" s="465">
        <f t="shared" ref="U16:AG16" si="50">U64</f>
        <v>500905</v>
      </c>
      <c r="V16" s="465">
        <f t="shared" si="50"/>
        <v>498564</v>
      </c>
      <c r="W16" s="465">
        <f t="shared" si="50"/>
        <v>476416</v>
      </c>
      <c r="X16" s="465">
        <f t="shared" si="50"/>
        <v>458119</v>
      </c>
      <c r="Y16" s="465">
        <f t="shared" si="50"/>
        <v>476932</v>
      </c>
      <c r="Z16" s="452">
        <f t="shared" si="50"/>
        <v>455257</v>
      </c>
      <c r="AA16" s="452">
        <f t="shared" si="50"/>
        <v>453656</v>
      </c>
      <c r="AB16" s="452">
        <f t="shared" si="50"/>
        <v>464902</v>
      </c>
      <c r="AC16" s="452">
        <f t="shared" si="50"/>
        <v>451446</v>
      </c>
      <c r="AD16" s="452">
        <f t="shared" si="50"/>
        <v>465574</v>
      </c>
      <c r="AE16" s="452">
        <f t="shared" si="50"/>
        <v>469874</v>
      </c>
      <c r="AF16" s="452">
        <f t="shared" si="50"/>
        <v>467903</v>
      </c>
      <c r="AG16" s="452">
        <f t="shared" si="50"/>
        <v>464893</v>
      </c>
      <c r="AH16" s="452">
        <f>AH64</f>
        <v>466919</v>
      </c>
      <c r="AI16" s="452">
        <f>AI64</f>
        <v>435297</v>
      </c>
      <c r="AJ16" s="452">
        <f t="shared" ref="AJ16:AK16" si="51">AJ64</f>
        <v>446308</v>
      </c>
      <c r="AK16" s="452">
        <f t="shared" si="51"/>
        <v>465571</v>
      </c>
      <c r="AL16" s="452">
        <f t="shared" ref="AL16" si="52">AL64</f>
        <v>478816</v>
      </c>
    </row>
    <row r="17" spans="1:38">
      <c r="A17" s="268"/>
      <c r="B17" s="269"/>
      <c r="C17" s="249"/>
      <c r="D17" s="350"/>
      <c r="E17" s="350"/>
      <c r="F17" s="350"/>
      <c r="G17" s="350"/>
      <c r="H17" s="350"/>
      <c r="I17" s="350"/>
      <c r="J17" s="350"/>
      <c r="K17" s="350"/>
      <c r="L17" s="350"/>
      <c r="M17" s="350"/>
      <c r="N17" s="350"/>
      <c r="O17" s="350"/>
      <c r="P17" s="710" t="s">
        <v>1142</v>
      </c>
      <c r="Q17" s="710" t="s">
        <v>1142</v>
      </c>
      <c r="R17" s="710" t="s">
        <v>1142</v>
      </c>
      <c r="S17" s="710" t="s">
        <v>1142</v>
      </c>
      <c r="T17" s="710" t="s">
        <v>1142</v>
      </c>
      <c r="U17" s="465"/>
      <c r="V17" s="465"/>
      <c r="W17" s="465"/>
      <c r="X17" s="465"/>
      <c r="Y17" s="465"/>
      <c r="Z17" s="249"/>
      <c r="AC17"/>
      <c r="AD17"/>
      <c r="AE17"/>
      <c r="AF17"/>
      <c r="AG17"/>
      <c r="AH17"/>
      <c r="AI17"/>
      <c r="AJ17"/>
      <c r="AK17"/>
      <c r="AL17"/>
    </row>
    <row r="18" spans="1:38" ht="13">
      <c r="A18" s="271" t="s">
        <v>321</v>
      </c>
      <c r="B18" s="272">
        <v>100</v>
      </c>
      <c r="C18" s="272" t="s">
        <v>172</v>
      </c>
      <c r="D18" s="403">
        <f>D2-SUM(D8:D16)</f>
        <v>6351099</v>
      </c>
      <c r="E18" s="403">
        <f t="shared" ref="E18:N18" si="53">E2-SUM(E8:E16)</f>
        <v>6480473</v>
      </c>
      <c r="F18" s="403">
        <f t="shared" si="53"/>
        <v>6588232</v>
      </c>
      <c r="G18" s="403">
        <f t="shared" si="53"/>
        <v>6740215</v>
      </c>
      <c r="H18" s="403">
        <f t="shared" si="53"/>
        <v>6556000</v>
      </c>
      <c r="I18" s="403">
        <f t="shared" si="53"/>
        <v>6895187</v>
      </c>
      <c r="J18" s="403">
        <f t="shared" si="53"/>
        <v>7126232</v>
      </c>
      <c r="K18" s="403">
        <f t="shared" si="53"/>
        <v>6857399</v>
      </c>
      <c r="L18" s="403">
        <f t="shared" si="53"/>
        <v>6666706</v>
      </c>
      <c r="M18" s="403">
        <f t="shared" si="53"/>
        <v>6618114</v>
      </c>
      <c r="N18" s="403">
        <f t="shared" si="53"/>
        <v>6699488</v>
      </c>
      <c r="O18" s="403">
        <f>O2-SUM(O8:O16)</f>
        <v>6533177</v>
      </c>
      <c r="P18" s="711">
        <f>P6-SUM(P8:P16)</f>
        <v>6178208</v>
      </c>
      <c r="Q18" s="711">
        <f t="shared" ref="Q18:Y18" si="54">Q6-SUM(Q8:Q16)</f>
        <v>5918298</v>
      </c>
      <c r="R18" s="711">
        <f t="shared" si="54"/>
        <v>5971918</v>
      </c>
      <c r="S18" s="711">
        <f t="shared" si="54"/>
        <v>6001894</v>
      </c>
      <c r="T18" s="711">
        <f t="shared" si="54"/>
        <v>6116619</v>
      </c>
      <c r="U18" s="2245">
        <f t="shared" si="54"/>
        <v>6386661.9731645323</v>
      </c>
      <c r="V18" s="2245">
        <f t="shared" si="54"/>
        <v>6593937.9087572545</v>
      </c>
      <c r="W18" s="2245">
        <f t="shared" si="54"/>
        <v>6531581.9770171121</v>
      </c>
      <c r="X18" s="2245">
        <f t="shared" si="54"/>
        <v>6331426.0898123458</v>
      </c>
      <c r="Y18" s="2245">
        <f t="shared" si="54"/>
        <v>6751674.5758041441</v>
      </c>
      <c r="Z18" s="270">
        <f>Z82</f>
        <v>6639825</v>
      </c>
      <c r="AA18" s="270">
        <f t="shared" ref="AA18:AL18" si="55">AA82</f>
        <v>6575277</v>
      </c>
      <c r="AB18" s="270">
        <f t="shared" si="55"/>
        <v>6661471</v>
      </c>
      <c r="AC18" s="270">
        <f t="shared" si="55"/>
        <v>6653923</v>
      </c>
      <c r="AD18" s="270">
        <f t="shared" si="55"/>
        <v>6867175</v>
      </c>
      <c r="AE18" s="270">
        <f t="shared" si="55"/>
        <v>6876921</v>
      </c>
      <c r="AF18" s="270">
        <f t="shared" si="55"/>
        <v>6982935</v>
      </c>
      <c r="AG18" s="270">
        <f t="shared" si="55"/>
        <v>6948898</v>
      </c>
      <c r="AH18" s="270">
        <f t="shared" si="55"/>
        <v>7052438</v>
      </c>
      <c r="AI18" s="270">
        <f t="shared" si="55"/>
        <v>6730443</v>
      </c>
      <c r="AJ18" s="270">
        <f t="shared" si="55"/>
        <v>6858498</v>
      </c>
      <c r="AK18" s="270">
        <f t="shared" si="55"/>
        <v>7136502</v>
      </c>
      <c r="AL18" s="270">
        <f t="shared" si="55"/>
        <v>7194583</v>
      </c>
    </row>
    <row r="19" spans="1:38" ht="13">
      <c r="A19" s="273" t="s">
        <v>341</v>
      </c>
      <c r="B19" s="270">
        <v>1</v>
      </c>
      <c r="C19" s="249" t="s">
        <v>328</v>
      </c>
      <c r="D19" s="350">
        <f>SUM(D20:D22)</f>
        <v>3295493</v>
      </c>
      <c r="E19" s="350">
        <f t="shared" ref="E19:N19" si="56">SUM(E20:E22)</f>
        <v>3244932</v>
      </c>
      <c r="F19" s="350">
        <f t="shared" si="56"/>
        <v>3218925</v>
      </c>
      <c r="G19" s="350">
        <f t="shared" si="56"/>
        <v>3179225</v>
      </c>
      <c r="H19" s="350">
        <f t="shared" si="56"/>
        <v>3117638</v>
      </c>
      <c r="I19" s="350">
        <f t="shared" si="56"/>
        <v>3407337</v>
      </c>
      <c r="J19" s="350">
        <f t="shared" si="56"/>
        <v>3432588</v>
      </c>
      <c r="K19" s="350">
        <f t="shared" si="56"/>
        <v>3244686</v>
      </c>
      <c r="L19" s="350">
        <f t="shared" si="56"/>
        <v>2966663</v>
      </c>
      <c r="M19" s="350">
        <f t="shared" si="56"/>
        <v>2830471</v>
      </c>
      <c r="N19" s="350">
        <f t="shared" si="56"/>
        <v>2924190</v>
      </c>
      <c r="O19" s="350">
        <f>SUM(O20:O22)</f>
        <v>2843587</v>
      </c>
      <c r="P19" s="710">
        <f>SUM(P20:P22)</f>
        <v>3022275</v>
      </c>
      <c r="Q19" s="710">
        <f t="shared" ref="Q19:Y19" si="57">SUM(Q20:Q22)</f>
        <v>2848396</v>
      </c>
      <c r="R19" s="710">
        <f t="shared" si="57"/>
        <v>2865039</v>
      </c>
      <c r="S19" s="710">
        <f t="shared" si="57"/>
        <v>2898727</v>
      </c>
      <c r="T19" s="710">
        <f t="shared" si="57"/>
        <v>3009571</v>
      </c>
      <c r="U19" s="465">
        <f t="shared" si="57"/>
        <v>3131716</v>
      </c>
      <c r="V19" s="465">
        <f t="shared" si="57"/>
        <v>3261907</v>
      </c>
      <c r="W19" s="465">
        <f t="shared" si="57"/>
        <v>3153042</v>
      </c>
      <c r="X19" s="465">
        <f t="shared" si="57"/>
        <v>2981059</v>
      </c>
      <c r="Y19" s="465">
        <f t="shared" si="57"/>
        <v>3312417</v>
      </c>
      <c r="Z19" s="249">
        <f t="shared" ref="Z19:AL67" si="58">Z83</f>
        <v>3350389</v>
      </c>
      <c r="AA19" s="249">
        <f t="shared" si="58"/>
        <v>3282530</v>
      </c>
      <c r="AB19" s="249">
        <f t="shared" si="58"/>
        <v>3433560</v>
      </c>
      <c r="AC19" s="249">
        <f t="shared" si="58"/>
        <v>3365087</v>
      </c>
      <c r="AD19" s="249">
        <f t="shared" si="58"/>
        <v>3541195</v>
      </c>
      <c r="AE19" s="249">
        <f t="shared" si="58"/>
        <v>3554025</v>
      </c>
      <c r="AF19" s="249">
        <f t="shared" si="58"/>
        <v>3669939</v>
      </c>
      <c r="AG19" s="249">
        <f t="shared" si="58"/>
        <v>3640991</v>
      </c>
      <c r="AH19" s="249">
        <f t="shared" si="58"/>
        <v>3679482</v>
      </c>
      <c r="AI19" s="249">
        <f t="shared" si="58"/>
        <v>3473285</v>
      </c>
      <c r="AJ19" s="249">
        <f t="shared" si="58"/>
        <v>3648568</v>
      </c>
      <c r="AK19" s="249">
        <f t="shared" si="58"/>
        <v>3687169</v>
      </c>
      <c r="AL19" s="249">
        <f t="shared" si="58"/>
        <v>3734693</v>
      </c>
    </row>
    <row r="20" spans="1:38" ht="13">
      <c r="A20" s="267"/>
      <c r="B20" s="249">
        <v>202</v>
      </c>
      <c r="C20" s="249" t="s">
        <v>183</v>
      </c>
      <c r="D20" s="350">
        <f t="shared" ref="D20:O20" si="59">ROUND(D$2*D84/D$70,0)</f>
        <v>1971824</v>
      </c>
      <c r="E20" s="350">
        <f t="shared" si="59"/>
        <v>1957741</v>
      </c>
      <c r="F20" s="350">
        <f t="shared" si="59"/>
        <v>1950802</v>
      </c>
      <c r="G20" s="350">
        <f t="shared" si="59"/>
        <v>1948803</v>
      </c>
      <c r="H20" s="350">
        <f t="shared" si="59"/>
        <v>1912004</v>
      </c>
      <c r="I20" s="350">
        <f t="shared" si="59"/>
        <v>1967884</v>
      </c>
      <c r="J20" s="350">
        <f t="shared" si="59"/>
        <v>1963997</v>
      </c>
      <c r="K20" s="350">
        <f t="shared" si="59"/>
        <v>1871644</v>
      </c>
      <c r="L20" s="350">
        <f t="shared" si="59"/>
        <v>1684113</v>
      </c>
      <c r="M20" s="350">
        <f t="shared" si="59"/>
        <v>1585266</v>
      </c>
      <c r="N20" s="350">
        <f t="shared" si="59"/>
        <v>1653828</v>
      </c>
      <c r="O20" s="350">
        <f t="shared" si="59"/>
        <v>1601457</v>
      </c>
      <c r="P20" s="710">
        <f>ROUND(P$2*P84/P$70,0)</f>
        <v>1657990</v>
      </c>
      <c r="Q20" s="710">
        <f t="shared" ref="Q20:Y20" si="60">ROUND(Q$2*Q84/Q$70,0)</f>
        <v>1517027</v>
      </c>
      <c r="R20" s="710">
        <f t="shared" si="60"/>
        <v>1512626</v>
      </c>
      <c r="S20" s="710">
        <f t="shared" si="60"/>
        <v>1555716</v>
      </c>
      <c r="T20" s="710">
        <f t="shared" si="60"/>
        <v>1656322</v>
      </c>
      <c r="U20" s="465">
        <f t="shared" si="60"/>
        <v>1762761</v>
      </c>
      <c r="V20" s="465">
        <f t="shared" si="60"/>
        <v>1850624</v>
      </c>
      <c r="W20" s="465">
        <f t="shared" si="60"/>
        <v>1741011</v>
      </c>
      <c r="X20" s="465">
        <f t="shared" si="60"/>
        <v>1633116</v>
      </c>
      <c r="Y20" s="465">
        <f t="shared" si="60"/>
        <v>1857246</v>
      </c>
      <c r="Z20" s="249">
        <f t="shared" si="58"/>
        <v>1809107</v>
      </c>
      <c r="AA20" s="249">
        <f t="shared" si="58"/>
        <v>1752808</v>
      </c>
      <c r="AB20" s="249">
        <f t="shared" si="58"/>
        <v>1818892</v>
      </c>
      <c r="AC20" s="249">
        <f t="shared" si="58"/>
        <v>1805488</v>
      </c>
      <c r="AD20" s="249">
        <f t="shared" si="58"/>
        <v>1893035</v>
      </c>
      <c r="AE20" s="249">
        <f t="shared" si="58"/>
        <v>1929984</v>
      </c>
      <c r="AF20" s="249">
        <f t="shared" si="58"/>
        <v>1995773</v>
      </c>
      <c r="AG20" s="249">
        <f t="shared" si="58"/>
        <v>1971191</v>
      </c>
      <c r="AH20" s="249">
        <f t="shared" si="58"/>
        <v>2002520</v>
      </c>
      <c r="AI20" s="249">
        <f t="shared" si="58"/>
        <v>1851993</v>
      </c>
      <c r="AJ20" s="249">
        <f t="shared" si="58"/>
        <v>1985822</v>
      </c>
      <c r="AK20" s="249">
        <f t="shared" si="58"/>
        <v>2014404</v>
      </c>
      <c r="AL20" s="249">
        <f t="shared" si="58"/>
        <v>2041433</v>
      </c>
    </row>
    <row r="21" spans="1:38" ht="13">
      <c r="A21" s="267"/>
      <c r="B21" s="249">
        <v>204</v>
      </c>
      <c r="C21" s="249" t="s">
        <v>184</v>
      </c>
      <c r="D21" s="350">
        <f>ROUND(D$2*D85/D$70,0)</f>
        <v>1133439</v>
      </c>
      <c r="E21" s="350">
        <f t="shared" ref="E21:N21" si="61">ROUND(E$2*E85/E$70,0)</f>
        <v>1109619</v>
      </c>
      <c r="F21" s="350">
        <f t="shared" si="61"/>
        <v>1103731</v>
      </c>
      <c r="G21" s="350">
        <f t="shared" si="61"/>
        <v>1066035</v>
      </c>
      <c r="H21" s="350">
        <f t="shared" si="61"/>
        <v>1044830</v>
      </c>
      <c r="I21" s="350">
        <f t="shared" si="61"/>
        <v>1238151</v>
      </c>
      <c r="J21" s="350">
        <f t="shared" si="61"/>
        <v>1262293</v>
      </c>
      <c r="K21" s="350">
        <f t="shared" si="61"/>
        <v>1190414</v>
      </c>
      <c r="L21" s="350">
        <f t="shared" si="61"/>
        <v>1097209</v>
      </c>
      <c r="M21" s="350">
        <f t="shared" si="61"/>
        <v>1067346</v>
      </c>
      <c r="N21" s="350">
        <f t="shared" si="61"/>
        <v>1077867</v>
      </c>
      <c r="O21" s="350">
        <f>ROUND(O$2*O85/O$70,0)</f>
        <v>1050976</v>
      </c>
      <c r="P21" s="710">
        <f>ROUND(P$2*P85/P$70,0)</f>
        <v>1167880</v>
      </c>
      <c r="Q21" s="710">
        <f t="shared" ref="Q21:Y21" si="62">ROUND(Q$2*Q85/Q$70,0)</f>
        <v>1144336</v>
      </c>
      <c r="R21" s="710">
        <f t="shared" si="62"/>
        <v>1165484</v>
      </c>
      <c r="S21" s="710">
        <f t="shared" si="62"/>
        <v>1150494</v>
      </c>
      <c r="T21" s="710">
        <f t="shared" si="62"/>
        <v>1161855</v>
      </c>
      <c r="U21" s="465">
        <f t="shared" si="62"/>
        <v>1170548</v>
      </c>
      <c r="V21" s="465">
        <f t="shared" si="62"/>
        <v>1210133</v>
      </c>
      <c r="W21" s="465">
        <f t="shared" si="62"/>
        <v>1213526</v>
      </c>
      <c r="X21" s="465">
        <f t="shared" si="62"/>
        <v>1151732</v>
      </c>
      <c r="Y21" s="465">
        <f t="shared" si="62"/>
        <v>1241580</v>
      </c>
      <c r="Z21" s="249">
        <f t="shared" si="58"/>
        <v>1328627</v>
      </c>
      <c r="AA21" s="249">
        <f t="shared" si="58"/>
        <v>1315876</v>
      </c>
      <c r="AB21" s="249">
        <f t="shared" si="58"/>
        <v>1385388</v>
      </c>
      <c r="AC21" s="249">
        <f t="shared" si="58"/>
        <v>1347148</v>
      </c>
      <c r="AD21" s="249">
        <f t="shared" si="58"/>
        <v>1412273</v>
      </c>
      <c r="AE21" s="249">
        <f t="shared" si="58"/>
        <v>1402044</v>
      </c>
      <c r="AF21" s="249">
        <f t="shared" si="58"/>
        <v>1442158</v>
      </c>
      <c r="AG21" s="249">
        <f t="shared" si="58"/>
        <v>1445748</v>
      </c>
      <c r="AH21" s="249">
        <f t="shared" si="58"/>
        <v>1445090</v>
      </c>
      <c r="AI21" s="249">
        <f t="shared" si="58"/>
        <v>1396387</v>
      </c>
      <c r="AJ21" s="249">
        <f t="shared" si="58"/>
        <v>1432546</v>
      </c>
      <c r="AK21" s="249">
        <f t="shared" si="58"/>
        <v>1439922</v>
      </c>
      <c r="AL21" s="249">
        <f t="shared" si="58"/>
        <v>1452254</v>
      </c>
    </row>
    <row r="22" spans="1:38" ht="13">
      <c r="A22" s="268"/>
      <c r="B22" s="269">
        <v>206</v>
      </c>
      <c r="C22" s="249" t="s">
        <v>185</v>
      </c>
      <c r="D22" s="350">
        <f>ROUND(D$2*D86/D$70,0)</f>
        <v>190230</v>
      </c>
      <c r="E22" s="350">
        <f t="shared" ref="E22:N22" si="63">ROUND(E$2*E86/E$70,0)</f>
        <v>177572</v>
      </c>
      <c r="F22" s="350">
        <f t="shared" si="63"/>
        <v>164392</v>
      </c>
      <c r="G22" s="350">
        <f t="shared" si="63"/>
        <v>164387</v>
      </c>
      <c r="H22" s="350">
        <f t="shared" si="63"/>
        <v>160804</v>
      </c>
      <c r="I22" s="350">
        <f t="shared" si="63"/>
        <v>201302</v>
      </c>
      <c r="J22" s="350">
        <f t="shared" si="63"/>
        <v>206298</v>
      </c>
      <c r="K22" s="350">
        <f t="shared" si="63"/>
        <v>182628</v>
      </c>
      <c r="L22" s="350">
        <f t="shared" si="63"/>
        <v>185341</v>
      </c>
      <c r="M22" s="350">
        <f t="shared" si="63"/>
        <v>177859</v>
      </c>
      <c r="N22" s="350">
        <f t="shared" si="63"/>
        <v>192495</v>
      </c>
      <c r="O22" s="350">
        <f>ROUND(O$2*O86/O$70,0)</f>
        <v>191154</v>
      </c>
      <c r="P22" s="712">
        <f>ROUND(P$2*P86/P$70,0)</f>
        <v>196405</v>
      </c>
      <c r="Q22" s="712">
        <f t="shared" ref="Q22:Y22" si="64">ROUND(Q$2*Q86/Q$70,0)</f>
        <v>187033</v>
      </c>
      <c r="R22" s="712">
        <f t="shared" si="64"/>
        <v>186929</v>
      </c>
      <c r="S22" s="712">
        <f t="shared" si="64"/>
        <v>192517</v>
      </c>
      <c r="T22" s="712">
        <f t="shared" si="64"/>
        <v>191394</v>
      </c>
      <c r="U22" s="525">
        <f t="shared" si="64"/>
        <v>198407</v>
      </c>
      <c r="V22" s="525">
        <f t="shared" si="64"/>
        <v>201150</v>
      </c>
      <c r="W22" s="525">
        <f t="shared" si="64"/>
        <v>198505</v>
      </c>
      <c r="X22" s="525">
        <f t="shared" si="64"/>
        <v>196211</v>
      </c>
      <c r="Y22" s="525">
        <f t="shared" si="64"/>
        <v>213591</v>
      </c>
      <c r="Z22" s="249">
        <f t="shared" si="58"/>
        <v>212655</v>
      </c>
      <c r="AA22" s="249">
        <f t="shared" si="58"/>
        <v>213846</v>
      </c>
      <c r="AB22" s="249">
        <f t="shared" si="58"/>
        <v>229280</v>
      </c>
      <c r="AC22" s="249">
        <f t="shared" si="58"/>
        <v>212451</v>
      </c>
      <c r="AD22" s="249">
        <f t="shared" si="58"/>
        <v>235887</v>
      </c>
      <c r="AE22" s="249">
        <f t="shared" si="58"/>
        <v>221997</v>
      </c>
      <c r="AF22" s="249">
        <f t="shared" si="58"/>
        <v>232008</v>
      </c>
      <c r="AG22" s="249">
        <f t="shared" si="58"/>
        <v>224052</v>
      </c>
      <c r="AH22" s="249">
        <f t="shared" si="58"/>
        <v>231872</v>
      </c>
      <c r="AI22" s="249">
        <f t="shared" si="58"/>
        <v>224905</v>
      </c>
      <c r="AJ22" s="249">
        <f t="shared" si="58"/>
        <v>230200</v>
      </c>
      <c r="AK22" s="249">
        <f t="shared" si="58"/>
        <v>232843</v>
      </c>
      <c r="AL22" s="249">
        <f t="shared" si="58"/>
        <v>241006</v>
      </c>
    </row>
    <row r="23" spans="1:38" ht="13">
      <c r="A23" s="267" t="s">
        <v>342</v>
      </c>
      <c r="B23" s="249">
        <v>2</v>
      </c>
      <c r="C23" s="270" t="s">
        <v>324</v>
      </c>
      <c r="D23" s="349">
        <f>SUM(D24:D28)</f>
        <v>1662695</v>
      </c>
      <c r="E23" s="349">
        <f t="shared" ref="E23:N23" si="65">SUM(E24:E28)</f>
        <v>1683738</v>
      </c>
      <c r="F23" s="349">
        <f t="shared" si="65"/>
        <v>1689608</v>
      </c>
      <c r="G23" s="349">
        <f t="shared" si="65"/>
        <v>1726523</v>
      </c>
      <c r="H23" s="349">
        <f t="shared" si="65"/>
        <v>1640145</v>
      </c>
      <c r="I23" s="349">
        <f t="shared" si="65"/>
        <v>1810672</v>
      </c>
      <c r="J23" s="349">
        <f t="shared" si="65"/>
        <v>1840292</v>
      </c>
      <c r="K23" s="349">
        <f t="shared" si="65"/>
        <v>1859389</v>
      </c>
      <c r="L23" s="349">
        <f t="shared" si="65"/>
        <v>1815299</v>
      </c>
      <c r="M23" s="349">
        <f t="shared" si="65"/>
        <v>1761879</v>
      </c>
      <c r="N23" s="349">
        <f t="shared" si="65"/>
        <v>1797958</v>
      </c>
      <c r="O23" s="349">
        <f>SUM(O24:O28)</f>
        <v>1755052</v>
      </c>
      <c r="P23" s="709">
        <f>SUM(P24:P28)</f>
        <v>1755025</v>
      </c>
      <c r="Q23" s="709">
        <f t="shared" ref="Q23:Y23" si="66">SUM(Q24:Q28)</f>
        <v>1688937</v>
      </c>
      <c r="R23" s="709">
        <f t="shared" si="66"/>
        <v>1725261</v>
      </c>
      <c r="S23" s="709">
        <f t="shared" si="66"/>
        <v>1763495</v>
      </c>
      <c r="T23" s="709">
        <f t="shared" si="66"/>
        <v>1835033</v>
      </c>
      <c r="U23" s="464">
        <f t="shared" si="66"/>
        <v>1894608</v>
      </c>
      <c r="V23" s="464">
        <f t="shared" si="66"/>
        <v>1946526</v>
      </c>
      <c r="W23" s="464">
        <f t="shared" si="66"/>
        <v>1868619</v>
      </c>
      <c r="X23" s="464">
        <f t="shared" si="66"/>
        <v>1773677</v>
      </c>
      <c r="Y23" s="464">
        <f t="shared" si="66"/>
        <v>1893868</v>
      </c>
      <c r="Z23" s="249">
        <f t="shared" si="58"/>
        <v>1978032</v>
      </c>
      <c r="AA23" s="249">
        <f t="shared" si="58"/>
        <v>2021539</v>
      </c>
      <c r="AB23" s="249">
        <f t="shared" si="58"/>
        <v>2042568</v>
      </c>
      <c r="AC23" s="249">
        <f t="shared" si="58"/>
        <v>1983242</v>
      </c>
      <c r="AD23" s="249">
        <f t="shared" si="58"/>
        <v>2055211</v>
      </c>
      <c r="AE23" s="249">
        <f t="shared" si="58"/>
        <v>2140771</v>
      </c>
      <c r="AF23" s="249">
        <f t="shared" si="58"/>
        <v>2115075</v>
      </c>
      <c r="AG23" s="249">
        <f t="shared" si="58"/>
        <v>2107148</v>
      </c>
      <c r="AH23" s="249">
        <f t="shared" si="58"/>
        <v>2063186</v>
      </c>
      <c r="AI23" s="249">
        <f t="shared" si="58"/>
        <v>2018040</v>
      </c>
      <c r="AJ23" s="249">
        <f t="shared" si="58"/>
        <v>2177625</v>
      </c>
      <c r="AK23" s="249">
        <f t="shared" si="58"/>
        <v>2220509</v>
      </c>
      <c r="AL23" s="249">
        <f t="shared" si="58"/>
        <v>2291123</v>
      </c>
    </row>
    <row r="24" spans="1:38" ht="13">
      <c r="A24" s="267"/>
      <c r="B24" s="249">
        <v>207</v>
      </c>
      <c r="C24" s="249" t="s">
        <v>187</v>
      </c>
      <c r="D24" s="350">
        <f t="shared" ref="D24:O24" si="67">ROUND(D$2*D88/D$70,0)</f>
        <v>662455</v>
      </c>
      <c r="E24" s="350">
        <f t="shared" si="67"/>
        <v>672247</v>
      </c>
      <c r="F24" s="350">
        <f t="shared" si="67"/>
        <v>656543</v>
      </c>
      <c r="G24" s="350">
        <f t="shared" si="67"/>
        <v>650912</v>
      </c>
      <c r="H24" s="350">
        <f t="shared" si="67"/>
        <v>600576</v>
      </c>
      <c r="I24" s="350">
        <f t="shared" si="67"/>
        <v>653436</v>
      </c>
      <c r="J24" s="350">
        <f t="shared" si="67"/>
        <v>660842</v>
      </c>
      <c r="K24" s="350">
        <f t="shared" si="67"/>
        <v>638456</v>
      </c>
      <c r="L24" s="350">
        <f t="shared" si="67"/>
        <v>612247</v>
      </c>
      <c r="M24" s="350">
        <f t="shared" si="67"/>
        <v>584072</v>
      </c>
      <c r="N24" s="350">
        <f t="shared" si="67"/>
        <v>589715</v>
      </c>
      <c r="O24" s="350">
        <f t="shared" si="67"/>
        <v>586714</v>
      </c>
      <c r="P24" s="710">
        <f>ROUND(P$2*P88/P$70,0)</f>
        <v>586468</v>
      </c>
      <c r="Q24" s="710">
        <f t="shared" ref="Q24:Y24" si="68">ROUND(Q$2*Q88/Q$70,0)</f>
        <v>534805</v>
      </c>
      <c r="R24" s="710">
        <f t="shared" si="68"/>
        <v>547117</v>
      </c>
      <c r="S24" s="710">
        <f t="shared" si="68"/>
        <v>585656</v>
      </c>
      <c r="T24" s="710">
        <f t="shared" si="68"/>
        <v>634157</v>
      </c>
      <c r="U24" s="465">
        <f t="shared" si="68"/>
        <v>660933</v>
      </c>
      <c r="V24" s="465">
        <f t="shared" si="68"/>
        <v>687838</v>
      </c>
      <c r="W24" s="465">
        <f t="shared" si="68"/>
        <v>632838</v>
      </c>
      <c r="X24" s="465">
        <f t="shared" si="68"/>
        <v>570882</v>
      </c>
      <c r="Y24" s="465">
        <f t="shared" si="68"/>
        <v>622521</v>
      </c>
      <c r="Z24" s="249">
        <f t="shared" si="58"/>
        <v>660071</v>
      </c>
      <c r="AA24" s="249">
        <f t="shared" si="58"/>
        <v>659356</v>
      </c>
      <c r="AB24" s="249">
        <f t="shared" si="58"/>
        <v>695901</v>
      </c>
      <c r="AC24" s="249">
        <f t="shared" si="58"/>
        <v>688368</v>
      </c>
      <c r="AD24" s="249">
        <f t="shared" si="58"/>
        <v>695338</v>
      </c>
      <c r="AE24" s="249">
        <f t="shared" si="58"/>
        <v>729629</v>
      </c>
      <c r="AF24" s="249">
        <f t="shared" si="58"/>
        <v>710815</v>
      </c>
      <c r="AG24" s="249">
        <f t="shared" si="58"/>
        <v>706227</v>
      </c>
      <c r="AH24" s="249">
        <f t="shared" si="58"/>
        <v>696428</v>
      </c>
      <c r="AI24" s="249">
        <f t="shared" si="58"/>
        <v>698482</v>
      </c>
      <c r="AJ24" s="249">
        <f t="shared" si="58"/>
        <v>769901</v>
      </c>
      <c r="AK24" s="249">
        <f t="shared" si="58"/>
        <v>767641</v>
      </c>
      <c r="AL24" s="249">
        <f t="shared" si="58"/>
        <v>772124</v>
      </c>
    </row>
    <row r="25" spans="1:38" ht="13">
      <c r="A25" s="267"/>
      <c r="B25" s="249">
        <v>214</v>
      </c>
      <c r="C25" s="249" t="s">
        <v>188</v>
      </c>
      <c r="D25" s="350">
        <f t="shared" ref="D25:O25" si="69">ROUND(D$2*D89/D$70,0)</f>
        <v>465334</v>
      </c>
      <c r="E25" s="350">
        <f t="shared" si="69"/>
        <v>427510</v>
      </c>
      <c r="F25" s="350">
        <f t="shared" si="69"/>
        <v>420818</v>
      </c>
      <c r="G25" s="350">
        <f t="shared" si="69"/>
        <v>452687</v>
      </c>
      <c r="H25" s="350">
        <f t="shared" si="69"/>
        <v>418694</v>
      </c>
      <c r="I25" s="350">
        <f t="shared" si="69"/>
        <v>486659</v>
      </c>
      <c r="J25" s="350">
        <f t="shared" si="69"/>
        <v>484561</v>
      </c>
      <c r="K25" s="350">
        <f t="shared" si="69"/>
        <v>471504</v>
      </c>
      <c r="L25" s="350">
        <f t="shared" si="69"/>
        <v>452575</v>
      </c>
      <c r="M25" s="350">
        <f t="shared" si="69"/>
        <v>458867</v>
      </c>
      <c r="N25" s="350">
        <f t="shared" si="69"/>
        <v>457351</v>
      </c>
      <c r="O25" s="350">
        <f t="shared" si="69"/>
        <v>435237</v>
      </c>
      <c r="P25" s="710">
        <f>ROUND(P$2*P89/P$70,0)</f>
        <v>434181</v>
      </c>
      <c r="Q25" s="710">
        <f t="shared" ref="Q25:Y25" si="70">ROUND(Q$2*Q89/Q$70,0)</f>
        <v>416606</v>
      </c>
      <c r="R25" s="710">
        <f t="shared" si="70"/>
        <v>437352</v>
      </c>
      <c r="S25" s="710">
        <f t="shared" si="70"/>
        <v>437987</v>
      </c>
      <c r="T25" s="710">
        <f t="shared" si="70"/>
        <v>445484</v>
      </c>
      <c r="U25" s="465">
        <f t="shared" si="70"/>
        <v>464466</v>
      </c>
      <c r="V25" s="465">
        <f t="shared" si="70"/>
        <v>453054</v>
      </c>
      <c r="W25" s="465">
        <f t="shared" si="70"/>
        <v>448878</v>
      </c>
      <c r="X25" s="465">
        <f t="shared" si="70"/>
        <v>451773</v>
      </c>
      <c r="Y25" s="465">
        <f t="shared" si="70"/>
        <v>457609</v>
      </c>
      <c r="Z25" s="249">
        <f t="shared" si="58"/>
        <v>465400</v>
      </c>
      <c r="AA25" s="249">
        <f t="shared" si="58"/>
        <v>469714</v>
      </c>
      <c r="AB25" s="249">
        <f t="shared" si="58"/>
        <v>485924</v>
      </c>
      <c r="AC25" s="249">
        <f t="shared" si="58"/>
        <v>474000</v>
      </c>
      <c r="AD25" s="249">
        <f t="shared" si="58"/>
        <v>489033</v>
      </c>
      <c r="AE25" s="249">
        <f t="shared" si="58"/>
        <v>489925</v>
      </c>
      <c r="AF25" s="249">
        <f t="shared" si="58"/>
        <v>494037</v>
      </c>
      <c r="AG25" s="249">
        <f t="shared" si="58"/>
        <v>500646</v>
      </c>
      <c r="AH25" s="249">
        <f t="shared" si="58"/>
        <v>493944</v>
      </c>
      <c r="AI25" s="249">
        <f t="shared" si="58"/>
        <v>473132</v>
      </c>
      <c r="AJ25" s="249">
        <f t="shared" si="58"/>
        <v>490823</v>
      </c>
      <c r="AK25" s="249">
        <f t="shared" si="58"/>
        <v>496638</v>
      </c>
      <c r="AL25" s="249">
        <f t="shared" si="58"/>
        <v>501156</v>
      </c>
    </row>
    <row r="26" spans="1:38" ht="13">
      <c r="A26" s="267"/>
      <c r="B26" s="249">
        <v>217</v>
      </c>
      <c r="C26" s="249" t="s">
        <v>189</v>
      </c>
      <c r="D26" s="350">
        <f t="shared" ref="D26:O26" si="71">ROUND(D$2*D90/D$70,0)</f>
        <v>257275</v>
      </c>
      <c r="E26" s="350">
        <f t="shared" si="71"/>
        <v>266327</v>
      </c>
      <c r="F26" s="350">
        <f t="shared" si="71"/>
        <v>279555</v>
      </c>
      <c r="G26" s="350">
        <f t="shared" si="71"/>
        <v>276621</v>
      </c>
      <c r="H26" s="350">
        <f t="shared" si="71"/>
        <v>270300</v>
      </c>
      <c r="I26" s="350">
        <f t="shared" si="71"/>
        <v>297757</v>
      </c>
      <c r="J26" s="350">
        <f t="shared" si="71"/>
        <v>304689</v>
      </c>
      <c r="K26" s="350">
        <f t="shared" si="71"/>
        <v>323448</v>
      </c>
      <c r="L26" s="350">
        <f t="shared" si="71"/>
        <v>314158</v>
      </c>
      <c r="M26" s="350">
        <f t="shared" si="71"/>
        <v>298653</v>
      </c>
      <c r="N26" s="350">
        <f t="shared" si="71"/>
        <v>310804</v>
      </c>
      <c r="O26" s="350">
        <f t="shared" si="71"/>
        <v>314909</v>
      </c>
      <c r="P26" s="710">
        <f>ROUND(P$2*P90/P$70,0)</f>
        <v>320319</v>
      </c>
      <c r="Q26" s="710">
        <f t="shared" ref="Q26:Y26" si="72">ROUND(Q$2*Q90/Q$70,0)</f>
        <v>307969</v>
      </c>
      <c r="R26" s="710">
        <f t="shared" si="72"/>
        <v>308979</v>
      </c>
      <c r="S26" s="710">
        <f t="shared" si="72"/>
        <v>306584</v>
      </c>
      <c r="T26" s="710">
        <f t="shared" si="72"/>
        <v>310369</v>
      </c>
      <c r="U26" s="465">
        <f t="shared" si="72"/>
        <v>306731</v>
      </c>
      <c r="V26" s="465">
        <f t="shared" si="72"/>
        <v>316573</v>
      </c>
      <c r="W26" s="465">
        <f t="shared" si="72"/>
        <v>307372</v>
      </c>
      <c r="X26" s="465">
        <f t="shared" si="72"/>
        <v>296687</v>
      </c>
      <c r="Y26" s="465">
        <f t="shared" si="72"/>
        <v>317319</v>
      </c>
      <c r="Z26" s="249">
        <f t="shared" si="58"/>
        <v>332681</v>
      </c>
      <c r="AA26" s="249">
        <f t="shared" si="58"/>
        <v>346674</v>
      </c>
      <c r="AB26" s="249">
        <f t="shared" si="58"/>
        <v>336777</v>
      </c>
      <c r="AC26" s="249">
        <f t="shared" si="58"/>
        <v>334818</v>
      </c>
      <c r="AD26" s="249">
        <f t="shared" si="58"/>
        <v>334923</v>
      </c>
      <c r="AE26" s="249">
        <f t="shared" si="58"/>
        <v>341444</v>
      </c>
      <c r="AF26" s="249">
        <f t="shared" si="58"/>
        <v>349370</v>
      </c>
      <c r="AG26" s="249">
        <f t="shared" si="58"/>
        <v>359447</v>
      </c>
      <c r="AH26" s="249">
        <f t="shared" si="58"/>
        <v>355502</v>
      </c>
      <c r="AI26" s="249">
        <f t="shared" si="58"/>
        <v>340728</v>
      </c>
      <c r="AJ26" s="249">
        <f t="shared" si="58"/>
        <v>349077</v>
      </c>
      <c r="AK26" s="249">
        <f t="shared" si="58"/>
        <v>354233</v>
      </c>
      <c r="AL26" s="249">
        <f t="shared" si="58"/>
        <v>359504</v>
      </c>
    </row>
    <row r="27" spans="1:38" ht="13">
      <c r="A27" s="267"/>
      <c r="B27" s="249">
        <v>219</v>
      </c>
      <c r="C27" s="249" t="s">
        <v>190</v>
      </c>
      <c r="D27" s="350">
        <f t="shared" ref="D27:O27" si="73">ROUND(D$2*D91/D$70,0)</f>
        <v>233588</v>
      </c>
      <c r="E27" s="350">
        <f t="shared" si="73"/>
        <v>273159</v>
      </c>
      <c r="F27" s="350">
        <f t="shared" si="73"/>
        <v>286550</v>
      </c>
      <c r="G27" s="350">
        <f t="shared" si="73"/>
        <v>299928</v>
      </c>
      <c r="H27" s="350">
        <f t="shared" si="73"/>
        <v>299313</v>
      </c>
      <c r="I27" s="350">
        <f t="shared" si="73"/>
        <v>322101</v>
      </c>
      <c r="J27" s="350">
        <f t="shared" si="73"/>
        <v>339298</v>
      </c>
      <c r="K27" s="350">
        <f t="shared" si="73"/>
        <v>363619</v>
      </c>
      <c r="L27" s="350">
        <f t="shared" si="73"/>
        <v>376858</v>
      </c>
      <c r="M27" s="350">
        <f t="shared" si="73"/>
        <v>362749</v>
      </c>
      <c r="N27" s="350">
        <f t="shared" si="73"/>
        <v>377344</v>
      </c>
      <c r="O27" s="350">
        <f t="shared" si="73"/>
        <v>356244</v>
      </c>
      <c r="P27" s="710">
        <f>ROUND(P$2*P91/P$70,0)</f>
        <v>357158</v>
      </c>
      <c r="Q27" s="710">
        <f t="shared" ref="Q27:Y27" si="74">ROUND(Q$2*Q91/Q$70,0)</f>
        <v>373232</v>
      </c>
      <c r="R27" s="710">
        <f t="shared" si="74"/>
        <v>371750</v>
      </c>
      <c r="S27" s="710">
        <f t="shared" si="74"/>
        <v>379596</v>
      </c>
      <c r="T27" s="710">
        <f t="shared" si="74"/>
        <v>385121</v>
      </c>
      <c r="U27" s="465">
        <f t="shared" si="74"/>
        <v>398614</v>
      </c>
      <c r="V27" s="465">
        <f t="shared" si="74"/>
        <v>427840</v>
      </c>
      <c r="W27" s="465">
        <f t="shared" si="74"/>
        <v>419325</v>
      </c>
      <c r="X27" s="465">
        <f t="shared" si="74"/>
        <v>395659</v>
      </c>
      <c r="Y27" s="465">
        <f t="shared" si="74"/>
        <v>435750</v>
      </c>
      <c r="Z27" s="249">
        <f t="shared" si="58"/>
        <v>456953</v>
      </c>
      <c r="AA27" s="249">
        <f t="shared" si="58"/>
        <v>483037</v>
      </c>
      <c r="AB27" s="249">
        <f t="shared" si="58"/>
        <v>459440</v>
      </c>
      <c r="AC27" s="249">
        <f t="shared" si="58"/>
        <v>422608</v>
      </c>
      <c r="AD27" s="249">
        <f t="shared" si="58"/>
        <v>470769</v>
      </c>
      <c r="AE27" s="249">
        <f t="shared" si="58"/>
        <v>515670</v>
      </c>
      <c r="AF27" s="249">
        <f t="shared" si="58"/>
        <v>494291</v>
      </c>
      <c r="AG27" s="249">
        <f t="shared" si="58"/>
        <v>477876</v>
      </c>
      <c r="AH27" s="249">
        <f t="shared" si="58"/>
        <v>454217</v>
      </c>
      <c r="AI27" s="249">
        <f t="shared" si="58"/>
        <v>443822</v>
      </c>
      <c r="AJ27" s="249">
        <f t="shared" si="58"/>
        <v>504386</v>
      </c>
      <c r="AK27" s="249">
        <f t="shared" si="58"/>
        <v>538944</v>
      </c>
      <c r="AL27" s="249">
        <f t="shared" si="58"/>
        <v>594214</v>
      </c>
    </row>
    <row r="28" spans="1:38" ht="13">
      <c r="A28" s="267"/>
      <c r="B28" s="249">
        <v>301</v>
      </c>
      <c r="C28" s="269" t="s">
        <v>191</v>
      </c>
      <c r="D28" s="402">
        <f t="shared" ref="D28:O28" si="75">ROUND(D$2*D92/D$70,0)</f>
        <v>44043</v>
      </c>
      <c r="E28" s="402">
        <f t="shared" si="75"/>
        <v>44495</v>
      </c>
      <c r="F28" s="402">
        <f t="shared" si="75"/>
        <v>46142</v>
      </c>
      <c r="G28" s="402">
        <f t="shared" si="75"/>
        <v>46375</v>
      </c>
      <c r="H28" s="402">
        <f t="shared" si="75"/>
        <v>51262</v>
      </c>
      <c r="I28" s="402">
        <f t="shared" si="75"/>
        <v>50719</v>
      </c>
      <c r="J28" s="402">
        <f t="shared" si="75"/>
        <v>50902</v>
      </c>
      <c r="K28" s="402">
        <f t="shared" si="75"/>
        <v>62362</v>
      </c>
      <c r="L28" s="402">
        <f t="shared" si="75"/>
        <v>59461</v>
      </c>
      <c r="M28" s="402">
        <f t="shared" si="75"/>
        <v>57538</v>
      </c>
      <c r="N28" s="402">
        <f t="shared" si="75"/>
        <v>62744</v>
      </c>
      <c r="O28" s="402">
        <f t="shared" si="75"/>
        <v>61948</v>
      </c>
      <c r="P28" s="710">
        <f>ROUND(P$2*P92/P$70,0)</f>
        <v>56899</v>
      </c>
      <c r="Q28" s="710">
        <f t="shared" ref="Q28:Y28" si="76">ROUND(Q$2*Q92/Q$70,0)</f>
        <v>56325</v>
      </c>
      <c r="R28" s="710">
        <f t="shared" si="76"/>
        <v>60063</v>
      </c>
      <c r="S28" s="710">
        <f t="shared" si="76"/>
        <v>53672</v>
      </c>
      <c r="T28" s="710">
        <f t="shared" si="76"/>
        <v>59902</v>
      </c>
      <c r="U28" s="465">
        <f t="shared" si="76"/>
        <v>63864</v>
      </c>
      <c r="V28" s="465">
        <f t="shared" si="76"/>
        <v>61221</v>
      </c>
      <c r="W28" s="465">
        <f t="shared" si="76"/>
        <v>60206</v>
      </c>
      <c r="X28" s="465">
        <f t="shared" si="76"/>
        <v>58676</v>
      </c>
      <c r="Y28" s="465">
        <f t="shared" si="76"/>
        <v>60669</v>
      </c>
      <c r="Z28" s="249">
        <f t="shared" si="58"/>
        <v>62927</v>
      </c>
      <c r="AA28" s="249">
        <f t="shared" si="58"/>
        <v>62758</v>
      </c>
      <c r="AB28" s="249">
        <f t="shared" si="58"/>
        <v>64526</v>
      </c>
      <c r="AC28" s="249">
        <f t="shared" si="58"/>
        <v>63448</v>
      </c>
      <c r="AD28" s="249">
        <f t="shared" si="58"/>
        <v>65148</v>
      </c>
      <c r="AE28" s="249">
        <f t="shared" si="58"/>
        <v>64103</v>
      </c>
      <c r="AF28" s="249">
        <f t="shared" si="58"/>
        <v>66562</v>
      </c>
      <c r="AG28" s="249">
        <f t="shared" si="58"/>
        <v>62952</v>
      </c>
      <c r="AH28" s="249">
        <f t="shared" si="58"/>
        <v>63095</v>
      </c>
      <c r="AI28" s="249">
        <f t="shared" si="58"/>
        <v>61876</v>
      </c>
      <c r="AJ28" s="249">
        <f t="shared" si="58"/>
        <v>63438</v>
      </c>
      <c r="AK28" s="249">
        <f t="shared" si="58"/>
        <v>63053</v>
      </c>
      <c r="AL28" s="249">
        <f t="shared" si="58"/>
        <v>64125</v>
      </c>
    </row>
    <row r="29" spans="1:38" ht="13">
      <c r="A29" s="273" t="s">
        <v>343</v>
      </c>
      <c r="B29" s="270">
        <v>3</v>
      </c>
      <c r="C29" s="249" t="s">
        <v>192</v>
      </c>
      <c r="D29" s="350">
        <f>SUM(D30:D34)</f>
        <v>2517320</v>
      </c>
      <c r="E29" s="350">
        <f t="shared" ref="E29:N29" si="77">SUM(E30:E34)</f>
        <v>2587911</v>
      </c>
      <c r="F29" s="350">
        <f t="shared" si="77"/>
        <v>2507298</v>
      </c>
      <c r="G29" s="350">
        <f t="shared" si="77"/>
        <v>2526479</v>
      </c>
      <c r="H29" s="350">
        <f t="shared" si="77"/>
        <v>2473573</v>
      </c>
      <c r="I29" s="350">
        <f t="shared" si="77"/>
        <v>2668012</v>
      </c>
      <c r="J29" s="350">
        <f t="shared" si="77"/>
        <v>2712525</v>
      </c>
      <c r="K29" s="350">
        <f t="shared" si="77"/>
        <v>2700545</v>
      </c>
      <c r="L29" s="350">
        <f t="shared" si="77"/>
        <v>2557105</v>
      </c>
      <c r="M29" s="350">
        <f t="shared" si="77"/>
        <v>2531666</v>
      </c>
      <c r="N29" s="350">
        <f t="shared" si="77"/>
        <v>2597590</v>
      </c>
      <c r="O29" s="350">
        <f>SUM(O30:O34)</f>
        <v>2400583</v>
      </c>
      <c r="P29" s="709">
        <f>SUM(P30:P34)</f>
        <v>2505032</v>
      </c>
      <c r="Q29" s="709">
        <f t="shared" ref="Q29:Y29" si="78">SUM(Q30:Q34)</f>
        <v>2515066</v>
      </c>
      <c r="R29" s="709">
        <f t="shared" si="78"/>
        <v>2571832</v>
      </c>
      <c r="S29" s="709">
        <f t="shared" si="78"/>
        <v>2594831</v>
      </c>
      <c r="T29" s="709">
        <f t="shared" si="78"/>
        <v>2673465</v>
      </c>
      <c r="U29" s="464">
        <f t="shared" si="78"/>
        <v>2813002</v>
      </c>
      <c r="V29" s="464">
        <f t="shared" si="78"/>
        <v>2987289</v>
      </c>
      <c r="W29" s="464">
        <f t="shared" si="78"/>
        <v>2989050</v>
      </c>
      <c r="X29" s="464">
        <f t="shared" si="78"/>
        <v>2582059</v>
      </c>
      <c r="Y29" s="464">
        <f t="shared" si="78"/>
        <v>2752668</v>
      </c>
      <c r="Z29" s="249">
        <f t="shared" si="58"/>
        <v>2673197</v>
      </c>
      <c r="AA29" s="249">
        <f t="shared" si="58"/>
        <v>2839950</v>
      </c>
      <c r="AB29" s="249">
        <f t="shared" si="58"/>
        <v>2892211</v>
      </c>
      <c r="AC29" s="249">
        <f t="shared" si="58"/>
        <v>2869315</v>
      </c>
      <c r="AD29" s="249">
        <f t="shared" si="58"/>
        <v>2959810</v>
      </c>
      <c r="AE29" s="249">
        <f t="shared" si="58"/>
        <v>2905924</v>
      </c>
      <c r="AF29" s="249">
        <f t="shared" si="58"/>
        <v>2925883</v>
      </c>
      <c r="AG29" s="249">
        <f t="shared" si="58"/>
        <v>2964550</v>
      </c>
      <c r="AH29" s="249">
        <f t="shared" si="58"/>
        <v>2988965</v>
      </c>
      <c r="AI29" s="249">
        <f t="shared" si="58"/>
        <v>2929006</v>
      </c>
      <c r="AJ29" s="249">
        <f t="shared" si="58"/>
        <v>2922065</v>
      </c>
      <c r="AK29" s="249">
        <f t="shared" si="58"/>
        <v>3125410</v>
      </c>
      <c r="AL29" s="249">
        <f t="shared" si="58"/>
        <v>3009430</v>
      </c>
    </row>
    <row r="30" spans="1:38" ht="13">
      <c r="A30" s="267"/>
      <c r="B30" s="249">
        <v>203</v>
      </c>
      <c r="C30" s="249" t="s">
        <v>193</v>
      </c>
      <c r="D30" s="350">
        <f t="shared" ref="D30:O30" si="79">ROUND(D$2*D94/D$70,0)</f>
        <v>1037505</v>
      </c>
      <c r="E30" s="350">
        <f t="shared" si="79"/>
        <v>1056309</v>
      </c>
      <c r="F30" s="350">
        <f t="shared" si="79"/>
        <v>996621</v>
      </c>
      <c r="G30" s="350">
        <f t="shared" si="79"/>
        <v>1000600</v>
      </c>
      <c r="H30" s="350">
        <f t="shared" si="79"/>
        <v>951447</v>
      </c>
      <c r="I30" s="350">
        <f t="shared" si="79"/>
        <v>1050153</v>
      </c>
      <c r="J30" s="350">
        <f t="shared" si="79"/>
        <v>1079518</v>
      </c>
      <c r="K30" s="350">
        <f t="shared" si="79"/>
        <v>1045975</v>
      </c>
      <c r="L30" s="350">
        <f t="shared" si="79"/>
        <v>973073</v>
      </c>
      <c r="M30" s="350">
        <f t="shared" si="79"/>
        <v>949997</v>
      </c>
      <c r="N30" s="350">
        <f t="shared" si="79"/>
        <v>997756</v>
      </c>
      <c r="O30" s="350">
        <f t="shared" si="79"/>
        <v>929082</v>
      </c>
      <c r="P30" s="710">
        <f>ROUND(P$2*P94/P$70,0)</f>
        <v>969000</v>
      </c>
      <c r="Q30" s="710">
        <f t="shared" ref="Q30:Y30" si="80">ROUND(Q$2*Q94/Q$70,0)</f>
        <v>992940</v>
      </c>
      <c r="R30" s="710">
        <f t="shared" si="80"/>
        <v>1023800</v>
      </c>
      <c r="S30" s="710">
        <f t="shared" si="80"/>
        <v>1012466</v>
      </c>
      <c r="T30" s="710">
        <f t="shared" si="80"/>
        <v>1027862</v>
      </c>
      <c r="U30" s="465">
        <f t="shared" si="80"/>
        <v>1097955</v>
      </c>
      <c r="V30" s="465">
        <f t="shared" si="80"/>
        <v>1160116</v>
      </c>
      <c r="W30" s="465">
        <f t="shared" si="80"/>
        <v>1128322</v>
      </c>
      <c r="X30" s="465">
        <f t="shared" si="80"/>
        <v>1002505</v>
      </c>
      <c r="Y30" s="465">
        <f t="shared" si="80"/>
        <v>1044341</v>
      </c>
      <c r="Z30" s="249">
        <f t="shared" si="58"/>
        <v>1031666</v>
      </c>
      <c r="AA30" s="249">
        <f t="shared" si="58"/>
        <v>1136650</v>
      </c>
      <c r="AB30" s="249">
        <f t="shared" si="58"/>
        <v>1112858</v>
      </c>
      <c r="AC30" s="249">
        <f t="shared" si="58"/>
        <v>1161933</v>
      </c>
      <c r="AD30" s="249">
        <f t="shared" si="58"/>
        <v>1192985</v>
      </c>
      <c r="AE30" s="249">
        <f t="shared" si="58"/>
        <v>1165783</v>
      </c>
      <c r="AF30" s="249">
        <f t="shared" si="58"/>
        <v>1158370</v>
      </c>
      <c r="AG30" s="249">
        <f t="shared" si="58"/>
        <v>1195084</v>
      </c>
      <c r="AH30" s="249">
        <f t="shared" si="58"/>
        <v>1209959</v>
      </c>
      <c r="AI30" s="249">
        <f t="shared" si="58"/>
        <v>1150727</v>
      </c>
      <c r="AJ30" s="249">
        <f t="shared" si="58"/>
        <v>1130600</v>
      </c>
      <c r="AK30" s="249">
        <f t="shared" si="58"/>
        <v>1244766</v>
      </c>
      <c r="AL30" s="249">
        <f t="shared" si="58"/>
        <v>1247478</v>
      </c>
    </row>
    <row r="31" spans="1:38" ht="13">
      <c r="A31" s="267"/>
      <c r="B31" s="249">
        <v>210</v>
      </c>
      <c r="C31" s="249" t="s">
        <v>194</v>
      </c>
      <c r="D31" s="350">
        <f t="shared" ref="D31:O31" si="81">ROUND(D$2*D95/D$70,0)</f>
        <v>792893</v>
      </c>
      <c r="E31" s="350">
        <f t="shared" si="81"/>
        <v>781171</v>
      </c>
      <c r="F31" s="350">
        <f t="shared" si="81"/>
        <v>779523</v>
      </c>
      <c r="G31" s="350">
        <f t="shared" si="81"/>
        <v>784347</v>
      </c>
      <c r="H31" s="350">
        <f t="shared" si="81"/>
        <v>775164</v>
      </c>
      <c r="I31" s="350">
        <f t="shared" si="81"/>
        <v>813463</v>
      </c>
      <c r="J31" s="350">
        <f t="shared" si="81"/>
        <v>853369</v>
      </c>
      <c r="K31" s="350">
        <f t="shared" si="81"/>
        <v>875304</v>
      </c>
      <c r="L31" s="350">
        <f t="shared" si="81"/>
        <v>852120</v>
      </c>
      <c r="M31" s="350">
        <f t="shared" si="81"/>
        <v>846927</v>
      </c>
      <c r="N31" s="350">
        <f t="shared" si="81"/>
        <v>824013</v>
      </c>
      <c r="O31" s="350">
        <f t="shared" si="81"/>
        <v>749131</v>
      </c>
      <c r="P31" s="710">
        <f>ROUND(P$2*P95/P$70,0)</f>
        <v>771713</v>
      </c>
      <c r="Q31" s="710">
        <f t="shared" ref="Q31:Y31" si="82">ROUND(Q$2*Q95/Q$70,0)</f>
        <v>759932</v>
      </c>
      <c r="R31" s="710">
        <f t="shared" si="82"/>
        <v>800532</v>
      </c>
      <c r="S31" s="710">
        <f t="shared" si="82"/>
        <v>832163</v>
      </c>
      <c r="T31" s="710">
        <f t="shared" si="82"/>
        <v>852954</v>
      </c>
      <c r="U31" s="465">
        <f t="shared" si="82"/>
        <v>873512</v>
      </c>
      <c r="V31" s="465">
        <f t="shared" si="82"/>
        <v>938240</v>
      </c>
      <c r="W31" s="465">
        <f t="shared" si="82"/>
        <v>944877</v>
      </c>
      <c r="X31" s="465">
        <f t="shared" si="82"/>
        <v>739303</v>
      </c>
      <c r="Y31" s="465">
        <f t="shared" si="82"/>
        <v>821921</v>
      </c>
      <c r="Z31" s="249">
        <f t="shared" si="58"/>
        <v>763503</v>
      </c>
      <c r="AA31" s="249">
        <f t="shared" si="58"/>
        <v>763255</v>
      </c>
      <c r="AB31" s="249">
        <f t="shared" si="58"/>
        <v>832746</v>
      </c>
      <c r="AC31" s="249">
        <f t="shared" si="58"/>
        <v>819563</v>
      </c>
      <c r="AD31" s="249">
        <f t="shared" si="58"/>
        <v>823644</v>
      </c>
      <c r="AE31" s="249">
        <f t="shared" si="58"/>
        <v>856605</v>
      </c>
      <c r="AF31" s="249">
        <f t="shared" si="58"/>
        <v>876570</v>
      </c>
      <c r="AG31" s="249">
        <f t="shared" si="58"/>
        <v>893693</v>
      </c>
      <c r="AH31" s="249">
        <f t="shared" si="58"/>
        <v>891752</v>
      </c>
      <c r="AI31" s="249">
        <f t="shared" si="58"/>
        <v>844101</v>
      </c>
      <c r="AJ31" s="249">
        <f t="shared" si="58"/>
        <v>833867</v>
      </c>
      <c r="AK31" s="249">
        <f t="shared" si="58"/>
        <v>837326</v>
      </c>
      <c r="AL31" s="249">
        <f t="shared" si="58"/>
        <v>832739</v>
      </c>
    </row>
    <row r="32" spans="1:38" ht="13">
      <c r="A32" s="267"/>
      <c r="B32" s="249">
        <v>216</v>
      </c>
      <c r="C32" s="249" t="s">
        <v>195</v>
      </c>
      <c r="D32" s="350">
        <f t="shared" ref="D32:O32" si="83">ROUND(D$2*D96/D$70,0)</f>
        <v>452760</v>
      </c>
      <c r="E32" s="350">
        <f t="shared" si="83"/>
        <v>509121</v>
      </c>
      <c r="F32" s="350">
        <f t="shared" si="83"/>
        <v>485696</v>
      </c>
      <c r="G32" s="350">
        <f t="shared" si="83"/>
        <v>498908</v>
      </c>
      <c r="H32" s="350">
        <f t="shared" si="83"/>
        <v>492447</v>
      </c>
      <c r="I32" s="350">
        <f t="shared" si="83"/>
        <v>518139</v>
      </c>
      <c r="J32" s="350">
        <f t="shared" si="83"/>
        <v>498980</v>
      </c>
      <c r="K32" s="350">
        <f t="shared" si="83"/>
        <v>506397</v>
      </c>
      <c r="L32" s="350">
        <f t="shared" si="83"/>
        <v>458306</v>
      </c>
      <c r="M32" s="350">
        <f t="shared" si="83"/>
        <v>477636</v>
      </c>
      <c r="N32" s="350">
        <f t="shared" si="83"/>
        <v>516689</v>
      </c>
      <c r="O32" s="350">
        <f t="shared" si="83"/>
        <v>481231</v>
      </c>
      <c r="P32" s="710">
        <f>ROUND(P$2*P96/P$70,0)</f>
        <v>509544</v>
      </c>
      <c r="Q32" s="710">
        <f t="shared" ref="Q32:Y32" si="84">ROUND(Q$2*Q96/Q$70,0)</f>
        <v>516719</v>
      </c>
      <c r="R32" s="710">
        <f t="shared" si="84"/>
        <v>504618</v>
      </c>
      <c r="S32" s="710">
        <f t="shared" si="84"/>
        <v>498837</v>
      </c>
      <c r="T32" s="710">
        <f t="shared" si="84"/>
        <v>529147</v>
      </c>
      <c r="U32" s="465">
        <f t="shared" si="84"/>
        <v>561791</v>
      </c>
      <c r="V32" s="465">
        <f t="shared" si="84"/>
        <v>600138</v>
      </c>
      <c r="W32" s="465">
        <f t="shared" si="84"/>
        <v>628688</v>
      </c>
      <c r="X32" s="465">
        <f t="shared" si="84"/>
        <v>582135</v>
      </c>
      <c r="Y32" s="465">
        <f t="shared" si="84"/>
        <v>632787</v>
      </c>
      <c r="Z32" s="249">
        <f t="shared" si="58"/>
        <v>600615</v>
      </c>
      <c r="AA32" s="249">
        <f t="shared" si="58"/>
        <v>633794</v>
      </c>
      <c r="AB32" s="249">
        <f t="shared" si="58"/>
        <v>633960</v>
      </c>
      <c r="AC32" s="249">
        <f t="shared" si="58"/>
        <v>555023</v>
      </c>
      <c r="AD32" s="249">
        <f t="shared" si="58"/>
        <v>592330</v>
      </c>
      <c r="AE32" s="249">
        <f t="shared" si="58"/>
        <v>546536</v>
      </c>
      <c r="AF32" s="249">
        <f t="shared" si="58"/>
        <v>539109</v>
      </c>
      <c r="AG32" s="249">
        <f t="shared" si="58"/>
        <v>518084</v>
      </c>
      <c r="AH32" s="249">
        <f t="shared" si="58"/>
        <v>529858</v>
      </c>
      <c r="AI32" s="249">
        <f t="shared" si="58"/>
        <v>579546</v>
      </c>
      <c r="AJ32" s="249">
        <f t="shared" si="58"/>
        <v>544491</v>
      </c>
      <c r="AK32" s="249">
        <f t="shared" si="58"/>
        <v>596784</v>
      </c>
      <c r="AL32" s="249">
        <f t="shared" si="58"/>
        <v>503321</v>
      </c>
    </row>
    <row r="33" spans="1:38" ht="13">
      <c r="A33" s="267"/>
      <c r="B33" s="249">
        <v>381</v>
      </c>
      <c r="C33" s="249" t="s">
        <v>196</v>
      </c>
      <c r="D33" s="350">
        <f t="shared" ref="D33:O33" si="85">ROUND(D$2*D97/D$70,0)</f>
        <v>92616</v>
      </c>
      <c r="E33" s="350">
        <f t="shared" si="85"/>
        <v>99012</v>
      </c>
      <c r="F33" s="350">
        <f t="shared" si="85"/>
        <v>98649</v>
      </c>
      <c r="G33" s="350">
        <f t="shared" si="85"/>
        <v>110090</v>
      </c>
      <c r="H33" s="350">
        <f t="shared" si="85"/>
        <v>112395</v>
      </c>
      <c r="I33" s="350">
        <f t="shared" si="85"/>
        <v>123498</v>
      </c>
      <c r="J33" s="350">
        <f t="shared" si="85"/>
        <v>125870</v>
      </c>
      <c r="K33" s="350">
        <f t="shared" si="85"/>
        <v>122813</v>
      </c>
      <c r="L33" s="350">
        <f t="shared" si="85"/>
        <v>128187</v>
      </c>
      <c r="M33" s="350">
        <f t="shared" si="85"/>
        <v>122967</v>
      </c>
      <c r="N33" s="350">
        <f t="shared" si="85"/>
        <v>127771</v>
      </c>
      <c r="O33" s="350">
        <f t="shared" si="85"/>
        <v>117498</v>
      </c>
      <c r="P33" s="710">
        <f>ROUND(P$2*P97/P$70,0)</f>
        <v>126268</v>
      </c>
      <c r="Q33" s="710">
        <f t="shared" ref="Q33:Y33" si="86">ROUND(Q$2*Q97/Q$70,0)</f>
        <v>122263</v>
      </c>
      <c r="R33" s="710">
        <f t="shared" si="86"/>
        <v>121216</v>
      </c>
      <c r="S33" s="710">
        <f t="shared" si="86"/>
        <v>128086</v>
      </c>
      <c r="T33" s="710">
        <f t="shared" si="86"/>
        <v>128103</v>
      </c>
      <c r="U33" s="465">
        <f t="shared" si="86"/>
        <v>143758</v>
      </c>
      <c r="V33" s="465">
        <f t="shared" si="86"/>
        <v>151170</v>
      </c>
      <c r="W33" s="465">
        <f t="shared" si="86"/>
        <v>143899</v>
      </c>
      <c r="X33" s="465">
        <f t="shared" si="86"/>
        <v>123176</v>
      </c>
      <c r="Y33" s="465">
        <f t="shared" si="86"/>
        <v>135660</v>
      </c>
      <c r="Z33" s="249">
        <f t="shared" si="58"/>
        <v>154354</v>
      </c>
      <c r="AA33" s="249">
        <f t="shared" si="58"/>
        <v>165205</v>
      </c>
      <c r="AB33" s="249">
        <f t="shared" si="58"/>
        <v>171447</v>
      </c>
      <c r="AC33" s="249">
        <f t="shared" si="58"/>
        <v>174014</v>
      </c>
      <c r="AD33" s="249">
        <f t="shared" si="58"/>
        <v>190934</v>
      </c>
      <c r="AE33" s="249">
        <f t="shared" si="58"/>
        <v>177610</v>
      </c>
      <c r="AF33" s="249">
        <f t="shared" si="58"/>
        <v>183782</v>
      </c>
      <c r="AG33" s="249">
        <f t="shared" si="58"/>
        <v>182660</v>
      </c>
      <c r="AH33" s="249">
        <f t="shared" si="58"/>
        <v>174964</v>
      </c>
      <c r="AI33" s="249">
        <f t="shared" si="58"/>
        <v>148914</v>
      </c>
      <c r="AJ33" s="249">
        <f t="shared" si="58"/>
        <v>167083</v>
      </c>
      <c r="AK33" s="249">
        <f t="shared" si="58"/>
        <v>167771</v>
      </c>
      <c r="AL33" s="249">
        <f t="shared" si="58"/>
        <v>166957</v>
      </c>
    </row>
    <row r="34" spans="1:38" ht="13">
      <c r="A34" s="268"/>
      <c r="B34" s="269">
        <v>382</v>
      </c>
      <c r="C34" s="249" t="s">
        <v>197</v>
      </c>
      <c r="D34" s="350">
        <f t="shared" ref="D34:O34" si="87">ROUND(D$2*D98/D$70,0)</f>
        <v>141546</v>
      </c>
      <c r="E34" s="350">
        <f t="shared" si="87"/>
        <v>142298</v>
      </c>
      <c r="F34" s="350">
        <f t="shared" si="87"/>
        <v>146809</v>
      </c>
      <c r="G34" s="350">
        <f t="shared" si="87"/>
        <v>132534</v>
      </c>
      <c r="H34" s="350">
        <f t="shared" si="87"/>
        <v>142120</v>
      </c>
      <c r="I34" s="350">
        <f t="shared" si="87"/>
        <v>162759</v>
      </c>
      <c r="J34" s="350">
        <f t="shared" si="87"/>
        <v>154788</v>
      </c>
      <c r="K34" s="350">
        <f t="shared" si="87"/>
        <v>150056</v>
      </c>
      <c r="L34" s="350">
        <f t="shared" si="87"/>
        <v>145419</v>
      </c>
      <c r="M34" s="350">
        <f t="shared" si="87"/>
        <v>134139</v>
      </c>
      <c r="N34" s="350">
        <f t="shared" si="87"/>
        <v>131361</v>
      </c>
      <c r="O34" s="350">
        <f t="shared" si="87"/>
        <v>123641</v>
      </c>
      <c r="P34" s="712">
        <f>ROUND(P$2*P98/P$70,0)</f>
        <v>128507</v>
      </c>
      <c r="Q34" s="712">
        <f t="shared" ref="Q34:Y34" si="88">ROUND(Q$2*Q98/Q$70,0)</f>
        <v>123212</v>
      </c>
      <c r="R34" s="712">
        <f t="shared" si="88"/>
        <v>121666</v>
      </c>
      <c r="S34" s="712">
        <f t="shared" si="88"/>
        <v>123279</v>
      </c>
      <c r="T34" s="712">
        <f t="shared" si="88"/>
        <v>135399</v>
      </c>
      <c r="U34" s="525">
        <f t="shared" si="88"/>
        <v>135986</v>
      </c>
      <c r="V34" s="525">
        <f t="shared" si="88"/>
        <v>137625</v>
      </c>
      <c r="W34" s="525">
        <f t="shared" si="88"/>
        <v>143264</v>
      </c>
      <c r="X34" s="525">
        <f t="shared" si="88"/>
        <v>134940</v>
      </c>
      <c r="Y34" s="525">
        <f t="shared" si="88"/>
        <v>117959</v>
      </c>
      <c r="Z34" s="249">
        <f t="shared" si="58"/>
        <v>123059</v>
      </c>
      <c r="AA34" s="249">
        <f t="shared" si="58"/>
        <v>141046</v>
      </c>
      <c r="AB34" s="249">
        <f t="shared" si="58"/>
        <v>141200</v>
      </c>
      <c r="AC34" s="249">
        <f t="shared" si="58"/>
        <v>158782</v>
      </c>
      <c r="AD34" s="249">
        <f t="shared" si="58"/>
        <v>159917</v>
      </c>
      <c r="AE34" s="249">
        <f t="shared" si="58"/>
        <v>159390</v>
      </c>
      <c r="AF34" s="249">
        <f t="shared" si="58"/>
        <v>168052</v>
      </c>
      <c r="AG34" s="249">
        <f t="shared" si="58"/>
        <v>175029</v>
      </c>
      <c r="AH34" s="249">
        <f t="shared" si="58"/>
        <v>182432</v>
      </c>
      <c r="AI34" s="249">
        <f t="shared" si="58"/>
        <v>205718</v>
      </c>
      <c r="AJ34" s="249">
        <f t="shared" si="58"/>
        <v>246024</v>
      </c>
      <c r="AK34" s="249">
        <f t="shared" si="58"/>
        <v>278763</v>
      </c>
      <c r="AL34" s="249">
        <f t="shared" si="58"/>
        <v>258935</v>
      </c>
    </row>
    <row r="35" spans="1:38" ht="13">
      <c r="A35" s="267" t="s">
        <v>343</v>
      </c>
      <c r="B35" s="249">
        <v>4</v>
      </c>
      <c r="C35" s="270" t="s">
        <v>325</v>
      </c>
      <c r="D35" s="349">
        <f>SUM(D36:D41)</f>
        <v>994875</v>
      </c>
      <c r="E35" s="349">
        <f t="shared" ref="E35:N35" si="89">SUM(E36:E41)</f>
        <v>1026170</v>
      </c>
      <c r="F35" s="349">
        <f t="shared" si="89"/>
        <v>1011982</v>
      </c>
      <c r="G35" s="349">
        <f t="shared" si="89"/>
        <v>1065241</v>
      </c>
      <c r="H35" s="349">
        <f t="shared" si="89"/>
        <v>1067459</v>
      </c>
      <c r="I35" s="349">
        <f t="shared" si="89"/>
        <v>1119763</v>
      </c>
      <c r="J35" s="349">
        <f t="shared" si="89"/>
        <v>1169297</v>
      </c>
      <c r="K35" s="349">
        <f t="shared" si="89"/>
        <v>1149380</v>
      </c>
      <c r="L35" s="349">
        <f t="shared" si="89"/>
        <v>1114850</v>
      </c>
      <c r="M35" s="349">
        <f t="shared" si="89"/>
        <v>1144873</v>
      </c>
      <c r="N35" s="349">
        <f t="shared" si="89"/>
        <v>1154821</v>
      </c>
      <c r="O35" s="349">
        <f>SUM(O36:O41)</f>
        <v>1138648</v>
      </c>
      <c r="P35" s="710">
        <f>SUM(P36:P41)</f>
        <v>1186603</v>
      </c>
      <c r="Q35" s="710">
        <f t="shared" ref="Q35:Y35" si="90">SUM(Q36:Q41)</f>
        <v>1132665</v>
      </c>
      <c r="R35" s="710">
        <f t="shared" si="90"/>
        <v>1145172</v>
      </c>
      <c r="S35" s="710">
        <f t="shared" si="90"/>
        <v>1152787</v>
      </c>
      <c r="T35" s="710">
        <f t="shared" si="90"/>
        <v>1170962</v>
      </c>
      <c r="U35" s="465">
        <f t="shared" si="90"/>
        <v>1191651</v>
      </c>
      <c r="V35" s="465">
        <f t="shared" si="90"/>
        <v>1221515</v>
      </c>
      <c r="W35" s="465">
        <f t="shared" si="90"/>
        <v>1198607</v>
      </c>
      <c r="X35" s="465">
        <f t="shared" si="90"/>
        <v>1146172</v>
      </c>
      <c r="Y35" s="465">
        <f t="shared" si="90"/>
        <v>1190688</v>
      </c>
      <c r="Z35" s="249">
        <f t="shared" si="58"/>
        <v>1149883</v>
      </c>
      <c r="AA35" s="249">
        <f t="shared" si="58"/>
        <v>1133747</v>
      </c>
      <c r="AB35" s="249">
        <f t="shared" si="58"/>
        <v>1194562</v>
      </c>
      <c r="AC35" s="249">
        <f t="shared" si="58"/>
        <v>1170689</v>
      </c>
      <c r="AD35" s="249">
        <f t="shared" si="58"/>
        <v>1198719</v>
      </c>
      <c r="AE35" s="249">
        <f t="shared" si="58"/>
        <v>1258017</v>
      </c>
      <c r="AF35" s="249">
        <f t="shared" si="58"/>
        <v>1311546</v>
      </c>
      <c r="AG35" s="249">
        <f t="shared" si="58"/>
        <v>1296116</v>
      </c>
      <c r="AH35" s="249">
        <f t="shared" si="58"/>
        <v>1304482</v>
      </c>
      <c r="AI35" s="249">
        <f t="shared" si="58"/>
        <v>1280998</v>
      </c>
      <c r="AJ35" s="249">
        <f t="shared" si="58"/>
        <v>1302930</v>
      </c>
      <c r="AK35" s="249">
        <f t="shared" si="58"/>
        <v>1278266</v>
      </c>
      <c r="AL35" s="249">
        <f t="shared" si="58"/>
        <v>1295760</v>
      </c>
    </row>
    <row r="36" spans="1:38" ht="13">
      <c r="A36" s="267"/>
      <c r="B36" s="249">
        <v>213</v>
      </c>
      <c r="C36" s="249" t="s">
        <v>199</v>
      </c>
      <c r="D36" s="350">
        <f t="shared" ref="D36:D41" si="91">ROUND(D$2*D100/D$70,0)</f>
        <v>155125</v>
      </c>
      <c r="E36" s="350">
        <f t="shared" ref="E36:N36" si="92">ROUND(E$2*E100/E$70,0)</f>
        <v>148931</v>
      </c>
      <c r="F36" s="350">
        <f t="shared" si="92"/>
        <v>146891</v>
      </c>
      <c r="G36" s="350">
        <f t="shared" si="92"/>
        <v>153695</v>
      </c>
      <c r="H36" s="350">
        <f t="shared" si="92"/>
        <v>164770</v>
      </c>
      <c r="I36" s="350">
        <f t="shared" si="92"/>
        <v>170426</v>
      </c>
      <c r="J36" s="350">
        <f t="shared" si="92"/>
        <v>150093</v>
      </c>
      <c r="K36" s="350">
        <f t="shared" si="92"/>
        <v>144070</v>
      </c>
      <c r="L36" s="350">
        <f t="shared" si="92"/>
        <v>158083</v>
      </c>
      <c r="M36" s="350">
        <f t="shared" si="92"/>
        <v>175004</v>
      </c>
      <c r="N36" s="350">
        <f t="shared" si="92"/>
        <v>187900</v>
      </c>
      <c r="O36" s="350">
        <f t="shared" ref="O36:P51" si="93">ROUND(O$2*O100/O$70,0)</f>
        <v>163704</v>
      </c>
      <c r="P36" s="710">
        <f t="shared" si="93"/>
        <v>171099</v>
      </c>
      <c r="Q36" s="710">
        <f t="shared" ref="Q36:Y36" si="94">ROUND(Q$2*Q100/Q$70,0)</f>
        <v>165646</v>
      </c>
      <c r="R36" s="710">
        <f t="shared" si="94"/>
        <v>170564</v>
      </c>
      <c r="S36" s="710">
        <f t="shared" si="94"/>
        <v>161864</v>
      </c>
      <c r="T36" s="710">
        <f t="shared" si="94"/>
        <v>158118</v>
      </c>
      <c r="U36" s="465">
        <f t="shared" si="94"/>
        <v>160969</v>
      </c>
      <c r="V36" s="465">
        <f t="shared" si="94"/>
        <v>168564</v>
      </c>
      <c r="W36" s="465">
        <f t="shared" si="94"/>
        <v>158835</v>
      </c>
      <c r="X36" s="465">
        <f t="shared" si="94"/>
        <v>151747</v>
      </c>
      <c r="Y36" s="465">
        <f t="shared" si="94"/>
        <v>156565</v>
      </c>
      <c r="Z36" s="249">
        <f t="shared" si="58"/>
        <v>134299</v>
      </c>
      <c r="AA36" s="249">
        <f t="shared" si="58"/>
        <v>135200</v>
      </c>
      <c r="AB36" s="249">
        <f t="shared" si="58"/>
        <v>152739</v>
      </c>
      <c r="AC36" s="249">
        <f t="shared" ref="AA36:AL51" si="95">AC100</f>
        <v>137294</v>
      </c>
      <c r="AD36" s="249">
        <f t="shared" si="95"/>
        <v>145201</v>
      </c>
      <c r="AE36" s="249">
        <f t="shared" si="95"/>
        <v>142830</v>
      </c>
      <c r="AF36" s="249">
        <f t="shared" si="95"/>
        <v>142527</v>
      </c>
      <c r="AG36" s="249">
        <f t="shared" si="95"/>
        <v>142431</v>
      </c>
      <c r="AH36" s="249">
        <f t="shared" si="95"/>
        <v>150762</v>
      </c>
      <c r="AI36" s="249">
        <f t="shared" si="95"/>
        <v>143632</v>
      </c>
      <c r="AJ36" s="249">
        <f t="shared" si="95"/>
        <v>145275</v>
      </c>
      <c r="AK36" s="249">
        <f t="shared" si="95"/>
        <v>148042</v>
      </c>
      <c r="AL36" s="249">
        <f t="shared" si="95"/>
        <v>152251</v>
      </c>
    </row>
    <row r="37" spans="1:38" ht="13">
      <c r="A37" s="267"/>
      <c r="B37" s="249">
        <v>215</v>
      </c>
      <c r="C37" s="249" t="s">
        <v>329</v>
      </c>
      <c r="D37" s="350">
        <f t="shared" si="91"/>
        <v>246629</v>
      </c>
      <c r="E37" s="350">
        <f t="shared" ref="E37:N37" si="96">ROUND(E$2*E101/E$70,0)</f>
        <v>241480</v>
      </c>
      <c r="F37" s="350">
        <f t="shared" si="96"/>
        <v>253686</v>
      </c>
      <c r="G37" s="350">
        <f t="shared" si="96"/>
        <v>262111</v>
      </c>
      <c r="H37" s="350">
        <f t="shared" si="96"/>
        <v>265549</v>
      </c>
      <c r="I37" s="350">
        <f t="shared" si="96"/>
        <v>275818</v>
      </c>
      <c r="J37" s="350">
        <f t="shared" si="96"/>
        <v>332492</v>
      </c>
      <c r="K37" s="350">
        <f t="shared" si="96"/>
        <v>321591</v>
      </c>
      <c r="L37" s="350">
        <f t="shared" si="96"/>
        <v>281488</v>
      </c>
      <c r="M37" s="350">
        <f t="shared" si="96"/>
        <v>286350</v>
      </c>
      <c r="N37" s="350">
        <f t="shared" si="96"/>
        <v>277309</v>
      </c>
      <c r="O37" s="350">
        <f t="shared" si="93"/>
        <v>276166</v>
      </c>
      <c r="P37" s="710">
        <f t="shared" si="93"/>
        <v>290035</v>
      </c>
      <c r="Q37" s="710">
        <f t="shared" ref="Q37:Y37" si="97">ROUND(Q$2*Q101/Q$70,0)</f>
        <v>283013</v>
      </c>
      <c r="R37" s="710">
        <f t="shared" si="97"/>
        <v>284356</v>
      </c>
      <c r="S37" s="710">
        <f t="shared" si="97"/>
        <v>281980</v>
      </c>
      <c r="T37" s="710">
        <f t="shared" si="97"/>
        <v>286740</v>
      </c>
      <c r="U37" s="465">
        <f t="shared" si="97"/>
        <v>282043</v>
      </c>
      <c r="V37" s="465">
        <f t="shared" si="97"/>
        <v>291846</v>
      </c>
      <c r="W37" s="465">
        <f t="shared" si="97"/>
        <v>286522</v>
      </c>
      <c r="X37" s="465">
        <f t="shared" si="97"/>
        <v>270277</v>
      </c>
      <c r="Y37" s="465">
        <f t="shared" si="97"/>
        <v>279192</v>
      </c>
      <c r="Z37" s="249">
        <f t="shared" si="58"/>
        <v>272658</v>
      </c>
      <c r="AA37" s="249">
        <f t="shared" si="95"/>
        <v>273844</v>
      </c>
      <c r="AB37" s="249">
        <f t="shared" si="95"/>
        <v>279728</v>
      </c>
      <c r="AC37" s="249">
        <f t="shared" si="95"/>
        <v>268935</v>
      </c>
      <c r="AD37" s="249">
        <f t="shared" si="95"/>
        <v>285393</v>
      </c>
      <c r="AE37" s="249">
        <f t="shared" si="95"/>
        <v>296226</v>
      </c>
      <c r="AF37" s="249">
        <f t="shared" si="95"/>
        <v>304799</v>
      </c>
      <c r="AG37" s="249">
        <f t="shared" si="95"/>
        <v>308317</v>
      </c>
      <c r="AH37" s="249">
        <f t="shared" si="95"/>
        <v>307588</v>
      </c>
      <c r="AI37" s="249">
        <f t="shared" si="95"/>
        <v>312015</v>
      </c>
      <c r="AJ37" s="249">
        <f t="shared" si="95"/>
        <v>317209</v>
      </c>
      <c r="AK37" s="249">
        <f t="shared" si="95"/>
        <v>317089</v>
      </c>
      <c r="AL37" s="249">
        <f t="shared" si="95"/>
        <v>315832</v>
      </c>
    </row>
    <row r="38" spans="1:38" ht="13">
      <c r="A38" s="267"/>
      <c r="B38" s="249">
        <v>218</v>
      </c>
      <c r="C38" s="249" t="s">
        <v>200</v>
      </c>
      <c r="D38" s="350">
        <f t="shared" si="91"/>
        <v>180843</v>
      </c>
      <c r="E38" s="350">
        <f t="shared" ref="E38:N38" si="98">ROUND(E$2*E102/E$70,0)</f>
        <v>197104</v>
      </c>
      <c r="F38" s="350">
        <f t="shared" si="98"/>
        <v>182303</v>
      </c>
      <c r="G38" s="350">
        <f t="shared" si="98"/>
        <v>189881</v>
      </c>
      <c r="H38" s="350">
        <f t="shared" si="98"/>
        <v>193199</v>
      </c>
      <c r="I38" s="350">
        <f t="shared" si="98"/>
        <v>205983</v>
      </c>
      <c r="J38" s="350">
        <f t="shared" si="98"/>
        <v>202038</v>
      </c>
      <c r="K38" s="350">
        <f t="shared" si="98"/>
        <v>205353</v>
      </c>
      <c r="L38" s="350">
        <f t="shared" si="98"/>
        <v>202880</v>
      </c>
      <c r="M38" s="350">
        <f t="shared" si="98"/>
        <v>207547</v>
      </c>
      <c r="N38" s="350">
        <f t="shared" si="98"/>
        <v>205099</v>
      </c>
      <c r="O38" s="350">
        <f t="shared" si="93"/>
        <v>202386</v>
      </c>
      <c r="P38" s="710">
        <f t="shared" si="93"/>
        <v>208841</v>
      </c>
      <c r="Q38" s="710">
        <f t="shared" ref="Q38:Y38" si="99">ROUND(Q$2*Q102/Q$70,0)</f>
        <v>207232</v>
      </c>
      <c r="R38" s="710">
        <f t="shared" si="99"/>
        <v>207924</v>
      </c>
      <c r="S38" s="710">
        <f t="shared" si="99"/>
        <v>215505</v>
      </c>
      <c r="T38" s="710">
        <f t="shared" si="99"/>
        <v>216768</v>
      </c>
      <c r="U38" s="465">
        <f t="shared" si="99"/>
        <v>224087</v>
      </c>
      <c r="V38" s="465">
        <f t="shared" si="99"/>
        <v>231628</v>
      </c>
      <c r="W38" s="465">
        <f t="shared" si="99"/>
        <v>233943</v>
      </c>
      <c r="X38" s="465">
        <f t="shared" si="99"/>
        <v>220681</v>
      </c>
      <c r="Y38" s="465">
        <f t="shared" si="99"/>
        <v>229745</v>
      </c>
      <c r="Z38" s="249">
        <f t="shared" si="58"/>
        <v>228179</v>
      </c>
      <c r="AA38" s="249">
        <f t="shared" si="95"/>
        <v>213866</v>
      </c>
      <c r="AB38" s="249">
        <f t="shared" si="95"/>
        <v>238416</v>
      </c>
      <c r="AC38" s="249">
        <f t="shared" si="95"/>
        <v>241954</v>
      </c>
      <c r="AD38" s="249">
        <f t="shared" si="95"/>
        <v>256075</v>
      </c>
      <c r="AE38" s="249">
        <f t="shared" si="95"/>
        <v>252788</v>
      </c>
      <c r="AF38" s="249">
        <f t="shared" si="95"/>
        <v>261573</v>
      </c>
      <c r="AG38" s="249">
        <f t="shared" si="95"/>
        <v>263906</v>
      </c>
      <c r="AH38" s="249">
        <f t="shared" si="95"/>
        <v>262654</v>
      </c>
      <c r="AI38" s="249">
        <f t="shared" si="95"/>
        <v>249252</v>
      </c>
      <c r="AJ38" s="249">
        <f t="shared" si="95"/>
        <v>256456</v>
      </c>
      <c r="AK38" s="249">
        <f t="shared" si="95"/>
        <v>257763</v>
      </c>
      <c r="AL38" s="249">
        <f t="shared" si="95"/>
        <v>283279</v>
      </c>
    </row>
    <row r="39" spans="1:38" ht="13">
      <c r="A39" s="267"/>
      <c r="B39" s="249">
        <v>220</v>
      </c>
      <c r="C39" s="249" t="s">
        <v>201</v>
      </c>
      <c r="D39" s="350">
        <f t="shared" si="91"/>
        <v>169010</v>
      </c>
      <c r="E39" s="350">
        <f t="shared" ref="E39:N39" si="100">ROUND(E$2*E103/E$70,0)</f>
        <v>175082</v>
      </c>
      <c r="F39" s="350">
        <f t="shared" si="100"/>
        <v>175629</v>
      </c>
      <c r="G39" s="350">
        <f t="shared" si="100"/>
        <v>181702</v>
      </c>
      <c r="H39" s="350">
        <f t="shared" si="100"/>
        <v>181781</v>
      </c>
      <c r="I39" s="350">
        <f t="shared" si="100"/>
        <v>183174</v>
      </c>
      <c r="J39" s="350">
        <f t="shared" si="100"/>
        <v>198314</v>
      </c>
      <c r="K39" s="350">
        <f t="shared" si="100"/>
        <v>192512</v>
      </c>
      <c r="L39" s="350">
        <f t="shared" si="100"/>
        <v>186314</v>
      </c>
      <c r="M39" s="350">
        <f t="shared" si="100"/>
        <v>182250</v>
      </c>
      <c r="N39" s="350">
        <f t="shared" si="100"/>
        <v>183773</v>
      </c>
      <c r="O39" s="350">
        <f t="shared" si="93"/>
        <v>186186</v>
      </c>
      <c r="P39" s="710">
        <f t="shared" si="93"/>
        <v>193343</v>
      </c>
      <c r="Q39" s="710">
        <f t="shared" ref="Q39:Y39" si="101">ROUND(Q$2*Q103/Q$70,0)</f>
        <v>185446</v>
      </c>
      <c r="R39" s="710">
        <f t="shared" si="101"/>
        <v>187012</v>
      </c>
      <c r="S39" s="710">
        <f t="shared" si="101"/>
        <v>192622</v>
      </c>
      <c r="T39" s="710">
        <f t="shared" si="101"/>
        <v>196643</v>
      </c>
      <c r="U39" s="465">
        <f t="shared" si="101"/>
        <v>196849</v>
      </c>
      <c r="V39" s="465">
        <f t="shared" si="101"/>
        <v>207139</v>
      </c>
      <c r="W39" s="465">
        <f t="shared" si="101"/>
        <v>202374</v>
      </c>
      <c r="X39" s="465">
        <f t="shared" si="101"/>
        <v>200325</v>
      </c>
      <c r="Y39" s="465">
        <f t="shared" si="101"/>
        <v>201289</v>
      </c>
      <c r="Z39" s="249">
        <f t="shared" si="58"/>
        <v>204116</v>
      </c>
      <c r="AA39" s="249">
        <f t="shared" si="95"/>
        <v>209027</v>
      </c>
      <c r="AB39" s="249">
        <f t="shared" si="95"/>
        <v>220827</v>
      </c>
      <c r="AC39" s="249">
        <f t="shared" si="95"/>
        <v>206861</v>
      </c>
      <c r="AD39" s="249">
        <f t="shared" si="95"/>
        <v>210852</v>
      </c>
      <c r="AE39" s="249">
        <f t="shared" si="95"/>
        <v>229522</v>
      </c>
      <c r="AF39" s="249">
        <f t="shared" si="95"/>
        <v>252117</v>
      </c>
      <c r="AG39" s="249">
        <f t="shared" si="95"/>
        <v>254772</v>
      </c>
      <c r="AH39" s="249">
        <f t="shared" si="95"/>
        <v>245992</v>
      </c>
      <c r="AI39" s="249">
        <f t="shared" si="95"/>
        <v>231352</v>
      </c>
      <c r="AJ39" s="249">
        <f t="shared" si="95"/>
        <v>250827</v>
      </c>
      <c r="AK39" s="249">
        <f t="shared" si="95"/>
        <v>239948</v>
      </c>
      <c r="AL39" s="249">
        <f t="shared" si="95"/>
        <v>245565</v>
      </c>
    </row>
    <row r="40" spans="1:38" ht="13">
      <c r="A40" s="267"/>
      <c r="B40" s="249">
        <v>228</v>
      </c>
      <c r="C40" s="249" t="s">
        <v>330</v>
      </c>
      <c r="D40" s="350">
        <f t="shared" si="91"/>
        <v>189453</v>
      </c>
      <c r="E40" s="350">
        <f t="shared" ref="E40:N40" si="102">ROUND(E$2*E104/E$70,0)</f>
        <v>203643</v>
      </c>
      <c r="F40" s="350">
        <f t="shared" si="102"/>
        <v>191177</v>
      </c>
      <c r="G40" s="350">
        <f t="shared" si="102"/>
        <v>212968</v>
      </c>
      <c r="H40" s="350">
        <f t="shared" si="102"/>
        <v>197214</v>
      </c>
      <c r="I40" s="350">
        <f t="shared" si="102"/>
        <v>216472</v>
      </c>
      <c r="J40" s="350">
        <f t="shared" si="102"/>
        <v>218057</v>
      </c>
      <c r="K40" s="350">
        <f t="shared" si="102"/>
        <v>217965</v>
      </c>
      <c r="L40" s="350">
        <f t="shared" si="102"/>
        <v>219302</v>
      </c>
      <c r="M40" s="350">
        <f t="shared" si="102"/>
        <v>228856</v>
      </c>
      <c r="N40" s="350">
        <f t="shared" si="102"/>
        <v>234667</v>
      </c>
      <c r="O40" s="350">
        <f t="shared" si="93"/>
        <v>243751</v>
      </c>
      <c r="P40" s="710">
        <f t="shared" si="93"/>
        <v>255049</v>
      </c>
      <c r="Q40" s="710">
        <f t="shared" ref="Q40:Y40" si="103">ROUND(Q$2*Q104/Q$70,0)</f>
        <v>225255</v>
      </c>
      <c r="R40" s="710">
        <f t="shared" si="103"/>
        <v>228288</v>
      </c>
      <c r="S40" s="710">
        <f t="shared" si="103"/>
        <v>234951</v>
      </c>
      <c r="T40" s="710">
        <f t="shared" si="103"/>
        <v>245927</v>
      </c>
      <c r="U40" s="465">
        <f t="shared" si="103"/>
        <v>262033</v>
      </c>
      <c r="V40" s="465">
        <f t="shared" si="103"/>
        <v>255799</v>
      </c>
      <c r="W40" s="465">
        <f t="shared" si="103"/>
        <v>252653</v>
      </c>
      <c r="X40" s="465">
        <f t="shared" si="103"/>
        <v>246676</v>
      </c>
      <c r="Y40" s="465">
        <f t="shared" si="103"/>
        <v>264379</v>
      </c>
      <c r="Z40" s="249">
        <f t="shared" si="58"/>
        <v>245838</v>
      </c>
      <c r="AA40" s="249">
        <f t="shared" si="95"/>
        <v>238672</v>
      </c>
      <c r="AB40" s="249">
        <f t="shared" si="95"/>
        <v>238080</v>
      </c>
      <c r="AC40" s="249">
        <f t="shared" si="95"/>
        <v>251263</v>
      </c>
      <c r="AD40" s="249">
        <f t="shared" si="95"/>
        <v>235397</v>
      </c>
      <c r="AE40" s="249">
        <f t="shared" si="95"/>
        <v>269309</v>
      </c>
      <c r="AF40" s="249">
        <f t="shared" si="95"/>
        <v>282158</v>
      </c>
      <c r="AG40" s="249">
        <f t="shared" si="95"/>
        <v>260899</v>
      </c>
      <c r="AH40" s="249">
        <f t="shared" si="95"/>
        <v>271849</v>
      </c>
      <c r="AI40" s="249">
        <f t="shared" si="95"/>
        <v>279276</v>
      </c>
      <c r="AJ40" s="249">
        <f t="shared" si="95"/>
        <v>265034</v>
      </c>
      <c r="AK40" s="249">
        <f t="shared" si="95"/>
        <v>243683</v>
      </c>
      <c r="AL40" s="249">
        <f t="shared" si="95"/>
        <v>228632</v>
      </c>
    </row>
    <row r="41" spans="1:38" ht="13">
      <c r="A41" s="267"/>
      <c r="B41" s="249">
        <v>365</v>
      </c>
      <c r="C41" s="269" t="s">
        <v>331</v>
      </c>
      <c r="D41" s="402">
        <f t="shared" si="91"/>
        <v>53815</v>
      </c>
      <c r="E41" s="402">
        <f t="shared" ref="E41:N41" si="104">ROUND(E$2*E105/E$70,0)</f>
        <v>59930</v>
      </c>
      <c r="F41" s="402">
        <f t="shared" si="104"/>
        <v>62296</v>
      </c>
      <c r="G41" s="402">
        <f t="shared" si="104"/>
        <v>64884</v>
      </c>
      <c r="H41" s="402">
        <f t="shared" si="104"/>
        <v>64946</v>
      </c>
      <c r="I41" s="402">
        <f t="shared" si="104"/>
        <v>67890</v>
      </c>
      <c r="J41" s="402">
        <f t="shared" si="104"/>
        <v>68303</v>
      </c>
      <c r="K41" s="402">
        <f t="shared" si="104"/>
        <v>67889</v>
      </c>
      <c r="L41" s="402">
        <f t="shared" si="104"/>
        <v>66783</v>
      </c>
      <c r="M41" s="402">
        <f t="shared" si="104"/>
        <v>64866</v>
      </c>
      <c r="N41" s="402">
        <f t="shared" si="104"/>
        <v>66073</v>
      </c>
      <c r="O41" s="402">
        <f t="shared" si="93"/>
        <v>66455</v>
      </c>
      <c r="P41" s="710">
        <f t="shared" si="93"/>
        <v>68236</v>
      </c>
      <c r="Q41" s="710">
        <f t="shared" ref="Q41:Y41" si="105">ROUND(Q$2*Q105/Q$70,0)</f>
        <v>66073</v>
      </c>
      <c r="R41" s="710">
        <f t="shared" si="105"/>
        <v>67028</v>
      </c>
      <c r="S41" s="710">
        <f t="shared" si="105"/>
        <v>65865</v>
      </c>
      <c r="T41" s="710">
        <f t="shared" si="105"/>
        <v>66766</v>
      </c>
      <c r="U41" s="465">
        <f t="shared" si="105"/>
        <v>65670</v>
      </c>
      <c r="V41" s="465">
        <f t="shared" si="105"/>
        <v>66539</v>
      </c>
      <c r="W41" s="465">
        <f t="shared" si="105"/>
        <v>64280</v>
      </c>
      <c r="X41" s="465">
        <f t="shared" si="105"/>
        <v>56466</v>
      </c>
      <c r="Y41" s="465">
        <f t="shared" si="105"/>
        <v>59518</v>
      </c>
      <c r="Z41" s="249">
        <f t="shared" si="58"/>
        <v>64793</v>
      </c>
      <c r="AA41" s="249">
        <f t="shared" si="95"/>
        <v>63138</v>
      </c>
      <c r="AB41" s="249">
        <f t="shared" si="95"/>
        <v>64772</v>
      </c>
      <c r="AC41" s="249">
        <f t="shared" si="95"/>
        <v>64382</v>
      </c>
      <c r="AD41" s="249">
        <f t="shared" si="95"/>
        <v>65801</v>
      </c>
      <c r="AE41" s="249">
        <f t="shared" si="95"/>
        <v>67342</v>
      </c>
      <c r="AF41" s="249">
        <f t="shared" si="95"/>
        <v>68372</v>
      </c>
      <c r="AG41" s="249">
        <f t="shared" si="95"/>
        <v>65791</v>
      </c>
      <c r="AH41" s="249">
        <f t="shared" si="95"/>
        <v>65637</v>
      </c>
      <c r="AI41" s="249">
        <f t="shared" si="95"/>
        <v>65471</v>
      </c>
      <c r="AJ41" s="249">
        <f t="shared" si="95"/>
        <v>68129</v>
      </c>
      <c r="AK41" s="249">
        <f t="shared" si="95"/>
        <v>71741</v>
      </c>
      <c r="AL41" s="249">
        <f t="shared" si="95"/>
        <v>70201</v>
      </c>
    </row>
    <row r="42" spans="1:38" ht="13">
      <c r="A42" s="273" t="s">
        <v>344</v>
      </c>
      <c r="B42" s="270">
        <v>5</v>
      </c>
      <c r="C42" s="249" t="s">
        <v>326</v>
      </c>
      <c r="D42" s="350">
        <f>SUM(D43:D46)</f>
        <v>2517328</v>
      </c>
      <c r="E42" s="350">
        <f t="shared" ref="E42:N42" si="106">SUM(E43:E46)</f>
        <v>2586757</v>
      </c>
      <c r="F42" s="350">
        <f t="shared" si="106"/>
        <v>2642134</v>
      </c>
      <c r="G42" s="350">
        <f t="shared" si="106"/>
        <v>2615806</v>
      </c>
      <c r="H42" s="350">
        <f t="shared" si="106"/>
        <v>2557534</v>
      </c>
      <c r="I42" s="350">
        <f t="shared" si="106"/>
        <v>2633951</v>
      </c>
      <c r="J42" s="350">
        <f t="shared" si="106"/>
        <v>2705805</v>
      </c>
      <c r="K42" s="350">
        <f t="shared" si="106"/>
        <v>2659852</v>
      </c>
      <c r="L42" s="350">
        <f t="shared" si="106"/>
        <v>2558071</v>
      </c>
      <c r="M42" s="350">
        <f t="shared" si="106"/>
        <v>2463080</v>
      </c>
      <c r="N42" s="350">
        <f t="shared" si="106"/>
        <v>2504580</v>
      </c>
      <c r="O42" s="350">
        <f>SUM(O43:O46)</f>
        <v>2413802</v>
      </c>
      <c r="P42" s="709">
        <f>SUM(P43:P46)</f>
        <v>2410353</v>
      </c>
      <c r="Q42" s="709">
        <f t="shared" ref="Q42:Y42" si="107">SUM(Q43:Q46)</f>
        <v>2369422</v>
      </c>
      <c r="R42" s="709">
        <f t="shared" si="107"/>
        <v>2411442</v>
      </c>
      <c r="S42" s="709">
        <f t="shared" si="107"/>
        <v>2464012</v>
      </c>
      <c r="T42" s="709">
        <f t="shared" si="107"/>
        <v>2546034</v>
      </c>
      <c r="U42" s="464">
        <f t="shared" si="107"/>
        <v>2565099</v>
      </c>
      <c r="V42" s="464">
        <f t="shared" si="107"/>
        <v>2629643</v>
      </c>
      <c r="W42" s="464">
        <f t="shared" si="107"/>
        <v>2708790</v>
      </c>
      <c r="X42" s="464">
        <f t="shared" si="107"/>
        <v>2370256</v>
      </c>
      <c r="Y42" s="464">
        <f t="shared" si="107"/>
        <v>2584373</v>
      </c>
      <c r="Z42" s="249">
        <f t="shared" si="58"/>
        <v>2459071</v>
      </c>
      <c r="AA42" s="249">
        <f t="shared" si="95"/>
        <v>2401066</v>
      </c>
      <c r="AB42" s="249">
        <f t="shared" si="95"/>
        <v>2604440</v>
      </c>
      <c r="AC42" s="249">
        <f t="shared" si="95"/>
        <v>2577285</v>
      </c>
      <c r="AD42" s="249">
        <f t="shared" si="95"/>
        <v>2610540</v>
      </c>
      <c r="AE42" s="249">
        <f t="shared" si="95"/>
        <v>2667693</v>
      </c>
      <c r="AF42" s="249">
        <f t="shared" si="95"/>
        <v>2678688</v>
      </c>
      <c r="AG42" s="249">
        <f t="shared" si="95"/>
        <v>2674020</v>
      </c>
      <c r="AH42" s="249">
        <f t="shared" si="95"/>
        <v>2636461</v>
      </c>
      <c r="AI42" s="249">
        <f t="shared" si="95"/>
        <v>2555353</v>
      </c>
      <c r="AJ42" s="249">
        <f t="shared" si="95"/>
        <v>2786293</v>
      </c>
      <c r="AK42" s="249">
        <f t="shared" si="95"/>
        <v>2841392</v>
      </c>
      <c r="AL42" s="249">
        <f t="shared" si="95"/>
        <v>2800023</v>
      </c>
    </row>
    <row r="43" spans="1:38" ht="13">
      <c r="A43" s="267"/>
      <c r="B43" s="249">
        <v>201</v>
      </c>
      <c r="C43" s="249" t="s">
        <v>332</v>
      </c>
      <c r="D43" s="350">
        <f t="shared" ref="D43:N43" si="108">ROUND(D$2*D107/D$70,0)</f>
        <v>2332056</v>
      </c>
      <c r="E43" s="350">
        <f t="shared" si="108"/>
        <v>2407626</v>
      </c>
      <c r="F43" s="350">
        <f t="shared" si="108"/>
        <v>2458061</v>
      </c>
      <c r="G43" s="350">
        <f t="shared" si="108"/>
        <v>2422867</v>
      </c>
      <c r="H43" s="350">
        <f t="shared" si="108"/>
        <v>2368457</v>
      </c>
      <c r="I43" s="350">
        <f t="shared" si="108"/>
        <v>2425847</v>
      </c>
      <c r="J43" s="350">
        <f t="shared" si="108"/>
        <v>2493631</v>
      </c>
      <c r="K43" s="350">
        <f t="shared" si="108"/>
        <v>2451154</v>
      </c>
      <c r="L43" s="350">
        <f t="shared" si="108"/>
        <v>2349811</v>
      </c>
      <c r="M43" s="350">
        <f t="shared" si="108"/>
        <v>2263315</v>
      </c>
      <c r="N43" s="350">
        <f t="shared" si="108"/>
        <v>2296802</v>
      </c>
      <c r="O43" s="350">
        <f t="shared" si="93"/>
        <v>2205699</v>
      </c>
      <c r="P43" s="710">
        <f>ROUND(P$2*P107/P$70,0)</f>
        <v>2195216</v>
      </c>
      <c r="Q43" s="710">
        <f t="shared" ref="Q43:Y43" si="109">ROUND(Q$2*Q107/Q$70,0)</f>
        <v>2158842</v>
      </c>
      <c r="R43" s="710">
        <f t="shared" si="109"/>
        <v>2191447</v>
      </c>
      <c r="S43" s="710">
        <f t="shared" si="109"/>
        <v>2235699</v>
      </c>
      <c r="T43" s="710">
        <f t="shared" si="109"/>
        <v>2322365</v>
      </c>
      <c r="U43" s="465">
        <f t="shared" si="109"/>
        <v>2343985</v>
      </c>
      <c r="V43" s="465">
        <f t="shared" si="109"/>
        <v>2401762</v>
      </c>
      <c r="W43" s="465">
        <f t="shared" si="109"/>
        <v>2486444</v>
      </c>
      <c r="X43" s="465">
        <f t="shared" si="109"/>
        <v>2162776</v>
      </c>
      <c r="Y43" s="465">
        <f t="shared" si="109"/>
        <v>2358630</v>
      </c>
      <c r="Z43" s="249">
        <f t="shared" si="58"/>
        <v>2234684</v>
      </c>
      <c r="AA43" s="249">
        <f t="shared" si="95"/>
        <v>2187140</v>
      </c>
      <c r="AB43" s="249">
        <f t="shared" si="95"/>
        <v>2364893</v>
      </c>
      <c r="AC43" s="249">
        <f t="shared" si="95"/>
        <v>2343983</v>
      </c>
      <c r="AD43" s="249">
        <f t="shared" si="95"/>
        <v>2373356</v>
      </c>
      <c r="AE43" s="249">
        <f t="shared" si="95"/>
        <v>2416105</v>
      </c>
      <c r="AF43" s="249">
        <f t="shared" si="95"/>
        <v>2418738</v>
      </c>
      <c r="AG43" s="249">
        <f t="shared" si="95"/>
        <v>2415294</v>
      </c>
      <c r="AH43" s="249">
        <f t="shared" si="95"/>
        <v>2379942</v>
      </c>
      <c r="AI43" s="249">
        <f t="shared" si="95"/>
        <v>2313504</v>
      </c>
      <c r="AJ43" s="249">
        <f t="shared" si="95"/>
        <v>2536957</v>
      </c>
      <c r="AK43" s="249">
        <f t="shared" si="95"/>
        <v>2580391</v>
      </c>
      <c r="AL43" s="249">
        <f t="shared" si="95"/>
        <v>2538680</v>
      </c>
    </row>
    <row r="44" spans="1:38" ht="13">
      <c r="A44" s="267"/>
      <c r="B44" s="249">
        <v>442</v>
      </c>
      <c r="C44" s="249" t="s">
        <v>203</v>
      </c>
      <c r="D44" s="350">
        <f t="shared" ref="D44:N44" si="110">ROUND(D$2*D108/D$70,0)</f>
        <v>34087</v>
      </c>
      <c r="E44" s="350">
        <f t="shared" si="110"/>
        <v>34702</v>
      </c>
      <c r="F44" s="350">
        <f t="shared" si="110"/>
        <v>33071</v>
      </c>
      <c r="G44" s="350">
        <f t="shared" si="110"/>
        <v>33288</v>
      </c>
      <c r="H44" s="350">
        <f t="shared" si="110"/>
        <v>36424</v>
      </c>
      <c r="I44" s="350">
        <f t="shared" si="110"/>
        <v>37351</v>
      </c>
      <c r="J44" s="350">
        <f t="shared" si="110"/>
        <v>38949</v>
      </c>
      <c r="K44" s="350">
        <f t="shared" si="110"/>
        <v>37664</v>
      </c>
      <c r="L44" s="350">
        <f t="shared" si="110"/>
        <v>39225</v>
      </c>
      <c r="M44" s="350">
        <f t="shared" si="110"/>
        <v>36808</v>
      </c>
      <c r="N44" s="350">
        <f t="shared" si="110"/>
        <v>37607</v>
      </c>
      <c r="O44" s="350">
        <f t="shared" si="93"/>
        <v>35042</v>
      </c>
      <c r="P44" s="710">
        <f>ROUND(P$2*P108/P$70,0)</f>
        <v>36744</v>
      </c>
      <c r="Q44" s="710">
        <f t="shared" ref="Q44:Y44" si="111">ROUND(Q$2*Q108/Q$70,0)</f>
        <v>36379</v>
      </c>
      <c r="R44" s="710">
        <f t="shared" si="111"/>
        <v>38065</v>
      </c>
      <c r="S44" s="710">
        <f t="shared" si="111"/>
        <v>41398</v>
      </c>
      <c r="T44" s="710">
        <f t="shared" si="111"/>
        <v>42420</v>
      </c>
      <c r="U44" s="465">
        <f t="shared" si="111"/>
        <v>42282</v>
      </c>
      <c r="V44" s="465">
        <f t="shared" si="111"/>
        <v>41565</v>
      </c>
      <c r="W44" s="465">
        <f t="shared" si="111"/>
        <v>39406</v>
      </c>
      <c r="X44" s="465">
        <f t="shared" si="111"/>
        <v>35287</v>
      </c>
      <c r="Y44" s="465">
        <f t="shared" si="111"/>
        <v>33945</v>
      </c>
      <c r="Z44" s="249">
        <f t="shared" si="58"/>
        <v>32871</v>
      </c>
      <c r="AA44" s="249">
        <f t="shared" si="95"/>
        <v>34832</v>
      </c>
      <c r="AB44" s="249">
        <f t="shared" si="95"/>
        <v>38275</v>
      </c>
      <c r="AC44" s="249">
        <f t="shared" si="95"/>
        <v>36006</v>
      </c>
      <c r="AD44" s="249">
        <f t="shared" si="95"/>
        <v>35471</v>
      </c>
      <c r="AE44" s="249">
        <f t="shared" si="95"/>
        <v>37669</v>
      </c>
      <c r="AF44" s="249">
        <f t="shared" si="95"/>
        <v>37791</v>
      </c>
      <c r="AG44" s="249">
        <f t="shared" si="95"/>
        <v>38676</v>
      </c>
      <c r="AH44" s="249">
        <f t="shared" si="95"/>
        <v>39413</v>
      </c>
      <c r="AI44" s="249">
        <f t="shared" si="95"/>
        <v>37663</v>
      </c>
      <c r="AJ44" s="249">
        <f t="shared" si="95"/>
        <v>41431</v>
      </c>
      <c r="AK44" s="249">
        <f t="shared" si="95"/>
        <v>41362</v>
      </c>
      <c r="AL44" s="249">
        <f t="shared" si="95"/>
        <v>42664</v>
      </c>
    </row>
    <row r="45" spans="1:38" ht="13">
      <c r="A45" s="267"/>
      <c r="B45" s="249">
        <v>443</v>
      </c>
      <c r="C45" s="249" t="s">
        <v>204</v>
      </c>
      <c r="D45" s="350">
        <f t="shared" ref="D45:N45" si="112">ROUND(D$2*D109/D$70,0)</f>
        <v>119234</v>
      </c>
      <c r="E45" s="350">
        <f t="shared" si="112"/>
        <v>112919</v>
      </c>
      <c r="F45" s="350">
        <f t="shared" si="112"/>
        <v>116586</v>
      </c>
      <c r="G45" s="350">
        <f t="shared" si="112"/>
        <v>121330</v>
      </c>
      <c r="H45" s="350">
        <f t="shared" si="112"/>
        <v>117777</v>
      </c>
      <c r="I45" s="350">
        <f t="shared" si="112"/>
        <v>134092</v>
      </c>
      <c r="J45" s="350">
        <f t="shared" si="112"/>
        <v>138429</v>
      </c>
      <c r="K45" s="350">
        <f t="shared" si="112"/>
        <v>134139</v>
      </c>
      <c r="L45" s="350">
        <f t="shared" si="112"/>
        <v>132265</v>
      </c>
      <c r="M45" s="350">
        <f t="shared" si="112"/>
        <v>126341</v>
      </c>
      <c r="N45" s="350">
        <f t="shared" si="112"/>
        <v>131723</v>
      </c>
      <c r="O45" s="350">
        <f t="shared" si="93"/>
        <v>134716</v>
      </c>
      <c r="P45" s="710">
        <f>ROUND(P$2*P109/P$70,0)</f>
        <v>141901</v>
      </c>
      <c r="Q45" s="710">
        <f t="shared" ref="Q45:Y45" si="113">ROUND(Q$2*Q109/Q$70,0)</f>
        <v>140043</v>
      </c>
      <c r="R45" s="710">
        <f t="shared" si="113"/>
        <v>147519</v>
      </c>
      <c r="S45" s="710">
        <f t="shared" si="113"/>
        <v>152593</v>
      </c>
      <c r="T45" s="710">
        <f t="shared" si="113"/>
        <v>145521</v>
      </c>
      <c r="U45" s="465">
        <f t="shared" si="113"/>
        <v>143795</v>
      </c>
      <c r="V45" s="465">
        <f t="shared" si="113"/>
        <v>152139</v>
      </c>
      <c r="W45" s="465">
        <f t="shared" si="113"/>
        <v>149147</v>
      </c>
      <c r="X45" s="465">
        <f t="shared" si="113"/>
        <v>139072</v>
      </c>
      <c r="Y45" s="465">
        <f t="shared" si="113"/>
        <v>159515</v>
      </c>
      <c r="Z45" s="249">
        <f t="shared" si="58"/>
        <v>161587</v>
      </c>
      <c r="AA45" s="249">
        <f t="shared" si="95"/>
        <v>150783</v>
      </c>
      <c r="AB45" s="249">
        <f t="shared" si="95"/>
        <v>169840</v>
      </c>
      <c r="AC45" s="249">
        <f t="shared" si="95"/>
        <v>166720</v>
      </c>
      <c r="AD45" s="249">
        <f t="shared" si="95"/>
        <v>169338</v>
      </c>
      <c r="AE45" s="249">
        <f t="shared" si="95"/>
        <v>182107</v>
      </c>
      <c r="AF45" s="249">
        <f t="shared" si="95"/>
        <v>189225</v>
      </c>
      <c r="AG45" s="249">
        <f t="shared" si="95"/>
        <v>187396</v>
      </c>
      <c r="AH45" s="249">
        <f t="shared" si="95"/>
        <v>185515</v>
      </c>
      <c r="AI45" s="249">
        <f t="shared" si="95"/>
        <v>172904</v>
      </c>
      <c r="AJ45" s="249">
        <f t="shared" si="95"/>
        <v>175217</v>
      </c>
      <c r="AK45" s="249">
        <f t="shared" si="95"/>
        <v>184251</v>
      </c>
      <c r="AL45" s="249">
        <f t="shared" si="95"/>
        <v>182741</v>
      </c>
    </row>
    <row r="46" spans="1:38" ht="13">
      <c r="A46" s="268"/>
      <c r="B46" s="269">
        <v>446</v>
      </c>
      <c r="C46" s="249" t="s">
        <v>333</v>
      </c>
      <c r="D46" s="350">
        <f t="shared" ref="D46:N46" si="114">ROUND(D$2*D110/D$70,0)</f>
        <v>31951</v>
      </c>
      <c r="E46" s="350">
        <f t="shared" si="114"/>
        <v>31510</v>
      </c>
      <c r="F46" s="350">
        <f t="shared" si="114"/>
        <v>34416</v>
      </c>
      <c r="G46" s="350">
        <f t="shared" si="114"/>
        <v>38321</v>
      </c>
      <c r="H46" s="350">
        <f t="shared" si="114"/>
        <v>34876</v>
      </c>
      <c r="I46" s="350">
        <f t="shared" si="114"/>
        <v>36661</v>
      </c>
      <c r="J46" s="350">
        <f t="shared" si="114"/>
        <v>34796</v>
      </c>
      <c r="K46" s="350">
        <f t="shared" si="114"/>
        <v>36895</v>
      </c>
      <c r="L46" s="350">
        <f t="shared" si="114"/>
        <v>36770</v>
      </c>
      <c r="M46" s="350">
        <f t="shared" si="114"/>
        <v>36616</v>
      </c>
      <c r="N46" s="350">
        <f t="shared" si="114"/>
        <v>38448</v>
      </c>
      <c r="O46" s="350">
        <f t="shared" si="93"/>
        <v>38345</v>
      </c>
      <c r="P46" s="712">
        <f>ROUND(P$2*P110/P$70,0)</f>
        <v>36492</v>
      </c>
      <c r="Q46" s="712">
        <f t="shared" ref="Q46:Y46" si="115">ROUND(Q$2*Q110/Q$70,0)</f>
        <v>34158</v>
      </c>
      <c r="R46" s="712">
        <f t="shared" si="115"/>
        <v>34411</v>
      </c>
      <c r="S46" s="712">
        <f t="shared" si="115"/>
        <v>34322</v>
      </c>
      <c r="T46" s="712">
        <f t="shared" si="115"/>
        <v>35728</v>
      </c>
      <c r="U46" s="525">
        <f t="shared" si="115"/>
        <v>35037</v>
      </c>
      <c r="V46" s="525">
        <f t="shared" si="115"/>
        <v>34177</v>
      </c>
      <c r="W46" s="525">
        <f t="shared" si="115"/>
        <v>33793</v>
      </c>
      <c r="X46" s="525">
        <f t="shared" si="115"/>
        <v>33121</v>
      </c>
      <c r="Y46" s="525">
        <f t="shared" si="115"/>
        <v>32283</v>
      </c>
      <c r="Z46" s="249">
        <f t="shared" si="58"/>
        <v>29929</v>
      </c>
      <c r="AA46" s="249">
        <f t="shared" si="95"/>
        <v>28311</v>
      </c>
      <c r="AB46" s="249">
        <f t="shared" si="95"/>
        <v>31432</v>
      </c>
      <c r="AC46" s="249">
        <f t="shared" si="95"/>
        <v>30576</v>
      </c>
      <c r="AD46" s="249">
        <f t="shared" si="95"/>
        <v>32375</v>
      </c>
      <c r="AE46" s="249">
        <f t="shared" si="95"/>
        <v>31812</v>
      </c>
      <c r="AF46" s="249">
        <f t="shared" si="95"/>
        <v>32934</v>
      </c>
      <c r="AG46" s="249">
        <f t="shared" si="95"/>
        <v>32654</v>
      </c>
      <c r="AH46" s="249">
        <f t="shared" si="95"/>
        <v>31591</v>
      </c>
      <c r="AI46" s="249">
        <f t="shared" si="95"/>
        <v>31282</v>
      </c>
      <c r="AJ46" s="249">
        <f t="shared" si="95"/>
        <v>32688</v>
      </c>
      <c r="AK46" s="249">
        <f t="shared" si="95"/>
        <v>35388</v>
      </c>
      <c r="AL46" s="249">
        <f t="shared" si="95"/>
        <v>35938</v>
      </c>
    </row>
    <row r="47" spans="1:38" ht="13">
      <c r="A47" s="267" t="s">
        <v>345</v>
      </c>
      <c r="B47" s="249">
        <v>6</v>
      </c>
      <c r="C47" s="270" t="s">
        <v>327</v>
      </c>
      <c r="D47" s="349">
        <f>SUM(D48:D54)</f>
        <v>891486</v>
      </c>
      <c r="E47" s="349">
        <f t="shared" ref="E47:N47" si="116">SUM(E48:E54)</f>
        <v>944131</v>
      </c>
      <c r="F47" s="349">
        <f t="shared" si="116"/>
        <v>926151</v>
      </c>
      <c r="G47" s="349">
        <f t="shared" si="116"/>
        <v>983577</v>
      </c>
      <c r="H47" s="349">
        <f t="shared" si="116"/>
        <v>997879</v>
      </c>
      <c r="I47" s="349">
        <f t="shared" si="116"/>
        <v>1068513</v>
      </c>
      <c r="J47" s="349">
        <f t="shared" si="116"/>
        <v>1080117</v>
      </c>
      <c r="K47" s="349">
        <f t="shared" si="116"/>
        <v>1055069</v>
      </c>
      <c r="L47" s="349">
        <f t="shared" si="116"/>
        <v>1037989</v>
      </c>
      <c r="M47" s="349">
        <f t="shared" si="116"/>
        <v>1067910</v>
      </c>
      <c r="N47" s="349">
        <f t="shared" si="116"/>
        <v>1070674</v>
      </c>
      <c r="O47" s="349">
        <f>SUM(O48:O54)</f>
        <v>993822</v>
      </c>
      <c r="P47" s="710">
        <f>SUM(P48:P54)</f>
        <v>1073090</v>
      </c>
      <c r="Q47" s="710">
        <f t="shared" ref="Q47:Y47" si="117">SUM(Q48:Q54)</f>
        <v>1037856</v>
      </c>
      <c r="R47" s="710">
        <f t="shared" si="117"/>
        <v>1017795</v>
      </c>
      <c r="S47" s="710">
        <f t="shared" si="117"/>
        <v>1003783</v>
      </c>
      <c r="T47" s="710">
        <f t="shared" si="117"/>
        <v>995183</v>
      </c>
      <c r="U47" s="465">
        <f t="shared" si="117"/>
        <v>988227</v>
      </c>
      <c r="V47" s="465">
        <f t="shared" si="117"/>
        <v>1013274</v>
      </c>
      <c r="W47" s="465">
        <f t="shared" si="117"/>
        <v>973912</v>
      </c>
      <c r="X47" s="465">
        <f t="shared" si="117"/>
        <v>935893</v>
      </c>
      <c r="Y47" s="465">
        <f t="shared" si="117"/>
        <v>993858</v>
      </c>
      <c r="Z47" s="249">
        <f t="shared" si="58"/>
        <v>985923</v>
      </c>
      <c r="AA47" s="249">
        <f t="shared" si="95"/>
        <v>990496</v>
      </c>
      <c r="AB47" s="249">
        <f t="shared" si="95"/>
        <v>999464</v>
      </c>
      <c r="AC47" s="249">
        <f t="shared" si="95"/>
        <v>1000895</v>
      </c>
      <c r="AD47" s="249">
        <f t="shared" si="95"/>
        <v>1016695</v>
      </c>
      <c r="AE47" s="249">
        <f t="shared" si="95"/>
        <v>1021266</v>
      </c>
      <c r="AF47" s="249">
        <f t="shared" si="95"/>
        <v>1065673</v>
      </c>
      <c r="AG47" s="249">
        <f t="shared" si="95"/>
        <v>1070880</v>
      </c>
      <c r="AH47" s="249">
        <f t="shared" si="95"/>
        <v>1075264</v>
      </c>
      <c r="AI47" s="249">
        <f t="shared" si="95"/>
        <v>1084785</v>
      </c>
      <c r="AJ47" s="249">
        <f t="shared" si="95"/>
        <v>1112726</v>
      </c>
      <c r="AK47" s="249">
        <f t="shared" si="95"/>
        <v>1087411</v>
      </c>
      <c r="AL47" s="249">
        <f t="shared" si="95"/>
        <v>1079374</v>
      </c>
    </row>
    <row r="48" spans="1:38" ht="13">
      <c r="A48" s="267"/>
      <c r="B48" s="249">
        <v>208</v>
      </c>
      <c r="C48" s="249" t="s">
        <v>206</v>
      </c>
      <c r="D48" s="350">
        <f t="shared" ref="D48:D54" si="118">ROUND(D$2*D112/D$70,0)</f>
        <v>130906</v>
      </c>
      <c r="E48" s="350">
        <f t="shared" ref="E48:N48" si="119">ROUND(E$2*E112/E$70,0)</f>
        <v>131743</v>
      </c>
      <c r="F48" s="350">
        <f t="shared" si="119"/>
        <v>130567</v>
      </c>
      <c r="G48" s="350">
        <f t="shared" si="119"/>
        <v>144988</v>
      </c>
      <c r="H48" s="350">
        <f t="shared" si="119"/>
        <v>150153</v>
      </c>
      <c r="I48" s="350">
        <f t="shared" si="119"/>
        <v>162106</v>
      </c>
      <c r="J48" s="350">
        <f t="shared" si="119"/>
        <v>163661</v>
      </c>
      <c r="K48" s="350">
        <f t="shared" si="119"/>
        <v>151371</v>
      </c>
      <c r="L48" s="350">
        <f t="shared" si="119"/>
        <v>147598</v>
      </c>
      <c r="M48" s="350">
        <f t="shared" si="119"/>
        <v>185959</v>
      </c>
      <c r="N48" s="350">
        <f t="shared" si="119"/>
        <v>158959</v>
      </c>
      <c r="O48" s="350">
        <f t="shared" si="93"/>
        <v>137867</v>
      </c>
      <c r="P48" s="710">
        <f t="shared" si="93"/>
        <v>143049</v>
      </c>
      <c r="Q48" s="710">
        <f t="shared" ref="Q48:Y48" si="120">ROUND(Q$2*Q112/Q$70,0)</f>
        <v>113748</v>
      </c>
      <c r="R48" s="710">
        <f t="shared" si="120"/>
        <v>105890</v>
      </c>
      <c r="S48" s="710">
        <f t="shared" si="120"/>
        <v>109403</v>
      </c>
      <c r="T48" s="710">
        <f t="shared" si="120"/>
        <v>128568</v>
      </c>
      <c r="U48" s="465">
        <f t="shared" si="120"/>
        <v>134645</v>
      </c>
      <c r="V48" s="465">
        <f t="shared" si="120"/>
        <v>137303</v>
      </c>
      <c r="W48" s="465">
        <f t="shared" si="120"/>
        <v>133800</v>
      </c>
      <c r="X48" s="465">
        <f t="shared" si="120"/>
        <v>130528</v>
      </c>
      <c r="Y48" s="465">
        <f t="shared" si="120"/>
        <v>129851</v>
      </c>
      <c r="Z48" s="249">
        <f t="shared" si="58"/>
        <v>101660</v>
      </c>
      <c r="AA48" s="249">
        <f t="shared" si="95"/>
        <v>105516</v>
      </c>
      <c r="AB48" s="249">
        <f t="shared" si="95"/>
        <v>101989</v>
      </c>
      <c r="AC48" s="249">
        <f t="shared" si="95"/>
        <v>117202</v>
      </c>
      <c r="AD48" s="249">
        <f t="shared" si="95"/>
        <v>143741</v>
      </c>
      <c r="AE48" s="249">
        <f t="shared" si="95"/>
        <v>108138</v>
      </c>
      <c r="AF48" s="249">
        <f t="shared" si="95"/>
        <v>118374</v>
      </c>
      <c r="AG48" s="249">
        <f t="shared" si="95"/>
        <v>138507</v>
      </c>
      <c r="AH48" s="249">
        <f t="shared" si="95"/>
        <v>144899</v>
      </c>
      <c r="AI48" s="249">
        <f t="shared" si="95"/>
        <v>170672</v>
      </c>
      <c r="AJ48" s="249">
        <f t="shared" si="95"/>
        <v>178865</v>
      </c>
      <c r="AK48" s="249">
        <f t="shared" si="95"/>
        <v>188336</v>
      </c>
      <c r="AL48" s="249">
        <f t="shared" si="95"/>
        <v>172468</v>
      </c>
    </row>
    <row r="49" spans="1:38" ht="13">
      <c r="A49" s="267"/>
      <c r="B49" s="249">
        <v>212</v>
      </c>
      <c r="C49" s="249" t="s">
        <v>207</v>
      </c>
      <c r="D49" s="350">
        <f t="shared" si="118"/>
        <v>179332</v>
      </c>
      <c r="E49" s="350">
        <f t="shared" ref="E49:N49" si="121">ROUND(E$2*E113/E$70,0)</f>
        <v>189822</v>
      </c>
      <c r="F49" s="350">
        <f t="shared" si="121"/>
        <v>189135</v>
      </c>
      <c r="G49" s="350">
        <f t="shared" si="121"/>
        <v>190623</v>
      </c>
      <c r="H49" s="350">
        <f t="shared" si="121"/>
        <v>191794</v>
      </c>
      <c r="I49" s="350">
        <f t="shared" si="121"/>
        <v>218251</v>
      </c>
      <c r="J49" s="350">
        <f t="shared" si="121"/>
        <v>219406</v>
      </c>
      <c r="K49" s="350">
        <f t="shared" si="121"/>
        <v>212608</v>
      </c>
      <c r="L49" s="350">
        <f t="shared" si="121"/>
        <v>209053</v>
      </c>
      <c r="M49" s="350">
        <f t="shared" si="121"/>
        <v>209259</v>
      </c>
      <c r="N49" s="350">
        <f t="shared" si="121"/>
        <v>225494</v>
      </c>
      <c r="O49" s="350">
        <f t="shared" si="93"/>
        <v>199509</v>
      </c>
      <c r="P49" s="710">
        <f t="shared" si="93"/>
        <v>204891</v>
      </c>
      <c r="Q49" s="710">
        <f t="shared" ref="Q49:Y49" si="122">ROUND(Q$2*Q113/Q$70,0)</f>
        <v>204227</v>
      </c>
      <c r="R49" s="710">
        <f t="shared" si="122"/>
        <v>205883</v>
      </c>
      <c r="S49" s="710">
        <f t="shared" si="122"/>
        <v>207219</v>
      </c>
      <c r="T49" s="710">
        <f t="shared" si="122"/>
        <v>205543</v>
      </c>
      <c r="U49" s="465">
        <f t="shared" si="122"/>
        <v>197272</v>
      </c>
      <c r="V49" s="465">
        <f t="shared" si="122"/>
        <v>196671</v>
      </c>
      <c r="W49" s="465">
        <f t="shared" si="122"/>
        <v>188742</v>
      </c>
      <c r="X49" s="465">
        <f t="shared" si="122"/>
        <v>196730</v>
      </c>
      <c r="Y49" s="465">
        <f t="shared" si="122"/>
        <v>217352</v>
      </c>
      <c r="Z49" s="249">
        <f t="shared" si="58"/>
        <v>217837</v>
      </c>
      <c r="AA49" s="249">
        <f t="shared" si="95"/>
        <v>222509</v>
      </c>
      <c r="AB49" s="249">
        <f t="shared" si="95"/>
        <v>229233</v>
      </c>
      <c r="AC49" s="249">
        <f t="shared" si="95"/>
        <v>220153</v>
      </c>
      <c r="AD49" s="249">
        <f t="shared" si="95"/>
        <v>227246</v>
      </c>
      <c r="AE49" s="249">
        <f t="shared" si="95"/>
        <v>234268</v>
      </c>
      <c r="AF49" s="249">
        <f t="shared" si="95"/>
        <v>241892</v>
      </c>
      <c r="AG49" s="249">
        <f t="shared" si="95"/>
        <v>235359</v>
      </c>
      <c r="AH49" s="249">
        <f t="shared" si="95"/>
        <v>239108</v>
      </c>
      <c r="AI49" s="249">
        <f t="shared" si="95"/>
        <v>238405</v>
      </c>
      <c r="AJ49" s="249">
        <f t="shared" si="95"/>
        <v>229314</v>
      </c>
      <c r="AK49" s="249">
        <f t="shared" si="95"/>
        <v>232792</v>
      </c>
      <c r="AL49" s="249">
        <f t="shared" si="95"/>
        <v>235344</v>
      </c>
    </row>
    <row r="50" spans="1:38" ht="13">
      <c r="A50" s="267"/>
      <c r="B50" s="249">
        <v>227</v>
      </c>
      <c r="C50" s="249" t="s">
        <v>219</v>
      </c>
      <c r="D50" s="350">
        <f t="shared" si="118"/>
        <v>122077</v>
      </c>
      <c r="E50" s="350">
        <f t="shared" ref="E50:N50" si="123">ROUND(E$2*E114/E$70,0)</f>
        <v>129138</v>
      </c>
      <c r="F50" s="350">
        <f t="shared" si="123"/>
        <v>131550</v>
      </c>
      <c r="G50" s="350">
        <f t="shared" si="123"/>
        <v>136491</v>
      </c>
      <c r="H50" s="350">
        <f t="shared" si="123"/>
        <v>139327</v>
      </c>
      <c r="I50" s="350">
        <f t="shared" si="123"/>
        <v>148228</v>
      </c>
      <c r="J50" s="350">
        <f t="shared" si="123"/>
        <v>146541</v>
      </c>
      <c r="K50" s="350">
        <f t="shared" si="123"/>
        <v>144284</v>
      </c>
      <c r="L50" s="350">
        <f t="shared" si="123"/>
        <v>137101</v>
      </c>
      <c r="M50" s="350">
        <f t="shared" si="123"/>
        <v>131818</v>
      </c>
      <c r="N50" s="350">
        <f t="shared" si="123"/>
        <v>143140</v>
      </c>
      <c r="O50" s="350">
        <f t="shared" si="93"/>
        <v>141352</v>
      </c>
      <c r="P50" s="710">
        <f t="shared" si="93"/>
        <v>139589</v>
      </c>
      <c r="Q50" s="710">
        <f t="shared" ref="Q50:Y50" si="124">ROUND(Q$2*Q114/Q$70,0)</f>
        <v>137821</v>
      </c>
      <c r="R50" s="710">
        <f t="shared" si="124"/>
        <v>134286</v>
      </c>
      <c r="S50" s="710">
        <f t="shared" si="124"/>
        <v>132048</v>
      </c>
      <c r="T50" s="710">
        <f t="shared" si="124"/>
        <v>131205</v>
      </c>
      <c r="U50" s="465">
        <f t="shared" si="124"/>
        <v>127648</v>
      </c>
      <c r="V50" s="465">
        <f t="shared" si="124"/>
        <v>130777</v>
      </c>
      <c r="W50" s="465">
        <f t="shared" si="124"/>
        <v>123204</v>
      </c>
      <c r="X50" s="465">
        <f t="shared" si="124"/>
        <v>118547</v>
      </c>
      <c r="Y50" s="465">
        <f t="shared" si="124"/>
        <v>119222</v>
      </c>
      <c r="Z50" s="249">
        <f t="shared" si="58"/>
        <v>117611</v>
      </c>
      <c r="AA50" s="249">
        <f t="shared" si="95"/>
        <v>120622</v>
      </c>
      <c r="AB50" s="249">
        <f t="shared" si="95"/>
        <v>126515</v>
      </c>
      <c r="AC50" s="249">
        <f t="shared" si="95"/>
        <v>122027</v>
      </c>
      <c r="AD50" s="249">
        <f t="shared" si="95"/>
        <v>121660</v>
      </c>
      <c r="AE50" s="249">
        <f t="shared" si="95"/>
        <v>120912</v>
      </c>
      <c r="AF50" s="249">
        <f t="shared" si="95"/>
        <v>120106</v>
      </c>
      <c r="AG50" s="249">
        <f t="shared" si="95"/>
        <v>122075</v>
      </c>
      <c r="AH50" s="249">
        <f t="shared" si="95"/>
        <v>118852</v>
      </c>
      <c r="AI50" s="249">
        <f t="shared" si="95"/>
        <v>110319</v>
      </c>
      <c r="AJ50" s="249">
        <f t="shared" si="95"/>
        <v>116475</v>
      </c>
      <c r="AK50" s="249">
        <f t="shared" si="95"/>
        <v>118116</v>
      </c>
      <c r="AL50" s="249">
        <f t="shared" si="95"/>
        <v>117480</v>
      </c>
    </row>
    <row r="51" spans="1:38" ht="13">
      <c r="A51" s="267"/>
      <c r="B51" s="249">
        <v>229</v>
      </c>
      <c r="C51" s="249" t="s">
        <v>334</v>
      </c>
      <c r="D51" s="350">
        <f t="shared" si="118"/>
        <v>259729</v>
      </c>
      <c r="E51" s="350">
        <f t="shared" ref="E51:N51" si="125">ROUND(E$2*E115/E$70,0)</f>
        <v>265644</v>
      </c>
      <c r="F51" s="350">
        <f t="shared" si="125"/>
        <v>277672</v>
      </c>
      <c r="G51" s="350">
        <f t="shared" si="125"/>
        <v>292965</v>
      </c>
      <c r="H51" s="350">
        <f t="shared" si="125"/>
        <v>291537</v>
      </c>
      <c r="I51" s="350">
        <f t="shared" si="125"/>
        <v>304969</v>
      </c>
      <c r="J51" s="350">
        <f t="shared" si="125"/>
        <v>299721</v>
      </c>
      <c r="K51" s="350">
        <f t="shared" si="125"/>
        <v>298747</v>
      </c>
      <c r="L51" s="350">
        <f t="shared" si="125"/>
        <v>286096</v>
      </c>
      <c r="M51" s="350">
        <f t="shared" si="125"/>
        <v>288340</v>
      </c>
      <c r="N51" s="350">
        <f t="shared" si="125"/>
        <v>288776</v>
      </c>
      <c r="O51" s="350">
        <f>ROUND(O$2*O115/O$70,0)</f>
        <v>279430</v>
      </c>
      <c r="P51" s="710">
        <f t="shared" si="93"/>
        <v>339822</v>
      </c>
      <c r="Q51" s="710">
        <f t="shared" ref="Q51:Y51" si="126">ROUND(Q$2*Q115/Q$70,0)</f>
        <v>336011</v>
      </c>
      <c r="R51" s="710">
        <f t="shared" si="126"/>
        <v>334038</v>
      </c>
      <c r="S51" s="710">
        <f t="shared" si="126"/>
        <v>321563</v>
      </c>
      <c r="T51" s="710">
        <f t="shared" si="126"/>
        <v>308445</v>
      </c>
      <c r="U51" s="465">
        <f t="shared" si="126"/>
        <v>314474</v>
      </c>
      <c r="V51" s="465">
        <f t="shared" si="126"/>
        <v>325690</v>
      </c>
      <c r="W51" s="465">
        <f t="shared" si="126"/>
        <v>322719</v>
      </c>
      <c r="X51" s="465">
        <f t="shared" si="126"/>
        <v>295025</v>
      </c>
      <c r="Y51" s="465">
        <f t="shared" si="126"/>
        <v>316722</v>
      </c>
      <c r="Z51" s="249">
        <f t="shared" si="58"/>
        <v>335310</v>
      </c>
      <c r="AA51" s="249">
        <f t="shared" si="95"/>
        <v>333286</v>
      </c>
      <c r="AB51" s="249">
        <f t="shared" si="95"/>
        <v>342886</v>
      </c>
      <c r="AC51" s="249">
        <f t="shared" si="95"/>
        <v>334206</v>
      </c>
      <c r="AD51" s="249">
        <f t="shared" si="95"/>
        <v>353318</v>
      </c>
      <c r="AE51" s="249">
        <f t="shared" si="95"/>
        <v>358818</v>
      </c>
      <c r="AF51" s="249">
        <f t="shared" si="95"/>
        <v>367045</v>
      </c>
      <c r="AG51" s="249">
        <f t="shared" si="95"/>
        <v>355033</v>
      </c>
      <c r="AH51" s="249">
        <f t="shared" si="95"/>
        <v>357650</v>
      </c>
      <c r="AI51" s="249">
        <f t="shared" si="95"/>
        <v>344968</v>
      </c>
      <c r="AJ51" s="249">
        <f t="shared" si="95"/>
        <v>341788</v>
      </c>
      <c r="AK51" s="249">
        <f t="shared" si="95"/>
        <v>335224</v>
      </c>
      <c r="AL51" s="249">
        <f t="shared" si="95"/>
        <v>343205</v>
      </c>
    </row>
    <row r="52" spans="1:38" ht="13">
      <c r="A52" s="267"/>
      <c r="B52" s="249">
        <v>464</v>
      </c>
      <c r="C52" s="249" t="s">
        <v>208</v>
      </c>
      <c r="D52" s="350">
        <f t="shared" si="118"/>
        <v>97219</v>
      </c>
      <c r="E52" s="350">
        <f t="shared" ref="E52:N52" si="127">ROUND(E$2*E116/E$70,0)</f>
        <v>93300</v>
      </c>
      <c r="F52" s="350">
        <f t="shared" si="127"/>
        <v>87733</v>
      </c>
      <c r="G52" s="350">
        <f t="shared" si="127"/>
        <v>104983</v>
      </c>
      <c r="H52" s="350">
        <f t="shared" si="127"/>
        <v>110638</v>
      </c>
      <c r="I52" s="350">
        <f t="shared" si="127"/>
        <v>115217</v>
      </c>
      <c r="J52" s="350">
        <f t="shared" si="127"/>
        <v>121200</v>
      </c>
      <c r="K52" s="350">
        <f t="shared" si="127"/>
        <v>127269</v>
      </c>
      <c r="L52" s="350">
        <f t="shared" si="127"/>
        <v>134527</v>
      </c>
      <c r="M52" s="350">
        <f t="shared" si="127"/>
        <v>134002</v>
      </c>
      <c r="N52" s="350">
        <f t="shared" si="127"/>
        <v>134101</v>
      </c>
      <c r="O52" s="350">
        <f>ROUND(O$2*O116/O$70,0)</f>
        <v>118434</v>
      </c>
      <c r="P52" s="710">
        <f>ROUND(P$2*P116/P$70,0)</f>
        <v>125287</v>
      </c>
      <c r="Q52" s="710">
        <f t="shared" ref="Q52:Y52" si="128">ROUND(Q$2*Q116/Q$70,0)</f>
        <v>128962</v>
      </c>
      <c r="R52" s="710">
        <f t="shared" si="128"/>
        <v>122375</v>
      </c>
      <c r="S52" s="710">
        <f t="shared" si="128"/>
        <v>117547</v>
      </c>
      <c r="T52" s="710">
        <f t="shared" si="128"/>
        <v>110498</v>
      </c>
      <c r="U52" s="465">
        <f t="shared" si="128"/>
        <v>105840</v>
      </c>
      <c r="V52" s="465">
        <f t="shared" si="128"/>
        <v>113231</v>
      </c>
      <c r="W52" s="465">
        <f t="shared" si="128"/>
        <v>99953</v>
      </c>
      <c r="X52" s="465">
        <f t="shared" si="128"/>
        <v>92960</v>
      </c>
      <c r="Y52" s="465">
        <f t="shared" si="128"/>
        <v>104391</v>
      </c>
      <c r="Z52" s="249">
        <f t="shared" si="58"/>
        <v>110235</v>
      </c>
      <c r="AA52" s="249">
        <f t="shared" ref="AA52:AL67" si="129">AA116</f>
        <v>106466</v>
      </c>
      <c r="AB52" s="249">
        <f t="shared" si="129"/>
        <v>92380</v>
      </c>
      <c r="AC52" s="249">
        <f t="shared" si="129"/>
        <v>98775</v>
      </c>
      <c r="AD52" s="249">
        <f t="shared" si="129"/>
        <v>60245</v>
      </c>
      <c r="AE52" s="249">
        <f t="shared" si="129"/>
        <v>84643</v>
      </c>
      <c r="AF52" s="249">
        <f t="shared" si="129"/>
        <v>103107</v>
      </c>
      <c r="AG52" s="249">
        <f t="shared" si="129"/>
        <v>104127</v>
      </c>
      <c r="AH52" s="249">
        <f t="shared" si="129"/>
        <v>100847</v>
      </c>
      <c r="AI52" s="249">
        <f t="shared" si="129"/>
        <v>112858</v>
      </c>
      <c r="AJ52" s="249">
        <f t="shared" si="129"/>
        <v>131267</v>
      </c>
      <c r="AK52" s="249">
        <f t="shared" si="129"/>
        <v>101039</v>
      </c>
      <c r="AL52" s="249">
        <f t="shared" si="129"/>
        <v>99614</v>
      </c>
    </row>
    <row r="53" spans="1:38" ht="13">
      <c r="A53" s="267"/>
      <c r="B53" s="249">
        <v>481</v>
      </c>
      <c r="C53" s="249" t="s">
        <v>209</v>
      </c>
      <c r="D53" s="350">
        <f t="shared" si="118"/>
        <v>43486</v>
      </c>
      <c r="E53" s="350">
        <f t="shared" ref="E53:N53" si="130">ROUND(E$2*E117/E$70,0)</f>
        <v>45795</v>
      </c>
      <c r="F53" s="350">
        <f t="shared" si="130"/>
        <v>48320</v>
      </c>
      <c r="G53" s="350">
        <f t="shared" si="130"/>
        <v>47890</v>
      </c>
      <c r="H53" s="350">
        <f t="shared" si="130"/>
        <v>47044</v>
      </c>
      <c r="I53" s="350">
        <f t="shared" si="130"/>
        <v>51744</v>
      </c>
      <c r="J53" s="350">
        <f t="shared" si="130"/>
        <v>54536</v>
      </c>
      <c r="K53" s="350">
        <f t="shared" si="130"/>
        <v>50109</v>
      </c>
      <c r="L53" s="350">
        <f t="shared" si="130"/>
        <v>53558</v>
      </c>
      <c r="M53" s="350">
        <f t="shared" si="130"/>
        <v>49227</v>
      </c>
      <c r="N53" s="350">
        <f t="shared" si="130"/>
        <v>52758</v>
      </c>
      <c r="O53" s="350">
        <f>ROUND(O$2*O117/O$70,0)</f>
        <v>51795</v>
      </c>
      <c r="P53" s="710">
        <f>ROUND(P$2*P117/P$70,0)</f>
        <v>53161</v>
      </c>
      <c r="Q53" s="710">
        <f t="shared" ref="Q53:Y53" si="131">ROUND(Q$2*Q117/Q$70,0)</f>
        <v>48668</v>
      </c>
      <c r="R53" s="710">
        <f t="shared" si="131"/>
        <v>47962</v>
      </c>
      <c r="S53" s="710">
        <f t="shared" si="131"/>
        <v>49002</v>
      </c>
      <c r="T53" s="710">
        <f t="shared" si="131"/>
        <v>48186</v>
      </c>
      <c r="U53" s="465">
        <f t="shared" si="131"/>
        <v>46342</v>
      </c>
      <c r="V53" s="465">
        <f t="shared" si="131"/>
        <v>47976</v>
      </c>
      <c r="W53" s="465">
        <f t="shared" si="131"/>
        <v>45239</v>
      </c>
      <c r="X53" s="465">
        <f t="shared" si="131"/>
        <v>42805</v>
      </c>
      <c r="Y53" s="465">
        <f t="shared" si="131"/>
        <v>43694</v>
      </c>
      <c r="Z53" s="249">
        <f t="shared" si="58"/>
        <v>42095</v>
      </c>
      <c r="AA53" s="249">
        <f t="shared" si="129"/>
        <v>42684</v>
      </c>
      <c r="AB53" s="249">
        <f t="shared" si="129"/>
        <v>44122</v>
      </c>
      <c r="AC53" s="249">
        <f t="shared" si="129"/>
        <v>48127</v>
      </c>
      <c r="AD53" s="249">
        <f t="shared" si="129"/>
        <v>49337</v>
      </c>
      <c r="AE53" s="249">
        <f t="shared" si="129"/>
        <v>53587</v>
      </c>
      <c r="AF53" s="249">
        <f t="shared" si="129"/>
        <v>52379</v>
      </c>
      <c r="AG53" s="249">
        <f t="shared" si="129"/>
        <v>51778</v>
      </c>
      <c r="AH53" s="249">
        <f t="shared" si="129"/>
        <v>50319</v>
      </c>
      <c r="AI53" s="249">
        <f t="shared" si="129"/>
        <v>49302</v>
      </c>
      <c r="AJ53" s="249">
        <f t="shared" si="129"/>
        <v>53900</v>
      </c>
      <c r="AK53" s="249">
        <f t="shared" si="129"/>
        <v>51144</v>
      </c>
      <c r="AL53" s="249">
        <f t="shared" si="129"/>
        <v>49673</v>
      </c>
    </row>
    <row r="54" spans="1:38" ht="13">
      <c r="A54" s="268"/>
      <c r="B54" s="249">
        <v>501</v>
      </c>
      <c r="C54" s="533" t="s">
        <v>335</v>
      </c>
      <c r="D54" s="402">
        <f t="shared" si="118"/>
        <v>58737</v>
      </c>
      <c r="E54" s="402">
        <f t="shared" ref="E54:N54" si="132">ROUND(E$2*E118/E$70,0)</f>
        <v>88689</v>
      </c>
      <c r="F54" s="402">
        <f t="shared" si="132"/>
        <v>61174</v>
      </c>
      <c r="G54" s="402">
        <f t="shared" si="132"/>
        <v>65637</v>
      </c>
      <c r="H54" s="402">
        <f t="shared" si="132"/>
        <v>67386</v>
      </c>
      <c r="I54" s="402">
        <f t="shared" si="132"/>
        <v>67998</v>
      </c>
      <c r="J54" s="402">
        <f t="shared" si="132"/>
        <v>75052</v>
      </c>
      <c r="K54" s="402">
        <f t="shared" si="132"/>
        <v>70681</v>
      </c>
      <c r="L54" s="402">
        <f t="shared" si="132"/>
        <v>70056</v>
      </c>
      <c r="M54" s="402">
        <f t="shared" si="132"/>
        <v>69305</v>
      </c>
      <c r="N54" s="402">
        <f t="shared" si="132"/>
        <v>67446</v>
      </c>
      <c r="O54" s="402">
        <f>ROUND(O$2*O118/O$70,0)</f>
        <v>65435</v>
      </c>
      <c r="P54" s="710">
        <f>ROUND(P$2*P118/P$70,0)</f>
        <v>67291</v>
      </c>
      <c r="Q54" s="710">
        <f t="shared" ref="Q54:Y54" si="133">ROUND(Q$2*Q118/Q$70,0)</f>
        <v>68419</v>
      </c>
      <c r="R54" s="710">
        <f t="shared" si="133"/>
        <v>67361</v>
      </c>
      <c r="S54" s="710">
        <f t="shared" si="133"/>
        <v>67001</v>
      </c>
      <c r="T54" s="710">
        <f t="shared" si="133"/>
        <v>62738</v>
      </c>
      <c r="U54" s="465">
        <f t="shared" si="133"/>
        <v>62006</v>
      </c>
      <c r="V54" s="465">
        <f t="shared" si="133"/>
        <v>61626</v>
      </c>
      <c r="W54" s="465">
        <f t="shared" si="133"/>
        <v>60255</v>
      </c>
      <c r="X54" s="465">
        <f t="shared" si="133"/>
        <v>59298</v>
      </c>
      <c r="Y54" s="465">
        <f t="shared" si="133"/>
        <v>62626</v>
      </c>
      <c r="Z54" s="249">
        <f t="shared" si="58"/>
        <v>61175</v>
      </c>
      <c r="AA54" s="249">
        <f t="shared" si="129"/>
        <v>59413</v>
      </c>
      <c r="AB54" s="249">
        <f t="shared" si="129"/>
        <v>62339</v>
      </c>
      <c r="AC54" s="249">
        <f t="shared" si="129"/>
        <v>60405</v>
      </c>
      <c r="AD54" s="249">
        <f t="shared" si="129"/>
        <v>61148</v>
      </c>
      <c r="AE54" s="249">
        <f t="shared" si="129"/>
        <v>60900</v>
      </c>
      <c r="AF54" s="249">
        <f t="shared" si="129"/>
        <v>62770</v>
      </c>
      <c r="AG54" s="249">
        <f t="shared" si="129"/>
        <v>64001</v>
      </c>
      <c r="AH54" s="249">
        <f t="shared" si="129"/>
        <v>63589</v>
      </c>
      <c r="AI54" s="249">
        <f t="shared" si="129"/>
        <v>58261</v>
      </c>
      <c r="AJ54" s="249">
        <f t="shared" si="129"/>
        <v>61117</v>
      </c>
      <c r="AK54" s="249">
        <f t="shared" si="129"/>
        <v>60760</v>
      </c>
      <c r="AL54" s="249">
        <f t="shared" si="129"/>
        <v>61590</v>
      </c>
    </row>
    <row r="55" spans="1:38" ht="13">
      <c r="A55" s="267" t="s">
        <v>346</v>
      </c>
      <c r="B55" s="270">
        <v>7</v>
      </c>
      <c r="C55" s="249" t="s">
        <v>210</v>
      </c>
      <c r="D55" s="350">
        <f>SUM(D56:D60)</f>
        <v>581752</v>
      </c>
      <c r="E55" s="350">
        <f t="shared" ref="E55:N55" si="134">SUM(E56:E60)</f>
        <v>592994</v>
      </c>
      <c r="F55" s="350">
        <f t="shared" si="134"/>
        <v>608019</v>
      </c>
      <c r="G55" s="350">
        <f t="shared" si="134"/>
        <v>644647</v>
      </c>
      <c r="H55" s="350">
        <f t="shared" si="134"/>
        <v>626392</v>
      </c>
      <c r="I55" s="350">
        <f t="shared" si="134"/>
        <v>660159</v>
      </c>
      <c r="J55" s="350">
        <f t="shared" si="134"/>
        <v>691636</v>
      </c>
      <c r="K55" s="350">
        <f t="shared" si="134"/>
        <v>703527</v>
      </c>
      <c r="L55" s="350">
        <f t="shared" si="134"/>
        <v>699310</v>
      </c>
      <c r="M55" s="350">
        <f t="shared" si="134"/>
        <v>697424</v>
      </c>
      <c r="N55" s="350">
        <f t="shared" si="134"/>
        <v>703303</v>
      </c>
      <c r="O55" s="350">
        <f>SUM(O56:O60)</f>
        <v>674960</v>
      </c>
      <c r="P55" s="709">
        <f>SUM(P56:P60)</f>
        <v>683016</v>
      </c>
      <c r="Q55" s="709">
        <f t="shared" ref="Q55:Y55" si="135">SUM(Q56:Q60)</f>
        <v>681838</v>
      </c>
      <c r="R55" s="709">
        <f t="shared" si="135"/>
        <v>658097</v>
      </c>
      <c r="S55" s="709">
        <f t="shared" si="135"/>
        <v>656557</v>
      </c>
      <c r="T55" s="709">
        <f t="shared" si="135"/>
        <v>656001</v>
      </c>
      <c r="U55" s="464">
        <f t="shared" si="135"/>
        <v>635187</v>
      </c>
      <c r="V55" s="464">
        <f t="shared" si="135"/>
        <v>644104</v>
      </c>
      <c r="W55" s="464">
        <f t="shared" si="135"/>
        <v>610959</v>
      </c>
      <c r="X55" s="464">
        <f t="shared" si="135"/>
        <v>582183</v>
      </c>
      <c r="Y55" s="464">
        <f t="shared" si="135"/>
        <v>596840</v>
      </c>
      <c r="Z55" s="249">
        <f t="shared" si="58"/>
        <v>583643</v>
      </c>
      <c r="AA55" s="249">
        <f t="shared" si="129"/>
        <v>591296</v>
      </c>
      <c r="AB55" s="249">
        <f t="shared" si="129"/>
        <v>633497</v>
      </c>
      <c r="AC55" s="249">
        <f t="shared" si="129"/>
        <v>622915</v>
      </c>
      <c r="AD55" s="249">
        <f t="shared" si="129"/>
        <v>630529</v>
      </c>
      <c r="AE55" s="249">
        <f t="shared" si="129"/>
        <v>621925</v>
      </c>
      <c r="AF55" s="249">
        <f t="shared" si="129"/>
        <v>636953</v>
      </c>
      <c r="AG55" s="249">
        <f t="shared" si="129"/>
        <v>625127</v>
      </c>
      <c r="AH55" s="249">
        <f t="shared" si="129"/>
        <v>633509</v>
      </c>
      <c r="AI55" s="249">
        <f t="shared" si="129"/>
        <v>630050</v>
      </c>
      <c r="AJ55" s="249">
        <f t="shared" si="129"/>
        <v>596697</v>
      </c>
      <c r="AK55" s="249">
        <f t="shared" si="129"/>
        <v>581246</v>
      </c>
      <c r="AL55" s="249">
        <f t="shared" si="129"/>
        <v>577235</v>
      </c>
    </row>
    <row r="56" spans="1:38" ht="13">
      <c r="A56" s="267"/>
      <c r="B56" s="249">
        <v>209</v>
      </c>
      <c r="C56" s="249" t="s">
        <v>336</v>
      </c>
      <c r="D56" s="350">
        <f t="shared" ref="D56:O56" si="136">ROUND(D$2*D120/D$70,0)</f>
        <v>277929</v>
      </c>
      <c r="E56" s="350">
        <f t="shared" si="136"/>
        <v>280168</v>
      </c>
      <c r="F56" s="350">
        <f t="shared" si="136"/>
        <v>287579</v>
      </c>
      <c r="G56" s="350">
        <f t="shared" si="136"/>
        <v>306099</v>
      </c>
      <c r="H56" s="350">
        <f t="shared" si="136"/>
        <v>294636</v>
      </c>
      <c r="I56" s="350">
        <f t="shared" si="136"/>
        <v>313352</v>
      </c>
      <c r="J56" s="350">
        <f t="shared" si="136"/>
        <v>323982</v>
      </c>
      <c r="K56" s="350">
        <f t="shared" si="136"/>
        <v>328119</v>
      </c>
      <c r="L56" s="350">
        <f t="shared" si="136"/>
        <v>327919</v>
      </c>
      <c r="M56" s="350">
        <f t="shared" si="136"/>
        <v>327109</v>
      </c>
      <c r="N56" s="350">
        <f t="shared" si="136"/>
        <v>329843</v>
      </c>
      <c r="O56" s="350">
        <f t="shared" si="136"/>
        <v>318048</v>
      </c>
      <c r="P56" s="710">
        <f>ROUND(P$2*P120/P$70,0)</f>
        <v>322602</v>
      </c>
      <c r="Q56" s="710">
        <f t="shared" ref="Q56:Y56" si="137">ROUND(Q$2*Q120/Q$70,0)</f>
        <v>331512</v>
      </c>
      <c r="R56" s="710">
        <f t="shared" si="137"/>
        <v>318798</v>
      </c>
      <c r="S56" s="710">
        <f t="shared" si="137"/>
        <v>319924</v>
      </c>
      <c r="T56" s="710">
        <f t="shared" si="137"/>
        <v>319941</v>
      </c>
      <c r="U56" s="465">
        <f t="shared" si="137"/>
        <v>310654</v>
      </c>
      <c r="V56" s="465">
        <f t="shared" si="137"/>
        <v>313198</v>
      </c>
      <c r="W56" s="465">
        <f t="shared" si="137"/>
        <v>300167</v>
      </c>
      <c r="X56" s="465">
        <f t="shared" si="137"/>
        <v>288547</v>
      </c>
      <c r="Y56" s="465">
        <f t="shared" si="137"/>
        <v>294522</v>
      </c>
      <c r="Z56" s="249">
        <f t="shared" si="58"/>
        <v>283014</v>
      </c>
      <c r="AA56" s="249">
        <f t="shared" si="129"/>
        <v>290473</v>
      </c>
      <c r="AB56" s="249">
        <f t="shared" si="129"/>
        <v>312298</v>
      </c>
      <c r="AC56" s="249">
        <f t="shared" si="129"/>
        <v>299759</v>
      </c>
      <c r="AD56" s="249">
        <f t="shared" si="129"/>
        <v>309732</v>
      </c>
      <c r="AE56" s="249">
        <f t="shared" si="129"/>
        <v>310071</v>
      </c>
      <c r="AF56" s="249">
        <f t="shared" si="129"/>
        <v>311979</v>
      </c>
      <c r="AG56" s="249">
        <f t="shared" si="129"/>
        <v>311104</v>
      </c>
      <c r="AH56" s="249">
        <f t="shared" si="129"/>
        <v>311388</v>
      </c>
      <c r="AI56" s="249">
        <f t="shared" si="129"/>
        <v>292787</v>
      </c>
      <c r="AJ56" s="249">
        <f t="shared" si="129"/>
        <v>294985</v>
      </c>
      <c r="AK56" s="249">
        <f t="shared" si="129"/>
        <v>291536</v>
      </c>
      <c r="AL56" s="249">
        <f t="shared" si="129"/>
        <v>293009</v>
      </c>
    </row>
    <row r="57" spans="1:38" ht="13">
      <c r="A57" s="267"/>
      <c r="B57" s="249">
        <v>222</v>
      </c>
      <c r="C57" s="249" t="s">
        <v>337</v>
      </c>
      <c r="D57" s="350">
        <f t="shared" ref="D57:O57" si="138">ROUND(D$2*D121/D$70,0)</f>
        <v>87017</v>
      </c>
      <c r="E57" s="350">
        <f t="shared" si="138"/>
        <v>91924</v>
      </c>
      <c r="F57" s="350">
        <f t="shared" si="138"/>
        <v>93267</v>
      </c>
      <c r="G57" s="350">
        <f t="shared" si="138"/>
        <v>94201</v>
      </c>
      <c r="H57" s="350">
        <f t="shared" si="138"/>
        <v>95066</v>
      </c>
      <c r="I57" s="350">
        <f t="shared" si="138"/>
        <v>98982</v>
      </c>
      <c r="J57" s="350">
        <f t="shared" si="138"/>
        <v>107134</v>
      </c>
      <c r="K57" s="350">
        <f t="shared" si="138"/>
        <v>110516</v>
      </c>
      <c r="L57" s="350">
        <f t="shared" si="138"/>
        <v>108587</v>
      </c>
      <c r="M57" s="350">
        <f t="shared" si="138"/>
        <v>108298</v>
      </c>
      <c r="N57" s="350">
        <f t="shared" si="138"/>
        <v>106281</v>
      </c>
      <c r="O57" s="350">
        <f t="shared" si="138"/>
        <v>100387</v>
      </c>
      <c r="P57" s="710">
        <f>ROUND(P$2*P121/P$70,0)</f>
        <v>98451</v>
      </c>
      <c r="Q57" s="710">
        <f t="shared" ref="Q57:Y57" si="139">ROUND(Q$2*Q121/Q$70,0)</f>
        <v>104188</v>
      </c>
      <c r="R57" s="710">
        <f t="shared" si="139"/>
        <v>94268</v>
      </c>
      <c r="S57" s="710">
        <f t="shared" si="139"/>
        <v>92451</v>
      </c>
      <c r="T57" s="710">
        <f t="shared" si="139"/>
        <v>94356</v>
      </c>
      <c r="U57" s="465">
        <f t="shared" si="139"/>
        <v>92429</v>
      </c>
      <c r="V57" s="465">
        <f t="shared" si="139"/>
        <v>89639</v>
      </c>
      <c r="W57" s="465">
        <f t="shared" si="139"/>
        <v>84253</v>
      </c>
      <c r="X57" s="465">
        <f t="shared" si="139"/>
        <v>72255</v>
      </c>
      <c r="Y57" s="465">
        <f t="shared" si="139"/>
        <v>78614</v>
      </c>
      <c r="Z57" s="249">
        <f t="shared" si="58"/>
        <v>86611</v>
      </c>
      <c r="AA57" s="249">
        <f t="shared" si="129"/>
        <v>88341</v>
      </c>
      <c r="AB57" s="249">
        <f t="shared" si="129"/>
        <v>93261</v>
      </c>
      <c r="AC57" s="249">
        <f t="shared" si="129"/>
        <v>91942</v>
      </c>
      <c r="AD57" s="249">
        <f t="shared" si="129"/>
        <v>85982</v>
      </c>
      <c r="AE57" s="249">
        <f t="shared" si="129"/>
        <v>85999</v>
      </c>
      <c r="AF57" s="249">
        <f t="shared" si="129"/>
        <v>87827</v>
      </c>
      <c r="AG57" s="249">
        <f t="shared" si="129"/>
        <v>83809</v>
      </c>
      <c r="AH57" s="249">
        <f t="shared" si="129"/>
        <v>79711</v>
      </c>
      <c r="AI57" s="249">
        <f t="shared" si="129"/>
        <v>76478</v>
      </c>
      <c r="AJ57" s="249">
        <f t="shared" si="129"/>
        <v>81483</v>
      </c>
      <c r="AK57" s="249">
        <f t="shared" si="129"/>
        <v>81008</v>
      </c>
      <c r="AL57" s="249">
        <f t="shared" si="129"/>
        <v>73921</v>
      </c>
    </row>
    <row r="58" spans="1:38" ht="13">
      <c r="A58" s="267"/>
      <c r="B58" s="249">
        <v>225</v>
      </c>
      <c r="C58" s="249" t="s">
        <v>222</v>
      </c>
      <c r="D58" s="350">
        <f t="shared" ref="D58:O58" si="140">ROUND(D$2*D122/D$70,0)</f>
        <v>109371</v>
      </c>
      <c r="E58" s="350">
        <f t="shared" si="140"/>
        <v>113199</v>
      </c>
      <c r="F58" s="350">
        <f t="shared" si="140"/>
        <v>114634</v>
      </c>
      <c r="G58" s="350">
        <f t="shared" si="140"/>
        <v>121053</v>
      </c>
      <c r="H58" s="350">
        <f t="shared" si="140"/>
        <v>122333</v>
      </c>
      <c r="I58" s="350">
        <f t="shared" si="140"/>
        <v>131209</v>
      </c>
      <c r="J58" s="350">
        <f t="shared" si="140"/>
        <v>141644</v>
      </c>
      <c r="K58" s="350">
        <f t="shared" si="140"/>
        <v>144747</v>
      </c>
      <c r="L58" s="350">
        <f t="shared" si="140"/>
        <v>140710</v>
      </c>
      <c r="M58" s="350">
        <f t="shared" si="140"/>
        <v>141458</v>
      </c>
      <c r="N58" s="350">
        <f t="shared" si="140"/>
        <v>145527</v>
      </c>
      <c r="O58" s="350">
        <f t="shared" si="140"/>
        <v>138458</v>
      </c>
      <c r="P58" s="710">
        <f>ROUND(P$2*P122/P$70,0)</f>
        <v>144156</v>
      </c>
      <c r="Q58" s="710">
        <f t="shared" ref="Q58:Y58" si="141">ROUND(Q$2*Q122/Q$70,0)</f>
        <v>133230</v>
      </c>
      <c r="R58" s="710">
        <f t="shared" si="141"/>
        <v>132492</v>
      </c>
      <c r="S58" s="710">
        <f t="shared" si="141"/>
        <v>131718</v>
      </c>
      <c r="T58" s="710">
        <f t="shared" si="141"/>
        <v>128032</v>
      </c>
      <c r="U58" s="465">
        <f t="shared" si="141"/>
        <v>124105</v>
      </c>
      <c r="V58" s="465">
        <f t="shared" si="141"/>
        <v>134197</v>
      </c>
      <c r="W58" s="465">
        <f t="shared" si="141"/>
        <v>126604</v>
      </c>
      <c r="X58" s="465">
        <f t="shared" si="141"/>
        <v>125396</v>
      </c>
      <c r="Y58" s="465">
        <f t="shared" si="141"/>
        <v>129783</v>
      </c>
      <c r="Z58" s="249">
        <f t="shared" si="58"/>
        <v>122282</v>
      </c>
      <c r="AA58" s="249">
        <f t="shared" si="129"/>
        <v>119211</v>
      </c>
      <c r="AB58" s="249">
        <f t="shared" si="129"/>
        <v>126576</v>
      </c>
      <c r="AC58" s="249">
        <f t="shared" si="129"/>
        <v>130319</v>
      </c>
      <c r="AD58" s="249">
        <f t="shared" si="129"/>
        <v>128054</v>
      </c>
      <c r="AE58" s="249">
        <f t="shared" si="129"/>
        <v>126388</v>
      </c>
      <c r="AF58" s="249">
        <f t="shared" si="129"/>
        <v>131261</v>
      </c>
      <c r="AG58" s="249">
        <f t="shared" si="129"/>
        <v>126688</v>
      </c>
      <c r="AH58" s="249">
        <f t="shared" si="129"/>
        <v>139348</v>
      </c>
      <c r="AI58" s="249">
        <f t="shared" si="129"/>
        <v>164905</v>
      </c>
      <c r="AJ58" s="249">
        <f t="shared" si="129"/>
        <v>124734</v>
      </c>
      <c r="AK58" s="249">
        <f t="shared" si="129"/>
        <v>114105</v>
      </c>
      <c r="AL58" s="249">
        <f t="shared" si="129"/>
        <v>113442</v>
      </c>
    </row>
    <row r="59" spans="1:38" ht="13">
      <c r="A59" s="267"/>
      <c r="B59" s="249">
        <v>585</v>
      </c>
      <c r="C59" s="249" t="s">
        <v>220</v>
      </c>
      <c r="D59" s="350">
        <f t="shared" ref="D59:O59" si="142">ROUND(D$2*D123/D$70,0)</f>
        <v>62502</v>
      </c>
      <c r="E59" s="350">
        <f t="shared" si="142"/>
        <v>63061</v>
      </c>
      <c r="F59" s="350">
        <f t="shared" si="142"/>
        <v>65340</v>
      </c>
      <c r="G59" s="350">
        <f t="shared" si="142"/>
        <v>70808</v>
      </c>
      <c r="H59" s="350">
        <f t="shared" si="142"/>
        <v>65002</v>
      </c>
      <c r="I59" s="350">
        <f t="shared" si="142"/>
        <v>68691</v>
      </c>
      <c r="J59" s="350">
        <f t="shared" si="142"/>
        <v>69642</v>
      </c>
      <c r="K59" s="350">
        <f t="shared" si="142"/>
        <v>69896</v>
      </c>
      <c r="L59" s="350">
        <f t="shared" si="142"/>
        <v>69910</v>
      </c>
      <c r="M59" s="350">
        <f t="shared" si="142"/>
        <v>71373</v>
      </c>
      <c r="N59" s="350">
        <f t="shared" si="142"/>
        <v>70551</v>
      </c>
      <c r="O59" s="350">
        <f t="shared" si="142"/>
        <v>68294</v>
      </c>
      <c r="P59" s="710">
        <f>ROUND(P$2*P123/P$70,0)</f>
        <v>68338</v>
      </c>
      <c r="Q59" s="710">
        <f t="shared" ref="Q59:Y59" si="143">ROUND(Q$2*Q123/Q$70,0)</f>
        <v>65254</v>
      </c>
      <c r="R59" s="710">
        <f t="shared" si="143"/>
        <v>64357</v>
      </c>
      <c r="S59" s="710">
        <f t="shared" si="143"/>
        <v>64445</v>
      </c>
      <c r="T59" s="710">
        <f t="shared" si="143"/>
        <v>66058</v>
      </c>
      <c r="U59" s="465">
        <f t="shared" si="143"/>
        <v>62018</v>
      </c>
      <c r="V59" s="465">
        <f t="shared" si="143"/>
        <v>61877</v>
      </c>
      <c r="W59" s="465">
        <f t="shared" si="143"/>
        <v>57947</v>
      </c>
      <c r="X59" s="465">
        <f t="shared" si="143"/>
        <v>55698</v>
      </c>
      <c r="Y59" s="465">
        <f t="shared" si="143"/>
        <v>54367</v>
      </c>
      <c r="Z59" s="249">
        <f t="shared" si="58"/>
        <v>52975</v>
      </c>
      <c r="AA59" s="249">
        <f t="shared" si="129"/>
        <v>54409</v>
      </c>
      <c r="AB59" s="249">
        <f t="shared" si="129"/>
        <v>57436</v>
      </c>
      <c r="AC59" s="249">
        <f t="shared" si="129"/>
        <v>56566</v>
      </c>
      <c r="AD59" s="249">
        <f t="shared" si="129"/>
        <v>55509</v>
      </c>
      <c r="AE59" s="249">
        <f t="shared" si="129"/>
        <v>55778</v>
      </c>
      <c r="AF59" s="249">
        <f t="shared" si="129"/>
        <v>58672</v>
      </c>
      <c r="AG59" s="249">
        <f t="shared" si="129"/>
        <v>55674</v>
      </c>
      <c r="AH59" s="249">
        <f t="shared" si="129"/>
        <v>55763</v>
      </c>
      <c r="AI59" s="249">
        <f t="shared" si="129"/>
        <v>52035</v>
      </c>
      <c r="AJ59" s="249">
        <f t="shared" si="129"/>
        <v>51491</v>
      </c>
      <c r="AK59" s="249">
        <f t="shared" si="129"/>
        <v>51825</v>
      </c>
      <c r="AL59" s="249">
        <f t="shared" si="129"/>
        <v>52220</v>
      </c>
    </row>
    <row r="60" spans="1:38" ht="13">
      <c r="A60" s="268"/>
      <c r="B60" s="269">
        <v>586</v>
      </c>
      <c r="C60" s="249" t="s">
        <v>338</v>
      </c>
      <c r="D60" s="350">
        <f t="shared" ref="D60:O60" si="144">ROUND(D$2*D124/D$70,0)</f>
        <v>44933</v>
      </c>
      <c r="E60" s="350">
        <f t="shared" si="144"/>
        <v>44642</v>
      </c>
      <c r="F60" s="350">
        <f t="shared" si="144"/>
        <v>47199</v>
      </c>
      <c r="G60" s="350">
        <f t="shared" si="144"/>
        <v>52486</v>
      </c>
      <c r="H60" s="350">
        <f t="shared" si="144"/>
        <v>49355</v>
      </c>
      <c r="I60" s="350">
        <f t="shared" si="144"/>
        <v>47925</v>
      </c>
      <c r="J60" s="350">
        <f t="shared" si="144"/>
        <v>49234</v>
      </c>
      <c r="K60" s="350">
        <f t="shared" si="144"/>
        <v>50249</v>
      </c>
      <c r="L60" s="350">
        <f t="shared" si="144"/>
        <v>52184</v>
      </c>
      <c r="M60" s="350">
        <f t="shared" si="144"/>
        <v>49186</v>
      </c>
      <c r="N60" s="350">
        <f t="shared" si="144"/>
        <v>51101</v>
      </c>
      <c r="O60" s="350">
        <f t="shared" si="144"/>
        <v>49773</v>
      </c>
      <c r="P60" s="712">
        <f>ROUND(P$2*P124/P$70,0)</f>
        <v>49469</v>
      </c>
      <c r="Q60" s="712">
        <f t="shared" ref="Q60:Y60" si="145">ROUND(Q$2*Q124/Q$70,0)</f>
        <v>47654</v>
      </c>
      <c r="R60" s="712">
        <f t="shared" si="145"/>
        <v>48182</v>
      </c>
      <c r="S60" s="712">
        <f t="shared" si="145"/>
        <v>48019</v>
      </c>
      <c r="T60" s="712">
        <f t="shared" si="145"/>
        <v>47614</v>
      </c>
      <c r="U60" s="525">
        <f t="shared" si="145"/>
        <v>45981</v>
      </c>
      <c r="V60" s="525">
        <f t="shared" si="145"/>
        <v>45193</v>
      </c>
      <c r="W60" s="525">
        <f t="shared" si="145"/>
        <v>41988</v>
      </c>
      <c r="X60" s="525">
        <f t="shared" si="145"/>
        <v>40287</v>
      </c>
      <c r="Y60" s="525">
        <f t="shared" si="145"/>
        <v>39554</v>
      </c>
      <c r="Z60" s="249">
        <f t="shared" si="58"/>
        <v>38761</v>
      </c>
      <c r="AA60" s="249">
        <f t="shared" si="129"/>
        <v>38862</v>
      </c>
      <c r="AB60" s="249">
        <f t="shared" si="129"/>
        <v>43926</v>
      </c>
      <c r="AC60" s="249">
        <f t="shared" si="129"/>
        <v>44329</v>
      </c>
      <c r="AD60" s="249">
        <f t="shared" si="129"/>
        <v>51252</v>
      </c>
      <c r="AE60" s="249">
        <f t="shared" si="129"/>
        <v>43689</v>
      </c>
      <c r="AF60" s="249">
        <f t="shared" si="129"/>
        <v>47214</v>
      </c>
      <c r="AG60" s="249">
        <f t="shared" si="129"/>
        <v>47852</v>
      </c>
      <c r="AH60" s="249">
        <f t="shared" si="129"/>
        <v>47299</v>
      </c>
      <c r="AI60" s="249">
        <f t="shared" si="129"/>
        <v>43845</v>
      </c>
      <c r="AJ60" s="249">
        <f t="shared" si="129"/>
        <v>44004</v>
      </c>
      <c r="AK60" s="249">
        <f t="shared" si="129"/>
        <v>42772</v>
      </c>
      <c r="AL60" s="249">
        <f t="shared" si="129"/>
        <v>44643</v>
      </c>
    </row>
    <row r="61" spans="1:38" ht="13">
      <c r="A61" s="267" t="s">
        <v>346</v>
      </c>
      <c r="B61" s="249">
        <v>8</v>
      </c>
      <c r="C61" s="270" t="s">
        <v>211</v>
      </c>
      <c r="D61" s="349">
        <f>SUM(D62:D63)</f>
        <v>327297</v>
      </c>
      <c r="E61" s="349">
        <f t="shared" ref="E61:N61" si="146">SUM(E62:E63)</f>
        <v>341159</v>
      </c>
      <c r="F61" s="349">
        <f t="shared" si="146"/>
        <v>357195</v>
      </c>
      <c r="G61" s="349">
        <f t="shared" si="146"/>
        <v>369258</v>
      </c>
      <c r="H61" s="349">
        <f t="shared" si="146"/>
        <v>387328</v>
      </c>
      <c r="I61" s="349">
        <f t="shared" si="146"/>
        <v>407762</v>
      </c>
      <c r="J61" s="349">
        <f t="shared" si="146"/>
        <v>407629</v>
      </c>
      <c r="K61" s="349">
        <f t="shared" si="146"/>
        <v>378945</v>
      </c>
      <c r="L61" s="349">
        <f t="shared" si="146"/>
        <v>376194</v>
      </c>
      <c r="M61" s="349">
        <f t="shared" si="146"/>
        <v>359657</v>
      </c>
      <c r="N61" s="349">
        <f t="shared" si="146"/>
        <v>378601</v>
      </c>
      <c r="O61" s="349">
        <f>SUM(O62:O63)</f>
        <v>378280</v>
      </c>
      <c r="P61" s="710">
        <f>SUM(P62:P63)</f>
        <v>405637</v>
      </c>
      <c r="Q61" s="710">
        <f t="shared" ref="Q61:Y61" si="147">SUM(Q62:Q63)</f>
        <v>403599</v>
      </c>
      <c r="R61" s="710">
        <f t="shared" si="147"/>
        <v>398762</v>
      </c>
      <c r="S61" s="710">
        <f t="shared" si="147"/>
        <v>392716</v>
      </c>
      <c r="T61" s="710">
        <f t="shared" si="147"/>
        <v>391710</v>
      </c>
      <c r="U61" s="465">
        <f t="shared" si="147"/>
        <v>394597</v>
      </c>
      <c r="V61" s="465">
        <f t="shared" si="147"/>
        <v>411175</v>
      </c>
      <c r="W61" s="465">
        <f t="shared" si="147"/>
        <v>377214</v>
      </c>
      <c r="X61" s="465">
        <f t="shared" si="147"/>
        <v>357061</v>
      </c>
      <c r="Y61" s="465">
        <f t="shared" si="147"/>
        <v>373206</v>
      </c>
      <c r="Z61" s="249">
        <f t="shared" si="58"/>
        <v>366777</v>
      </c>
      <c r="AA61" s="249">
        <f t="shared" si="129"/>
        <v>295698</v>
      </c>
      <c r="AB61" s="249">
        <f t="shared" si="129"/>
        <v>412702</v>
      </c>
      <c r="AC61" s="249">
        <f t="shared" si="129"/>
        <v>398133</v>
      </c>
      <c r="AD61" s="249">
        <f t="shared" si="129"/>
        <v>418714</v>
      </c>
      <c r="AE61" s="249">
        <f t="shared" si="129"/>
        <v>422068</v>
      </c>
      <c r="AF61" s="249">
        <f t="shared" si="129"/>
        <v>426654</v>
      </c>
      <c r="AG61" s="249">
        <f t="shared" si="129"/>
        <v>438341</v>
      </c>
      <c r="AH61" s="249">
        <f t="shared" si="129"/>
        <v>472616</v>
      </c>
      <c r="AI61" s="249">
        <f t="shared" si="129"/>
        <v>446621</v>
      </c>
      <c r="AJ61" s="249">
        <f t="shared" si="129"/>
        <v>454129</v>
      </c>
      <c r="AK61" s="249">
        <f t="shared" si="129"/>
        <v>454813</v>
      </c>
      <c r="AL61" s="249">
        <f t="shared" si="129"/>
        <v>460281</v>
      </c>
    </row>
    <row r="62" spans="1:38" ht="13">
      <c r="A62" s="267"/>
      <c r="B62" s="249">
        <v>221</v>
      </c>
      <c r="C62" s="249" t="s">
        <v>1149</v>
      </c>
      <c r="D62" s="350">
        <f t="shared" ref="D62:O62" si="148">ROUND(D$2*D126/D$70,0)</f>
        <v>113278</v>
      </c>
      <c r="E62" s="350">
        <f t="shared" si="148"/>
        <v>120455</v>
      </c>
      <c r="F62" s="350">
        <f t="shared" si="148"/>
        <v>135389</v>
      </c>
      <c r="G62" s="350">
        <f t="shared" si="148"/>
        <v>145866</v>
      </c>
      <c r="H62" s="350">
        <f t="shared" si="148"/>
        <v>161257</v>
      </c>
      <c r="I62" s="350">
        <f t="shared" si="148"/>
        <v>172220</v>
      </c>
      <c r="J62" s="350">
        <f t="shared" si="148"/>
        <v>176813</v>
      </c>
      <c r="K62" s="350">
        <f t="shared" si="148"/>
        <v>152071</v>
      </c>
      <c r="L62" s="350">
        <f t="shared" si="148"/>
        <v>146030</v>
      </c>
      <c r="M62" s="350">
        <f t="shared" si="148"/>
        <v>136927</v>
      </c>
      <c r="N62" s="350">
        <f t="shared" si="148"/>
        <v>143447</v>
      </c>
      <c r="O62" s="350">
        <f t="shared" si="148"/>
        <v>148201</v>
      </c>
      <c r="P62" s="710">
        <f>ROUND(P$2*P126/P$70,0)</f>
        <v>158259</v>
      </c>
      <c r="Q62" s="710">
        <f t="shared" ref="Q62:Y62" si="149">ROUND(Q$2*Q126/Q$70,0)</f>
        <v>156564</v>
      </c>
      <c r="R62" s="710">
        <f t="shared" si="149"/>
        <v>155738</v>
      </c>
      <c r="S62" s="710">
        <f t="shared" si="149"/>
        <v>145889</v>
      </c>
      <c r="T62" s="710">
        <f t="shared" si="149"/>
        <v>149065</v>
      </c>
      <c r="U62" s="465">
        <f t="shared" si="149"/>
        <v>152753</v>
      </c>
      <c r="V62" s="465">
        <f t="shared" si="149"/>
        <v>156099</v>
      </c>
      <c r="W62" s="465">
        <f t="shared" si="149"/>
        <v>147944</v>
      </c>
      <c r="X62" s="465">
        <f t="shared" si="149"/>
        <v>143433</v>
      </c>
      <c r="Y62" s="465">
        <f t="shared" si="149"/>
        <v>150523</v>
      </c>
      <c r="Z62" s="249">
        <f t="shared" si="58"/>
        <v>119196</v>
      </c>
      <c r="AA62" s="249">
        <f t="shared" si="129"/>
        <v>51826</v>
      </c>
      <c r="AB62" s="249">
        <f t="shared" si="129"/>
        <v>152079</v>
      </c>
      <c r="AC62" s="249">
        <f t="shared" si="129"/>
        <v>147919</v>
      </c>
      <c r="AD62" s="249">
        <f t="shared" si="129"/>
        <v>158335</v>
      </c>
      <c r="AE62" s="249">
        <f t="shared" si="129"/>
        <v>160986</v>
      </c>
      <c r="AF62" s="249">
        <f t="shared" si="129"/>
        <v>167051</v>
      </c>
      <c r="AG62" s="249">
        <f t="shared" si="129"/>
        <v>183003</v>
      </c>
      <c r="AH62" s="249">
        <f t="shared" si="129"/>
        <v>215529</v>
      </c>
      <c r="AI62" s="249">
        <f t="shared" si="129"/>
        <v>202952</v>
      </c>
      <c r="AJ62" s="249">
        <f t="shared" si="129"/>
        <v>197358</v>
      </c>
      <c r="AK62" s="249">
        <f t="shared" si="129"/>
        <v>199674</v>
      </c>
      <c r="AL62" s="249">
        <f t="shared" si="129"/>
        <v>205011</v>
      </c>
    </row>
    <row r="63" spans="1:38" ht="13">
      <c r="A63" s="267"/>
      <c r="B63" s="249">
        <v>223</v>
      </c>
      <c r="C63" s="269" t="s">
        <v>223</v>
      </c>
      <c r="D63" s="402">
        <f t="shared" ref="D63:O63" si="150">ROUND(D$2*D127/D$70,0)</f>
        <v>214019</v>
      </c>
      <c r="E63" s="402">
        <f t="shared" si="150"/>
        <v>220704</v>
      </c>
      <c r="F63" s="402">
        <f t="shared" si="150"/>
        <v>221806</v>
      </c>
      <c r="G63" s="402">
        <f t="shared" si="150"/>
        <v>223392</v>
      </c>
      <c r="H63" s="402">
        <f t="shared" si="150"/>
        <v>226071</v>
      </c>
      <c r="I63" s="402">
        <f t="shared" si="150"/>
        <v>235542</v>
      </c>
      <c r="J63" s="402">
        <f t="shared" si="150"/>
        <v>230816</v>
      </c>
      <c r="K63" s="402">
        <f t="shared" si="150"/>
        <v>226874</v>
      </c>
      <c r="L63" s="402">
        <f t="shared" si="150"/>
        <v>230164</v>
      </c>
      <c r="M63" s="402">
        <f t="shared" si="150"/>
        <v>222730</v>
      </c>
      <c r="N63" s="402">
        <f t="shared" si="150"/>
        <v>235154</v>
      </c>
      <c r="O63" s="402">
        <f t="shared" si="150"/>
        <v>230079</v>
      </c>
      <c r="P63" s="710">
        <f>ROUND(P$2*P127/P$70,0)</f>
        <v>247378</v>
      </c>
      <c r="Q63" s="710">
        <f t="shared" ref="Q63:Y63" si="151">ROUND(Q$2*Q127/Q$70,0)</f>
        <v>247035</v>
      </c>
      <c r="R63" s="710">
        <f t="shared" si="151"/>
        <v>243024</v>
      </c>
      <c r="S63" s="710">
        <f t="shared" si="151"/>
        <v>246827</v>
      </c>
      <c r="T63" s="710">
        <f t="shared" si="151"/>
        <v>242645</v>
      </c>
      <c r="U63" s="465">
        <f t="shared" si="151"/>
        <v>241844</v>
      </c>
      <c r="V63" s="465">
        <f t="shared" si="151"/>
        <v>255076</v>
      </c>
      <c r="W63" s="465">
        <f t="shared" si="151"/>
        <v>229270</v>
      </c>
      <c r="X63" s="465">
        <f t="shared" si="151"/>
        <v>213628</v>
      </c>
      <c r="Y63" s="465">
        <f t="shared" si="151"/>
        <v>222683</v>
      </c>
      <c r="Z63" s="249">
        <f t="shared" si="58"/>
        <v>247581</v>
      </c>
      <c r="AA63" s="249">
        <f t="shared" si="129"/>
        <v>243872</v>
      </c>
      <c r="AB63" s="249">
        <f t="shared" si="129"/>
        <v>260623</v>
      </c>
      <c r="AC63" s="249">
        <f t="shared" si="129"/>
        <v>250214</v>
      </c>
      <c r="AD63" s="249">
        <f t="shared" si="129"/>
        <v>260379</v>
      </c>
      <c r="AE63" s="249">
        <f t="shared" si="129"/>
        <v>261082</v>
      </c>
      <c r="AF63" s="249">
        <f t="shared" si="129"/>
        <v>259603</v>
      </c>
      <c r="AG63" s="249">
        <f t="shared" si="129"/>
        <v>255338</v>
      </c>
      <c r="AH63" s="249">
        <f t="shared" si="129"/>
        <v>257087</v>
      </c>
      <c r="AI63" s="249">
        <f t="shared" si="129"/>
        <v>243669</v>
      </c>
      <c r="AJ63" s="249">
        <f t="shared" si="129"/>
        <v>256771</v>
      </c>
      <c r="AK63" s="249">
        <f t="shared" si="129"/>
        <v>255139</v>
      </c>
      <c r="AL63" s="249">
        <f t="shared" si="129"/>
        <v>255270</v>
      </c>
    </row>
    <row r="64" spans="1:38" ht="13">
      <c r="A64" s="273" t="s">
        <v>344</v>
      </c>
      <c r="B64" s="270">
        <v>9</v>
      </c>
      <c r="C64" s="270" t="s">
        <v>212</v>
      </c>
      <c r="D64" s="349">
        <f>SUM(D65:D67)</f>
        <v>496450</v>
      </c>
      <c r="E64" s="349">
        <f t="shared" ref="E64:N64" si="152">SUM(E65:E67)</f>
        <v>512837</v>
      </c>
      <c r="F64" s="349">
        <f t="shared" si="152"/>
        <v>514178</v>
      </c>
      <c r="G64" s="349">
        <f t="shared" si="152"/>
        <v>544743</v>
      </c>
      <c r="H64" s="349">
        <f t="shared" si="152"/>
        <v>542845</v>
      </c>
      <c r="I64" s="349">
        <f t="shared" si="152"/>
        <v>556999</v>
      </c>
      <c r="J64" s="349">
        <f t="shared" si="152"/>
        <v>566536</v>
      </c>
      <c r="K64" s="349">
        <f t="shared" si="152"/>
        <v>585191</v>
      </c>
      <c r="L64" s="349">
        <f t="shared" si="152"/>
        <v>556201</v>
      </c>
      <c r="M64" s="349">
        <f t="shared" si="152"/>
        <v>548284</v>
      </c>
      <c r="N64" s="349">
        <f t="shared" si="152"/>
        <v>550004</v>
      </c>
      <c r="O64" s="349">
        <f>SUM(O65:O67)</f>
        <v>525491</v>
      </c>
      <c r="P64" s="709">
        <f>SUM(P65:P67)</f>
        <v>565149</v>
      </c>
      <c r="Q64" s="709">
        <f t="shared" ref="Q64:Y64" si="153">SUM(Q65:Q67)</f>
        <v>548631</v>
      </c>
      <c r="R64" s="709">
        <f t="shared" si="153"/>
        <v>519837</v>
      </c>
      <c r="S64" s="709">
        <f t="shared" si="153"/>
        <v>512525</v>
      </c>
      <c r="T64" s="709">
        <f t="shared" si="153"/>
        <v>507259</v>
      </c>
      <c r="U64" s="464">
        <f t="shared" si="153"/>
        <v>500905</v>
      </c>
      <c r="V64" s="464">
        <f t="shared" si="153"/>
        <v>498564</v>
      </c>
      <c r="W64" s="464">
        <f t="shared" si="153"/>
        <v>476416</v>
      </c>
      <c r="X64" s="464">
        <f t="shared" si="153"/>
        <v>458119</v>
      </c>
      <c r="Y64" s="464">
        <f t="shared" si="153"/>
        <v>476932</v>
      </c>
      <c r="Z64" s="249">
        <f t="shared" si="58"/>
        <v>455257</v>
      </c>
      <c r="AA64" s="249">
        <f t="shared" si="129"/>
        <v>453656</v>
      </c>
      <c r="AB64" s="249">
        <f t="shared" si="129"/>
        <v>464902</v>
      </c>
      <c r="AC64" s="249">
        <f t="shared" si="129"/>
        <v>451446</v>
      </c>
      <c r="AD64" s="249">
        <f t="shared" si="129"/>
        <v>465574</v>
      </c>
      <c r="AE64" s="249">
        <f t="shared" si="129"/>
        <v>469874</v>
      </c>
      <c r="AF64" s="249">
        <f t="shared" si="129"/>
        <v>467903</v>
      </c>
      <c r="AG64" s="249">
        <f t="shared" si="129"/>
        <v>464893</v>
      </c>
      <c r="AH64" s="249">
        <f t="shared" si="129"/>
        <v>466919</v>
      </c>
      <c r="AI64" s="249">
        <f t="shared" si="129"/>
        <v>435297</v>
      </c>
      <c r="AJ64" s="249">
        <f t="shared" si="129"/>
        <v>446308</v>
      </c>
      <c r="AK64" s="249">
        <f t="shared" si="129"/>
        <v>465571</v>
      </c>
      <c r="AL64" s="249">
        <f t="shared" si="129"/>
        <v>478816</v>
      </c>
    </row>
    <row r="65" spans="1:39" ht="13">
      <c r="A65" s="267"/>
      <c r="B65" s="249">
        <v>205</v>
      </c>
      <c r="C65" s="249" t="s">
        <v>339</v>
      </c>
      <c r="D65" s="350">
        <f t="shared" ref="D65:O65" si="154">ROUND(D$2*D129/D$70,0)</f>
        <v>207601</v>
      </c>
      <c r="E65" s="350">
        <f t="shared" si="154"/>
        <v>213065</v>
      </c>
      <c r="F65" s="350">
        <f t="shared" si="154"/>
        <v>209148</v>
      </c>
      <c r="G65" s="350">
        <f t="shared" si="154"/>
        <v>219537</v>
      </c>
      <c r="H65" s="350">
        <f t="shared" si="154"/>
        <v>227789</v>
      </c>
      <c r="I65" s="350">
        <f t="shared" si="154"/>
        <v>225110</v>
      </c>
      <c r="J65" s="350">
        <f t="shared" si="154"/>
        <v>225279</v>
      </c>
      <c r="K65" s="350">
        <f t="shared" si="154"/>
        <v>237933</v>
      </c>
      <c r="L65" s="350">
        <f t="shared" si="154"/>
        <v>224049</v>
      </c>
      <c r="M65" s="350">
        <f t="shared" si="154"/>
        <v>223028</v>
      </c>
      <c r="N65" s="350">
        <f t="shared" si="154"/>
        <v>236317</v>
      </c>
      <c r="O65" s="350">
        <f t="shared" si="154"/>
        <v>219624</v>
      </c>
      <c r="P65" s="710">
        <f>ROUND(P$2*P129/P$70,0)</f>
        <v>235530</v>
      </c>
      <c r="Q65" s="710">
        <f t="shared" ref="Q65:Y65" si="155">ROUND(Q$2*Q129/Q$70,0)</f>
        <v>219010</v>
      </c>
      <c r="R65" s="710">
        <f t="shared" si="155"/>
        <v>198163</v>
      </c>
      <c r="S65" s="710">
        <f t="shared" si="155"/>
        <v>198985</v>
      </c>
      <c r="T65" s="710">
        <f t="shared" si="155"/>
        <v>202437</v>
      </c>
      <c r="U65" s="465">
        <f t="shared" si="155"/>
        <v>199564</v>
      </c>
      <c r="V65" s="465">
        <f t="shared" si="155"/>
        <v>193678</v>
      </c>
      <c r="W65" s="465">
        <f t="shared" si="155"/>
        <v>179960</v>
      </c>
      <c r="X65" s="465">
        <f t="shared" si="155"/>
        <v>176620</v>
      </c>
      <c r="Y65" s="465">
        <f t="shared" si="155"/>
        <v>182729</v>
      </c>
      <c r="Z65" s="249">
        <f t="shared" si="58"/>
        <v>160767</v>
      </c>
      <c r="AA65" s="249">
        <f t="shared" si="129"/>
        <v>159975</v>
      </c>
      <c r="AB65" s="249">
        <f t="shared" si="129"/>
        <v>163582</v>
      </c>
      <c r="AC65" s="249">
        <f t="shared" si="129"/>
        <v>157431</v>
      </c>
      <c r="AD65" s="249">
        <f t="shared" si="129"/>
        <v>166534</v>
      </c>
      <c r="AE65" s="249">
        <f t="shared" si="129"/>
        <v>159754</v>
      </c>
      <c r="AF65" s="249">
        <f t="shared" si="129"/>
        <v>159126</v>
      </c>
      <c r="AG65" s="249">
        <f t="shared" si="129"/>
        <v>157933</v>
      </c>
      <c r="AH65" s="249">
        <f t="shared" si="129"/>
        <v>156777</v>
      </c>
      <c r="AI65" s="249">
        <f t="shared" si="129"/>
        <v>146403</v>
      </c>
      <c r="AJ65" s="249">
        <f t="shared" si="129"/>
        <v>152213</v>
      </c>
      <c r="AK65" s="249">
        <f t="shared" si="129"/>
        <v>164046</v>
      </c>
      <c r="AL65" s="249">
        <f t="shared" si="129"/>
        <v>167283</v>
      </c>
    </row>
    <row r="66" spans="1:39" ht="13">
      <c r="A66" s="267"/>
      <c r="B66" s="249">
        <v>224</v>
      </c>
      <c r="C66" s="249" t="s">
        <v>224</v>
      </c>
      <c r="D66" s="350">
        <f t="shared" ref="D66:O66" si="156">ROUND(D$2*D130/D$70,0)</f>
        <v>157870</v>
      </c>
      <c r="E66" s="350">
        <f t="shared" si="156"/>
        <v>162573</v>
      </c>
      <c r="F66" s="350">
        <f t="shared" si="156"/>
        <v>165270</v>
      </c>
      <c r="G66" s="350">
        <f t="shared" si="156"/>
        <v>181056</v>
      </c>
      <c r="H66" s="350">
        <f t="shared" si="156"/>
        <v>177379</v>
      </c>
      <c r="I66" s="350">
        <f t="shared" si="156"/>
        <v>174701</v>
      </c>
      <c r="J66" s="350">
        <f t="shared" si="156"/>
        <v>181763</v>
      </c>
      <c r="K66" s="350">
        <f t="shared" si="156"/>
        <v>177587</v>
      </c>
      <c r="L66" s="350">
        <f t="shared" si="156"/>
        <v>176689</v>
      </c>
      <c r="M66" s="350">
        <f t="shared" si="156"/>
        <v>164626</v>
      </c>
      <c r="N66" s="350">
        <f t="shared" si="156"/>
        <v>169282</v>
      </c>
      <c r="O66" s="350">
        <f t="shared" si="156"/>
        <v>164935</v>
      </c>
      <c r="P66" s="710">
        <f>ROUND(P$2*P130/P$70,0)</f>
        <v>174552</v>
      </c>
      <c r="Q66" s="710">
        <f t="shared" ref="Q66:Y66" si="157">ROUND(Q$2*Q130/Q$70,0)</f>
        <v>177284</v>
      </c>
      <c r="R66" s="710">
        <f t="shared" si="157"/>
        <v>175576</v>
      </c>
      <c r="S66" s="710">
        <f t="shared" si="157"/>
        <v>168677</v>
      </c>
      <c r="T66" s="710">
        <f t="shared" si="157"/>
        <v>164474</v>
      </c>
      <c r="U66" s="465">
        <f t="shared" si="157"/>
        <v>159931</v>
      </c>
      <c r="V66" s="465">
        <f t="shared" si="157"/>
        <v>159406</v>
      </c>
      <c r="W66" s="465">
        <f t="shared" si="157"/>
        <v>156311</v>
      </c>
      <c r="X66" s="465">
        <f t="shared" si="157"/>
        <v>147436</v>
      </c>
      <c r="Y66" s="465">
        <f t="shared" si="157"/>
        <v>157849</v>
      </c>
      <c r="Z66" s="249">
        <f t="shared" si="58"/>
        <v>158521</v>
      </c>
      <c r="AA66" s="249">
        <f t="shared" si="129"/>
        <v>152248</v>
      </c>
      <c r="AB66" s="249">
        <f t="shared" si="129"/>
        <v>159824</v>
      </c>
      <c r="AC66" s="249">
        <f t="shared" si="129"/>
        <v>156237</v>
      </c>
      <c r="AD66" s="249">
        <f t="shared" si="129"/>
        <v>162026</v>
      </c>
      <c r="AE66" s="249">
        <f t="shared" si="129"/>
        <v>162442</v>
      </c>
      <c r="AF66" s="249">
        <f t="shared" si="129"/>
        <v>163379</v>
      </c>
      <c r="AG66" s="249">
        <f t="shared" si="129"/>
        <v>162094</v>
      </c>
      <c r="AH66" s="249">
        <f t="shared" si="129"/>
        <v>161435</v>
      </c>
      <c r="AI66" s="249">
        <f t="shared" si="129"/>
        <v>148693</v>
      </c>
      <c r="AJ66" s="249">
        <f t="shared" si="129"/>
        <v>146838</v>
      </c>
      <c r="AK66" s="249">
        <f t="shared" si="129"/>
        <v>150390</v>
      </c>
      <c r="AL66" s="249">
        <f t="shared" si="129"/>
        <v>155260</v>
      </c>
    </row>
    <row r="67" spans="1:39" ht="13">
      <c r="A67" s="268"/>
      <c r="B67" s="269">
        <v>226</v>
      </c>
      <c r="C67" s="269" t="s">
        <v>225</v>
      </c>
      <c r="D67" s="402">
        <f>ROUND(D$2*D131/D$70,0)</f>
        <v>130979</v>
      </c>
      <c r="E67" s="402">
        <f t="shared" ref="E67:N67" si="158">ROUND(E$2*E131/E$70,0)</f>
        <v>137199</v>
      </c>
      <c r="F67" s="402">
        <f t="shared" si="158"/>
        <v>139760</v>
      </c>
      <c r="G67" s="402">
        <f t="shared" si="158"/>
        <v>144150</v>
      </c>
      <c r="H67" s="402">
        <f t="shared" si="158"/>
        <v>137677</v>
      </c>
      <c r="I67" s="402">
        <f t="shared" si="158"/>
        <v>157188</v>
      </c>
      <c r="J67" s="402">
        <f t="shared" si="158"/>
        <v>159494</v>
      </c>
      <c r="K67" s="402">
        <f t="shared" si="158"/>
        <v>169671</v>
      </c>
      <c r="L67" s="402">
        <f t="shared" si="158"/>
        <v>155463</v>
      </c>
      <c r="M67" s="402">
        <f t="shared" si="158"/>
        <v>160630</v>
      </c>
      <c r="N67" s="402">
        <f t="shared" si="158"/>
        <v>144405</v>
      </c>
      <c r="O67" s="402">
        <f>ROUND(O$2*O131/O$70,0)</f>
        <v>140932</v>
      </c>
      <c r="P67" s="712">
        <f>ROUND(P$2*P131/P$70,0)</f>
        <v>155067</v>
      </c>
      <c r="Q67" s="712">
        <f t="shared" ref="Q67:Y67" si="159">ROUND(Q$2*Q131/Q$70,0)</f>
        <v>152337</v>
      </c>
      <c r="R67" s="712">
        <f t="shared" si="159"/>
        <v>146098</v>
      </c>
      <c r="S67" s="712">
        <f t="shared" si="159"/>
        <v>144863</v>
      </c>
      <c r="T67" s="712">
        <f t="shared" si="159"/>
        <v>140348</v>
      </c>
      <c r="U67" s="525">
        <f t="shared" si="159"/>
        <v>141410</v>
      </c>
      <c r="V67" s="525">
        <f t="shared" si="159"/>
        <v>145480</v>
      </c>
      <c r="W67" s="525">
        <f t="shared" si="159"/>
        <v>140145</v>
      </c>
      <c r="X67" s="525">
        <f t="shared" si="159"/>
        <v>134063</v>
      </c>
      <c r="Y67" s="525">
        <f t="shared" si="159"/>
        <v>136354</v>
      </c>
      <c r="Z67" s="269">
        <f t="shared" si="58"/>
        <v>135969</v>
      </c>
      <c r="AA67" s="269">
        <f t="shared" si="129"/>
        <v>141433</v>
      </c>
      <c r="AB67" s="269">
        <f t="shared" si="129"/>
        <v>141496</v>
      </c>
      <c r="AC67" s="269">
        <f t="shared" si="129"/>
        <v>137778</v>
      </c>
      <c r="AD67" s="269">
        <f t="shared" si="129"/>
        <v>137014</v>
      </c>
      <c r="AE67" s="269">
        <f t="shared" si="129"/>
        <v>147678</v>
      </c>
      <c r="AF67" s="269">
        <f t="shared" si="129"/>
        <v>145398</v>
      </c>
      <c r="AG67" s="269">
        <f t="shared" si="129"/>
        <v>144866</v>
      </c>
      <c r="AH67" s="269">
        <f t="shared" si="129"/>
        <v>148707</v>
      </c>
      <c r="AI67" s="269">
        <f t="shared" si="129"/>
        <v>140201</v>
      </c>
      <c r="AJ67" s="269">
        <f t="shared" si="129"/>
        <v>147257</v>
      </c>
      <c r="AK67" s="269">
        <f t="shared" si="129"/>
        <v>151135</v>
      </c>
      <c r="AL67" s="269">
        <f t="shared" si="129"/>
        <v>156273</v>
      </c>
    </row>
    <row r="68" spans="1:39">
      <c r="A68" s="240"/>
      <c r="B68" s="240"/>
      <c r="C68" s="240"/>
      <c r="D68" s="240"/>
      <c r="E68" s="274"/>
      <c r="F68" s="274"/>
      <c r="G68" s="274"/>
      <c r="H68" s="274"/>
      <c r="I68" s="274"/>
      <c r="J68" s="274"/>
      <c r="K68" s="274"/>
      <c r="L68" s="274"/>
      <c r="M68" s="274"/>
      <c r="N68" s="274"/>
      <c r="O68" s="274"/>
      <c r="P68" s="713"/>
      <c r="Q68" s="713"/>
      <c r="R68" s="713"/>
      <c r="S68" s="713"/>
      <c r="T68" s="713"/>
      <c r="U68" s="274"/>
      <c r="V68" s="274"/>
      <c r="W68" s="240"/>
      <c r="X68" s="240"/>
      <c r="AE68" s="453"/>
      <c r="AH68" s="240"/>
      <c r="AI68" s="240"/>
      <c r="AJ68" s="240"/>
      <c r="AK68" s="240"/>
      <c r="AL68" s="240"/>
    </row>
    <row r="69" spans="1:39">
      <c r="A69" s="132"/>
      <c r="B69" s="132"/>
      <c r="C69" s="132"/>
      <c r="D69" s="132"/>
      <c r="E69" s="132"/>
      <c r="F69" s="132"/>
      <c r="G69" s="132"/>
      <c r="H69" s="132"/>
      <c r="I69" s="132"/>
      <c r="J69" s="132"/>
      <c r="K69" s="132"/>
      <c r="L69" s="132"/>
      <c r="M69" s="132"/>
      <c r="N69" s="132"/>
      <c r="O69" s="132"/>
      <c r="P69" s="714" t="s">
        <v>1083</v>
      </c>
      <c r="Q69" s="714" t="s">
        <v>1083</v>
      </c>
      <c r="R69" s="714" t="s">
        <v>1083</v>
      </c>
      <c r="S69" s="714" t="s">
        <v>1083</v>
      </c>
      <c r="T69" s="714" t="s">
        <v>1083</v>
      </c>
      <c r="U69" s="75" t="s">
        <v>1230</v>
      </c>
      <c r="AD69" s="75" t="s">
        <v>1120</v>
      </c>
      <c r="AE69" s="453" t="s">
        <v>1120</v>
      </c>
      <c r="AH69" s="240"/>
      <c r="AI69" s="240"/>
      <c r="AJ69" s="240"/>
      <c r="AK69" s="240"/>
      <c r="AL69" s="240"/>
    </row>
    <row r="70" spans="1:39" ht="13">
      <c r="A70" s="267" t="s">
        <v>321</v>
      </c>
      <c r="B70" s="249"/>
      <c r="C70" s="249" t="s">
        <v>322</v>
      </c>
      <c r="D70" s="350">
        <v>19635795</v>
      </c>
      <c r="E70" s="350">
        <v>20001102</v>
      </c>
      <c r="F70" s="350">
        <v>20063722</v>
      </c>
      <c r="G70" s="350">
        <v>20395714</v>
      </c>
      <c r="H70" s="350">
        <v>19966793</v>
      </c>
      <c r="I70" s="350">
        <v>21228355</v>
      </c>
      <c r="J70" s="350">
        <v>21732657</v>
      </c>
      <c r="K70" s="350">
        <v>21193983</v>
      </c>
      <c r="L70" s="350">
        <v>20348388</v>
      </c>
      <c r="M70" s="350">
        <v>20023358</v>
      </c>
      <c r="N70" s="350">
        <v>20381209</v>
      </c>
      <c r="O70" s="350">
        <v>19657402</v>
      </c>
      <c r="P70" s="709">
        <v>19784388</v>
      </c>
      <c r="Q70" s="709">
        <v>19144708</v>
      </c>
      <c r="R70" s="709">
        <v>19285155</v>
      </c>
      <c r="S70" s="709">
        <v>19441327</v>
      </c>
      <c r="T70" s="709">
        <v>19901837</v>
      </c>
      <c r="U70" s="464">
        <v>20501654</v>
      </c>
      <c r="V70" s="464">
        <v>21207935</v>
      </c>
      <c r="W70" s="464">
        <v>20888191</v>
      </c>
      <c r="X70" s="464">
        <v>19517905</v>
      </c>
      <c r="Y70" s="464">
        <v>20926525</v>
      </c>
      <c r="Z70" s="464">
        <v>20641997</v>
      </c>
      <c r="AA70" s="464">
        <v>20585255</v>
      </c>
      <c r="AB70" s="464">
        <v>21339377</v>
      </c>
      <c r="AC70" s="464">
        <v>21092930</v>
      </c>
      <c r="AD70" s="464">
        <v>21764162</v>
      </c>
      <c r="AE70" s="464">
        <v>21938484</v>
      </c>
      <c r="AF70" s="464">
        <v>22281249</v>
      </c>
      <c r="AG70" s="464">
        <v>22230964</v>
      </c>
      <c r="AH70" s="464">
        <v>22373322</v>
      </c>
      <c r="AI70" s="464">
        <v>21583878</v>
      </c>
      <c r="AJ70" s="464">
        <v>22305839</v>
      </c>
      <c r="AK70" s="464">
        <v>22878289</v>
      </c>
      <c r="AL70" s="464">
        <v>22921318</v>
      </c>
      <c r="AM70" s="75" t="s">
        <v>1577</v>
      </c>
    </row>
    <row r="71" spans="1:39" ht="13">
      <c r="A71" s="267"/>
      <c r="B71" s="249">
        <v>100</v>
      </c>
      <c r="C71" s="249" t="s">
        <v>172</v>
      </c>
      <c r="D71" s="350">
        <v>6351099</v>
      </c>
      <c r="E71" s="350">
        <v>6480473</v>
      </c>
      <c r="F71" s="350">
        <v>6588232</v>
      </c>
      <c r="G71" s="350">
        <v>6740215</v>
      </c>
      <c r="H71" s="350">
        <v>6556000</v>
      </c>
      <c r="I71" s="350">
        <v>6895187</v>
      </c>
      <c r="J71" s="350">
        <v>7126232</v>
      </c>
      <c r="K71" s="350">
        <v>6857399</v>
      </c>
      <c r="L71" s="350">
        <v>6666706</v>
      </c>
      <c r="M71" s="350">
        <v>6618114</v>
      </c>
      <c r="N71" s="350">
        <v>6699488</v>
      </c>
      <c r="O71" s="350">
        <v>6533177</v>
      </c>
      <c r="P71" s="710">
        <v>6178208</v>
      </c>
      <c r="Q71" s="710">
        <v>5918298</v>
      </c>
      <c r="R71" s="710">
        <v>5971918</v>
      </c>
      <c r="S71" s="710">
        <v>6001894</v>
      </c>
      <c r="T71" s="710">
        <v>6116619</v>
      </c>
      <c r="U71" s="465">
        <v>6386662</v>
      </c>
      <c r="V71" s="465">
        <v>6593938</v>
      </c>
      <c r="W71" s="465">
        <v>6531582</v>
      </c>
      <c r="X71" s="465">
        <v>6331426</v>
      </c>
      <c r="Y71" s="465">
        <v>6751675</v>
      </c>
      <c r="Z71" s="465">
        <v>6639825</v>
      </c>
      <c r="AA71" s="465">
        <v>6575277</v>
      </c>
      <c r="AB71" s="465">
        <v>6661471</v>
      </c>
      <c r="AC71" s="465">
        <v>6653923</v>
      </c>
      <c r="AD71" s="465">
        <v>6867175</v>
      </c>
      <c r="AE71" s="465">
        <v>6876921</v>
      </c>
      <c r="AF71" s="465">
        <v>6982935</v>
      </c>
      <c r="AG71" s="465">
        <v>6948898</v>
      </c>
      <c r="AH71" s="465">
        <v>7052438</v>
      </c>
      <c r="AI71" s="465">
        <v>6730443</v>
      </c>
      <c r="AJ71" s="465">
        <v>6858498</v>
      </c>
      <c r="AK71" s="465">
        <v>7136502</v>
      </c>
      <c r="AL71" s="465">
        <v>7194583</v>
      </c>
    </row>
    <row r="72" spans="1:39" ht="13">
      <c r="A72" s="267"/>
      <c r="B72" s="249">
        <v>1</v>
      </c>
      <c r="C72" s="249" t="s">
        <v>323</v>
      </c>
      <c r="D72" s="350">
        <v>3295493</v>
      </c>
      <c r="E72" s="350">
        <v>3244932</v>
      </c>
      <c r="F72" s="350">
        <v>3218925</v>
      </c>
      <c r="G72" s="350">
        <v>3179225</v>
      </c>
      <c r="H72" s="350">
        <v>3117638</v>
      </c>
      <c r="I72" s="350">
        <v>3407337</v>
      </c>
      <c r="J72" s="350">
        <v>3432588</v>
      </c>
      <c r="K72" s="350">
        <v>3244686</v>
      </c>
      <c r="L72" s="350">
        <v>2966663</v>
      </c>
      <c r="M72" s="350">
        <v>2830471</v>
      </c>
      <c r="N72" s="350">
        <v>2924190</v>
      </c>
      <c r="O72" s="350">
        <v>2843587</v>
      </c>
      <c r="P72" s="710">
        <v>3022275</v>
      </c>
      <c r="Q72" s="710">
        <v>2848396</v>
      </c>
      <c r="R72" s="710">
        <v>2865039</v>
      </c>
      <c r="S72" s="710">
        <v>2898727</v>
      </c>
      <c r="T72" s="710">
        <v>3009571</v>
      </c>
      <c r="U72" s="465">
        <v>3131716</v>
      </c>
      <c r="V72" s="465">
        <v>3261907</v>
      </c>
      <c r="W72" s="465">
        <v>3153042</v>
      </c>
      <c r="X72" s="465">
        <v>2981059</v>
      </c>
      <c r="Y72" s="465">
        <v>3312417</v>
      </c>
      <c r="Z72" s="465">
        <v>3350389</v>
      </c>
      <c r="AA72" s="465">
        <v>3282530</v>
      </c>
      <c r="AB72" s="465">
        <v>3433560</v>
      </c>
      <c r="AC72" s="465">
        <v>3365087</v>
      </c>
      <c r="AD72" s="465">
        <v>3541195</v>
      </c>
      <c r="AE72" s="465">
        <v>3554025</v>
      </c>
      <c r="AF72" s="465">
        <v>3669939</v>
      </c>
      <c r="AG72" s="465">
        <v>3640991</v>
      </c>
      <c r="AH72" s="465">
        <v>3679482</v>
      </c>
      <c r="AI72" s="465">
        <v>3473285</v>
      </c>
      <c r="AJ72" s="465">
        <v>3648568</v>
      </c>
      <c r="AK72" s="465">
        <v>3687169</v>
      </c>
      <c r="AL72" s="465">
        <v>3734693</v>
      </c>
    </row>
    <row r="73" spans="1:39" ht="13">
      <c r="A73" s="267"/>
      <c r="B73" s="249">
        <v>2</v>
      </c>
      <c r="C73" s="249" t="s">
        <v>324</v>
      </c>
      <c r="D73" s="350">
        <v>1662695</v>
      </c>
      <c r="E73" s="350">
        <v>1683738</v>
      </c>
      <c r="F73" s="350">
        <v>1689608</v>
      </c>
      <c r="G73" s="350">
        <v>1726523</v>
      </c>
      <c r="H73" s="350">
        <v>1640145</v>
      </c>
      <c r="I73" s="350">
        <v>1810672</v>
      </c>
      <c r="J73" s="350">
        <v>1840292</v>
      </c>
      <c r="K73" s="350">
        <v>1859389</v>
      </c>
      <c r="L73" s="350">
        <v>1815299</v>
      </c>
      <c r="M73" s="350">
        <v>1761879</v>
      </c>
      <c r="N73" s="350">
        <v>1797958</v>
      </c>
      <c r="O73" s="350">
        <v>1755052</v>
      </c>
      <c r="P73" s="710">
        <v>1755025</v>
      </c>
      <c r="Q73" s="710">
        <v>1688937</v>
      </c>
      <c r="R73" s="710">
        <v>1725261</v>
      </c>
      <c r="S73" s="710">
        <v>1763495</v>
      </c>
      <c r="T73" s="710">
        <v>1835033</v>
      </c>
      <c r="U73" s="465">
        <v>1894608</v>
      </c>
      <c r="V73" s="465">
        <v>1946526</v>
      </c>
      <c r="W73" s="465">
        <v>1868619</v>
      </c>
      <c r="X73" s="465">
        <v>1773677</v>
      </c>
      <c r="Y73" s="465">
        <v>1893868</v>
      </c>
      <c r="Z73" s="465">
        <v>1978032</v>
      </c>
      <c r="AA73" s="465">
        <v>2021539</v>
      </c>
      <c r="AB73" s="465">
        <v>2042568</v>
      </c>
      <c r="AC73" s="465">
        <v>1983242</v>
      </c>
      <c r="AD73" s="465">
        <v>2055211</v>
      </c>
      <c r="AE73" s="465">
        <v>2140771</v>
      </c>
      <c r="AF73" s="465">
        <v>2115075</v>
      </c>
      <c r="AG73" s="465">
        <v>2107148</v>
      </c>
      <c r="AH73" s="465">
        <v>2063186</v>
      </c>
      <c r="AI73" s="465">
        <v>2018040</v>
      </c>
      <c r="AJ73" s="465">
        <v>2177625</v>
      </c>
      <c r="AK73" s="465">
        <v>2220509</v>
      </c>
      <c r="AL73" s="465">
        <v>2291123</v>
      </c>
    </row>
    <row r="74" spans="1:39" ht="13">
      <c r="A74" s="267"/>
      <c r="B74" s="249">
        <v>3</v>
      </c>
      <c r="C74" s="249" t="s">
        <v>192</v>
      </c>
      <c r="D74" s="350">
        <v>2517320</v>
      </c>
      <c r="E74" s="350">
        <v>2587911</v>
      </c>
      <c r="F74" s="350">
        <v>2507298</v>
      </c>
      <c r="G74" s="350">
        <v>2526479</v>
      </c>
      <c r="H74" s="350">
        <v>2473573</v>
      </c>
      <c r="I74" s="350">
        <v>2668012</v>
      </c>
      <c r="J74" s="350">
        <v>2712525</v>
      </c>
      <c r="K74" s="350">
        <v>2700545</v>
      </c>
      <c r="L74" s="350">
        <v>2557105</v>
      </c>
      <c r="M74" s="350">
        <v>2531666</v>
      </c>
      <c r="N74" s="350">
        <v>2597590</v>
      </c>
      <c r="O74" s="350">
        <v>2400583</v>
      </c>
      <c r="P74" s="710">
        <v>2505032</v>
      </c>
      <c r="Q74" s="710">
        <v>2515066</v>
      </c>
      <c r="R74" s="710">
        <v>2571832</v>
      </c>
      <c r="S74" s="710">
        <v>2594831</v>
      </c>
      <c r="T74" s="710">
        <v>2673465</v>
      </c>
      <c r="U74" s="465">
        <v>2813002</v>
      </c>
      <c r="V74" s="465">
        <v>2987289</v>
      </c>
      <c r="W74" s="465">
        <v>2989050</v>
      </c>
      <c r="X74" s="465">
        <v>2582059</v>
      </c>
      <c r="Y74" s="465">
        <v>2752668</v>
      </c>
      <c r="Z74" s="465">
        <v>2673197</v>
      </c>
      <c r="AA74" s="465">
        <v>2839950</v>
      </c>
      <c r="AB74" s="465">
        <v>2892211</v>
      </c>
      <c r="AC74" s="465">
        <v>2869315</v>
      </c>
      <c r="AD74" s="465">
        <v>2959810</v>
      </c>
      <c r="AE74" s="465">
        <v>2905924</v>
      </c>
      <c r="AF74" s="465">
        <v>2925883</v>
      </c>
      <c r="AG74" s="465">
        <v>2964550</v>
      </c>
      <c r="AH74" s="465">
        <v>2988965</v>
      </c>
      <c r="AI74" s="465">
        <v>2929006</v>
      </c>
      <c r="AJ74" s="465">
        <v>2922065</v>
      </c>
      <c r="AK74" s="465">
        <v>3125410</v>
      </c>
      <c r="AL74" s="465">
        <v>3009430</v>
      </c>
    </row>
    <row r="75" spans="1:39" ht="13">
      <c r="A75" s="267"/>
      <c r="B75" s="249">
        <v>4</v>
      </c>
      <c r="C75" s="249" t="s">
        <v>325</v>
      </c>
      <c r="D75" s="350">
        <v>994875</v>
      </c>
      <c r="E75" s="350">
        <v>1026170</v>
      </c>
      <c r="F75" s="350">
        <v>1011982</v>
      </c>
      <c r="G75" s="350">
        <v>1065241</v>
      </c>
      <c r="H75" s="350">
        <v>1067459</v>
      </c>
      <c r="I75" s="350">
        <v>1119763</v>
      </c>
      <c r="J75" s="350">
        <v>1169297</v>
      </c>
      <c r="K75" s="350">
        <v>1149380</v>
      </c>
      <c r="L75" s="350">
        <v>1114850</v>
      </c>
      <c r="M75" s="350">
        <v>1144873</v>
      </c>
      <c r="N75" s="350">
        <v>1154821</v>
      </c>
      <c r="O75" s="350">
        <v>1138648</v>
      </c>
      <c r="P75" s="710">
        <v>1186603</v>
      </c>
      <c r="Q75" s="710">
        <v>1132665</v>
      </c>
      <c r="R75" s="710">
        <v>1145172</v>
      </c>
      <c r="S75" s="710">
        <v>1152787</v>
      </c>
      <c r="T75" s="710">
        <v>1170962</v>
      </c>
      <c r="U75" s="465">
        <v>1191651</v>
      </c>
      <c r="V75" s="465">
        <v>1221515</v>
      </c>
      <c r="W75" s="465">
        <v>1198607</v>
      </c>
      <c r="X75" s="465">
        <v>1146172</v>
      </c>
      <c r="Y75" s="465">
        <v>1190688</v>
      </c>
      <c r="Z75" s="465">
        <v>1149883</v>
      </c>
      <c r="AA75" s="465">
        <v>1133747</v>
      </c>
      <c r="AB75" s="465">
        <v>1194562</v>
      </c>
      <c r="AC75" s="465">
        <v>1170689</v>
      </c>
      <c r="AD75" s="465">
        <v>1198719</v>
      </c>
      <c r="AE75" s="465">
        <v>1258017</v>
      </c>
      <c r="AF75" s="465">
        <v>1311546</v>
      </c>
      <c r="AG75" s="465">
        <v>1296116</v>
      </c>
      <c r="AH75" s="465">
        <v>1304482</v>
      </c>
      <c r="AI75" s="465">
        <v>1280998</v>
      </c>
      <c r="AJ75" s="465">
        <v>1302930</v>
      </c>
      <c r="AK75" s="465">
        <v>1278266</v>
      </c>
      <c r="AL75" s="465">
        <v>1295760</v>
      </c>
    </row>
    <row r="76" spans="1:39" ht="13">
      <c r="A76" s="267"/>
      <c r="B76" s="249">
        <v>5</v>
      </c>
      <c r="C76" s="249" t="s">
        <v>326</v>
      </c>
      <c r="D76" s="350">
        <v>2517328</v>
      </c>
      <c r="E76" s="350">
        <v>2586757</v>
      </c>
      <c r="F76" s="350">
        <v>2642134</v>
      </c>
      <c r="G76" s="350">
        <v>2615806</v>
      </c>
      <c r="H76" s="350">
        <v>2557534</v>
      </c>
      <c r="I76" s="350">
        <v>2633951</v>
      </c>
      <c r="J76" s="350">
        <v>2705805</v>
      </c>
      <c r="K76" s="350">
        <v>2659852</v>
      </c>
      <c r="L76" s="350">
        <v>2558071</v>
      </c>
      <c r="M76" s="350">
        <v>2463080</v>
      </c>
      <c r="N76" s="350">
        <v>2504580</v>
      </c>
      <c r="O76" s="350">
        <v>2413802</v>
      </c>
      <c r="P76" s="710">
        <v>2410353</v>
      </c>
      <c r="Q76" s="710">
        <v>2369422</v>
      </c>
      <c r="R76" s="710">
        <v>2411442</v>
      </c>
      <c r="S76" s="710">
        <v>2464012</v>
      </c>
      <c r="T76" s="710">
        <v>2546034</v>
      </c>
      <c r="U76" s="465">
        <v>2565099</v>
      </c>
      <c r="V76" s="465">
        <v>2629643</v>
      </c>
      <c r="W76" s="465">
        <v>2708790</v>
      </c>
      <c r="X76" s="465">
        <v>2370256</v>
      </c>
      <c r="Y76" s="465">
        <v>2584373</v>
      </c>
      <c r="Z76" s="465">
        <v>2459071</v>
      </c>
      <c r="AA76" s="465">
        <v>2401066</v>
      </c>
      <c r="AB76" s="465">
        <v>2604440</v>
      </c>
      <c r="AC76" s="465">
        <v>2577285</v>
      </c>
      <c r="AD76" s="465">
        <v>2610540</v>
      </c>
      <c r="AE76" s="465">
        <v>2667693</v>
      </c>
      <c r="AF76" s="465">
        <v>2678688</v>
      </c>
      <c r="AG76" s="465">
        <v>2674020</v>
      </c>
      <c r="AH76" s="465">
        <v>2636461</v>
      </c>
      <c r="AI76" s="465">
        <v>2555353</v>
      </c>
      <c r="AJ76" s="465">
        <v>2786293</v>
      </c>
      <c r="AK76" s="465">
        <v>2841392</v>
      </c>
      <c r="AL76" s="465">
        <v>2800023</v>
      </c>
    </row>
    <row r="77" spans="1:39" ht="13">
      <c r="A77" s="267"/>
      <c r="B77" s="249">
        <v>6</v>
      </c>
      <c r="C77" s="249" t="s">
        <v>327</v>
      </c>
      <c r="D77" s="350">
        <v>891486</v>
      </c>
      <c r="E77" s="350">
        <v>944131</v>
      </c>
      <c r="F77" s="350">
        <v>926151</v>
      </c>
      <c r="G77" s="350">
        <v>983577</v>
      </c>
      <c r="H77" s="350">
        <v>997879</v>
      </c>
      <c r="I77" s="350">
        <v>1068513</v>
      </c>
      <c r="J77" s="350">
        <v>1080117</v>
      </c>
      <c r="K77" s="350">
        <v>1055069</v>
      </c>
      <c r="L77" s="350">
        <v>1037989</v>
      </c>
      <c r="M77" s="350">
        <v>1067910</v>
      </c>
      <c r="N77" s="350">
        <v>1070674</v>
      </c>
      <c r="O77" s="350">
        <v>993822</v>
      </c>
      <c r="P77" s="710">
        <v>1073090</v>
      </c>
      <c r="Q77" s="710">
        <v>1037856</v>
      </c>
      <c r="R77" s="710">
        <v>1017795</v>
      </c>
      <c r="S77" s="710">
        <v>1003783</v>
      </c>
      <c r="T77" s="710">
        <v>995183</v>
      </c>
      <c r="U77" s="465">
        <v>988227</v>
      </c>
      <c r="V77" s="465">
        <v>1013274</v>
      </c>
      <c r="W77" s="465">
        <v>973912</v>
      </c>
      <c r="X77" s="465">
        <v>935893</v>
      </c>
      <c r="Y77" s="465">
        <v>993858</v>
      </c>
      <c r="Z77" s="465">
        <v>985923</v>
      </c>
      <c r="AA77" s="465">
        <v>990496</v>
      </c>
      <c r="AB77" s="465">
        <v>999464</v>
      </c>
      <c r="AC77" s="465">
        <v>1000895</v>
      </c>
      <c r="AD77" s="465">
        <v>1016695</v>
      </c>
      <c r="AE77" s="465">
        <v>1021266</v>
      </c>
      <c r="AF77" s="465">
        <v>1065673</v>
      </c>
      <c r="AG77" s="465">
        <v>1070880</v>
      </c>
      <c r="AH77" s="465">
        <v>1075264</v>
      </c>
      <c r="AI77" s="465">
        <v>1084785</v>
      </c>
      <c r="AJ77" s="465">
        <v>1112726</v>
      </c>
      <c r="AK77" s="465">
        <v>1087411</v>
      </c>
      <c r="AL77" s="465">
        <v>1079374</v>
      </c>
    </row>
    <row r="78" spans="1:39" ht="13">
      <c r="A78" s="267"/>
      <c r="B78" s="249">
        <v>7</v>
      </c>
      <c r="C78" s="249" t="s">
        <v>210</v>
      </c>
      <c r="D78" s="350">
        <v>581752</v>
      </c>
      <c r="E78" s="350">
        <v>592994</v>
      </c>
      <c r="F78" s="350">
        <v>608019</v>
      </c>
      <c r="G78" s="350">
        <v>644647</v>
      </c>
      <c r="H78" s="350">
        <v>626392</v>
      </c>
      <c r="I78" s="350">
        <v>660159</v>
      </c>
      <c r="J78" s="350">
        <v>691636</v>
      </c>
      <c r="K78" s="350">
        <v>703527</v>
      </c>
      <c r="L78" s="350">
        <v>699310</v>
      </c>
      <c r="M78" s="350">
        <v>697424</v>
      </c>
      <c r="N78" s="350">
        <v>703303</v>
      </c>
      <c r="O78" s="350">
        <v>674960</v>
      </c>
      <c r="P78" s="710">
        <v>683016</v>
      </c>
      <c r="Q78" s="710">
        <v>681838</v>
      </c>
      <c r="R78" s="710">
        <v>658097</v>
      </c>
      <c r="S78" s="710">
        <v>656557</v>
      </c>
      <c r="T78" s="710">
        <v>656001</v>
      </c>
      <c r="U78" s="465">
        <v>635187</v>
      </c>
      <c r="V78" s="465">
        <v>644104</v>
      </c>
      <c r="W78" s="465">
        <v>610959</v>
      </c>
      <c r="X78" s="465">
        <v>582183</v>
      </c>
      <c r="Y78" s="465">
        <v>596840</v>
      </c>
      <c r="Z78" s="465">
        <v>583643</v>
      </c>
      <c r="AA78" s="465">
        <v>591296</v>
      </c>
      <c r="AB78" s="465">
        <v>633497</v>
      </c>
      <c r="AC78" s="465">
        <v>622915</v>
      </c>
      <c r="AD78" s="465">
        <v>630529</v>
      </c>
      <c r="AE78" s="465">
        <v>621925</v>
      </c>
      <c r="AF78" s="465">
        <v>636953</v>
      </c>
      <c r="AG78" s="465">
        <v>625127</v>
      </c>
      <c r="AH78" s="465">
        <v>633509</v>
      </c>
      <c r="AI78" s="465">
        <v>630050</v>
      </c>
      <c r="AJ78" s="465">
        <v>596697</v>
      </c>
      <c r="AK78" s="465">
        <v>581246</v>
      </c>
      <c r="AL78" s="465">
        <v>577235</v>
      </c>
    </row>
    <row r="79" spans="1:39" ht="13">
      <c r="A79" s="267"/>
      <c r="B79" s="249">
        <v>8</v>
      </c>
      <c r="C79" s="249" t="s">
        <v>211</v>
      </c>
      <c r="D79" s="350">
        <v>327297</v>
      </c>
      <c r="E79" s="350">
        <v>341159</v>
      </c>
      <c r="F79" s="350">
        <v>357195</v>
      </c>
      <c r="G79" s="350">
        <v>369258</v>
      </c>
      <c r="H79" s="350">
        <v>387328</v>
      </c>
      <c r="I79" s="350">
        <v>407762</v>
      </c>
      <c r="J79" s="350">
        <v>407629</v>
      </c>
      <c r="K79" s="350">
        <v>378945</v>
      </c>
      <c r="L79" s="350">
        <v>376194</v>
      </c>
      <c r="M79" s="350">
        <v>359657</v>
      </c>
      <c r="N79" s="350">
        <v>378601</v>
      </c>
      <c r="O79" s="350">
        <v>378280</v>
      </c>
      <c r="P79" s="710">
        <v>405637</v>
      </c>
      <c r="Q79" s="710">
        <v>403599</v>
      </c>
      <c r="R79" s="710">
        <v>398762</v>
      </c>
      <c r="S79" s="710">
        <v>392716</v>
      </c>
      <c r="T79" s="710">
        <v>391710</v>
      </c>
      <c r="U79" s="465">
        <v>394597</v>
      </c>
      <c r="V79" s="465">
        <v>411175</v>
      </c>
      <c r="W79" s="465">
        <v>377214</v>
      </c>
      <c r="X79" s="465">
        <v>357061</v>
      </c>
      <c r="Y79" s="465">
        <v>373206</v>
      </c>
      <c r="Z79" s="465">
        <v>366777</v>
      </c>
      <c r="AA79" s="465">
        <v>295698</v>
      </c>
      <c r="AB79" s="465">
        <v>412702</v>
      </c>
      <c r="AC79" s="465">
        <v>398133</v>
      </c>
      <c r="AD79" s="465">
        <v>418714</v>
      </c>
      <c r="AE79" s="465">
        <v>422068</v>
      </c>
      <c r="AF79" s="465">
        <v>426654</v>
      </c>
      <c r="AG79" s="465">
        <v>438341</v>
      </c>
      <c r="AH79" s="465">
        <v>472616</v>
      </c>
      <c r="AI79" s="465">
        <v>446621</v>
      </c>
      <c r="AJ79" s="465">
        <v>454129</v>
      </c>
      <c r="AK79" s="465">
        <v>454813</v>
      </c>
      <c r="AL79" s="465">
        <v>460281</v>
      </c>
    </row>
    <row r="80" spans="1:39" ht="13">
      <c r="A80" s="267"/>
      <c r="B80" s="249">
        <v>9</v>
      </c>
      <c r="C80" s="249" t="s">
        <v>212</v>
      </c>
      <c r="D80" s="350">
        <v>496450</v>
      </c>
      <c r="E80" s="350">
        <v>512837</v>
      </c>
      <c r="F80" s="350">
        <v>514178</v>
      </c>
      <c r="G80" s="350">
        <v>544743</v>
      </c>
      <c r="H80" s="350">
        <v>542845</v>
      </c>
      <c r="I80" s="350">
        <v>556999</v>
      </c>
      <c r="J80" s="350">
        <v>566536</v>
      </c>
      <c r="K80" s="350">
        <v>585191</v>
      </c>
      <c r="L80" s="350">
        <v>556201</v>
      </c>
      <c r="M80" s="350">
        <v>548284</v>
      </c>
      <c r="N80" s="350">
        <v>550004</v>
      </c>
      <c r="O80" s="350">
        <v>525491</v>
      </c>
      <c r="P80" s="710">
        <v>565149</v>
      </c>
      <c r="Q80" s="710">
        <v>548631</v>
      </c>
      <c r="R80" s="710">
        <v>519837</v>
      </c>
      <c r="S80" s="710">
        <v>512525</v>
      </c>
      <c r="T80" s="710">
        <v>507259</v>
      </c>
      <c r="U80" s="465">
        <v>500905</v>
      </c>
      <c r="V80" s="465">
        <v>498564</v>
      </c>
      <c r="W80" s="465">
        <v>476416</v>
      </c>
      <c r="X80" s="465">
        <v>458119</v>
      </c>
      <c r="Y80" s="465">
        <v>476932</v>
      </c>
      <c r="Z80" s="465">
        <v>455257</v>
      </c>
      <c r="AA80" s="465">
        <v>453656</v>
      </c>
      <c r="AB80" s="465">
        <v>464902</v>
      </c>
      <c r="AC80" s="465">
        <v>451446</v>
      </c>
      <c r="AD80" s="465">
        <v>465574</v>
      </c>
      <c r="AE80" s="465">
        <v>469874</v>
      </c>
      <c r="AF80" s="465">
        <v>467903</v>
      </c>
      <c r="AG80" s="465">
        <v>464893</v>
      </c>
      <c r="AH80" s="465">
        <v>466919</v>
      </c>
      <c r="AI80" s="465">
        <v>435297</v>
      </c>
      <c r="AJ80" s="465">
        <v>446308</v>
      </c>
      <c r="AK80" s="465">
        <v>465571</v>
      </c>
      <c r="AL80" s="465">
        <v>478816</v>
      </c>
    </row>
    <row r="81" spans="1:39" ht="13">
      <c r="A81" s="268"/>
      <c r="B81" s="269" t="s">
        <v>921</v>
      </c>
      <c r="C81" s="269" t="s">
        <v>11</v>
      </c>
      <c r="D81" s="402"/>
      <c r="E81" s="402"/>
      <c r="F81" s="402"/>
      <c r="G81" s="402"/>
      <c r="H81" s="402"/>
      <c r="I81" s="402"/>
      <c r="J81" s="402"/>
      <c r="K81" s="402"/>
      <c r="L81" s="402"/>
      <c r="M81" s="402"/>
      <c r="N81" s="402"/>
      <c r="O81" s="402"/>
      <c r="P81" s="710" t="s">
        <v>106</v>
      </c>
      <c r="Q81" s="710" t="s">
        <v>106</v>
      </c>
      <c r="R81" s="710" t="s">
        <v>106</v>
      </c>
      <c r="S81" s="710" t="s">
        <v>106</v>
      </c>
      <c r="T81" s="710" t="s">
        <v>106</v>
      </c>
      <c r="U81" s="465"/>
      <c r="V81" s="465"/>
      <c r="W81" s="465"/>
      <c r="X81" s="465"/>
      <c r="Y81" s="465"/>
      <c r="Z81" s="465"/>
      <c r="AA81" s="465"/>
      <c r="AB81" s="465"/>
      <c r="AC81" s="465"/>
      <c r="AD81" s="465"/>
      <c r="AE81" s="465"/>
      <c r="AF81" s="465"/>
      <c r="AG81" s="465"/>
      <c r="AH81" s="465"/>
      <c r="AI81" s="465"/>
      <c r="AJ81" s="465"/>
      <c r="AK81" s="465"/>
      <c r="AL81" s="465"/>
    </row>
    <row r="82" spans="1:39" ht="13">
      <c r="A82" s="271" t="s">
        <v>321</v>
      </c>
      <c r="B82" s="272">
        <v>100</v>
      </c>
      <c r="C82" s="272" t="s">
        <v>172</v>
      </c>
      <c r="D82" s="403">
        <v>6351099</v>
      </c>
      <c r="E82" s="403">
        <v>6480473</v>
      </c>
      <c r="F82" s="403">
        <v>6588232</v>
      </c>
      <c r="G82" s="403">
        <v>6740215</v>
      </c>
      <c r="H82" s="403">
        <v>6556000</v>
      </c>
      <c r="I82" s="403">
        <v>6895187</v>
      </c>
      <c r="J82" s="403">
        <v>7126232</v>
      </c>
      <c r="K82" s="403">
        <v>6857399</v>
      </c>
      <c r="L82" s="403">
        <v>6666706</v>
      </c>
      <c r="M82" s="403">
        <v>6618114</v>
      </c>
      <c r="N82" s="403">
        <v>6699488</v>
      </c>
      <c r="O82" s="403">
        <v>6533177</v>
      </c>
      <c r="P82" s="710">
        <v>6178208</v>
      </c>
      <c r="Q82" s="710">
        <v>5918298</v>
      </c>
      <c r="R82" s="710">
        <v>5971918</v>
      </c>
      <c r="S82" s="710">
        <v>6001894</v>
      </c>
      <c r="T82" s="710">
        <v>6116619</v>
      </c>
      <c r="U82" s="465">
        <v>6386662</v>
      </c>
      <c r="V82" s="465">
        <v>6593938</v>
      </c>
      <c r="W82" s="465">
        <v>6531582</v>
      </c>
      <c r="X82" s="465">
        <v>6331426</v>
      </c>
      <c r="Y82" s="465">
        <v>6751675</v>
      </c>
      <c r="Z82" s="465">
        <v>6639825</v>
      </c>
      <c r="AA82" s="465">
        <v>6575277</v>
      </c>
      <c r="AB82" s="465">
        <v>6661471</v>
      </c>
      <c r="AC82" s="465">
        <v>6653923</v>
      </c>
      <c r="AD82" s="465">
        <v>6867175</v>
      </c>
      <c r="AE82" s="465">
        <v>6876921</v>
      </c>
      <c r="AF82" s="465">
        <v>6982935</v>
      </c>
      <c r="AG82" s="465">
        <v>6948898</v>
      </c>
      <c r="AH82" s="465">
        <v>7052438</v>
      </c>
      <c r="AI82" s="465">
        <v>6730443</v>
      </c>
      <c r="AJ82" s="465">
        <v>6858498</v>
      </c>
      <c r="AK82" s="465">
        <v>7136502</v>
      </c>
      <c r="AL82" s="465">
        <v>7194583</v>
      </c>
    </row>
    <row r="83" spans="1:39" ht="13">
      <c r="A83" s="273" t="s">
        <v>341</v>
      </c>
      <c r="B83" s="270">
        <v>1</v>
      </c>
      <c r="C83" s="270" t="s">
        <v>328</v>
      </c>
      <c r="D83" s="349">
        <v>3295493</v>
      </c>
      <c r="E83" s="349">
        <v>3244932</v>
      </c>
      <c r="F83" s="349">
        <v>3218925</v>
      </c>
      <c r="G83" s="349">
        <v>3179225</v>
      </c>
      <c r="H83" s="349">
        <v>3117638</v>
      </c>
      <c r="I83" s="349">
        <v>3407337</v>
      </c>
      <c r="J83" s="349">
        <v>3432588</v>
      </c>
      <c r="K83" s="349">
        <v>3244686</v>
      </c>
      <c r="L83" s="349">
        <v>2966663</v>
      </c>
      <c r="M83" s="349">
        <v>2830471</v>
      </c>
      <c r="N83" s="349">
        <v>2924190</v>
      </c>
      <c r="O83" s="349">
        <v>2843587</v>
      </c>
      <c r="P83" s="710">
        <v>3022275</v>
      </c>
      <c r="Q83" s="710">
        <v>2848396</v>
      </c>
      <c r="R83" s="710">
        <v>2865039</v>
      </c>
      <c r="S83" s="710">
        <v>2898727</v>
      </c>
      <c r="T83" s="710">
        <v>3009571</v>
      </c>
      <c r="U83" s="465">
        <v>3131716</v>
      </c>
      <c r="V83" s="465">
        <v>3261907</v>
      </c>
      <c r="W83" s="465">
        <v>3153042</v>
      </c>
      <c r="X83" s="465">
        <v>2981059</v>
      </c>
      <c r="Y83" s="465">
        <v>3312417</v>
      </c>
      <c r="Z83" s="465">
        <v>3350389</v>
      </c>
      <c r="AA83" s="465">
        <v>3282530</v>
      </c>
      <c r="AB83" s="465">
        <v>3433560</v>
      </c>
      <c r="AC83" s="465">
        <v>3365087</v>
      </c>
      <c r="AD83" s="465">
        <v>3541195</v>
      </c>
      <c r="AE83" s="465">
        <v>3554025</v>
      </c>
      <c r="AF83" s="465">
        <v>3669939</v>
      </c>
      <c r="AG83" s="465">
        <v>3640991</v>
      </c>
      <c r="AH83" s="465">
        <v>3679482</v>
      </c>
      <c r="AI83" s="465">
        <v>3473285</v>
      </c>
      <c r="AJ83" s="465">
        <v>3648568</v>
      </c>
      <c r="AK83" s="465">
        <v>3687169</v>
      </c>
      <c r="AL83" s="465">
        <v>3734693</v>
      </c>
    </row>
    <row r="84" spans="1:39" ht="13">
      <c r="A84" s="267"/>
      <c r="B84" s="249">
        <v>202</v>
      </c>
      <c r="C84" s="249" t="s">
        <v>183</v>
      </c>
      <c r="D84" s="350">
        <v>1971824</v>
      </c>
      <c r="E84" s="350">
        <v>1957741</v>
      </c>
      <c r="F84" s="350">
        <v>1950802</v>
      </c>
      <c r="G84" s="350">
        <v>1948803</v>
      </c>
      <c r="H84" s="350">
        <v>1912004</v>
      </c>
      <c r="I84" s="350">
        <v>1967884</v>
      </c>
      <c r="J84" s="350">
        <v>1963997</v>
      </c>
      <c r="K84" s="350">
        <v>1871644</v>
      </c>
      <c r="L84" s="350">
        <v>1684113</v>
      </c>
      <c r="M84" s="350">
        <v>1585266</v>
      </c>
      <c r="N84" s="350">
        <v>1653828</v>
      </c>
      <c r="O84" s="350">
        <v>1601457</v>
      </c>
      <c r="P84" s="710">
        <v>1657990</v>
      </c>
      <c r="Q84" s="710">
        <v>1517027</v>
      </c>
      <c r="R84" s="710">
        <v>1512626</v>
      </c>
      <c r="S84" s="710">
        <v>1555716</v>
      </c>
      <c r="T84" s="710">
        <v>1656322</v>
      </c>
      <c r="U84" s="465">
        <v>1762761</v>
      </c>
      <c r="V84" s="465">
        <v>1850624</v>
      </c>
      <c r="W84" s="465">
        <v>1741011</v>
      </c>
      <c r="X84" s="465">
        <v>1633116</v>
      </c>
      <c r="Y84" s="465">
        <v>1857246</v>
      </c>
      <c r="Z84" s="465">
        <v>1809107</v>
      </c>
      <c r="AA84" s="465">
        <v>1752808</v>
      </c>
      <c r="AB84" s="465">
        <v>1818892</v>
      </c>
      <c r="AC84" s="465">
        <v>1805488</v>
      </c>
      <c r="AD84" s="465">
        <v>1893035</v>
      </c>
      <c r="AE84" s="465">
        <v>1929984</v>
      </c>
      <c r="AF84" s="465">
        <v>1995773</v>
      </c>
      <c r="AG84" s="465">
        <v>1971191</v>
      </c>
      <c r="AH84" s="465">
        <v>2002520</v>
      </c>
      <c r="AI84" s="465">
        <v>1851993</v>
      </c>
      <c r="AJ84" s="465">
        <v>1985822</v>
      </c>
      <c r="AK84" s="465">
        <v>2014404</v>
      </c>
      <c r="AL84" s="465">
        <v>2041433</v>
      </c>
    </row>
    <row r="85" spans="1:39" ht="13">
      <c r="A85" s="267"/>
      <c r="B85" s="249">
        <v>204</v>
      </c>
      <c r="C85" s="249" t="s">
        <v>184</v>
      </c>
      <c r="D85" s="350">
        <v>1133439</v>
      </c>
      <c r="E85" s="350">
        <v>1109619</v>
      </c>
      <c r="F85" s="350">
        <v>1103731</v>
      </c>
      <c r="G85" s="350">
        <v>1066035</v>
      </c>
      <c r="H85" s="350">
        <v>1044830</v>
      </c>
      <c r="I85" s="350">
        <v>1238151</v>
      </c>
      <c r="J85" s="350">
        <v>1262293</v>
      </c>
      <c r="K85" s="350">
        <v>1190414</v>
      </c>
      <c r="L85" s="350">
        <v>1097209</v>
      </c>
      <c r="M85" s="350">
        <v>1067346</v>
      </c>
      <c r="N85" s="350">
        <v>1077867</v>
      </c>
      <c r="O85" s="350">
        <v>1050976</v>
      </c>
      <c r="P85" s="710">
        <v>1167880</v>
      </c>
      <c r="Q85" s="710">
        <v>1144336</v>
      </c>
      <c r="R85" s="710">
        <v>1165484</v>
      </c>
      <c r="S85" s="710">
        <v>1150494</v>
      </c>
      <c r="T85" s="710">
        <v>1161855</v>
      </c>
      <c r="U85" s="465">
        <v>1170548</v>
      </c>
      <c r="V85" s="465">
        <v>1210133</v>
      </c>
      <c r="W85" s="465">
        <v>1213526</v>
      </c>
      <c r="X85" s="465">
        <v>1151732</v>
      </c>
      <c r="Y85" s="465">
        <v>1241580</v>
      </c>
      <c r="Z85" s="465">
        <v>1328627</v>
      </c>
      <c r="AA85" s="465">
        <v>1315876</v>
      </c>
      <c r="AB85" s="465">
        <v>1385388</v>
      </c>
      <c r="AC85" s="465">
        <v>1347148</v>
      </c>
      <c r="AD85" s="465">
        <v>1412273</v>
      </c>
      <c r="AE85" s="465">
        <v>1402044</v>
      </c>
      <c r="AF85" s="465">
        <v>1442158</v>
      </c>
      <c r="AG85" s="465">
        <v>1445748</v>
      </c>
      <c r="AH85" s="465">
        <v>1445090</v>
      </c>
      <c r="AI85" s="465">
        <v>1396387</v>
      </c>
      <c r="AJ85" s="465">
        <v>1432546</v>
      </c>
      <c r="AK85" s="465">
        <v>1439922</v>
      </c>
      <c r="AL85" s="465">
        <v>1452254</v>
      </c>
    </row>
    <row r="86" spans="1:39" ht="13">
      <c r="A86" s="268"/>
      <c r="B86" s="269">
        <v>206</v>
      </c>
      <c r="C86" s="269" t="s">
        <v>185</v>
      </c>
      <c r="D86" s="402">
        <v>190230</v>
      </c>
      <c r="E86" s="402">
        <v>177572</v>
      </c>
      <c r="F86" s="402">
        <v>164392</v>
      </c>
      <c r="G86" s="402">
        <v>164387</v>
      </c>
      <c r="H86" s="402">
        <v>160804</v>
      </c>
      <c r="I86" s="402">
        <v>201302</v>
      </c>
      <c r="J86" s="402">
        <v>206298</v>
      </c>
      <c r="K86" s="402">
        <v>182628</v>
      </c>
      <c r="L86" s="402">
        <v>185341</v>
      </c>
      <c r="M86" s="402">
        <v>177859</v>
      </c>
      <c r="N86" s="402">
        <v>192495</v>
      </c>
      <c r="O86" s="402">
        <v>191154</v>
      </c>
      <c r="P86" s="710">
        <v>196405</v>
      </c>
      <c r="Q86" s="710">
        <v>187033</v>
      </c>
      <c r="R86" s="710">
        <v>186929</v>
      </c>
      <c r="S86" s="710">
        <v>192517</v>
      </c>
      <c r="T86" s="710">
        <v>191394</v>
      </c>
      <c r="U86" s="465">
        <v>198407</v>
      </c>
      <c r="V86" s="465">
        <v>201150</v>
      </c>
      <c r="W86" s="465">
        <v>198505</v>
      </c>
      <c r="X86" s="465">
        <v>196211</v>
      </c>
      <c r="Y86" s="465">
        <v>213591</v>
      </c>
      <c r="Z86" s="465">
        <v>212655</v>
      </c>
      <c r="AA86" s="465">
        <v>213846</v>
      </c>
      <c r="AB86" s="465">
        <v>229280</v>
      </c>
      <c r="AC86" s="465">
        <v>212451</v>
      </c>
      <c r="AD86" s="465">
        <v>235887</v>
      </c>
      <c r="AE86" s="465">
        <v>221997</v>
      </c>
      <c r="AF86" s="465">
        <v>232008</v>
      </c>
      <c r="AG86" s="465">
        <v>224052</v>
      </c>
      <c r="AH86" s="465">
        <v>231872</v>
      </c>
      <c r="AI86" s="465">
        <v>224905</v>
      </c>
      <c r="AJ86" s="465">
        <v>230200</v>
      </c>
      <c r="AK86" s="465">
        <v>232843</v>
      </c>
      <c r="AL86" s="465">
        <v>241006</v>
      </c>
    </row>
    <row r="87" spans="1:39" ht="13">
      <c r="A87" s="267" t="s">
        <v>342</v>
      </c>
      <c r="B87" s="249">
        <v>2</v>
      </c>
      <c r="C87" s="249" t="s">
        <v>324</v>
      </c>
      <c r="D87" s="350">
        <v>1662695</v>
      </c>
      <c r="E87" s="350">
        <v>1683738</v>
      </c>
      <c r="F87" s="350">
        <v>1689608</v>
      </c>
      <c r="G87" s="350">
        <v>1726523</v>
      </c>
      <c r="H87" s="350">
        <v>1640145</v>
      </c>
      <c r="I87" s="350">
        <v>1810672</v>
      </c>
      <c r="J87" s="350">
        <v>1840292</v>
      </c>
      <c r="K87" s="350">
        <v>1859389</v>
      </c>
      <c r="L87" s="350">
        <v>1815299</v>
      </c>
      <c r="M87" s="350">
        <v>1761879</v>
      </c>
      <c r="N87" s="350">
        <v>1797958</v>
      </c>
      <c r="O87" s="350">
        <v>1755052</v>
      </c>
      <c r="P87" s="710">
        <v>1755025</v>
      </c>
      <c r="Q87" s="710">
        <v>1688937</v>
      </c>
      <c r="R87" s="710">
        <v>1725261</v>
      </c>
      <c r="S87" s="710">
        <v>1763495</v>
      </c>
      <c r="T87" s="710">
        <v>1835033</v>
      </c>
      <c r="U87" s="465">
        <v>1894608</v>
      </c>
      <c r="V87" s="465">
        <v>1946526</v>
      </c>
      <c r="W87" s="465">
        <v>1868619</v>
      </c>
      <c r="X87" s="465">
        <v>1773677</v>
      </c>
      <c r="Y87" s="465">
        <v>1893868</v>
      </c>
      <c r="Z87" s="465">
        <v>1978032</v>
      </c>
      <c r="AA87" s="465">
        <v>2021539</v>
      </c>
      <c r="AB87" s="465">
        <v>2042568</v>
      </c>
      <c r="AC87" s="465">
        <v>1983242</v>
      </c>
      <c r="AD87" s="465">
        <v>2055211</v>
      </c>
      <c r="AE87" s="465">
        <v>2140771</v>
      </c>
      <c r="AF87" s="465">
        <v>2115075</v>
      </c>
      <c r="AG87" s="465">
        <v>2107148</v>
      </c>
      <c r="AH87" s="465">
        <v>2063186</v>
      </c>
      <c r="AI87" s="465">
        <v>2018040</v>
      </c>
      <c r="AJ87" s="465">
        <v>2177625</v>
      </c>
      <c r="AK87" s="465">
        <v>2220509</v>
      </c>
      <c r="AL87" s="465">
        <v>2291123</v>
      </c>
    </row>
    <row r="88" spans="1:39" ht="13">
      <c r="A88" s="267"/>
      <c r="B88" s="249">
        <v>207</v>
      </c>
      <c r="C88" s="249" t="s">
        <v>187</v>
      </c>
      <c r="D88" s="350">
        <v>662455</v>
      </c>
      <c r="E88" s="350">
        <v>672247</v>
      </c>
      <c r="F88" s="350">
        <v>656543</v>
      </c>
      <c r="G88" s="350">
        <v>650912</v>
      </c>
      <c r="H88" s="350">
        <v>600576</v>
      </c>
      <c r="I88" s="350">
        <v>653436</v>
      </c>
      <c r="J88" s="350">
        <v>660842</v>
      </c>
      <c r="K88" s="350">
        <v>638456</v>
      </c>
      <c r="L88" s="350">
        <v>612247</v>
      </c>
      <c r="M88" s="350">
        <v>584072</v>
      </c>
      <c r="N88" s="350">
        <v>589715</v>
      </c>
      <c r="O88" s="350">
        <v>586714</v>
      </c>
      <c r="P88" s="710">
        <v>586468</v>
      </c>
      <c r="Q88" s="710">
        <v>534805</v>
      </c>
      <c r="R88" s="710">
        <v>547117</v>
      </c>
      <c r="S88" s="710">
        <v>585656</v>
      </c>
      <c r="T88" s="710">
        <v>634157</v>
      </c>
      <c r="U88" s="465">
        <v>660933</v>
      </c>
      <c r="V88" s="465">
        <v>687838</v>
      </c>
      <c r="W88" s="465">
        <v>632838</v>
      </c>
      <c r="X88" s="465">
        <v>570882</v>
      </c>
      <c r="Y88" s="465">
        <v>622521</v>
      </c>
      <c r="Z88" s="465">
        <v>660071</v>
      </c>
      <c r="AA88" s="465">
        <v>659356</v>
      </c>
      <c r="AB88" s="465">
        <v>695901</v>
      </c>
      <c r="AC88" s="465">
        <v>688368</v>
      </c>
      <c r="AD88" s="465">
        <v>695338</v>
      </c>
      <c r="AE88" s="465">
        <v>729629</v>
      </c>
      <c r="AF88" s="465">
        <v>710815</v>
      </c>
      <c r="AG88" s="465">
        <v>706227</v>
      </c>
      <c r="AH88" s="465">
        <v>696428</v>
      </c>
      <c r="AI88" s="465">
        <v>698482</v>
      </c>
      <c r="AJ88" s="465">
        <v>769901</v>
      </c>
      <c r="AK88" s="465">
        <v>767641</v>
      </c>
      <c r="AL88" s="465">
        <v>772124</v>
      </c>
    </row>
    <row r="89" spans="1:39" ht="13">
      <c r="A89" s="267"/>
      <c r="B89" s="249">
        <v>214</v>
      </c>
      <c r="C89" s="249" t="s">
        <v>188</v>
      </c>
      <c r="D89" s="350">
        <v>465334</v>
      </c>
      <c r="E89" s="350">
        <v>427510</v>
      </c>
      <c r="F89" s="350">
        <v>420818</v>
      </c>
      <c r="G89" s="350">
        <v>452687</v>
      </c>
      <c r="H89" s="350">
        <v>418694</v>
      </c>
      <c r="I89" s="350">
        <v>486659</v>
      </c>
      <c r="J89" s="350">
        <v>484561</v>
      </c>
      <c r="K89" s="350">
        <v>471504</v>
      </c>
      <c r="L89" s="350">
        <v>452575</v>
      </c>
      <c r="M89" s="350">
        <v>458867</v>
      </c>
      <c r="N89" s="350">
        <v>457351</v>
      </c>
      <c r="O89" s="350">
        <v>435237</v>
      </c>
      <c r="P89" s="710">
        <v>434181</v>
      </c>
      <c r="Q89" s="710">
        <v>416606</v>
      </c>
      <c r="R89" s="710">
        <v>437352</v>
      </c>
      <c r="S89" s="710">
        <v>437987</v>
      </c>
      <c r="T89" s="710">
        <v>445484</v>
      </c>
      <c r="U89" s="465">
        <v>464466</v>
      </c>
      <c r="V89" s="465">
        <v>453054</v>
      </c>
      <c r="W89" s="465">
        <v>448878</v>
      </c>
      <c r="X89" s="465">
        <v>451773</v>
      </c>
      <c r="Y89" s="465">
        <v>457609</v>
      </c>
      <c r="Z89" s="465">
        <v>465400</v>
      </c>
      <c r="AA89" s="465">
        <v>469714</v>
      </c>
      <c r="AB89" s="465">
        <v>485924</v>
      </c>
      <c r="AC89" s="465">
        <v>474000</v>
      </c>
      <c r="AD89" s="465">
        <v>489033</v>
      </c>
      <c r="AE89" s="465">
        <v>489925</v>
      </c>
      <c r="AF89" s="465">
        <v>494037</v>
      </c>
      <c r="AG89" s="465">
        <v>500646</v>
      </c>
      <c r="AH89" s="465">
        <v>493944</v>
      </c>
      <c r="AI89" s="465">
        <v>473132</v>
      </c>
      <c r="AJ89" s="465">
        <v>490823</v>
      </c>
      <c r="AK89" s="465">
        <v>496638</v>
      </c>
      <c r="AL89" s="465">
        <v>501156</v>
      </c>
      <c r="AM89" s="75" t="s">
        <v>1224</v>
      </c>
    </row>
    <row r="90" spans="1:39" ht="13">
      <c r="A90" s="267"/>
      <c r="B90" s="249">
        <v>217</v>
      </c>
      <c r="C90" s="249" t="s">
        <v>189</v>
      </c>
      <c r="D90" s="350">
        <v>257275</v>
      </c>
      <c r="E90" s="350">
        <v>266327</v>
      </c>
      <c r="F90" s="350">
        <v>279555</v>
      </c>
      <c r="G90" s="350">
        <v>276621</v>
      </c>
      <c r="H90" s="350">
        <v>270300</v>
      </c>
      <c r="I90" s="350">
        <v>297757</v>
      </c>
      <c r="J90" s="350">
        <v>304689</v>
      </c>
      <c r="K90" s="350">
        <v>323448</v>
      </c>
      <c r="L90" s="350">
        <v>314158</v>
      </c>
      <c r="M90" s="350">
        <v>298653</v>
      </c>
      <c r="N90" s="350">
        <v>310804</v>
      </c>
      <c r="O90" s="350">
        <v>314909</v>
      </c>
      <c r="P90" s="710">
        <v>320319</v>
      </c>
      <c r="Q90" s="710">
        <v>307969</v>
      </c>
      <c r="R90" s="710">
        <v>308979</v>
      </c>
      <c r="S90" s="710">
        <v>306584</v>
      </c>
      <c r="T90" s="710">
        <v>310369</v>
      </c>
      <c r="U90" s="465">
        <v>306731</v>
      </c>
      <c r="V90" s="465">
        <v>316573</v>
      </c>
      <c r="W90" s="465">
        <v>307372</v>
      </c>
      <c r="X90" s="465">
        <v>296687</v>
      </c>
      <c r="Y90" s="465">
        <v>317319</v>
      </c>
      <c r="Z90" s="465">
        <v>332681</v>
      </c>
      <c r="AA90" s="465">
        <v>346674</v>
      </c>
      <c r="AB90" s="465">
        <v>336777</v>
      </c>
      <c r="AC90" s="465">
        <v>334818</v>
      </c>
      <c r="AD90" s="465">
        <v>334923</v>
      </c>
      <c r="AE90" s="465">
        <v>341444</v>
      </c>
      <c r="AF90" s="465">
        <v>349370</v>
      </c>
      <c r="AG90" s="465">
        <v>359447</v>
      </c>
      <c r="AH90" s="465">
        <v>355502</v>
      </c>
      <c r="AI90" s="465">
        <v>340728</v>
      </c>
      <c r="AJ90" s="465">
        <v>349077</v>
      </c>
      <c r="AK90" s="465">
        <v>354233</v>
      </c>
      <c r="AL90" s="465">
        <v>359504</v>
      </c>
    </row>
    <row r="91" spans="1:39" ht="13">
      <c r="A91" s="267"/>
      <c r="B91" s="249">
        <v>219</v>
      </c>
      <c r="C91" s="249" t="s">
        <v>190</v>
      </c>
      <c r="D91" s="350">
        <v>233588</v>
      </c>
      <c r="E91" s="350">
        <v>273159</v>
      </c>
      <c r="F91" s="350">
        <v>286550</v>
      </c>
      <c r="G91" s="350">
        <v>299928</v>
      </c>
      <c r="H91" s="350">
        <v>299313</v>
      </c>
      <c r="I91" s="350">
        <v>322101</v>
      </c>
      <c r="J91" s="350">
        <v>339298</v>
      </c>
      <c r="K91" s="350">
        <v>363619</v>
      </c>
      <c r="L91" s="350">
        <v>376858</v>
      </c>
      <c r="M91" s="350">
        <v>362749</v>
      </c>
      <c r="N91" s="350">
        <v>377344</v>
      </c>
      <c r="O91" s="350">
        <v>356244</v>
      </c>
      <c r="P91" s="710">
        <v>357158</v>
      </c>
      <c r="Q91" s="710">
        <v>373232</v>
      </c>
      <c r="R91" s="710">
        <v>371750</v>
      </c>
      <c r="S91" s="710">
        <v>379596</v>
      </c>
      <c r="T91" s="710">
        <v>385121</v>
      </c>
      <c r="U91" s="465">
        <v>398614</v>
      </c>
      <c r="V91" s="465">
        <v>427840</v>
      </c>
      <c r="W91" s="465">
        <v>419325</v>
      </c>
      <c r="X91" s="465">
        <v>395659</v>
      </c>
      <c r="Y91" s="465">
        <v>435750</v>
      </c>
      <c r="Z91" s="465">
        <v>456953</v>
      </c>
      <c r="AA91" s="465">
        <v>483037</v>
      </c>
      <c r="AB91" s="465">
        <v>459440</v>
      </c>
      <c r="AC91" s="465">
        <v>422608</v>
      </c>
      <c r="AD91" s="465">
        <v>470769</v>
      </c>
      <c r="AE91" s="465">
        <v>515670</v>
      </c>
      <c r="AF91" s="465">
        <v>494291</v>
      </c>
      <c r="AG91" s="465">
        <v>477876</v>
      </c>
      <c r="AH91" s="465">
        <v>454217</v>
      </c>
      <c r="AI91" s="465">
        <v>443822</v>
      </c>
      <c r="AJ91" s="465">
        <v>504386</v>
      </c>
      <c r="AK91" s="465">
        <v>538944</v>
      </c>
      <c r="AL91" s="465">
        <v>594214</v>
      </c>
    </row>
    <row r="92" spans="1:39" ht="13">
      <c r="A92" s="267"/>
      <c r="B92" s="249">
        <v>301</v>
      </c>
      <c r="C92" s="249" t="s">
        <v>191</v>
      </c>
      <c r="D92" s="350">
        <v>44043</v>
      </c>
      <c r="E92" s="350">
        <v>44495</v>
      </c>
      <c r="F92" s="350">
        <v>46142</v>
      </c>
      <c r="G92" s="350">
        <v>46375</v>
      </c>
      <c r="H92" s="350">
        <v>51262</v>
      </c>
      <c r="I92" s="350">
        <v>50719</v>
      </c>
      <c r="J92" s="350">
        <v>50902</v>
      </c>
      <c r="K92" s="350">
        <v>62362</v>
      </c>
      <c r="L92" s="350">
        <v>59461</v>
      </c>
      <c r="M92" s="350">
        <v>57538</v>
      </c>
      <c r="N92" s="350">
        <v>62744</v>
      </c>
      <c r="O92" s="350">
        <v>61948</v>
      </c>
      <c r="P92" s="710">
        <v>56899</v>
      </c>
      <c r="Q92" s="710">
        <v>56325</v>
      </c>
      <c r="R92" s="710">
        <v>60063</v>
      </c>
      <c r="S92" s="710">
        <v>53672</v>
      </c>
      <c r="T92" s="710">
        <v>59902</v>
      </c>
      <c r="U92" s="465">
        <v>63864</v>
      </c>
      <c r="V92" s="465">
        <v>61221</v>
      </c>
      <c r="W92" s="465">
        <v>60206</v>
      </c>
      <c r="X92" s="465">
        <v>58676</v>
      </c>
      <c r="Y92" s="465">
        <v>60669</v>
      </c>
      <c r="Z92" s="465">
        <v>62927</v>
      </c>
      <c r="AA92" s="465">
        <v>62758</v>
      </c>
      <c r="AB92" s="465">
        <v>64526</v>
      </c>
      <c r="AC92" s="465">
        <v>63448</v>
      </c>
      <c r="AD92" s="465">
        <v>65148</v>
      </c>
      <c r="AE92" s="465">
        <v>64103</v>
      </c>
      <c r="AF92" s="465">
        <v>66562</v>
      </c>
      <c r="AG92" s="465">
        <v>62952</v>
      </c>
      <c r="AH92" s="465">
        <v>63095</v>
      </c>
      <c r="AI92" s="465">
        <v>61876</v>
      </c>
      <c r="AJ92" s="465">
        <v>63438</v>
      </c>
      <c r="AK92" s="465">
        <v>63053</v>
      </c>
      <c r="AL92" s="465">
        <v>64125</v>
      </c>
    </row>
    <row r="93" spans="1:39" ht="13">
      <c r="A93" s="273" t="s">
        <v>343</v>
      </c>
      <c r="B93" s="270">
        <v>3</v>
      </c>
      <c r="C93" s="270" t="s">
        <v>192</v>
      </c>
      <c r="D93" s="349">
        <v>2517320</v>
      </c>
      <c r="E93" s="349">
        <v>2587911</v>
      </c>
      <c r="F93" s="349">
        <v>2507298</v>
      </c>
      <c r="G93" s="349">
        <v>2526479</v>
      </c>
      <c r="H93" s="349">
        <v>2473573</v>
      </c>
      <c r="I93" s="349">
        <v>2668012</v>
      </c>
      <c r="J93" s="349">
        <v>2712525</v>
      </c>
      <c r="K93" s="349">
        <v>2700545</v>
      </c>
      <c r="L93" s="349">
        <v>2557105</v>
      </c>
      <c r="M93" s="349">
        <v>2531666</v>
      </c>
      <c r="N93" s="349">
        <v>2597590</v>
      </c>
      <c r="O93" s="349">
        <v>2400583</v>
      </c>
      <c r="P93" s="710">
        <v>2505032</v>
      </c>
      <c r="Q93" s="710">
        <v>2515066</v>
      </c>
      <c r="R93" s="710">
        <v>2571832</v>
      </c>
      <c r="S93" s="710">
        <v>2594831</v>
      </c>
      <c r="T93" s="710">
        <v>2673465</v>
      </c>
      <c r="U93" s="465">
        <v>2813002</v>
      </c>
      <c r="V93" s="465">
        <v>2987289</v>
      </c>
      <c r="W93" s="465">
        <v>2989050</v>
      </c>
      <c r="X93" s="465">
        <v>2582059</v>
      </c>
      <c r="Y93" s="465">
        <v>2752668</v>
      </c>
      <c r="Z93" s="465">
        <v>2673197</v>
      </c>
      <c r="AA93" s="465">
        <v>2839950</v>
      </c>
      <c r="AB93" s="465">
        <v>2892211</v>
      </c>
      <c r="AC93" s="465">
        <v>2869315</v>
      </c>
      <c r="AD93" s="465">
        <v>2959810</v>
      </c>
      <c r="AE93" s="465">
        <v>2905924</v>
      </c>
      <c r="AF93" s="465">
        <v>2925883</v>
      </c>
      <c r="AG93" s="465">
        <v>2964550</v>
      </c>
      <c r="AH93" s="465">
        <v>2988965</v>
      </c>
      <c r="AI93" s="465">
        <v>2929006</v>
      </c>
      <c r="AJ93" s="465">
        <v>2922065</v>
      </c>
      <c r="AK93" s="465">
        <v>3125410</v>
      </c>
      <c r="AL93" s="465">
        <v>3009430</v>
      </c>
    </row>
    <row r="94" spans="1:39" ht="13">
      <c r="A94" s="267"/>
      <c r="B94" s="249">
        <v>203</v>
      </c>
      <c r="C94" s="249" t="s">
        <v>193</v>
      </c>
      <c r="D94" s="350">
        <v>1037505</v>
      </c>
      <c r="E94" s="350">
        <v>1056309</v>
      </c>
      <c r="F94" s="350">
        <v>996621</v>
      </c>
      <c r="G94" s="350">
        <v>1000600</v>
      </c>
      <c r="H94" s="350">
        <v>951447</v>
      </c>
      <c r="I94" s="350">
        <v>1050153</v>
      </c>
      <c r="J94" s="350">
        <v>1079518</v>
      </c>
      <c r="K94" s="350">
        <v>1045975</v>
      </c>
      <c r="L94" s="350">
        <v>973073</v>
      </c>
      <c r="M94" s="350">
        <v>949997</v>
      </c>
      <c r="N94" s="350">
        <v>997756</v>
      </c>
      <c r="O94" s="350">
        <v>929082</v>
      </c>
      <c r="P94" s="710">
        <v>969000</v>
      </c>
      <c r="Q94" s="710">
        <v>992940</v>
      </c>
      <c r="R94" s="710">
        <v>1023800</v>
      </c>
      <c r="S94" s="710">
        <v>1012466</v>
      </c>
      <c r="T94" s="710">
        <v>1027862</v>
      </c>
      <c r="U94" s="465">
        <v>1097955</v>
      </c>
      <c r="V94" s="465">
        <v>1160116</v>
      </c>
      <c r="W94" s="465">
        <v>1128322</v>
      </c>
      <c r="X94" s="465">
        <v>1002505</v>
      </c>
      <c r="Y94" s="465">
        <v>1044341</v>
      </c>
      <c r="Z94" s="465">
        <v>1031666</v>
      </c>
      <c r="AA94" s="465">
        <v>1136650</v>
      </c>
      <c r="AB94" s="465">
        <v>1112858</v>
      </c>
      <c r="AC94" s="465">
        <v>1161933</v>
      </c>
      <c r="AD94" s="465">
        <v>1192985</v>
      </c>
      <c r="AE94" s="465">
        <v>1165783</v>
      </c>
      <c r="AF94" s="465">
        <v>1158370</v>
      </c>
      <c r="AG94" s="465">
        <v>1195084</v>
      </c>
      <c r="AH94" s="465">
        <v>1209959</v>
      </c>
      <c r="AI94" s="465">
        <v>1150727</v>
      </c>
      <c r="AJ94" s="465">
        <v>1130600</v>
      </c>
      <c r="AK94" s="465">
        <v>1244766</v>
      </c>
      <c r="AL94" s="465">
        <v>1247478</v>
      </c>
    </row>
    <row r="95" spans="1:39" ht="13">
      <c r="A95" s="267"/>
      <c r="B95" s="249">
        <v>210</v>
      </c>
      <c r="C95" s="249" t="s">
        <v>194</v>
      </c>
      <c r="D95" s="350">
        <v>792893</v>
      </c>
      <c r="E95" s="350">
        <v>781171</v>
      </c>
      <c r="F95" s="350">
        <v>779523</v>
      </c>
      <c r="G95" s="350">
        <v>784347</v>
      </c>
      <c r="H95" s="350">
        <v>775164</v>
      </c>
      <c r="I95" s="350">
        <v>813463</v>
      </c>
      <c r="J95" s="350">
        <v>853369</v>
      </c>
      <c r="K95" s="350">
        <v>875304</v>
      </c>
      <c r="L95" s="350">
        <v>852120</v>
      </c>
      <c r="M95" s="350">
        <v>846927</v>
      </c>
      <c r="N95" s="350">
        <v>824013</v>
      </c>
      <c r="O95" s="350">
        <v>749131</v>
      </c>
      <c r="P95" s="710">
        <v>771713</v>
      </c>
      <c r="Q95" s="710">
        <v>759932</v>
      </c>
      <c r="R95" s="710">
        <v>800532</v>
      </c>
      <c r="S95" s="710">
        <v>832163</v>
      </c>
      <c r="T95" s="710">
        <v>852954</v>
      </c>
      <c r="U95" s="465">
        <v>873512</v>
      </c>
      <c r="V95" s="465">
        <v>938240</v>
      </c>
      <c r="W95" s="465">
        <v>944877</v>
      </c>
      <c r="X95" s="465">
        <v>739303</v>
      </c>
      <c r="Y95" s="465">
        <v>821921</v>
      </c>
      <c r="Z95" s="465">
        <v>763503</v>
      </c>
      <c r="AA95" s="465">
        <v>763255</v>
      </c>
      <c r="AB95" s="465">
        <v>832746</v>
      </c>
      <c r="AC95" s="465">
        <v>819563</v>
      </c>
      <c r="AD95" s="465">
        <v>823644</v>
      </c>
      <c r="AE95" s="465">
        <v>856605</v>
      </c>
      <c r="AF95" s="465">
        <v>876570</v>
      </c>
      <c r="AG95" s="465">
        <v>893693</v>
      </c>
      <c r="AH95" s="465">
        <v>891752</v>
      </c>
      <c r="AI95" s="465">
        <v>844101</v>
      </c>
      <c r="AJ95" s="465">
        <v>833867</v>
      </c>
      <c r="AK95" s="465">
        <v>837326</v>
      </c>
      <c r="AL95" s="465">
        <v>832739</v>
      </c>
    </row>
    <row r="96" spans="1:39" ht="13">
      <c r="A96" s="267"/>
      <c r="B96" s="249">
        <v>216</v>
      </c>
      <c r="C96" s="249" t="s">
        <v>195</v>
      </c>
      <c r="D96" s="350">
        <v>452760</v>
      </c>
      <c r="E96" s="350">
        <v>509121</v>
      </c>
      <c r="F96" s="350">
        <v>485696</v>
      </c>
      <c r="G96" s="350">
        <v>498908</v>
      </c>
      <c r="H96" s="350">
        <v>492447</v>
      </c>
      <c r="I96" s="350">
        <v>518139</v>
      </c>
      <c r="J96" s="350">
        <v>498980</v>
      </c>
      <c r="K96" s="350">
        <v>506397</v>
      </c>
      <c r="L96" s="350">
        <v>458306</v>
      </c>
      <c r="M96" s="350">
        <v>477636</v>
      </c>
      <c r="N96" s="350">
        <v>516689</v>
      </c>
      <c r="O96" s="350">
        <v>481231</v>
      </c>
      <c r="P96" s="710">
        <v>509544</v>
      </c>
      <c r="Q96" s="710">
        <v>516719</v>
      </c>
      <c r="R96" s="710">
        <v>504618</v>
      </c>
      <c r="S96" s="710">
        <v>498837</v>
      </c>
      <c r="T96" s="710">
        <v>529147</v>
      </c>
      <c r="U96" s="465">
        <v>561791</v>
      </c>
      <c r="V96" s="465">
        <v>600138</v>
      </c>
      <c r="W96" s="465">
        <v>628688</v>
      </c>
      <c r="X96" s="465">
        <v>582135</v>
      </c>
      <c r="Y96" s="465">
        <v>632787</v>
      </c>
      <c r="Z96" s="465">
        <v>600615</v>
      </c>
      <c r="AA96" s="465">
        <v>633794</v>
      </c>
      <c r="AB96" s="465">
        <v>633960</v>
      </c>
      <c r="AC96" s="465">
        <v>555023</v>
      </c>
      <c r="AD96" s="465">
        <v>592330</v>
      </c>
      <c r="AE96" s="465">
        <v>546536</v>
      </c>
      <c r="AF96" s="465">
        <v>539109</v>
      </c>
      <c r="AG96" s="465">
        <v>518084</v>
      </c>
      <c r="AH96" s="465">
        <v>529858</v>
      </c>
      <c r="AI96" s="465">
        <v>579546</v>
      </c>
      <c r="AJ96" s="465">
        <v>544491</v>
      </c>
      <c r="AK96" s="465">
        <v>596784</v>
      </c>
      <c r="AL96" s="465">
        <v>503321</v>
      </c>
    </row>
    <row r="97" spans="1:38" ht="13">
      <c r="A97" s="267"/>
      <c r="B97" s="249">
        <v>381</v>
      </c>
      <c r="C97" s="249" t="s">
        <v>196</v>
      </c>
      <c r="D97" s="350">
        <v>92616</v>
      </c>
      <c r="E97" s="350">
        <v>99012</v>
      </c>
      <c r="F97" s="350">
        <v>98649</v>
      </c>
      <c r="G97" s="350">
        <v>110090</v>
      </c>
      <c r="H97" s="350">
        <v>112395</v>
      </c>
      <c r="I97" s="350">
        <v>123498</v>
      </c>
      <c r="J97" s="350">
        <v>125870</v>
      </c>
      <c r="K97" s="350">
        <v>122813</v>
      </c>
      <c r="L97" s="350">
        <v>128187</v>
      </c>
      <c r="M97" s="350">
        <v>122967</v>
      </c>
      <c r="N97" s="350">
        <v>127771</v>
      </c>
      <c r="O97" s="350">
        <v>117498</v>
      </c>
      <c r="P97" s="710">
        <v>126268</v>
      </c>
      <c r="Q97" s="710">
        <v>122263</v>
      </c>
      <c r="R97" s="710">
        <v>121216</v>
      </c>
      <c r="S97" s="710">
        <v>128086</v>
      </c>
      <c r="T97" s="710">
        <v>128103</v>
      </c>
      <c r="U97" s="465">
        <v>143758</v>
      </c>
      <c r="V97" s="465">
        <v>151170</v>
      </c>
      <c r="W97" s="465">
        <v>143899</v>
      </c>
      <c r="X97" s="465">
        <v>123176</v>
      </c>
      <c r="Y97" s="465">
        <v>135660</v>
      </c>
      <c r="Z97" s="465">
        <v>154354</v>
      </c>
      <c r="AA97" s="465">
        <v>165205</v>
      </c>
      <c r="AB97" s="465">
        <v>171447</v>
      </c>
      <c r="AC97" s="465">
        <v>174014</v>
      </c>
      <c r="AD97" s="465">
        <v>190934</v>
      </c>
      <c r="AE97" s="465">
        <v>177610</v>
      </c>
      <c r="AF97" s="465">
        <v>183782</v>
      </c>
      <c r="AG97" s="465">
        <v>182660</v>
      </c>
      <c r="AH97" s="465">
        <v>174964</v>
      </c>
      <c r="AI97" s="465">
        <v>148914</v>
      </c>
      <c r="AJ97" s="465">
        <v>167083</v>
      </c>
      <c r="AK97" s="465">
        <v>167771</v>
      </c>
      <c r="AL97" s="465">
        <v>166957</v>
      </c>
    </row>
    <row r="98" spans="1:38" ht="13">
      <c r="A98" s="268"/>
      <c r="B98" s="269">
        <v>382</v>
      </c>
      <c r="C98" s="269" t="s">
        <v>197</v>
      </c>
      <c r="D98" s="402">
        <v>141546</v>
      </c>
      <c r="E98" s="402">
        <v>142298</v>
      </c>
      <c r="F98" s="402">
        <v>146809</v>
      </c>
      <c r="G98" s="402">
        <v>132534</v>
      </c>
      <c r="H98" s="402">
        <v>142120</v>
      </c>
      <c r="I98" s="402">
        <v>162759</v>
      </c>
      <c r="J98" s="402">
        <v>154788</v>
      </c>
      <c r="K98" s="402">
        <v>150056</v>
      </c>
      <c r="L98" s="402">
        <v>145419</v>
      </c>
      <c r="M98" s="402">
        <v>134139</v>
      </c>
      <c r="N98" s="402">
        <v>131361</v>
      </c>
      <c r="O98" s="402">
        <v>123641</v>
      </c>
      <c r="P98" s="710">
        <v>128507</v>
      </c>
      <c r="Q98" s="710">
        <v>123212</v>
      </c>
      <c r="R98" s="710">
        <v>121666</v>
      </c>
      <c r="S98" s="710">
        <v>123279</v>
      </c>
      <c r="T98" s="710">
        <v>135399</v>
      </c>
      <c r="U98" s="465">
        <v>135986</v>
      </c>
      <c r="V98" s="465">
        <v>137625</v>
      </c>
      <c r="W98" s="465">
        <v>143264</v>
      </c>
      <c r="X98" s="465">
        <v>134940</v>
      </c>
      <c r="Y98" s="465">
        <v>117959</v>
      </c>
      <c r="Z98" s="465">
        <v>123059</v>
      </c>
      <c r="AA98" s="465">
        <v>141046</v>
      </c>
      <c r="AB98" s="465">
        <v>141200</v>
      </c>
      <c r="AC98" s="465">
        <v>158782</v>
      </c>
      <c r="AD98" s="465">
        <v>159917</v>
      </c>
      <c r="AE98" s="465">
        <v>159390</v>
      </c>
      <c r="AF98" s="465">
        <v>168052</v>
      </c>
      <c r="AG98" s="465">
        <v>175029</v>
      </c>
      <c r="AH98" s="465">
        <v>182432</v>
      </c>
      <c r="AI98" s="465">
        <v>205718</v>
      </c>
      <c r="AJ98" s="465">
        <v>246024</v>
      </c>
      <c r="AK98" s="465">
        <v>278763</v>
      </c>
      <c r="AL98" s="465">
        <v>258935</v>
      </c>
    </row>
    <row r="99" spans="1:38" ht="13">
      <c r="A99" s="267" t="s">
        <v>343</v>
      </c>
      <c r="B99" s="249">
        <v>4</v>
      </c>
      <c r="C99" s="249" t="s">
        <v>325</v>
      </c>
      <c r="D99" s="350">
        <v>994875</v>
      </c>
      <c r="E99" s="350">
        <v>1026170</v>
      </c>
      <c r="F99" s="350">
        <v>1011982</v>
      </c>
      <c r="G99" s="350">
        <v>1065241</v>
      </c>
      <c r="H99" s="350">
        <v>1067459</v>
      </c>
      <c r="I99" s="350">
        <v>1119763</v>
      </c>
      <c r="J99" s="350">
        <v>1169297</v>
      </c>
      <c r="K99" s="350">
        <v>1149380</v>
      </c>
      <c r="L99" s="350">
        <v>1114850</v>
      </c>
      <c r="M99" s="350">
        <v>1144873</v>
      </c>
      <c r="N99" s="350">
        <v>1154821</v>
      </c>
      <c r="O99" s="350">
        <v>1138648</v>
      </c>
      <c r="P99" s="710">
        <v>1186603</v>
      </c>
      <c r="Q99" s="710">
        <v>1132665</v>
      </c>
      <c r="R99" s="710">
        <v>1145172</v>
      </c>
      <c r="S99" s="710">
        <v>1152787</v>
      </c>
      <c r="T99" s="710">
        <v>1170962</v>
      </c>
      <c r="U99" s="465">
        <v>1191651</v>
      </c>
      <c r="V99" s="465">
        <v>1221515</v>
      </c>
      <c r="W99" s="465">
        <v>1198607</v>
      </c>
      <c r="X99" s="465">
        <v>1146172</v>
      </c>
      <c r="Y99" s="465">
        <v>1190688</v>
      </c>
      <c r="Z99" s="465">
        <v>1149883</v>
      </c>
      <c r="AA99" s="465">
        <v>1133747</v>
      </c>
      <c r="AB99" s="465">
        <v>1194562</v>
      </c>
      <c r="AC99" s="465">
        <v>1170689</v>
      </c>
      <c r="AD99" s="465">
        <v>1198719</v>
      </c>
      <c r="AE99" s="465">
        <v>1258017</v>
      </c>
      <c r="AF99" s="465">
        <v>1311546</v>
      </c>
      <c r="AG99" s="465">
        <v>1296116</v>
      </c>
      <c r="AH99" s="465">
        <v>1304482</v>
      </c>
      <c r="AI99" s="465">
        <v>1280998</v>
      </c>
      <c r="AJ99" s="465">
        <v>1302930</v>
      </c>
      <c r="AK99" s="465">
        <v>1278266</v>
      </c>
      <c r="AL99" s="465">
        <v>1295760</v>
      </c>
    </row>
    <row r="100" spans="1:38" ht="13">
      <c r="A100" s="267"/>
      <c r="B100" s="249">
        <v>213</v>
      </c>
      <c r="C100" s="249" t="s">
        <v>199</v>
      </c>
      <c r="D100" s="350">
        <v>155125</v>
      </c>
      <c r="E100" s="350">
        <v>148931</v>
      </c>
      <c r="F100" s="350">
        <v>146891</v>
      </c>
      <c r="G100" s="350">
        <v>153695</v>
      </c>
      <c r="H100" s="350">
        <v>164770</v>
      </c>
      <c r="I100" s="350">
        <v>170426</v>
      </c>
      <c r="J100" s="350">
        <v>150093</v>
      </c>
      <c r="K100" s="350">
        <v>144070</v>
      </c>
      <c r="L100" s="350">
        <v>158083</v>
      </c>
      <c r="M100" s="350">
        <v>175004</v>
      </c>
      <c r="N100" s="350">
        <v>187900</v>
      </c>
      <c r="O100" s="350">
        <v>163704</v>
      </c>
      <c r="P100" s="710">
        <v>171099</v>
      </c>
      <c r="Q100" s="710">
        <v>165646</v>
      </c>
      <c r="R100" s="710">
        <v>170564</v>
      </c>
      <c r="S100" s="710">
        <v>161864</v>
      </c>
      <c r="T100" s="710">
        <v>158118</v>
      </c>
      <c r="U100" s="465">
        <v>160969</v>
      </c>
      <c r="V100" s="465">
        <v>168564</v>
      </c>
      <c r="W100" s="465">
        <v>158835</v>
      </c>
      <c r="X100" s="465">
        <v>151747</v>
      </c>
      <c r="Y100" s="465">
        <v>156565</v>
      </c>
      <c r="Z100" s="465">
        <v>134299</v>
      </c>
      <c r="AA100" s="465">
        <v>135200</v>
      </c>
      <c r="AB100" s="465">
        <v>152739</v>
      </c>
      <c r="AC100" s="465">
        <v>137294</v>
      </c>
      <c r="AD100" s="465">
        <v>145201</v>
      </c>
      <c r="AE100" s="465">
        <v>142830</v>
      </c>
      <c r="AF100" s="465">
        <v>142527</v>
      </c>
      <c r="AG100" s="465">
        <v>142431</v>
      </c>
      <c r="AH100" s="465">
        <v>150762</v>
      </c>
      <c r="AI100" s="465">
        <v>143632</v>
      </c>
      <c r="AJ100" s="465">
        <v>145275</v>
      </c>
      <c r="AK100" s="465">
        <v>148042</v>
      </c>
      <c r="AL100" s="465">
        <v>152251</v>
      </c>
    </row>
    <row r="101" spans="1:38" ht="13">
      <c r="A101" s="267"/>
      <c r="B101" s="249">
        <v>215</v>
      </c>
      <c r="C101" s="249" t="s">
        <v>329</v>
      </c>
      <c r="D101" s="350">
        <v>246629</v>
      </c>
      <c r="E101" s="350">
        <v>241480</v>
      </c>
      <c r="F101" s="350">
        <v>253686</v>
      </c>
      <c r="G101" s="350">
        <v>262111</v>
      </c>
      <c r="H101" s="350">
        <v>265549</v>
      </c>
      <c r="I101" s="350">
        <v>275818</v>
      </c>
      <c r="J101" s="350">
        <v>332492</v>
      </c>
      <c r="K101" s="350">
        <v>321591</v>
      </c>
      <c r="L101" s="350">
        <v>281488</v>
      </c>
      <c r="M101" s="350">
        <v>286350</v>
      </c>
      <c r="N101" s="350">
        <v>277309</v>
      </c>
      <c r="O101" s="350">
        <v>276166</v>
      </c>
      <c r="P101" s="710">
        <v>290035</v>
      </c>
      <c r="Q101" s="710">
        <v>283013</v>
      </c>
      <c r="R101" s="710">
        <v>284356</v>
      </c>
      <c r="S101" s="710">
        <v>281980</v>
      </c>
      <c r="T101" s="710">
        <v>286740</v>
      </c>
      <c r="U101" s="465">
        <v>282043</v>
      </c>
      <c r="V101" s="465">
        <v>291846</v>
      </c>
      <c r="W101" s="465">
        <v>286522</v>
      </c>
      <c r="X101" s="465">
        <v>270277</v>
      </c>
      <c r="Y101" s="465">
        <v>279192</v>
      </c>
      <c r="Z101" s="465">
        <v>272658</v>
      </c>
      <c r="AA101" s="465">
        <v>273844</v>
      </c>
      <c r="AB101" s="465">
        <v>279728</v>
      </c>
      <c r="AC101" s="465">
        <v>268935</v>
      </c>
      <c r="AD101" s="465">
        <v>285393</v>
      </c>
      <c r="AE101" s="465">
        <v>296226</v>
      </c>
      <c r="AF101" s="465">
        <v>304799</v>
      </c>
      <c r="AG101" s="465">
        <v>308317</v>
      </c>
      <c r="AH101" s="465">
        <v>307588</v>
      </c>
      <c r="AI101" s="465">
        <v>312015</v>
      </c>
      <c r="AJ101" s="465">
        <v>317209</v>
      </c>
      <c r="AK101" s="465">
        <v>317089</v>
      </c>
      <c r="AL101" s="465">
        <v>315832</v>
      </c>
    </row>
    <row r="102" spans="1:38" ht="13">
      <c r="A102" s="267"/>
      <c r="B102" s="249">
        <v>218</v>
      </c>
      <c r="C102" s="249" t="s">
        <v>200</v>
      </c>
      <c r="D102" s="350">
        <v>180843</v>
      </c>
      <c r="E102" s="350">
        <v>197104</v>
      </c>
      <c r="F102" s="350">
        <v>182303</v>
      </c>
      <c r="G102" s="350">
        <v>189881</v>
      </c>
      <c r="H102" s="350">
        <v>193199</v>
      </c>
      <c r="I102" s="350">
        <v>205983</v>
      </c>
      <c r="J102" s="350">
        <v>202038</v>
      </c>
      <c r="K102" s="350">
        <v>205353</v>
      </c>
      <c r="L102" s="350">
        <v>202880</v>
      </c>
      <c r="M102" s="350">
        <v>207547</v>
      </c>
      <c r="N102" s="350">
        <v>205099</v>
      </c>
      <c r="O102" s="350">
        <v>202386</v>
      </c>
      <c r="P102" s="710">
        <v>208841</v>
      </c>
      <c r="Q102" s="710">
        <v>207232</v>
      </c>
      <c r="R102" s="710">
        <v>207924</v>
      </c>
      <c r="S102" s="710">
        <v>215505</v>
      </c>
      <c r="T102" s="710">
        <v>216768</v>
      </c>
      <c r="U102" s="465">
        <v>224087</v>
      </c>
      <c r="V102" s="465">
        <v>231628</v>
      </c>
      <c r="W102" s="465">
        <v>233943</v>
      </c>
      <c r="X102" s="465">
        <v>220681</v>
      </c>
      <c r="Y102" s="465">
        <v>229745</v>
      </c>
      <c r="Z102" s="465">
        <v>228179</v>
      </c>
      <c r="AA102" s="465">
        <v>213866</v>
      </c>
      <c r="AB102" s="465">
        <v>238416</v>
      </c>
      <c r="AC102" s="465">
        <v>241954</v>
      </c>
      <c r="AD102" s="465">
        <v>256075</v>
      </c>
      <c r="AE102" s="465">
        <v>252788</v>
      </c>
      <c r="AF102" s="465">
        <v>261573</v>
      </c>
      <c r="AG102" s="465">
        <v>263906</v>
      </c>
      <c r="AH102" s="465">
        <v>262654</v>
      </c>
      <c r="AI102" s="465">
        <v>249252</v>
      </c>
      <c r="AJ102" s="465">
        <v>256456</v>
      </c>
      <c r="AK102" s="465">
        <v>257763</v>
      </c>
      <c r="AL102" s="465">
        <v>283279</v>
      </c>
    </row>
    <row r="103" spans="1:38" ht="13">
      <c r="A103" s="267"/>
      <c r="B103" s="249">
        <v>220</v>
      </c>
      <c r="C103" s="249" t="s">
        <v>201</v>
      </c>
      <c r="D103" s="350">
        <v>169010</v>
      </c>
      <c r="E103" s="350">
        <v>175082</v>
      </c>
      <c r="F103" s="350">
        <v>175629</v>
      </c>
      <c r="G103" s="350">
        <v>181702</v>
      </c>
      <c r="H103" s="350">
        <v>181781</v>
      </c>
      <c r="I103" s="350">
        <v>183174</v>
      </c>
      <c r="J103" s="350">
        <v>198314</v>
      </c>
      <c r="K103" s="350">
        <v>192512</v>
      </c>
      <c r="L103" s="350">
        <v>186314</v>
      </c>
      <c r="M103" s="350">
        <v>182250</v>
      </c>
      <c r="N103" s="350">
        <v>183773</v>
      </c>
      <c r="O103" s="350">
        <v>186186</v>
      </c>
      <c r="P103" s="710">
        <v>193343</v>
      </c>
      <c r="Q103" s="710">
        <v>185446</v>
      </c>
      <c r="R103" s="710">
        <v>187012</v>
      </c>
      <c r="S103" s="710">
        <v>192622</v>
      </c>
      <c r="T103" s="710">
        <v>196643</v>
      </c>
      <c r="U103" s="465">
        <v>196849</v>
      </c>
      <c r="V103" s="465">
        <v>207139</v>
      </c>
      <c r="W103" s="465">
        <v>202374</v>
      </c>
      <c r="X103" s="465">
        <v>200325</v>
      </c>
      <c r="Y103" s="465">
        <v>201289</v>
      </c>
      <c r="Z103" s="465">
        <v>204116</v>
      </c>
      <c r="AA103" s="465">
        <v>209027</v>
      </c>
      <c r="AB103" s="465">
        <v>220827</v>
      </c>
      <c r="AC103" s="465">
        <v>206861</v>
      </c>
      <c r="AD103" s="465">
        <v>210852</v>
      </c>
      <c r="AE103" s="465">
        <v>229522</v>
      </c>
      <c r="AF103" s="465">
        <v>252117</v>
      </c>
      <c r="AG103" s="465">
        <v>254772</v>
      </c>
      <c r="AH103" s="465">
        <v>245992</v>
      </c>
      <c r="AI103" s="465">
        <v>231352</v>
      </c>
      <c r="AJ103" s="465">
        <v>250827</v>
      </c>
      <c r="AK103" s="465">
        <v>239948</v>
      </c>
      <c r="AL103" s="465">
        <v>245565</v>
      </c>
    </row>
    <row r="104" spans="1:38" ht="13">
      <c r="A104" s="267"/>
      <c r="B104" s="249">
        <v>228</v>
      </c>
      <c r="C104" s="249" t="s">
        <v>330</v>
      </c>
      <c r="D104" s="350">
        <v>189453</v>
      </c>
      <c r="E104" s="350">
        <v>203643</v>
      </c>
      <c r="F104" s="350">
        <v>191177</v>
      </c>
      <c r="G104" s="350">
        <v>212968</v>
      </c>
      <c r="H104" s="350">
        <v>197214</v>
      </c>
      <c r="I104" s="350">
        <v>216472</v>
      </c>
      <c r="J104" s="350">
        <v>218057</v>
      </c>
      <c r="K104" s="350">
        <v>217965</v>
      </c>
      <c r="L104" s="350">
        <v>219302</v>
      </c>
      <c r="M104" s="350">
        <v>228856</v>
      </c>
      <c r="N104" s="350">
        <v>234667</v>
      </c>
      <c r="O104" s="350">
        <v>243751</v>
      </c>
      <c r="P104" s="710">
        <v>255049</v>
      </c>
      <c r="Q104" s="710">
        <v>225255</v>
      </c>
      <c r="R104" s="710">
        <v>228288</v>
      </c>
      <c r="S104" s="710">
        <v>234951</v>
      </c>
      <c r="T104" s="710">
        <v>245927</v>
      </c>
      <c r="U104" s="465">
        <v>262033</v>
      </c>
      <c r="V104" s="465">
        <v>255799</v>
      </c>
      <c r="W104" s="465">
        <v>252653</v>
      </c>
      <c r="X104" s="465">
        <v>246676</v>
      </c>
      <c r="Y104" s="465">
        <v>264379</v>
      </c>
      <c r="Z104" s="465">
        <v>245838</v>
      </c>
      <c r="AA104" s="465">
        <v>238672</v>
      </c>
      <c r="AB104" s="465">
        <v>238080</v>
      </c>
      <c r="AC104" s="465">
        <v>251263</v>
      </c>
      <c r="AD104" s="465">
        <v>235397</v>
      </c>
      <c r="AE104" s="465">
        <v>269309</v>
      </c>
      <c r="AF104" s="465">
        <v>282158</v>
      </c>
      <c r="AG104" s="465">
        <v>260899</v>
      </c>
      <c r="AH104" s="465">
        <v>271849</v>
      </c>
      <c r="AI104" s="465">
        <v>279276</v>
      </c>
      <c r="AJ104" s="465">
        <v>265034</v>
      </c>
      <c r="AK104" s="465">
        <v>243683</v>
      </c>
      <c r="AL104" s="465">
        <v>228632</v>
      </c>
    </row>
    <row r="105" spans="1:38" ht="13">
      <c r="A105" s="267"/>
      <c r="B105" s="249">
        <v>365</v>
      </c>
      <c r="C105" s="249" t="s">
        <v>331</v>
      </c>
      <c r="D105" s="350">
        <v>53815</v>
      </c>
      <c r="E105" s="350">
        <v>59930</v>
      </c>
      <c r="F105" s="350">
        <v>62296</v>
      </c>
      <c r="G105" s="350">
        <v>64884</v>
      </c>
      <c r="H105" s="350">
        <v>64946</v>
      </c>
      <c r="I105" s="350">
        <v>67890</v>
      </c>
      <c r="J105" s="350">
        <v>68303</v>
      </c>
      <c r="K105" s="350">
        <v>67889</v>
      </c>
      <c r="L105" s="350">
        <v>66783</v>
      </c>
      <c r="M105" s="350">
        <v>64866</v>
      </c>
      <c r="N105" s="350">
        <v>66073</v>
      </c>
      <c r="O105" s="350">
        <v>66455</v>
      </c>
      <c r="P105" s="710">
        <v>68236</v>
      </c>
      <c r="Q105" s="710">
        <v>66073</v>
      </c>
      <c r="R105" s="710">
        <v>67028</v>
      </c>
      <c r="S105" s="710">
        <v>65865</v>
      </c>
      <c r="T105" s="710">
        <v>66766</v>
      </c>
      <c r="U105" s="465">
        <v>65670</v>
      </c>
      <c r="V105" s="465">
        <v>66539</v>
      </c>
      <c r="W105" s="465">
        <v>64280</v>
      </c>
      <c r="X105" s="465">
        <v>56466</v>
      </c>
      <c r="Y105" s="465">
        <v>59518</v>
      </c>
      <c r="Z105" s="465">
        <v>64793</v>
      </c>
      <c r="AA105" s="465">
        <v>63138</v>
      </c>
      <c r="AB105" s="465">
        <v>64772</v>
      </c>
      <c r="AC105" s="465">
        <v>64382</v>
      </c>
      <c r="AD105" s="465">
        <v>65801</v>
      </c>
      <c r="AE105" s="465">
        <v>67342</v>
      </c>
      <c r="AF105" s="465">
        <v>68372</v>
      </c>
      <c r="AG105" s="465">
        <v>65791</v>
      </c>
      <c r="AH105" s="465">
        <v>65637</v>
      </c>
      <c r="AI105" s="465">
        <v>65471</v>
      </c>
      <c r="AJ105" s="465">
        <v>68129</v>
      </c>
      <c r="AK105" s="465">
        <v>71741</v>
      </c>
      <c r="AL105" s="465">
        <v>70201</v>
      </c>
    </row>
    <row r="106" spans="1:38" ht="13">
      <c r="A106" s="273" t="s">
        <v>344</v>
      </c>
      <c r="B106" s="270">
        <v>5</v>
      </c>
      <c r="C106" s="270" t="s">
        <v>326</v>
      </c>
      <c r="D106" s="349">
        <v>2517328</v>
      </c>
      <c r="E106" s="349">
        <v>2586757</v>
      </c>
      <c r="F106" s="349">
        <v>2642134</v>
      </c>
      <c r="G106" s="349">
        <v>2615806</v>
      </c>
      <c r="H106" s="349">
        <v>2557534</v>
      </c>
      <c r="I106" s="349">
        <v>2633951</v>
      </c>
      <c r="J106" s="349">
        <v>2705805</v>
      </c>
      <c r="K106" s="349">
        <v>2659852</v>
      </c>
      <c r="L106" s="349">
        <v>2558071</v>
      </c>
      <c r="M106" s="349">
        <v>2463080</v>
      </c>
      <c r="N106" s="349">
        <v>2504580</v>
      </c>
      <c r="O106" s="349">
        <v>2413802</v>
      </c>
      <c r="P106" s="710">
        <v>2410353</v>
      </c>
      <c r="Q106" s="710">
        <v>2369422</v>
      </c>
      <c r="R106" s="710">
        <v>2411442</v>
      </c>
      <c r="S106" s="710">
        <v>2464012</v>
      </c>
      <c r="T106" s="710">
        <v>2546034</v>
      </c>
      <c r="U106" s="465">
        <v>2565099</v>
      </c>
      <c r="V106" s="465">
        <v>2629643</v>
      </c>
      <c r="W106" s="465">
        <v>2708790</v>
      </c>
      <c r="X106" s="465">
        <v>2370256</v>
      </c>
      <c r="Y106" s="465">
        <v>2584373</v>
      </c>
      <c r="Z106" s="465">
        <v>2459071</v>
      </c>
      <c r="AA106" s="465">
        <v>2401066</v>
      </c>
      <c r="AB106" s="465">
        <v>2604440</v>
      </c>
      <c r="AC106" s="465">
        <v>2577285</v>
      </c>
      <c r="AD106" s="465">
        <v>2610540</v>
      </c>
      <c r="AE106" s="465">
        <v>2667693</v>
      </c>
      <c r="AF106" s="465">
        <v>2678688</v>
      </c>
      <c r="AG106" s="465">
        <v>2674020</v>
      </c>
      <c r="AH106" s="465">
        <v>2636461</v>
      </c>
      <c r="AI106" s="465">
        <v>2555353</v>
      </c>
      <c r="AJ106" s="465">
        <v>2786293</v>
      </c>
      <c r="AK106" s="465">
        <v>2841392</v>
      </c>
      <c r="AL106" s="465">
        <v>2800023</v>
      </c>
    </row>
    <row r="107" spans="1:38" ht="13">
      <c r="A107" s="267"/>
      <c r="B107" s="249">
        <v>201</v>
      </c>
      <c r="C107" s="249" t="s">
        <v>332</v>
      </c>
      <c r="D107" s="350">
        <v>2332056</v>
      </c>
      <c r="E107" s="350">
        <v>2407626</v>
      </c>
      <c r="F107" s="350">
        <v>2458061</v>
      </c>
      <c r="G107" s="350">
        <v>2422867</v>
      </c>
      <c r="H107" s="350">
        <v>2368457</v>
      </c>
      <c r="I107" s="350">
        <v>2425847</v>
      </c>
      <c r="J107" s="350">
        <v>2493631</v>
      </c>
      <c r="K107" s="350">
        <v>2451154</v>
      </c>
      <c r="L107" s="350">
        <v>2349811</v>
      </c>
      <c r="M107" s="350">
        <v>2263315</v>
      </c>
      <c r="N107" s="350">
        <v>2296802</v>
      </c>
      <c r="O107" s="350">
        <v>2205699</v>
      </c>
      <c r="P107" s="710">
        <v>2195216</v>
      </c>
      <c r="Q107" s="710">
        <v>2158842</v>
      </c>
      <c r="R107" s="710">
        <v>2191447</v>
      </c>
      <c r="S107" s="710">
        <v>2235699</v>
      </c>
      <c r="T107" s="710">
        <v>2322365</v>
      </c>
      <c r="U107" s="465">
        <v>2343985</v>
      </c>
      <c r="V107" s="465">
        <v>2401762</v>
      </c>
      <c r="W107" s="465">
        <v>2486444</v>
      </c>
      <c r="X107" s="465">
        <v>2162776</v>
      </c>
      <c r="Y107" s="465">
        <v>2358630</v>
      </c>
      <c r="Z107" s="465">
        <v>2234684</v>
      </c>
      <c r="AA107" s="465">
        <v>2187140</v>
      </c>
      <c r="AB107" s="465">
        <v>2364893</v>
      </c>
      <c r="AC107" s="465">
        <v>2343983</v>
      </c>
      <c r="AD107" s="465">
        <v>2373356</v>
      </c>
      <c r="AE107" s="465">
        <v>2416105</v>
      </c>
      <c r="AF107" s="465">
        <v>2418738</v>
      </c>
      <c r="AG107" s="465">
        <v>2415294</v>
      </c>
      <c r="AH107" s="465">
        <v>2379942</v>
      </c>
      <c r="AI107" s="465">
        <v>2313504</v>
      </c>
      <c r="AJ107" s="465">
        <v>2536957</v>
      </c>
      <c r="AK107" s="465">
        <v>2580391</v>
      </c>
      <c r="AL107" s="465">
        <v>2538680</v>
      </c>
    </row>
    <row r="108" spans="1:38" ht="13">
      <c r="A108" s="267"/>
      <c r="B108" s="249">
        <v>442</v>
      </c>
      <c r="C108" s="249" t="s">
        <v>203</v>
      </c>
      <c r="D108" s="350">
        <v>34087</v>
      </c>
      <c r="E108" s="350">
        <v>34702</v>
      </c>
      <c r="F108" s="350">
        <v>33071</v>
      </c>
      <c r="G108" s="350">
        <v>33288</v>
      </c>
      <c r="H108" s="350">
        <v>36424</v>
      </c>
      <c r="I108" s="350">
        <v>37351</v>
      </c>
      <c r="J108" s="350">
        <v>38949</v>
      </c>
      <c r="K108" s="350">
        <v>37664</v>
      </c>
      <c r="L108" s="350">
        <v>39225</v>
      </c>
      <c r="M108" s="350">
        <v>36808</v>
      </c>
      <c r="N108" s="350">
        <v>37607</v>
      </c>
      <c r="O108" s="350">
        <v>35042</v>
      </c>
      <c r="P108" s="710">
        <v>36744</v>
      </c>
      <c r="Q108" s="710">
        <v>36379</v>
      </c>
      <c r="R108" s="710">
        <v>38065</v>
      </c>
      <c r="S108" s="710">
        <v>41398</v>
      </c>
      <c r="T108" s="710">
        <v>42420</v>
      </c>
      <c r="U108" s="465">
        <v>42282</v>
      </c>
      <c r="V108" s="465">
        <v>41565</v>
      </c>
      <c r="W108" s="465">
        <v>39406</v>
      </c>
      <c r="X108" s="465">
        <v>35287</v>
      </c>
      <c r="Y108" s="465">
        <v>33945</v>
      </c>
      <c r="Z108" s="465">
        <v>32871</v>
      </c>
      <c r="AA108" s="465">
        <v>34832</v>
      </c>
      <c r="AB108" s="465">
        <v>38275</v>
      </c>
      <c r="AC108" s="465">
        <v>36006</v>
      </c>
      <c r="AD108" s="465">
        <v>35471</v>
      </c>
      <c r="AE108" s="465">
        <v>37669</v>
      </c>
      <c r="AF108" s="465">
        <v>37791</v>
      </c>
      <c r="AG108" s="465">
        <v>38676</v>
      </c>
      <c r="AH108" s="465">
        <v>39413</v>
      </c>
      <c r="AI108" s="465">
        <v>37663</v>
      </c>
      <c r="AJ108" s="465">
        <v>41431</v>
      </c>
      <c r="AK108" s="465">
        <v>41362</v>
      </c>
      <c r="AL108" s="465">
        <v>42664</v>
      </c>
    </row>
    <row r="109" spans="1:38" ht="13">
      <c r="A109" s="267"/>
      <c r="B109" s="249">
        <v>443</v>
      </c>
      <c r="C109" s="249" t="s">
        <v>204</v>
      </c>
      <c r="D109" s="350">
        <v>119234</v>
      </c>
      <c r="E109" s="350">
        <v>112919</v>
      </c>
      <c r="F109" s="350">
        <v>116586</v>
      </c>
      <c r="G109" s="350">
        <v>121330</v>
      </c>
      <c r="H109" s="350">
        <v>117777</v>
      </c>
      <c r="I109" s="350">
        <v>134092</v>
      </c>
      <c r="J109" s="350">
        <v>138429</v>
      </c>
      <c r="K109" s="350">
        <v>134139</v>
      </c>
      <c r="L109" s="350">
        <v>132265</v>
      </c>
      <c r="M109" s="350">
        <v>126341</v>
      </c>
      <c r="N109" s="350">
        <v>131723</v>
      </c>
      <c r="O109" s="350">
        <v>134716</v>
      </c>
      <c r="P109" s="710">
        <v>141901</v>
      </c>
      <c r="Q109" s="710">
        <v>140043</v>
      </c>
      <c r="R109" s="710">
        <v>147519</v>
      </c>
      <c r="S109" s="710">
        <v>152593</v>
      </c>
      <c r="T109" s="710">
        <v>145521</v>
      </c>
      <c r="U109" s="465">
        <v>143795</v>
      </c>
      <c r="V109" s="465">
        <v>152139</v>
      </c>
      <c r="W109" s="465">
        <v>149147</v>
      </c>
      <c r="X109" s="465">
        <v>139072</v>
      </c>
      <c r="Y109" s="465">
        <v>159515</v>
      </c>
      <c r="Z109" s="465">
        <v>161587</v>
      </c>
      <c r="AA109" s="465">
        <v>150783</v>
      </c>
      <c r="AB109" s="465">
        <v>169840</v>
      </c>
      <c r="AC109" s="465">
        <v>166720</v>
      </c>
      <c r="AD109" s="465">
        <v>169338</v>
      </c>
      <c r="AE109" s="465">
        <v>182107</v>
      </c>
      <c r="AF109" s="465">
        <v>189225</v>
      </c>
      <c r="AG109" s="465">
        <v>187396</v>
      </c>
      <c r="AH109" s="465">
        <v>185515</v>
      </c>
      <c r="AI109" s="465">
        <v>172904</v>
      </c>
      <c r="AJ109" s="465">
        <v>175217</v>
      </c>
      <c r="AK109" s="465">
        <v>184251</v>
      </c>
      <c r="AL109" s="465">
        <v>182741</v>
      </c>
    </row>
    <row r="110" spans="1:38" ht="13">
      <c r="A110" s="268"/>
      <c r="B110" s="269">
        <v>446</v>
      </c>
      <c r="C110" s="269" t="s">
        <v>333</v>
      </c>
      <c r="D110" s="402">
        <v>31951</v>
      </c>
      <c r="E110" s="402">
        <v>31510</v>
      </c>
      <c r="F110" s="402">
        <v>34416</v>
      </c>
      <c r="G110" s="402">
        <v>38321</v>
      </c>
      <c r="H110" s="402">
        <v>34876</v>
      </c>
      <c r="I110" s="402">
        <v>36661</v>
      </c>
      <c r="J110" s="402">
        <v>34796</v>
      </c>
      <c r="K110" s="402">
        <v>36895</v>
      </c>
      <c r="L110" s="402">
        <v>36770</v>
      </c>
      <c r="M110" s="402">
        <v>36616</v>
      </c>
      <c r="N110" s="402">
        <v>38448</v>
      </c>
      <c r="O110" s="402">
        <v>38345</v>
      </c>
      <c r="P110" s="710">
        <v>36492</v>
      </c>
      <c r="Q110" s="710">
        <v>34158</v>
      </c>
      <c r="R110" s="710">
        <v>34411</v>
      </c>
      <c r="S110" s="710">
        <v>34322</v>
      </c>
      <c r="T110" s="710">
        <v>35728</v>
      </c>
      <c r="U110" s="465">
        <v>35037</v>
      </c>
      <c r="V110" s="465">
        <v>34177</v>
      </c>
      <c r="W110" s="465">
        <v>33793</v>
      </c>
      <c r="X110" s="465">
        <v>33121</v>
      </c>
      <c r="Y110" s="465">
        <v>32283</v>
      </c>
      <c r="Z110" s="465">
        <v>29929</v>
      </c>
      <c r="AA110" s="465">
        <v>28311</v>
      </c>
      <c r="AB110" s="465">
        <v>31432</v>
      </c>
      <c r="AC110" s="465">
        <v>30576</v>
      </c>
      <c r="AD110" s="465">
        <v>32375</v>
      </c>
      <c r="AE110" s="465">
        <v>31812</v>
      </c>
      <c r="AF110" s="465">
        <v>32934</v>
      </c>
      <c r="AG110" s="465">
        <v>32654</v>
      </c>
      <c r="AH110" s="465">
        <v>31591</v>
      </c>
      <c r="AI110" s="465">
        <v>31282</v>
      </c>
      <c r="AJ110" s="465">
        <v>32688</v>
      </c>
      <c r="AK110" s="465">
        <v>35388</v>
      </c>
      <c r="AL110" s="465">
        <v>35938</v>
      </c>
    </row>
    <row r="111" spans="1:38" ht="13">
      <c r="A111" s="267" t="s">
        <v>345</v>
      </c>
      <c r="B111" s="249">
        <v>6</v>
      </c>
      <c r="C111" s="249" t="s">
        <v>327</v>
      </c>
      <c r="D111" s="350">
        <v>891486</v>
      </c>
      <c r="E111" s="350">
        <v>944131</v>
      </c>
      <c r="F111" s="350">
        <v>926151</v>
      </c>
      <c r="G111" s="350">
        <v>983577</v>
      </c>
      <c r="H111" s="350">
        <v>997879</v>
      </c>
      <c r="I111" s="350">
        <v>1068513</v>
      </c>
      <c r="J111" s="350">
        <v>1080117</v>
      </c>
      <c r="K111" s="350">
        <v>1055069</v>
      </c>
      <c r="L111" s="350">
        <v>1037989</v>
      </c>
      <c r="M111" s="350">
        <v>1067910</v>
      </c>
      <c r="N111" s="350">
        <v>1070674</v>
      </c>
      <c r="O111" s="350">
        <v>993822</v>
      </c>
      <c r="P111" s="710">
        <v>1073090</v>
      </c>
      <c r="Q111" s="710">
        <v>1037856</v>
      </c>
      <c r="R111" s="710">
        <v>1017795</v>
      </c>
      <c r="S111" s="710">
        <v>1003783</v>
      </c>
      <c r="T111" s="710">
        <v>995183</v>
      </c>
      <c r="U111" s="465">
        <v>988227</v>
      </c>
      <c r="V111" s="465">
        <v>1013274</v>
      </c>
      <c r="W111" s="465">
        <v>973912</v>
      </c>
      <c r="X111" s="465">
        <v>935893</v>
      </c>
      <c r="Y111" s="465">
        <v>993858</v>
      </c>
      <c r="Z111" s="465">
        <v>985923</v>
      </c>
      <c r="AA111" s="465">
        <v>990496</v>
      </c>
      <c r="AB111" s="465">
        <v>999464</v>
      </c>
      <c r="AC111" s="465">
        <v>1000895</v>
      </c>
      <c r="AD111" s="465">
        <v>1016695</v>
      </c>
      <c r="AE111" s="465">
        <v>1021266</v>
      </c>
      <c r="AF111" s="465">
        <v>1065673</v>
      </c>
      <c r="AG111" s="465">
        <v>1070880</v>
      </c>
      <c r="AH111" s="465">
        <v>1075264</v>
      </c>
      <c r="AI111" s="465">
        <v>1084785</v>
      </c>
      <c r="AJ111" s="465">
        <v>1112726</v>
      </c>
      <c r="AK111" s="465">
        <v>1087411</v>
      </c>
      <c r="AL111" s="465">
        <v>1079374</v>
      </c>
    </row>
    <row r="112" spans="1:38" ht="13">
      <c r="A112" s="267"/>
      <c r="B112" s="249">
        <v>208</v>
      </c>
      <c r="C112" s="249" t="s">
        <v>206</v>
      </c>
      <c r="D112" s="350">
        <v>130906</v>
      </c>
      <c r="E112" s="350">
        <v>131743</v>
      </c>
      <c r="F112" s="350">
        <v>130567</v>
      </c>
      <c r="G112" s="350">
        <v>144988</v>
      </c>
      <c r="H112" s="350">
        <v>150153</v>
      </c>
      <c r="I112" s="350">
        <v>162106</v>
      </c>
      <c r="J112" s="350">
        <v>163661</v>
      </c>
      <c r="K112" s="350">
        <v>151371</v>
      </c>
      <c r="L112" s="350">
        <v>147598</v>
      </c>
      <c r="M112" s="350">
        <v>185959</v>
      </c>
      <c r="N112" s="350">
        <v>158959</v>
      </c>
      <c r="O112" s="350">
        <v>137867</v>
      </c>
      <c r="P112" s="710">
        <v>143049</v>
      </c>
      <c r="Q112" s="710">
        <v>113748</v>
      </c>
      <c r="R112" s="710">
        <v>105890</v>
      </c>
      <c r="S112" s="710">
        <v>109403</v>
      </c>
      <c r="T112" s="710">
        <v>128568</v>
      </c>
      <c r="U112" s="465">
        <v>134645</v>
      </c>
      <c r="V112" s="465">
        <v>137303</v>
      </c>
      <c r="W112" s="465">
        <v>133800</v>
      </c>
      <c r="X112" s="465">
        <v>130528</v>
      </c>
      <c r="Y112" s="465">
        <v>129851</v>
      </c>
      <c r="Z112" s="465">
        <v>101660</v>
      </c>
      <c r="AA112" s="465">
        <v>105516</v>
      </c>
      <c r="AB112" s="465">
        <v>101989</v>
      </c>
      <c r="AC112" s="465">
        <v>117202</v>
      </c>
      <c r="AD112" s="465">
        <v>143741</v>
      </c>
      <c r="AE112" s="465">
        <v>108138</v>
      </c>
      <c r="AF112" s="465">
        <v>118374</v>
      </c>
      <c r="AG112" s="465">
        <v>138507</v>
      </c>
      <c r="AH112" s="465">
        <v>144899</v>
      </c>
      <c r="AI112" s="465">
        <v>170672</v>
      </c>
      <c r="AJ112" s="465">
        <v>178865</v>
      </c>
      <c r="AK112" s="465">
        <v>188336</v>
      </c>
      <c r="AL112" s="465">
        <v>172468</v>
      </c>
    </row>
    <row r="113" spans="1:38" ht="13">
      <c r="A113" s="267"/>
      <c r="B113" s="249">
        <v>212</v>
      </c>
      <c r="C113" s="249" t="s">
        <v>207</v>
      </c>
      <c r="D113" s="350">
        <v>179332</v>
      </c>
      <c r="E113" s="350">
        <v>189822</v>
      </c>
      <c r="F113" s="350">
        <v>189135</v>
      </c>
      <c r="G113" s="350">
        <v>190623</v>
      </c>
      <c r="H113" s="350">
        <v>191794</v>
      </c>
      <c r="I113" s="350">
        <v>218251</v>
      </c>
      <c r="J113" s="350">
        <v>219406</v>
      </c>
      <c r="K113" s="350">
        <v>212608</v>
      </c>
      <c r="L113" s="350">
        <v>209053</v>
      </c>
      <c r="M113" s="350">
        <v>209259</v>
      </c>
      <c r="N113" s="350">
        <v>225494</v>
      </c>
      <c r="O113" s="350">
        <v>199509</v>
      </c>
      <c r="P113" s="710">
        <v>204891</v>
      </c>
      <c r="Q113" s="710">
        <v>204227</v>
      </c>
      <c r="R113" s="710">
        <v>205883</v>
      </c>
      <c r="S113" s="710">
        <v>207219</v>
      </c>
      <c r="T113" s="710">
        <v>205543</v>
      </c>
      <c r="U113" s="465">
        <v>197272</v>
      </c>
      <c r="V113" s="465">
        <v>196671</v>
      </c>
      <c r="W113" s="465">
        <v>188742</v>
      </c>
      <c r="X113" s="465">
        <v>196730</v>
      </c>
      <c r="Y113" s="465">
        <v>217352</v>
      </c>
      <c r="Z113" s="465">
        <v>217837</v>
      </c>
      <c r="AA113" s="465">
        <v>222509</v>
      </c>
      <c r="AB113" s="465">
        <v>229233</v>
      </c>
      <c r="AC113" s="465">
        <v>220153</v>
      </c>
      <c r="AD113" s="465">
        <v>227246</v>
      </c>
      <c r="AE113" s="465">
        <v>234268</v>
      </c>
      <c r="AF113" s="465">
        <v>241892</v>
      </c>
      <c r="AG113" s="465">
        <v>235359</v>
      </c>
      <c r="AH113" s="465">
        <v>239108</v>
      </c>
      <c r="AI113" s="465">
        <v>238405</v>
      </c>
      <c r="AJ113" s="465">
        <v>229314</v>
      </c>
      <c r="AK113" s="465">
        <v>232792</v>
      </c>
      <c r="AL113" s="465">
        <v>235344</v>
      </c>
    </row>
    <row r="114" spans="1:38" ht="13">
      <c r="A114" s="267"/>
      <c r="B114" s="249">
        <v>227</v>
      </c>
      <c r="C114" s="249" t="s">
        <v>219</v>
      </c>
      <c r="D114" s="350">
        <v>122077</v>
      </c>
      <c r="E114" s="350">
        <v>129138</v>
      </c>
      <c r="F114" s="350">
        <v>131550</v>
      </c>
      <c r="G114" s="350">
        <v>136491</v>
      </c>
      <c r="H114" s="350">
        <v>139327</v>
      </c>
      <c r="I114" s="350">
        <v>148228</v>
      </c>
      <c r="J114" s="350">
        <v>146541</v>
      </c>
      <c r="K114" s="350">
        <v>144284</v>
      </c>
      <c r="L114" s="350">
        <v>137101</v>
      </c>
      <c r="M114" s="350">
        <v>131818</v>
      </c>
      <c r="N114" s="350">
        <v>143140</v>
      </c>
      <c r="O114" s="350">
        <v>141352</v>
      </c>
      <c r="P114" s="710">
        <v>139589</v>
      </c>
      <c r="Q114" s="710">
        <v>137821</v>
      </c>
      <c r="R114" s="710">
        <v>134286</v>
      </c>
      <c r="S114" s="710">
        <v>132048</v>
      </c>
      <c r="T114" s="710">
        <v>131205</v>
      </c>
      <c r="U114" s="465">
        <v>127648</v>
      </c>
      <c r="V114" s="465">
        <v>130777</v>
      </c>
      <c r="W114" s="465">
        <v>123204</v>
      </c>
      <c r="X114" s="465">
        <v>118547</v>
      </c>
      <c r="Y114" s="465">
        <v>119222</v>
      </c>
      <c r="Z114" s="465">
        <v>117611</v>
      </c>
      <c r="AA114" s="465">
        <v>120622</v>
      </c>
      <c r="AB114" s="465">
        <v>126515</v>
      </c>
      <c r="AC114" s="465">
        <v>122027</v>
      </c>
      <c r="AD114" s="465">
        <v>121660</v>
      </c>
      <c r="AE114" s="465">
        <v>120912</v>
      </c>
      <c r="AF114" s="465">
        <v>120106</v>
      </c>
      <c r="AG114" s="465">
        <v>122075</v>
      </c>
      <c r="AH114" s="465">
        <v>118852</v>
      </c>
      <c r="AI114" s="465">
        <v>110319</v>
      </c>
      <c r="AJ114" s="465">
        <v>116475</v>
      </c>
      <c r="AK114" s="465">
        <v>118116</v>
      </c>
      <c r="AL114" s="465">
        <v>117480</v>
      </c>
    </row>
    <row r="115" spans="1:38" ht="13">
      <c r="A115" s="267"/>
      <c r="B115" s="249">
        <v>229</v>
      </c>
      <c r="C115" s="249" t="s">
        <v>334</v>
      </c>
      <c r="D115" s="350">
        <v>259729</v>
      </c>
      <c r="E115" s="350">
        <v>265644</v>
      </c>
      <c r="F115" s="350">
        <v>277672</v>
      </c>
      <c r="G115" s="350">
        <v>292965</v>
      </c>
      <c r="H115" s="350">
        <v>291537</v>
      </c>
      <c r="I115" s="350">
        <v>304969</v>
      </c>
      <c r="J115" s="350">
        <v>299721</v>
      </c>
      <c r="K115" s="350">
        <v>298747</v>
      </c>
      <c r="L115" s="350">
        <v>286096</v>
      </c>
      <c r="M115" s="350">
        <v>288340</v>
      </c>
      <c r="N115" s="350">
        <v>288776</v>
      </c>
      <c r="O115" s="350">
        <v>279430</v>
      </c>
      <c r="P115" s="710">
        <v>339822</v>
      </c>
      <c r="Q115" s="710">
        <v>336011</v>
      </c>
      <c r="R115" s="710">
        <v>334038</v>
      </c>
      <c r="S115" s="710">
        <v>321563</v>
      </c>
      <c r="T115" s="710">
        <v>308445</v>
      </c>
      <c r="U115" s="465">
        <v>314474</v>
      </c>
      <c r="V115" s="465">
        <v>325690</v>
      </c>
      <c r="W115" s="465">
        <v>322719</v>
      </c>
      <c r="X115" s="465">
        <v>295025</v>
      </c>
      <c r="Y115" s="465">
        <v>316722</v>
      </c>
      <c r="Z115" s="465">
        <v>335310</v>
      </c>
      <c r="AA115" s="465">
        <v>333286</v>
      </c>
      <c r="AB115" s="465">
        <v>342886</v>
      </c>
      <c r="AC115" s="465">
        <v>334206</v>
      </c>
      <c r="AD115" s="465">
        <v>353318</v>
      </c>
      <c r="AE115" s="465">
        <v>358818</v>
      </c>
      <c r="AF115" s="465">
        <v>367045</v>
      </c>
      <c r="AG115" s="465">
        <v>355033</v>
      </c>
      <c r="AH115" s="465">
        <v>357650</v>
      </c>
      <c r="AI115" s="465">
        <v>344968</v>
      </c>
      <c r="AJ115" s="465">
        <v>341788</v>
      </c>
      <c r="AK115" s="465">
        <v>335224</v>
      </c>
      <c r="AL115" s="465">
        <v>343205</v>
      </c>
    </row>
    <row r="116" spans="1:38" ht="13">
      <c r="A116" s="267"/>
      <c r="B116" s="249">
        <v>464</v>
      </c>
      <c r="C116" s="249" t="s">
        <v>208</v>
      </c>
      <c r="D116" s="350">
        <v>97219</v>
      </c>
      <c r="E116" s="350">
        <v>93300</v>
      </c>
      <c r="F116" s="350">
        <v>87733</v>
      </c>
      <c r="G116" s="350">
        <v>104983</v>
      </c>
      <c r="H116" s="350">
        <v>110638</v>
      </c>
      <c r="I116" s="350">
        <v>115217</v>
      </c>
      <c r="J116" s="350">
        <v>121200</v>
      </c>
      <c r="K116" s="350">
        <v>127269</v>
      </c>
      <c r="L116" s="350">
        <v>134527</v>
      </c>
      <c r="M116" s="350">
        <v>134002</v>
      </c>
      <c r="N116" s="350">
        <v>134101</v>
      </c>
      <c r="O116" s="350">
        <v>118434</v>
      </c>
      <c r="P116" s="710">
        <v>125287</v>
      </c>
      <c r="Q116" s="710">
        <v>128962</v>
      </c>
      <c r="R116" s="710">
        <v>122375</v>
      </c>
      <c r="S116" s="710">
        <v>117547</v>
      </c>
      <c r="T116" s="710">
        <v>110498</v>
      </c>
      <c r="U116" s="465">
        <v>105840</v>
      </c>
      <c r="V116" s="465">
        <v>113231</v>
      </c>
      <c r="W116" s="465">
        <v>99953</v>
      </c>
      <c r="X116" s="465">
        <v>92960</v>
      </c>
      <c r="Y116" s="465">
        <v>104391</v>
      </c>
      <c r="Z116" s="465">
        <v>110235</v>
      </c>
      <c r="AA116" s="465">
        <v>106466</v>
      </c>
      <c r="AB116" s="465">
        <v>92380</v>
      </c>
      <c r="AC116" s="465">
        <v>98775</v>
      </c>
      <c r="AD116" s="465">
        <v>60245</v>
      </c>
      <c r="AE116" s="465">
        <v>84643</v>
      </c>
      <c r="AF116" s="465">
        <v>103107</v>
      </c>
      <c r="AG116" s="465">
        <v>104127</v>
      </c>
      <c r="AH116" s="465">
        <v>100847</v>
      </c>
      <c r="AI116" s="465">
        <v>112858</v>
      </c>
      <c r="AJ116" s="465">
        <v>131267</v>
      </c>
      <c r="AK116" s="465">
        <v>101039</v>
      </c>
      <c r="AL116" s="465">
        <v>99614</v>
      </c>
    </row>
    <row r="117" spans="1:38" ht="13">
      <c r="A117" s="267"/>
      <c r="B117" s="249">
        <v>481</v>
      </c>
      <c r="C117" s="249" t="s">
        <v>209</v>
      </c>
      <c r="D117" s="350">
        <v>43486</v>
      </c>
      <c r="E117" s="350">
        <v>45795</v>
      </c>
      <c r="F117" s="350">
        <v>48320</v>
      </c>
      <c r="G117" s="350">
        <v>47890</v>
      </c>
      <c r="H117" s="350">
        <v>47044</v>
      </c>
      <c r="I117" s="350">
        <v>51744</v>
      </c>
      <c r="J117" s="350">
        <v>54536</v>
      </c>
      <c r="K117" s="350">
        <v>50109</v>
      </c>
      <c r="L117" s="350">
        <v>53558</v>
      </c>
      <c r="M117" s="350">
        <v>49227</v>
      </c>
      <c r="N117" s="350">
        <v>52758</v>
      </c>
      <c r="O117" s="350">
        <v>51795</v>
      </c>
      <c r="P117" s="710">
        <v>53161</v>
      </c>
      <c r="Q117" s="710">
        <v>48668</v>
      </c>
      <c r="R117" s="710">
        <v>47962</v>
      </c>
      <c r="S117" s="710">
        <v>49002</v>
      </c>
      <c r="T117" s="710">
        <v>48186</v>
      </c>
      <c r="U117" s="465">
        <v>46342</v>
      </c>
      <c r="V117" s="465">
        <v>47976</v>
      </c>
      <c r="W117" s="465">
        <v>45239</v>
      </c>
      <c r="X117" s="465">
        <v>42805</v>
      </c>
      <c r="Y117" s="465">
        <v>43694</v>
      </c>
      <c r="Z117" s="465">
        <v>42095</v>
      </c>
      <c r="AA117" s="465">
        <v>42684</v>
      </c>
      <c r="AB117" s="465">
        <v>44122</v>
      </c>
      <c r="AC117" s="465">
        <v>48127</v>
      </c>
      <c r="AD117" s="465">
        <v>49337</v>
      </c>
      <c r="AE117" s="465">
        <v>53587</v>
      </c>
      <c r="AF117" s="465">
        <v>52379</v>
      </c>
      <c r="AG117" s="465">
        <v>51778</v>
      </c>
      <c r="AH117" s="465">
        <v>50319</v>
      </c>
      <c r="AI117" s="465">
        <v>49302</v>
      </c>
      <c r="AJ117" s="465">
        <v>53900</v>
      </c>
      <c r="AK117" s="465">
        <v>51144</v>
      </c>
      <c r="AL117" s="465">
        <v>49673</v>
      </c>
    </row>
    <row r="118" spans="1:38" ht="13">
      <c r="A118" s="268"/>
      <c r="B118" s="249">
        <v>501</v>
      </c>
      <c r="C118" s="315" t="s">
        <v>335</v>
      </c>
      <c r="D118" s="350">
        <v>58737</v>
      </c>
      <c r="E118" s="350">
        <v>88689</v>
      </c>
      <c r="F118" s="350">
        <v>61174</v>
      </c>
      <c r="G118" s="350">
        <v>65637</v>
      </c>
      <c r="H118" s="350">
        <v>67386</v>
      </c>
      <c r="I118" s="350">
        <v>67998</v>
      </c>
      <c r="J118" s="350">
        <v>75052</v>
      </c>
      <c r="K118" s="350">
        <v>70681</v>
      </c>
      <c r="L118" s="350">
        <v>70056</v>
      </c>
      <c r="M118" s="350">
        <v>69305</v>
      </c>
      <c r="N118" s="350">
        <v>67446</v>
      </c>
      <c r="O118" s="350">
        <v>65435</v>
      </c>
      <c r="P118" s="710">
        <v>67291</v>
      </c>
      <c r="Q118" s="710">
        <v>68419</v>
      </c>
      <c r="R118" s="710">
        <v>67361</v>
      </c>
      <c r="S118" s="710">
        <v>67001</v>
      </c>
      <c r="T118" s="710">
        <v>62738</v>
      </c>
      <c r="U118" s="465">
        <v>62006</v>
      </c>
      <c r="V118" s="465">
        <v>61626</v>
      </c>
      <c r="W118" s="465">
        <v>60255</v>
      </c>
      <c r="X118" s="465">
        <v>59298</v>
      </c>
      <c r="Y118" s="465">
        <v>62626</v>
      </c>
      <c r="Z118" s="465">
        <v>61175</v>
      </c>
      <c r="AA118" s="465">
        <v>59413</v>
      </c>
      <c r="AB118" s="465">
        <v>62339</v>
      </c>
      <c r="AC118" s="465">
        <v>60405</v>
      </c>
      <c r="AD118" s="465">
        <v>61148</v>
      </c>
      <c r="AE118" s="465">
        <v>60900</v>
      </c>
      <c r="AF118" s="465">
        <v>62770</v>
      </c>
      <c r="AG118" s="465">
        <v>64001</v>
      </c>
      <c r="AH118" s="465">
        <v>63589</v>
      </c>
      <c r="AI118" s="465">
        <v>58261</v>
      </c>
      <c r="AJ118" s="465">
        <v>61117</v>
      </c>
      <c r="AK118" s="465">
        <v>60760</v>
      </c>
      <c r="AL118" s="465">
        <v>61590</v>
      </c>
    </row>
    <row r="119" spans="1:38" ht="13">
      <c r="A119" s="267" t="s">
        <v>346</v>
      </c>
      <c r="B119" s="270">
        <v>7</v>
      </c>
      <c r="C119" s="270" t="s">
        <v>210</v>
      </c>
      <c r="D119" s="349">
        <v>581752</v>
      </c>
      <c r="E119" s="349">
        <v>592994</v>
      </c>
      <c r="F119" s="349">
        <v>608019</v>
      </c>
      <c r="G119" s="349">
        <v>644647</v>
      </c>
      <c r="H119" s="349">
        <v>626392</v>
      </c>
      <c r="I119" s="349">
        <v>660159</v>
      </c>
      <c r="J119" s="349">
        <v>691636</v>
      </c>
      <c r="K119" s="349">
        <v>703527</v>
      </c>
      <c r="L119" s="349">
        <v>699310</v>
      </c>
      <c r="M119" s="349">
        <v>697424</v>
      </c>
      <c r="N119" s="349">
        <v>703303</v>
      </c>
      <c r="O119" s="349">
        <v>674960</v>
      </c>
      <c r="P119" s="710">
        <v>683016</v>
      </c>
      <c r="Q119" s="710">
        <v>681838</v>
      </c>
      <c r="R119" s="710">
        <v>658097</v>
      </c>
      <c r="S119" s="710">
        <v>656557</v>
      </c>
      <c r="T119" s="710">
        <v>656001</v>
      </c>
      <c r="U119" s="465">
        <v>635187</v>
      </c>
      <c r="V119" s="465">
        <v>644104</v>
      </c>
      <c r="W119" s="465">
        <v>610959</v>
      </c>
      <c r="X119" s="465">
        <v>582183</v>
      </c>
      <c r="Y119" s="465">
        <v>596840</v>
      </c>
      <c r="Z119" s="465">
        <v>583643</v>
      </c>
      <c r="AA119" s="465">
        <v>591296</v>
      </c>
      <c r="AB119" s="465">
        <v>633497</v>
      </c>
      <c r="AC119" s="465">
        <v>622915</v>
      </c>
      <c r="AD119" s="465">
        <v>630529</v>
      </c>
      <c r="AE119" s="465">
        <v>621925</v>
      </c>
      <c r="AF119" s="465">
        <v>636953</v>
      </c>
      <c r="AG119" s="465">
        <v>625127</v>
      </c>
      <c r="AH119" s="465">
        <v>633509</v>
      </c>
      <c r="AI119" s="465">
        <v>630050</v>
      </c>
      <c r="AJ119" s="465">
        <v>596697</v>
      </c>
      <c r="AK119" s="465">
        <v>581246</v>
      </c>
      <c r="AL119" s="465">
        <v>577235</v>
      </c>
    </row>
    <row r="120" spans="1:38" ht="13">
      <c r="A120" s="267"/>
      <c r="B120" s="249">
        <v>209</v>
      </c>
      <c r="C120" s="249" t="s">
        <v>336</v>
      </c>
      <c r="D120" s="350">
        <v>277929</v>
      </c>
      <c r="E120" s="350">
        <v>280168</v>
      </c>
      <c r="F120" s="350">
        <v>287579</v>
      </c>
      <c r="G120" s="350">
        <v>306099</v>
      </c>
      <c r="H120" s="350">
        <v>294636</v>
      </c>
      <c r="I120" s="350">
        <v>313352</v>
      </c>
      <c r="J120" s="350">
        <v>323982</v>
      </c>
      <c r="K120" s="350">
        <v>328119</v>
      </c>
      <c r="L120" s="350">
        <v>327919</v>
      </c>
      <c r="M120" s="350">
        <v>327109</v>
      </c>
      <c r="N120" s="350">
        <v>329843</v>
      </c>
      <c r="O120" s="350">
        <v>318048</v>
      </c>
      <c r="P120" s="710">
        <v>322602</v>
      </c>
      <c r="Q120" s="710">
        <v>331512</v>
      </c>
      <c r="R120" s="710">
        <v>318798</v>
      </c>
      <c r="S120" s="710">
        <v>319924</v>
      </c>
      <c r="T120" s="710">
        <v>319941</v>
      </c>
      <c r="U120" s="465">
        <v>310654</v>
      </c>
      <c r="V120" s="465">
        <v>313198</v>
      </c>
      <c r="W120" s="465">
        <v>300167</v>
      </c>
      <c r="X120" s="465">
        <v>288547</v>
      </c>
      <c r="Y120" s="465">
        <v>294522</v>
      </c>
      <c r="Z120" s="465">
        <v>283014</v>
      </c>
      <c r="AA120" s="465">
        <v>290473</v>
      </c>
      <c r="AB120" s="465">
        <v>312298</v>
      </c>
      <c r="AC120" s="465">
        <v>299759</v>
      </c>
      <c r="AD120" s="465">
        <v>309732</v>
      </c>
      <c r="AE120" s="465">
        <v>310071</v>
      </c>
      <c r="AF120" s="465">
        <v>311979</v>
      </c>
      <c r="AG120" s="465">
        <v>311104</v>
      </c>
      <c r="AH120" s="465">
        <v>311388</v>
      </c>
      <c r="AI120" s="465">
        <v>292787</v>
      </c>
      <c r="AJ120" s="465">
        <v>294985</v>
      </c>
      <c r="AK120" s="465">
        <v>291536</v>
      </c>
      <c r="AL120" s="465">
        <v>293009</v>
      </c>
    </row>
    <row r="121" spans="1:38" ht="13">
      <c r="A121" s="267"/>
      <c r="B121" s="249">
        <v>222</v>
      </c>
      <c r="C121" s="249" t="s">
        <v>337</v>
      </c>
      <c r="D121" s="350">
        <v>87017</v>
      </c>
      <c r="E121" s="350">
        <v>91924</v>
      </c>
      <c r="F121" s="350">
        <v>93267</v>
      </c>
      <c r="G121" s="350">
        <v>94201</v>
      </c>
      <c r="H121" s="350">
        <v>95066</v>
      </c>
      <c r="I121" s="350">
        <v>98982</v>
      </c>
      <c r="J121" s="350">
        <v>107134</v>
      </c>
      <c r="K121" s="350">
        <v>110516</v>
      </c>
      <c r="L121" s="350">
        <v>108587</v>
      </c>
      <c r="M121" s="350">
        <v>108298</v>
      </c>
      <c r="N121" s="350">
        <v>106281</v>
      </c>
      <c r="O121" s="350">
        <v>100387</v>
      </c>
      <c r="P121" s="710">
        <v>98451</v>
      </c>
      <c r="Q121" s="710">
        <v>104188</v>
      </c>
      <c r="R121" s="710">
        <v>94268</v>
      </c>
      <c r="S121" s="710">
        <v>92451</v>
      </c>
      <c r="T121" s="710">
        <v>94356</v>
      </c>
      <c r="U121" s="465">
        <v>92429</v>
      </c>
      <c r="V121" s="465">
        <v>89639</v>
      </c>
      <c r="W121" s="465">
        <v>84253</v>
      </c>
      <c r="X121" s="465">
        <v>72255</v>
      </c>
      <c r="Y121" s="465">
        <v>78614</v>
      </c>
      <c r="Z121" s="465">
        <v>86611</v>
      </c>
      <c r="AA121" s="465">
        <v>88341</v>
      </c>
      <c r="AB121" s="465">
        <v>93261</v>
      </c>
      <c r="AC121" s="465">
        <v>91942</v>
      </c>
      <c r="AD121" s="465">
        <v>85982</v>
      </c>
      <c r="AE121" s="465">
        <v>85999</v>
      </c>
      <c r="AF121" s="465">
        <v>87827</v>
      </c>
      <c r="AG121" s="465">
        <v>83809</v>
      </c>
      <c r="AH121" s="465">
        <v>79711</v>
      </c>
      <c r="AI121" s="465">
        <v>76478</v>
      </c>
      <c r="AJ121" s="465">
        <v>81483</v>
      </c>
      <c r="AK121" s="465">
        <v>81008</v>
      </c>
      <c r="AL121" s="465">
        <v>73921</v>
      </c>
    </row>
    <row r="122" spans="1:38" ht="13">
      <c r="A122" s="267"/>
      <c r="B122" s="249">
        <v>225</v>
      </c>
      <c r="C122" s="249" t="s">
        <v>222</v>
      </c>
      <c r="D122" s="350">
        <v>109371</v>
      </c>
      <c r="E122" s="350">
        <v>113199</v>
      </c>
      <c r="F122" s="350">
        <v>114634</v>
      </c>
      <c r="G122" s="350">
        <v>121053</v>
      </c>
      <c r="H122" s="350">
        <v>122333</v>
      </c>
      <c r="I122" s="350">
        <v>131209</v>
      </c>
      <c r="J122" s="350">
        <v>141644</v>
      </c>
      <c r="K122" s="350">
        <v>144747</v>
      </c>
      <c r="L122" s="350">
        <v>140710</v>
      </c>
      <c r="M122" s="350">
        <v>141458</v>
      </c>
      <c r="N122" s="350">
        <v>145527</v>
      </c>
      <c r="O122" s="350">
        <v>138458</v>
      </c>
      <c r="P122" s="710">
        <v>144156</v>
      </c>
      <c r="Q122" s="710">
        <v>133230</v>
      </c>
      <c r="R122" s="710">
        <v>132492</v>
      </c>
      <c r="S122" s="710">
        <v>131718</v>
      </c>
      <c r="T122" s="710">
        <v>128032</v>
      </c>
      <c r="U122" s="465">
        <v>124105</v>
      </c>
      <c r="V122" s="465">
        <v>134197</v>
      </c>
      <c r="W122" s="465">
        <v>126604</v>
      </c>
      <c r="X122" s="465">
        <v>125396</v>
      </c>
      <c r="Y122" s="465">
        <v>129783</v>
      </c>
      <c r="Z122" s="465">
        <v>122282</v>
      </c>
      <c r="AA122" s="465">
        <v>119211</v>
      </c>
      <c r="AB122" s="465">
        <v>126576</v>
      </c>
      <c r="AC122" s="465">
        <v>130319</v>
      </c>
      <c r="AD122" s="465">
        <v>128054</v>
      </c>
      <c r="AE122" s="465">
        <v>126388</v>
      </c>
      <c r="AF122" s="465">
        <v>131261</v>
      </c>
      <c r="AG122" s="465">
        <v>126688</v>
      </c>
      <c r="AH122" s="465">
        <v>139348</v>
      </c>
      <c r="AI122" s="465">
        <v>164905</v>
      </c>
      <c r="AJ122" s="465">
        <v>124734</v>
      </c>
      <c r="AK122" s="465">
        <v>114105</v>
      </c>
      <c r="AL122" s="465">
        <v>113442</v>
      </c>
    </row>
    <row r="123" spans="1:38" ht="13">
      <c r="A123" s="267"/>
      <c r="B123" s="249">
        <v>585</v>
      </c>
      <c r="C123" s="249" t="s">
        <v>220</v>
      </c>
      <c r="D123" s="350">
        <v>62502</v>
      </c>
      <c r="E123" s="350">
        <v>63061</v>
      </c>
      <c r="F123" s="350">
        <v>65340</v>
      </c>
      <c r="G123" s="350">
        <v>70808</v>
      </c>
      <c r="H123" s="350">
        <v>65002</v>
      </c>
      <c r="I123" s="350">
        <v>68691</v>
      </c>
      <c r="J123" s="350">
        <v>69642</v>
      </c>
      <c r="K123" s="350">
        <v>69896</v>
      </c>
      <c r="L123" s="350">
        <v>69910</v>
      </c>
      <c r="M123" s="350">
        <v>71373</v>
      </c>
      <c r="N123" s="350">
        <v>70551</v>
      </c>
      <c r="O123" s="350">
        <v>68294</v>
      </c>
      <c r="P123" s="710">
        <v>68338</v>
      </c>
      <c r="Q123" s="710">
        <v>65254</v>
      </c>
      <c r="R123" s="710">
        <v>64357</v>
      </c>
      <c r="S123" s="710">
        <v>64445</v>
      </c>
      <c r="T123" s="710">
        <v>66058</v>
      </c>
      <c r="U123" s="465">
        <v>62018</v>
      </c>
      <c r="V123" s="465">
        <v>61877</v>
      </c>
      <c r="W123" s="465">
        <v>57947</v>
      </c>
      <c r="X123" s="465">
        <v>55698</v>
      </c>
      <c r="Y123" s="465">
        <v>54367</v>
      </c>
      <c r="Z123" s="465">
        <v>52975</v>
      </c>
      <c r="AA123" s="465">
        <v>54409</v>
      </c>
      <c r="AB123" s="465">
        <v>57436</v>
      </c>
      <c r="AC123" s="465">
        <v>56566</v>
      </c>
      <c r="AD123" s="465">
        <v>55509</v>
      </c>
      <c r="AE123" s="465">
        <v>55778</v>
      </c>
      <c r="AF123" s="465">
        <v>58672</v>
      </c>
      <c r="AG123" s="465">
        <v>55674</v>
      </c>
      <c r="AH123" s="465">
        <v>55763</v>
      </c>
      <c r="AI123" s="465">
        <v>52035</v>
      </c>
      <c r="AJ123" s="465">
        <v>51491</v>
      </c>
      <c r="AK123" s="465">
        <v>51825</v>
      </c>
      <c r="AL123" s="465">
        <v>52220</v>
      </c>
    </row>
    <row r="124" spans="1:38" ht="13">
      <c r="A124" s="268"/>
      <c r="B124" s="269">
        <v>586</v>
      </c>
      <c r="C124" s="269" t="s">
        <v>338</v>
      </c>
      <c r="D124" s="402">
        <v>44933</v>
      </c>
      <c r="E124" s="402">
        <v>44642</v>
      </c>
      <c r="F124" s="402">
        <v>47199</v>
      </c>
      <c r="G124" s="402">
        <v>52486</v>
      </c>
      <c r="H124" s="402">
        <v>49355</v>
      </c>
      <c r="I124" s="402">
        <v>47925</v>
      </c>
      <c r="J124" s="402">
        <v>49234</v>
      </c>
      <c r="K124" s="402">
        <v>50249</v>
      </c>
      <c r="L124" s="402">
        <v>52184</v>
      </c>
      <c r="M124" s="402">
        <v>49186</v>
      </c>
      <c r="N124" s="402">
        <v>51101</v>
      </c>
      <c r="O124" s="402">
        <v>49773</v>
      </c>
      <c r="P124" s="710">
        <v>49469</v>
      </c>
      <c r="Q124" s="710">
        <v>47654</v>
      </c>
      <c r="R124" s="710">
        <v>48182</v>
      </c>
      <c r="S124" s="710">
        <v>48019</v>
      </c>
      <c r="T124" s="710">
        <v>47614</v>
      </c>
      <c r="U124" s="465">
        <v>45981</v>
      </c>
      <c r="V124" s="465">
        <v>45193</v>
      </c>
      <c r="W124" s="465">
        <v>41988</v>
      </c>
      <c r="X124" s="465">
        <v>40287</v>
      </c>
      <c r="Y124" s="465">
        <v>39554</v>
      </c>
      <c r="Z124" s="465">
        <v>38761</v>
      </c>
      <c r="AA124" s="465">
        <v>38862</v>
      </c>
      <c r="AB124" s="465">
        <v>43926</v>
      </c>
      <c r="AC124" s="465">
        <v>44329</v>
      </c>
      <c r="AD124" s="465">
        <v>51252</v>
      </c>
      <c r="AE124" s="465">
        <v>43689</v>
      </c>
      <c r="AF124" s="465">
        <v>47214</v>
      </c>
      <c r="AG124" s="465">
        <v>47852</v>
      </c>
      <c r="AH124" s="465">
        <v>47299</v>
      </c>
      <c r="AI124" s="465">
        <v>43845</v>
      </c>
      <c r="AJ124" s="465">
        <v>44004</v>
      </c>
      <c r="AK124" s="465">
        <v>42772</v>
      </c>
      <c r="AL124" s="465">
        <v>44643</v>
      </c>
    </row>
    <row r="125" spans="1:38" ht="13">
      <c r="A125" s="267" t="s">
        <v>346</v>
      </c>
      <c r="B125" s="249">
        <v>8</v>
      </c>
      <c r="C125" s="249" t="s">
        <v>211</v>
      </c>
      <c r="D125" s="350">
        <v>327297</v>
      </c>
      <c r="E125" s="350">
        <v>341159</v>
      </c>
      <c r="F125" s="350">
        <v>357195</v>
      </c>
      <c r="G125" s="350">
        <v>369258</v>
      </c>
      <c r="H125" s="350">
        <v>387328</v>
      </c>
      <c r="I125" s="350">
        <v>407762</v>
      </c>
      <c r="J125" s="350">
        <v>407629</v>
      </c>
      <c r="K125" s="350">
        <v>378945</v>
      </c>
      <c r="L125" s="350">
        <v>376194</v>
      </c>
      <c r="M125" s="350">
        <v>359657</v>
      </c>
      <c r="N125" s="350">
        <v>378601</v>
      </c>
      <c r="O125" s="350">
        <v>378280</v>
      </c>
      <c r="P125" s="710">
        <v>405637</v>
      </c>
      <c r="Q125" s="710">
        <v>403599</v>
      </c>
      <c r="R125" s="710">
        <v>398762</v>
      </c>
      <c r="S125" s="710">
        <v>392716</v>
      </c>
      <c r="T125" s="710">
        <v>391710</v>
      </c>
      <c r="U125" s="465">
        <v>394597</v>
      </c>
      <c r="V125" s="465">
        <v>411175</v>
      </c>
      <c r="W125" s="465">
        <v>377214</v>
      </c>
      <c r="X125" s="465">
        <v>357061</v>
      </c>
      <c r="Y125" s="465">
        <v>373206</v>
      </c>
      <c r="Z125" s="465">
        <v>366777</v>
      </c>
      <c r="AA125" s="465">
        <v>295698</v>
      </c>
      <c r="AB125" s="465">
        <v>412702</v>
      </c>
      <c r="AC125" s="465">
        <v>398133</v>
      </c>
      <c r="AD125" s="465">
        <v>418714</v>
      </c>
      <c r="AE125" s="465">
        <v>422068</v>
      </c>
      <c r="AF125" s="465">
        <v>426654</v>
      </c>
      <c r="AG125" s="465">
        <v>438341</v>
      </c>
      <c r="AH125" s="465">
        <v>472616</v>
      </c>
      <c r="AI125" s="465">
        <v>446621</v>
      </c>
      <c r="AJ125" s="465">
        <v>454129</v>
      </c>
      <c r="AK125" s="465">
        <v>454813</v>
      </c>
      <c r="AL125" s="465">
        <v>460281</v>
      </c>
    </row>
    <row r="126" spans="1:38" ht="13">
      <c r="A126" s="267"/>
      <c r="B126" s="249">
        <v>221</v>
      </c>
      <c r="C126" s="249" t="s">
        <v>1158</v>
      </c>
      <c r="D126" s="350">
        <v>113278</v>
      </c>
      <c r="E126" s="350">
        <v>120455</v>
      </c>
      <c r="F126" s="350">
        <v>135389</v>
      </c>
      <c r="G126" s="350">
        <v>145866</v>
      </c>
      <c r="H126" s="350">
        <v>161257</v>
      </c>
      <c r="I126" s="350">
        <v>172220</v>
      </c>
      <c r="J126" s="350">
        <v>176813</v>
      </c>
      <c r="K126" s="350">
        <v>152071</v>
      </c>
      <c r="L126" s="350">
        <v>146030</v>
      </c>
      <c r="M126" s="350">
        <v>136927</v>
      </c>
      <c r="N126" s="350">
        <v>143447</v>
      </c>
      <c r="O126" s="350">
        <v>148201</v>
      </c>
      <c r="P126" s="710">
        <v>158259</v>
      </c>
      <c r="Q126" s="710">
        <v>156564</v>
      </c>
      <c r="R126" s="710">
        <v>155738</v>
      </c>
      <c r="S126" s="710">
        <v>145889</v>
      </c>
      <c r="T126" s="710">
        <v>149065</v>
      </c>
      <c r="U126" s="465">
        <v>152753</v>
      </c>
      <c r="V126" s="465">
        <v>156099</v>
      </c>
      <c r="W126" s="465">
        <v>147944</v>
      </c>
      <c r="X126" s="465">
        <v>143433</v>
      </c>
      <c r="Y126" s="465">
        <v>150523</v>
      </c>
      <c r="Z126" s="465">
        <v>119196</v>
      </c>
      <c r="AA126" s="465">
        <v>51826</v>
      </c>
      <c r="AB126" s="465">
        <v>152079</v>
      </c>
      <c r="AC126" s="465">
        <v>147919</v>
      </c>
      <c r="AD126" s="465">
        <v>158335</v>
      </c>
      <c r="AE126" s="465">
        <v>160986</v>
      </c>
      <c r="AF126" s="465">
        <v>167051</v>
      </c>
      <c r="AG126" s="465">
        <v>183003</v>
      </c>
      <c r="AH126" s="465">
        <v>215529</v>
      </c>
      <c r="AI126" s="465">
        <v>202952</v>
      </c>
      <c r="AJ126" s="465">
        <v>197358</v>
      </c>
      <c r="AK126" s="465">
        <v>199674</v>
      </c>
      <c r="AL126" s="465">
        <v>205011</v>
      </c>
    </row>
    <row r="127" spans="1:38" ht="13">
      <c r="A127" s="267"/>
      <c r="B127" s="249">
        <v>223</v>
      </c>
      <c r="C127" s="249" t="s">
        <v>223</v>
      </c>
      <c r="D127" s="350">
        <v>214019</v>
      </c>
      <c r="E127" s="350">
        <v>220704</v>
      </c>
      <c r="F127" s="350">
        <v>221806</v>
      </c>
      <c r="G127" s="350">
        <v>223392</v>
      </c>
      <c r="H127" s="350">
        <v>226071</v>
      </c>
      <c r="I127" s="350">
        <v>235542</v>
      </c>
      <c r="J127" s="350">
        <v>230816</v>
      </c>
      <c r="K127" s="350">
        <v>226874</v>
      </c>
      <c r="L127" s="350">
        <v>230164</v>
      </c>
      <c r="M127" s="350">
        <v>222730</v>
      </c>
      <c r="N127" s="350">
        <v>235154</v>
      </c>
      <c r="O127" s="350">
        <v>230079</v>
      </c>
      <c r="P127" s="710">
        <v>247378</v>
      </c>
      <c r="Q127" s="710">
        <v>247035</v>
      </c>
      <c r="R127" s="710">
        <v>243024</v>
      </c>
      <c r="S127" s="710">
        <v>246827</v>
      </c>
      <c r="T127" s="710">
        <v>242645</v>
      </c>
      <c r="U127" s="465">
        <v>241844</v>
      </c>
      <c r="V127" s="465">
        <v>255076</v>
      </c>
      <c r="W127" s="465">
        <v>229270</v>
      </c>
      <c r="X127" s="465">
        <v>213628</v>
      </c>
      <c r="Y127" s="465">
        <v>222683</v>
      </c>
      <c r="Z127" s="465">
        <v>247581</v>
      </c>
      <c r="AA127" s="465">
        <v>243872</v>
      </c>
      <c r="AB127" s="465">
        <v>260623</v>
      </c>
      <c r="AC127" s="465">
        <v>250214</v>
      </c>
      <c r="AD127" s="465">
        <v>260379</v>
      </c>
      <c r="AE127" s="465">
        <v>261082</v>
      </c>
      <c r="AF127" s="465">
        <v>259603</v>
      </c>
      <c r="AG127" s="465">
        <v>255338</v>
      </c>
      <c r="AH127" s="465">
        <v>257087</v>
      </c>
      <c r="AI127" s="465">
        <v>243669</v>
      </c>
      <c r="AJ127" s="465">
        <v>256771</v>
      </c>
      <c r="AK127" s="465">
        <v>255139</v>
      </c>
      <c r="AL127" s="465">
        <v>255270</v>
      </c>
    </row>
    <row r="128" spans="1:38" ht="13">
      <c r="A128" s="273" t="s">
        <v>344</v>
      </c>
      <c r="B128" s="270">
        <v>9</v>
      </c>
      <c r="C128" s="270" t="s">
        <v>212</v>
      </c>
      <c r="D128" s="349">
        <v>496450</v>
      </c>
      <c r="E128" s="349">
        <v>512837</v>
      </c>
      <c r="F128" s="349">
        <v>514178</v>
      </c>
      <c r="G128" s="349">
        <v>544743</v>
      </c>
      <c r="H128" s="349">
        <v>542845</v>
      </c>
      <c r="I128" s="349">
        <v>556999</v>
      </c>
      <c r="J128" s="349">
        <v>566536</v>
      </c>
      <c r="K128" s="349">
        <v>585191</v>
      </c>
      <c r="L128" s="349">
        <v>556201</v>
      </c>
      <c r="M128" s="349">
        <v>548284</v>
      </c>
      <c r="N128" s="349">
        <v>550004</v>
      </c>
      <c r="O128" s="349">
        <v>525491</v>
      </c>
      <c r="P128" s="710">
        <v>565149</v>
      </c>
      <c r="Q128" s="710">
        <v>548631</v>
      </c>
      <c r="R128" s="710">
        <v>519837</v>
      </c>
      <c r="S128" s="710">
        <v>512525</v>
      </c>
      <c r="T128" s="710">
        <v>507259</v>
      </c>
      <c r="U128" s="465">
        <v>500905</v>
      </c>
      <c r="V128" s="465">
        <v>498564</v>
      </c>
      <c r="W128" s="465">
        <v>476416</v>
      </c>
      <c r="X128" s="465">
        <v>458119</v>
      </c>
      <c r="Y128" s="465">
        <v>476932</v>
      </c>
      <c r="Z128" s="465">
        <v>455257</v>
      </c>
      <c r="AA128" s="465">
        <v>453656</v>
      </c>
      <c r="AB128" s="465">
        <v>464902</v>
      </c>
      <c r="AC128" s="465">
        <v>451446</v>
      </c>
      <c r="AD128" s="465">
        <v>465574</v>
      </c>
      <c r="AE128" s="465">
        <v>469874</v>
      </c>
      <c r="AF128" s="465">
        <v>467903</v>
      </c>
      <c r="AG128" s="465">
        <v>464893</v>
      </c>
      <c r="AH128" s="465">
        <v>466919</v>
      </c>
      <c r="AI128" s="465">
        <v>435297</v>
      </c>
      <c r="AJ128" s="465">
        <v>446308</v>
      </c>
      <c r="AK128" s="465">
        <v>465571</v>
      </c>
      <c r="AL128" s="465">
        <v>478816</v>
      </c>
    </row>
    <row r="129" spans="1:38" ht="13">
      <c r="A129" s="267"/>
      <c r="B129" s="249">
        <v>205</v>
      </c>
      <c r="C129" s="249" t="s">
        <v>339</v>
      </c>
      <c r="D129" s="350">
        <v>207601</v>
      </c>
      <c r="E129" s="350">
        <v>213065</v>
      </c>
      <c r="F129" s="350">
        <v>209148</v>
      </c>
      <c r="G129" s="350">
        <v>219537</v>
      </c>
      <c r="H129" s="350">
        <v>227789</v>
      </c>
      <c r="I129" s="350">
        <v>225110</v>
      </c>
      <c r="J129" s="350">
        <v>225279</v>
      </c>
      <c r="K129" s="350">
        <v>237933</v>
      </c>
      <c r="L129" s="350">
        <v>224049</v>
      </c>
      <c r="M129" s="350">
        <v>223028</v>
      </c>
      <c r="N129" s="350">
        <v>236317</v>
      </c>
      <c r="O129" s="350">
        <v>219624</v>
      </c>
      <c r="P129" s="710">
        <v>235530</v>
      </c>
      <c r="Q129" s="710">
        <v>219010</v>
      </c>
      <c r="R129" s="710">
        <v>198163</v>
      </c>
      <c r="S129" s="710">
        <v>198985</v>
      </c>
      <c r="T129" s="710">
        <v>202437</v>
      </c>
      <c r="U129" s="465">
        <v>199564</v>
      </c>
      <c r="V129" s="465">
        <v>193678</v>
      </c>
      <c r="W129" s="465">
        <v>179960</v>
      </c>
      <c r="X129" s="465">
        <v>176620</v>
      </c>
      <c r="Y129" s="465">
        <v>182729</v>
      </c>
      <c r="Z129" s="465">
        <v>160767</v>
      </c>
      <c r="AA129" s="465">
        <v>159975</v>
      </c>
      <c r="AB129" s="465">
        <v>163582</v>
      </c>
      <c r="AC129" s="465">
        <v>157431</v>
      </c>
      <c r="AD129" s="465">
        <v>166534</v>
      </c>
      <c r="AE129" s="465">
        <v>159754</v>
      </c>
      <c r="AF129" s="465">
        <v>159126</v>
      </c>
      <c r="AG129" s="465">
        <v>157933</v>
      </c>
      <c r="AH129" s="465">
        <v>156777</v>
      </c>
      <c r="AI129" s="465">
        <v>146403</v>
      </c>
      <c r="AJ129" s="465">
        <v>152213</v>
      </c>
      <c r="AK129" s="465">
        <v>164046</v>
      </c>
      <c r="AL129" s="465">
        <v>167283</v>
      </c>
    </row>
    <row r="130" spans="1:38" ht="13">
      <c r="A130" s="267"/>
      <c r="B130" s="249">
        <v>224</v>
      </c>
      <c r="C130" s="249" t="s">
        <v>224</v>
      </c>
      <c r="D130" s="350">
        <v>157870</v>
      </c>
      <c r="E130" s="350">
        <v>162573</v>
      </c>
      <c r="F130" s="350">
        <v>165270</v>
      </c>
      <c r="G130" s="350">
        <v>181056</v>
      </c>
      <c r="H130" s="350">
        <v>177379</v>
      </c>
      <c r="I130" s="350">
        <v>174701</v>
      </c>
      <c r="J130" s="350">
        <v>181763</v>
      </c>
      <c r="K130" s="350">
        <v>177587</v>
      </c>
      <c r="L130" s="350">
        <v>176689</v>
      </c>
      <c r="M130" s="350">
        <v>164626</v>
      </c>
      <c r="N130" s="350">
        <v>169282</v>
      </c>
      <c r="O130" s="350">
        <v>164935</v>
      </c>
      <c r="P130" s="710">
        <v>174552</v>
      </c>
      <c r="Q130" s="710">
        <v>177284</v>
      </c>
      <c r="R130" s="710">
        <v>175576</v>
      </c>
      <c r="S130" s="710">
        <v>168677</v>
      </c>
      <c r="T130" s="710">
        <v>164474</v>
      </c>
      <c r="U130" s="465">
        <v>159931</v>
      </c>
      <c r="V130" s="465">
        <v>159406</v>
      </c>
      <c r="W130" s="465">
        <v>156311</v>
      </c>
      <c r="X130" s="465">
        <v>147436</v>
      </c>
      <c r="Y130" s="465">
        <v>157849</v>
      </c>
      <c r="Z130" s="465">
        <v>158521</v>
      </c>
      <c r="AA130" s="465">
        <v>152248</v>
      </c>
      <c r="AB130" s="465">
        <v>159824</v>
      </c>
      <c r="AC130" s="465">
        <v>156237</v>
      </c>
      <c r="AD130" s="465">
        <v>162026</v>
      </c>
      <c r="AE130" s="465">
        <v>162442</v>
      </c>
      <c r="AF130" s="465">
        <v>163379</v>
      </c>
      <c r="AG130" s="465">
        <v>162094</v>
      </c>
      <c r="AH130" s="465">
        <v>161435</v>
      </c>
      <c r="AI130" s="465">
        <v>148693</v>
      </c>
      <c r="AJ130" s="465">
        <v>146838</v>
      </c>
      <c r="AK130" s="465">
        <v>150390</v>
      </c>
      <c r="AL130" s="465">
        <v>155260</v>
      </c>
    </row>
    <row r="131" spans="1:38" ht="13">
      <c r="A131" s="268"/>
      <c r="B131" s="269">
        <v>226</v>
      </c>
      <c r="C131" s="269" t="s">
        <v>225</v>
      </c>
      <c r="D131" s="402">
        <v>130979</v>
      </c>
      <c r="E131" s="402">
        <v>137199</v>
      </c>
      <c r="F131" s="402">
        <v>139760</v>
      </c>
      <c r="G131" s="402">
        <v>144150</v>
      </c>
      <c r="H131" s="402">
        <v>137677</v>
      </c>
      <c r="I131" s="402">
        <v>157188</v>
      </c>
      <c r="J131" s="402">
        <v>159494</v>
      </c>
      <c r="K131" s="402">
        <v>169671</v>
      </c>
      <c r="L131" s="402">
        <v>155463</v>
      </c>
      <c r="M131" s="402">
        <v>160630</v>
      </c>
      <c r="N131" s="402">
        <v>144405</v>
      </c>
      <c r="O131" s="402">
        <v>140932</v>
      </c>
      <c r="P131" s="553">
        <v>155067</v>
      </c>
      <c r="Q131" s="553">
        <v>152337</v>
      </c>
      <c r="R131" s="553">
        <v>146098</v>
      </c>
      <c r="S131" s="553">
        <v>144863</v>
      </c>
      <c r="T131" s="553">
        <v>140348</v>
      </c>
      <c r="U131" s="465">
        <v>141410</v>
      </c>
      <c r="V131" s="465">
        <v>145480</v>
      </c>
      <c r="W131" s="465">
        <v>140145</v>
      </c>
      <c r="X131" s="465">
        <v>134063</v>
      </c>
      <c r="Y131" s="465">
        <v>136354</v>
      </c>
      <c r="Z131" s="525">
        <v>135969</v>
      </c>
      <c r="AA131" s="525">
        <v>141433</v>
      </c>
      <c r="AB131" s="525">
        <v>141496</v>
      </c>
      <c r="AC131" s="525">
        <v>137778</v>
      </c>
      <c r="AD131" s="525">
        <v>137014</v>
      </c>
      <c r="AE131" s="525">
        <v>147678</v>
      </c>
      <c r="AF131" s="525">
        <v>145398</v>
      </c>
      <c r="AG131" s="525">
        <v>144866</v>
      </c>
      <c r="AH131" s="525">
        <v>148707</v>
      </c>
      <c r="AI131" s="525">
        <v>140201</v>
      </c>
      <c r="AJ131" s="525">
        <v>147257</v>
      </c>
      <c r="AK131" s="525">
        <v>151135</v>
      </c>
      <c r="AL131" s="525">
        <v>156273</v>
      </c>
    </row>
    <row r="132" spans="1:38" ht="13">
      <c r="AA132" s="75"/>
      <c r="AB132" s="75"/>
    </row>
    <row r="133" spans="1:38" ht="13">
      <c r="AA133" s="75"/>
      <c r="AB133" s="75"/>
    </row>
    <row r="134" spans="1:38" ht="13">
      <c r="AA134" s="75"/>
      <c r="AB134" s="75"/>
    </row>
    <row r="135" spans="1:38" ht="13">
      <c r="AA135" s="75"/>
      <c r="AB135" s="75"/>
    </row>
    <row r="136" spans="1:38" ht="13">
      <c r="AA136" s="75"/>
      <c r="AB136" s="75"/>
    </row>
    <row r="137" spans="1:38" ht="13">
      <c r="AA137" s="75"/>
      <c r="AB137" s="75"/>
    </row>
    <row r="138" spans="1:38" ht="13">
      <c r="AA138" s="75"/>
      <c r="AB138" s="75"/>
    </row>
    <row r="139" spans="1:38" ht="13">
      <c r="AA139" s="75"/>
      <c r="AB139" s="75"/>
    </row>
    <row r="140" spans="1:38" ht="13">
      <c r="AA140" s="75"/>
      <c r="AB140" s="75"/>
    </row>
    <row r="141" spans="1:38" ht="13">
      <c r="AA141" s="75"/>
      <c r="AB141" s="75"/>
    </row>
    <row r="142" spans="1:38" ht="13">
      <c r="AA142" s="75"/>
      <c r="AB142" s="75"/>
    </row>
    <row r="143" spans="1:38" ht="13">
      <c r="AA143" s="75"/>
      <c r="AB143" s="75"/>
    </row>
    <row r="144" spans="1:38" ht="13">
      <c r="AA144" s="75"/>
      <c r="AB144" s="75"/>
    </row>
    <row r="145" s="75" customFormat="1" ht="13"/>
    <row r="146" s="75" customFormat="1" ht="13"/>
    <row r="147" s="75" customFormat="1" ht="13"/>
    <row r="148" s="75" customFormat="1" ht="13"/>
    <row r="149" s="75" customFormat="1" ht="13"/>
    <row r="150" s="75" customFormat="1" ht="13"/>
    <row r="151" s="75" customFormat="1" ht="13"/>
    <row r="152" s="75" customFormat="1" ht="13"/>
    <row r="153" s="75" customFormat="1" ht="13"/>
    <row r="154" s="75" customFormat="1" ht="13"/>
    <row r="155" s="75" customFormat="1" ht="13"/>
    <row r="156" s="75" customFormat="1" ht="13"/>
    <row r="157" s="75" customFormat="1" ht="13"/>
    <row r="158" s="75" customFormat="1" ht="13"/>
    <row r="159" s="75" customFormat="1" ht="13"/>
    <row r="160" s="75" customFormat="1" ht="13"/>
    <row r="161" s="75" customFormat="1" ht="13"/>
    <row r="162" s="75" customFormat="1" ht="13"/>
    <row r="163" s="75" customFormat="1" ht="13"/>
    <row r="164" s="75" customFormat="1" ht="13"/>
    <row r="165" s="75" customFormat="1" ht="13"/>
    <row r="166" s="75" customFormat="1" ht="13"/>
    <row r="167" s="75" customFormat="1" ht="13"/>
    <row r="168" s="75" customFormat="1" ht="13"/>
    <row r="169" s="75" customFormat="1" ht="13"/>
    <row r="170" s="75" customFormat="1" ht="13"/>
    <row r="171" s="75" customFormat="1" ht="13"/>
    <row r="172" s="75" customFormat="1" ht="13"/>
    <row r="173" s="75" customFormat="1" ht="13"/>
    <row r="174" s="75" customFormat="1" ht="13"/>
    <row r="175" s="75" customFormat="1" ht="13"/>
    <row r="176" s="75" customFormat="1" ht="13"/>
    <row r="177" spans="27:28" ht="13">
      <c r="AA177" s="75"/>
      <c r="AB177" s="75"/>
    </row>
    <row r="178" spans="27:28" ht="13">
      <c r="AA178" s="75"/>
      <c r="AB178" s="75"/>
    </row>
    <row r="179" spans="27:28" ht="13">
      <c r="AA179" s="75"/>
      <c r="AB179" s="75"/>
    </row>
    <row r="180" spans="27:28" ht="13">
      <c r="AA180" s="75"/>
      <c r="AB180" s="75"/>
    </row>
    <row r="181" spans="27:28" ht="13">
      <c r="AA181" s="75"/>
      <c r="AB181" s="75"/>
    </row>
    <row r="182" spans="27:28" ht="13">
      <c r="AA182" s="75"/>
      <c r="AB182" s="75"/>
    </row>
    <row r="183" spans="27:28" ht="13">
      <c r="AA183" s="75"/>
      <c r="AB183" s="75"/>
    </row>
    <row r="184" spans="27:28" ht="13">
      <c r="AA184" s="75"/>
      <c r="AB184" s="75"/>
    </row>
    <row r="185" spans="27:28">
      <c r="AA185" s="75"/>
    </row>
    <row r="186" spans="27:28">
      <c r="AA186" s="75"/>
    </row>
    <row r="187" spans="27:28">
      <c r="AA187" s="75"/>
    </row>
    <row r="188" spans="27:28">
      <c r="AA188" s="75"/>
    </row>
    <row r="189" spans="27:28">
      <c r="AA189" s="75"/>
    </row>
    <row r="190" spans="27:28">
      <c r="AA190" s="75"/>
    </row>
    <row r="191" spans="27:28">
      <c r="AA191" s="75"/>
    </row>
    <row r="192" spans="27:28">
      <c r="AA192" s="75"/>
    </row>
    <row r="193" spans="27:27">
      <c r="AA193" s="75"/>
    </row>
    <row r="194" spans="27:27">
      <c r="AA194" s="75"/>
    </row>
    <row r="195" spans="27:27">
      <c r="AA195" s="75"/>
    </row>
    <row r="196" spans="27:27">
      <c r="AA196" s="75"/>
    </row>
    <row r="197" spans="27:27">
      <c r="AA197" s="75"/>
    </row>
  </sheetData>
  <phoneticPr fontId="13"/>
  <pageMargins left="0.75" right="0.75" top="1" bottom="1" header="0.51200000000000001" footer="0.51200000000000001"/>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B5501-BD8A-4485-90CB-95C882A617FB}">
  <dimension ref="A1:ID66"/>
  <sheetViews>
    <sheetView workbookViewId="0">
      <pane xSplit="1" ySplit="4" topLeftCell="B54" activePane="bottomRight" state="frozen"/>
      <selection pane="topRight" activeCell="B1" sqref="B1"/>
      <selection pane="bottomLeft" activeCell="A5" sqref="A5"/>
      <selection pane="bottomRight" activeCell="G60" sqref="G60"/>
    </sheetView>
  </sheetViews>
  <sheetFormatPr defaultColWidth="7.2109375" defaultRowHeight="13"/>
  <cols>
    <col min="1" max="1" width="14.0703125" style="1485" customWidth="1"/>
    <col min="2" max="13" width="8.7109375" style="1485" customWidth="1"/>
    <col min="14" max="14" width="7.85546875" style="1485" bestFit="1" customWidth="1"/>
    <col min="15" max="16384" width="7.2109375" style="1485"/>
  </cols>
  <sheetData>
    <row r="1" spans="1:238" ht="27" customHeight="1" thickBot="1">
      <c r="A1" s="1527" t="s">
        <v>1629</v>
      </c>
      <c r="E1" s="1528"/>
      <c r="F1" s="1528"/>
      <c r="G1" s="1528"/>
      <c r="I1" s="1528"/>
      <c r="J1" s="1528"/>
      <c r="K1" s="1528"/>
      <c r="L1" s="1528"/>
      <c r="M1" s="1528" t="s">
        <v>351</v>
      </c>
    </row>
    <row r="2" spans="1:238" s="1489" customFormat="1" ht="13.5" customHeight="1">
      <c r="A2" s="1486" t="s">
        <v>1610</v>
      </c>
      <c r="B2" s="1487"/>
      <c r="C2" s="1529" t="s">
        <v>1611</v>
      </c>
      <c r="D2" s="1488"/>
      <c r="E2" s="1488"/>
      <c r="F2" s="1487"/>
      <c r="G2" s="1487"/>
      <c r="H2" s="1487"/>
      <c r="I2" s="1487"/>
      <c r="J2" s="1487" t="s">
        <v>1612</v>
      </c>
      <c r="K2" s="1488"/>
      <c r="L2" s="1487"/>
      <c r="M2" s="1898"/>
      <c r="N2" s="1905"/>
      <c r="O2" s="1485"/>
      <c r="P2" s="1485"/>
      <c r="Q2" s="1485"/>
      <c r="R2" s="1485"/>
      <c r="S2" s="1485"/>
      <c r="T2" s="1485"/>
      <c r="U2" s="1485"/>
      <c r="V2" s="1485"/>
      <c r="W2" s="1485"/>
      <c r="X2" s="1485"/>
      <c r="Y2" s="1485"/>
      <c r="Z2" s="1485"/>
      <c r="AA2" s="1485"/>
      <c r="AB2" s="1485"/>
      <c r="AC2" s="1485"/>
      <c r="AD2" s="1485"/>
      <c r="AE2" s="1485"/>
      <c r="AF2" s="1485"/>
      <c r="AG2" s="1485"/>
      <c r="AH2" s="1485"/>
      <c r="AI2" s="1485"/>
      <c r="AJ2" s="1485"/>
      <c r="AK2" s="1485"/>
      <c r="AL2" s="1485"/>
      <c r="AM2" s="1485"/>
      <c r="AN2" s="1485"/>
      <c r="AO2" s="1485"/>
      <c r="AP2" s="1485"/>
      <c r="AQ2" s="1485"/>
      <c r="AR2" s="1485"/>
      <c r="AS2" s="1485"/>
      <c r="AT2" s="1485"/>
      <c r="AU2" s="1485"/>
      <c r="AV2" s="1485"/>
      <c r="AW2" s="1485"/>
      <c r="AX2" s="1485"/>
      <c r="AY2" s="1485"/>
      <c r="AZ2" s="1485"/>
      <c r="BA2" s="1485"/>
      <c r="BB2" s="1485"/>
      <c r="BC2" s="1485"/>
      <c r="BD2" s="1485"/>
      <c r="BE2" s="1485"/>
      <c r="BF2" s="1485"/>
      <c r="BG2" s="1485"/>
      <c r="BH2" s="1485"/>
      <c r="BI2" s="1485"/>
      <c r="BJ2" s="1485"/>
      <c r="BK2" s="1485"/>
      <c r="BL2" s="1485"/>
      <c r="BM2" s="1485"/>
      <c r="BN2" s="1485"/>
      <c r="BO2" s="1485"/>
      <c r="BP2" s="1485"/>
      <c r="BQ2" s="1485"/>
      <c r="BR2" s="1485"/>
      <c r="BS2" s="1485"/>
      <c r="BT2" s="1485"/>
      <c r="BU2" s="1485"/>
      <c r="BV2" s="1485"/>
      <c r="BW2" s="1485"/>
      <c r="BX2" s="1485"/>
      <c r="BY2" s="1485"/>
      <c r="BZ2" s="1485"/>
      <c r="CA2" s="1485"/>
      <c r="CB2" s="1485"/>
      <c r="CC2" s="1485"/>
      <c r="CD2" s="1485"/>
      <c r="CE2" s="1485"/>
      <c r="CF2" s="1485"/>
      <c r="CG2" s="1485"/>
      <c r="CH2" s="1485"/>
      <c r="CI2" s="1485"/>
      <c r="CJ2" s="1485"/>
      <c r="CK2" s="1485"/>
      <c r="CL2" s="1485"/>
      <c r="CM2" s="1485"/>
      <c r="CN2" s="1485"/>
      <c r="CO2" s="1485"/>
      <c r="CP2" s="1485"/>
      <c r="CQ2" s="1485"/>
      <c r="CR2" s="1485"/>
      <c r="CS2" s="1485"/>
      <c r="CT2" s="1485"/>
      <c r="CU2" s="1485"/>
      <c r="CV2" s="1485"/>
      <c r="CW2" s="1485"/>
      <c r="CX2" s="1485"/>
      <c r="CY2" s="1485"/>
      <c r="CZ2" s="1485"/>
      <c r="DA2" s="1485"/>
      <c r="DB2" s="1485"/>
      <c r="DC2" s="1485"/>
      <c r="DD2" s="1485"/>
      <c r="DE2" s="1485"/>
      <c r="DF2" s="1485"/>
      <c r="DG2" s="1485"/>
      <c r="DH2" s="1485"/>
      <c r="DI2" s="1485"/>
      <c r="DJ2" s="1485"/>
      <c r="DK2" s="1485"/>
      <c r="DL2" s="1485"/>
      <c r="DM2" s="1485"/>
      <c r="DN2" s="1485"/>
      <c r="DO2" s="1485"/>
      <c r="DP2" s="1485"/>
      <c r="DQ2" s="1485"/>
      <c r="DR2" s="1485"/>
      <c r="DS2" s="1485"/>
      <c r="DT2" s="1485"/>
      <c r="DU2" s="1485"/>
      <c r="DV2" s="1485"/>
      <c r="DW2" s="1485"/>
      <c r="DX2" s="1485"/>
      <c r="DY2" s="1485"/>
      <c r="DZ2" s="1485"/>
      <c r="EA2" s="1485"/>
      <c r="EB2" s="1485"/>
      <c r="EC2" s="1485"/>
      <c r="ED2" s="1485"/>
      <c r="EE2" s="1485"/>
      <c r="EF2" s="1485"/>
      <c r="EG2" s="1485"/>
      <c r="EH2" s="1485"/>
      <c r="EI2" s="1485"/>
      <c r="EJ2" s="1485"/>
      <c r="EK2" s="1485"/>
      <c r="EL2" s="1485"/>
      <c r="EM2" s="1485"/>
      <c r="EN2" s="1485"/>
      <c r="EO2" s="1485"/>
      <c r="EP2" s="1485"/>
      <c r="EQ2" s="1485"/>
      <c r="ER2" s="1485"/>
      <c r="ES2" s="1485"/>
      <c r="ET2" s="1485"/>
      <c r="EU2" s="1485"/>
      <c r="EV2" s="1485"/>
      <c r="EW2" s="1485"/>
      <c r="EX2" s="1485"/>
      <c r="EY2" s="1485"/>
      <c r="EZ2" s="1485"/>
      <c r="FA2" s="1485"/>
      <c r="FB2" s="1485"/>
      <c r="FC2" s="1485"/>
      <c r="FD2" s="1485"/>
      <c r="FE2" s="1485"/>
      <c r="FF2" s="1485"/>
      <c r="FG2" s="1485"/>
      <c r="FH2" s="1485"/>
      <c r="FI2" s="1485"/>
      <c r="FJ2" s="1485"/>
      <c r="FK2" s="1485"/>
      <c r="FL2" s="1485"/>
      <c r="FM2" s="1485"/>
      <c r="FN2" s="1485"/>
      <c r="FO2" s="1485"/>
      <c r="FP2" s="1485"/>
      <c r="FQ2" s="1485"/>
      <c r="FR2" s="1485"/>
      <c r="FS2" s="1485"/>
      <c r="FT2" s="1485"/>
      <c r="FU2" s="1485"/>
      <c r="FV2" s="1485"/>
      <c r="FW2" s="1485"/>
      <c r="FX2" s="1485"/>
      <c r="FY2" s="1485"/>
      <c r="FZ2" s="1485"/>
      <c r="GA2" s="1485"/>
      <c r="GB2" s="1485"/>
      <c r="GC2" s="1485"/>
      <c r="GD2" s="1485"/>
      <c r="GE2" s="1485"/>
      <c r="GF2" s="1485"/>
      <c r="GG2" s="1485"/>
      <c r="GH2" s="1485"/>
      <c r="GI2" s="1485"/>
      <c r="GJ2" s="1485"/>
      <c r="GK2" s="1485"/>
      <c r="GL2" s="1485"/>
      <c r="GM2" s="1485"/>
      <c r="GN2" s="1485"/>
      <c r="GO2" s="1485"/>
      <c r="GP2" s="1485"/>
      <c r="GQ2" s="1485"/>
      <c r="GR2" s="1485"/>
      <c r="GS2" s="1485"/>
      <c r="GT2" s="1485"/>
      <c r="GU2" s="1485"/>
      <c r="GV2" s="1485"/>
      <c r="GW2" s="1485"/>
      <c r="GX2" s="1485"/>
      <c r="GY2" s="1485"/>
      <c r="GZ2" s="1485"/>
      <c r="HA2" s="1485"/>
      <c r="HB2" s="1485"/>
      <c r="HC2" s="1485"/>
      <c r="HD2" s="1485"/>
      <c r="HE2" s="1485"/>
      <c r="HF2" s="1485"/>
      <c r="HG2" s="1485"/>
      <c r="HH2" s="1485"/>
      <c r="HI2" s="1485"/>
      <c r="HJ2" s="1485"/>
      <c r="HK2" s="1485"/>
      <c r="HL2" s="1485"/>
      <c r="HM2" s="1485"/>
      <c r="HN2" s="1485"/>
      <c r="HO2" s="1485"/>
      <c r="HP2" s="1485"/>
      <c r="HQ2" s="1485"/>
      <c r="HR2" s="1485"/>
      <c r="HS2" s="1485"/>
      <c r="HT2" s="1485"/>
      <c r="HU2" s="1485"/>
      <c r="HV2" s="1485"/>
      <c r="HW2" s="1485"/>
      <c r="HX2" s="1485"/>
      <c r="HY2" s="1485"/>
      <c r="HZ2" s="1485"/>
      <c r="IA2" s="1485"/>
      <c r="IB2" s="1485"/>
      <c r="IC2" s="1485"/>
      <c r="ID2" s="1485"/>
    </row>
    <row r="3" spans="1:238" ht="13.5" customHeight="1">
      <c r="A3" s="1490"/>
      <c r="B3" s="1491" t="s">
        <v>146</v>
      </c>
      <c r="C3" s="300" t="s">
        <v>1630</v>
      </c>
      <c r="D3" s="300" t="s">
        <v>1631</v>
      </c>
      <c r="E3" s="300" t="s">
        <v>1638</v>
      </c>
      <c r="F3" s="1491" t="s">
        <v>1632</v>
      </c>
      <c r="G3" s="1491" t="s">
        <v>1633</v>
      </c>
      <c r="H3" s="1491" t="s">
        <v>1634</v>
      </c>
      <c r="I3" s="1491" t="s">
        <v>1635</v>
      </c>
      <c r="J3" s="1491" t="s">
        <v>1620</v>
      </c>
      <c r="K3" s="300" t="s">
        <v>1621</v>
      </c>
      <c r="L3" s="1491" t="s">
        <v>1622</v>
      </c>
      <c r="M3" s="1899" t="s">
        <v>1756</v>
      </c>
      <c r="N3" s="1906" t="s">
        <v>1806</v>
      </c>
    </row>
    <row r="4" spans="1:238" ht="13.5" customHeight="1">
      <c r="A4" s="1492" t="s">
        <v>320</v>
      </c>
      <c r="B4" s="1493"/>
      <c r="C4" s="779"/>
      <c r="D4" s="1494"/>
      <c r="E4" s="1494"/>
      <c r="F4" s="1493"/>
      <c r="G4" s="1493"/>
      <c r="H4" s="1493"/>
      <c r="I4" s="1493"/>
      <c r="J4" s="1493"/>
      <c r="K4" s="1494"/>
      <c r="L4" s="1493"/>
      <c r="M4" s="1900"/>
      <c r="N4" s="1907"/>
    </row>
    <row r="5" spans="1:238" ht="15" customHeight="1">
      <c r="A5" s="1495" t="s">
        <v>322</v>
      </c>
      <c r="B5" s="742">
        <v>20641997</v>
      </c>
      <c r="C5" s="742">
        <v>20585255</v>
      </c>
      <c r="D5" s="728">
        <v>21339377</v>
      </c>
      <c r="E5" s="728">
        <v>21092930</v>
      </c>
      <c r="F5" s="728">
        <v>21764162</v>
      </c>
      <c r="G5" s="728">
        <v>21938484</v>
      </c>
      <c r="H5" s="728">
        <v>22281249</v>
      </c>
      <c r="I5" s="728">
        <v>22230964</v>
      </c>
      <c r="J5" s="728">
        <v>22373322</v>
      </c>
      <c r="K5" s="728">
        <v>21583878</v>
      </c>
      <c r="L5" s="1837">
        <v>22305839</v>
      </c>
      <c r="M5" s="1901">
        <v>22878289</v>
      </c>
      <c r="N5" s="1908">
        <v>22921318</v>
      </c>
    </row>
    <row r="6" spans="1:238" ht="15" customHeight="1">
      <c r="A6" s="1495" t="s">
        <v>172</v>
      </c>
      <c r="B6" s="742">
        <v>6639825</v>
      </c>
      <c r="C6" s="742">
        <v>6575277</v>
      </c>
      <c r="D6" s="742">
        <v>6661471</v>
      </c>
      <c r="E6" s="742">
        <v>6653923</v>
      </c>
      <c r="F6" s="742">
        <v>6867175</v>
      </c>
      <c r="G6" s="742">
        <v>6876921</v>
      </c>
      <c r="H6" s="742">
        <v>6982935</v>
      </c>
      <c r="I6" s="742">
        <v>6948898</v>
      </c>
      <c r="J6" s="742">
        <v>7052438</v>
      </c>
      <c r="K6" s="742">
        <v>6730443</v>
      </c>
      <c r="L6" s="1838">
        <v>6858498</v>
      </c>
      <c r="M6" s="1902">
        <v>7136502</v>
      </c>
      <c r="N6" s="1908">
        <v>7194583</v>
      </c>
    </row>
    <row r="7" spans="1:238" ht="15" customHeight="1">
      <c r="A7" s="1495" t="s">
        <v>323</v>
      </c>
      <c r="B7" s="742">
        <v>3350389</v>
      </c>
      <c r="C7" s="742">
        <v>3282530</v>
      </c>
      <c r="D7" s="742">
        <v>3433560</v>
      </c>
      <c r="E7" s="742">
        <v>3365087</v>
      </c>
      <c r="F7" s="742">
        <v>3541195</v>
      </c>
      <c r="G7" s="742">
        <v>3554025</v>
      </c>
      <c r="H7" s="742">
        <v>3669939</v>
      </c>
      <c r="I7" s="742">
        <v>3640991</v>
      </c>
      <c r="J7" s="742">
        <v>3679482</v>
      </c>
      <c r="K7" s="742">
        <v>3473285</v>
      </c>
      <c r="L7" s="1838">
        <v>3648568</v>
      </c>
      <c r="M7" s="1902">
        <v>3687169</v>
      </c>
      <c r="N7" s="1908">
        <v>3734693</v>
      </c>
    </row>
    <row r="8" spans="1:238" ht="15" customHeight="1">
      <c r="A8" s="1495" t="s">
        <v>324</v>
      </c>
      <c r="B8" s="742">
        <v>1978032</v>
      </c>
      <c r="C8" s="742">
        <v>2021539</v>
      </c>
      <c r="D8" s="742">
        <v>2042568</v>
      </c>
      <c r="E8" s="742">
        <v>1983242</v>
      </c>
      <c r="F8" s="742">
        <v>2055211</v>
      </c>
      <c r="G8" s="742">
        <v>2140771</v>
      </c>
      <c r="H8" s="742">
        <v>2115075</v>
      </c>
      <c r="I8" s="742">
        <v>2107148</v>
      </c>
      <c r="J8" s="742">
        <v>2063186</v>
      </c>
      <c r="K8" s="742">
        <v>2018040</v>
      </c>
      <c r="L8" s="1838">
        <v>2177625</v>
      </c>
      <c r="M8" s="1902">
        <v>2220509</v>
      </c>
      <c r="N8" s="1908">
        <v>2291123</v>
      </c>
    </row>
    <row r="9" spans="1:238" ht="15" customHeight="1">
      <c r="A9" s="1495" t="s">
        <v>192</v>
      </c>
      <c r="B9" s="742">
        <v>2673197</v>
      </c>
      <c r="C9" s="742">
        <v>2839950</v>
      </c>
      <c r="D9" s="742">
        <v>2892211</v>
      </c>
      <c r="E9" s="742">
        <v>2869315</v>
      </c>
      <c r="F9" s="742">
        <v>2959810</v>
      </c>
      <c r="G9" s="742">
        <v>2905924</v>
      </c>
      <c r="H9" s="742">
        <v>2925883</v>
      </c>
      <c r="I9" s="742">
        <v>2964550</v>
      </c>
      <c r="J9" s="742">
        <v>2988965</v>
      </c>
      <c r="K9" s="742">
        <v>2929006</v>
      </c>
      <c r="L9" s="1838">
        <v>2922065</v>
      </c>
      <c r="M9" s="1902">
        <v>3125410</v>
      </c>
      <c r="N9" s="1908">
        <v>3009430</v>
      </c>
    </row>
    <row r="10" spans="1:238" ht="15" customHeight="1">
      <c r="A10" s="1495" t="s">
        <v>325</v>
      </c>
      <c r="B10" s="742">
        <v>1149883</v>
      </c>
      <c r="C10" s="742">
        <v>1133747</v>
      </c>
      <c r="D10" s="742">
        <v>1194562</v>
      </c>
      <c r="E10" s="742">
        <v>1170689</v>
      </c>
      <c r="F10" s="742">
        <v>1198719</v>
      </c>
      <c r="G10" s="742">
        <v>1258017</v>
      </c>
      <c r="H10" s="742">
        <v>1311546</v>
      </c>
      <c r="I10" s="742">
        <v>1296116</v>
      </c>
      <c r="J10" s="742">
        <v>1304482</v>
      </c>
      <c r="K10" s="742">
        <v>1280998</v>
      </c>
      <c r="L10" s="1838">
        <v>1302930</v>
      </c>
      <c r="M10" s="1902">
        <v>1278266</v>
      </c>
      <c r="N10" s="1908">
        <v>1295760</v>
      </c>
    </row>
    <row r="11" spans="1:238" ht="15" customHeight="1">
      <c r="A11" s="1495" t="s">
        <v>1636</v>
      </c>
      <c r="B11" s="742">
        <v>2459071</v>
      </c>
      <c r="C11" s="742">
        <v>2401066</v>
      </c>
      <c r="D11" s="742">
        <v>2604440</v>
      </c>
      <c r="E11" s="742">
        <v>2577285</v>
      </c>
      <c r="F11" s="742">
        <v>2610540</v>
      </c>
      <c r="G11" s="742">
        <v>2667693</v>
      </c>
      <c r="H11" s="742">
        <v>2678688</v>
      </c>
      <c r="I11" s="742">
        <v>2674020</v>
      </c>
      <c r="J11" s="742">
        <v>2636461</v>
      </c>
      <c r="K11" s="742">
        <v>2555353</v>
      </c>
      <c r="L11" s="1838">
        <v>2786293</v>
      </c>
      <c r="M11" s="1902">
        <v>2841392</v>
      </c>
      <c r="N11" s="1908">
        <v>2800023</v>
      </c>
    </row>
    <row r="12" spans="1:238" ht="15" customHeight="1">
      <c r="A12" s="1495" t="s">
        <v>327</v>
      </c>
      <c r="B12" s="742">
        <v>985923</v>
      </c>
      <c r="C12" s="742">
        <v>990496</v>
      </c>
      <c r="D12" s="742">
        <v>999464</v>
      </c>
      <c r="E12" s="742">
        <v>1000895</v>
      </c>
      <c r="F12" s="742">
        <v>1016695</v>
      </c>
      <c r="G12" s="742">
        <v>1021266</v>
      </c>
      <c r="H12" s="742">
        <v>1065673</v>
      </c>
      <c r="I12" s="742">
        <v>1070880</v>
      </c>
      <c r="J12" s="742">
        <v>1075264</v>
      </c>
      <c r="K12" s="742">
        <v>1084785</v>
      </c>
      <c r="L12" s="1838">
        <v>1112726</v>
      </c>
      <c r="M12" s="1902">
        <v>1087411</v>
      </c>
      <c r="N12" s="1908">
        <v>1079374</v>
      </c>
    </row>
    <row r="13" spans="1:238" ht="15" customHeight="1">
      <c r="A13" s="1495" t="s">
        <v>210</v>
      </c>
      <c r="B13" s="742">
        <v>583643</v>
      </c>
      <c r="C13" s="742">
        <v>591296</v>
      </c>
      <c r="D13" s="742">
        <v>633497</v>
      </c>
      <c r="E13" s="742">
        <v>622915</v>
      </c>
      <c r="F13" s="742">
        <v>630529</v>
      </c>
      <c r="G13" s="742">
        <v>621925</v>
      </c>
      <c r="H13" s="742">
        <v>636953</v>
      </c>
      <c r="I13" s="742">
        <v>625127</v>
      </c>
      <c r="J13" s="742">
        <v>633509</v>
      </c>
      <c r="K13" s="742">
        <v>630050</v>
      </c>
      <c r="L13" s="1838">
        <v>596697</v>
      </c>
      <c r="M13" s="1902">
        <v>581246</v>
      </c>
      <c r="N13" s="1908">
        <v>577235</v>
      </c>
    </row>
    <row r="14" spans="1:238" ht="15" customHeight="1">
      <c r="A14" s="1495" t="s">
        <v>211</v>
      </c>
      <c r="B14" s="742">
        <v>366777</v>
      </c>
      <c r="C14" s="742">
        <v>295698</v>
      </c>
      <c r="D14" s="742">
        <v>412702</v>
      </c>
      <c r="E14" s="742">
        <v>398133</v>
      </c>
      <c r="F14" s="742">
        <v>418714</v>
      </c>
      <c r="G14" s="742">
        <v>422068</v>
      </c>
      <c r="H14" s="742">
        <v>426654</v>
      </c>
      <c r="I14" s="742">
        <v>438341</v>
      </c>
      <c r="J14" s="742">
        <v>472616</v>
      </c>
      <c r="K14" s="742">
        <v>446621</v>
      </c>
      <c r="L14" s="1838">
        <v>454129</v>
      </c>
      <c r="M14" s="1902">
        <v>454813</v>
      </c>
      <c r="N14" s="1908">
        <v>460281</v>
      </c>
    </row>
    <row r="15" spans="1:238" ht="15" customHeight="1">
      <c r="A15" s="1495" t="s">
        <v>212</v>
      </c>
      <c r="B15" s="742">
        <v>455257</v>
      </c>
      <c r="C15" s="742">
        <v>453656</v>
      </c>
      <c r="D15" s="742">
        <v>464902</v>
      </c>
      <c r="E15" s="742">
        <v>451446</v>
      </c>
      <c r="F15" s="742">
        <v>465574</v>
      </c>
      <c r="G15" s="742">
        <v>469874</v>
      </c>
      <c r="H15" s="742">
        <v>467903</v>
      </c>
      <c r="I15" s="742">
        <v>464893</v>
      </c>
      <c r="J15" s="742">
        <v>466919</v>
      </c>
      <c r="K15" s="742">
        <v>435297</v>
      </c>
      <c r="L15" s="1838">
        <v>446308</v>
      </c>
      <c r="M15" s="1902">
        <v>465571</v>
      </c>
      <c r="N15" s="1908">
        <v>478816</v>
      </c>
    </row>
    <row r="16" spans="1:238" ht="13.5" customHeight="1">
      <c r="A16" s="1496"/>
      <c r="B16" s="742"/>
      <c r="C16" s="742"/>
      <c r="D16" s="742"/>
      <c r="E16" s="742"/>
      <c r="F16" s="742"/>
      <c r="G16" s="742"/>
      <c r="H16" s="742"/>
      <c r="I16" s="742"/>
      <c r="J16" s="742"/>
      <c r="K16" s="742"/>
      <c r="L16" s="1838"/>
      <c r="M16" s="1902"/>
      <c r="N16" s="1908"/>
    </row>
    <row r="17" spans="1:14" ht="13.5" customHeight="1">
      <c r="A17" s="1497" t="s">
        <v>172</v>
      </c>
      <c r="B17" s="1223">
        <v>6639825</v>
      </c>
      <c r="C17" s="1223">
        <v>6575277</v>
      </c>
      <c r="D17" s="1223">
        <v>6661471</v>
      </c>
      <c r="E17" s="1223">
        <v>6653923</v>
      </c>
      <c r="F17" s="1223">
        <v>6867175</v>
      </c>
      <c r="G17" s="1223">
        <v>6876921</v>
      </c>
      <c r="H17" s="1223">
        <v>6982935</v>
      </c>
      <c r="I17" s="1223">
        <v>6948898</v>
      </c>
      <c r="J17" s="1223">
        <v>7052438</v>
      </c>
      <c r="K17" s="1223">
        <v>6730443</v>
      </c>
      <c r="L17" s="1839">
        <v>6858498</v>
      </c>
      <c r="M17" s="1903">
        <v>7136502</v>
      </c>
      <c r="N17" s="1908">
        <v>7194583</v>
      </c>
    </row>
    <row r="18" spans="1:14" ht="13.5" customHeight="1">
      <c r="A18" s="1498" t="s">
        <v>328</v>
      </c>
      <c r="B18" s="742">
        <v>3350389</v>
      </c>
      <c r="C18" s="742">
        <v>3282530</v>
      </c>
      <c r="D18" s="742">
        <v>3433560</v>
      </c>
      <c r="E18" s="742">
        <v>3365087</v>
      </c>
      <c r="F18" s="742">
        <v>3541195</v>
      </c>
      <c r="G18" s="742">
        <v>3554025</v>
      </c>
      <c r="H18" s="742">
        <v>3669939</v>
      </c>
      <c r="I18" s="742">
        <v>3640991</v>
      </c>
      <c r="J18" s="742">
        <v>3679482</v>
      </c>
      <c r="K18" s="742">
        <v>3473285</v>
      </c>
      <c r="L18" s="1838">
        <v>3648568</v>
      </c>
      <c r="M18" s="1902">
        <v>3687169</v>
      </c>
      <c r="N18" s="1908">
        <v>3734693</v>
      </c>
    </row>
    <row r="19" spans="1:14" ht="13.5" customHeight="1">
      <c r="A19" s="1530" t="s">
        <v>183</v>
      </c>
      <c r="B19" s="742">
        <v>1809107</v>
      </c>
      <c r="C19" s="742">
        <v>1752808</v>
      </c>
      <c r="D19" s="742">
        <v>1818892</v>
      </c>
      <c r="E19" s="742">
        <v>1805488</v>
      </c>
      <c r="F19" s="742">
        <v>1893035</v>
      </c>
      <c r="G19" s="742">
        <v>1929984</v>
      </c>
      <c r="H19" s="742">
        <v>1995773</v>
      </c>
      <c r="I19" s="742">
        <v>1971191</v>
      </c>
      <c r="J19" s="742">
        <v>2002520</v>
      </c>
      <c r="K19" s="742">
        <v>1851993</v>
      </c>
      <c r="L19" s="1838">
        <v>1985822</v>
      </c>
      <c r="M19" s="1902">
        <v>2014404</v>
      </c>
      <c r="N19" s="1908">
        <v>2041433</v>
      </c>
    </row>
    <row r="20" spans="1:14" ht="13.5" customHeight="1">
      <c r="A20" s="1530" t="s">
        <v>184</v>
      </c>
      <c r="B20" s="742">
        <v>1328627</v>
      </c>
      <c r="C20" s="742">
        <v>1315876</v>
      </c>
      <c r="D20" s="742">
        <v>1385388</v>
      </c>
      <c r="E20" s="742">
        <v>1347148</v>
      </c>
      <c r="F20" s="742">
        <v>1412273</v>
      </c>
      <c r="G20" s="742">
        <v>1402044</v>
      </c>
      <c r="H20" s="742">
        <v>1442158</v>
      </c>
      <c r="I20" s="742">
        <v>1445748</v>
      </c>
      <c r="J20" s="742">
        <v>1445090</v>
      </c>
      <c r="K20" s="742">
        <v>1396387</v>
      </c>
      <c r="L20" s="1838">
        <v>1432546</v>
      </c>
      <c r="M20" s="1902">
        <v>1439922</v>
      </c>
      <c r="N20" s="1908">
        <v>1452254</v>
      </c>
    </row>
    <row r="21" spans="1:14" ht="13.5" customHeight="1">
      <c r="A21" s="1530" t="s">
        <v>185</v>
      </c>
      <c r="B21" s="742">
        <v>212655</v>
      </c>
      <c r="C21" s="742">
        <v>213846</v>
      </c>
      <c r="D21" s="742">
        <v>229280</v>
      </c>
      <c r="E21" s="742">
        <v>212451</v>
      </c>
      <c r="F21" s="742">
        <v>235887</v>
      </c>
      <c r="G21" s="742">
        <v>221997</v>
      </c>
      <c r="H21" s="742">
        <v>232008</v>
      </c>
      <c r="I21" s="742">
        <v>224052</v>
      </c>
      <c r="J21" s="742">
        <v>231872</v>
      </c>
      <c r="K21" s="742">
        <v>224905</v>
      </c>
      <c r="L21" s="1838">
        <v>230200</v>
      </c>
      <c r="M21" s="1902">
        <v>232843</v>
      </c>
      <c r="N21" s="1908">
        <v>241006</v>
      </c>
    </row>
    <row r="22" spans="1:14" ht="13.5" customHeight="1">
      <c r="A22" s="1499" t="s">
        <v>324</v>
      </c>
      <c r="B22" s="759">
        <v>1978032</v>
      </c>
      <c r="C22" s="759">
        <v>2021539</v>
      </c>
      <c r="D22" s="759">
        <v>2042568</v>
      </c>
      <c r="E22" s="759">
        <v>1983242</v>
      </c>
      <c r="F22" s="759">
        <v>2055211</v>
      </c>
      <c r="G22" s="759">
        <v>2140771</v>
      </c>
      <c r="H22" s="759">
        <v>2115075</v>
      </c>
      <c r="I22" s="759">
        <v>2107148</v>
      </c>
      <c r="J22" s="759">
        <v>2063186</v>
      </c>
      <c r="K22" s="759">
        <v>2018040</v>
      </c>
      <c r="L22" s="1840">
        <v>2177625</v>
      </c>
      <c r="M22" s="1901">
        <v>2220509</v>
      </c>
      <c r="N22" s="1908">
        <v>2291123</v>
      </c>
    </row>
    <row r="23" spans="1:14" ht="13.5" customHeight="1">
      <c r="A23" s="1530" t="s">
        <v>187</v>
      </c>
      <c r="B23" s="742">
        <v>660071</v>
      </c>
      <c r="C23" s="742">
        <v>659356</v>
      </c>
      <c r="D23" s="742">
        <v>695901</v>
      </c>
      <c r="E23" s="742">
        <v>688368</v>
      </c>
      <c r="F23" s="742">
        <v>695338</v>
      </c>
      <c r="G23" s="742">
        <v>729629</v>
      </c>
      <c r="H23" s="742">
        <v>710815</v>
      </c>
      <c r="I23" s="742">
        <v>706227</v>
      </c>
      <c r="J23" s="742">
        <v>696428</v>
      </c>
      <c r="K23" s="742">
        <v>698482</v>
      </c>
      <c r="L23" s="1838">
        <v>769901</v>
      </c>
      <c r="M23" s="1902">
        <v>767641</v>
      </c>
      <c r="N23" s="1908">
        <v>772124</v>
      </c>
    </row>
    <row r="24" spans="1:14" ht="13.5" customHeight="1">
      <c r="A24" s="1530" t="s">
        <v>188</v>
      </c>
      <c r="B24" s="742">
        <v>465400</v>
      </c>
      <c r="C24" s="742">
        <v>469714</v>
      </c>
      <c r="D24" s="742">
        <v>485924</v>
      </c>
      <c r="E24" s="742">
        <v>474000</v>
      </c>
      <c r="F24" s="742">
        <v>489033</v>
      </c>
      <c r="G24" s="742">
        <v>489925</v>
      </c>
      <c r="H24" s="742">
        <v>494037</v>
      </c>
      <c r="I24" s="742">
        <v>500646</v>
      </c>
      <c r="J24" s="742">
        <v>493944</v>
      </c>
      <c r="K24" s="742">
        <v>473132</v>
      </c>
      <c r="L24" s="1838">
        <v>490823</v>
      </c>
      <c r="M24" s="1902">
        <v>496638</v>
      </c>
      <c r="N24" s="1908">
        <v>501156</v>
      </c>
    </row>
    <row r="25" spans="1:14" ht="13.5" customHeight="1">
      <c r="A25" s="1530" t="s">
        <v>189</v>
      </c>
      <c r="B25" s="742">
        <v>332681</v>
      </c>
      <c r="C25" s="742">
        <v>346674</v>
      </c>
      <c r="D25" s="742">
        <v>336777</v>
      </c>
      <c r="E25" s="742">
        <v>334818</v>
      </c>
      <c r="F25" s="742">
        <v>334923</v>
      </c>
      <c r="G25" s="742">
        <v>341444</v>
      </c>
      <c r="H25" s="742">
        <v>349370</v>
      </c>
      <c r="I25" s="742">
        <v>359447</v>
      </c>
      <c r="J25" s="742">
        <v>355502</v>
      </c>
      <c r="K25" s="742">
        <v>340728</v>
      </c>
      <c r="L25" s="1838">
        <v>349077</v>
      </c>
      <c r="M25" s="1902">
        <v>354233</v>
      </c>
      <c r="N25" s="1908">
        <v>359504</v>
      </c>
    </row>
    <row r="26" spans="1:14" ht="13.5" customHeight="1">
      <c r="A26" s="1530" t="s">
        <v>190</v>
      </c>
      <c r="B26" s="742">
        <v>456953</v>
      </c>
      <c r="C26" s="742">
        <v>483037</v>
      </c>
      <c r="D26" s="742">
        <v>459440</v>
      </c>
      <c r="E26" s="742">
        <v>422608</v>
      </c>
      <c r="F26" s="742">
        <v>470769</v>
      </c>
      <c r="G26" s="742">
        <v>515670</v>
      </c>
      <c r="H26" s="742">
        <v>494291</v>
      </c>
      <c r="I26" s="742">
        <v>477876</v>
      </c>
      <c r="J26" s="742">
        <v>454217</v>
      </c>
      <c r="K26" s="742">
        <v>443822</v>
      </c>
      <c r="L26" s="1838">
        <v>504386</v>
      </c>
      <c r="M26" s="1902">
        <v>538944</v>
      </c>
      <c r="N26" s="1908">
        <v>594214</v>
      </c>
    </row>
    <row r="27" spans="1:14" ht="13.5" customHeight="1">
      <c r="A27" s="1531" t="s">
        <v>191</v>
      </c>
      <c r="B27" s="779">
        <v>62927</v>
      </c>
      <c r="C27" s="779">
        <v>62758</v>
      </c>
      <c r="D27" s="779">
        <v>64526</v>
      </c>
      <c r="E27" s="779">
        <v>63448</v>
      </c>
      <c r="F27" s="779">
        <v>65148</v>
      </c>
      <c r="G27" s="779">
        <v>64103</v>
      </c>
      <c r="H27" s="779">
        <v>66562</v>
      </c>
      <c r="I27" s="779">
        <v>62952</v>
      </c>
      <c r="J27" s="779">
        <v>63095</v>
      </c>
      <c r="K27" s="779">
        <v>61876</v>
      </c>
      <c r="L27" s="1841">
        <v>63438</v>
      </c>
      <c r="M27" s="1900">
        <v>63053</v>
      </c>
      <c r="N27" s="1908">
        <v>64125</v>
      </c>
    </row>
    <row r="28" spans="1:14" ht="13.5" customHeight="1">
      <c r="A28" s="1500" t="s">
        <v>192</v>
      </c>
      <c r="B28" s="742">
        <v>2673197</v>
      </c>
      <c r="C28" s="742">
        <v>2839950</v>
      </c>
      <c r="D28" s="742">
        <v>2892211</v>
      </c>
      <c r="E28" s="742">
        <v>2869315</v>
      </c>
      <c r="F28" s="742">
        <v>2959810</v>
      </c>
      <c r="G28" s="742">
        <v>2905924</v>
      </c>
      <c r="H28" s="742">
        <v>2925883</v>
      </c>
      <c r="I28" s="742">
        <v>2964550</v>
      </c>
      <c r="J28" s="742">
        <v>2988965</v>
      </c>
      <c r="K28" s="742">
        <v>2929006</v>
      </c>
      <c r="L28" s="1838">
        <v>2922065</v>
      </c>
      <c r="M28" s="1902">
        <v>3125410</v>
      </c>
      <c r="N28" s="1908">
        <v>3009430</v>
      </c>
    </row>
    <row r="29" spans="1:14" ht="13.5" customHeight="1">
      <c r="A29" s="1530" t="s">
        <v>193</v>
      </c>
      <c r="B29" s="742">
        <v>1031666</v>
      </c>
      <c r="C29" s="742">
        <v>1136650</v>
      </c>
      <c r="D29" s="742">
        <v>1112858</v>
      </c>
      <c r="E29" s="742">
        <v>1161933</v>
      </c>
      <c r="F29" s="742">
        <v>1192985</v>
      </c>
      <c r="G29" s="742">
        <v>1165783</v>
      </c>
      <c r="H29" s="742">
        <v>1158370</v>
      </c>
      <c r="I29" s="742">
        <v>1195084</v>
      </c>
      <c r="J29" s="742">
        <v>1209959</v>
      </c>
      <c r="K29" s="742">
        <v>1150727</v>
      </c>
      <c r="L29" s="1838">
        <v>1130600</v>
      </c>
      <c r="M29" s="1902">
        <v>1244766</v>
      </c>
      <c r="N29" s="1908">
        <v>1247478</v>
      </c>
    </row>
    <row r="30" spans="1:14" ht="13.5" customHeight="1">
      <c r="A30" s="1530" t="s">
        <v>194</v>
      </c>
      <c r="B30" s="742">
        <v>763503</v>
      </c>
      <c r="C30" s="742">
        <v>763255</v>
      </c>
      <c r="D30" s="742">
        <v>832746</v>
      </c>
      <c r="E30" s="742">
        <v>819563</v>
      </c>
      <c r="F30" s="742">
        <v>823644</v>
      </c>
      <c r="G30" s="742">
        <v>856605</v>
      </c>
      <c r="H30" s="742">
        <v>876570</v>
      </c>
      <c r="I30" s="742">
        <v>893693</v>
      </c>
      <c r="J30" s="742">
        <v>891752</v>
      </c>
      <c r="K30" s="742">
        <v>844101</v>
      </c>
      <c r="L30" s="1838">
        <v>833867</v>
      </c>
      <c r="M30" s="1902">
        <v>837326</v>
      </c>
      <c r="N30" s="1908">
        <v>832739</v>
      </c>
    </row>
    <row r="31" spans="1:14" ht="13.5" customHeight="1">
      <c r="A31" s="1530" t="s">
        <v>195</v>
      </c>
      <c r="B31" s="742">
        <v>600615</v>
      </c>
      <c r="C31" s="742">
        <v>633794</v>
      </c>
      <c r="D31" s="742">
        <v>633960</v>
      </c>
      <c r="E31" s="742">
        <v>555023</v>
      </c>
      <c r="F31" s="742">
        <v>592330</v>
      </c>
      <c r="G31" s="742">
        <v>546536</v>
      </c>
      <c r="H31" s="742">
        <v>539109</v>
      </c>
      <c r="I31" s="742">
        <v>518084</v>
      </c>
      <c r="J31" s="742">
        <v>529858</v>
      </c>
      <c r="K31" s="742">
        <v>579546</v>
      </c>
      <c r="L31" s="1838">
        <v>544491</v>
      </c>
      <c r="M31" s="1902">
        <v>596784</v>
      </c>
      <c r="N31" s="1908">
        <v>503321</v>
      </c>
    </row>
    <row r="32" spans="1:14" ht="13.5" customHeight="1">
      <c r="A32" s="1530" t="s">
        <v>196</v>
      </c>
      <c r="B32" s="742">
        <v>154354</v>
      </c>
      <c r="C32" s="742">
        <v>165205</v>
      </c>
      <c r="D32" s="742">
        <v>171447</v>
      </c>
      <c r="E32" s="742">
        <v>174014</v>
      </c>
      <c r="F32" s="742">
        <v>190934</v>
      </c>
      <c r="G32" s="742">
        <v>177610</v>
      </c>
      <c r="H32" s="742">
        <v>183782</v>
      </c>
      <c r="I32" s="742">
        <v>182660</v>
      </c>
      <c r="J32" s="742">
        <v>174964</v>
      </c>
      <c r="K32" s="742">
        <v>148914</v>
      </c>
      <c r="L32" s="1838">
        <v>167083</v>
      </c>
      <c r="M32" s="1902">
        <v>167771</v>
      </c>
      <c r="N32" s="1908">
        <v>166957</v>
      </c>
    </row>
    <row r="33" spans="1:14" ht="13.5" customHeight="1">
      <c r="A33" s="1530" t="s">
        <v>197</v>
      </c>
      <c r="B33" s="742">
        <v>123059</v>
      </c>
      <c r="C33" s="742">
        <v>141046</v>
      </c>
      <c r="D33" s="742">
        <v>141200</v>
      </c>
      <c r="E33" s="742">
        <v>158782</v>
      </c>
      <c r="F33" s="742">
        <v>159917</v>
      </c>
      <c r="G33" s="742">
        <v>159390</v>
      </c>
      <c r="H33" s="742">
        <v>168052</v>
      </c>
      <c r="I33" s="742">
        <v>175029</v>
      </c>
      <c r="J33" s="742">
        <v>182432</v>
      </c>
      <c r="K33" s="742">
        <v>205718</v>
      </c>
      <c r="L33" s="1838">
        <v>246024</v>
      </c>
      <c r="M33" s="1902">
        <v>278763</v>
      </c>
      <c r="N33" s="1908">
        <v>258935</v>
      </c>
    </row>
    <row r="34" spans="1:14" ht="13.5" customHeight="1">
      <c r="A34" s="1499" t="s">
        <v>325</v>
      </c>
      <c r="B34" s="759">
        <v>1149883</v>
      </c>
      <c r="C34" s="759">
        <v>1133747</v>
      </c>
      <c r="D34" s="759">
        <v>1194562</v>
      </c>
      <c r="E34" s="759">
        <v>1170689</v>
      </c>
      <c r="F34" s="759">
        <v>1198719</v>
      </c>
      <c r="G34" s="759">
        <v>1258017</v>
      </c>
      <c r="H34" s="759">
        <v>1311546</v>
      </c>
      <c r="I34" s="759">
        <v>1296116</v>
      </c>
      <c r="J34" s="759">
        <v>1304482</v>
      </c>
      <c r="K34" s="759">
        <v>1280998</v>
      </c>
      <c r="L34" s="1840">
        <v>1302930</v>
      </c>
      <c r="M34" s="1901">
        <v>1278266</v>
      </c>
      <c r="N34" s="1908">
        <v>1295760</v>
      </c>
    </row>
    <row r="35" spans="1:14" ht="13.5" customHeight="1">
      <c r="A35" s="1530" t="s">
        <v>1623</v>
      </c>
      <c r="B35" s="742">
        <v>134299</v>
      </c>
      <c r="C35" s="742">
        <v>135200</v>
      </c>
      <c r="D35" s="742">
        <v>152739</v>
      </c>
      <c r="E35" s="742">
        <v>137294</v>
      </c>
      <c r="F35" s="742">
        <v>145201</v>
      </c>
      <c r="G35" s="742">
        <v>142830</v>
      </c>
      <c r="H35" s="742">
        <v>142527</v>
      </c>
      <c r="I35" s="742">
        <v>142431</v>
      </c>
      <c r="J35" s="742">
        <v>150762</v>
      </c>
      <c r="K35" s="742">
        <v>143632</v>
      </c>
      <c r="L35" s="1838">
        <v>145275</v>
      </c>
      <c r="M35" s="1902">
        <v>148042</v>
      </c>
      <c r="N35" s="1908">
        <v>152251</v>
      </c>
    </row>
    <row r="36" spans="1:14" ht="13.5" customHeight="1">
      <c r="A36" s="1530" t="s">
        <v>1624</v>
      </c>
      <c r="B36" s="742">
        <v>272658</v>
      </c>
      <c r="C36" s="742">
        <v>273844</v>
      </c>
      <c r="D36" s="742">
        <v>279728</v>
      </c>
      <c r="E36" s="742">
        <v>268935</v>
      </c>
      <c r="F36" s="742">
        <v>285393</v>
      </c>
      <c r="G36" s="742">
        <v>296226</v>
      </c>
      <c r="H36" s="742">
        <v>304799</v>
      </c>
      <c r="I36" s="742">
        <v>308317</v>
      </c>
      <c r="J36" s="742">
        <v>307588</v>
      </c>
      <c r="K36" s="742">
        <v>312015</v>
      </c>
      <c r="L36" s="1838">
        <v>317209</v>
      </c>
      <c r="M36" s="1902">
        <v>317089</v>
      </c>
      <c r="N36" s="1908">
        <v>315832</v>
      </c>
    </row>
    <row r="37" spans="1:14" ht="13.5" customHeight="1">
      <c r="A37" s="1530" t="s">
        <v>200</v>
      </c>
      <c r="B37" s="742">
        <v>228179</v>
      </c>
      <c r="C37" s="742">
        <v>213866</v>
      </c>
      <c r="D37" s="742">
        <v>238416</v>
      </c>
      <c r="E37" s="742">
        <v>241954</v>
      </c>
      <c r="F37" s="742">
        <v>256075</v>
      </c>
      <c r="G37" s="742">
        <v>252788</v>
      </c>
      <c r="H37" s="742">
        <v>261573</v>
      </c>
      <c r="I37" s="742">
        <v>263906</v>
      </c>
      <c r="J37" s="742">
        <v>262654</v>
      </c>
      <c r="K37" s="742">
        <v>249252</v>
      </c>
      <c r="L37" s="1838">
        <v>256456</v>
      </c>
      <c r="M37" s="1902">
        <v>257763</v>
      </c>
      <c r="N37" s="1908">
        <v>283279</v>
      </c>
    </row>
    <row r="38" spans="1:14" ht="13.5" customHeight="1">
      <c r="A38" s="1530" t="s">
        <v>201</v>
      </c>
      <c r="B38" s="742">
        <v>204116</v>
      </c>
      <c r="C38" s="742">
        <v>209027</v>
      </c>
      <c r="D38" s="742">
        <v>220827</v>
      </c>
      <c r="E38" s="742">
        <v>206861</v>
      </c>
      <c r="F38" s="742">
        <v>210852</v>
      </c>
      <c r="G38" s="742">
        <v>229522</v>
      </c>
      <c r="H38" s="742">
        <v>252117</v>
      </c>
      <c r="I38" s="742">
        <v>254772</v>
      </c>
      <c r="J38" s="742">
        <v>245992</v>
      </c>
      <c r="K38" s="742">
        <v>231352</v>
      </c>
      <c r="L38" s="1838">
        <v>250827</v>
      </c>
      <c r="M38" s="1902">
        <v>239948</v>
      </c>
      <c r="N38" s="1908">
        <v>245565</v>
      </c>
    </row>
    <row r="39" spans="1:14" ht="13.5" customHeight="1">
      <c r="A39" s="1530" t="s">
        <v>330</v>
      </c>
      <c r="B39" s="742">
        <v>245838</v>
      </c>
      <c r="C39" s="742">
        <v>238672</v>
      </c>
      <c r="D39" s="742">
        <v>238080</v>
      </c>
      <c r="E39" s="742">
        <v>251263</v>
      </c>
      <c r="F39" s="742">
        <v>235397</v>
      </c>
      <c r="G39" s="742">
        <v>269309</v>
      </c>
      <c r="H39" s="742">
        <v>282158</v>
      </c>
      <c r="I39" s="742">
        <v>260899</v>
      </c>
      <c r="J39" s="742">
        <v>271849</v>
      </c>
      <c r="K39" s="742">
        <v>279276</v>
      </c>
      <c r="L39" s="1838">
        <v>265034</v>
      </c>
      <c r="M39" s="1902">
        <v>243683</v>
      </c>
      <c r="N39" s="1908">
        <v>228632</v>
      </c>
    </row>
    <row r="40" spans="1:14" ht="13.5" customHeight="1">
      <c r="A40" s="1531" t="s">
        <v>331</v>
      </c>
      <c r="B40" s="779">
        <v>64793</v>
      </c>
      <c r="C40" s="779">
        <v>63138</v>
      </c>
      <c r="D40" s="779">
        <v>64772</v>
      </c>
      <c r="E40" s="779">
        <v>64382</v>
      </c>
      <c r="F40" s="779">
        <v>65801</v>
      </c>
      <c r="G40" s="779">
        <v>67342</v>
      </c>
      <c r="H40" s="779">
        <v>68372</v>
      </c>
      <c r="I40" s="779">
        <v>65791</v>
      </c>
      <c r="J40" s="779">
        <v>65637</v>
      </c>
      <c r="K40" s="779">
        <v>65471</v>
      </c>
      <c r="L40" s="1841">
        <v>68129</v>
      </c>
      <c r="M40" s="1900">
        <v>71741</v>
      </c>
      <c r="N40" s="1908">
        <v>70201</v>
      </c>
    </row>
    <row r="41" spans="1:14" ht="13.5" customHeight="1">
      <c r="A41" s="1500" t="s">
        <v>326</v>
      </c>
      <c r="B41" s="742">
        <v>2459071</v>
      </c>
      <c r="C41" s="742">
        <v>2401066</v>
      </c>
      <c r="D41" s="742">
        <v>2604440</v>
      </c>
      <c r="E41" s="742">
        <v>2577285</v>
      </c>
      <c r="F41" s="742">
        <v>2610540</v>
      </c>
      <c r="G41" s="742">
        <v>2667693</v>
      </c>
      <c r="H41" s="742">
        <v>2678688</v>
      </c>
      <c r="I41" s="742">
        <v>2674020</v>
      </c>
      <c r="J41" s="742">
        <v>2636461</v>
      </c>
      <c r="K41" s="742">
        <v>2555353</v>
      </c>
      <c r="L41" s="1838">
        <v>2786293</v>
      </c>
      <c r="M41" s="1902">
        <v>2841392</v>
      </c>
      <c r="N41" s="1908">
        <v>2800023</v>
      </c>
    </row>
    <row r="42" spans="1:14" ht="13.5" customHeight="1">
      <c r="A42" s="1530" t="s">
        <v>332</v>
      </c>
      <c r="B42" s="742">
        <v>2234684</v>
      </c>
      <c r="C42" s="742">
        <v>2187140</v>
      </c>
      <c r="D42" s="742">
        <v>2364893</v>
      </c>
      <c r="E42" s="742">
        <v>2343983</v>
      </c>
      <c r="F42" s="742">
        <v>2373356</v>
      </c>
      <c r="G42" s="742">
        <v>2416105</v>
      </c>
      <c r="H42" s="742">
        <v>2418738</v>
      </c>
      <c r="I42" s="742">
        <v>2415294</v>
      </c>
      <c r="J42" s="742">
        <v>2379942</v>
      </c>
      <c r="K42" s="742">
        <v>2313504</v>
      </c>
      <c r="L42" s="1838">
        <v>2536957</v>
      </c>
      <c r="M42" s="1902">
        <v>2580391</v>
      </c>
      <c r="N42" s="1908">
        <v>2538680</v>
      </c>
    </row>
    <row r="43" spans="1:14" ht="13.5" customHeight="1">
      <c r="A43" s="1530" t="s">
        <v>203</v>
      </c>
      <c r="B43" s="742">
        <v>32871</v>
      </c>
      <c r="C43" s="742">
        <v>34832</v>
      </c>
      <c r="D43" s="742">
        <v>38275</v>
      </c>
      <c r="E43" s="742">
        <v>36006</v>
      </c>
      <c r="F43" s="742">
        <v>35471</v>
      </c>
      <c r="G43" s="742">
        <v>37669</v>
      </c>
      <c r="H43" s="742">
        <v>37791</v>
      </c>
      <c r="I43" s="742">
        <v>38676</v>
      </c>
      <c r="J43" s="742">
        <v>39413</v>
      </c>
      <c r="K43" s="742">
        <v>37663</v>
      </c>
      <c r="L43" s="1838">
        <v>41431</v>
      </c>
      <c r="M43" s="1902">
        <v>41362</v>
      </c>
      <c r="N43" s="1908">
        <v>42664</v>
      </c>
    </row>
    <row r="44" spans="1:14" ht="13.5" customHeight="1">
      <c r="A44" s="1530" t="s">
        <v>204</v>
      </c>
      <c r="B44" s="742">
        <v>161587</v>
      </c>
      <c r="C44" s="742">
        <v>150783</v>
      </c>
      <c r="D44" s="742">
        <v>169840</v>
      </c>
      <c r="E44" s="742">
        <v>166720</v>
      </c>
      <c r="F44" s="742">
        <v>169338</v>
      </c>
      <c r="G44" s="742">
        <v>182107</v>
      </c>
      <c r="H44" s="742">
        <v>189225</v>
      </c>
      <c r="I44" s="742">
        <v>187396</v>
      </c>
      <c r="J44" s="742">
        <v>185515</v>
      </c>
      <c r="K44" s="742">
        <v>172904</v>
      </c>
      <c r="L44" s="1838">
        <v>175217</v>
      </c>
      <c r="M44" s="1902">
        <v>184251</v>
      </c>
      <c r="N44" s="1908">
        <v>182741</v>
      </c>
    </row>
    <row r="45" spans="1:14" ht="13.5" customHeight="1">
      <c r="A45" s="1530" t="s">
        <v>333</v>
      </c>
      <c r="B45" s="742">
        <v>29929</v>
      </c>
      <c r="C45" s="742">
        <v>28311</v>
      </c>
      <c r="D45" s="742">
        <v>31432</v>
      </c>
      <c r="E45" s="742">
        <v>30576</v>
      </c>
      <c r="F45" s="742">
        <v>32375</v>
      </c>
      <c r="G45" s="742">
        <v>31812</v>
      </c>
      <c r="H45" s="742">
        <v>32934</v>
      </c>
      <c r="I45" s="742">
        <v>32654</v>
      </c>
      <c r="J45" s="742">
        <v>31591</v>
      </c>
      <c r="K45" s="742">
        <v>31282</v>
      </c>
      <c r="L45" s="1838">
        <v>32688</v>
      </c>
      <c r="M45" s="1902">
        <v>35388</v>
      </c>
      <c r="N45" s="1908">
        <v>35938</v>
      </c>
    </row>
    <row r="46" spans="1:14" ht="13.5" customHeight="1">
      <c r="A46" s="1499" t="s">
        <v>327</v>
      </c>
      <c r="B46" s="759">
        <v>985923</v>
      </c>
      <c r="C46" s="759">
        <v>990496</v>
      </c>
      <c r="D46" s="759">
        <v>999464</v>
      </c>
      <c r="E46" s="759">
        <v>1000895</v>
      </c>
      <c r="F46" s="759">
        <v>1016695</v>
      </c>
      <c r="G46" s="759">
        <v>1021266</v>
      </c>
      <c r="H46" s="759">
        <v>1065673</v>
      </c>
      <c r="I46" s="759">
        <v>1070880</v>
      </c>
      <c r="J46" s="759">
        <v>1075264</v>
      </c>
      <c r="K46" s="759">
        <v>1084785</v>
      </c>
      <c r="L46" s="1840">
        <v>1112726</v>
      </c>
      <c r="M46" s="1901">
        <v>1087411</v>
      </c>
      <c r="N46" s="1908">
        <v>1079374</v>
      </c>
    </row>
    <row r="47" spans="1:14" ht="13.5" customHeight="1">
      <c r="A47" s="1530" t="s">
        <v>206</v>
      </c>
      <c r="B47" s="742">
        <v>101660</v>
      </c>
      <c r="C47" s="742">
        <v>105516</v>
      </c>
      <c r="D47" s="742">
        <v>101989</v>
      </c>
      <c r="E47" s="742">
        <v>117202</v>
      </c>
      <c r="F47" s="742">
        <v>143741</v>
      </c>
      <c r="G47" s="742">
        <v>108138</v>
      </c>
      <c r="H47" s="742">
        <v>118374</v>
      </c>
      <c r="I47" s="742">
        <v>138507</v>
      </c>
      <c r="J47" s="742">
        <v>144899</v>
      </c>
      <c r="K47" s="742">
        <v>170672</v>
      </c>
      <c r="L47" s="1838">
        <v>178865</v>
      </c>
      <c r="M47" s="1902">
        <v>188336</v>
      </c>
      <c r="N47" s="1908">
        <v>172468</v>
      </c>
    </row>
    <row r="48" spans="1:14" ht="13.5" customHeight="1">
      <c r="A48" s="1530" t="s">
        <v>207</v>
      </c>
      <c r="B48" s="742">
        <v>217837</v>
      </c>
      <c r="C48" s="742">
        <v>222509</v>
      </c>
      <c r="D48" s="742">
        <v>229233</v>
      </c>
      <c r="E48" s="742">
        <v>220153</v>
      </c>
      <c r="F48" s="742">
        <v>227246</v>
      </c>
      <c r="G48" s="742">
        <v>234268</v>
      </c>
      <c r="H48" s="742">
        <v>241892</v>
      </c>
      <c r="I48" s="742">
        <v>235359</v>
      </c>
      <c r="J48" s="742">
        <v>239108</v>
      </c>
      <c r="K48" s="742">
        <v>238405</v>
      </c>
      <c r="L48" s="1838">
        <v>229314</v>
      </c>
      <c r="M48" s="1902">
        <v>232792</v>
      </c>
      <c r="N48" s="1908">
        <v>235344</v>
      </c>
    </row>
    <row r="49" spans="1:14" ht="13.5" customHeight="1">
      <c r="A49" s="1530" t="s">
        <v>219</v>
      </c>
      <c r="B49" s="742">
        <v>117611</v>
      </c>
      <c r="C49" s="742">
        <v>120622</v>
      </c>
      <c r="D49" s="742">
        <v>126515</v>
      </c>
      <c r="E49" s="742">
        <v>122027</v>
      </c>
      <c r="F49" s="742">
        <v>121660</v>
      </c>
      <c r="G49" s="742">
        <v>120912</v>
      </c>
      <c r="H49" s="742">
        <v>120106</v>
      </c>
      <c r="I49" s="742">
        <v>122075</v>
      </c>
      <c r="J49" s="742">
        <v>118852</v>
      </c>
      <c r="K49" s="742">
        <v>110319</v>
      </c>
      <c r="L49" s="1838">
        <v>116475</v>
      </c>
      <c r="M49" s="1902">
        <v>118116</v>
      </c>
      <c r="N49" s="1908">
        <v>117480</v>
      </c>
    </row>
    <row r="50" spans="1:14" ht="13.5" customHeight="1">
      <c r="A50" s="1532" t="s">
        <v>334</v>
      </c>
      <c r="B50" s="742">
        <v>335310</v>
      </c>
      <c r="C50" s="742">
        <v>333286</v>
      </c>
      <c r="D50" s="742">
        <v>342886</v>
      </c>
      <c r="E50" s="742">
        <v>334206</v>
      </c>
      <c r="F50" s="742">
        <v>353318</v>
      </c>
      <c r="G50" s="742">
        <v>358818</v>
      </c>
      <c r="H50" s="742">
        <v>367045</v>
      </c>
      <c r="I50" s="742">
        <v>355033</v>
      </c>
      <c r="J50" s="742">
        <v>357650</v>
      </c>
      <c r="K50" s="742">
        <v>344968</v>
      </c>
      <c r="L50" s="1838">
        <v>341788</v>
      </c>
      <c r="M50" s="1902">
        <v>335224</v>
      </c>
      <c r="N50" s="1908">
        <v>343205</v>
      </c>
    </row>
    <row r="51" spans="1:14" ht="13.5" customHeight="1">
      <c r="A51" s="1530" t="s">
        <v>208</v>
      </c>
      <c r="B51" s="742">
        <v>110235</v>
      </c>
      <c r="C51" s="742">
        <v>106466</v>
      </c>
      <c r="D51" s="742">
        <v>92380</v>
      </c>
      <c r="E51" s="742">
        <v>98775</v>
      </c>
      <c r="F51" s="742">
        <v>60245</v>
      </c>
      <c r="G51" s="742">
        <v>84643</v>
      </c>
      <c r="H51" s="742">
        <v>103107</v>
      </c>
      <c r="I51" s="742">
        <v>104127</v>
      </c>
      <c r="J51" s="742">
        <v>100847</v>
      </c>
      <c r="K51" s="742">
        <v>112858</v>
      </c>
      <c r="L51" s="1838">
        <v>131267</v>
      </c>
      <c r="M51" s="1902">
        <v>101039</v>
      </c>
      <c r="N51" s="1908">
        <v>99614</v>
      </c>
    </row>
    <row r="52" spans="1:14" ht="13.5" customHeight="1">
      <c r="A52" s="1530" t="s">
        <v>209</v>
      </c>
      <c r="B52" s="742">
        <v>42095</v>
      </c>
      <c r="C52" s="742">
        <v>42684</v>
      </c>
      <c r="D52" s="742">
        <v>44122</v>
      </c>
      <c r="E52" s="742">
        <v>48127</v>
      </c>
      <c r="F52" s="742">
        <v>49337</v>
      </c>
      <c r="G52" s="742">
        <v>53587</v>
      </c>
      <c r="H52" s="742">
        <v>52379</v>
      </c>
      <c r="I52" s="742">
        <v>51778</v>
      </c>
      <c r="J52" s="742">
        <v>50319</v>
      </c>
      <c r="K52" s="742">
        <v>49302</v>
      </c>
      <c r="L52" s="1838">
        <v>53900</v>
      </c>
      <c r="M52" s="1902">
        <v>51144</v>
      </c>
      <c r="N52" s="1908">
        <v>49673</v>
      </c>
    </row>
    <row r="53" spans="1:14" ht="13.5" customHeight="1">
      <c r="A53" s="1533" t="s">
        <v>1625</v>
      </c>
      <c r="B53" s="779">
        <v>61175</v>
      </c>
      <c r="C53" s="779">
        <v>59413</v>
      </c>
      <c r="D53" s="779">
        <v>62339</v>
      </c>
      <c r="E53" s="779">
        <v>60405</v>
      </c>
      <c r="F53" s="779">
        <v>61148</v>
      </c>
      <c r="G53" s="779">
        <v>60900</v>
      </c>
      <c r="H53" s="779">
        <v>62770</v>
      </c>
      <c r="I53" s="779">
        <v>64001</v>
      </c>
      <c r="J53" s="779">
        <v>63589</v>
      </c>
      <c r="K53" s="779">
        <v>58261</v>
      </c>
      <c r="L53" s="1841">
        <v>61117</v>
      </c>
      <c r="M53" s="1900">
        <v>60760</v>
      </c>
      <c r="N53" s="1908">
        <v>61590</v>
      </c>
    </row>
    <row r="54" spans="1:14" ht="13.5" customHeight="1">
      <c r="A54" s="1500" t="s">
        <v>210</v>
      </c>
      <c r="B54" s="742">
        <v>583643</v>
      </c>
      <c r="C54" s="742">
        <v>591296</v>
      </c>
      <c r="D54" s="742">
        <v>633497</v>
      </c>
      <c r="E54" s="742">
        <v>622915</v>
      </c>
      <c r="F54" s="742">
        <v>630529</v>
      </c>
      <c r="G54" s="742">
        <v>621925</v>
      </c>
      <c r="H54" s="742">
        <v>636953</v>
      </c>
      <c r="I54" s="742">
        <v>625127</v>
      </c>
      <c r="J54" s="742">
        <v>633509</v>
      </c>
      <c r="K54" s="742">
        <v>630050</v>
      </c>
      <c r="L54" s="1838">
        <v>596697</v>
      </c>
      <c r="M54" s="1902">
        <v>581246</v>
      </c>
      <c r="N54" s="1908">
        <v>577235</v>
      </c>
    </row>
    <row r="55" spans="1:14" ht="13.5" customHeight="1">
      <c r="A55" s="1530" t="s">
        <v>1626</v>
      </c>
      <c r="B55" s="742">
        <v>283014</v>
      </c>
      <c r="C55" s="742">
        <v>290473</v>
      </c>
      <c r="D55" s="742">
        <v>312298</v>
      </c>
      <c r="E55" s="742">
        <v>299759</v>
      </c>
      <c r="F55" s="742">
        <v>309732</v>
      </c>
      <c r="G55" s="742">
        <v>310071</v>
      </c>
      <c r="H55" s="742">
        <v>311979</v>
      </c>
      <c r="I55" s="742">
        <v>311104</v>
      </c>
      <c r="J55" s="742">
        <v>311388</v>
      </c>
      <c r="K55" s="742">
        <v>292787</v>
      </c>
      <c r="L55" s="1838">
        <v>294985</v>
      </c>
      <c r="M55" s="1902">
        <v>291536</v>
      </c>
      <c r="N55" s="1908">
        <v>293009</v>
      </c>
    </row>
    <row r="56" spans="1:14" ht="13.5" customHeight="1">
      <c r="A56" s="1530" t="s">
        <v>337</v>
      </c>
      <c r="B56" s="742">
        <v>86611</v>
      </c>
      <c r="C56" s="742">
        <v>88341</v>
      </c>
      <c r="D56" s="742">
        <v>93261</v>
      </c>
      <c r="E56" s="742">
        <v>91942</v>
      </c>
      <c r="F56" s="742">
        <v>85982</v>
      </c>
      <c r="G56" s="742">
        <v>85999</v>
      </c>
      <c r="H56" s="742">
        <v>87827</v>
      </c>
      <c r="I56" s="742">
        <v>83809</v>
      </c>
      <c r="J56" s="742">
        <v>79711</v>
      </c>
      <c r="K56" s="742">
        <v>76478</v>
      </c>
      <c r="L56" s="1838">
        <v>81483</v>
      </c>
      <c r="M56" s="1902">
        <v>81008</v>
      </c>
      <c r="N56" s="1908">
        <v>73921</v>
      </c>
    </row>
    <row r="57" spans="1:14" ht="13.5" customHeight="1">
      <c r="A57" s="1530" t="s">
        <v>222</v>
      </c>
      <c r="B57" s="742">
        <v>122282</v>
      </c>
      <c r="C57" s="742">
        <v>119211</v>
      </c>
      <c r="D57" s="742">
        <v>126576</v>
      </c>
      <c r="E57" s="742">
        <v>130319</v>
      </c>
      <c r="F57" s="742">
        <v>128054</v>
      </c>
      <c r="G57" s="742">
        <v>126388</v>
      </c>
      <c r="H57" s="742">
        <v>131261</v>
      </c>
      <c r="I57" s="742">
        <v>126688</v>
      </c>
      <c r="J57" s="742">
        <v>139348</v>
      </c>
      <c r="K57" s="742">
        <v>164905</v>
      </c>
      <c r="L57" s="1838">
        <v>124734</v>
      </c>
      <c r="M57" s="1902">
        <v>114105</v>
      </c>
      <c r="N57" s="1908">
        <v>113442</v>
      </c>
    </row>
    <row r="58" spans="1:14" ht="13.5" customHeight="1">
      <c r="A58" s="1530" t="s">
        <v>220</v>
      </c>
      <c r="B58" s="742">
        <v>52975</v>
      </c>
      <c r="C58" s="742">
        <v>54409</v>
      </c>
      <c r="D58" s="742">
        <v>57436</v>
      </c>
      <c r="E58" s="742">
        <v>56566</v>
      </c>
      <c r="F58" s="742">
        <v>55509</v>
      </c>
      <c r="G58" s="742">
        <v>55778</v>
      </c>
      <c r="H58" s="742">
        <v>58672</v>
      </c>
      <c r="I58" s="742">
        <v>55674</v>
      </c>
      <c r="J58" s="742">
        <v>55763</v>
      </c>
      <c r="K58" s="742">
        <v>52035</v>
      </c>
      <c r="L58" s="1838">
        <v>51491</v>
      </c>
      <c r="M58" s="1902">
        <v>51825</v>
      </c>
      <c r="N58" s="1908">
        <v>52220</v>
      </c>
    </row>
    <row r="59" spans="1:14" ht="13.5" customHeight="1">
      <c r="A59" s="1530" t="s">
        <v>338</v>
      </c>
      <c r="B59" s="742">
        <v>38761</v>
      </c>
      <c r="C59" s="742">
        <v>38862</v>
      </c>
      <c r="D59" s="742">
        <v>43926</v>
      </c>
      <c r="E59" s="742">
        <v>44329</v>
      </c>
      <c r="F59" s="742">
        <v>51252</v>
      </c>
      <c r="G59" s="742">
        <v>43689</v>
      </c>
      <c r="H59" s="742">
        <v>47214</v>
      </c>
      <c r="I59" s="742">
        <v>47852</v>
      </c>
      <c r="J59" s="742">
        <v>47299</v>
      </c>
      <c r="K59" s="742">
        <v>43845</v>
      </c>
      <c r="L59" s="1838">
        <v>44004</v>
      </c>
      <c r="M59" s="1902">
        <v>42772</v>
      </c>
      <c r="N59" s="1908">
        <v>44643</v>
      </c>
    </row>
    <row r="60" spans="1:14" ht="13.5" customHeight="1">
      <c r="A60" s="1499" t="s">
        <v>211</v>
      </c>
      <c r="B60" s="759">
        <v>366777</v>
      </c>
      <c r="C60" s="759">
        <v>295698</v>
      </c>
      <c r="D60" s="759">
        <v>412702</v>
      </c>
      <c r="E60" s="759">
        <v>398133</v>
      </c>
      <c r="F60" s="759">
        <v>418714</v>
      </c>
      <c r="G60" s="759">
        <v>422068</v>
      </c>
      <c r="H60" s="759">
        <v>426654</v>
      </c>
      <c r="I60" s="759">
        <v>438341</v>
      </c>
      <c r="J60" s="759">
        <v>472616</v>
      </c>
      <c r="K60" s="759">
        <v>446621</v>
      </c>
      <c r="L60" s="1840">
        <v>454129</v>
      </c>
      <c r="M60" s="1901">
        <v>454813</v>
      </c>
      <c r="N60" s="1908">
        <v>460281</v>
      </c>
    </row>
    <row r="61" spans="1:14" ht="13.5" customHeight="1">
      <c r="A61" s="1495" t="s">
        <v>1627</v>
      </c>
      <c r="B61" s="742">
        <v>119196</v>
      </c>
      <c r="C61" s="742">
        <v>51826</v>
      </c>
      <c r="D61" s="742">
        <v>152079</v>
      </c>
      <c r="E61" s="742">
        <v>147919</v>
      </c>
      <c r="F61" s="742">
        <v>158335</v>
      </c>
      <c r="G61" s="742">
        <v>160986</v>
      </c>
      <c r="H61" s="742">
        <v>167051</v>
      </c>
      <c r="I61" s="742">
        <v>183003</v>
      </c>
      <c r="J61" s="742">
        <v>215529</v>
      </c>
      <c r="K61" s="742">
        <v>202952</v>
      </c>
      <c r="L61" s="1838">
        <v>197358</v>
      </c>
      <c r="M61" s="1902">
        <v>199674</v>
      </c>
      <c r="N61" s="1908">
        <v>205011</v>
      </c>
    </row>
    <row r="62" spans="1:14" ht="13.5" customHeight="1">
      <c r="A62" s="1496" t="s">
        <v>223</v>
      </c>
      <c r="B62" s="779">
        <v>247581</v>
      </c>
      <c r="C62" s="779">
        <v>243872</v>
      </c>
      <c r="D62" s="779">
        <v>260623</v>
      </c>
      <c r="E62" s="779">
        <v>250214</v>
      </c>
      <c r="F62" s="779">
        <v>260379</v>
      </c>
      <c r="G62" s="779">
        <v>261082</v>
      </c>
      <c r="H62" s="779">
        <v>259603</v>
      </c>
      <c r="I62" s="779">
        <v>255338</v>
      </c>
      <c r="J62" s="779">
        <v>257087</v>
      </c>
      <c r="K62" s="779">
        <v>243669</v>
      </c>
      <c r="L62" s="1841">
        <v>256771</v>
      </c>
      <c r="M62" s="1900">
        <v>255139</v>
      </c>
      <c r="N62" s="1908">
        <v>255270</v>
      </c>
    </row>
    <row r="63" spans="1:14" ht="13.5" customHeight="1">
      <c r="A63" s="1500" t="s">
        <v>212</v>
      </c>
      <c r="B63" s="759">
        <v>455257</v>
      </c>
      <c r="C63" s="742">
        <v>453656</v>
      </c>
      <c r="D63" s="742">
        <v>464902</v>
      </c>
      <c r="E63" s="742">
        <v>451446</v>
      </c>
      <c r="F63" s="742">
        <v>465574</v>
      </c>
      <c r="G63" s="742">
        <v>469874</v>
      </c>
      <c r="H63" s="742">
        <v>467903</v>
      </c>
      <c r="I63" s="742">
        <v>464893</v>
      </c>
      <c r="J63" s="742">
        <v>466919</v>
      </c>
      <c r="K63" s="742">
        <v>435297</v>
      </c>
      <c r="L63" s="1838">
        <v>446308</v>
      </c>
      <c r="M63" s="1902">
        <v>465571</v>
      </c>
      <c r="N63" s="1908">
        <v>478816</v>
      </c>
    </row>
    <row r="64" spans="1:14" ht="13.5" customHeight="1">
      <c r="A64" s="1530" t="s">
        <v>1628</v>
      </c>
      <c r="B64" s="742">
        <v>160767</v>
      </c>
      <c r="C64" s="742">
        <v>159975</v>
      </c>
      <c r="D64" s="742">
        <v>163582</v>
      </c>
      <c r="E64" s="742">
        <v>157431</v>
      </c>
      <c r="F64" s="742">
        <v>166534</v>
      </c>
      <c r="G64" s="742">
        <v>159754</v>
      </c>
      <c r="H64" s="742">
        <v>159126</v>
      </c>
      <c r="I64" s="742">
        <v>157933</v>
      </c>
      <c r="J64" s="742">
        <v>156777</v>
      </c>
      <c r="K64" s="742">
        <v>146403</v>
      </c>
      <c r="L64" s="1838">
        <v>152213</v>
      </c>
      <c r="M64" s="1902">
        <v>164046</v>
      </c>
      <c r="N64" s="1908">
        <v>167283</v>
      </c>
    </row>
    <row r="65" spans="1:14" ht="13.5" customHeight="1">
      <c r="A65" s="1530" t="s">
        <v>224</v>
      </c>
      <c r="B65" s="742">
        <v>158521</v>
      </c>
      <c r="C65" s="742">
        <v>152248</v>
      </c>
      <c r="D65" s="742">
        <v>159824</v>
      </c>
      <c r="E65" s="742">
        <v>156237</v>
      </c>
      <c r="F65" s="742">
        <v>162026</v>
      </c>
      <c r="G65" s="742">
        <v>162442</v>
      </c>
      <c r="H65" s="742">
        <v>163379</v>
      </c>
      <c r="I65" s="742">
        <v>162094</v>
      </c>
      <c r="J65" s="742">
        <v>161435</v>
      </c>
      <c r="K65" s="742">
        <v>148693</v>
      </c>
      <c r="L65" s="1838">
        <v>146838</v>
      </c>
      <c r="M65" s="1902">
        <v>150390</v>
      </c>
      <c r="N65" s="1908">
        <v>155260</v>
      </c>
    </row>
    <row r="66" spans="1:14" ht="13.5" customHeight="1" thickBot="1">
      <c r="A66" s="1534" t="s">
        <v>225</v>
      </c>
      <c r="B66" s="1501">
        <v>135969</v>
      </c>
      <c r="C66" s="1501">
        <v>141433</v>
      </c>
      <c r="D66" s="1501">
        <v>141496</v>
      </c>
      <c r="E66" s="1501">
        <v>137778</v>
      </c>
      <c r="F66" s="1501">
        <v>137014</v>
      </c>
      <c r="G66" s="1501">
        <v>147678</v>
      </c>
      <c r="H66" s="1501">
        <v>145398</v>
      </c>
      <c r="I66" s="1501">
        <v>144866</v>
      </c>
      <c r="J66" s="1501">
        <v>148707</v>
      </c>
      <c r="K66" s="1501">
        <v>140201</v>
      </c>
      <c r="L66" s="1842">
        <v>147257</v>
      </c>
      <c r="M66" s="1904">
        <v>151135</v>
      </c>
      <c r="N66" s="1909">
        <v>156273</v>
      </c>
    </row>
  </sheetData>
  <phoneticPr fontId="13"/>
  <pageMargins left="0.7" right="0.7" top="0.75" bottom="0.75" header="0.3" footer="0.3"/>
  <drawing r:id="rId1"/>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0">
    <tabColor theme="0"/>
  </sheetPr>
  <dimension ref="A1:Y50"/>
  <sheetViews>
    <sheetView workbookViewId="0">
      <pane xSplit="7" ySplit="5" topLeftCell="M37" activePane="bottomRight" state="frozen"/>
      <selection pane="topRight" activeCell="H1" sqref="H1"/>
      <selection pane="bottomLeft" activeCell="A6" sqref="A6"/>
      <selection pane="bottomRight" activeCell="Y43" sqref="Y43"/>
    </sheetView>
  </sheetViews>
  <sheetFormatPr defaultColWidth="8.7109375" defaultRowHeight="12.5"/>
  <cols>
    <col min="1" max="1" width="2.5703125" style="239" customWidth="1"/>
    <col min="2" max="2" width="17" style="239" customWidth="1"/>
    <col min="3" max="7" width="9.2109375" style="239" hidden="1" customWidth="1"/>
    <col min="8" max="10" width="9.2109375" style="239" bestFit="1" customWidth="1"/>
    <col min="11" max="11" width="9.2109375" style="1429" bestFit="1" customWidth="1"/>
    <col min="12" max="12" width="9.2109375" style="239" bestFit="1" customWidth="1"/>
    <col min="13" max="25" width="7.7109375" style="239" customWidth="1"/>
    <col min="26" max="16384" width="8.7109375" style="239"/>
  </cols>
  <sheetData>
    <row r="1" spans="1:25">
      <c r="A1" s="1429"/>
      <c r="B1" s="1929" t="s">
        <v>1259</v>
      </c>
      <c r="C1" s="1429"/>
      <c r="D1" s="1429"/>
      <c r="E1" s="1429"/>
      <c r="F1" s="1429"/>
      <c r="G1" s="1429"/>
      <c r="H1" s="1429"/>
      <c r="I1" s="1429"/>
      <c r="J1" s="1429"/>
      <c r="K1" s="1429" t="s">
        <v>347</v>
      </c>
    </row>
    <row r="2" spans="1:25">
      <c r="A2" s="1429"/>
      <c r="B2" s="1429"/>
      <c r="C2" s="1930" t="s">
        <v>1084</v>
      </c>
      <c r="D2" s="1931"/>
      <c r="E2" s="1931"/>
      <c r="F2" s="1931"/>
      <c r="G2" s="1931"/>
      <c r="H2" s="1931"/>
      <c r="I2" s="1931"/>
      <c r="J2" s="1931"/>
      <c r="K2" s="1931" t="s">
        <v>284</v>
      </c>
      <c r="N2" s="239" t="s">
        <v>1019</v>
      </c>
      <c r="O2" s="239" t="s">
        <v>1033</v>
      </c>
    </row>
    <row r="3" spans="1:25">
      <c r="A3" s="1932"/>
      <c r="B3" s="1933"/>
      <c r="C3" s="1934"/>
      <c r="D3" s="1935"/>
      <c r="E3" s="1935"/>
      <c r="F3" s="1935"/>
      <c r="G3" s="1936"/>
      <c r="H3" s="1935"/>
      <c r="I3" s="1935"/>
      <c r="J3" s="1935"/>
      <c r="K3" s="1937"/>
      <c r="L3" s="1938"/>
      <c r="M3" s="1938"/>
      <c r="N3" s="1000"/>
      <c r="O3" s="1000"/>
      <c r="P3" s="1033"/>
      <c r="Q3" s="1033"/>
      <c r="R3" s="1033"/>
      <c r="S3" s="1033"/>
      <c r="T3" s="1939"/>
      <c r="U3" s="1939"/>
      <c r="V3" s="1940"/>
      <c r="W3" s="1941"/>
      <c r="X3" s="1941"/>
    </row>
    <row r="4" spans="1:25">
      <c r="A4" s="1942" t="s">
        <v>1</v>
      </c>
      <c r="B4" s="1937"/>
      <c r="C4" s="1932"/>
      <c r="D4" s="1431"/>
      <c r="E4" s="1431"/>
      <c r="F4" s="1431"/>
      <c r="G4" s="1943"/>
      <c r="H4" s="1944"/>
      <c r="I4" s="1944"/>
      <c r="J4" s="1944"/>
      <c r="K4" s="1945"/>
      <c r="L4" s="1268"/>
      <c r="M4" s="1946"/>
      <c r="N4" s="1946"/>
      <c r="O4" s="1946"/>
      <c r="P4" s="1946"/>
      <c r="Q4" s="1946"/>
      <c r="R4" s="1946"/>
      <c r="S4" s="1946"/>
      <c r="T4" s="1946"/>
      <c r="U4" s="1946"/>
      <c r="V4" s="1947"/>
      <c r="W4" s="1948"/>
      <c r="X4" s="1948"/>
      <c r="Y4" s="1948"/>
    </row>
    <row r="5" spans="1:25">
      <c r="A5" s="1949"/>
      <c r="B5" s="1950"/>
      <c r="C5" s="1951" t="s">
        <v>2</v>
      </c>
      <c r="D5" s="1952" t="s">
        <v>3</v>
      </c>
      <c r="E5" s="1952" t="s">
        <v>4</v>
      </c>
      <c r="F5" s="1952" t="s">
        <v>5</v>
      </c>
      <c r="G5" s="1953" t="s">
        <v>6</v>
      </c>
      <c r="H5" s="1954" t="s">
        <v>959</v>
      </c>
      <c r="I5" s="1954" t="s">
        <v>293</v>
      </c>
      <c r="J5" s="1954" t="s">
        <v>866</v>
      </c>
      <c r="K5" s="1955" t="s">
        <v>867</v>
      </c>
      <c r="L5" s="1955" t="s">
        <v>913</v>
      </c>
      <c r="M5" s="1956" t="s">
        <v>1472</v>
      </c>
      <c r="N5" s="1956" t="s">
        <v>1473</v>
      </c>
      <c r="O5" s="1956" t="s">
        <v>1474</v>
      </c>
      <c r="P5" s="1956" t="s">
        <v>1475</v>
      </c>
      <c r="Q5" s="1956" t="s">
        <v>1476</v>
      </c>
      <c r="R5" s="1956" t="s">
        <v>1477</v>
      </c>
      <c r="S5" s="1956" t="s">
        <v>1478</v>
      </c>
      <c r="T5" s="1956" t="s">
        <v>1479</v>
      </c>
      <c r="U5" s="1956" t="s">
        <v>1480</v>
      </c>
      <c r="V5" s="1957" t="s">
        <v>1795</v>
      </c>
      <c r="W5" s="1958" t="s">
        <v>1796</v>
      </c>
      <c r="X5" s="1958" t="s">
        <v>1797</v>
      </c>
      <c r="Y5" s="1958" t="s">
        <v>1798</v>
      </c>
    </row>
    <row r="6" spans="1:25" ht="14.25" customHeight="1">
      <c r="A6" s="1959"/>
      <c r="B6" s="1960" t="s">
        <v>294</v>
      </c>
      <c r="C6" s="1961">
        <v>12421374</v>
      </c>
      <c r="D6" s="1962">
        <v>12426557</v>
      </c>
      <c r="E6" s="1962">
        <v>12437680</v>
      </c>
      <c r="F6" s="1962">
        <v>12535611</v>
      </c>
      <c r="G6" s="1963">
        <v>12703421</v>
      </c>
      <c r="H6" s="1964">
        <v>12699509.255272303</v>
      </c>
      <c r="I6" s="1964">
        <v>12840110.210334076</v>
      </c>
      <c r="J6" s="1964">
        <v>12587128.449086364</v>
      </c>
      <c r="K6" s="1964">
        <v>12757989.412977532</v>
      </c>
      <c r="L6" s="1964">
        <v>12931298.269003589</v>
      </c>
      <c r="M6" s="1964">
        <v>12986786</v>
      </c>
      <c r="N6" s="1965">
        <v>13072770</v>
      </c>
      <c r="O6" s="1965">
        <v>13392007</v>
      </c>
      <c r="P6" s="1965">
        <v>12931659</v>
      </c>
      <c r="Q6" s="1965">
        <v>13075405</v>
      </c>
      <c r="R6" s="1965">
        <v>12996597</v>
      </c>
      <c r="S6" s="1965">
        <v>13128106</v>
      </c>
      <c r="T6" s="1966">
        <v>13136181</v>
      </c>
      <c r="U6" s="1966">
        <v>13057999</v>
      </c>
      <c r="V6" s="1967">
        <v>12482499</v>
      </c>
      <c r="W6" s="829">
        <v>12756028</v>
      </c>
      <c r="X6" s="829">
        <v>13079004</v>
      </c>
      <c r="Y6" s="830">
        <v>12938289</v>
      </c>
    </row>
    <row r="7" spans="1:25" ht="14.25" customHeight="1">
      <c r="A7" s="1959"/>
      <c r="B7" s="1960" t="s">
        <v>295</v>
      </c>
      <c r="C7" s="1961">
        <v>12215765</v>
      </c>
      <c r="D7" s="1962">
        <v>12223961</v>
      </c>
      <c r="E7" s="1962">
        <v>12214536</v>
      </c>
      <c r="F7" s="1962">
        <v>12301187</v>
      </c>
      <c r="G7" s="1963">
        <v>12465654</v>
      </c>
      <c r="H7" s="1964">
        <v>12472067.754987199</v>
      </c>
      <c r="I7" s="1964">
        <v>12622107.875011835</v>
      </c>
      <c r="J7" s="1964">
        <v>12372661.420075977</v>
      </c>
      <c r="K7" s="1964">
        <v>12533961.664240234</v>
      </c>
      <c r="L7" s="1964">
        <v>12687834.509438528</v>
      </c>
      <c r="M7" s="1964">
        <v>12714283</v>
      </c>
      <c r="N7" s="1965">
        <v>12790505</v>
      </c>
      <c r="O7" s="1965">
        <v>13112593</v>
      </c>
      <c r="P7" s="1965">
        <v>12694132</v>
      </c>
      <c r="Q7" s="1965">
        <v>12793409</v>
      </c>
      <c r="R7" s="1965">
        <v>12686572</v>
      </c>
      <c r="S7" s="1965">
        <v>12815477</v>
      </c>
      <c r="T7" s="1965">
        <v>12849106</v>
      </c>
      <c r="U7" s="1965">
        <v>12733851</v>
      </c>
      <c r="V7" s="1967">
        <v>12100055</v>
      </c>
      <c r="W7" s="829">
        <v>12390249</v>
      </c>
      <c r="X7" s="829">
        <v>12726882</v>
      </c>
      <c r="Y7" s="830">
        <v>12566113</v>
      </c>
    </row>
    <row r="8" spans="1:25" ht="14.25" customHeight="1">
      <c r="A8" s="1959"/>
      <c r="B8" s="1960" t="s">
        <v>147</v>
      </c>
      <c r="C8" s="1961">
        <v>1727672</v>
      </c>
      <c r="D8" s="1962">
        <v>1682785</v>
      </c>
      <c r="E8" s="1962">
        <v>1710019</v>
      </c>
      <c r="F8" s="1962">
        <v>1710152</v>
      </c>
      <c r="G8" s="1963">
        <v>1711331</v>
      </c>
      <c r="H8" s="1964">
        <v>1829266.6849361048</v>
      </c>
      <c r="I8" s="1964">
        <v>1866052.64772713</v>
      </c>
      <c r="J8" s="1964">
        <v>1855927.8271305398</v>
      </c>
      <c r="K8" s="1964">
        <v>1900190.0340117393</v>
      </c>
      <c r="L8" s="1964">
        <v>1956853.898732428</v>
      </c>
      <c r="M8" s="1964">
        <v>1970547</v>
      </c>
      <c r="N8" s="1965">
        <v>2020086</v>
      </c>
      <c r="O8" s="1965">
        <v>2055759</v>
      </c>
      <c r="P8" s="1965">
        <v>2011483</v>
      </c>
      <c r="Q8" s="1965">
        <v>2017546</v>
      </c>
      <c r="R8" s="1965">
        <v>1984299</v>
      </c>
      <c r="S8" s="1965">
        <v>1978861</v>
      </c>
      <c r="T8" s="1965">
        <v>1965342</v>
      </c>
      <c r="U8" s="1965">
        <v>1939597</v>
      </c>
      <c r="V8" s="1967">
        <v>1906227</v>
      </c>
      <c r="W8" s="829">
        <v>1907419</v>
      </c>
      <c r="X8" s="829">
        <v>1860397</v>
      </c>
      <c r="Y8" s="830">
        <v>1797233</v>
      </c>
    </row>
    <row r="9" spans="1:25" ht="14.25" customHeight="1">
      <c r="A9" s="1959"/>
      <c r="B9" s="1960" t="s">
        <v>148</v>
      </c>
      <c r="C9" s="1961">
        <v>562191</v>
      </c>
      <c r="D9" s="1962">
        <v>602683</v>
      </c>
      <c r="E9" s="1962">
        <v>519547</v>
      </c>
      <c r="F9" s="1962">
        <v>461756</v>
      </c>
      <c r="G9" s="1963">
        <v>417559</v>
      </c>
      <c r="H9" s="1964">
        <v>448998.99006962631</v>
      </c>
      <c r="I9" s="1964">
        <v>422279.03456886479</v>
      </c>
      <c r="J9" s="1964">
        <v>398747.84286791342</v>
      </c>
      <c r="K9" s="1964">
        <v>385429.61326014186</v>
      </c>
      <c r="L9" s="1964">
        <v>357886.10702880903</v>
      </c>
      <c r="M9" s="1964">
        <v>334244</v>
      </c>
      <c r="N9" s="1965">
        <v>328551</v>
      </c>
      <c r="O9" s="1965">
        <v>333335</v>
      </c>
      <c r="P9" s="1965">
        <v>303216</v>
      </c>
      <c r="Q9" s="1965">
        <v>316163</v>
      </c>
      <c r="R9" s="1965">
        <v>309470</v>
      </c>
      <c r="S9" s="1965">
        <v>301113</v>
      </c>
      <c r="T9" s="1965">
        <v>282726</v>
      </c>
      <c r="U9" s="1965">
        <v>278425</v>
      </c>
      <c r="V9" s="1967">
        <v>271960</v>
      </c>
      <c r="W9" s="829">
        <v>268239</v>
      </c>
      <c r="X9" s="829">
        <v>261833</v>
      </c>
      <c r="Y9" s="830">
        <v>256514</v>
      </c>
    </row>
    <row r="10" spans="1:25" ht="14.25" customHeight="1">
      <c r="A10" s="1959"/>
      <c r="B10" s="1960" t="s">
        <v>150</v>
      </c>
      <c r="C10" s="1961">
        <v>514123</v>
      </c>
      <c r="D10" s="1962">
        <v>523843</v>
      </c>
      <c r="E10" s="1962">
        <v>453548</v>
      </c>
      <c r="F10" s="1962">
        <v>456200</v>
      </c>
      <c r="G10" s="1963">
        <v>411541</v>
      </c>
      <c r="H10" s="1964">
        <v>470205.57901943265</v>
      </c>
      <c r="I10" s="1964">
        <v>458605.41630089446</v>
      </c>
      <c r="J10" s="1964">
        <v>456837.56817556999</v>
      </c>
      <c r="K10" s="1964">
        <v>450654.77430295316</v>
      </c>
      <c r="L10" s="1964">
        <v>449268.6005824444</v>
      </c>
      <c r="M10" s="1964">
        <v>461959</v>
      </c>
      <c r="N10" s="1965">
        <v>478269</v>
      </c>
      <c r="O10" s="1965">
        <v>531224</v>
      </c>
      <c r="P10" s="1965">
        <v>522284</v>
      </c>
      <c r="Q10" s="1965">
        <v>510126</v>
      </c>
      <c r="R10" s="1965">
        <v>448298</v>
      </c>
      <c r="S10" s="1965">
        <v>444574</v>
      </c>
      <c r="T10" s="1965">
        <v>454343</v>
      </c>
      <c r="U10" s="1965">
        <v>432076</v>
      </c>
      <c r="V10" s="1967">
        <v>386861</v>
      </c>
      <c r="W10" s="829">
        <v>393573</v>
      </c>
      <c r="X10" s="829">
        <v>440743</v>
      </c>
      <c r="Y10" s="830">
        <v>419009</v>
      </c>
    </row>
    <row r="11" spans="1:25" ht="14.25" customHeight="1">
      <c r="A11" s="1959"/>
      <c r="B11" s="1960" t="s">
        <v>1237</v>
      </c>
      <c r="C11" s="1961">
        <v>3037068</v>
      </c>
      <c r="D11" s="1962">
        <v>3085107</v>
      </c>
      <c r="E11" s="1962">
        <v>3085268</v>
      </c>
      <c r="F11" s="1962">
        <v>3187626</v>
      </c>
      <c r="G11" s="1963">
        <v>3221418</v>
      </c>
      <c r="H11" s="1964">
        <v>3197626.1613085293</v>
      </c>
      <c r="I11" s="1964">
        <v>3217563.4776566266</v>
      </c>
      <c r="J11" s="1964">
        <v>3182815.3994014584</v>
      </c>
      <c r="K11" s="1964">
        <v>3238384.4748718981</v>
      </c>
      <c r="L11" s="1964">
        <v>3304571.5297541111</v>
      </c>
      <c r="M11" s="1964">
        <v>3321986</v>
      </c>
      <c r="N11" s="1965">
        <v>3380137</v>
      </c>
      <c r="O11" s="1965">
        <v>3414218</v>
      </c>
      <c r="P11" s="1965">
        <v>3391507</v>
      </c>
      <c r="Q11" s="1965">
        <v>3358383</v>
      </c>
      <c r="R11" s="1965">
        <v>3367940</v>
      </c>
      <c r="S11" s="1965">
        <v>3403205</v>
      </c>
      <c r="T11" s="1965">
        <v>3384156</v>
      </c>
      <c r="U11" s="1965">
        <v>3421953</v>
      </c>
      <c r="V11" s="1967">
        <v>3498438</v>
      </c>
      <c r="W11" s="829">
        <v>3549744</v>
      </c>
      <c r="X11" s="829">
        <v>3620494</v>
      </c>
      <c r="Y11" s="830">
        <v>3678273</v>
      </c>
    </row>
    <row r="12" spans="1:25" ht="14.25" customHeight="1">
      <c r="A12" s="1959"/>
      <c r="B12" s="1960" t="s">
        <v>151</v>
      </c>
      <c r="C12" s="1961">
        <v>408202</v>
      </c>
      <c r="D12" s="1962">
        <v>380611</v>
      </c>
      <c r="E12" s="1962">
        <v>405656</v>
      </c>
      <c r="F12" s="1962">
        <v>394090</v>
      </c>
      <c r="G12" s="1963">
        <v>460788</v>
      </c>
      <c r="H12" s="1964">
        <v>388917.5081979743</v>
      </c>
      <c r="I12" s="1964">
        <v>388713.83820809476</v>
      </c>
      <c r="J12" s="1964">
        <v>389008.26093841967</v>
      </c>
      <c r="K12" s="1964">
        <v>387747.31151401834</v>
      </c>
      <c r="L12" s="1964">
        <v>429427.55271682458</v>
      </c>
      <c r="M12" s="1964">
        <v>433798</v>
      </c>
      <c r="N12" s="1965">
        <v>469630</v>
      </c>
      <c r="O12" s="1965">
        <v>547233</v>
      </c>
      <c r="P12" s="1965">
        <v>508769</v>
      </c>
      <c r="Q12" s="1965">
        <v>499647</v>
      </c>
      <c r="R12" s="1965">
        <v>486545</v>
      </c>
      <c r="S12" s="1965">
        <v>489520</v>
      </c>
      <c r="T12" s="1965">
        <v>488233</v>
      </c>
      <c r="U12" s="1965">
        <v>465678</v>
      </c>
      <c r="V12" s="1967">
        <v>478277</v>
      </c>
      <c r="W12" s="829">
        <v>502855</v>
      </c>
      <c r="X12" s="829">
        <v>508179</v>
      </c>
      <c r="Y12" s="830">
        <v>463761</v>
      </c>
    </row>
    <row r="13" spans="1:25" ht="14.25" customHeight="1">
      <c r="A13" s="1959"/>
      <c r="B13" s="1960" t="s">
        <v>152</v>
      </c>
      <c r="C13" s="1961">
        <v>250492</v>
      </c>
      <c r="D13" s="1962">
        <v>250715</v>
      </c>
      <c r="E13" s="1962">
        <v>273633</v>
      </c>
      <c r="F13" s="1962">
        <v>281823</v>
      </c>
      <c r="G13" s="1963">
        <v>284105</v>
      </c>
      <c r="H13" s="1964">
        <v>435874.62339322193</v>
      </c>
      <c r="I13" s="1964">
        <v>439457.79690275725</v>
      </c>
      <c r="J13" s="1964">
        <v>446798.9419236551</v>
      </c>
      <c r="K13" s="1964">
        <v>464834.93454002216</v>
      </c>
      <c r="L13" s="1964">
        <v>470787.04714687355</v>
      </c>
      <c r="M13" s="1964">
        <v>487121</v>
      </c>
      <c r="N13" s="1965">
        <v>483147</v>
      </c>
      <c r="O13" s="1965">
        <v>491402</v>
      </c>
      <c r="P13" s="1965">
        <v>489739</v>
      </c>
      <c r="Q13" s="1965">
        <v>504030</v>
      </c>
      <c r="R13" s="1965">
        <v>495241</v>
      </c>
      <c r="S13" s="1965">
        <v>506887</v>
      </c>
      <c r="T13" s="1965">
        <v>520389</v>
      </c>
      <c r="U13" s="1965">
        <v>541618</v>
      </c>
      <c r="V13" s="1967">
        <v>562517</v>
      </c>
      <c r="W13" s="829">
        <v>511907</v>
      </c>
      <c r="X13" s="829">
        <v>529471</v>
      </c>
      <c r="Y13" s="830">
        <v>516349</v>
      </c>
    </row>
    <row r="14" spans="1:25" ht="14.25" customHeight="1">
      <c r="A14" s="1959"/>
      <c r="B14" s="1960" t="s">
        <v>153</v>
      </c>
      <c r="C14" s="1961">
        <v>1426646</v>
      </c>
      <c r="D14" s="1962">
        <v>1418710</v>
      </c>
      <c r="E14" s="1962">
        <v>1456245</v>
      </c>
      <c r="F14" s="1962">
        <v>1453321</v>
      </c>
      <c r="G14" s="1963">
        <v>1477175</v>
      </c>
      <c r="H14" s="1964">
        <v>1438231.5038275584</v>
      </c>
      <c r="I14" s="1964">
        <v>1401543.7348437232</v>
      </c>
      <c r="J14" s="1964">
        <v>1345895.8887970077</v>
      </c>
      <c r="K14" s="1964">
        <v>1397319.2372613496</v>
      </c>
      <c r="L14" s="1964">
        <v>1318096.7880017878</v>
      </c>
      <c r="M14" s="1964">
        <v>1320868</v>
      </c>
      <c r="N14" s="1965">
        <v>1307262</v>
      </c>
      <c r="O14" s="1965">
        <v>1279498</v>
      </c>
      <c r="P14" s="1965">
        <v>1181551</v>
      </c>
      <c r="Q14" s="1965">
        <v>1150733</v>
      </c>
      <c r="R14" s="1965">
        <v>1113593</v>
      </c>
      <c r="S14" s="1965">
        <v>1045052</v>
      </c>
      <c r="T14" s="1965">
        <v>957414</v>
      </c>
      <c r="U14" s="1965">
        <v>839332</v>
      </c>
      <c r="V14" s="1967">
        <v>615471</v>
      </c>
      <c r="W14" s="829">
        <v>643343</v>
      </c>
      <c r="X14" s="829">
        <v>676900</v>
      </c>
      <c r="Y14" s="830">
        <v>661831</v>
      </c>
    </row>
    <row r="15" spans="1:25" ht="14.25" customHeight="1">
      <c r="A15" s="1959"/>
      <c r="B15" s="1960" t="s">
        <v>1238</v>
      </c>
      <c r="C15" s="1961">
        <v>239965</v>
      </c>
      <c r="D15" s="1962">
        <v>261409</v>
      </c>
      <c r="E15" s="1962">
        <v>278040</v>
      </c>
      <c r="F15" s="1962">
        <v>293115</v>
      </c>
      <c r="G15" s="1963">
        <v>291676</v>
      </c>
      <c r="H15" s="1964">
        <v>429766.70097805117</v>
      </c>
      <c r="I15" s="1964">
        <v>473563.45361498656</v>
      </c>
      <c r="J15" s="1964">
        <v>495242.16115885432</v>
      </c>
      <c r="K15" s="1964">
        <v>554724.78820211568</v>
      </c>
      <c r="L15" s="1964">
        <v>653866.37198097666</v>
      </c>
      <c r="M15" s="1964">
        <v>630523</v>
      </c>
      <c r="N15" s="1965">
        <v>610726</v>
      </c>
      <c r="O15" s="1965">
        <v>656663</v>
      </c>
      <c r="P15" s="1965">
        <v>641731</v>
      </c>
      <c r="Q15" s="1965">
        <v>626517</v>
      </c>
      <c r="R15" s="1965">
        <v>649109</v>
      </c>
      <c r="S15" s="1965">
        <v>679759</v>
      </c>
      <c r="T15" s="1965">
        <v>715526</v>
      </c>
      <c r="U15" s="1965">
        <v>724662</v>
      </c>
      <c r="V15" s="1967">
        <v>786935</v>
      </c>
      <c r="W15" s="829">
        <v>829990</v>
      </c>
      <c r="X15" s="829">
        <v>828853</v>
      </c>
      <c r="Y15" s="830">
        <v>786508</v>
      </c>
    </row>
    <row r="16" spans="1:25" ht="14.25" customHeight="1">
      <c r="A16" s="1959"/>
      <c r="B16" s="1960" t="s">
        <v>1239</v>
      </c>
      <c r="C16" s="1961">
        <v>914846</v>
      </c>
      <c r="D16" s="1962">
        <v>906707</v>
      </c>
      <c r="E16" s="1962">
        <v>912762</v>
      </c>
      <c r="F16" s="1962">
        <v>967316</v>
      </c>
      <c r="G16" s="1963">
        <v>974208</v>
      </c>
      <c r="H16" s="1964">
        <v>967509.91620273178</v>
      </c>
      <c r="I16" s="1964">
        <v>949894.39402907109</v>
      </c>
      <c r="J16" s="1964">
        <v>917453.14021727326</v>
      </c>
      <c r="K16" s="1964">
        <v>875056.55843882379</v>
      </c>
      <c r="L16" s="1964">
        <v>833526.54262065492</v>
      </c>
      <c r="M16" s="1964">
        <v>815511</v>
      </c>
      <c r="N16" s="1965">
        <v>831449</v>
      </c>
      <c r="O16" s="1965">
        <v>852833</v>
      </c>
      <c r="P16" s="1965">
        <v>845758</v>
      </c>
      <c r="Q16" s="1965">
        <v>864518</v>
      </c>
      <c r="R16" s="1965">
        <v>824690</v>
      </c>
      <c r="S16" s="1965">
        <v>823728</v>
      </c>
      <c r="T16" s="1965">
        <v>815577</v>
      </c>
      <c r="U16" s="1965">
        <v>789631</v>
      </c>
      <c r="V16" s="1967">
        <v>721378</v>
      </c>
      <c r="W16" s="829">
        <v>758666</v>
      </c>
      <c r="X16" s="829">
        <v>776896</v>
      </c>
      <c r="Y16" s="830">
        <v>759719</v>
      </c>
    </row>
    <row r="17" spans="1:25" ht="14.25" customHeight="1">
      <c r="A17" s="1959"/>
      <c r="B17" s="1960" t="s">
        <v>1240</v>
      </c>
      <c r="C17" s="1961">
        <v>219337</v>
      </c>
      <c r="D17" s="1962">
        <v>272498</v>
      </c>
      <c r="E17" s="1962">
        <v>282911</v>
      </c>
      <c r="F17" s="1962">
        <v>277524</v>
      </c>
      <c r="G17" s="1963">
        <v>243355</v>
      </c>
      <c r="H17" s="1964">
        <v>279645.73571698961</v>
      </c>
      <c r="I17" s="1964">
        <v>285348.43301335227</v>
      </c>
      <c r="J17" s="1964">
        <v>292609.50883818441</v>
      </c>
      <c r="K17" s="1964">
        <v>307545.61150974547</v>
      </c>
      <c r="L17" s="1964">
        <v>297989.42877000879</v>
      </c>
      <c r="M17" s="1964">
        <v>304219</v>
      </c>
      <c r="N17" s="1965">
        <v>303547</v>
      </c>
      <c r="O17" s="1965">
        <v>298088</v>
      </c>
      <c r="P17" s="1965">
        <v>295600</v>
      </c>
      <c r="Q17" s="1965">
        <v>301337</v>
      </c>
      <c r="R17" s="1965">
        <v>309653</v>
      </c>
      <c r="S17" s="1965">
        <v>312716</v>
      </c>
      <c r="T17" s="1965">
        <v>321756</v>
      </c>
      <c r="U17" s="1965">
        <v>324827</v>
      </c>
      <c r="V17" s="1967">
        <v>321451</v>
      </c>
      <c r="W17" s="829">
        <v>324544</v>
      </c>
      <c r="X17" s="829">
        <v>326665</v>
      </c>
      <c r="Y17" s="830">
        <v>315164</v>
      </c>
    </row>
    <row r="18" spans="1:25" ht="14.25" customHeight="1">
      <c r="A18" s="1959"/>
      <c r="B18" s="1960" t="s">
        <v>1241</v>
      </c>
      <c r="C18" s="1961">
        <v>1056697</v>
      </c>
      <c r="D18" s="1962">
        <v>1058757</v>
      </c>
      <c r="E18" s="1962">
        <v>983626</v>
      </c>
      <c r="F18" s="1962">
        <v>1024158</v>
      </c>
      <c r="G18" s="1963">
        <v>990981</v>
      </c>
      <c r="H18" s="1964">
        <v>1061914.1071501637</v>
      </c>
      <c r="I18" s="1964">
        <v>1084806.1727737463</v>
      </c>
      <c r="J18" s="1964">
        <v>1065574.5588199373</v>
      </c>
      <c r="K18" s="1964">
        <v>1046179.6881073903</v>
      </c>
      <c r="L18" s="1964">
        <v>1025542.0985784687</v>
      </c>
      <c r="M18" s="1964">
        <v>1020628</v>
      </c>
      <c r="N18" s="1965">
        <v>1006332</v>
      </c>
      <c r="O18" s="1965">
        <v>1002674</v>
      </c>
      <c r="P18" s="1965">
        <v>961133</v>
      </c>
      <c r="Q18" s="1965">
        <v>955641</v>
      </c>
      <c r="R18" s="1965">
        <v>954559</v>
      </c>
      <c r="S18" s="1965">
        <v>934995</v>
      </c>
      <c r="T18" s="1965">
        <v>897831</v>
      </c>
      <c r="U18" s="1965">
        <v>851068</v>
      </c>
      <c r="V18" s="1967">
        <v>608022</v>
      </c>
      <c r="W18" s="829">
        <v>576374</v>
      </c>
      <c r="X18" s="829">
        <v>675437</v>
      </c>
      <c r="Y18" s="830">
        <v>654973</v>
      </c>
    </row>
    <row r="19" spans="1:25" ht="14.25" customHeight="1">
      <c r="A19" s="1959"/>
      <c r="B19" s="1960" t="s">
        <v>1242</v>
      </c>
      <c r="C19" s="1961">
        <v>1858526</v>
      </c>
      <c r="D19" s="1962">
        <v>1780136</v>
      </c>
      <c r="E19" s="1962">
        <v>1853281</v>
      </c>
      <c r="F19" s="1962">
        <v>1794106</v>
      </c>
      <c r="G19" s="1963">
        <v>1981517</v>
      </c>
      <c r="H19" s="1964">
        <v>653447.86047638766</v>
      </c>
      <c r="I19" s="1964">
        <v>694436.57634843094</v>
      </c>
      <c r="J19" s="1964">
        <v>565635.21369640273</v>
      </c>
      <c r="K19" s="1964">
        <v>569228.81268057262</v>
      </c>
      <c r="L19" s="1964">
        <v>549785.01475274924</v>
      </c>
      <c r="M19" s="1964">
        <v>546526</v>
      </c>
      <c r="N19" s="1965">
        <v>506999</v>
      </c>
      <c r="O19" s="1965">
        <v>550946</v>
      </c>
      <c r="P19" s="1965">
        <v>500959</v>
      </c>
      <c r="Q19" s="1965">
        <v>541473</v>
      </c>
      <c r="R19" s="1965">
        <v>520243</v>
      </c>
      <c r="S19" s="1965">
        <v>549166</v>
      </c>
      <c r="T19" s="1965">
        <v>569200</v>
      </c>
      <c r="U19" s="1965">
        <v>535888</v>
      </c>
      <c r="V19" s="1967">
        <v>551639</v>
      </c>
      <c r="W19" s="829">
        <v>612370</v>
      </c>
      <c r="X19" s="829">
        <v>620402</v>
      </c>
      <c r="Y19" s="830">
        <v>654334</v>
      </c>
    </row>
    <row r="20" spans="1:25" ht="14.25" customHeight="1">
      <c r="A20" s="1959"/>
      <c r="B20" s="1960" t="s">
        <v>1243</v>
      </c>
      <c r="C20" s="1961"/>
      <c r="D20" s="1962"/>
      <c r="E20" s="1962"/>
      <c r="F20" s="1962"/>
      <c r="G20" s="1963"/>
      <c r="H20" s="1964">
        <v>964033.54549594468</v>
      </c>
      <c r="I20" s="1964">
        <v>1004296.5513588085</v>
      </c>
      <c r="J20" s="1964">
        <v>1018305.1881900976</v>
      </c>
      <c r="K20" s="1964">
        <v>995245.50749985431</v>
      </c>
      <c r="L20" s="1964">
        <v>1041807.071161757</v>
      </c>
      <c r="M20" s="1964">
        <v>1064829</v>
      </c>
      <c r="N20" s="1965">
        <v>1064051</v>
      </c>
      <c r="O20" s="1965">
        <v>1098065</v>
      </c>
      <c r="P20" s="1965">
        <v>1038932</v>
      </c>
      <c r="Q20" s="1965">
        <v>1147296</v>
      </c>
      <c r="R20" s="1965">
        <v>1223247</v>
      </c>
      <c r="S20" s="1965">
        <v>1346453</v>
      </c>
      <c r="T20" s="1965">
        <v>1479033</v>
      </c>
      <c r="U20" s="1965">
        <v>1598925</v>
      </c>
      <c r="V20" s="1967">
        <v>1426556</v>
      </c>
      <c r="W20" s="829">
        <v>1547439</v>
      </c>
      <c r="X20" s="829">
        <v>1633908</v>
      </c>
      <c r="Y20" s="830">
        <v>1637996</v>
      </c>
    </row>
    <row r="21" spans="1:25" ht="14.25" customHeight="1">
      <c r="A21" s="1968"/>
      <c r="B21" s="1969" t="s">
        <v>296</v>
      </c>
      <c r="C21" s="1961">
        <v>205609</v>
      </c>
      <c r="D21" s="1962">
        <v>202596</v>
      </c>
      <c r="E21" s="1962">
        <v>223144</v>
      </c>
      <c r="F21" s="1962">
        <v>234424</v>
      </c>
      <c r="G21" s="1963">
        <v>237767</v>
      </c>
      <c r="H21" s="1964">
        <v>227651.05985821391</v>
      </c>
      <c r="I21" s="1964">
        <v>218717.84680187056</v>
      </c>
      <c r="J21" s="1964">
        <v>215135.36529623708</v>
      </c>
      <c r="K21" s="1964">
        <v>224481.27097825389</v>
      </c>
      <c r="L21" s="1964">
        <v>243581.78160840698</v>
      </c>
      <c r="M21" s="1964">
        <v>272172</v>
      </c>
      <c r="N21" s="1965">
        <v>281823</v>
      </c>
      <c r="O21" s="1965">
        <v>279033</v>
      </c>
      <c r="P21" s="1965">
        <v>237343</v>
      </c>
      <c r="Q21" s="1965">
        <v>281995</v>
      </c>
      <c r="R21" s="1965">
        <v>310130</v>
      </c>
      <c r="S21" s="1965">
        <v>312732</v>
      </c>
      <c r="T21" s="1965">
        <v>287082</v>
      </c>
      <c r="U21" s="1965">
        <v>324314</v>
      </c>
      <c r="V21" s="1967">
        <v>383538</v>
      </c>
      <c r="W21" s="829">
        <v>366394</v>
      </c>
      <c r="X21" s="829">
        <v>352389</v>
      </c>
      <c r="Y21" s="830">
        <v>372890</v>
      </c>
    </row>
    <row r="22" spans="1:25" ht="14.25" customHeight="1">
      <c r="A22" s="1959"/>
      <c r="B22" s="1960" t="s">
        <v>297</v>
      </c>
      <c r="C22" s="1961">
        <v>3047932</v>
      </c>
      <c r="D22" s="1962">
        <v>3119020</v>
      </c>
      <c r="E22" s="1962">
        <v>3163463</v>
      </c>
      <c r="F22" s="1962">
        <v>3240713</v>
      </c>
      <c r="G22" s="1963">
        <v>3242590</v>
      </c>
      <c r="H22" s="1964">
        <v>2672124.9349400322</v>
      </c>
      <c r="I22" s="1964">
        <v>2749776.5611607865</v>
      </c>
      <c r="J22" s="1964">
        <v>2832743.333749753</v>
      </c>
      <c r="K22" s="1964">
        <v>2934412.2425953452</v>
      </c>
      <c r="L22" s="1964">
        <v>2948675.2894300474</v>
      </c>
      <c r="M22" s="1964">
        <v>3034063</v>
      </c>
      <c r="N22" s="1965">
        <v>3060392</v>
      </c>
      <c r="O22" s="1965">
        <v>3107862</v>
      </c>
      <c r="P22" s="1965">
        <v>3129440</v>
      </c>
      <c r="Q22" s="1965">
        <v>3190990</v>
      </c>
      <c r="R22" s="1965">
        <v>3225398</v>
      </c>
      <c r="S22" s="1965">
        <v>3249225</v>
      </c>
      <c r="T22" s="1965">
        <v>3265557</v>
      </c>
      <c r="U22" s="1965">
        <v>3361790</v>
      </c>
      <c r="V22" s="1967">
        <v>3392192</v>
      </c>
      <c r="W22" s="829">
        <v>3570835</v>
      </c>
      <c r="X22" s="829">
        <v>3592504</v>
      </c>
      <c r="Y22" s="830">
        <v>3531399</v>
      </c>
    </row>
    <row r="23" spans="1:25" ht="14.25" customHeight="1">
      <c r="A23" s="1959"/>
      <c r="B23" s="1960" t="s">
        <v>298</v>
      </c>
      <c r="C23" s="1961">
        <v>239524</v>
      </c>
      <c r="D23" s="1962">
        <v>164728</v>
      </c>
      <c r="E23" s="1962">
        <v>171759</v>
      </c>
      <c r="F23" s="1962">
        <v>228460</v>
      </c>
      <c r="G23" s="1963">
        <v>171682</v>
      </c>
      <c r="H23" s="1965"/>
      <c r="I23" s="1965"/>
      <c r="J23" s="1965"/>
      <c r="K23" s="1965"/>
      <c r="L23" s="1965"/>
      <c r="M23" s="1965"/>
      <c r="N23" s="1965"/>
      <c r="O23" s="1965"/>
      <c r="P23" s="1965"/>
      <c r="Q23" s="1965"/>
      <c r="R23" s="1965"/>
      <c r="S23" s="1965"/>
      <c r="T23" s="1965"/>
      <c r="U23" s="1965"/>
      <c r="V23" s="1967"/>
      <c r="W23" s="829"/>
      <c r="X23" s="829"/>
      <c r="Y23" s="830"/>
    </row>
    <row r="24" spans="1:25" ht="14.25" customHeight="1">
      <c r="A24" s="1959"/>
      <c r="B24" s="1960" t="s">
        <v>299</v>
      </c>
      <c r="C24" s="1961">
        <v>732269</v>
      </c>
      <c r="D24" s="1962">
        <v>778418</v>
      </c>
      <c r="E24" s="1962">
        <v>778836</v>
      </c>
      <c r="F24" s="1962">
        <v>766160</v>
      </c>
      <c r="G24" s="1963">
        <v>758172</v>
      </c>
      <c r="H24" s="1964">
        <v>729065</v>
      </c>
      <c r="I24" s="1964">
        <v>773195</v>
      </c>
      <c r="J24" s="1964">
        <v>745433</v>
      </c>
      <c r="K24" s="1964">
        <v>719696</v>
      </c>
      <c r="L24" s="1964">
        <v>736898</v>
      </c>
      <c r="M24" s="1964">
        <v>730555</v>
      </c>
      <c r="N24" s="1965">
        <v>708431</v>
      </c>
      <c r="O24" s="1965">
        <v>684093</v>
      </c>
      <c r="P24" s="1965">
        <v>684229</v>
      </c>
      <c r="Q24" s="1965">
        <v>672595</v>
      </c>
      <c r="R24" s="1965">
        <v>679721</v>
      </c>
      <c r="S24" s="1965">
        <v>590438</v>
      </c>
      <c r="T24" s="1965">
        <v>601646</v>
      </c>
      <c r="U24" s="1965">
        <v>595927</v>
      </c>
      <c r="V24" s="1967">
        <v>608659</v>
      </c>
      <c r="W24" s="829">
        <v>618781</v>
      </c>
      <c r="X24" s="829">
        <v>655593</v>
      </c>
      <c r="Y24" s="830">
        <v>641728</v>
      </c>
    </row>
    <row r="25" spans="1:25" ht="14.25" customHeight="1">
      <c r="A25" s="1959"/>
      <c r="B25" s="1960" t="s">
        <v>300</v>
      </c>
      <c r="C25" s="1961">
        <v>870551</v>
      </c>
      <c r="D25" s="1962">
        <v>970260</v>
      </c>
      <c r="E25" s="1962">
        <v>960670</v>
      </c>
      <c r="F25" s="1962">
        <v>939284</v>
      </c>
      <c r="G25" s="1963">
        <v>962078</v>
      </c>
      <c r="H25" s="1964">
        <v>1014552</v>
      </c>
      <c r="I25" s="1964">
        <v>1028344</v>
      </c>
      <c r="J25" s="1964">
        <v>1006383</v>
      </c>
      <c r="K25" s="1964">
        <v>1057433</v>
      </c>
      <c r="L25" s="1964">
        <v>996038</v>
      </c>
      <c r="M25" s="1964">
        <v>1007093</v>
      </c>
      <c r="N25" s="1965">
        <v>997713</v>
      </c>
      <c r="O25" s="1965">
        <v>1017865</v>
      </c>
      <c r="P25" s="1965">
        <v>1019057</v>
      </c>
      <c r="Q25" s="1965">
        <v>1037981</v>
      </c>
      <c r="R25" s="1965">
        <v>1031560</v>
      </c>
      <c r="S25" s="1965">
        <v>1117838</v>
      </c>
      <c r="T25" s="1965">
        <v>1108944</v>
      </c>
      <c r="U25" s="1965">
        <v>1169820</v>
      </c>
      <c r="V25" s="1967">
        <v>1198715</v>
      </c>
      <c r="W25" s="829">
        <v>1330010</v>
      </c>
      <c r="X25" s="829">
        <v>1296640</v>
      </c>
      <c r="Y25" s="830">
        <v>1212185</v>
      </c>
    </row>
    <row r="26" spans="1:25" ht="14.25" customHeight="1">
      <c r="A26" s="1959"/>
      <c r="B26" s="1960" t="s">
        <v>301</v>
      </c>
      <c r="C26" s="1961">
        <v>1205588</v>
      </c>
      <c r="D26" s="1962">
        <v>1205614</v>
      </c>
      <c r="E26" s="1962">
        <v>1252198</v>
      </c>
      <c r="F26" s="1962">
        <v>1306809</v>
      </c>
      <c r="G26" s="1963">
        <v>1350658</v>
      </c>
      <c r="H26" s="1964">
        <v>928508</v>
      </c>
      <c r="I26" s="1964">
        <v>948237</v>
      </c>
      <c r="J26" s="1964">
        <v>1080927</v>
      </c>
      <c r="K26" s="1964">
        <v>1157283</v>
      </c>
      <c r="L26" s="1964">
        <v>1215740</v>
      </c>
      <c r="M26" s="1964">
        <v>1296415</v>
      </c>
      <c r="N26" s="1965">
        <v>1354247</v>
      </c>
      <c r="O26" s="1965">
        <v>1405904</v>
      </c>
      <c r="P26" s="1965">
        <v>1426154</v>
      </c>
      <c r="Q26" s="1965">
        <v>1480415</v>
      </c>
      <c r="R26" s="1965">
        <v>1514116</v>
      </c>
      <c r="S26" s="1965">
        <v>1540949</v>
      </c>
      <c r="T26" s="1965">
        <v>1554967</v>
      </c>
      <c r="U26" s="1965">
        <v>1596043</v>
      </c>
      <c r="V26" s="1967">
        <v>1584818</v>
      </c>
      <c r="W26" s="829">
        <v>1622044</v>
      </c>
      <c r="X26" s="829">
        <v>1640270</v>
      </c>
      <c r="Y26" s="830">
        <v>1677486</v>
      </c>
    </row>
    <row r="27" spans="1:25" ht="14.25" customHeight="1">
      <c r="A27" s="1959"/>
      <c r="B27" s="1960" t="s">
        <v>302</v>
      </c>
      <c r="C27" s="1961"/>
      <c r="D27" s="1962"/>
      <c r="E27" s="1962"/>
      <c r="F27" s="1962"/>
      <c r="G27" s="1963"/>
      <c r="H27" s="1964"/>
      <c r="I27" s="1964"/>
      <c r="J27" s="1964"/>
      <c r="K27" s="1964"/>
      <c r="L27" s="1964"/>
      <c r="M27" s="1964"/>
      <c r="N27" s="1965"/>
      <c r="O27" s="1965"/>
      <c r="P27" s="1965"/>
      <c r="Q27" s="1965"/>
      <c r="R27" s="1965"/>
      <c r="S27" s="1965"/>
      <c r="T27" s="1965"/>
      <c r="U27" s="1965"/>
      <c r="V27" s="1967"/>
      <c r="W27" s="829"/>
      <c r="X27" s="829"/>
      <c r="Y27" s="830"/>
    </row>
    <row r="28" spans="1:25" ht="14.25" customHeight="1">
      <c r="A28" s="1959"/>
      <c r="B28" s="1960" t="s">
        <v>303</v>
      </c>
      <c r="C28" s="1961">
        <v>15024812</v>
      </c>
      <c r="D28" s="1962">
        <v>444494</v>
      </c>
      <c r="E28" s="1962">
        <v>4617918</v>
      </c>
      <c r="F28" s="1962">
        <v>4561496</v>
      </c>
      <c r="G28" s="1963">
        <v>3213491</v>
      </c>
      <c r="H28" s="1964">
        <v>15437407.258889988</v>
      </c>
      <c r="I28" s="1964">
        <v>15615288.757036692</v>
      </c>
      <c r="J28" s="1964">
        <v>15404105.499115348</v>
      </c>
      <c r="K28" s="1964">
        <v>15670689.072425311</v>
      </c>
      <c r="L28" s="1964">
        <v>15897855.85558895</v>
      </c>
      <c r="M28" s="1964">
        <v>10423817</v>
      </c>
      <c r="N28" s="1965">
        <v>10472857</v>
      </c>
      <c r="O28" s="1965">
        <v>10774486</v>
      </c>
      <c r="P28" s="1965">
        <v>10367055</v>
      </c>
      <c r="Q28" s="1965">
        <v>10445492</v>
      </c>
      <c r="R28" s="1965">
        <v>10320236</v>
      </c>
      <c r="S28" s="1965">
        <v>10460001</v>
      </c>
      <c r="T28" s="1965">
        <v>10505691</v>
      </c>
      <c r="U28" s="1965">
        <v>10333635</v>
      </c>
      <c r="V28" s="1967">
        <v>9621329</v>
      </c>
      <c r="W28" s="829">
        <v>9894400</v>
      </c>
      <c r="X28" s="829">
        <v>10219262</v>
      </c>
      <c r="Y28" s="830">
        <v>9952634</v>
      </c>
    </row>
    <row r="29" spans="1:25" ht="14.25" customHeight="1">
      <c r="A29" s="1968"/>
      <c r="B29" s="1969" t="s">
        <v>304</v>
      </c>
      <c r="C29" s="1961">
        <v>15071404</v>
      </c>
      <c r="D29" s="1962">
        <v>474173</v>
      </c>
      <c r="E29" s="1962">
        <v>4211554</v>
      </c>
      <c r="F29" s="1962">
        <v>4295057</v>
      </c>
      <c r="G29" s="1963">
        <v>3111257</v>
      </c>
      <c r="H29" s="1964">
        <v>458726</v>
      </c>
      <c r="I29" s="1964">
        <v>466340</v>
      </c>
      <c r="J29" s="1964">
        <v>510261</v>
      </c>
      <c r="K29" s="1964">
        <v>534182</v>
      </c>
      <c r="L29" s="1964">
        <v>543482</v>
      </c>
      <c r="M29" s="1964">
        <v>2290466</v>
      </c>
      <c r="N29" s="1965">
        <v>2317648</v>
      </c>
      <c r="O29" s="1965">
        <v>2338107</v>
      </c>
      <c r="P29" s="1965">
        <v>2327077</v>
      </c>
      <c r="Q29" s="1965">
        <v>2347917</v>
      </c>
      <c r="R29" s="1965">
        <v>2366336</v>
      </c>
      <c r="S29" s="1965">
        <v>2355476</v>
      </c>
      <c r="T29" s="1965">
        <v>2343415</v>
      </c>
      <c r="U29" s="1965">
        <v>2400216</v>
      </c>
      <c r="V29" s="1967">
        <v>2478726</v>
      </c>
      <c r="W29" s="829">
        <v>2495849</v>
      </c>
      <c r="X29" s="829">
        <v>2507620</v>
      </c>
      <c r="Y29" s="830">
        <v>2613479</v>
      </c>
    </row>
    <row r="30" spans="1:25" ht="14.25" customHeight="1">
      <c r="A30" s="1959"/>
      <c r="B30" s="1960" t="s">
        <v>960</v>
      </c>
      <c r="C30" s="1961">
        <v>15116892</v>
      </c>
      <c r="D30" s="1962">
        <v>484251</v>
      </c>
      <c r="E30" s="1962">
        <v>4120363</v>
      </c>
      <c r="F30" s="1962">
        <v>4213220</v>
      </c>
      <c r="G30" s="1963">
        <v>3133925</v>
      </c>
      <c r="H30" s="1964">
        <v>5525377.7980458485</v>
      </c>
      <c r="I30" s="1964">
        <v>5342126.5745132063</v>
      </c>
      <c r="J30" s="1964">
        <v>5340704.5865744725</v>
      </c>
      <c r="K30" s="1964">
        <v>4508109.2466204502</v>
      </c>
      <c r="L30" s="1964">
        <v>4882525.7891646093</v>
      </c>
      <c r="M30" s="1964">
        <v>4876929</v>
      </c>
      <c r="N30" s="1970">
        <v>4831000</v>
      </c>
      <c r="O30" s="1970">
        <v>5179431</v>
      </c>
      <c r="P30" s="1965">
        <v>5032378</v>
      </c>
      <c r="Q30" s="1965">
        <v>5310566</v>
      </c>
      <c r="R30" s="1965">
        <v>5201721</v>
      </c>
      <c r="S30" s="1965">
        <v>5338957</v>
      </c>
      <c r="T30" s="1965">
        <v>5222107</v>
      </c>
      <c r="U30" s="1965">
        <v>5499067</v>
      </c>
      <c r="V30" s="1967">
        <v>4960266</v>
      </c>
      <c r="W30" s="829">
        <v>5142240</v>
      </c>
      <c r="X30" s="829">
        <v>5592109</v>
      </c>
      <c r="Y30" s="830">
        <v>5531116</v>
      </c>
    </row>
    <row r="31" spans="1:25" ht="14.25" customHeight="1">
      <c r="A31" s="1959"/>
      <c r="B31" s="1960" t="s">
        <v>305</v>
      </c>
      <c r="C31" s="1961">
        <v>15295226</v>
      </c>
      <c r="D31" s="1962">
        <v>481098</v>
      </c>
      <c r="E31" s="1962">
        <v>4169931</v>
      </c>
      <c r="F31" s="1962">
        <v>4196854</v>
      </c>
      <c r="G31" s="1963">
        <v>3168910</v>
      </c>
      <c r="H31" s="1964">
        <v>5491925.5903312517</v>
      </c>
      <c r="I31" s="1964">
        <v>5254717.5086561032</v>
      </c>
      <c r="J31" s="1964">
        <v>5161373.6000943352</v>
      </c>
      <c r="K31" s="1964">
        <v>4701570.8045367766</v>
      </c>
      <c r="L31" s="1964">
        <v>4955536.484248328</v>
      </c>
      <c r="M31" s="1964">
        <v>4808364</v>
      </c>
      <c r="N31" s="1970">
        <v>4815565</v>
      </c>
      <c r="O31" s="1970">
        <v>5118910</v>
      </c>
      <c r="P31" s="1965">
        <v>5045016</v>
      </c>
      <c r="Q31" s="1965">
        <v>5164662</v>
      </c>
      <c r="R31" s="1965">
        <v>5289849</v>
      </c>
      <c r="S31" s="1965">
        <v>5273938</v>
      </c>
      <c r="T31" s="1965">
        <v>5151238</v>
      </c>
      <c r="U31" s="1965">
        <v>5314342</v>
      </c>
      <c r="V31" s="1967">
        <v>5191991</v>
      </c>
      <c r="W31" s="829">
        <v>5199198</v>
      </c>
      <c r="X31" s="829">
        <v>5340881</v>
      </c>
      <c r="Y31" s="830">
        <v>5563999</v>
      </c>
    </row>
    <row r="32" spans="1:25" ht="14.25" customHeight="1">
      <c r="A32" s="1959"/>
      <c r="B32" s="1960" t="s">
        <v>306</v>
      </c>
      <c r="C32" s="1961">
        <v>15437211</v>
      </c>
      <c r="D32" s="1962">
        <v>508800</v>
      </c>
      <c r="E32" s="1962">
        <v>4376550</v>
      </c>
      <c r="F32" s="1962">
        <v>4341067</v>
      </c>
      <c r="G32" s="1963">
        <v>3350670</v>
      </c>
      <c r="H32" s="1964">
        <v>4639001.6842157999</v>
      </c>
      <c r="I32" s="1964">
        <v>4533172.261428196</v>
      </c>
      <c r="J32" s="1964">
        <v>4450240.8373716772</v>
      </c>
      <c r="K32" s="1964">
        <v>3895506.1437021894</v>
      </c>
      <c r="L32" s="1964">
        <v>4092028.3681433722</v>
      </c>
      <c r="M32" s="1964">
        <v>4125934</v>
      </c>
      <c r="N32" s="1970">
        <v>4093799</v>
      </c>
      <c r="O32" s="1970">
        <v>4290133</v>
      </c>
      <c r="P32" s="1965">
        <v>4288947</v>
      </c>
      <c r="Q32" s="1965">
        <v>4380099</v>
      </c>
      <c r="R32" s="1965">
        <v>4484306</v>
      </c>
      <c r="S32" s="1965">
        <v>4497137</v>
      </c>
      <c r="T32" s="1965">
        <v>4427974</v>
      </c>
      <c r="U32" s="1965">
        <v>4482787</v>
      </c>
      <c r="V32" s="1967">
        <v>4205447</v>
      </c>
      <c r="W32" s="829">
        <v>4278723</v>
      </c>
      <c r="X32" s="829">
        <v>4532767</v>
      </c>
      <c r="Y32" s="830">
        <v>4800881</v>
      </c>
    </row>
    <row r="33" spans="1:25" ht="14.25" customHeight="1">
      <c r="A33" s="1959"/>
      <c r="B33" s="1960" t="s">
        <v>307</v>
      </c>
      <c r="C33" s="1961">
        <v>15461004</v>
      </c>
      <c r="D33" s="1962">
        <v>453226</v>
      </c>
      <c r="E33" s="1962">
        <v>4512435</v>
      </c>
      <c r="F33" s="1962">
        <v>4474213</v>
      </c>
      <c r="G33" s="1963">
        <v>3695385</v>
      </c>
      <c r="H33" s="1964">
        <v>1019185.1063829787</v>
      </c>
      <c r="I33" s="1964">
        <v>883410.65830720996</v>
      </c>
      <c r="J33" s="1964">
        <v>805597.95918367326</v>
      </c>
      <c r="K33" s="1964">
        <v>640516.29863301781</v>
      </c>
      <c r="L33" s="1964">
        <v>672891.35021097027</v>
      </c>
      <c r="M33" s="1964">
        <v>703685</v>
      </c>
      <c r="N33" s="1965">
        <v>717995</v>
      </c>
      <c r="O33" s="1965">
        <v>752975</v>
      </c>
      <c r="P33" s="1965">
        <v>711043</v>
      </c>
      <c r="Q33" s="1965">
        <v>747618</v>
      </c>
      <c r="R33" s="1965">
        <v>753566</v>
      </c>
      <c r="S33" s="1965">
        <v>695259</v>
      </c>
      <c r="T33" s="1965">
        <v>651579</v>
      </c>
      <c r="U33" s="1965">
        <v>687992</v>
      </c>
      <c r="V33" s="1967">
        <v>634885</v>
      </c>
      <c r="W33" s="829">
        <v>671641</v>
      </c>
      <c r="X33" s="829">
        <v>625096</v>
      </c>
      <c r="Y33" s="830">
        <v>651140</v>
      </c>
    </row>
    <row r="34" spans="1:25" ht="14.25" customHeight="1">
      <c r="A34" s="1959"/>
      <c r="B34" s="1960" t="s">
        <v>308</v>
      </c>
      <c r="C34" s="1961">
        <v>15684877</v>
      </c>
      <c r="D34" s="1962">
        <v>468333</v>
      </c>
      <c r="E34" s="1962">
        <v>4180079</v>
      </c>
      <c r="F34" s="1962">
        <v>4129796</v>
      </c>
      <c r="G34" s="1963">
        <v>3460849</v>
      </c>
      <c r="H34" s="1964">
        <v>3635520.4334944063</v>
      </c>
      <c r="I34" s="1964">
        <v>3656180.2451207638</v>
      </c>
      <c r="J34" s="1964">
        <v>3647023.0257585412</v>
      </c>
      <c r="K34" s="1964">
        <v>3254294.8695462071</v>
      </c>
      <c r="L34" s="1964">
        <v>3418409.6641030121</v>
      </c>
      <c r="M34" s="1964">
        <v>3422435</v>
      </c>
      <c r="N34" s="1965">
        <v>3376617</v>
      </c>
      <c r="O34" s="1965">
        <v>3538028</v>
      </c>
      <c r="P34" s="1965">
        <v>3577967</v>
      </c>
      <c r="Q34" s="1965">
        <v>3632481</v>
      </c>
      <c r="R34" s="1965">
        <v>3730740</v>
      </c>
      <c r="S34" s="1965">
        <v>3802305</v>
      </c>
      <c r="T34" s="1965">
        <v>3777377</v>
      </c>
      <c r="U34" s="1965">
        <v>3795114</v>
      </c>
      <c r="V34" s="1967">
        <v>3571248</v>
      </c>
      <c r="W34" s="829">
        <v>3606605</v>
      </c>
      <c r="X34" s="829">
        <v>3915617</v>
      </c>
      <c r="Y34" s="830">
        <v>4159322</v>
      </c>
    </row>
    <row r="35" spans="1:25" ht="14.25" customHeight="1">
      <c r="A35" s="1959"/>
      <c r="B35" s="1960" t="s">
        <v>309</v>
      </c>
      <c r="C35" s="1961">
        <v>15392493</v>
      </c>
      <c r="D35" s="1962">
        <v>511657</v>
      </c>
      <c r="E35" s="1962">
        <v>4063806</v>
      </c>
      <c r="F35" s="1962">
        <v>4173050</v>
      </c>
      <c r="G35" s="1963">
        <v>3520365</v>
      </c>
      <c r="H35" s="1964">
        <v>855856.48989820457</v>
      </c>
      <c r="I35" s="1964">
        <v>717822.46226300707</v>
      </c>
      <c r="J35" s="1964">
        <v>707613.87333257904</v>
      </c>
      <c r="K35" s="1964">
        <v>809334.93024528294</v>
      </c>
      <c r="L35" s="1964">
        <v>867551.43437221844</v>
      </c>
      <c r="M35" s="1964">
        <v>681191</v>
      </c>
      <c r="N35" s="1965">
        <v>721489</v>
      </c>
      <c r="O35" s="1965">
        <v>829926</v>
      </c>
      <c r="P35" s="1965">
        <v>756073</v>
      </c>
      <c r="Q35" s="1965">
        <v>784563</v>
      </c>
      <c r="R35" s="1965">
        <v>805545</v>
      </c>
      <c r="S35" s="1965">
        <v>776885</v>
      </c>
      <c r="T35" s="1965">
        <v>723663</v>
      </c>
      <c r="U35" s="1965">
        <v>830581</v>
      </c>
      <c r="V35" s="1967">
        <v>981011</v>
      </c>
      <c r="W35" s="829">
        <v>917117</v>
      </c>
      <c r="X35" s="829">
        <v>809002</v>
      </c>
      <c r="Y35" s="830">
        <v>766626</v>
      </c>
    </row>
    <row r="36" spans="1:25" ht="14.25" customHeight="1">
      <c r="A36" s="1959"/>
      <c r="B36" s="1960" t="s">
        <v>307</v>
      </c>
      <c r="C36" s="1961">
        <v>15610575</v>
      </c>
      <c r="D36" s="1962">
        <v>536336</v>
      </c>
      <c r="E36" s="1962">
        <v>4170344</v>
      </c>
      <c r="F36" s="1962">
        <v>4104602</v>
      </c>
      <c r="G36" s="1963">
        <v>3367543</v>
      </c>
      <c r="H36" s="1964">
        <v>36420.430107526867</v>
      </c>
      <c r="I36" s="1964">
        <v>27310.454065469887</v>
      </c>
      <c r="J36" s="1964">
        <v>31250.51334702257</v>
      </c>
      <c r="K36" s="1964">
        <v>24217.853347502649</v>
      </c>
      <c r="L36" s="1964">
        <v>24138.004246284494</v>
      </c>
      <c r="M36" s="1964">
        <v>28225</v>
      </c>
      <c r="N36" s="1965">
        <v>22789</v>
      </c>
      <c r="O36" s="1965">
        <v>27184</v>
      </c>
      <c r="P36" s="1965">
        <v>24166</v>
      </c>
      <c r="Q36" s="1965">
        <v>24072</v>
      </c>
      <c r="R36" s="1965">
        <v>32510</v>
      </c>
      <c r="S36" s="1965">
        <v>36066</v>
      </c>
      <c r="T36" s="1965">
        <v>34961</v>
      </c>
      <c r="U36" s="1965">
        <v>33502</v>
      </c>
      <c r="V36" s="1967">
        <v>38119</v>
      </c>
      <c r="W36" s="829">
        <v>27998</v>
      </c>
      <c r="X36" s="829">
        <v>27332</v>
      </c>
      <c r="Y36" s="830">
        <v>29432</v>
      </c>
    </row>
    <row r="37" spans="1:25" ht="14.25" customHeight="1">
      <c r="A37" s="1959"/>
      <c r="B37" s="1960" t="s">
        <v>308</v>
      </c>
      <c r="C37" s="1961">
        <v>15800155</v>
      </c>
      <c r="D37" s="1962">
        <v>525841</v>
      </c>
      <c r="E37" s="1962">
        <v>4096526</v>
      </c>
      <c r="F37" s="1962">
        <v>4105245</v>
      </c>
      <c r="G37" s="1963">
        <v>3321689</v>
      </c>
      <c r="H37" s="1964">
        <v>159605.63960443492</v>
      </c>
      <c r="I37" s="1964">
        <v>125747.77694653087</v>
      </c>
      <c r="J37" s="1964">
        <v>140817.96804558823</v>
      </c>
      <c r="K37" s="1964">
        <v>158950.04833682234</v>
      </c>
      <c r="L37" s="1964">
        <v>157296.15969523723</v>
      </c>
      <c r="M37" s="1964">
        <v>85878</v>
      </c>
      <c r="N37" s="1965">
        <v>134258</v>
      </c>
      <c r="O37" s="1965">
        <v>154831</v>
      </c>
      <c r="P37" s="1965">
        <v>152002</v>
      </c>
      <c r="Q37" s="1965">
        <v>149501</v>
      </c>
      <c r="R37" s="1965">
        <v>139093</v>
      </c>
      <c r="S37" s="1965">
        <v>143036</v>
      </c>
      <c r="T37" s="1965">
        <v>118173</v>
      </c>
      <c r="U37" s="1965">
        <v>142375</v>
      </c>
      <c r="V37" s="1967">
        <v>190363</v>
      </c>
      <c r="W37" s="829">
        <v>169725</v>
      </c>
      <c r="X37" s="829">
        <v>164120</v>
      </c>
      <c r="Y37" s="830">
        <v>149291</v>
      </c>
    </row>
    <row r="38" spans="1:25" ht="14.25" customHeight="1">
      <c r="A38" s="1959"/>
      <c r="B38" s="1960" t="s">
        <v>310</v>
      </c>
      <c r="C38" s="1961">
        <v>15877961</v>
      </c>
      <c r="D38" s="1962">
        <v>542766</v>
      </c>
      <c r="E38" s="1962">
        <v>3895351</v>
      </c>
      <c r="F38" s="1962">
        <v>3850389</v>
      </c>
      <c r="G38" s="1963">
        <v>3228637</v>
      </c>
      <c r="H38" s="1964">
        <v>659678.34196694638</v>
      </c>
      <c r="I38" s="1964">
        <v>565091.29039002256</v>
      </c>
      <c r="J38" s="1964">
        <v>534995.50008773548</v>
      </c>
      <c r="K38" s="1964">
        <v>625686.86904469412</v>
      </c>
      <c r="L38" s="1964">
        <v>686150.01777415874</v>
      </c>
      <c r="M38" s="1964">
        <v>568304</v>
      </c>
      <c r="N38" s="1965">
        <v>564659</v>
      </c>
      <c r="O38" s="1965">
        <v>648152</v>
      </c>
      <c r="P38" s="1965">
        <v>579910</v>
      </c>
      <c r="Q38" s="1965">
        <v>610990</v>
      </c>
      <c r="R38" s="1965">
        <v>633942</v>
      </c>
      <c r="S38" s="1965">
        <v>597824</v>
      </c>
      <c r="T38" s="1965">
        <v>570463</v>
      </c>
      <c r="U38" s="1965">
        <v>654686</v>
      </c>
      <c r="V38" s="1967">
        <v>752874</v>
      </c>
      <c r="W38" s="829">
        <v>719558</v>
      </c>
      <c r="X38" s="829">
        <v>617924</v>
      </c>
      <c r="Y38" s="830">
        <v>587987</v>
      </c>
    </row>
    <row r="39" spans="1:25" ht="14.25" customHeight="1">
      <c r="A39" s="1959"/>
      <c r="B39" s="1960" t="s">
        <v>311</v>
      </c>
      <c r="C39" s="1961">
        <v>15910248</v>
      </c>
      <c r="D39" s="1962">
        <v>538145</v>
      </c>
      <c r="E39" s="1962">
        <v>3990922</v>
      </c>
      <c r="F39" s="1962">
        <v>3954620</v>
      </c>
      <c r="G39" s="1963">
        <v>3297968</v>
      </c>
      <c r="H39" s="1964">
        <v>34011.186778921605</v>
      </c>
      <c r="I39" s="1964">
        <v>103319.45124412142</v>
      </c>
      <c r="J39" s="1964">
        <v>218315.47160610431</v>
      </c>
      <c r="K39" s="1964">
        <v>-243400.29674224017</v>
      </c>
      <c r="L39" s="1964">
        <v>-90130.716725759063</v>
      </c>
      <c r="M39" s="1964">
        <v>86206</v>
      </c>
      <c r="N39" s="1970">
        <v>20172</v>
      </c>
      <c r="O39" s="1970">
        <v>76878</v>
      </c>
      <c r="P39" s="1965">
        <v>-11633</v>
      </c>
      <c r="Q39" s="1965">
        <v>145904</v>
      </c>
      <c r="R39" s="1965">
        <v>-90172</v>
      </c>
      <c r="S39" s="1965">
        <v>65499</v>
      </c>
      <c r="T39" s="1965">
        <v>71181</v>
      </c>
      <c r="U39" s="1965">
        <v>184577</v>
      </c>
      <c r="V39" s="1967">
        <v>-246421</v>
      </c>
      <c r="W39" s="829">
        <v>-58508</v>
      </c>
      <c r="X39" s="829">
        <v>248882</v>
      </c>
      <c r="Y39" s="830">
        <v>-14842</v>
      </c>
    </row>
    <row r="40" spans="1:25" ht="14.25" customHeight="1">
      <c r="A40" s="1959"/>
      <c r="B40" s="1960" t="s">
        <v>312</v>
      </c>
      <c r="C40" s="1961">
        <v>16435831</v>
      </c>
      <c r="D40" s="1962">
        <v>522250</v>
      </c>
      <c r="E40" s="1962">
        <v>4259271</v>
      </c>
      <c r="F40" s="1962">
        <v>4237171</v>
      </c>
      <c r="G40" s="1963">
        <v>3486380</v>
      </c>
      <c r="H40" s="1964">
        <v>15529.77350519388</v>
      </c>
      <c r="I40" s="1964">
        <v>77057.491779633739</v>
      </c>
      <c r="J40" s="1964">
        <v>185163.92800762237</v>
      </c>
      <c r="K40" s="1964">
        <v>-200460.64508173984</v>
      </c>
      <c r="L40" s="1964">
        <v>-51120.0358427912</v>
      </c>
      <c r="M40" s="1964">
        <v>71250</v>
      </c>
      <c r="N40" s="1965">
        <v>15762</v>
      </c>
      <c r="O40" s="1965">
        <v>41865</v>
      </c>
      <c r="P40" s="1965">
        <v>-29977</v>
      </c>
      <c r="Q40" s="1965">
        <v>157727</v>
      </c>
      <c r="R40" s="1965">
        <v>-64861</v>
      </c>
      <c r="S40" s="1965">
        <v>52987</v>
      </c>
      <c r="T40" s="1965">
        <v>85096</v>
      </c>
      <c r="U40" s="1965">
        <v>149322</v>
      </c>
      <c r="V40" s="1967">
        <v>-186695</v>
      </c>
      <c r="W40" s="829">
        <v>-56831</v>
      </c>
      <c r="X40" s="829">
        <v>211561</v>
      </c>
      <c r="Y40" s="830">
        <v>-2454</v>
      </c>
    </row>
    <row r="41" spans="1:25" ht="14.25" customHeight="1">
      <c r="A41" s="1968"/>
      <c r="B41" s="1969" t="s">
        <v>313</v>
      </c>
      <c r="C41" s="1961">
        <v>15796903</v>
      </c>
      <c r="D41" s="1962">
        <v>528151</v>
      </c>
      <c r="E41" s="1962">
        <v>3878022</v>
      </c>
      <c r="F41" s="1962">
        <v>4008780</v>
      </c>
      <c r="G41" s="1963">
        <v>3324869</v>
      </c>
      <c r="H41" s="1964">
        <v>9219.3824337849837</v>
      </c>
      <c r="I41" s="1964">
        <v>2662.1030028450941</v>
      </c>
      <c r="J41" s="1964">
        <v>-12009.127470380197</v>
      </c>
      <c r="K41" s="1964">
        <v>8268.5917729911926</v>
      </c>
      <c r="L41" s="1964">
        <v>-18096.443765753625</v>
      </c>
      <c r="M41" s="1964">
        <v>-3442</v>
      </c>
      <c r="N41" s="1965">
        <v>-55</v>
      </c>
      <c r="O41" s="1965">
        <v>14232</v>
      </c>
      <c r="P41" s="1965">
        <v>15231</v>
      </c>
      <c r="Q41" s="1965">
        <v>-11823</v>
      </c>
      <c r="R41" s="1965">
        <v>-26734</v>
      </c>
      <c r="S41" s="1965">
        <v>13477</v>
      </c>
      <c r="T41" s="1965">
        <v>-10714</v>
      </c>
      <c r="U41" s="1965">
        <v>31557</v>
      </c>
      <c r="V41" s="1967">
        <v>-53233</v>
      </c>
      <c r="W41" s="829">
        <v>-407</v>
      </c>
      <c r="X41" s="829">
        <v>25631</v>
      </c>
      <c r="Y41" s="830">
        <v>-8802</v>
      </c>
    </row>
    <row r="42" spans="1:25" ht="14.25" customHeight="1">
      <c r="A42" s="1959"/>
      <c r="B42" s="1960" t="s">
        <v>154</v>
      </c>
      <c r="C42" s="1961">
        <v>15854548</v>
      </c>
      <c r="D42" s="1962">
        <v>529154</v>
      </c>
      <c r="E42" s="1962">
        <v>3973004</v>
      </c>
      <c r="F42" s="1962">
        <v>3941877</v>
      </c>
      <c r="G42" s="1963">
        <v>3249661</v>
      </c>
      <c r="H42" s="1964">
        <v>-395358.0150936516</v>
      </c>
      <c r="I42" s="1964">
        <v>275921.56274918281</v>
      </c>
      <c r="J42" s="1964">
        <v>127614.60760652274</v>
      </c>
      <c r="K42" s="1964">
        <v>-682605.81238098117</v>
      </c>
      <c r="L42" s="1964">
        <v>164025.22820589878</v>
      </c>
      <c r="M42" s="1964">
        <v>-255781</v>
      </c>
      <c r="N42" s="1970">
        <v>-378907</v>
      </c>
      <c r="O42" s="1970">
        <v>-339923</v>
      </c>
      <c r="P42" s="1965">
        <v>-548</v>
      </c>
      <c r="Q42" s="1965">
        <v>187201</v>
      </c>
      <c r="R42" s="1965">
        <v>514768</v>
      </c>
      <c r="S42" s="1965">
        <v>564962</v>
      </c>
      <c r="T42" s="1965">
        <v>607120</v>
      </c>
      <c r="U42" s="1965">
        <v>454465</v>
      </c>
      <c r="V42" s="1967">
        <v>748921</v>
      </c>
      <c r="W42" s="829">
        <v>836735</v>
      </c>
      <c r="X42" s="829">
        <v>614672</v>
      </c>
      <c r="Y42" s="830">
        <v>920513</v>
      </c>
    </row>
    <row r="43" spans="1:25" ht="14.25" customHeight="1">
      <c r="A43" s="1959"/>
      <c r="B43" s="1960" t="s">
        <v>155</v>
      </c>
      <c r="C43" s="1971">
        <v>15041948.000000002</v>
      </c>
      <c r="D43" s="1972">
        <v>15419026.999999996</v>
      </c>
      <c r="E43" s="1972">
        <v>15438038</v>
      </c>
      <c r="F43" s="1972">
        <v>16043315.000000002</v>
      </c>
      <c r="G43" s="1973">
        <v>16436836.000000004</v>
      </c>
      <c r="H43" s="1964" t="s">
        <v>1360</v>
      </c>
      <c r="I43" s="1964" t="s">
        <v>1360</v>
      </c>
      <c r="J43" s="1964" t="s">
        <v>1360</v>
      </c>
      <c r="K43" s="1964" t="s">
        <v>1360</v>
      </c>
      <c r="L43" s="1964" t="s">
        <v>1360</v>
      </c>
      <c r="M43" s="1964" t="s">
        <v>1360</v>
      </c>
      <c r="N43" s="1965" t="s">
        <v>1360</v>
      </c>
      <c r="O43" s="1965" t="s">
        <v>1360</v>
      </c>
      <c r="P43" s="1965" t="s">
        <v>1360</v>
      </c>
      <c r="Q43" s="1965" t="s">
        <v>1360</v>
      </c>
      <c r="R43" s="1965" t="s">
        <v>1360</v>
      </c>
      <c r="S43" s="1965" t="s">
        <v>1360</v>
      </c>
      <c r="T43" s="1965" t="s">
        <v>1360</v>
      </c>
      <c r="U43" s="1965" t="s">
        <v>1360</v>
      </c>
      <c r="V43" s="1967" t="s">
        <v>1360</v>
      </c>
      <c r="W43" s="829" t="s">
        <v>1360</v>
      </c>
      <c r="X43" s="829" t="s">
        <v>1360</v>
      </c>
      <c r="Y43" s="830"/>
    </row>
    <row r="44" spans="1:25" ht="14.25" customHeight="1">
      <c r="A44" s="1959"/>
      <c r="B44" s="1960" t="s">
        <v>156</v>
      </c>
      <c r="C44" s="1971">
        <v>16052183.000000002</v>
      </c>
      <c r="D44" s="1972">
        <v>15870035.000000002</v>
      </c>
      <c r="E44" s="1972">
        <v>15837310.999999998</v>
      </c>
      <c r="F44" s="1972">
        <v>15970441.999999996</v>
      </c>
      <c r="G44" s="1973">
        <v>17264526.999999996</v>
      </c>
      <c r="H44" s="1964" t="s">
        <v>1360</v>
      </c>
      <c r="I44" s="1964" t="s">
        <v>1360</v>
      </c>
      <c r="J44" s="1964" t="s">
        <v>1360</v>
      </c>
      <c r="K44" s="1964" t="s">
        <v>1360</v>
      </c>
      <c r="L44" s="1964" t="s">
        <v>1360</v>
      </c>
      <c r="M44" s="1964" t="s">
        <v>1360</v>
      </c>
      <c r="N44" s="1965" t="s">
        <v>1360</v>
      </c>
      <c r="O44" s="1965" t="s">
        <v>1360</v>
      </c>
      <c r="P44" s="1965" t="s">
        <v>1360</v>
      </c>
      <c r="Q44" s="1965" t="s">
        <v>1360</v>
      </c>
      <c r="R44" s="1965" t="s">
        <v>1360</v>
      </c>
      <c r="S44" s="1965" t="s">
        <v>1360</v>
      </c>
      <c r="T44" s="1965" t="s">
        <v>1360</v>
      </c>
      <c r="U44" s="1965" t="s">
        <v>1360</v>
      </c>
      <c r="V44" s="1967" t="s">
        <v>1360</v>
      </c>
      <c r="W44" s="829" t="s">
        <v>1360</v>
      </c>
      <c r="X44" s="829" t="s">
        <v>1360</v>
      </c>
      <c r="Y44" s="830"/>
    </row>
    <row r="45" spans="1:25" ht="14.25" customHeight="1">
      <c r="A45" s="1959"/>
      <c r="B45" s="1960" t="s">
        <v>1260</v>
      </c>
      <c r="C45" s="1971"/>
      <c r="D45" s="1972"/>
      <c r="E45" s="1972"/>
      <c r="F45" s="1972"/>
      <c r="G45" s="1973"/>
      <c r="H45" s="1964">
        <v>534440</v>
      </c>
      <c r="I45" s="1964">
        <v>501369</v>
      </c>
      <c r="J45" s="1964">
        <v>500888</v>
      </c>
      <c r="K45" s="1964">
        <v>519465</v>
      </c>
      <c r="L45" s="1964">
        <v>567502</v>
      </c>
      <c r="M45" s="1972">
        <v>582286</v>
      </c>
      <c r="N45" s="1884">
        <v>579123</v>
      </c>
      <c r="O45" s="1884">
        <v>591222</v>
      </c>
      <c r="P45" s="1884">
        <v>597078</v>
      </c>
      <c r="Q45" s="1884">
        <v>608150</v>
      </c>
      <c r="R45" s="1884">
        <v>629307</v>
      </c>
      <c r="S45" s="1884">
        <v>634605</v>
      </c>
      <c r="T45" s="1884">
        <v>652462</v>
      </c>
      <c r="U45" s="1884">
        <v>671604</v>
      </c>
      <c r="V45" s="1992">
        <v>652012</v>
      </c>
      <c r="W45" s="1993">
        <v>681638</v>
      </c>
      <c r="X45" s="1993">
        <v>687258</v>
      </c>
      <c r="Y45" s="830"/>
    </row>
    <row r="46" spans="1:25" ht="14.25" customHeight="1">
      <c r="A46" s="1968"/>
      <c r="B46" s="1969" t="s">
        <v>158</v>
      </c>
      <c r="C46" s="1971">
        <v>-343941.99999999721</v>
      </c>
      <c r="D46" s="1972">
        <v>-533239.99999999767</v>
      </c>
      <c r="E46" s="1972">
        <v>-646713.99999999627</v>
      </c>
      <c r="F46" s="1972">
        <v>-910984.00000000466</v>
      </c>
      <c r="G46" s="1973">
        <v>-245064.00000001024</v>
      </c>
      <c r="H46" s="1964" t="s">
        <v>1360</v>
      </c>
      <c r="I46" s="1964" t="s">
        <v>1360</v>
      </c>
      <c r="J46" s="1964" t="s">
        <v>1360</v>
      </c>
      <c r="K46" s="1964" t="s">
        <v>1360</v>
      </c>
      <c r="L46" s="1964" t="s">
        <v>1360</v>
      </c>
      <c r="M46" s="1964" t="s">
        <v>1360</v>
      </c>
      <c r="N46" s="1965" t="s">
        <v>1360</v>
      </c>
      <c r="O46" s="1965" t="s">
        <v>1360</v>
      </c>
      <c r="P46" s="1965" t="s">
        <v>1360</v>
      </c>
      <c r="Q46" s="1965" t="s">
        <v>1360</v>
      </c>
      <c r="R46" s="1965" t="s">
        <v>1360</v>
      </c>
      <c r="S46" s="1965" t="s">
        <v>1360</v>
      </c>
      <c r="T46" s="1965" t="s">
        <v>1360</v>
      </c>
      <c r="U46" s="1965" t="s">
        <v>1360</v>
      </c>
      <c r="V46" s="1967" t="s">
        <v>1360</v>
      </c>
      <c r="W46" s="829" t="s">
        <v>1360</v>
      </c>
      <c r="X46" s="829" t="s">
        <v>1360</v>
      </c>
      <c r="Y46" s="830"/>
    </row>
    <row r="47" spans="1:25" ht="14.25" customHeight="1">
      <c r="A47" s="1959"/>
      <c r="B47" s="1960" t="s">
        <v>314</v>
      </c>
      <c r="C47" s="1961">
        <v>19784388</v>
      </c>
      <c r="D47" s="1962">
        <v>19144708</v>
      </c>
      <c r="E47" s="1962">
        <v>19285155</v>
      </c>
      <c r="F47" s="1962">
        <v>19441327</v>
      </c>
      <c r="G47" s="1963">
        <v>19901837</v>
      </c>
      <c r="H47" s="1964">
        <v>20501653.973164532</v>
      </c>
      <c r="I47" s="1964">
        <v>21207934.908757254</v>
      </c>
      <c r="J47" s="1964">
        <v>20888190.977017112</v>
      </c>
      <c r="K47" s="1964">
        <v>19517905.089812346</v>
      </c>
      <c r="L47" s="1964">
        <v>20926524.575804144</v>
      </c>
      <c r="M47" s="1984">
        <v>20641997</v>
      </c>
      <c r="N47" s="1985">
        <v>20585255</v>
      </c>
      <c r="O47" s="1985">
        <v>21339377</v>
      </c>
      <c r="P47" s="1985">
        <v>21092930</v>
      </c>
      <c r="Q47" s="1985">
        <v>21764162</v>
      </c>
      <c r="R47" s="1985">
        <v>21938484</v>
      </c>
      <c r="S47" s="1985">
        <v>22281249</v>
      </c>
      <c r="T47" s="1985">
        <v>22230964</v>
      </c>
      <c r="U47" s="1985">
        <v>22373322</v>
      </c>
      <c r="V47" s="1986">
        <v>21583878</v>
      </c>
      <c r="W47" s="549">
        <v>22305839</v>
      </c>
      <c r="X47" s="549">
        <v>22878289</v>
      </c>
      <c r="Y47" s="2246">
        <v>22921318</v>
      </c>
    </row>
    <row r="48" spans="1:25" ht="14.25" customHeight="1">
      <c r="A48" s="1932" t="s">
        <v>315</v>
      </c>
      <c r="B48" s="1974" t="s">
        <v>159</v>
      </c>
      <c r="C48" s="1975">
        <v>1772689</v>
      </c>
      <c r="D48" s="1976">
        <v>1751303</v>
      </c>
      <c r="E48" s="1976">
        <v>1642501</v>
      </c>
      <c r="F48" s="1976">
        <v>1654445</v>
      </c>
      <c r="G48" s="1977">
        <v>1708572</v>
      </c>
      <c r="H48" s="1978">
        <v>1613489</v>
      </c>
      <c r="I48" s="1978">
        <v>1385682</v>
      </c>
      <c r="J48" s="1978">
        <v>1393735</v>
      </c>
      <c r="K48" s="1978">
        <v>1649602</v>
      </c>
      <c r="L48" s="1978">
        <v>1336480</v>
      </c>
      <c r="M48" s="1987">
        <v>1602514</v>
      </c>
      <c r="N48" s="1988">
        <v>1695290</v>
      </c>
      <c r="O48" s="1988">
        <v>1837121</v>
      </c>
      <c r="P48" s="1988">
        <v>1850529</v>
      </c>
      <c r="Q48" s="1988">
        <v>1766144</v>
      </c>
      <c r="R48" s="1988">
        <v>1566530</v>
      </c>
      <c r="S48" s="1988">
        <v>1595309</v>
      </c>
      <c r="T48" s="1988">
        <v>1716738</v>
      </c>
      <c r="U48" s="1988">
        <v>1728985</v>
      </c>
      <c r="V48" s="1989">
        <v>1470334</v>
      </c>
      <c r="W48" s="1355">
        <v>1445132</v>
      </c>
      <c r="X48" s="1355">
        <v>1608250</v>
      </c>
      <c r="Y48" s="2246">
        <v>1377534</v>
      </c>
    </row>
    <row r="49" spans="1:25" ht="14.25" customHeight="1">
      <c r="A49" s="1949" t="s">
        <v>316</v>
      </c>
      <c r="B49" s="1979" t="s">
        <v>160</v>
      </c>
      <c r="C49" s="1980">
        <v>21557077</v>
      </c>
      <c r="D49" s="1981">
        <v>20896011</v>
      </c>
      <c r="E49" s="1981">
        <v>20927656</v>
      </c>
      <c r="F49" s="1981">
        <v>21095772</v>
      </c>
      <c r="G49" s="1982">
        <v>21610409</v>
      </c>
      <c r="H49" s="1983">
        <v>22115142.973164532</v>
      </c>
      <c r="I49" s="1983">
        <v>22593616.908757254</v>
      </c>
      <c r="J49" s="1983">
        <v>22281925.977017112</v>
      </c>
      <c r="K49" s="1983">
        <v>21167507.089812346</v>
      </c>
      <c r="L49" s="1983">
        <v>22263004.575804144</v>
      </c>
      <c r="M49" s="1990">
        <v>22244511</v>
      </c>
      <c r="N49" s="1991">
        <v>22280545</v>
      </c>
      <c r="O49" s="1991">
        <v>23176498</v>
      </c>
      <c r="P49" s="1991">
        <v>22943459</v>
      </c>
      <c r="Q49" s="1991">
        <v>23530306</v>
      </c>
      <c r="R49" s="1991">
        <v>23505014</v>
      </c>
      <c r="S49" s="1991">
        <v>23876558</v>
      </c>
      <c r="T49" s="1991">
        <v>23947702</v>
      </c>
      <c r="U49" s="1991">
        <v>24102307</v>
      </c>
      <c r="V49" s="1986">
        <v>23054212</v>
      </c>
      <c r="W49" s="549">
        <v>23750971</v>
      </c>
      <c r="X49" s="549">
        <v>24486539</v>
      </c>
      <c r="Y49" s="2246">
        <v>24298852</v>
      </c>
    </row>
    <row r="50" spans="1:25">
      <c r="K50" s="239"/>
    </row>
  </sheetData>
  <phoneticPr fontId="17"/>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CAC37-59F5-4190-83DE-45231570325D}">
  <sheetPr codeName="Sheet2">
    <tabColor theme="9" tint="0.79998168889431442"/>
  </sheetPr>
  <dimension ref="A1:AL64"/>
  <sheetViews>
    <sheetView workbookViewId="0">
      <pane xSplit="2" ySplit="4" topLeftCell="V54" activePane="bottomRight" state="frozen"/>
      <selection pane="topRight" activeCell="C1" sqref="C1"/>
      <selection pane="bottomLeft" activeCell="A5" sqref="A5"/>
      <selection pane="bottomRight" activeCell="AI62" sqref="AI62"/>
    </sheetView>
  </sheetViews>
  <sheetFormatPr defaultColWidth="8.7109375" defaultRowHeight="13"/>
  <cols>
    <col min="1" max="1" width="3.5" style="75" customWidth="1"/>
    <col min="2" max="2" width="9.2109375" style="75" customWidth="1"/>
    <col min="3" max="21" width="8.42578125" style="75" hidden="1" customWidth="1"/>
    <col min="22" max="30" width="8.42578125" style="75" customWidth="1"/>
    <col min="31" max="31" width="6.5" style="75" hidden="1" customWidth="1"/>
    <col min="32" max="34" width="6" style="75" hidden="1" customWidth="1"/>
    <col min="35" max="38" width="6" style="75" customWidth="1"/>
    <col min="39" max="16384" width="8.7109375" style="75"/>
  </cols>
  <sheetData>
    <row r="1" spans="1:38">
      <c r="A1" s="499" t="s">
        <v>1496</v>
      </c>
      <c r="B1" s="453"/>
      <c r="C1" s="453"/>
      <c r="D1" s="453"/>
      <c r="E1" s="453"/>
      <c r="F1" s="453"/>
      <c r="G1" s="453"/>
      <c r="H1" s="453"/>
      <c r="I1" s="453"/>
      <c r="J1" s="453"/>
      <c r="K1" s="453"/>
      <c r="L1" s="453"/>
      <c r="M1" s="453"/>
      <c r="N1" s="453"/>
      <c r="O1" s="453"/>
      <c r="P1" s="453"/>
      <c r="Q1" s="453"/>
      <c r="R1" s="453"/>
      <c r="S1" s="453"/>
      <c r="T1" s="453"/>
      <c r="V1" s="453"/>
      <c r="Y1" s="453"/>
      <c r="Z1" s="453"/>
      <c r="AA1" s="453"/>
      <c r="AB1" s="1118" t="s">
        <v>680</v>
      </c>
      <c r="AE1" s="453"/>
      <c r="AJ1" s="1118" t="s">
        <v>1361</v>
      </c>
    </row>
    <row r="2" spans="1:38">
      <c r="A2" s="910"/>
      <c r="B2" s="911" t="s">
        <v>319</v>
      </c>
      <c r="C2" s="912">
        <v>2000</v>
      </c>
      <c r="D2" s="913">
        <v>2001</v>
      </c>
      <c r="E2" s="913">
        <v>2002</v>
      </c>
      <c r="F2" s="913">
        <v>2003</v>
      </c>
      <c r="G2" s="913">
        <v>2004</v>
      </c>
      <c r="H2" s="913">
        <v>2005</v>
      </c>
      <c r="I2" s="913">
        <v>2006</v>
      </c>
      <c r="J2" s="913">
        <v>2007</v>
      </c>
      <c r="K2" s="913">
        <v>2008</v>
      </c>
      <c r="L2" s="913">
        <v>2009</v>
      </c>
      <c r="M2" s="913">
        <v>2010</v>
      </c>
      <c r="N2" s="914">
        <v>2011</v>
      </c>
      <c r="O2" s="914">
        <v>2012</v>
      </c>
      <c r="P2" s="914">
        <v>2013</v>
      </c>
      <c r="Q2" s="914">
        <v>2014</v>
      </c>
      <c r="R2" s="914">
        <v>2015</v>
      </c>
      <c r="S2" s="914">
        <v>2016</v>
      </c>
      <c r="T2" s="914">
        <v>2017</v>
      </c>
      <c r="U2" s="914">
        <v>2018</v>
      </c>
      <c r="V2" s="914">
        <v>2019</v>
      </c>
      <c r="W2" s="914">
        <v>2020</v>
      </c>
      <c r="X2" s="914">
        <v>2021</v>
      </c>
      <c r="Y2" s="914">
        <v>2022</v>
      </c>
      <c r="Z2" s="1036">
        <v>2023</v>
      </c>
      <c r="AA2" s="1036">
        <v>2024</v>
      </c>
      <c r="AB2" s="1036">
        <v>2025</v>
      </c>
      <c r="AC2" s="1036">
        <v>2026</v>
      </c>
      <c r="AD2" s="1036">
        <v>2027</v>
      </c>
      <c r="AE2" s="901"/>
      <c r="AF2" s="901"/>
      <c r="AG2" s="901"/>
      <c r="AH2" s="901"/>
      <c r="AI2" s="901"/>
      <c r="AJ2" s="901"/>
      <c r="AK2" s="901"/>
      <c r="AL2" s="901"/>
    </row>
    <row r="3" spans="1:38">
      <c r="A3" s="916"/>
      <c r="B3" s="917"/>
      <c r="C3" s="918" t="s">
        <v>363</v>
      </c>
      <c r="D3" s="919" t="s">
        <v>364</v>
      </c>
      <c r="E3" s="919" t="s">
        <v>365</v>
      </c>
      <c r="F3" s="919" t="s">
        <v>366</v>
      </c>
      <c r="G3" s="919" t="s">
        <v>367</v>
      </c>
      <c r="H3" s="919" t="s">
        <v>368</v>
      </c>
      <c r="I3" s="919" t="s">
        <v>369</v>
      </c>
      <c r="J3" s="919" t="s">
        <v>370</v>
      </c>
      <c r="K3" s="453" t="s">
        <v>750</v>
      </c>
      <c r="L3" s="453" t="s">
        <v>856</v>
      </c>
      <c r="M3" s="453" t="s">
        <v>911</v>
      </c>
      <c r="N3" s="456" t="s">
        <v>96</v>
      </c>
      <c r="O3" s="456" t="s">
        <v>118</v>
      </c>
      <c r="P3" s="456" t="s">
        <v>119</v>
      </c>
      <c r="Q3" s="456" t="s">
        <v>67</v>
      </c>
      <c r="R3" s="456" t="s">
        <v>157</v>
      </c>
      <c r="S3" s="456" t="s">
        <v>1000</v>
      </c>
      <c r="T3" s="456" t="s">
        <v>1036</v>
      </c>
      <c r="U3" s="456" t="s">
        <v>1062</v>
      </c>
      <c r="V3" s="456" t="s">
        <v>1161</v>
      </c>
      <c r="W3" s="456" t="s">
        <v>1129</v>
      </c>
      <c r="X3" s="456" t="s">
        <v>1160</v>
      </c>
      <c r="Y3" s="456" t="s">
        <v>1200</v>
      </c>
      <c r="Z3" s="491" t="s">
        <v>1234</v>
      </c>
      <c r="AA3" s="491" t="s">
        <v>1561</v>
      </c>
      <c r="AB3" s="491" t="s">
        <v>1603</v>
      </c>
      <c r="AC3" s="491" t="s">
        <v>1745</v>
      </c>
      <c r="AD3" s="491" t="s">
        <v>1783</v>
      </c>
      <c r="AE3" s="921" t="s">
        <v>1163</v>
      </c>
      <c r="AF3" s="921" t="s">
        <v>1176</v>
      </c>
      <c r="AG3" s="921" t="s">
        <v>1199</v>
      </c>
      <c r="AH3" s="921" t="s">
        <v>1235</v>
      </c>
      <c r="AI3" s="921" t="s">
        <v>1600</v>
      </c>
      <c r="AJ3" s="921" t="s">
        <v>1722</v>
      </c>
      <c r="AK3" s="921" t="s">
        <v>1769</v>
      </c>
      <c r="AL3" s="921" t="s">
        <v>1784</v>
      </c>
    </row>
    <row r="4" spans="1:38">
      <c r="A4" s="922"/>
      <c r="B4" s="923" t="s">
        <v>9</v>
      </c>
      <c r="C4" s="924"/>
      <c r="D4" s="925"/>
      <c r="E4" s="925"/>
      <c r="F4" s="925"/>
      <c r="G4" s="925"/>
      <c r="H4" s="925"/>
      <c r="I4" s="925"/>
      <c r="J4" s="925"/>
      <c r="K4" s="450"/>
      <c r="L4" s="454" t="s">
        <v>627</v>
      </c>
      <c r="M4" s="454" t="s">
        <v>11</v>
      </c>
      <c r="N4" s="926" t="s">
        <v>11</v>
      </c>
      <c r="O4" s="926" t="s">
        <v>11</v>
      </c>
      <c r="P4" s="926" t="s">
        <v>11</v>
      </c>
      <c r="Q4" s="926" t="s">
        <v>627</v>
      </c>
      <c r="R4" s="926" t="s">
        <v>627</v>
      </c>
      <c r="S4" s="926" t="s">
        <v>11</v>
      </c>
      <c r="T4" s="1079" t="s">
        <v>627</v>
      </c>
      <c r="U4" s="926" t="s">
        <v>11</v>
      </c>
      <c r="V4" s="926" t="s">
        <v>627</v>
      </c>
      <c r="W4" s="926"/>
      <c r="X4" s="926"/>
      <c r="Y4" s="926" t="s">
        <v>11</v>
      </c>
      <c r="Z4" s="565" t="s">
        <v>11</v>
      </c>
      <c r="AA4" s="565" t="s">
        <v>948</v>
      </c>
      <c r="AB4" s="565" t="s">
        <v>14</v>
      </c>
      <c r="AC4" s="565" t="s">
        <v>14</v>
      </c>
      <c r="AD4" s="565" t="s">
        <v>14</v>
      </c>
      <c r="AE4" s="903"/>
      <c r="AF4" s="927"/>
      <c r="AG4" s="927"/>
      <c r="AH4" s="927"/>
      <c r="AI4" s="927"/>
      <c r="AJ4" s="927"/>
      <c r="AK4" s="927"/>
      <c r="AL4" s="927"/>
    </row>
    <row r="5" spans="1:38">
      <c r="A5" s="509"/>
      <c r="B5" s="521" t="s">
        <v>166</v>
      </c>
      <c r="C5" s="928">
        <v>20381209</v>
      </c>
      <c r="D5" s="929">
        <v>19784388</v>
      </c>
      <c r="E5" s="929">
        <v>19144708</v>
      </c>
      <c r="F5" s="929">
        <v>19285155</v>
      </c>
      <c r="G5" s="929">
        <v>19441327</v>
      </c>
      <c r="H5" s="929">
        <v>19901837</v>
      </c>
      <c r="I5" s="929">
        <f>'6実質時系列'!C6</f>
        <v>20501654</v>
      </c>
      <c r="J5" s="929">
        <f>'6実質時系列'!D6</f>
        <v>21207935</v>
      </c>
      <c r="K5" s="929">
        <f>'6実質時系列'!E6</f>
        <v>20888191</v>
      </c>
      <c r="L5" s="929">
        <f>'6実質時系列'!F6</f>
        <v>19517905</v>
      </c>
      <c r="M5" s="929">
        <f>'6実質時系列'!G6</f>
        <v>20926525</v>
      </c>
      <c r="N5" s="915">
        <f>'6実質時系列'!H6</f>
        <v>20641997</v>
      </c>
      <c r="O5" s="915">
        <f>'6実質時系列'!I6</f>
        <v>20585255</v>
      </c>
      <c r="P5" s="915">
        <f>'6実質時系列'!J6</f>
        <v>21339377</v>
      </c>
      <c r="Q5" s="915">
        <f>'6実質時系列'!K6</f>
        <v>21092930</v>
      </c>
      <c r="R5" s="915">
        <f>'6実質時系列'!L6</f>
        <v>21764162</v>
      </c>
      <c r="S5" s="915">
        <f>'6実質時系列'!M6</f>
        <v>21938484</v>
      </c>
      <c r="T5" s="915">
        <f>'6実質時系列'!N6</f>
        <v>22281249</v>
      </c>
      <c r="U5" s="915">
        <f>'6実質時系列'!O6</f>
        <v>22230964</v>
      </c>
      <c r="V5" s="915">
        <f>'6実質時系列'!P6</f>
        <v>22373322</v>
      </c>
      <c r="W5" s="915">
        <f>'6実質時系列'!Q6</f>
        <v>21583878</v>
      </c>
      <c r="X5" s="915">
        <f>'6実質時系列'!R6</f>
        <v>22305839</v>
      </c>
      <c r="Y5" s="915">
        <f>'6実質時系列'!S6</f>
        <v>22878289</v>
      </c>
      <c r="Z5" s="915">
        <f>'6実質時系列'!T6</f>
        <v>22921318</v>
      </c>
      <c r="AA5" s="915">
        <f>'6実質時系列'!U6</f>
        <v>22926997</v>
      </c>
      <c r="AB5" s="915">
        <f>'6実質時系列'!V6</f>
        <v>22893102</v>
      </c>
      <c r="AC5" s="915">
        <f>'6実質時系列'!W6</f>
        <v>22784536</v>
      </c>
      <c r="AD5" s="915">
        <f>'6実質時系列'!X6</f>
        <v>22672499</v>
      </c>
      <c r="AE5" s="930">
        <f t="shared" ref="AE5:AL6" si="0">ROUND((W5-V5)/V5*100,1)</f>
        <v>-3.5</v>
      </c>
      <c r="AF5" s="930">
        <f t="shared" si="0"/>
        <v>3.3</v>
      </c>
      <c r="AG5" s="930">
        <f t="shared" si="0"/>
        <v>2.6</v>
      </c>
      <c r="AH5" s="930">
        <f t="shared" si="0"/>
        <v>0.2</v>
      </c>
      <c r="AI5" s="930">
        <f t="shared" si="0"/>
        <v>0</v>
      </c>
      <c r="AJ5" s="930">
        <f t="shared" si="0"/>
        <v>-0.1</v>
      </c>
      <c r="AK5" s="930">
        <f t="shared" si="0"/>
        <v>-0.5</v>
      </c>
      <c r="AL5" s="930">
        <f t="shared" si="0"/>
        <v>-0.5</v>
      </c>
    </row>
    <row r="6" spans="1:38">
      <c r="A6" s="511">
        <v>1</v>
      </c>
      <c r="B6" s="519" t="s">
        <v>172</v>
      </c>
      <c r="C6" s="920">
        <v>6699488</v>
      </c>
      <c r="D6" s="453">
        <v>6558112</v>
      </c>
      <c r="E6" s="453">
        <v>5902716</v>
      </c>
      <c r="F6" s="453">
        <v>5981080</v>
      </c>
      <c r="G6" s="453">
        <v>6027118</v>
      </c>
      <c r="H6" s="453">
        <v>6154327</v>
      </c>
      <c r="I6" s="453">
        <f>'6実質時系列'!C7</f>
        <v>6386662</v>
      </c>
      <c r="J6" s="453">
        <f>'6実質時系列'!D7</f>
        <v>6593938</v>
      </c>
      <c r="K6" s="453">
        <f>'6実質時系列'!E7</f>
        <v>6531582</v>
      </c>
      <c r="L6" s="453">
        <f>'6実質時系列'!F7</f>
        <v>6331426</v>
      </c>
      <c r="M6" s="453">
        <f>'6実質時系列'!G7</f>
        <v>6751675</v>
      </c>
      <c r="N6" s="915">
        <f>'6実質時系列'!H7</f>
        <v>6639825</v>
      </c>
      <c r="O6" s="915">
        <f>'6実質時系列'!I7</f>
        <v>6575277</v>
      </c>
      <c r="P6" s="915">
        <f>'6実質時系列'!J7</f>
        <v>6661471</v>
      </c>
      <c r="Q6" s="915">
        <f>'6実質時系列'!K7</f>
        <v>6653923</v>
      </c>
      <c r="R6" s="915">
        <f>'6実質時系列'!L7</f>
        <v>6867175</v>
      </c>
      <c r="S6" s="915">
        <f>'6実質時系列'!M7</f>
        <v>6876921</v>
      </c>
      <c r="T6" s="915">
        <f>'6実質時系列'!N7</f>
        <v>6982935</v>
      </c>
      <c r="U6" s="915">
        <f>'6実質時系列'!O7</f>
        <v>6948898</v>
      </c>
      <c r="V6" s="915">
        <f>'6実質時系列'!P7</f>
        <v>7052438</v>
      </c>
      <c r="W6" s="915">
        <f>'6実質時系列'!Q7</f>
        <v>6730443</v>
      </c>
      <c r="X6" s="915">
        <f>'6実質時系列'!R7</f>
        <v>6858498</v>
      </c>
      <c r="Y6" s="915">
        <f>'6実質時系列'!S7</f>
        <v>7136502</v>
      </c>
      <c r="Z6" s="915">
        <f>'6実質時系列'!T7</f>
        <v>7194583</v>
      </c>
      <c r="AA6" s="915">
        <f>'6実質時系列'!U7</f>
        <v>7142338</v>
      </c>
      <c r="AB6" s="915">
        <f>'6実質時系列'!V7</f>
        <v>6717361</v>
      </c>
      <c r="AC6" s="915">
        <f>'6実質時系列'!W7</f>
        <v>6562647</v>
      </c>
      <c r="AD6" s="915">
        <f>'6実質時系列'!X7</f>
        <v>6493390</v>
      </c>
      <c r="AE6" s="931">
        <f t="shared" si="0"/>
        <v>-4.5999999999999996</v>
      </c>
      <c r="AF6" s="931">
        <f t="shared" si="0"/>
        <v>1.9</v>
      </c>
      <c r="AG6" s="931">
        <f t="shared" si="0"/>
        <v>4.0999999999999996</v>
      </c>
      <c r="AH6" s="931">
        <f t="shared" si="0"/>
        <v>0.8</v>
      </c>
      <c r="AI6" s="931">
        <f t="shared" si="0"/>
        <v>-0.7</v>
      </c>
      <c r="AJ6" s="931">
        <f t="shared" si="0"/>
        <v>-6</v>
      </c>
      <c r="AK6" s="931">
        <f t="shared" si="0"/>
        <v>-2.2999999999999998</v>
      </c>
      <c r="AL6" s="931">
        <f t="shared" si="0"/>
        <v>-1.1000000000000001</v>
      </c>
    </row>
    <row r="7" spans="1:38">
      <c r="A7" s="511">
        <v>2</v>
      </c>
      <c r="B7" s="519" t="s">
        <v>323</v>
      </c>
      <c r="C7" s="920">
        <v>2924190</v>
      </c>
      <c r="D7" s="453">
        <v>2889916</v>
      </c>
      <c r="E7" s="453">
        <v>2822870</v>
      </c>
      <c r="F7" s="453">
        <v>2845675</v>
      </c>
      <c r="G7" s="453">
        <v>2884172</v>
      </c>
      <c r="H7" s="453">
        <v>2998222</v>
      </c>
      <c r="I7" s="453">
        <f>'6実質時系列'!C8</f>
        <v>3131716</v>
      </c>
      <c r="J7" s="453">
        <f>'6実質時系列'!D8</f>
        <v>3261907</v>
      </c>
      <c r="K7" s="453">
        <f>'6実質時系列'!E8</f>
        <v>3153042</v>
      </c>
      <c r="L7" s="453">
        <f>'6実質時系列'!F8</f>
        <v>2981059</v>
      </c>
      <c r="M7" s="453">
        <f>'6実質時系列'!G8</f>
        <v>3312417</v>
      </c>
      <c r="N7" s="453">
        <f>'6実質時系列'!H8</f>
        <v>3350389</v>
      </c>
      <c r="O7" s="453">
        <f>'6実質時系列'!I8</f>
        <v>3282530</v>
      </c>
      <c r="P7" s="453">
        <f>'6実質時系列'!J8</f>
        <v>3433560</v>
      </c>
      <c r="Q7" s="453">
        <f>'6実質時系列'!K8</f>
        <v>3365087</v>
      </c>
      <c r="R7" s="453">
        <f>'6実質時系列'!L8</f>
        <v>3541195</v>
      </c>
      <c r="S7" s="453">
        <f>'6実質時系列'!M8</f>
        <v>3554025</v>
      </c>
      <c r="T7" s="453">
        <f>'6実質時系列'!N8</f>
        <v>3669939</v>
      </c>
      <c r="U7" s="453">
        <f>'6実質時系列'!O8</f>
        <v>3640991</v>
      </c>
      <c r="V7" s="453">
        <f>'6実質時系列'!P8</f>
        <v>3679482</v>
      </c>
      <c r="W7" s="453">
        <f>'6実質時系列'!Q8</f>
        <v>3473285</v>
      </c>
      <c r="X7" s="453">
        <f>'6実質時系列'!R8</f>
        <v>3648568</v>
      </c>
      <c r="Y7" s="453">
        <f>'6実質時系列'!S8</f>
        <v>3687169</v>
      </c>
      <c r="Z7" s="453">
        <f>'6実質時系列'!T8</f>
        <v>3734693</v>
      </c>
      <c r="AA7" s="453">
        <f>'6実質時系列'!U8</f>
        <v>3844538</v>
      </c>
      <c r="AB7" s="453">
        <f>'6実質時系列'!V8</f>
        <v>4029049</v>
      </c>
      <c r="AC7" s="453">
        <f>'6実質時系列'!W8</f>
        <v>4090444</v>
      </c>
      <c r="AD7" s="453">
        <f>'6実質時系列'!X8</f>
        <v>4095373</v>
      </c>
      <c r="AE7" s="931">
        <f t="shared" ref="AE7:AL7" si="1">(W7-V7)/V7*100</f>
        <v>-5.6039681672583264</v>
      </c>
      <c r="AF7" s="931">
        <f t="shared" si="1"/>
        <v>5.0466057349166569</v>
      </c>
      <c r="AG7" s="931">
        <f t="shared" si="1"/>
        <v>1.0579767185372453</v>
      </c>
      <c r="AH7" s="931">
        <f t="shared" si="1"/>
        <v>1.2889021360290238</v>
      </c>
      <c r="AI7" s="931">
        <f t="shared" si="1"/>
        <v>2.9412056091357441</v>
      </c>
      <c r="AJ7" s="931">
        <f t="shared" si="1"/>
        <v>4.7993022828750815</v>
      </c>
      <c r="AK7" s="931">
        <f t="shared" si="1"/>
        <v>1.5238087201222918</v>
      </c>
      <c r="AL7" s="931">
        <f t="shared" si="1"/>
        <v>0.12050036621941286</v>
      </c>
    </row>
    <row r="8" spans="1:38">
      <c r="A8" s="511">
        <v>3</v>
      </c>
      <c r="B8" s="519" t="s">
        <v>324</v>
      </c>
      <c r="C8" s="920">
        <v>1797958</v>
      </c>
      <c r="D8" s="453">
        <v>1752987</v>
      </c>
      <c r="E8" s="453">
        <v>1712911</v>
      </c>
      <c r="F8" s="453">
        <v>1749188</v>
      </c>
      <c r="G8" s="453">
        <v>1784065</v>
      </c>
      <c r="H8" s="453">
        <v>1858810</v>
      </c>
      <c r="I8" s="453">
        <f>'6実質時系列'!C9</f>
        <v>1894608</v>
      </c>
      <c r="J8" s="453">
        <f>'6実質時系列'!D9</f>
        <v>1946526</v>
      </c>
      <c r="K8" s="453">
        <f>'6実質時系列'!E9</f>
        <v>1868619</v>
      </c>
      <c r="L8" s="453">
        <f>'6実質時系列'!F9</f>
        <v>1773677</v>
      </c>
      <c r="M8" s="453">
        <f>'6実質時系列'!G9</f>
        <v>1893868</v>
      </c>
      <c r="N8" s="453">
        <f>'6実質時系列'!H9</f>
        <v>1978032</v>
      </c>
      <c r="O8" s="453">
        <f>'6実質時系列'!I9</f>
        <v>2021539</v>
      </c>
      <c r="P8" s="453">
        <f>'6実質時系列'!J9</f>
        <v>2042568</v>
      </c>
      <c r="Q8" s="453">
        <f>'6実質時系列'!K9</f>
        <v>1983242</v>
      </c>
      <c r="R8" s="453">
        <f>'6実質時系列'!L9</f>
        <v>2055211</v>
      </c>
      <c r="S8" s="453">
        <f>'6実質時系列'!M9</f>
        <v>2140771</v>
      </c>
      <c r="T8" s="453">
        <f>'6実質時系列'!N9</f>
        <v>2115075</v>
      </c>
      <c r="U8" s="453">
        <f>'6実質時系列'!O9</f>
        <v>2107148</v>
      </c>
      <c r="V8" s="453">
        <f>'6実質時系列'!P9</f>
        <v>2063186</v>
      </c>
      <c r="W8" s="453">
        <f>'6実質時系列'!Q9</f>
        <v>2018040</v>
      </c>
      <c r="X8" s="453">
        <f>'6実質時系列'!R9</f>
        <v>2177625</v>
      </c>
      <c r="Y8" s="453">
        <f>'6実質時系列'!S9</f>
        <v>2220509</v>
      </c>
      <c r="Z8" s="453">
        <f>'6実質時系列'!T9</f>
        <v>2291123</v>
      </c>
      <c r="AA8" s="453">
        <f>'6実質時系列'!U9</f>
        <v>2413003</v>
      </c>
      <c r="AB8" s="453">
        <f>'6実質時系列'!V9</f>
        <v>2799765</v>
      </c>
      <c r="AC8" s="453">
        <f>'6実質時系列'!W9</f>
        <v>2987520</v>
      </c>
      <c r="AD8" s="453">
        <f>'6実質時系列'!X9</f>
        <v>3043130</v>
      </c>
      <c r="AE8" s="931">
        <f t="shared" ref="AE8:AL15" si="2">ROUND((W8-V8)/V8*100,1)</f>
        <v>-2.2000000000000002</v>
      </c>
      <c r="AF8" s="931">
        <f t="shared" si="2"/>
        <v>7.9</v>
      </c>
      <c r="AG8" s="931">
        <f t="shared" si="2"/>
        <v>2</v>
      </c>
      <c r="AH8" s="931">
        <f t="shared" si="2"/>
        <v>3.2</v>
      </c>
      <c r="AI8" s="931">
        <f t="shared" si="2"/>
        <v>5.3</v>
      </c>
      <c r="AJ8" s="931">
        <f t="shared" si="2"/>
        <v>16</v>
      </c>
      <c r="AK8" s="931">
        <f t="shared" si="2"/>
        <v>6.7</v>
      </c>
      <c r="AL8" s="931">
        <f t="shared" si="2"/>
        <v>1.9</v>
      </c>
    </row>
    <row r="9" spans="1:38">
      <c r="A9" s="511">
        <v>4</v>
      </c>
      <c r="B9" s="519" t="s">
        <v>192</v>
      </c>
      <c r="C9" s="920">
        <v>2597590</v>
      </c>
      <c r="D9" s="453">
        <v>2429194</v>
      </c>
      <c r="E9" s="453">
        <v>2501954</v>
      </c>
      <c r="F9" s="453">
        <v>2548675</v>
      </c>
      <c r="G9" s="453">
        <v>2570772</v>
      </c>
      <c r="H9" s="453">
        <v>2654911</v>
      </c>
      <c r="I9" s="453">
        <f>'6実質時系列'!C10</f>
        <v>2813002</v>
      </c>
      <c r="J9" s="453">
        <f>'6実質時系列'!D10</f>
        <v>2987289</v>
      </c>
      <c r="K9" s="453">
        <f>'6実質時系列'!E10</f>
        <v>2989050</v>
      </c>
      <c r="L9" s="453">
        <f>'6実質時系列'!F10</f>
        <v>2582059</v>
      </c>
      <c r="M9" s="453">
        <f>'6実質時系列'!G10</f>
        <v>2752668</v>
      </c>
      <c r="N9" s="453">
        <f>'6実質時系列'!H10</f>
        <v>2673197</v>
      </c>
      <c r="O9" s="453">
        <f>'6実質時系列'!I10</f>
        <v>2839950</v>
      </c>
      <c r="P9" s="453">
        <f>'6実質時系列'!J10</f>
        <v>2892211</v>
      </c>
      <c r="Q9" s="453">
        <f>'6実質時系列'!K10</f>
        <v>2869315</v>
      </c>
      <c r="R9" s="453">
        <f>'6実質時系列'!L10</f>
        <v>2959810</v>
      </c>
      <c r="S9" s="453">
        <f>'6実質時系列'!M10</f>
        <v>2905924</v>
      </c>
      <c r="T9" s="453">
        <f>'6実質時系列'!N10</f>
        <v>2925883</v>
      </c>
      <c r="U9" s="453">
        <f>'6実質時系列'!O10</f>
        <v>2964550</v>
      </c>
      <c r="V9" s="453">
        <f>'6実質時系列'!P10</f>
        <v>2988965</v>
      </c>
      <c r="W9" s="453">
        <f>'6実質時系列'!Q10</f>
        <v>2929006</v>
      </c>
      <c r="X9" s="453">
        <f>'6実質時系列'!R10</f>
        <v>2922065</v>
      </c>
      <c r="Y9" s="453">
        <f>'6実質時系列'!S10</f>
        <v>3125410</v>
      </c>
      <c r="Z9" s="453">
        <f>'6実質時系列'!T10</f>
        <v>3009430</v>
      </c>
      <c r="AA9" s="453">
        <f>'6実質時系列'!U10</f>
        <v>2975032</v>
      </c>
      <c r="AB9" s="453">
        <f>'6実質時系列'!V10</f>
        <v>3138945</v>
      </c>
      <c r="AC9" s="453">
        <f>'6実質時系列'!W10</f>
        <v>3201545</v>
      </c>
      <c r="AD9" s="453">
        <f>'6実質時系列'!X10</f>
        <v>3211572</v>
      </c>
      <c r="AE9" s="931">
        <f t="shared" si="2"/>
        <v>-2</v>
      </c>
      <c r="AF9" s="931">
        <f t="shared" si="2"/>
        <v>-0.2</v>
      </c>
      <c r="AG9" s="931">
        <f t="shared" si="2"/>
        <v>7</v>
      </c>
      <c r="AH9" s="931">
        <f t="shared" si="2"/>
        <v>-3.7</v>
      </c>
      <c r="AI9" s="931">
        <f t="shared" si="2"/>
        <v>-1.1000000000000001</v>
      </c>
      <c r="AJ9" s="931">
        <f t="shared" si="2"/>
        <v>5.5</v>
      </c>
      <c r="AK9" s="931">
        <f t="shared" si="2"/>
        <v>2</v>
      </c>
      <c r="AL9" s="931">
        <f t="shared" si="2"/>
        <v>0.3</v>
      </c>
    </row>
    <row r="10" spans="1:38">
      <c r="A10" s="511">
        <v>5</v>
      </c>
      <c r="B10" s="519" t="s">
        <v>325</v>
      </c>
      <c r="C10" s="920">
        <v>1154821</v>
      </c>
      <c r="D10" s="453">
        <v>1139753</v>
      </c>
      <c r="E10" s="453">
        <v>1129022</v>
      </c>
      <c r="F10" s="453">
        <v>1135851</v>
      </c>
      <c r="G10" s="453">
        <v>1139462</v>
      </c>
      <c r="H10" s="453">
        <v>1163868</v>
      </c>
      <c r="I10" s="453">
        <f>'6実質時系列'!C11</f>
        <v>1191651</v>
      </c>
      <c r="J10" s="453">
        <f>'6実質時系列'!D11</f>
        <v>1221515</v>
      </c>
      <c r="K10" s="453">
        <f>'6実質時系列'!E11</f>
        <v>1198607</v>
      </c>
      <c r="L10" s="453">
        <f>'6実質時系列'!F11</f>
        <v>1146172</v>
      </c>
      <c r="M10" s="453">
        <f>'6実質時系列'!G11</f>
        <v>1190688</v>
      </c>
      <c r="N10" s="453">
        <f>'6実質時系列'!H11</f>
        <v>1149883</v>
      </c>
      <c r="O10" s="453">
        <f>'6実質時系列'!I11</f>
        <v>1133747</v>
      </c>
      <c r="P10" s="453">
        <f>'6実質時系列'!J11</f>
        <v>1194562</v>
      </c>
      <c r="Q10" s="453">
        <f>'6実質時系列'!K11</f>
        <v>1170689</v>
      </c>
      <c r="R10" s="453">
        <f>'6実質時系列'!L11</f>
        <v>1198719</v>
      </c>
      <c r="S10" s="453">
        <f>'6実質時系列'!M11</f>
        <v>1258017</v>
      </c>
      <c r="T10" s="453">
        <f>'6実質時系列'!N11</f>
        <v>1311546</v>
      </c>
      <c r="U10" s="453">
        <f>'6実質時系列'!O11</f>
        <v>1296116</v>
      </c>
      <c r="V10" s="453">
        <f>'6実質時系列'!P11</f>
        <v>1304482</v>
      </c>
      <c r="W10" s="453">
        <f>'6実質時系列'!Q11</f>
        <v>1280998</v>
      </c>
      <c r="X10" s="453">
        <f>'6実質時系列'!R11</f>
        <v>1302930</v>
      </c>
      <c r="Y10" s="453">
        <f>'6実質時系列'!S11</f>
        <v>1278266</v>
      </c>
      <c r="Z10" s="453">
        <f>'6実質時系列'!T11</f>
        <v>1295760</v>
      </c>
      <c r="AA10" s="453">
        <f>'6実質時系列'!U11</f>
        <v>1218560</v>
      </c>
      <c r="AB10" s="453">
        <f>'6実質時系列'!V11</f>
        <v>1144194</v>
      </c>
      <c r="AC10" s="453">
        <f>'6実質時系列'!W11</f>
        <v>1097539</v>
      </c>
      <c r="AD10" s="453">
        <f>'6実質時系列'!X11</f>
        <v>1096977</v>
      </c>
      <c r="AE10" s="931">
        <f t="shared" si="2"/>
        <v>-1.8</v>
      </c>
      <c r="AF10" s="931">
        <f t="shared" si="2"/>
        <v>1.7</v>
      </c>
      <c r="AG10" s="931">
        <f t="shared" si="2"/>
        <v>-1.9</v>
      </c>
      <c r="AH10" s="931">
        <f t="shared" si="2"/>
        <v>1.4</v>
      </c>
      <c r="AI10" s="931">
        <f t="shared" si="2"/>
        <v>-6</v>
      </c>
      <c r="AJ10" s="931">
        <f t="shared" si="2"/>
        <v>-6.1</v>
      </c>
      <c r="AK10" s="931">
        <f t="shared" si="2"/>
        <v>-4.0999999999999996</v>
      </c>
      <c r="AL10" s="931">
        <f t="shared" si="2"/>
        <v>-0.1</v>
      </c>
    </row>
    <row r="11" spans="1:38">
      <c r="A11" s="511">
        <v>6</v>
      </c>
      <c r="B11" s="519" t="s">
        <v>326</v>
      </c>
      <c r="C11" s="920">
        <v>2504580</v>
      </c>
      <c r="D11" s="453">
        <v>2427698</v>
      </c>
      <c r="E11" s="453">
        <v>2393277</v>
      </c>
      <c r="F11" s="453">
        <v>2424962</v>
      </c>
      <c r="G11" s="453">
        <v>2469002</v>
      </c>
      <c r="H11" s="453">
        <v>2518709</v>
      </c>
      <c r="I11" s="453">
        <f>'6実質時系列'!C12</f>
        <v>2565099</v>
      </c>
      <c r="J11" s="453">
        <f>'6実質時系列'!D12</f>
        <v>2629643</v>
      </c>
      <c r="K11" s="453">
        <f>'6実質時系列'!E12</f>
        <v>2708790</v>
      </c>
      <c r="L11" s="453">
        <f>'6実質時系列'!F12</f>
        <v>2370256</v>
      </c>
      <c r="M11" s="453">
        <f>'6実質時系列'!G12</f>
        <v>2584373</v>
      </c>
      <c r="N11" s="453">
        <f>'6実質時系列'!H12</f>
        <v>2459071</v>
      </c>
      <c r="O11" s="453">
        <f>'6実質時系列'!I12</f>
        <v>2401066</v>
      </c>
      <c r="P11" s="453">
        <f>'6実質時系列'!J12</f>
        <v>2604440</v>
      </c>
      <c r="Q11" s="453">
        <f>'6実質時系列'!K12</f>
        <v>2577285</v>
      </c>
      <c r="R11" s="453">
        <f>'6実質時系列'!L12</f>
        <v>2610540</v>
      </c>
      <c r="S11" s="453">
        <f>'6実質時系列'!M12</f>
        <v>2667693</v>
      </c>
      <c r="T11" s="453">
        <f>'6実質時系列'!N12</f>
        <v>2678688</v>
      </c>
      <c r="U11" s="453">
        <f>'6実質時系列'!O12</f>
        <v>2674020</v>
      </c>
      <c r="V11" s="453">
        <f>'6実質時系列'!P12</f>
        <v>2636461</v>
      </c>
      <c r="W11" s="453">
        <f>'6実質時系列'!Q12</f>
        <v>2555353</v>
      </c>
      <c r="X11" s="453">
        <f>'6実質時系列'!R12</f>
        <v>2786293</v>
      </c>
      <c r="Y11" s="453">
        <f>'6実質時系列'!S12</f>
        <v>2841392</v>
      </c>
      <c r="Z11" s="453">
        <f>'6実質時系列'!T12</f>
        <v>2800023</v>
      </c>
      <c r="AA11" s="453">
        <f>'6実質時系列'!U12</f>
        <v>2550474</v>
      </c>
      <c r="AB11" s="453">
        <f>'6実質時系列'!V12</f>
        <v>2438649</v>
      </c>
      <c r="AC11" s="453">
        <f>'6実質時系列'!W12</f>
        <v>2393668</v>
      </c>
      <c r="AD11" s="453">
        <f>'6実質時系列'!X12</f>
        <v>2380541</v>
      </c>
      <c r="AE11" s="931">
        <f t="shared" si="2"/>
        <v>-3.1</v>
      </c>
      <c r="AF11" s="931">
        <f t="shared" si="2"/>
        <v>9</v>
      </c>
      <c r="AG11" s="931">
        <f t="shared" si="2"/>
        <v>2</v>
      </c>
      <c r="AH11" s="931">
        <f t="shared" si="2"/>
        <v>-1.5</v>
      </c>
      <c r="AI11" s="931">
        <f t="shared" si="2"/>
        <v>-8.9</v>
      </c>
      <c r="AJ11" s="931">
        <f t="shared" si="2"/>
        <v>-4.4000000000000004</v>
      </c>
      <c r="AK11" s="931">
        <f t="shared" si="2"/>
        <v>-1.8</v>
      </c>
      <c r="AL11" s="931">
        <f t="shared" si="2"/>
        <v>-0.5</v>
      </c>
    </row>
    <row r="12" spans="1:38">
      <c r="A12" s="511">
        <v>7</v>
      </c>
      <c r="B12" s="519" t="s">
        <v>327</v>
      </c>
      <c r="C12" s="920">
        <v>1070674</v>
      </c>
      <c r="D12" s="453">
        <v>997082</v>
      </c>
      <c r="E12" s="453">
        <v>1003921</v>
      </c>
      <c r="F12" s="453">
        <v>986449</v>
      </c>
      <c r="G12" s="453">
        <v>978114</v>
      </c>
      <c r="H12" s="453">
        <v>975112</v>
      </c>
      <c r="I12" s="453">
        <f>'6実質時系列'!C13</f>
        <v>988227</v>
      </c>
      <c r="J12" s="453">
        <f>'6実質時系列'!D13</f>
        <v>1013274</v>
      </c>
      <c r="K12" s="453">
        <f>'6実質時系列'!E13</f>
        <v>973912</v>
      </c>
      <c r="L12" s="453">
        <f>'6実質時系列'!F13</f>
        <v>935893</v>
      </c>
      <c r="M12" s="453">
        <f>'6実質時系列'!G13</f>
        <v>993858</v>
      </c>
      <c r="N12" s="453">
        <f>'6実質時系列'!H13</f>
        <v>985923</v>
      </c>
      <c r="O12" s="453">
        <f>'6実質時系列'!I13</f>
        <v>990496</v>
      </c>
      <c r="P12" s="453">
        <f>'6実質時系列'!J13</f>
        <v>999464</v>
      </c>
      <c r="Q12" s="453">
        <f>'6実質時系列'!K13</f>
        <v>1000895</v>
      </c>
      <c r="R12" s="453">
        <f>'6実質時系列'!L13</f>
        <v>1016695</v>
      </c>
      <c r="S12" s="453">
        <f>'6実質時系列'!M13</f>
        <v>1021266</v>
      </c>
      <c r="T12" s="453">
        <f>'6実質時系列'!N13</f>
        <v>1065673</v>
      </c>
      <c r="U12" s="453">
        <f>'6実質時系列'!O13</f>
        <v>1070880</v>
      </c>
      <c r="V12" s="453">
        <f>'6実質時系列'!P13</f>
        <v>1075264</v>
      </c>
      <c r="W12" s="453">
        <f>'6実質時系列'!Q13</f>
        <v>1084785</v>
      </c>
      <c r="X12" s="453">
        <f>'6実質時系列'!R13</f>
        <v>1112726</v>
      </c>
      <c r="Y12" s="453">
        <f>'6実質時系列'!S13</f>
        <v>1087411</v>
      </c>
      <c r="Z12" s="453">
        <f>'6実質時系列'!T13</f>
        <v>1079374</v>
      </c>
      <c r="AA12" s="453">
        <f>'6実質時系列'!U13</f>
        <v>1079291</v>
      </c>
      <c r="AB12" s="453">
        <f>'6実質時系列'!V13</f>
        <v>1008614</v>
      </c>
      <c r="AC12" s="453">
        <f>'6実質時系列'!W13</f>
        <v>950930</v>
      </c>
      <c r="AD12" s="453">
        <f>'6実質時系列'!X13</f>
        <v>929112</v>
      </c>
      <c r="AE12" s="931">
        <f t="shared" si="2"/>
        <v>0.9</v>
      </c>
      <c r="AF12" s="931">
        <f t="shared" si="2"/>
        <v>2.6</v>
      </c>
      <c r="AG12" s="931">
        <f t="shared" si="2"/>
        <v>-2.2999999999999998</v>
      </c>
      <c r="AH12" s="931">
        <f t="shared" si="2"/>
        <v>-0.7</v>
      </c>
      <c r="AI12" s="931">
        <f t="shared" si="2"/>
        <v>0</v>
      </c>
      <c r="AJ12" s="931">
        <f t="shared" si="2"/>
        <v>-6.5</v>
      </c>
      <c r="AK12" s="931">
        <f t="shared" si="2"/>
        <v>-5.7</v>
      </c>
      <c r="AL12" s="931">
        <f t="shared" si="2"/>
        <v>-2.2999999999999998</v>
      </c>
    </row>
    <row r="13" spans="1:38">
      <c r="A13" s="511">
        <v>8</v>
      </c>
      <c r="B13" s="519" t="s">
        <v>210</v>
      </c>
      <c r="C13" s="920">
        <v>703303</v>
      </c>
      <c r="D13" s="453">
        <v>674476</v>
      </c>
      <c r="E13" s="453">
        <v>706258</v>
      </c>
      <c r="F13" s="453">
        <v>679093</v>
      </c>
      <c r="G13" s="453">
        <v>673617</v>
      </c>
      <c r="H13" s="453">
        <v>666460</v>
      </c>
      <c r="I13" s="453">
        <f>'6実質時系列'!C14</f>
        <v>635187</v>
      </c>
      <c r="J13" s="453">
        <f>'6実質時系列'!D14</f>
        <v>644104</v>
      </c>
      <c r="K13" s="453">
        <f>'6実質時系列'!E14</f>
        <v>610959</v>
      </c>
      <c r="L13" s="453">
        <f>'6実質時系列'!F14</f>
        <v>582183</v>
      </c>
      <c r="M13" s="453">
        <f>'6実質時系列'!G14</f>
        <v>596840</v>
      </c>
      <c r="N13" s="453">
        <f>'6実質時系列'!H14</f>
        <v>583643</v>
      </c>
      <c r="O13" s="453">
        <f>'6実質時系列'!I14</f>
        <v>591296</v>
      </c>
      <c r="P13" s="453">
        <f>'6実質時系列'!J14</f>
        <v>633497</v>
      </c>
      <c r="Q13" s="453">
        <f>'6実質時系列'!K14</f>
        <v>622915</v>
      </c>
      <c r="R13" s="453">
        <f>'6実質時系列'!L14</f>
        <v>630529</v>
      </c>
      <c r="S13" s="453">
        <f>'6実質時系列'!M14</f>
        <v>621925</v>
      </c>
      <c r="T13" s="453">
        <f>'6実質時系列'!N14</f>
        <v>636953</v>
      </c>
      <c r="U13" s="453">
        <f>'6実質時系列'!O14</f>
        <v>625127</v>
      </c>
      <c r="V13" s="453">
        <f>'6実質時系列'!P14</f>
        <v>633509</v>
      </c>
      <c r="W13" s="453">
        <f>'6実質時系列'!Q14</f>
        <v>630050</v>
      </c>
      <c r="X13" s="453">
        <f>'6実質時系列'!R14</f>
        <v>596697</v>
      </c>
      <c r="Y13" s="453">
        <f>'6実質時系列'!S14</f>
        <v>581246</v>
      </c>
      <c r="Z13" s="453">
        <f>'6実質時系列'!T14</f>
        <v>577235</v>
      </c>
      <c r="AA13" s="453">
        <f>'6実質時系列'!U14</f>
        <v>709262</v>
      </c>
      <c r="AB13" s="453">
        <f>'6実質時系列'!V14</f>
        <v>668158</v>
      </c>
      <c r="AC13" s="453">
        <f>'6実質時系列'!W14</f>
        <v>619699</v>
      </c>
      <c r="AD13" s="453">
        <f>'6実質時系列'!X14</f>
        <v>577874</v>
      </c>
      <c r="AE13" s="931">
        <f t="shared" si="2"/>
        <v>-0.5</v>
      </c>
      <c r="AF13" s="931">
        <f t="shared" si="2"/>
        <v>-5.3</v>
      </c>
      <c r="AG13" s="931">
        <f t="shared" si="2"/>
        <v>-2.6</v>
      </c>
      <c r="AH13" s="931">
        <f t="shared" si="2"/>
        <v>-0.7</v>
      </c>
      <c r="AI13" s="931">
        <f t="shared" si="2"/>
        <v>22.9</v>
      </c>
      <c r="AJ13" s="931">
        <f t="shared" si="2"/>
        <v>-5.8</v>
      </c>
      <c r="AK13" s="931">
        <f t="shared" si="2"/>
        <v>-7.3</v>
      </c>
      <c r="AL13" s="931">
        <f t="shared" si="2"/>
        <v>-6.7</v>
      </c>
    </row>
    <row r="14" spans="1:38">
      <c r="A14" s="511">
        <v>9</v>
      </c>
      <c r="B14" s="519" t="s">
        <v>211</v>
      </c>
      <c r="C14" s="920">
        <v>378601</v>
      </c>
      <c r="D14" s="453">
        <v>380068</v>
      </c>
      <c r="E14" s="453">
        <v>406849</v>
      </c>
      <c r="F14" s="453">
        <v>399915</v>
      </c>
      <c r="G14" s="453">
        <v>391734</v>
      </c>
      <c r="H14" s="453">
        <v>395727</v>
      </c>
      <c r="I14" s="453">
        <f>'6実質時系列'!C15</f>
        <v>394597</v>
      </c>
      <c r="J14" s="453">
        <f>'6実質時系列'!D15</f>
        <v>411175</v>
      </c>
      <c r="K14" s="453">
        <f>'6実質時系列'!E15</f>
        <v>377214</v>
      </c>
      <c r="L14" s="453">
        <f>'6実質時系列'!F15</f>
        <v>357061</v>
      </c>
      <c r="M14" s="453">
        <f>'6実質時系列'!G15</f>
        <v>373206</v>
      </c>
      <c r="N14" s="453">
        <f>'6実質時系列'!H15</f>
        <v>366777</v>
      </c>
      <c r="O14" s="453">
        <f>'6実質時系列'!I15</f>
        <v>295698</v>
      </c>
      <c r="P14" s="453">
        <f>'6実質時系列'!J15</f>
        <v>412702</v>
      </c>
      <c r="Q14" s="453">
        <f>'6実質時系列'!K15</f>
        <v>398133</v>
      </c>
      <c r="R14" s="453">
        <f>'6実質時系列'!L15</f>
        <v>418714</v>
      </c>
      <c r="S14" s="453">
        <f>'6実質時系列'!M15</f>
        <v>422068</v>
      </c>
      <c r="T14" s="453">
        <f>'6実質時系列'!N15</f>
        <v>426654</v>
      </c>
      <c r="U14" s="453">
        <f>'6実質時系列'!O15</f>
        <v>438341</v>
      </c>
      <c r="V14" s="453">
        <f>'6実質時系列'!P15</f>
        <v>472616</v>
      </c>
      <c r="W14" s="453">
        <f>'6実質時系列'!Q15</f>
        <v>446621</v>
      </c>
      <c r="X14" s="453">
        <f>'6実質時系列'!R15</f>
        <v>454129</v>
      </c>
      <c r="Y14" s="453">
        <f>'6実質時系列'!S15</f>
        <v>454813</v>
      </c>
      <c r="Z14" s="453">
        <f>'6実質時系列'!T15</f>
        <v>460281</v>
      </c>
      <c r="AA14" s="453">
        <f>'6実質時系列'!U15</f>
        <v>468821</v>
      </c>
      <c r="AB14" s="453">
        <f>'6実質時系列'!V15</f>
        <v>432134</v>
      </c>
      <c r="AC14" s="453">
        <f>'6実質時系列'!W15</f>
        <v>402935</v>
      </c>
      <c r="AD14" s="453">
        <f>'6実質時系列'!X15</f>
        <v>393140</v>
      </c>
      <c r="AE14" s="931">
        <f t="shared" si="2"/>
        <v>-5.5</v>
      </c>
      <c r="AF14" s="931">
        <f t="shared" si="2"/>
        <v>1.7</v>
      </c>
      <c r="AG14" s="931">
        <f t="shared" si="2"/>
        <v>0.2</v>
      </c>
      <c r="AH14" s="931">
        <f t="shared" si="2"/>
        <v>1.2</v>
      </c>
      <c r="AI14" s="931">
        <f t="shared" si="2"/>
        <v>1.9</v>
      </c>
      <c r="AJ14" s="931">
        <f t="shared" si="2"/>
        <v>-7.8</v>
      </c>
      <c r="AK14" s="931">
        <f t="shared" si="2"/>
        <v>-6.8</v>
      </c>
      <c r="AL14" s="931">
        <f t="shared" si="2"/>
        <v>-2.4</v>
      </c>
    </row>
    <row r="15" spans="1:38">
      <c r="A15" s="515">
        <v>10</v>
      </c>
      <c r="B15" s="520" t="s">
        <v>212</v>
      </c>
      <c r="C15" s="932">
        <v>550004</v>
      </c>
      <c r="D15" s="450">
        <v>535102</v>
      </c>
      <c r="E15" s="450">
        <v>564930</v>
      </c>
      <c r="F15" s="450">
        <v>534267</v>
      </c>
      <c r="G15" s="450">
        <v>523271</v>
      </c>
      <c r="H15" s="450">
        <v>515691</v>
      </c>
      <c r="I15" s="450">
        <f>'6実質時系列'!C16</f>
        <v>500905</v>
      </c>
      <c r="J15" s="450">
        <f>'6実質時系列'!D16</f>
        <v>498564</v>
      </c>
      <c r="K15" s="450">
        <f>'6実質時系列'!E16</f>
        <v>476416</v>
      </c>
      <c r="L15" s="450">
        <f>'6実質時系列'!F16</f>
        <v>458119</v>
      </c>
      <c r="M15" s="450">
        <f>'6実質時系列'!G16</f>
        <v>476932</v>
      </c>
      <c r="N15" s="450">
        <f>'6実質時系列'!H16</f>
        <v>455257</v>
      </c>
      <c r="O15" s="450">
        <f>'6実質時系列'!I16</f>
        <v>453656</v>
      </c>
      <c r="P15" s="450">
        <f>'6実質時系列'!J16</f>
        <v>464902</v>
      </c>
      <c r="Q15" s="450">
        <f>'6実質時系列'!K16</f>
        <v>451446</v>
      </c>
      <c r="R15" s="450">
        <f>'6実質時系列'!L16</f>
        <v>465574</v>
      </c>
      <c r="S15" s="450">
        <f>'6実質時系列'!M16</f>
        <v>469874</v>
      </c>
      <c r="T15" s="450">
        <f>'6実質時系列'!N16</f>
        <v>467903</v>
      </c>
      <c r="U15" s="450">
        <f>'6実質時系列'!O16</f>
        <v>464893</v>
      </c>
      <c r="V15" s="450">
        <f>'6実質時系列'!P16</f>
        <v>466919</v>
      </c>
      <c r="W15" s="450">
        <f>'6実質時系列'!Q16</f>
        <v>435297</v>
      </c>
      <c r="X15" s="450">
        <f>'6実質時系列'!R16</f>
        <v>446308</v>
      </c>
      <c r="Y15" s="450">
        <f>'6実質時系列'!S16</f>
        <v>465571</v>
      </c>
      <c r="Z15" s="450">
        <f>'6実質時系列'!T16</f>
        <v>478816</v>
      </c>
      <c r="AA15" s="450">
        <f>'6実質時系列'!U16</f>
        <v>525678</v>
      </c>
      <c r="AB15" s="450">
        <f>'6実質時系列'!V16</f>
        <v>516233</v>
      </c>
      <c r="AC15" s="450">
        <f>'6実質時系列'!W16</f>
        <v>477609</v>
      </c>
      <c r="AD15" s="450">
        <f>'6実質時系列'!X16</f>
        <v>451390</v>
      </c>
      <c r="AE15" s="933">
        <f t="shared" si="2"/>
        <v>-6.8</v>
      </c>
      <c r="AF15" s="933">
        <f t="shared" si="2"/>
        <v>2.5</v>
      </c>
      <c r="AG15" s="933">
        <f t="shared" si="2"/>
        <v>4.3</v>
      </c>
      <c r="AH15" s="933">
        <f t="shared" si="2"/>
        <v>2.8</v>
      </c>
      <c r="AI15" s="933">
        <f t="shared" si="2"/>
        <v>9.8000000000000007</v>
      </c>
      <c r="AJ15" s="933">
        <f t="shared" si="2"/>
        <v>-1.8</v>
      </c>
      <c r="AK15" s="933">
        <f t="shared" si="2"/>
        <v>-7.5</v>
      </c>
      <c r="AL15" s="933">
        <f t="shared" si="2"/>
        <v>-5.5</v>
      </c>
    </row>
    <row r="16" spans="1:38">
      <c r="A16" s="453"/>
      <c r="B16" s="453"/>
      <c r="C16" s="453"/>
      <c r="D16" s="453"/>
      <c r="E16" s="453"/>
      <c r="F16" s="453"/>
      <c r="G16" s="453"/>
      <c r="H16" s="453"/>
      <c r="I16" s="453"/>
      <c r="J16" s="453"/>
      <c r="K16" s="453"/>
      <c r="L16" s="453"/>
      <c r="M16" s="453"/>
      <c r="N16" s="453"/>
      <c r="O16" s="453"/>
      <c r="P16" s="453"/>
      <c r="Q16" s="453"/>
      <c r="R16" s="453"/>
      <c r="S16" s="453"/>
      <c r="T16" s="453"/>
      <c r="U16" s="453"/>
      <c r="V16" s="453"/>
      <c r="W16" s="453"/>
      <c r="X16" s="453" t="s">
        <v>1519</v>
      </c>
      <c r="Y16" s="453"/>
      <c r="Z16" s="453"/>
      <c r="AA16" s="453"/>
      <c r="AB16" s="453"/>
      <c r="AC16" s="453"/>
      <c r="AD16" s="453"/>
      <c r="AE16" s="453"/>
      <c r="AF16" s="453"/>
      <c r="AG16" s="453"/>
      <c r="AH16" s="453"/>
    </row>
    <row r="17" spans="1:38">
      <c r="A17" s="453"/>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75" t="s">
        <v>1529</v>
      </c>
    </row>
    <row r="18" spans="1:38">
      <c r="A18" s="934" t="s">
        <v>1362</v>
      </c>
      <c r="B18" s="499" t="s">
        <v>1497</v>
      </c>
      <c r="C18" s="453"/>
      <c r="D18" s="453"/>
      <c r="E18" s="453"/>
      <c r="F18" s="453"/>
      <c r="G18" s="453"/>
      <c r="H18" s="453"/>
      <c r="I18" s="453"/>
      <c r="J18" s="453"/>
      <c r="K18" s="453"/>
      <c r="L18" s="453"/>
      <c r="M18" s="453"/>
      <c r="N18" s="453"/>
      <c r="O18" s="453"/>
      <c r="P18" s="453"/>
      <c r="Q18" s="453"/>
      <c r="R18" s="453"/>
      <c r="S18" s="453"/>
      <c r="T18" s="453"/>
      <c r="V18" s="453"/>
      <c r="Y18" s="453"/>
      <c r="Z18" s="453"/>
      <c r="AA18" s="453"/>
      <c r="AB18" s="1118" t="s">
        <v>680</v>
      </c>
      <c r="AE18" s="453"/>
      <c r="AF18" s="453"/>
      <c r="AG18" s="453"/>
      <c r="AJ18" s="1118" t="s">
        <v>1361</v>
      </c>
    </row>
    <row r="19" spans="1:38">
      <c r="A19" s="910"/>
      <c r="B19" s="911" t="s">
        <v>319</v>
      </c>
      <c r="C19" s="913">
        <v>2000</v>
      </c>
      <c r="D19" s="913">
        <v>2001</v>
      </c>
      <c r="E19" s="913">
        <v>2002</v>
      </c>
      <c r="F19" s="913">
        <v>2003</v>
      </c>
      <c r="G19" s="913">
        <v>2004</v>
      </c>
      <c r="H19" s="913">
        <v>2005</v>
      </c>
      <c r="I19" s="913">
        <v>2006</v>
      </c>
      <c r="J19" s="913">
        <v>2007</v>
      </c>
      <c r="K19" s="913">
        <v>2008</v>
      </c>
      <c r="L19" s="913">
        <v>2009</v>
      </c>
      <c r="M19" s="913">
        <v>2010</v>
      </c>
      <c r="N19" s="914">
        <v>2011</v>
      </c>
      <c r="O19" s="914">
        <v>2012</v>
      </c>
      <c r="P19" s="914">
        <v>2013</v>
      </c>
      <c r="Q19" s="914">
        <v>2014</v>
      </c>
      <c r="R19" s="914">
        <v>2015</v>
      </c>
      <c r="S19" s="914">
        <v>2016</v>
      </c>
      <c r="T19" s="914">
        <v>2017</v>
      </c>
      <c r="U19" s="914">
        <v>2018</v>
      </c>
      <c r="V19" s="914">
        <v>2019</v>
      </c>
      <c r="W19" s="914">
        <v>2020</v>
      </c>
      <c r="X19" s="914">
        <v>2021</v>
      </c>
      <c r="Y19" s="914">
        <v>2022</v>
      </c>
      <c r="Z19" s="1036">
        <v>2023</v>
      </c>
      <c r="AA19" s="1036">
        <v>2024</v>
      </c>
      <c r="AB19" s="1036">
        <v>2025</v>
      </c>
      <c r="AC19" s="1036">
        <v>2026</v>
      </c>
      <c r="AD19" s="1036">
        <v>2027</v>
      </c>
      <c r="AE19" s="901"/>
      <c r="AF19" s="901"/>
      <c r="AG19" s="901"/>
      <c r="AH19" s="901"/>
      <c r="AI19" s="901"/>
      <c r="AJ19" s="901"/>
      <c r="AK19" s="901"/>
      <c r="AL19" s="901"/>
    </row>
    <row r="20" spans="1:38">
      <c r="A20" s="916"/>
      <c r="B20" s="917"/>
      <c r="C20" s="919" t="s">
        <v>363</v>
      </c>
      <c r="D20" s="919" t="s">
        <v>364</v>
      </c>
      <c r="E20" s="919" t="s">
        <v>365</v>
      </c>
      <c r="F20" s="919" t="s">
        <v>366</v>
      </c>
      <c r="G20" s="919" t="s">
        <v>367</v>
      </c>
      <c r="H20" s="919" t="s">
        <v>368</v>
      </c>
      <c r="I20" s="919" t="s">
        <v>369</v>
      </c>
      <c r="J20" s="919" t="s">
        <v>370</v>
      </c>
      <c r="K20" s="453" t="s">
        <v>750</v>
      </c>
      <c r="L20" s="453" t="s">
        <v>856</v>
      </c>
      <c r="M20" s="453" t="s">
        <v>911</v>
      </c>
      <c r="N20" s="456" t="s">
        <v>96</v>
      </c>
      <c r="O20" s="456" t="s">
        <v>118</v>
      </c>
      <c r="P20" s="456" t="s">
        <v>119</v>
      </c>
      <c r="Q20" s="456" t="s">
        <v>67</v>
      </c>
      <c r="R20" s="456" t="s">
        <v>157</v>
      </c>
      <c r="S20" s="456" t="s">
        <v>1000</v>
      </c>
      <c r="T20" s="456" t="s">
        <v>1036</v>
      </c>
      <c r="U20" s="456" t="s">
        <v>1062</v>
      </c>
      <c r="V20" s="456" t="s">
        <v>1161</v>
      </c>
      <c r="W20" s="456" t="s">
        <v>1129</v>
      </c>
      <c r="X20" s="456" t="s">
        <v>1160</v>
      </c>
      <c r="Y20" s="456" t="s">
        <v>1200</v>
      </c>
      <c r="Z20" s="491" t="s">
        <v>1234</v>
      </c>
      <c r="AA20" s="491" t="s">
        <v>1561</v>
      </c>
      <c r="AB20" s="491" t="s">
        <v>1603</v>
      </c>
      <c r="AC20" s="491" t="s">
        <v>1745</v>
      </c>
      <c r="AD20" s="491" t="s">
        <v>1783</v>
      </c>
      <c r="AE20" s="921" t="s">
        <v>1163</v>
      </c>
      <c r="AF20" s="921" t="s">
        <v>1176</v>
      </c>
      <c r="AG20" s="921" t="s">
        <v>1199</v>
      </c>
      <c r="AH20" s="921" t="s">
        <v>1199</v>
      </c>
      <c r="AI20" s="921" t="s">
        <v>1600</v>
      </c>
      <c r="AJ20" s="921" t="s">
        <v>1722</v>
      </c>
      <c r="AK20" s="921" t="s">
        <v>1769</v>
      </c>
      <c r="AL20" s="921" t="s">
        <v>1784</v>
      </c>
    </row>
    <row r="21" spans="1:38">
      <c r="A21" s="922"/>
      <c r="B21" s="923" t="s">
        <v>9</v>
      </c>
      <c r="C21" s="453"/>
      <c r="D21" s="453"/>
      <c r="E21" s="453"/>
      <c r="F21" s="453"/>
      <c r="G21" s="453"/>
      <c r="H21" s="453"/>
      <c r="I21" s="453"/>
      <c r="J21" s="453"/>
      <c r="K21" s="453"/>
      <c r="L21" s="935" t="s">
        <v>627</v>
      </c>
      <c r="M21" s="935" t="s">
        <v>11</v>
      </c>
      <c r="N21" s="1069" t="s">
        <v>627</v>
      </c>
      <c r="O21" s="1069" t="s">
        <v>11</v>
      </c>
      <c r="P21" s="926" t="s">
        <v>11</v>
      </c>
      <c r="Q21" s="926" t="s">
        <v>627</v>
      </c>
      <c r="R21" s="926" t="s">
        <v>11</v>
      </c>
      <c r="S21" s="926" t="s">
        <v>11</v>
      </c>
      <c r="T21" s="1079" t="s">
        <v>627</v>
      </c>
      <c r="U21" s="926" t="s">
        <v>11</v>
      </c>
      <c r="V21" s="926" t="s">
        <v>627</v>
      </c>
      <c r="W21" s="926"/>
      <c r="X21" s="926"/>
      <c r="Y21" s="926" t="s">
        <v>11</v>
      </c>
      <c r="Z21" s="565" t="s">
        <v>948</v>
      </c>
      <c r="AA21" s="565" t="s">
        <v>948</v>
      </c>
      <c r="AB21" s="565" t="s">
        <v>14</v>
      </c>
      <c r="AC21" s="565" t="s">
        <v>14</v>
      </c>
      <c r="AD21" s="565" t="s">
        <v>14</v>
      </c>
      <c r="AE21" s="903"/>
      <c r="AF21" s="927"/>
      <c r="AG21" s="927"/>
      <c r="AH21" s="927"/>
      <c r="AI21" s="927"/>
      <c r="AJ21" s="927"/>
      <c r="AK21" s="927"/>
      <c r="AL21" s="927"/>
    </row>
    <row r="22" spans="1:38">
      <c r="A22" s="509"/>
      <c r="B22" s="521" t="s">
        <v>166</v>
      </c>
      <c r="C22" s="928">
        <v>20336615</v>
      </c>
      <c r="D22" s="929">
        <v>20263967</v>
      </c>
      <c r="E22" s="929">
        <v>19975742</v>
      </c>
      <c r="F22" s="929">
        <v>19793033</v>
      </c>
      <c r="G22" s="929">
        <v>20010092</v>
      </c>
      <c r="H22" s="929">
        <v>20020257</v>
      </c>
      <c r="I22" s="929">
        <f>'5名目時系列'!C6</f>
        <v>19997123</v>
      </c>
      <c r="J22" s="929">
        <f>'5名目時系列'!D6</f>
        <v>19875506</v>
      </c>
      <c r="K22" s="929">
        <f>'5名目時系列'!E6</f>
        <v>20571143</v>
      </c>
      <c r="L22" s="929">
        <f>'5名目時系列'!F6</f>
        <v>20741145</v>
      </c>
      <c r="M22" s="929">
        <f>'5名目時系列'!G6</f>
        <v>21747193</v>
      </c>
      <c r="N22" s="929">
        <f>'5名目時系列'!H6</f>
        <v>19997123</v>
      </c>
      <c r="O22" s="929">
        <f>'5名目時系列'!I6</f>
        <v>19875506</v>
      </c>
      <c r="P22" s="929">
        <f>'5名目時系列'!J6</f>
        <v>20571143</v>
      </c>
      <c r="Q22" s="929">
        <f>'5名目時系列'!K6</f>
        <v>20741145</v>
      </c>
      <c r="R22" s="929">
        <f>'5名目時系列'!L6</f>
        <v>21747193</v>
      </c>
      <c r="S22" s="929">
        <f>'5名目時系列'!M6</f>
        <v>21965422</v>
      </c>
      <c r="T22" s="929">
        <f>'5名目時系列'!N6</f>
        <v>22283273</v>
      </c>
      <c r="U22" s="929">
        <f>'5名目時系列'!O6</f>
        <v>22237660</v>
      </c>
      <c r="V22" s="929">
        <f>'5名目時系列'!P6</f>
        <v>22472835</v>
      </c>
      <c r="W22" s="929">
        <f>'5名目時系列'!Q6</f>
        <v>21896001</v>
      </c>
      <c r="X22" s="929">
        <f>'5名目時系列'!R6</f>
        <v>22596893</v>
      </c>
      <c r="Y22" s="929">
        <f>'5名目時系列'!S6</f>
        <v>23362116</v>
      </c>
      <c r="Z22" s="929">
        <f>'5名目時系列'!T6</f>
        <v>23989566</v>
      </c>
      <c r="AA22" s="929">
        <f>'5名目時系列'!U6</f>
        <v>24764561.02952414</v>
      </c>
      <c r="AB22" s="929">
        <f>'5名目時系列'!V6</f>
        <v>25606106.31116347</v>
      </c>
      <c r="AC22" s="929">
        <f>'5名目時系列'!W6</f>
        <v>25950450.02952414</v>
      </c>
      <c r="AD22" s="929">
        <f>'5名目時系列'!X6</f>
        <v>26352545.02952414</v>
      </c>
      <c r="AE22" s="930">
        <f t="shared" ref="AE22:AL23" si="3">ROUND((W22-V22)/V22*100,1)</f>
        <v>-2.6</v>
      </c>
      <c r="AF22" s="930">
        <f t="shared" si="3"/>
        <v>3.2</v>
      </c>
      <c r="AG22" s="930">
        <f t="shared" si="3"/>
        <v>3.4</v>
      </c>
      <c r="AH22" s="930">
        <f t="shared" si="3"/>
        <v>2.7</v>
      </c>
      <c r="AI22" s="930">
        <f t="shared" si="3"/>
        <v>3.2</v>
      </c>
      <c r="AJ22" s="930">
        <f t="shared" si="3"/>
        <v>3.4</v>
      </c>
      <c r="AK22" s="930">
        <f t="shared" si="3"/>
        <v>1.3</v>
      </c>
      <c r="AL22" s="930">
        <f t="shared" si="3"/>
        <v>1.5</v>
      </c>
    </row>
    <row r="23" spans="1:38">
      <c r="A23" s="511">
        <v>1</v>
      </c>
      <c r="B23" s="519" t="s">
        <v>172</v>
      </c>
      <c r="C23" s="920">
        <v>6701485</v>
      </c>
      <c r="D23" s="453">
        <v>6318738</v>
      </c>
      <c r="E23" s="453">
        <v>6149157</v>
      </c>
      <c r="F23" s="453">
        <v>6100559</v>
      </c>
      <c r="G23" s="453">
        <v>6165835</v>
      </c>
      <c r="H23" s="453">
        <v>6152822</v>
      </c>
      <c r="I23" s="453">
        <f>'5名目時系列'!C7</f>
        <v>6161480</v>
      </c>
      <c r="J23" s="453">
        <f>'5名目時系列'!D7</f>
        <v>6108860</v>
      </c>
      <c r="K23" s="453">
        <f>'5名目時系列'!E7</f>
        <v>6354679</v>
      </c>
      <c r="L23" s="453">
        <f>'5名目時系列'!F7</f>
        <v>6652436</v>
      </c>
      <c r="M23" s="453">
        <f>'5名目時系列'!G7</f>
        <v>6937416</v>
      </c>
      <c r="N23" s="453">
        <f>'5名目時系列'!H7</f>
        <v>6432390</v>
      </c>
      <c r="O23" s="453">
        <f>'5名目時系列'!I7</f>
        <v>6348572</v>
      </c>
      <c r="P23" s="453">
        <f>'5名目時系列'!J7</f>
        <v>6421649</v>
      </c>
      <c r="Q23" s="453">
        <f>'5名目時系列'!K7</f>
        <v>6542948</v>
      </c>
      <c r="R23" s="453">
        <f>'5名目時系列'!L7</f>
        <v>6861821</v>
      </c>
      <c r="S23" s="453">
        <f>'5名目時系列'!M7</f>
        <v>6885364</v>
      </c>
      <c r="T23" s="453">
        <f>'5名目時系列'!N7</f>
        <v>6983569</v>
      </c>
      <c r="U23" s="453">
        <f>'5名目時系列'!O7</f>
        <v>6950990</v>
      </c>
      <c r="V23" s="453">
        <f>'5名目時系列'!P7</f>
        <v>7083806</v>
      </c>
      <c r="W23" s="453">
        <f>'5名目時系列'!Q7</f>
        <v>6827769</v>
      </c>
      <c r="X23" s="453">
        <f>'5名目時系列'!R7</f>
        <v>6947990</v>
      </c>
      <c r="Y23" s="453">
        <f>'5名目時系列'!S7</f>
        <v>7287424</v>
      </c>
      <c r="Z23" s="453">
        <f>'5名目時系列'!T7</f>
        <v>7529905</v>
      </c>
      <c r="AA23" s="453">
        <f>'5名目時系列'!U7</f>
        <v>7631737.0295241382</v>
      </c>
      <c r="AB23" s="453">
        <f>'5名目時系列'!V7</f>
        <v>7513418.3111634683</v>
      </c>
      <c r="AC23" s="453">
        <f>'5名目時系列'!W7</f>
        <v>7474528.0295241382</v>
      </c>
      <c r="AD23" s="453">
        <f>'5名目時系列'!X7</f>
        <v>7547353.0295241382</v>
      </c>
      <c r="AE23" s="931">
        <f t="shared" si="3"/>
        <v>-3.6</v>
      </c>
      <c r="AF23" s="931">
        <f t="shared" si="3"/>
        <v>1.8</v>
      </c>
      <c r="AG23" s="931">
        <f t="shared" si="3"/>
        <v>4.9000000000000004</v>
      </c>
      <c r="AH23" s="931">
        <f t="shared" si="3"/>
        <v>3.3</v>
      </c>
      <c r="AI23" s="931">
        <f t="shared" si="3"/>
        <v>1.4</v>
      </c>
      <c r="AJ23" s="931">
        <f t="shared" si="3"/>
        <v>-1.6</v>
      </c>
      <c r="AK23" s="931">
        <f t="shared" si="3"/>
        <v>-0.5</v>
      </c>
      <c r="AL23" s="931">
        <f t="shared" si="3"/>
        <v>1</v>
      </c>
    </row>
    <row r="24" spans="1:38">
      <c r="A24" s="511">
        <v>2</v>
      </c>
      <c r="B24" s="519" t="s">
        <v>323</v>
      </c>
      <c r="C24" s="920">
        <v>2919217</v>
      </c>
      <c r="D24" s="453">
        <v>3096571</v>
      </c>
      <c r="E24" s="453">
        <v>2973093</v>
      </c>
      <c r="F24" s="453">
        <v>2945709</v>
      </c>
      <c r="G24" s="453">
        <v>2986248</v>
      </c>
      <c r="H24" s="453">
        <v>3027382</v>
      </c>
      <c r="I24" s="453">
        <f>'5名目時系列'!C8</f>
        <v>3072775</v>
      </c>
      <c r="J24" s="453">
        <f>'5名目時系列'!D8</f>
        <v>3076906</v>
      </c>
      <c r="K24" s="453">
        <f>'5名目時系列'!E8</f>
        <v>3121806</v>
      </c>
      <c r="L24" s="453">
        <f>'5名目時系列'!F8</f>
        <v>3188094</v>
      </c>
      <c r="M24" s="453">
        <f>'5名目時系列'!G8</f>
        <v>3464074</v>
      </c>
      <c r="N24" s="453">
        <f>'5名目時系列'!H8</f>
        <v>3245720</v>
      </c>
      <c r="O24" s="453">
        <f>'5名目時系列'!I8</f>
        <v>3169353</v>
      </c>
      <c r="P24" s="453">
        <f>'5名目時系列'!J8</f>
        <v>3309950</v>
      </c>
      <c r="Q24" s="453">
        <f>'5名目時系列'!K8</f>
        <v>3308965</v>
      </c>
      <c r="R24" s="453">
        <f>'5名目時系列'!L8</f>
        <v>3538433</v>
      </c>
      <c r="S24" s="453">
        <f>'5名目時系列'!M8</f>
        <v>3558388</v>
      </c>
      <c r="T24" s="453">
        <f>'5名目時系列'!N8</f>
        <v>3670272</v>
      </c>
      <c r="U24" s="453">
        <f>'5名目時系列'!O8</f>
        <v>3642087</v>
      </c>
      <c r="V24" s="453">
        <f>'5名目時系列'!P8</f>
        <v>3695848</v>
      </c>
      <c r="W24" s="453">
        <f>'5名目時系列'!Q8</f>
        <v>3523512</v>
      </c>
      <c r="X24" s="453">
        <f>'5名目時系列'!R8</f>
        <v>3696176</v>
      </c>
      <c r="Y24" s="453">
        <f>'5名目時系列'!S8</f>
        <v>3765146</v>
      </c>
      <c r="Z24" s="453">
        <f>'5名目時系列'!T8</f>
        <v>3908745</v>
      </c>
      <c r="AA24" s="453">
        <f>'5名目時系列'!U8</f>
        <v>4172900</v>
      </c>
      <c r="AB24" s="453">
        <f>'5名目時系列'!V8</f>
        <v>4506521</v>
      </c>
      <c r="AC24" s="453">
        <f>'5名目時系列'!W8</f>
        <v>4658812</v>
      </c>
      <c r="AD24" s="453">
        <f>'5名目時系列'!X8</f>
        <v>4760106</v>
      </c>
      <c r="AE24" s="931">
        <f t="shared" ref="AE24:AL24" si="4">(W24-V24)/V24*100</f>
        <v>-4.6629623296196163</v>
      </c>
      <c r="AF24" s="931">
        <f t="shared" si="4"/>
        <v>4.9003380717874672</v>
      </c>
      <c r="AG24" s="931">
        <f t="shared" si="4"/>
        <v>1.865982572258464</v>
      </c>
      <c r="AH24" s="931">
        <f t="shared" si="4"/>
        <v>3.8139025684528565</v>
      </c>
      <c r="AI24" s="931">
        <f t="shared" si="4"/>
        <v>6.7580514973476138</v>
      </c>
      <c r="AJ24" s="931">
        <f t="shared" si="4"/>
        <v>7.9949435644276159</v>
      </c>
      <c r="AK24" s="931">
        <f t="shared" si="4"/>
        <v>3.3793473945866443</v>
      </c>
      <c r="AL24" s="931">
        <f t="shared" si="4"/>
        <v>2.1742452796979146</v>
      </c>
    </row>
    <row r="25" spans="1:38">
      <c r="A25" s="511">
        <v>3</v>
      </c>
      <c r="B25" s="519" t="s">
        <v>324</v>
      </c>
      <c r="C25" s="920">
        <v>1794899</v>
      </c>
      <c r="D25" s="453">
        <v>1798170</v>
      </c>
      <c r="E25" s="453">
        <v>1762877</v>
      </c>
      <c r="F25" s="453">
        <v>1773838</v>
      </c>
      <c r="G25" s="453">
        <v>1816741</v>
      </c>
      <c r="H25" s="453">
        <v>1845893</v>
      </c>
      <c r="I25" s="453">
        <f>'5名目時系列'!C9</f>
        <v>1858761</v>
      </c>
      <c r="J25" s="453">
        <f>'5名目時系列'!D9</f>
        <v>1835755</v>
      </c>
      <c r="K25" s="453">
        <f>'5名目時系列'!E9</f>
        <v>1850269</v>
      </c>
      <c r="L25" s="453">
        <f>'5名目時系列'!F9</f>
        <v>1896926</v>
      </c>
      <c r="M25" s="453">
        <f>'5名目時系列'!G9</f>
        <v>1981804</v>
      </c>
      <c r="N25" s="453">
        <f>'5名目時系列'!H9</f>
        <v>1916235</v>
      </c>
      <c r="O25" s="453">
        <f>'5名目時系列'!I9</f>
        <v>1951839</v>
      </c>
      <c r="P25" s="453">
        <f>'5名目時系列'!J9</f>
        <v>1969036</v>
      </c>
      <c r="Q25" s="453">
        <f>'5名目時系列'!K9</f>
        <v>1950165</v>
      </c>
      <c r="R25" s="453">
        <f>'5名目時系列'!L9</f>
        <v>2053609</v>
      </c>
      <c r="S25" s="453">
        <f>'5名目時系列'!M9</f>
        <v>2143401</v>
      </c>
      <c r="T25" s="453">
        <f>'5名目時系列'!N9</f>
        <v>2115268</v>
      </c>
      <c r="U25" s="453">
        <f>'5名目時系列'!O9</f>
        <v>2107783</v>
      </c>
      <c r="V25" s="453">
        <f>'5名目時系列'!P9</f>
        <v>2072364</v>
      </c>
      <c r="W25" s="453">
        <f>'5名目時系列'!Q9</f>
        <v>2047222</v>
      </c>
      <c r="X25" s="453">
        <f>'5名目時系列'!R9</f>
        <v>2206039</v>
      </c>
      <c r="Y25" s="453">
        <f>'5名目時系列'!S9</f>
        <v>2267467</v>
      </c>
      <c r="Z25" s="453">
        <f>'5名目時系列'!T9</f>
        <v>2397898</v>
      </c>
      <c r="AA25" s="453">
        <f>'5名目時系列'!U9</f>
        <v>2619097</v>
      </c>
      <c r="AB25" s="453">
        <f>'5名目時系列'!V9</f>
        <v>3131557</v>
      </c>
      <c r="AC25" s="453">
        <f>'5名目時系列'!W9</f>
        <v>3402636</v>
      </c>
      <c r="AD25" s="453">
        <f>'5名目時系列'!X9</f>
        <v>3537070</v>
      </c>
      <c r="AE25" s="931">
        <f t="shared" ref="AE25:AL32" si="5">ROUND((W25-V25)/V25*100,1)</f>
        <v>-1.2</v>
      </c>
      <c r="AF25" s="931">
        <f t="shared" si="5"/>
        <v>7.8</v>
      </c>
      <c r="AG25" s="931">
        <f t="shared" si="5"/>
        <v>2.8</v>
      </c>
      <c r="AH25" s="931">
        <f t="shared" si="5"/>
        <v>5.8</v>
      </c>
      <c r="AI25" s="931">
        <f t="shared" si="5"/>
        <v>9.1999999999999993</v>
      </c>
      <c r="AJ25" s="931">
        <f t="shared" si="5"/>
        <v>19.600000000000001</v>
      </c>
      <c r="AK25" s="931">
        <f t="shared" si="5"/>
        <v>8.6999999999999993</v>
      </c>
      <c r="AL25" s="931">
        <f t="shared" si="5"/>
        <v>4</v>
      </c>
    </row>
    <row r="26" spans="1:38">
      <c r="A26" s="511">
        <v>4</v>
      </c>
      <c r="B26" s="519" t="s">
        <v>192</v>
      </c>
      <c r="C26" s="920">
        <v>2587981</v>
      </c>
      <c r="D26" s="453">
        <v>2559714</v>
      </c>
      <c r="E26" s="453">
        <v>2617974</v>
      </c>
      <c r="F26" s="453">
        <v>2634526</v>
      </c>
      <c r="G26" s="453">
        <v>2668198</v>
      </c>
      <c r="H26" s="453">
        <v>2689288</v>
      </c>
      <c r="I26" s="453">
        <f>'5名目時系列'!C10</f>
        <v>2752357</v>
      </c>
      <c r="J26" s="453">
        <f>'5名目時系列'!D10</f>
        <v>2807437</v>
      </c>
      <c r="K26" s="453">
        <f>'5名目時系列'!E10</f>
        <v>2959266</v>
      </c>
      <c r="L26" s="453">
        <f>'5名目時系列'!F10</f>
        <v>2756065</v>
      </c>
      <c r="M26" s="453">
        <f>'5名目時系列'!G10</f>
        <v>2871866</v>
      </c>
      <c r="N26" s="453">
        <f>'5名目時系列'!H10</f>
        <v>2589684</v>
      </c>
      <c r="O26" s="453">
        <f>'5名目時系列'!I10</f>
        <v>2742033</v>
      </c>
      <c r="P26" s="453">
        <f>'5名目時系列'!J10</f>
        <v>2788089</v>
      </c>
      <c r="Q26" s="453">
        <f>'5名目時系列'!K10</f>
        <v>2821463</v>
      </c>
      <c r="R26" s="453">
        <f>'5名目時系列'!L10</f>
        <v>2957502</v>
      </c>
      <c r="S26" s="453">
        <f>'5名目時系列'!M10</f>
        <v>2909491</v>
      </c>
      <c r="T26" s="453">
        <f>'5名目時系列'!N10</f>
        <v>2926149</v>
      </c>
      <c r="U26" s="453">
        <f>'5名目時系列'!O10</f>
        <v>2965443</v>
      </c>
      <c r="V26" s="453">
        <f>'5名目時系列'!P10</f>
        <v>3002259</v>
      </c>
      <c r="W26" s="453">
        <f>'5名目時系列'!Q10</f>
        <v>2971362</v>
      </c>
      <c r="X26" s="453">
        <f>'5名目時系列'!R10</f>
        <v>2960193</v>
      </c>
      <c r="Y26" s="453">
        <f>'5名目時系列'!S10</f>
        <v>3191504</v>
      </c>
      <c r="Z26" s="453">
        <f>'5名目時系列'!T10</f>
        <v>3149681</v>
      </c>
      <c r="AA26" s="453">
        <f>'5名目時系列'!U10</f>
        <v>3229129</v>
      </c>
      <c r="AB26" s="453">
        <f>'5名目時系列'!V10</f>
        <v>3510935</v>
      </c>
      <c r="AC26" s="453">
        <f>'5名目時系列'!W10</f>
        <v>3646400</v>
      </c>
      <c r="AD26" s="453">
        <f>'5名目時系列'!X10</f>
        <v>3732853</v>
      </c>
      <c r="AE26" s="931">
        <f t="shared" si="5"/>
        <v>-1</v>
      </c>
      <c r="AF26" s="931">
        <f t="shared" si="5"/>
        <v>-0.4</v>
      </c>
      <c r="AG26" s="931">
        <f t="shared" si="5"/>
        <v>7.8</v>
      </c>
      <c r="AH26" s="931">
        <f t="shared" si="5"/>
        <v>-1.3</v>
      </c>
      <c r="AI26" s="931">
        <f t="shared" si="5"/>
        <v>2.5</v>
      </c>
      <c r="AJ26" s="931">
        <f t="shared" si="5"/>
        <v>8.6999999999999993</v>
      </c>
      <c r="AK26" s="931">
        <f t="shared" si="5"/>
        <v>3.9</v>
      </c>
      <c r="AL26" s="931">
        <f t="shared" si="5"/>
        <v>2.4</v>
      </c>
    </row>
    <row r="27" spans="1:38">
      <c r="A27" s="511">
        <v>5</v>
      </c>
      <c r="B27" s="519" t="s">
        <v>325</v>
      </c>
      <c r="C27" s="920">
        <v>1150549</v>
      </c>
      <c r="D27" s="453">
        <v>1212508</v>
      </c>
      <c r="E27" s="453">
        <v>1179008</v>
      </c>
      <c r="F27" s="453">
        <v>1173088</v>
      </c>
      <c r="G27" s="453">
        <v>1185382</v>
      </c>
      <c r="H27" s="453">
        <v>1177893</v>
      </c>
      <c r="I27" s="453">
        <f>'5名目時系列'!C11</f>
        <v>1166063</v>
      </c>
      <c r="J27" s="453">
        <f>'5名目時系列'!D11</f>
        <v>1147763</v>
      </c>
      <c r="K27" s="453">
        <f>'5名目時系列'!E11</f>
        <v>1186285</v>
      </c>
      <c r="L27" s="453">
        <f>'5名目時系列'!F11</f>
        <v>1222708</v>
      </c>
      <c r="M27" s="453">
        <f>'5名目時系列'!G11</f>
        <v>1240812</v>
      </c>
      <c r="N27" s="453">
        <f>'5名目時系列'!H11</f>
        <v>1113960</v>
      </c>
      <c r="O27" s="453">
        <f>'5名目時系列'!I11</f>
        <v>1094656</v>
      </c>
      <c r="P27" s="453">
        <f>'5名目時系列'!J11</f>
        <v>1151557</v>
      </c>
      <c r="Q27" s="453">
        <f>'5名目時系列'!K11</f>
        <v>1151163</v>
      </c>
      <c r="R27" s="453">
        <f>'5名目時系列'!L11</f>
        <v>1197785</v>
      </c>
      <c r="S27" s="453">
        <f>'5名目時系列'!M11</f>
        <v>1259561</v>
      </c>
      <c r="T27" s="453">
        <f>'5名目時系列'!N11</f>
        <v>1311666</v>
      </c>
      <c r="U27" s="453">
        <f>'5名目時系列'!O11</f>
        <v>1296507</v>
      </c>
      <c r="V27" s="453">
        <f>'5名目時系列'!P11</f>
        <v>1310283</v>
      </c>
      <c r="W27" s="453">
        <f>'5名目時系列'!Q11</f>
        <v>1299522</v>
      </c>
      <c r="X27" s="453">
        <f>'5名目時系列'!R11</f>
        <v>1319932</v>
      </c>
      <c r="Y27" s="453">
        <f>'5名目時系列'!S11</f>
        <v>1305298</v>
      </c>
      <c r="Z27" s="453">
        <f>'5名目時系列'!T11</f>
        <v>1356148</v>
      </c>
      <c r="AA27" s="453">
        <f>'5名目時系列'!U11</f>
        <v>1322637</v>
      </c>
      <c r="AB27" s="453">
        <f>'5名目時系列'!V11</f>
        <v>1279789</v>
      </c>
      <c r="AC27" s="453">
        <f>'5名目時系列'!W11</f>
        <v>1250042</v>
      </c>
      <c r="AD27" s="453">
        <f>'5名目時系列'!X11</f>
        <v>1275031</v>
      </c>
      <c r="AE27" s="931">
        <f t="shared" si="5"/>
        <v>-0.8</v>
      </c>
      <c r="AF27" s="931">
        <f t="shared" si="5"/>
        <v>1.6</v>
      </c>
      <c r="AG27" s="931">
        <f t="shared" si="5"/>
        <v>-1.1000000000000001</v>
      </c>
      <c r="AH27" s="931">
        <f t="shared" si="5"/>
        <v>3.9</v>
      </c>
      <c r="AI27" s="931">
        <f t="shared" si="5"/>
        <v>-2.5</v>
      </c>
      <c r="AJ27" s="931">
        <f t="shared" si="5"/>
        <v>-3.2</v>
      </c>
      <c r="AK27" s="931">
        <f t="shared" si="5"/>
        <v>-2.2999999999999998</v>
      </c>
      <c r="AL27" s="931">
        <f t="shared" si="5"/>
        <v>2</v>
      </c>
    </row>
    <row r="28" spans="1:38">
      <c r="A28" s="511">
        <v>6</v>
      </c>
      <c r="B28" s="519" t="s">
        <v>326</v>
      </c>
      <c r="C28" s="920">
        <v>2490309</v>
      </c>
      <c r="D28" s="453">
        <v>2476248</v>
      </c>
      <c r="E28" s="453">
        <v>2488978</v>
      </c>
      <c r="F28" s="453">
        <v>2486176</v>
      </c>
      <c r="G28" s="453">
        <v>2540771</v>
      </c>
      <c r="H28" s="453">
        <v>2561104</v>
      </c>
      <c r="I28" s="453">
        <f>'5名目時系列'!C12</f>
        <v>2515903</v>
      </c>
      <c r="J28" s="453">
        <f>'5名目時系列'!D12</f>
        <v>2479569</v>
      </c>
      <c r="K28" s="453">
        <f>'5名目時系列'!E12</f>
        <v>2681065</v>
      </c>
      <c r="L28" s="453">
        <f>'5名目時系列'!F12</f>
        <v>2529549</v>
      </c>
      <c r="M28" s="453">
        <f>'5名目時系列'!G12</f>
        <v>2700289</v>
      </c>
      <c r="N28" s="453">
        <f>'5名目時系列'!H12</f>
        <v>2382248</v>
      </c>
      <c r="O28" s="453">
        <f>'5名目時系列'!I12</f>
        <v>2318281</v>
      </c>
      <c r="P28" s="453">
        <f>'5名目時系列'!J12</f>
        <v>2510678</v>
      </c>
      <c r="Q28" s="453">
        <f>'5名目時系列'!K12</f>
        <v>2534302</v>
      </c>
      <c r="R28" s="453">
        <f>'5名目時系列'!L12</f>
        <v>2608505</v>
      </c>
      <c r="S28" s="453">
        <f>'5名目時系列'!M12</f>
        <v>2670969</v>
      </c>
      <c r="T28" s="453">
        <f>'5名目時系列'!N12</f>
        <v>2678931</v>
      </c>
      <c r="U28" s="453">
        <f>'5名目時系列'!O12</f>
        <v>2674825</v>
      </c>
      <c r="V28" s="453">
        <f>'5名目時系列'!P12</f>
        <v>2648188</v>
      </c>
      <c r="W28" s="453">
        <f>'5名目時系列'!Q12</f>
        <v>2592307</v>
      </c>
      <c r="X28" s="453">
        <f>'5名目時系列'!R12</f>
        <v>2822650</v>
      </c>
      <c r="Y28" s="453">
        <f>'5名目時系列'!S12</f>
        <v>2901482</v>
      </c>
      <c r="Z28" s="453">
        <f>'5名目時系列'!T12</f>
        <v>2930515</v>
      </c>
      <c r="AA28" s="453">
        <f>'5名目時系列'!U12</f>
        <v>2768310</v>
      </c>
      <c r="AB28" s="453">
        <f>'5名目時系列'!V12</f>
        <v>2727648</v>
      </c>
      <c r="AC28" s="453">
        <f>'5名目時系列'!W12</f>
        <v>2726270</v>
      </c>
      <c r="AD28" s="453">
        <f>'5名目時系列'!X12</f>
        <v>2766933</v>
      </c>
      <c r="AE28" s="931">
        <f t="shared" si="5"/>
        <v>-2.1</v>
      </c>
      <c r="AF28" s="931">
        <f t="shared" si="5"/>
        <v>8.9</v>
      </c>
      <c r="AG28" s="931">
        <f t="shared" si="5"/>
        <v>2.8</v>
      </c>
      <c r="AH28" s="931">
        <f t="shared" si="5"/>
        <v>1</v>
      </c>
      <c r="AI28" s="931">
        <f t="shared" si="5"/>
        <v>-5.5</v>
      </c>
      <c r="AJ28" s="931">
        <f t="shared" si="5"/>
        <v>-1.5</v>
      </c>
      <c r="AK28" s="931">
        <f t="shared" si="5"/>
        <v>-0.1</v>
      </c>
      <c r="AL28" s="931">
        <f t="shared" si="5"/>
        <v>1.5</v>
      </c>
    </row>
    <row r="29" spans="1:38">
      <c r="A29" s="511">
        <v>7</v>
      </c>
      <c r="B29" s="519" t="s">
        <v>327</v>
      </c>
      <c r="C29" s="920">
        <v>1064573</v>
      </c>
      <c r="D29" s="453">
        <v>1102427</v>
      </c>
      <c r="E29" s="453">
        <v>1090223</v>
      </c>
      <c r="F29" s="453">
        <v>1049339</v>
      </c>
      <c r="G29" s="453">
        <v>1035054</v>
      </c>
      <c r="H29" s="453">
        <v>1001075</v>
      </c>
      <c r="I29" s="453">
        <f>'5名目時系列'!C13</f>
        <v>968752</v>
      </c>
      <c r="J29" s="453">
        <f>'5名目時系列'!D13</f>
        <v>954876</v>
      </c>
      <c r="K29" s="453">
        <f>'5名目時系列'!E13</f>
        <v>964276</v>
      </c>
      <c r="L29" s="453">
        <f>'5名目時系列'!F13</f>
        <v>999083</v>
      </c>
      <c r="M29" s="453">
        <f>'5名目時系列'!G13</f>
        <v>1036995</v>
      </c>
      <c r="N29" s="453">
        <f>'5名目時系列'!H13</f>
        <v>955124</v>
      </c>
      <c r="O29" s="453">
        <f>'5名目時系列'!I13</f>
        <v>956345</v>
      </c>
      <c r="P29" s="453">
        <f>'5名目時系列'!J13</f>
        <v>963483</v>
      </c>
      <c r="Q29" s="453">
        <f>'5名目時系列'!K13</f>
        <v>984203</v>
      </c>
      <c r="R29" s="453">
        <f>'5名目時系列'!L13</f>
        <v>1015903</v>
      </c>
      <c r="S29" s="453">
        <f>'5名目時系列'!M13</f>
        <v>1022521</v>
      </c>
      <c r="T29" s="453">
        <f>'5名目時系列'!N13</f>
        <v>1065770</v>
      </c>
      <c r="U29" s="453">
        <f>'5名目時系列'!O13</f>
        <v>1071203</v>
      </c>
      <c r="V29" s="453">
        <f>'5名目時系列'!P13</f>
        <v>1080047</v>
      </c>
      <c r="W29" s="453">
        <f>'5名目時系列'!Q13</f>
        <v>1100471</v>
      </c>
      <c r="X29" s="453">
        <f>'5名目時系列'!R13</f>
        <v>1127246</v>
      </c>
      <c r="Y29" s="453">
        <f>'5名目時系列'!S13</f>
        <v>1110408</v>
      </c>
      <c r="Z29" s="453">
        <f>'5名目時系列'!T13</f>
        <v>1129678</v>
      </c>
      <c r="AA29" s="453">
        <f>'5名目時系列'!U13</f>
        <v>1171474</v>
      </c>
      <c r="AB29" s="453">
        <f>'5名目時系列'!V13</f>
        <v>1128143</v>
      </c>
      <c r="AC29" s="453">
        <f>'5名目時系列'!W13</f>
        <v>1083061</v>
      </c>
      <c r="AD29" s="453">
        <f>'5名目時系列'!X13</f>
        <v>1079919</v>
      </c>
      <c r="AE29" s="931">
        <f t="shared" si="5"/>
        <v>1.9</v>
      </c>
      <c r="AF29" s="931">
        <f t="shared" si="5"/>
        <v>2.4</v>
      </c>
      <c r="AG29" s="931">
        <f t="shared" si="5"/>
        <v>-1.5</v>
      </c>
      <c r="AH29" s="931">
        <f t="shared" si="5"/>
        <v>1.7</v>
      </c>
      <c r="AI29" s="931">
        <f t="shared" si="5"/>
        <v>3.7</v>
      </c>
      <c r="AJ29" s="931">
        <f t="shared" si="5"/>
        <v>-3.7</v>
      </c>
      <c r="AK29" s="931">
        <f t="shared" si="5"/>
        <v>-4</v>
      </c>
      <c r="AL29" s="931">
        <f t="shared" si="5"/>
        <v>-0.3</v>
      </c>
    </row>
    <row r="30" spans="1:38">
      <c r="A30" s="511">
        <v>8</v>
      </c>
      <c r="B30" s="519" t="s">
        <v>210</v>
      </c>
      <c r="C30" s="920">
        <v>696485</v>
      </c>
      <c r="D30" s="453">
        <v>698553</v>
      </c>
      <c r="E30" s="453">
        <v>717542</v>
      </c>
      <c r="F30" s="453">
        <v>681602</v>
      </c>
      <c r="G30" s="453">
        <v>680158</v>
      </c>
      <c r="H30" s="453">
        <v>660508</v>
      </c>
      <c r="I30" s="453">
        <f>'5名目時系列'!C14</f>
        <v>625093</v>
      </c>
      <c r="J30" s="453">
        <f>'5名目時系列'!D14</f>
        <v>610343</v>
      </c>
      <c r="K30" s="453">
        <f>'5名目時系列'!E14</f>
        <v>608472</v>
      </c>
      <c r="L30" s="453">
        <f>'5名目時系列'!F14</f>
        <v>626037</v>
      </c>
      <c r="M30" s="453">
        <f>'5名目時系列'!G14</f>
        <v>626163</v>
      </c>
      <c r="N30" s="453">
        <f>'5名目時系列'!H14</f>
        <v>565410</v>
      </c>
      <c r="O30" s="453">
        <f>'5名目時系列'!I14</f>
        <v>570909</v>
      </c>
      <c r="P30" s="453">
        <f>'5名目時系列'!J14</f>
        <v>610691</v>
      </c>
      <c r="Q30" s="453">
        <f>'5名目時系列'!K14</f>
        <v>612526</v>
      </c>
      <c r="R30" s="453">
        <f>'5名目時系列'!L14</f>
        <v>630036</v>
      </c>
      <c r="S30" s="453">
        <f>'5名目時系列'!M14</f>
        <v>622690</v>
      </c>
      <c r="T30" s="453">
        <f>'5名目時系列'!N14</f>
        <v>637010</v>
      </c>
      <c r="U30" s="453">
        <f>'5名目時系列'!O14</f>
        <v>625315</v>
      </c>
      <c r="V30" s="453">
        <f>'5名目時系列'!P14</f>
        <v>636327</v>
      </c>
      <c r="W30" s="453">
        <f>'5名目時系列'!Q14</f>
        <v>639162</v>
      </c>
      <c r="X30" s="453">
        <f>'5名目時系列'!R14</f>
        <v>604482</v>
      </c>
      <c r="Y30" s="453">
        <f>'5名目時系列'!S14</f>
        <v>593538</v>
      </c>
      <c r="Z30" s="453">
        <f>'5名目時系列'!T14</f>
        <v>604135</v>
      </c>
      <c r="AA30" s="453">
        <f>'5名目時系列'!U14</f>
        <v>769839</v>
      </c>
      <c r="AB30" s="453">
        <f>'5名目時系列'!V14</f>
        <v>747339</v>
      </c>
      <c r="AC30" s="453">
        <f>'5名目時系列'!W14</f>
        <v>705806</v>
      </c>
      <c r="AD30" s="453">
        <f>'5名目時系列'!X14</f>
        <v>671671</v>
      </c>
      <c r="AE30" s="931">
        <f t="shared" si="5"/>
        <v>0.4</v>
      </c>
      <c r="AF30" s="931">
        <f t="shared" si="5"/>
        <v>-5.4</v>
      </c>
      <c r="AG30" s="931">
        <f t="shared" si="5"/>
        <v>-1.8</v>
      </c>
      <c r="AH30" s="931">
        <f t="shared" si="5"/>
        <v>1.8</v>
      </c>
      <c r="AI30" s="931">
        <f t="shared" si="5"/>
        <v>27.4</v>
      </c>
      <c r="AJ30" s="931">
        <f t="shared" si="5"/>
        <v>-2.9</v>
      </c>
      <c r="AK30" s="931">
        <f t="shared" si="5"/>
        <v>-5.6</v>
      </c>
      <c r="AL30" s="931">
        <f t="shared" si="5"/>
        <v>-4.8</v>
      </c>
    </row>
    <row r="31" spans="1:38">
      <c r="A31" s="511">
        <v>9</v>
      </c>
      <c r="B31" s="519" t="s">
        <v>211</v>
      </c>
      <c r="C31" s="920">
        <v>379849</v>
      </c>
      <c r="D31" s="453">
        <v>417845</v>
      </c>
      <c r="E31" s="453">
        <v>423193</v>
      </c>
      <c r="F31" s="453">
        <v>412250</v>
      </c>
      <c r="G31" s="453">
        <v>404197</v>
      </c>
      <c r="H31" s="453">
        <v>394029</v>
      </c>
      <c r="I31" s="453">
        <f>'5名目時系列'!C15</f>
        <v>385650</v>
      </c>
      <c r="J31" s="453">
        <f>'5名目時系列'!D15</f>
        <v>385879</v>
      </c>
      <c r="K31" s="453">
        <f>'5名目時系列'!E15</f>
        <v>373363</v>
      </c>
      <c r="L31" s="453">
        <f>'5名目時系列'!F15</f>
        <v>381050</v>
      </c>
      <c r="M31" s="453">
        <f>'5名目時系列'!G15</f>
        <v>389641</v>
      </c>
      <c r="N31" s="453">
        <f>'5名目時系列'!H15</f>
        <v>355318</v>
      </c>
      <c r="O31" s="453">
        <f>'5名目時系列'!I15</f>
        <v>285502</v>
      </c>
      <c r="P31" s="453">
        <f>'5名目時系列'!J15</f>
        <v>397845</v>
      </c>
      <c r="Q31" s="453">
        <f>'5名目時系列'!K15</f>
        <v>391493</v>
      </c>
      <c r="R31" s="453">
        <f>'5名目時系列'!L15</f>
        <v>418388</v>
      </c>
      <c r="S31" s="453">
        <f>'5名目時系列'!M15</f>
        <v>422586</v>
      </c>
      <c r="T31" s="453">
        <f>'5名目時系列'!N15</f>
        <v>426693</v>
      </c>
      <c r="U31" s="453">
        <f>'5名目時系列'!O15</f>
        <v>438473</v>
      </c>
      <c r="V31" s="453">
        <f>'5名目時系列'!P15</f>
        <v>474718</v>
      </c>
      <c r="W31" s="453">
        <f>'5名目時系列'!Q15</f>
        <v>453080</v>
      </c>
      <c r="X31" s="453">
        <f>'5名目時系列'!R15</f>
        <v>460054</v>
      </c>
      <c r="Y31" s="453">
        <f>'5名目時系列'!S15</f>
        <v>464432</v>
      </c>
      <c r="Z31" s="453">
        <f>'5名目時系列'!T15</f>
        <v>481731</v>
      </c>
      <c r="AA31" s="453">
        <f>'5名目時系列'!U15</f>
        <v>508863</v>
      </c>
      <c r="AB31" s="453">
        <f>'5名目時系列'!V15</f>
        <v>483345</v>
      </c>
      <c r="AC31" s="453">
        <f>'5名目時系列'!W15</f>
        <v>458923</v>
      </c>
      <c r="AD31" s="453">
        <f>'5名目時系列'!X15</f>
        <v>456952</v>
      </c>
      <c r="AE31" s="931">
        <f t="shared" si="5"/>
        <v>-4.5999999999999996</v>
      </c>
      <c r="AF31" s="931">
        <f t="shared" si="5"/>
        <v>1.5</v>
      </c>
      <c r="AG31" s="931">
        <f t="shared" si="5"/>
        <v>1</v>
      </c>
      <c r="AH31" s="931">
        <f t="shared" si="5"/>
        <v>3.7</v>
      </c>
      <c r="AI31" s="931">
        <f t="shared" si="5"/>
        <v>5.6</v>
      </c>
      <c r="AJ31" s="931">
        <f t="shared" si="5"/>
        <v>-5</v>
      </c>
      <c r="AK31" s="931">
        <f t="shared" si="5"/>
        <v>-5.0999999999999996</v>
      </c>
      <c r="AL31" s="931">
        <f t="shared" si="5"/>
        <v>-0.4</v>
      </c>
    </row>
    <row r="32" spans="1:38">
      <c r="A32" s="515">
        <v>10</v>
      </c>
      <c r="B32" s="520" t="s">
        <v>212</v>
      </c>
      <c r="C32" s="932">
        <v>551268</v>
      </c>
      <c r="D32" s="450">
        <v>583193</v>
      </c>
      <c r="E32" s="450">
        <v>573697</v>
      </c>
      <c r="F32" s="450">
        <v>535946</v>
      </c>
      <c r="G32" s="450">
        <v>527508</v>
      </c>
      <c r="H32" s="450">
        <v>510263</v>
      </c>
      <c r="I32" s="450">
        <f>'5名目時系列'!C16</f>
        <v>490289</v>
      </c>
      <c r="J32" s="450">
        <f>'5名目時系列'!D16</f>
        <v>468118</v>
      </c>
      <c r="K32" s="450">
        <f>'5名目時系列'!E16</f>
        <v>471662</v>
      </c>
      <c r="L32" s="450">
        <f>'5名目時系列'!F16</f>
        <v>489197</v>
      </c>
      <c r="M32" s="450">
        <f>'5名目時系列'!G16</f>
        <v>498133</v>
      </c>
      <c r="N32" s="450">
        <f>'5名目時系列'!H16</f>
        <v>441034</v>
      </c>
      <c r="O32" s="450">
        <f>'5名目時系列'!I16</f>
        <v>438016</v>
      </c>
      <c r="P32" s="450">
        <f>'5名目時系列'!J16</f>
        <v>448165</v>
      </c>
      <c r="Q32" s="450">
        <f>'5名目時系列'!K16</f>
        <v>443917</v>
      </c>
      <c r="R32" s="450">
        <f>'5名目時系列'!L16</f>
        <v>465211</v>
      </c>
      <c r="S32" s="450">
        <f>'5名目時系列'!M16</f>
        <v>470451</v>
      </c>
      <c r="T32" s="450">
        <f>'5名目時系列'!N16</f>
        <v>467945</v>
      </c>
      <c r="U32" s="450">
        <f>'5名目時系列'!O16</f>
        <v>465034</v>
      </c>
      <c r="V32" s="450">
        <f>'5名目時系列'!P16</f>
        <v>468995</v>
      </c>
      <c r="W32" s="450">
        <f>'5名目時系列'!Q16</f>
        <v>441594</v>
      </c>
      <c r="X32" s="450">
        <f>'5名目時系列'!R16</f>
        <v>452131</v>
      </c>
      <c r="Y32" s="450">
        <f>'5名目時系列'!S16</f>
        <v>475417</v>
      </c>
      <c r="Z32" s="450">
        <f>'5名目時系列'!T16</f>
        <v>501130</v>
      </c>
      <c r="AA32" s="450">
        <f>'5名目時系列'!U16</f>
        <v>570575</v>
      </c>
      <c r="AB32" s="450">
        <f>'5名目時系列'!V16</f>
        <v>577411</v>
      </c>
      <c r="AC32" s="450">
        <f>'5名目時系列'!W16</f>
        <v>543972</v>
      </c>
      <c r="AD32" s="450">
        <f>'5名目時系列'!X16</f>
        <v>524657</v>
      </c>
      <c r="AE32" s="933">
        <f t="shared" si="5"/>
        <v>-5.8</v>
      </c>
      <c r="AF32" s="933">
        <f t="shared" si="5"/>
        <v>2.4</v>
      </c>
      <c r="AG32" s="933">
        <f t="shared" si="5"/>
        <v>5.2</v>
      </c>
      <c r="AH32" s="933">
        <f t="shared" si="5"/>
        <v>5.4</v>
      </c>
      <c r="AI32" s="933">
        <f t="shared" si="5"/>
        <v>13.9</v>
      </c>
      <c r="AJ32" s="933">
        <f t="shared" si="5"/>
        <v>1.2</v>
      </c>
      <c r="AK32" s="933">
        <f t="shared" si="5"/>
        <v>-5.8</v>
      </c>
      <c r="AL32" s="933">
        <f t="shared" si="5"/>
        <v>-3.6</v>
      </c>
    </row>
    <row r="33" spans="1:30">
      <c r="A33" s="453"/>
      <c r="B33" s="453"/>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row>
    <row r="36" spans="1:30">
      <c r="A36" s="936" t="s">
        <v>1498</v>
      </c>
      <c r="B36" s="936"/>
      <c r="C36" s="936"/>
      <c r="D36" s="936"/>
      <c r="E36" s="936"/>
      <c r="F36" s="936"/>
      <c r="G36" s="936"/>
      <c r="H36" s="936"/>
      <c r="I36" s="936"/>
      <c r="J36" s="936"/>
      <c r="K36" s="936"/>
      <c r="L36" s="936"/>
      <c r="M36" s="936"/>
      <c r="N36" s="936"/>
      <c r="O36" s="65"/>
      <c r="Z36" s="1118" t="s">
        <v>1361</v>
      </c>
    </row>
    <row r="37" spans="1:30">
      <c r="A37" s="937"/>
      <c r="B37" s="938" t="s">
        <v>1363</v>
      </c>
      <c r="C37" s="939">
        <v>2001</v>
      </c>
      <c r="D37" s="83">
        <v>2002</v>
      </c>
      <c r="E37" s="83">
        <v>2003</v>
      </c>
      <c r="F37" s="83">
        <v>2004</v>
      </c>
      <c r="G37" s="83">
        <v>2005</v>
      </c>
      <c r="H37" s="939">
        <v>2006</v>
      </c>
      <c r="I37" s="83">
        <v>2007</v>
      </c>
      <c r="J37" s="83">
        <v>2008</v>
      </c>
      <c r="K37" s="277">
        <v>2009</v>
      </c>
      <c r="L37" s="940">
        <v>2010</v>
      </c>
      <c r="M37" s="940">
        <v>2011</v>
      </c>
      <c r="N37" s="277">
        <v>2012</v>
      </c>
      <c r="O37" s="940">
        <v>2013</v>
      </c>
      <c r="P37" s="277">
        <v>2014</v>
      </c>
      <c r="Q37" s="277">
        <v>2015</v>
      </c>
      <c r="R37" s="277">
        <v>2016</v>
      </c>
      <c r="S37" s="277">
        <v>2017</v>
      </c>
      <c r="T37" s="941">
        <v>2018</v>
      </c>
      <c r="U37" s="83">
        <v>2019</v>
      </c>
      <c r="V37" s="1385">
        <v>2020</v>
      </c>
      <c r="W37" s="570">
        <v>2021</v>
      </c>
      <c r="X37" s="570">
        <v>2022</v>
      </c>
      <c r="Y37" s="570">
        <v>2023</v>
      </c>
      <c r="Z37" s="570">
        <v>2024</v>
      </c>
      <c r="AA37" s="570">
        <v>2025</v>
      </c>
      <c r="AB37" s="570">
        <v>2026</v>
      </c>
      <c r="AC37" s="570">
        <v>2027</v>
      </c>
      <c r="AD37" s="157"/>
    </row>
    <row r="38" spans="1:30">
      <c r="A38" s="942"/>
      <c r="B38" s="75" t="s">
        <v>9</v>
      </c>
      <c r="C38" s="541" t="s">
        <v>364</v>
      </c>
      <c r="D38" s="325" t="s">
        <v>365</v>
      </c>
      <c r="E38" s="325" t="s">
        <v>366</v>
      </c>
      <c r="F38" s="325" t="s">
        <v>367</v>
      </c>
      <c r="G38" s="325" t="s">
        <v>368</v>
      </c>
      <c r="H38" s="541" t="s">
        <v>369</v>
      </c>
      <c r="I38" s="325" t="s">
        <v>370</v>
      </c>
      <c r="J38" s="132" t="s">
        <v>750</v>
      </c>
      <c r="K38" s="380" t="s">
        <v>856</v>
      </c>
      <c r="L38" s="943" t="s">
        <v>911</v>
      </c>
      <c r="M38" s="920" t="s">
        <v>96</v>
      </c>
      <c r="N38" s="316" t="s">
        <v>118</v>
      </c>
      <c r="O38" s="943" t="s">
        <v>119</v>
      </c>
      <c r="P38" s="380" t="s">
        <v>67</v>
      </c>
      <c r="Q38" s="380" t="s">
        <v>157</v>
      </c>
      <c r="R38" s="380" t="s">
        <v>1000</v>
      </c>
      <c r="S38" s="450" t="s">
        <v>1036</v>
      </c>
      <c r="T38" s="520" t="s">
        <v>1062</v>
      </c>
      <c r="U38" s="75" t="s">
        <v>1161</v>
      </c>
      <c r="V38" s="903" t="s">
        <v>1129</v>
      </c>
      <c r="W38" s="944" t="s">
        <v>1160</v>
      </c>
      <c r="X38" s="945" t="s">
        <v>1200</v>
      </c>
      <c r="Y38" s="944" t="s">
        <v>1234</v>
      </c>
      <c r="Z38" s="945" t="s">
        <v>1561</v>
      </c>
      <c r="AA38" s="945" t="s">
        <v>1603</v>
      </c>
      <c r="AB38" s="945" t="s">
        <v>1745</v>
      </c>
      <c r="AC38" s="945" t="s">
        <v>1783</v>
      </c>
      <c r="AD38" s="157"/>
    </row>
    <row r="39" spans="1:30">
      <c r="A39" s="946"/>
      <c r="B39" s="305" t="s">
        <v>166</v>
      </c>
      <c r="C39" s="947">
        <f t="shared" ref="C39:X49" si="6">D5/C5*100-100</f>
        <v>-2.9282904659875726</v>
      </c>
      <c r="D39" s="948">
        <f t="shared" si="6"/>
        <v>-3.233256444424768</v>
      </c>
      <c r="E39" s="948">
        <f t="shared" si="6"/>
        <v>0.73360742822508485</v>
      </c>
      <c r="F39" s="948">
        <f t="shared" si="6"/>
        <v>0.80980422506327443</v>
      </c>
      <c r="G39" s="948">
        <f t="shared" si="6"/>
        <v>2.3687169090875386</v>
      </c>
      <c r="H39" s="947">
        <f t="shared" si="6"/>
        <v>3.0138775631616284</v>
      </c>
      <c r="I39" s="948">
        <f>J5/I5*100-100</f>
        <v>3.4449952184345705</v>
      </c>
      <c r="J39" s="948">
        <f>K5/J5*100-100</f>
        <v>-1.5076621085456878</v>
      </c>
      <c r="K39" s="948">
        <f t="shared" si="6"/>
        <v>-6.5600989573486856</v>
      </c>
      <c r="L39" s="947">
        <f t="shared" si="6"/>
        <v>7.2170655610835297</v>
      </c>
      <c r="M39" s="947">
        <f t="shared" si="6"/>
        <v>-1.3596524028714754</v>
      </c>
      <c r="N39" s="949">
        <f t="shared" si="6"/>
        <v>-0.27488619439291995</v>
      </c>
      <c r="O39" s="950">
        <f t="shared" si="6"/>
        <v>3.6634085902749405</v>
      </c>
      <c r="P39" s="949">
        <f t="shared" si="6"/>
        <v>-1.1548931348839346</v>
      </c>
      <c r="Q39" s="949">
        <f t="shared" si="6"/>
        <v>3.182260596323033</v>
      </c>
      <c r="R39" s="949">
        <f t="shared" si="6"/>
        <v>0.80095893423326459</v>
      </c>
      <c r="S39" s="949">
        <f t="shared" si="6"/>
        <v>1.5623914578600733</v>
      </c>
      <c r="T39" s="951">
        <f t="shared" si="6"/>
        <v>-0.22568303958185254</v>
      </c>
      <c r="U39" s="951">
        <f t="shared" si="6"/>
        <v>0.64035909553898307</v>
      </c>
      <c r="V39" s="951">
        <f>W5/V5*100-100</f>
        <v>-3.5285059590167265</v>
      </c>
      <c r="W39" s="951">
        <f t="shared" si="6"/>
        <v>3.3449086396800425</v>
      </c>
      <c r="X39" s="951">
        <f t="shared" si="6"/>
        <v>2.5663683845292553</v>
      </c>
      <c r="Y39" s="951">
        <f t="shared" ref="Y39:Y49" si="7">Z5/Y5*100-100</f>
        <v>0.18807787592855618</v>
      </c>
      <c r="Z39" s="951">
        <f t="shared" ref="Z39:AC49" si="8">AA5/Z5*100-100</f>
        <v>2.4776062179327596E-2</v>
      </c>
      <c r="AA39" s="951">
        <f t="shared" si="8"/>
        <v>-0.14783881203456417</v>
      </c>
      <c r="AB39" s="951">
        <f t="shared" si="8"/>
        <v>-0.47423018514484738</v>
      </c>
      <c r="AC39" s="951">
        <f t="shared" si="8"/>
        <v>-0.49172386042884852</v>
      </c>
      <c r="AD39" s="952"/>
    </row>
    <row r="40" spans="1:30">
      <c r="A40" s="953">
        <v>1</v>
      </c>
      <c r="B40" s="75" t="s">
        <v>172</v>
      </c>
      <c r="C40" s="954">
        <f t="shared" si="6"/>
        <v>-2.1102508131964726</v>
      </c>
      <c r="D40" s="955">
        <f t="shared" si="6"/>
        <v>-9.9936689095886209</v>
      </c>
      <c r="E40" s="955">
        <f t="shared" si="6"/>
        <v>1.3275922473654447</v>
      </c>
      <c r="F40" s="955">
        <f t="shared" si="6"/>
        <v>0.76972720645768788</v>
      </c>
      <c r="G40" s="955">
        <f t="shared" si="6"/>
        <v>2.1106107429786505</v>
      </c>
      <c r="H40" s="956">
        <f t="shared" si="6"/>
        <v>3.7751487693130343</v>
      </c>
      <c r="I40" s="957">
        <f t="shared" si="6"/>
        <v>3.2454512231898178</v>
      </c>
      <c r="J40" s="957">
        <f t="shared" si="6"/>
        <v>-0.945656449908995</v>
      </c>
      <c r="K40" s="957">
        <f t="shared" si="6"/>
        <v>-3.0644337007481539</v>
      </c>
      <c r="L40" s="956">
        <f t="shared" si="6"/>
        <v>6.637509464692485</v>
      </c>
      <c r="M40" s="954">
        <f t="shared" si="6"/>
        <v>-1.6566259483757761</v>
      </c>
      <c r="N40" s="958">
        <f t="shared" si="6"/>
        <v>-0.97213405473787873</v>
      </c>
      <c r="O40" s="959">
        <f t="shared" si="6"/>
        <v>1.3108801347836589</v>
      </c>
      <c r="P40" s="958">
        <f t="shared" si="6"/>
        <v>-0.11330830682892667</v>
      </c>
      <c r="Q40" s="958">
        <f t="shared" si="6"/>
        <v>3.2049063387117513</v>
      </c>
      <c r="R40" s="958">
        <f t="shared" si="6"/>
        <v>0.14192153250792217</v>
      </c>
      <c r="S40" s="958">
        <f t="shared" si="6"/>
        <v>1.5415910696080459</v>
      </c>
      <c r="T40" s="960">
        <f t="shared" si="6"/>
        <v>-0.48743114464046755</v>
      </c>
      <c r="U40" s="960">
        <f t="shared" si="6"/>
        <v>1.4900204320166921</v>
      </c>
      <c r="V40" s="960">
        <f>W6/V6*100-100</f>
        <v>-4.5657260652273663</v>
      </c>
      <c r="W40" s="960">
        <f t="shared" si="6"/>
        <v>1.9026236460215102</v>
      </c>
      <c r="X40" s="960">
        <f t="shared" si="6"/>
        <v>4.0534239420934455</v>
      </c>
      <c r="Y40" s="960">
        <f t="shared" si="7"/>
        <v>0.8138581058339156</v>
      </c>
      <c r="Z40" s="960">
        <f t="shared" si="8"/>
        <v>-0.72617134307854769</v>
      </c>
      <c r="AA40" s="960">
        <f t="shared" si="8"/>
        <v>-5.9501104540278078</v>
      </c>
      <c r="AB40" s="960">
        <f t="shared" si="8"/>
        <v>-2.3031961509884695</v>
      </c>
      <c r="AC40" s="960">
        <f t="shared" si="8"/>
        <v>-1.0553211227116179</v>
      </c>
      <c r="AD40" s="952"/>
    </row>
    <row r="41" spans="1:30">
      <c r="A41" s="953">
        <v>2</v>
      </c>
      <c r="B41" s="75" t="s">
        <v>323</v>
      </c>
      <c r="C41" s="954">
        <f t="shared" si="6"/>
        <v>-1.1720852612176316</v>
      </c>
      <c r="D41" s="955">
        <f t="shared" si="6"/>
        <v>-2.3199982283222056</v>
      </c>
      <c r="E41" s="955">
        <f t="shared" si="6"/>
        <v>0.8078657536478886</v>
      </c>
      <c r="F41" s="955">
        <f t="shared" si="6"/>
        <v>1.3528249009461746</v>
      </c>
      <c r="G41" s="955">
        <f t="shared" si="6"/>
        <v>3.9543411419291203</v>
      </c>
      <c r="H41" s="954">
        <f t="shared" si="6"/>
        <v>4.452438812069289</v>
      </c>
      <c r="I41" s="955">
        <f t="shared" si="6"/>
        <v>4.1571777262050489</v>
      </c>
      <c r="J41" s="955">
        <f t="shared" si="6"/>
        <v>-3.337464863345275</v>
      </c>
      <c r="K41" s="955">
        <f t="shared" si="6"/>
        <v>-5.4545102792795035</v>
      </c>
      <c r="L41" s="954">
        <f t="shared" si="6"/>
        <v>11.115445886847581</v>
      </c>
      <c r="M41" s="961">
        <f t="shared" si="6"/>
        <v>1.1463532520211004</v>
      </c>
      <c r="N41" s="358">
        <f t="shared" si="6"/>
        <v>-2.0254066020393537</v>
      </c>
      <c r="O41" s="961">
        <f t="shared" si="6"/>
        <v>4.6010242099843595</v>
      </c>
      <c r="P41" s="358">
        <f t="shared" si="6"/>
        <v>-1.9942275655587878</v>
      </c>
      <c r="Q41" s="358">
        <f t="shared" si="6"/>
        <v>5.2333862393453785</v>
      </c>
      <c r="R41" s="358">
        <f t="shared" si="6"/>
        <v>0.36230707430684106</v>
      </c>
      <c r="S41" s="358">
        <f t="shared" si="6"/>
        <v>3.2614852174646956</v>
      </c>
      <c r="T41" s="962">
        <f t="shared" si="6"/>
        <v>-0.78878695258967468</v>
      </c>
      <c r="U41" s="962">
        <f t="shared" si="6"/>
        <v>1.0571572409819225</v>
      </c>
      <c r="V41" s="962">
        <f t="shared" si="6"/>
        <v>-5.6039681672583157</v>
      </c>
      <c r="W41" s="962">
        <f t="shared" si="6"/>
        <v>5.0466057349166675</v>
      </c>
      <c r="X41" s="962">
        <f t="shared" si="6"/>
        <v>1.0579767185372475</v>
      </c>
      <c r="Y41" s="962">
        <f t="shared" si="7"/>
        <v>1.2889021360290087</v>
      </c>
      <c r="Z41" s="962">
        <f t="shared" si="8"/>
        <v>2.9412056091357499</v>
      </c>
      <c r="AA41" s="962">
        <f t="shared" si="8"/>
        <v>4.7993022828750895</v>
      </c>
      <c r="AB41" s="962">
        <f t="shared" si="8"/>
        <v>1.5238087201223038</v>
      </c>
      <c r="AC41" s="962">
        <f t="shared" si="8"/>
        <v>0.12050036621941729</v>
      </c>
      <c r="AD41" s="952"/>
    </row>
    <row r="42" spans="1:30">
      <c r="A42" s="953">
        <v>3</v>
      </c>
      <c r="B42" s="75" t="s">
        <v>324</v>
      </c>
      <c r="C42" s="954">
        <f t="shared" si="6"/>
        <v>-2.5012263912727661</v>
      </c>
      <c r="D42" s="955">
        <f t="shared" si="6"/>
        <v>-2.2861550028608377</v>
      </c>
      <c r="E42" s="955">
        <f t="shared" si="6"/>
        <v>2.11785667790096</v>
      </c>
      <c r="F42" s="955">
        <f t="shared" si="6"/>
        <v>1.9938965965922364</v>
      </c>
      <c r="G42" s="955">
        <f t="shared" si="6"/>
        <v>4.1895895048667029</v>
      </c>
      <c r="H42" s="954">
        <f t="shared" si="6"/>
        <v>1.9258557894567048</v>
      </c>
      <c r="I42" s="955">
        <f t="shared" si="6"/>
        <v>2.7403030072711658</v>
      </c>
      <c r="J42" s="955">
        <f t="shared" si="6"/>
        <v>-4.0023611295199686</v>
      </c>
      <c r="K42" s="955">
        <f t="shared" si="6"/>
        <v>-5.0808645315069612</v>
      </c>
      <c r="L42" s="954">
        <f t="shared" si="6"/>
        <v>6.7763747288824447</v>
      </c>
      <c r="M42" s="954">
        <f t="shared" si="6"/>
        <v>4.4440267220313245</v>
      </c>
      <c r="N42" s="958">
        <f t="shared" si="6"/>
        <v>2.1995094113745495</v>
      </c>
      <c r="O42" s="959">
        <f t="shared" si="6"/>
        <v>1.0402470592949271</v>
      </c>
      <c r="P42" s="958">
        <f t="shared" si="6"/>
        <v>-2.9044810258458966</v>
      </c>
      <c r="Q42" s="958">
        <f t="shared" si="6"/>
        <v>3.6288561859823432</v>
      </c>
      <c r="R42" s="958">
        <f t="shared" si="6"/>
        <v>4.1630761999619494</v>
      </c>
      <c r="S42" s="958">
        <f t="shared" si="6"/>
        <v>-1.2003152135375501</v>
      </c>
      <c r="T42" s="960">
        <f t="shared" si="6"/>
        <v>-0.37478576409819198</v>
      </c>
      <c r="U42" s="960">
        <f t="shared" si="6"/>
        <v>-2.0863271113372122</v>
      </c>
      <c r="V42" s="960">
        <f t="shared" si="6"/>
        <v>-2.1881691713689406</v>
      </c>
      <c r="W42" s="960">
        <f t="shared" si="6"/>
        <v>7.9079205565796542</v>
      </c>
      <c r="X42" s="960">
        <f t="shared" si="6"/>
        <v>1.969301417829044</v>
      </c>
      <c r="Y42" s="960">
        <f t="shared" si="7"/>
        <v>3.180081683974251</v>
      </c>
      <c r="Z42" s="960">
        <f t="shared" si="8"/>
        <v>5.3196620172727478</v>
      </c>
      <c r="AA42" s="960">
        <f t="shared" si="8"/>
        <v>16.028243644951942</v>
      </c>
      <c r="AB42" s="960">
        <f t="shared" si="8"/>
        <v>6.7060985475566639</v>
      </c>
      <c r="AC42" s="960">
        <f t="shared" si="8"/>
        <v>1.8614101328192021</v>
      </c>
      <c r="AD42" s="952"/>
    </row>
    <row r="43" spans="1:30">
      <c r="A43" s="953">
        <v>4</v>
      </c>
      <c r="B43" s="75" t="s">
        <v>192</v>
      </c>
      <c r="C43" s="954">
        <f t="shared" si="6"/>
        <v>-6.4827782675479995</v>
      </c>
      <c r="D43" s="955">
        <f t="shared" si="6"/>
        <v>2.9952321634254133</v>
      </c>
      <c r="E43" s="955">
        <f t="shared" si="6"/>
        <v>1.8673804554360345</v>
      </c>
      <c r="F43" s="955">
        <f t="shared" si="6"/>
        <v>0.86699951935808883</v>
      </c>
      <c r="G43" s="955">
        <f t="shared" si="6"/>
        <v>3.2729079047072247</v>
      </c>
      <c r="H43" s="954">
        <f t="shared" si="6"/>
        <v>5.9546628870045026</v>
      </c>
      <c r="I43" s="955">
        <f t="shared" si="6"/>
        <v>6.1957652358583459</v>
      </c>
      <c r="J43" s="955">
        <f t="shared" si="6"/>
        <v>5.8949770176241145E-2</v>
      </c>
      <c r="K43" s="955">
        <f t="shared" si="6"/>
        <v>-13.61606530503002</v>
      </c>
      <c r="L43" s="954">
        <f t="shared" si="6"/>
        <v>6.6074787601677656</v>
      </c>
      <c r="M43" s="954">
        <f t="shared" si="6"/>
        <v>-2.8870535785645046</v>
      </c>
      <c r="N43" s="958">
        <f t="shared" si="6"/>
        <v>6.2379615120022862</v>
      </c>
      <c r="O43" s="959">
        <f t="shared" si="6"/>
        <v>1.8402084543742063</v>
      </c>
      <c r="P43" s="958">
        <f t="shared" si="6"/>
        <v>-0.79164348659207917</v>
      </c>
      <c r="Q43" s="958">
        <f t="shared" si="6"/>
        <v>3.1538886458963162</v>
      </c>
      <c r="R43" s="958">
        <f t="shared" si="6"/>
        <v>-1.8205898351583301</v>
      </c>
      <c r="S43" s="958">
        <f t="shared" si="6"/>
        <v>0.68683833438176123</v>
      </c>
      <c r="T43" s="960">
        <f t="shared" si="6"/>
        <v>1.3215497680529182</v>
      </c>
      <c r="U43" s="960">
        <f t="shared" si="6"/>
        <v>0.82356512792836156</v>
      </c>
      <c r="V43" s="960">
        <f t="shared" si="6"/>
        <v>-2.0060121145614005</v>
      </c>
      <c r="W43" s="960">
        <f t="shared" si="6"/>
        <v>-0.23697459138014665</v>
      </c>
      <c r="X43" s="960">
        <f t="shared" si="6"/>
        <v>6.9589485517947054</v>
      </c>
      <c r="Y43" s="960">
        <f t="shared" si="7"/>
        <v>-3.7108731334448919</v>
      </c>
      <c r="Z43" s="960">
        <f t="shared" si="8"/>
        <v>-1.1430071475329271</v>
      </c>
      <c r="AA43" s="960">
        <f t="shared" si="8"/>
        <v>5.5096214091142599</v>
      </c>
      <c r="AB43" s="960">
        <f t="shared" si="8"/>
        <v>1.9943006328559534</v>
      </c>
      <c r="AC43" s="960">
        <f t="shared" si="8"/>
        <v>0.31319253672836567</v>
      </c>
      <c r="AD43" s="952"/>
    </row>
    <row r="44" spans="1:30">
      <c r="A44" s="953">
        <v>5</v>
      </c>
      <c r="B44" s="75" t="s">
        <v>325</v>
      </c>
      <c r="C44" s="954">
        <f t="shared" si="6"/>
        <v>-1.3047909589451621</v>
      </c>
      <c r="D44" s="955">
        <f t="shared" si="6"/>
        <v>-0.9415197854271895</v>
      </c>
      <c r="E44" s="955">
        <f t="shared" si="6"/>
        <v>0.60485978129744922</v>
      </c>
      <c r="F44" s="955">
        <f t="shared" si="6"/>
        <v>0.31791141619808627</v>
      </c>
      <c r="G44" s="955">
        <f t="shared" si="6"/>
        <v>2.1418880138170522</v>
      </c>
      <c r="H44" s="954">
        <f t="shared" si="6"/>
        <v>2.3871263751559439</v>
      </c>
      <c r="I44" s="955">
        <f t="shared" si="6"/>
        <v>2.5061028774364189</v>
      </c>
      <c r="J44" s="955">
        <f t="shared" si="6"/>
        <v>-1.8753760698804314</v>
      </c>
      <c r="K44" s="955">
        <f t="shared" si="6"/>
        <v>-4.3746615863247911</v>
      </c>
      <c r="L44" s="954">
        <f t="shared" si="6"/>
        <v>3.8838847921603303</v>
      </c>
      <c r="M44" s="954">
        <f t="shared" si="6"/>
        <v>-3.4270102663334256</v>
      </c>
      <c r="N44" s="958">
        <f t="shared" si="6"/>
        <v>-1.4032732025780064</v>
      </c>
      <c r="O44" s="959">
        <f t="shared" si="6"/>
        <v>5.3640715256578346</v>
      </c>
      <c r="P44" s="958">
        <f t="shared" si="6"/>
        <v>-1.9984730805098394</v>
      </c>
      <c r="Q44" s="958">
        <f t="shared" si="6"/>
        <v>2.3943165093376564</v>
      </c>
      <c r="R44" s="958">
        <f t="shared" si="6"/>
        <v>4.9467806883848482</v>
      </c>
      <c r="S44" s="958">
        <f t="shared" si="6"/>
        <v>4.2550299399769784</v>
      </c>
      <c r="T44" s="960">
        <f t="shared" si="6"/>
        <v>-1.1764741762774662</v>
      </c>
      <c r="U44" s="960">
        <f t="shared" si="6"/>
        <v>0.64546691808449452</v>
      </c>
      <c r="V44" s="960">
        <f t="shared" si="6"/>
        <v>-1.8002548137881575</v>
      </c>
      <c r="W44" s="960">
        <f t="shared" si="6"/>
        <v>1.7121025950079627</v>
      </c>
      <c r="X44" s="960">
        <f t="shared" si="6"/>
        <v>-1.8929643188812975</v>
      </c>
      <c r="Y44" s="960">
        <f t="shared" si="7"/>
        <v>1.3685727383815305</v>
      </c>
      <c r="Z44" s="960">
        <f t="shared" si="8"/>
        <v>-5.9578934370562564</v>
      </c>
      <c r="AA44" s="960">
        <f t="shared" si="8"/>
        <v>-6.1027770483193251</v>
      </c>
      <c r="AB44" s="960">
        <f t="shared" si="8"/>
        <v>-4.0775427943163436</v>
      </c>
      <c r="AC44" s="960">
        <f t="shared" si="8"/>
        <v>-5.1205469691737449E-2</v>
      </c>
      <c r="AD44" s="952"/>
    </row>
    <row r="45" spans="1:30">
      <c r="A45" s="953">
        <v>6</v>
      </c>
      <c r="B45" s="75" t="s">
        <v>326</v>
      </c>
      <c r="C45" s="954">
        <f t="shared" si="6"/>
        <v>-3.0696563894944404</v>
      </c>
      <c r="D45" s="955">
        <f t="shared" si="6"/>
        <v>-1.4178452179801582</v>
      </c>
      <c r="E45" s="955">
        <f t="shared" si="6"/>
        <v>1.3239169557054993</v>
      </c>
      <c r="F45" s="955">
        <f t="shared" si="6"/>
        <v>1.8161109328723484</v>
      </c>
      <c r="G45" s="955">
        <f t="shared" si="6"/>
        <v>2.0132425976163688</v>
      </c>
      <c r="H45" s="954">
        <f t="shared" si="6"/>
        <v>1.8418165814312033</v>
      </c>
      <c r="I45" s="955">
        <f t="shared" si="6"/>
        <v>2.5162381646868255</v>
      </c>
      <c r="J45" s="955">
        <f t="shared" si="6"/>
        <v>3.0098001896074749</v>
      </c>
      <c r="K45" s="955">
        <f t="shared" si="6"/>
        <v>-12.497609633821739</v>
      </c>
      <c r="L45" s="954">
        <f t="shared" si="6"/>
        <v>9.0334968037207801</v>
      </c>
      <c r="M45" s="954">
        <f t="shared" si="6"/>
        <v>-4.8484487339869276</v>
      </c>
      <c r="N45" s="958">
        <f t="shared" si="6"/>
        <v>-2.3588176185234175</v>
      </c>
      <c r="O45" s="959">
        <f t="shared" si="6"/>
        <v>8.4701545063734329</v>
      </c>
      <c r="P45" s="958">
        <f t="shared" si="6"/>
        <v>-1.0426425642364592</v>
      </c>
      <c r="Q45" s="958">
        <f t="shared" si="6"/>
        <v>1.2903113159778599</v>
      </c>
      <c r="R45" s="958">
        <f t="shared" si="6"/>
        <v>2.1893171527730004</v>
      </c>
      <c r="S45" s="958">
        <f t="shared" si="6"/>
        <v>0.41215387227839528</v>
      </c>
      <c r="T45" s="960">
        <f t="shared" si="6"/>
        <v>-0.17426441601261899</v>
      </c>
      <c r="U45" s="960">
        <f t="shared" si="6"/>
        <v>-1.4045893448814866</v>
      </c>
      <c r="V45" s="960">
        <f t="shared" si="6"/>
        <v>-3.07639673031386</v>
      </c>
      <c r="W45" s="960">
        <f t="shared" si="6"/>
        <v>9.0374989287194296</v>
      </c>
      <c r="X45" s="960">
        <f t="shared" si="6"/>
        <v>1.9775020071471232</v>
      </c>
      <c r="Y45" s="960">
        <f t="shared" si="7"/>
        <v>-1.4559413132718078</v>
      </c>
      <c r="Z45" s="960">
        <f t="shared" si="8"/>
        <v>-8.9123910767875856</v>
      </c>
      <c r="AA45" s="960">
        <f t="shared" si="8"/>
        <v>-4.3844791203517417</v>
      </c>
      <c r="AB45" s="960">
        <f t="shared" si="8"/>
        <v>-1.8445048877472772</v>
      </c>
      <c r="AC45" s="960">
        <f t="shared" si="8"/>
        <v>-0.54840520907661983</v>
      </c>
      <c r="AD45" s="952"/>
    </row>
    <row r="46" spans="1:30">
      <c r="A46" s="953">
        <v>7</v>
      </c>
      <c r="B46" s="75" t="s">
        <v>327</v>
      </c>
      <c r="C46" s="954">
        <f t="shared" si="6"/>
        <v>-6.873427392464933</v>
      </c>
      <c r="D46" s="955">
        <f t="shared" si="6"/>
        <v>0.68590146046163625</v>
      </c>
      <c r="E46" s="955">
        <f t="shared" si="6"/>
        <v>-1.7403759857598402</v>
      </c>
      <c r="F46" s="955">
        <f t="shared" si="6"/>
        <v>-0.84494991631599703</v>
      </c>
      <c r="G46" s="955">
        <f t="shared" si="6"/>
        <v>-0.30691718961183767</v>
      </c>
      <c r="H46" s="954">
        <f t="shared" si="6"/>
        <v>1.3449737055845929</v>
      </c>
      <c r="I46" s="955">
        <f t="shared" si="6"/>
        <v>2.5345391291676975</v>
      </c>
      <c r="J46" s="955">
        <f t="shared" si="6"/>
        <v>-3.8846353503593321</v>
      </c>
      <c r="K46" s="955">
        <f t="shared" si="6"/>
        <v>-3.9037407897222778</v>
      </c>
      <c r="L46" s="954">
        <f t="shared" si="6"/>
        <v>6.1935499036748922</v>
      </c>
      <c r="M46" s="954">
        <f t="shared" si="6"/>
        <v>-0.79840379611574974</v>
      </c>
      <c r="N46" s="958">
        <f t="shared" si="6"/>
        <v>0.46382932541384037</v>
      </c>
      <c r="O46" s="959">
        <f t="shared" si="6"/>
        <v>0.90540496882370292</v>
      </c>
      <c r="P46" s="958">
        <f t="shared" si="6"/>
        <v>0.14317674273409864</v>
      </c>
      <c r="Q46" s="958">
        <f t="shared" si="6"/>
        <v>1.5785871644877716</v>
      </c>
      <c r="R46" s="958">
        <f t="shared" si="6"/>
        <v>0.44959402770743395</v>
      </c>
      <c r="S46" s="958">
        <f t="shared" si="6"/>
        <v>4.3482305295584212</v>
      </c>
      <c r="T46" s="960">
        <f t="shared" si="6"/>
        <v>0.48861142207788077</v>
      </c>
      <c r="U46" s="960">
        <f t="shared" si="6"/>
        <v>0.40938293739726817</v>
      </c>
      <c r="V46" s="960">
        <f t="shared" si="6"/>
        <v>0.8854569668472152</v>
      </c>
      <c r="W46" s="960">
        <f t="shared" si="6"/>
        <v>2.5757177689588246</v>
      </c>
      <c r="X46" s="960">
        <f t="shared" si="6"/>
        <v>-2.2750434518470826</v>
      </c>
      <c r="Y46" s="960">
        <f t="shared" si="7"/>
        <v>-0.73909496961131538</v>
      </c>
      <c r="Z46" s="960">
        <f t="shared" si="8"/>
        <v>-7.6896423297228012E-3</v>
      </c>
      <c r="AA46" s="960">
        <f t="shared" si="8"/>
        <v>-6.5484656130737733</v>
      </c>
      <c r="AB46" s="960">
        <f t="shared" si="8"/>
        <v>-5.7191353679405665</v>
      </c>
      <c r="AC46" s="960">
        <f t="shared" si="8"/>
        <v>-2.2943854963036188</v>
      </c>
      <c r="AD46" s="952"/>
    </row>
    <row r="47" spans="1:30">
      <c r="A47" s="953">
        <v>8</v>
      </c>
      <c r="B47" s="75" t="s">
        <v>210</v>
      </c>
      <c r="C47" s="954">
        <f t="shared" si="6"/>
        <v>-4.0988023654100658</v>
      </c>
      <c r="D47" s="955">
        <f t="shared" si="6"/>
        <v>4.7121024321102709</v>
      </c>
      <c r="E47" s="955">
        <f t="shared" si="6"/>
        <v>-3.8463281123895143</v>
      </c>
      <c r="F47" s="955">
        <f t="shared" si="6"/>
        <v>-0.80636967248962321</v>
      </c>
      <c r="G47" s="955">
        <f t="shared" si="6"/>
        <v>-1.0624731858014229</v>
      </c>
      <c r="H47" s="954">
        <f t="shared" si="6"/>
        <v>-4.6924046454400781</v>
      </c>
      <c r="I47" s="955">
        <f t="shared" si="6"/>
        <v>1.4038385546303829</v>
      </c>
      <c r="J47" s="955">
        <f t="shared" si="6"/>
        <v>-5.1459081142175762</v>
      </c>
      <c r="K47" s="955">
        <f t="shared" si="6"/>
        <v>-4.7099723549370793</v>
      </c>
      <c r="L47" s="954">
        <f t="shared" si="6"/>
        <v>2.5175932653478412</v>
      </c>
      <c r="M47" s="954">
        <f t="shared" si="6"/>
        <v>-2.2111453655921167</v>
      </c>
      <c r="N47" s="958">
        <f t="shared" si="6"/>
        <v>1.3112467724276655</v>
      </c>
      <c r="O47" s="959">
        <f t="shared" si="6"/>
        <v>7.137034581664679</v>
      </c>
      <c r="P47" s="958">
        <f t="shared" si="6"/>
        <v>-1.6704104360399441</v>
      </c>
      <c r="Q47" s="958">
        <f t="shared" si="6"/>
        <v>1.2223176516860406</v>
      </c>
      <c r="R47" s="958">
        <f t="shared" si="6"/>
        <v>-1.3645684813862573</v>
      </c>
      <c r="S47" s="958">
        <f t="shared" si="6"/>
        <v>2.4163685331832596</v>
      </c>
      <c r="T47" s="960">
        <f t="shared" si="6"/>
        <v>-1.8566519036726419</v>
      </c>
      <c r="U47" s="960">
        <f t="shared" si="6"/>
        <v>1.3408475397799151</v>
      </c>
      <c r="V47" s="960">
        <f t="shared" si="6"/>
        <v>-0.54600644978998503</v>
      </c>
      <c r="W47" s="960">
        <f t="shared" si="6"/>
        <v>-5.2937068486628078</v>
      </c>
      <c r="X47" s="960">
        <f t="shared" si="6"/>
        <v>-2.5894214316478923</v>
      </c>
      <c r="Y47" s="960">
        <f t="shared" si="7"/>
        <v>-0.6900692649927862</v>
      </c>
      <c r="Z47" s="960">
        <f t="shared" si="8"/>
        <v>22.87231370239158</v>
      </c>
      <c r="AA47" s="960">
        <f t="shared" si="8"/>
        <v>-5.7953196421068611</v>
      </c>
      <c r="AB47" s="960">
        <f t="shared" si="8"/>
        <v>-7.2526258759155695</v>
      </c>
      <c r="AC47" s="960">
        <f t="shared" si="8"/>
        <v>-6.7492443912286433</v>
      </c>
      <c r="AD47" s="952"/>
    </row>
    <row r="48" spans="1:30">
      <c r="A48" s="953">
        <v>9</v>
      </c>
      <c r="B48" s="75" t="s">
        <v>211</v>
      </c>
      <c r="C48" s="954">
        <f t="shared" si="6"/>
        <v>0.3874791667217039</v>
      </c>
      <c r="D48" s="955">
        <f t="shared" si="6"/>
        <v>7.0463706494627161</v>
      </c>
      <c r="E48" s="955">
        <f t="shared" si="6"/>
        <v>-1.7043178181585859</v>
      </c>
      <c r="F48" s="955">
        <f t="shared" si="6"/>
        <v>-2.0456847080004508</v>
      </c>
      <c r="G48" s="955">
        <f t="shared" si="6"/>
        <v>1.0193141264225289</v>
      </c>
      <c r="H48" s="954">
        <f t="shared" si="6"/>
        <v>-0.28555039206321453</v>
      </c>
      <c r="I48" s="955">
        <f t="shared" si="6"/>
        <v>4.2012483622531249</v>
      </c>
      <c r="J48" s="955">
        <f t="shared" si="6"/>
        <v>-8.2595002128047668</v>
      </c>
      <c r="K48" s="955">
        <f t="shared" si="6"/>
        <v>-5.3425906779705912</v>
      </c>
      <c r="L48" s="954">
        <f t="shared" si="6"/>
        <v>4.5216363590534883</v>
      </c>
      <c r="M48" s="954">
        <f t="shared" si="6"/>
        <v>-1.7226411150946177</v>
      </c>
      <c r="N48" s="958">
        <f t="shared" si="6"/>
        <v>-19.379350395471903</v>
      </c>
      <c r="O48" s="959">
        <f t="shared" si="6"/>
        <v>39.568749196815673</v>
      </c>
      <c r="P48" s="958">
        <f t="shared" si="6"/>
        <v>-3.5301500840800486</v>
      </c>
      <c r="Q48" s="958">
        <f t="shared" si="6"/>
        <v>5.1693780721517584</v>
      </c>
      <c r="R48" s="958">
        <f t="shared" si="6"/>
        <v>0.80102408804098957</v>
      </c>
      <c r="S48" s="958">
        <f t="shared" si="6"/>
        <v>1.086554773164508</v>
      </c>
      <c r="T48" s="960">
        <f t="shared" si="6"/>
        <v>2.7392219456515079</v>
      </c>
      <c r="U48" s="960">
        <f t="shared" si="6"/>
        <v>7.8192548723482531</v>
      </c>
      <c r="V48" s="960">
        <f t="shared" si="6"/>
        <v>-5.5002369788580978</v>
      </c>
      <c r="W48" s="960">
        <f t="shared" si="6"/>
        <v>1.6810673927110571</v>
      </c>
      <c r="X48" s="960">
        <f t="shared" si="6"/>
        <v>0.15061799620812621</v>
      </c>
      <c r="Y48" s="960">
        <f t="shared" si="7"/>
        <v>1.2022523542642745</v>
      </c>
      <c r="Z48" s="960">
        <f t="shared" si="8"/>
        <v>1.8553883388625678</v>
      </c>
      <c r="AA48" s="960">
        <f t="shared" si="8"/>
        <v>-7.8253747165762633</v>
      </c>
      <c r="AB48" s="960">
        <f t="shared" si="8"/>
        <v>-6.7569318776120326</v>
      </c>
      <c r="AC48" s="960">
        <f t="shared" si="8"/>
        <v>-2.4309131745815051</v>
      </c>
      <c r="AD48" s="952"/>
    </row>
    <row r="49" spans="1:30">
      <c r="A49" s="963">
        <v>10</v>
      </c>
      <c r="B49" s="132" t="s">
        <v>212</v>
      </c>
      <c r="C49" s="964">
        <f t="shared" si="6"/>
        <v>-2.7094348404738895</v>
      </c>
      <c r="D49" s="965">
        <f t="shared" si="6"/>
        <v>5.5742643458630283</v>
      </c>
      <c r="E49" s="965">
        <f t="shared" si="6"/>
        <v>-5.4277521108809879</v>
      </c>
      <c r="F49" s="965">
        <f t="shared" si="6"/>
        <v>-2.0581469564843076</v>
      </c>
      <c r="G49" s="965">
        <f t="shared" si="6"/>
        <v>-1.4485801812062959</v>
      </c>
      <c r="H49" s="964">
        <f t="shared" si="6"/>
        <v>-2.8672208745159367</v>
      </c>
      <c r="I49" s="965">
        <f t="shared" si="6"/>
        <v>-0.46735408909871978</v>
      </c>
      <c r="J49" s="965">
        <f t="shared" si="6"/>
        <v>-4.4423584534783913</v>
      </c>
      <c r="K49" s="965">
        <f t="shared" si="6"/>
        <v>-3.8405511149919391</v>
      </c>
      <c r="L49" s="964">
        <f t="shared" si="6"/>
        <v>4.1065749292214377</v>
      </c>
      <c r="M49" s="964">
        <f t="shared" si="6"/>
        <v>-4.5446730351496569</v>
      </c>
      <c r="N49" s="966">
        <f t="shared" si="6"/>
        <v>-0.35166949657006796</v>
      </c>
      <c r="O49" s="967">
        <f t="shared" si="6"/>
        <v>2.4789708501595982</v>
      </c>
      <c r="P49" s="966">
        <f t="shared" si="6"/>
        <v>-2.8943734378428161</v>
      </c>
      <c r="Q49" s="966">
        <f t="shared" si="6"/>
        <v>3.1294994307181838</v>
      </c>
      <c r="R49" s="966">
        <f t="shared" si="6"/>
        <v>0.92359109400439365</v>
      </c>
      <c r="S49" s="966">
        <f t="shared" si="6"/>
        <v>-0.4194741569016287</v>
      </c>
      <c r="T49" s="968">
        <f t="shared" si="6"/>
        <v>-0.64329572582350636</v>
      </c>
      <c r="U49" s="968">
        <f t="shared" si="6"/>
        <v>0.43579920540854289</v>
      </c>
      <c r="V49" s="968">
        <f t="shared" si="6"/>
        <v>-6.7724808799813303</v>
      </c>
      <c r="W49" s="968">
        <f t="shared" si="6"/>
        <v>2.5295373044151432</v>
      </c>
      <c r="X49" s="968">
        <f t="shared" si="6"/>
        <v>4.3160776862614938</v>
      </c>
      <c r="Y49" s="968">
        <f t="shared" si="7"/>
        <v>2.8448936896842838</v>
      </c>
      <c r="Z49" s="968">
        <f t="shared" si="8"/>
        <v>9.7870580765889343</v>
      </c>
      <c r="AA49" s="968">
        <f t="shared" si="8"/>
        <v>-1.7967272741107649</v>
      </c>
      <c r="AB49" s="968">
        <f t="shared" si="8"/>
        <v>-7.4818928662057687</v>
      </c>
      <c r="AC49" s="968">
        <f t="shared" si="8"/>
        <v>-5.4896369205772828</v>
      </c>
      <c r="AD49" s="952"/>
    </row>
    <row r="50" spans="1:30">
      <c r="A50" s="969" t="s">
        <v>11</v>
      </c>
    </row>
    <row r="51" spans="1:30">
      <c r="A51" s="65" t="s">
        <v>1364</v>
      </c>
      <c r="B51" s="936" t="s">
        <v>1497</v>
      </c>
      <c r="C51" s="936"/>
      <c r="D51" s="936"/>
      <c r="E51" s="936"/>
      <c r="F51" s="936"/>
      <c r="G51" s="936"/>
      <c r="H51" s="936"/>
      <c r="I51" s="936"/>
      <c r="J51" s="936"/>
      <c r="K51" s="936"/>
      <c r="L51" s="936"/>
      <c r="M51" s="936"/>
      <c r="N51" s="936"/>
      <c r="O51" s="65"/>
      <c r="Z51" s="1118" t="s">
        <v>1361</v>
      </c>
    </row>
    <row r="52" spans="1:30">
      <c r="A52" s="937"/>
      <c r="B52" s="938" t="s">
        <v>1363</v>
      </c>
      <c r="C52" s="939">
        <v>2001</v>
      </c>
      <c r="D52" s="83">
        <v>2002</v>
      </c>
      <c r="E52" s="83">
        <v>2003</v>
      </c>
      <c r="F52" s="83">
        <v>2004</v>
      </c>
      <c r="G52" s="83">
        <v>2005</v>
      </c>
      <c r="H52" s="83">
        <v>2006</v>
      </c>
      <c r="I52" s="83">
        <v>2007</v>
      </c>
      <c r="J52" s="83">
        <v>2008</v>
      </c>
      <c r="K52" s="277">
        <v>2009</v>
      </c>
      <c r="L52" s="940">
        <v>2010</v>
      </c>
      <c r="M52" s="940">
        <v>2011</v>
      </c>
      <c r="N52" s="277">
        <v>2012</v>
      </c>
      <c r="O52" s="940">
        <v>2013</v>
      </c>
      <c r="P52" s="277">
        <v>2014</v>
      </c>
      <c r="Q52" s="277">
        <v>2015</v>
      </c>
      <c r="R52" s="277">
        <v>2016</v>
      </c>
      <c r="S52" s="277">
        <v>2017</v>
      </c>
      <c r="T52" s="941">
        <v>2018</v>
      </c>
      <c r="U52" s="941">
        <v>2019</v>
      </c>
      <c r="V52" s="1385">
        <v>2020</v>
      </c>
      <c r="W52" s="570">
        <v>2021</v>
      </c>
      <c r="X52" s="570">
        <v>2022</v>
      </c>
      <c r="Y52" s="570">
        <v>2023</v>
      </c>
      <c r="Z52" s="570">
        <v>2024</v>
      </c>
      <c r="AA52" s="570">
        <v>2025</v>
      </c>
      <c r="AB52" s="570">
        <v>2026</v>
      </c>
      <c r="AC52" s="570">
        <v>2027</v>
      </c>
      <c r="AD52" s="157"/>
    </row>
    <row r="53" spans="1:30">
      <c r="A53" s="942"/>
      <c r="B53" s="75" t="s">
        <v>9</v>
      </c>
      <c r="C53" s="541" t="s">
        <v>364</v>
      </c>
      <c r="D53" s="325" t="s">
        <v>365</v>
      </c>
      <c r="E53" s="325" t="s">
        <v>366</v>
      </c>
      <c r="F53" s="325" t="s">
        <v>367</v>
      </c>
      <c r="G53" s="325" t="s">
        <v>368</v>
      </c>
      <c r="H53" s="325" t="s">
        <v>369</v>
      </c>
      <c r="I53" s="325" t="s">
        <v>370</v>
      </c>
      <c r="J53" s="132" t="s">
        <v>750</v>
      </c>
      <c r="K53" s="380" t="s">
        <v>856</v>
      </c>
      <c r="L53" s="943" t="s">
        <v>911</v>
      </c>
      <c r="M53" s="920" t="s">
        <v>96</v>
      </c>
      <c r="N53" s="316" t="s">
        <v>118</v>
      </c>
      <c r="O53" s="943" t="s">
        <v>119</v>
      </c>
      <c r="P53" s="380" t="s">
        <v>67</v>
      </c>
      <c r="Q53" s="380" t="s">
        <v>157</v>
      </c>
      <c r="R53" s="380" t="s">
        <v>1000</v>
      </c>
      <c r="S53" s="450" t="s">
        <v>1036</v>
      </c>
      <c r="T53" s="520" t="s">
        <v>1062</v>
      </c>
      <c r="U53" s="520" t="s">
        <v>1161</v>
      </c>
      <c r="V53" s="903" t="s">
        <v>1129</v>
      </c>
      <c r="W53" s="944" t="s">
        <v>1160</v>
      </c>
      <c r="X53" s="945" t="s">
        <v>1200</v>
      </c>
      <c r="Y53" s="944" t="s">
        <v>1234</v>
      </c>
      <c r="Z53" s="945" t="s">
        <v>1561</v>
      </c>
      <c r="AA53" s="945" t="s">
        <v>1603</v>
      </c>
      <c r="AB53" s="945" t="s">
        <v>1745</v>
      </c>
      <c r="AC53" s="945" t="s">
        <v>1783</v>
      </c>
      <c r="AD53" s="157"/>
    </row>
    <row r="54" spans="1:30">
      <c r="A54" s="946"/>
      <c r="B54" s="305" t="s">
        <v>166</v>
      </c>
      <c r="C54" s="947">
        <f t="shared" ref="C54:X64" si="9">D22/C22*100-100</f>
        <v>-0.3572275917108243</v>
      </c>
      <c r="D54" s="948">
        <f t="shared" si="9"/>
        <v>-1.4223522965666149</v>
      </c>
      <c r="E54" s="948">
        <f t="shared" si="9"/>
        <v>-0.91465438430272172</v>
      </c>
      <c r="F54" s="948">
        <f t="shared" si="9"/>
        <v>1.0966434502483793</v>
      </c>
      <c r="G54" s="948">
        <f t="shared" si="9"/>
        <v>5.0799366639580512E-2</v>
      </c>
      <c r="H54" s="948">
        <f t="shared" si="9"/>
        <v>-0.11555296218224953</v>
      </c>
      <c r="I54" s="948">
        <f t="shared" si="9"/>
        <v>-0.60817248561205872</v>
      </c>
      <c r="J54" s="948">
        <f t="shared" si="9"/>
        <v>3.4999712711716597</v>
      </c>
      <c r="K54" s="948">
        <f t="shared" si="9"/>
        <v>0.82641008328998566</v>
      </c>
      <c r="L54" s="947">
        <f t="shared" si="9"/>
        <v>4.8504940301029649</v>
      </c>
      <c r="M54" s="970">
        <f t="shared" si="9"/>
        <v>-8.0473374195924947</v>
      </c>
      <c r="N54" s="971">
        <f t="shared" si="9"/>
        <v>-0.60817248561205872</v>
      </c>
      <c r="O54" s="970">
        <f t="shared" si="9"/>
        <v>3.4999712711716597</v>
      </c>
      <c r="P54" s="971">
        <f t="shared" si="9"/>
        <v>0.82641008328998566</v>
      </c>
      <c r="Q54" s="971">
        <f t="shared" si="9"/>
        <v>4.8504940301029649</v>
      </c>
      <c r="R54" s="971">
        <f t="shared" si="9"/>
        <v>1.0034812308880419</v>
      </c>
      <c r="S54" s="971">
        <f t="shared" si="9"/>
        <v>1.4470516432600249</v>
      </c>
      <c r="T54" s="972">
        <f t="shared" si="9"/>
        <v>-0.204696141361282</v>
      </c>
      <c r="U54" s="972">
        <f t="shared" si="9"/>
        <v>1.0575528180573031</v>
      </c>
      <c r="V54" s="972">
        <f>W22/V22*100-100</f>
        <v>-2.5668056566961752</v>
      </c>
      <c r="W54" s="972">
        <f t="shared" si="9"/>
        <v>3.2010046035346704</v>
      </c>
      <c r="X54" s="972">
        <f t="shared" si="9"/>
        <v>3.3864080340602527</v>
      </c>
      <c r="Y54" s="972">
        <f t="shared" ref="Y54:Y55" si="10">Z22/Y22*100-100</f>
        <v>2.685758430443542</v>
      </c>
      <c r="Z54" s="972">
        <f t="shared" ref="Z54:AA55" si="11">AA22/Z22*100-100</f>
        <v>3.2305504381535712</v>
      </c>
      <c r="AA54" s="972">
        <f t="shared" si="11"/>
        <v>3.3981837216336999</v>
      </c>
      <c r="AB54" s="972">
        <f t="shared" ref="AB54:AB55" si="12">AC22/AB22*100-100</f>
        <v>1.3447718843944187</v>
      </c>
      <c r="AC54" s="972">
        <f t="shared" ref="AC54:AC55" si="13">AD22/AC22*100-100</f>
        <v>1.5494721653864616</v>
      </c>
      <c r="AD54" s="952"/>
    </row>
    <row r="55" spans="1:30">
      <c r="A55" s="953">
        <v>1</v>
      </c>
      <c r="B55" s="75" t="s">
        <v>172</v>
      </c>
      <c r="C55" s="954">
        <f t="shared" si="9"/>
        <v>-5.7113759114584326</v>
      </c>
      <c r="D55" s="955">
        <f t="shared" si="9"/>
        <v>-2.6837795775042395</v>
      </c>
      <c r="E55" s="955">
        <f t="shared" si="9"/>
        <v>-0.7903197137428748</v>
      </c>
      <c r="F55" s="955">
        <f t="shared" si="9"/>
        <v>1.0700003065292805</v>
      </c>
      <c r="G55" s="955">
        <f t="shared" si="9"/>
        <v>-0.21105008486279075</v>
      </c>
      <c r="H55" s="955">
        <f t="shared" si="9"/>
        <v>0.14071591864674815</v>
      </c>
      <c r="I55" s="955">
        <f t="shared" si="9"/>
        <v>-0.85401559365607227</v>
      </c>
      <c r="J55" s="955">
        <f t="shared" si="9"/>
        <v>4.0239750133412855</v>
      </c>
      <c r="K55" s="955">
        <f t="shared" si="9"/>
        <v>4.6856340029134458</v>
      </c>
      <c r="L55" s="973">
        <f t="shared" si="9"/>
        <v>4.2838442940300325</v>
      </c>
      <c r="M55" s="973">
        <f t="shared" si="9"/>
        <v>-7.2797421979595782</v>
      </c>
      <c r="N55" s="974">
        <f t="shared" si="9"/>
        <v>-1.3030615370025771</v>
      </c>
      <c r="O55" s="975">
        <f t="shared" si="9"/>
        <v>1.1510777541784165</v>
      </c>
      <c r="P55" s="974">
        <f t="shared" si="9"/>
        <v>1.888907350744347</v>
      </c>
      <c r="Q55" s="974">
        <f t="shared" si="9"/>
        <v>4.8735371273010344</v>
      </c>
      <c r="R55" s="974">
        <f t="shared" si="9"/>
        <v>0.34310134292339001</v>
      </c>
      <c r="S55" s="974">
        <f t="shared" si="9"/>
        <v>1.4262862500806079</v>
      </c>
      <c r="T55" s="976">
        <f t="shared" si="9"/>
        <v>-0.46650931636817461</v>
      </c>
      <c r="U55" s="976">
        <f t="shared" si="9"/>
        <v>1.9107494040417237</v>
      </c>
      <c r="V55" s="976">
        <f t="shared" si="9"/>
        <v>-3.614398813293306</v>
      </c>
      <c r="W55" s="976">
        <f t="shared" si="9"/>
        <v>1.7607654857684878</v>
      </c>
      <c r="X55" s="976">
        <f t="shared" si="9"/>
        <v>4.8853553329812058</v>
      </c>
      <c r="Y55" s="976">
        <f t="shared" si="10"/>
        <v>3.3273897607714247</v>
      </c>
      <c r="Z55" s="976">
        <f t="shared" si="11"/>
        <v>1.3523680514447136</v>
      </c>
      <c r="AA55" s="976">
        <f t="shared" si="11"/>
        <v>-1.5503510918018009</v>
      </c>
      <c r="AB55" s="976">
        <f t="shared" si="12"/>
        <v>-0.51761102641584955</v>
      </c>
      <c r="AC55" s="976">
        <f t="shared" si="13"/>
        <v>0.97430900937615661</v>
      </c>
      <c r="AD55" s="952"/>
    </row>
    <row r="56" spans="1:30">
      <c r="A56" s="953">
        <v>2</v>
      </c>
      <c r="B56" s="75" t="s">
        <v>323</v>
      </c>
      <c r="C56" s="954">
        <f t="shared" si="9"/>
        <v>6.0753962449519889</v>
      </c>
      <c r="D56" s="955">
        <f t="shared" si="9"/>
        <v>-3.9875720595458688</v>
      </c>
      <c r="E56" s="955">
        <f t="shared" si="9"/>
        <v>-0.92106099607379122</v>
      </c>
      <c r="F56" s="955">
        <f t="shared" si="9"/>
        <v>1.3762051852372394</v>
      </c>
      <c r="G56" s="955">
        <f t="shared" si="9"/>
        <v>1.3774475529158963</v>
      </c>
      <c r="H56" s="955">
        <f t="shared" si="9"/>
        <v>1.4994143454641744</v>
      </c>
      <c r="I56" s="955">
        <f t="shared" si="9"/>
        <v>0.13443874022667046</v>
      </c>
      <c r="J56" s="955">
        <f t="shared" si="9"/>
        <v>1.4592580988824579</v>
      </c>
      <c r="K56" s="955">
        <f t="shared" si="9"/>
        <v>2.1233862706395001</v>
      </c>
      <c r="L56" s="973">
        <f t="shared" si="9"/>
        <v>8.6565828987476436</v>
      </c>
      <c r="M56" s="973">
        <f t="shared" si="9"/>
        <v>-6.3033872832970701</v>
      </c>
      <c r="N56" s="974">
        <f t="shared" si="9"/>
        <v>-2.352852371738777</v>
      </c>
      <c r="O56" s="975">
        <f t="shared" si="9"/>
        <v>4.4361420138432095</v>
      </c>
      <c r="P56" s="974">
        <f t="shared" si="9"/>
        <v>-2.9758757685158344E-2</v>
      </c>
      <c r="Q56" s="974">
        <f t="shared" si="9"/>
        <v>6.9347363903818859</v>
      </c>
      <c r="R56" s="358">
        <f t="shared" ref="R56:X64" si="14">S22/R22*100-100</f>
        <v>1.0034812308880419</v>
      </c>
      <c r="S56" s="358">
        <f t="shared" si="14"/>
        <v>1.4470516432600249</v>
      </c>
      <c r="T56" s="962">
        <f t="shared" si="14"/>
        <v>-0.204696141361282</v>
      </c>
      <c r="U56" s="962">
        <f t="shared" si="14"/>
        <v>1.0575528180573031</v>
      </c>
      <c r="V56" s="962">
        <f t="shared" si="14"/>
        <v>-2.5668056566961752</v>
      </c>
      <c r="W56" s="962">
        <f t="shared" si="14"/>
        <v>3.2010046035346704</v>
      </c>
      <c r="X56" s="962">
        <f t="shared" si="14"/>
        <v>3.3864080340602527</v>
      </c>
      <c r="Y56" s="962">
        <f t="shared" ref="Y56:Y64" si="15">Z22/Y22*100-100</f>
        <v>2.685758430443542</v>
      </c>
      <c r="Z56" s="962">
        <f t="shared" ref="Z56:AA64" si="16">AA22/Z22*100-100</f>
        <v>3.2305504381535712</v>
      </c>
      <c r="AA56" s="962">
        <f t="shared" si="16"/>
        <v>3.3981837216336999</v>
      </c>
      <c r="AB56" s="962">
        <f t="shared" ref="AB56:AB64" si="17">AC22/AB22*100-100</f>
        <v>1.3447718843944187</v>
      </c>
      <c r="AC56" s="962">
        <f t="shared" ref="AC56:AC64" si="18">AD22/AC22*100-100</f>
        <v>1.5494721653864616</v>
      </c>
      <c r="AD56" s="952"/>
    </row>
    <row r="57" spans="1:30">
      <c r="A57" s="953">
        <v>3</v>
      </c>
      <c r="B57" s="75" t="s">
        <v>324</v>
      </c>
      <c r="C57" s="954">
        <f t="shared" si="9"/>
        <v>0.18223866635392483</v>
      </c>
      <c r="D57" s="955">
        <f t="shared" si="9"/>
        <v>-1.9627176518349216</v>
      </c>
      <c r="E57" s="955">
        <f t="shared" si="9"/>
        <v>0.62176771266516084</v>
      </c>
      <c r="F57" s="955">
        <f t="shared" si="9"/>
        <v>2.4186537891284274</v>
      </c>
      <c r="G57" s="955">
        <f t="shared" si="9"/>
        <v>1.6046315903037254</v>
      </c>
      <c r="H57" s="955">
        <f t="shared" si="9"/>
        <v>0.69711516322993816</v>
      </c>
      <c r="I57" s="955">
        <f t="shared" si="9"/>
        <v>-1.2377061924583046</v>
      </c>
      <c r="J57" s="955">
        <f t="shared" si="9"/>
        <v>0.79062837905929939</v>
      </c>
      <c r="K57" s="955">
        <f t="shared" si="9"/>
        <v>2.5216333408817775</v>
      </c>
      <c r="L57" s="973">
        <f t="shared" si="9"/>
        <v>4.4745024318291797</v>
      </c>
      <c r="M57" s="973">
        <f t="shared" si="9"/>
        <v>-3.3085511988067395</v>
      </c>
      <c r="N57" s="974">
        <f t="shared" si="9"/>
        <v>1.85801845807012</v>
      </c>
      <c r="O57" s="975">
        <f t="shared" si="9"/>
        <v>0.88106652239248717</v>
      </c>
      <c r="P57" s="974">
        <f t="shared" si="9"/>
        <v>-0.95838775928930886</v>
      </c>
      <c r="Q57" s="974">
        <f t="shared" si="9"/>
        <v>5.3043716813705402</v>
      </c>
      <c r="R57" s="958">
        <f t="shared" si="14"/>
        <v>0.34310134292339001</v>
      </c>
      <c r="S57" s="958">
        <f t="shared" si="14"/>
        <v>1.4262862500806079</v>
      </c>
      <c r="T57" s="960">
        <f t="shared" si="14"/>
        <v>-0.46650931636817461</v>
      </c>
      <c r="U57" s="960">
        <f t="shared" si="14"/>
        <v>1.9107494040417237</v>
      </c>
      <c r="V57" s="960">
        <f t="shared" si="14"/>
        <v>-3.614398813293306</v>
      </c>
      <c r="W57" s="960">
        <f t="shared" si="14"/>
        <v>1.7607654857684878</v>
      </c>
      <c r="X57" s="960">
        <f t="shared" si="14"/>
        <v>4.8853553329812058</v>
      </c>
      <c r="Y57" s="960">
        <f t="shared" si="15"/>
        <v>3.3273897607714247</v>
      </c>
      <c r="Z57" s="960">
        <f t="shared" si="16"/>
        <v>1.3523680514447136</v>
      </c>
      <c r="AA57" s="960">
        <f t="shared" si="16"/>
        <v>-1.5503510918018009</v>
      </c>
      <c r="AB57" s="960">
        <f t="shared" si="17"/>
        <v>-0.51761102641584955</v>
      </c>
      <c r="AC57" s="960">
        <f t="shared" si="18"/>
        <v>0.97430900937615661</v>
      </c>
      <c r="AD57" s="952"/>
    </row>
    <row r="58" spans="1:30">
      <c r="A58" s="953">
        <v>4</v>
      </c>
      <c r="B58" s="75" t="s">
        <v>192</v>
      </c>
      <c r="C58" s="954">
        <f t="shared" si="9"/>
        <v>-1.0922414036269856</v>
      </c>
      <c r="D58" s="955">
        <f t="shared" si="9"/>
        <v>2.2760355258438949</v>
      </c>
      <c r="E58" s="955">
        <f t="shared" si="9"/>
        <v>0.63224462886186927</v>
      </c>
      <c r="F58" s="955">
        <f t="shared" si="9"/>
        <v>1.2781046761352997</v>
      </c>
      <c r="G58" s="955">
        <f t="shared" si="9"/>
        <v>0.79042110068292004</v>
      </c>
      <c r="H58" s="955">
        <f t="shared" si="9"/>
        <v>2.345193225864989</v>
      </c>
      <c r="I58" s="955">
        <f t="shared" si="9"/>
        <v>2.0011938858222322</v>
      </c>
      <c r="J58" s="955">
        <f t="shared" si="9"/>
        <v>5.408099985858982</v>
      </c>
      <c r="K58" s="955">
        <f t="shared" si="9"/>
        <v>-6.8666013802071149</v>
      </c>
      <c r="L58" s="954">
        <f t="shared" si="9"/>
        <v>4.2016788428429663</v>
      </c>
      <c r="M58" s="954">
        <f t="shared" si="9"/>
        <v>-9.8257369946926474</v>
      </c>
      <c r="N58" s="958">
        <f t="shared" si="9"/>
        <v>5.882918533689832</v>
      </c>
      <c r="O58" s="959">
        <f t="shared" si="9"/>
        <v>1.6796296762292826</v>
      </c>
      <c r="P58" s="958">
        <f t="shared" si="9"/>
        <v>1.1970206116088917</v>
      </c>
      <c r="Q58" s="958">
        <f t="shared" si="9"/>
        <v>4.8215766075968389</v>
      </c>
      <c r="R58" s="958">
        <f t="shared" si="14"/>
        <v>0.56395020055488487</v>
      </c>
      <c r="S58" s="958">
        <f t="shared" si="14"/>
        <v>3.1442327256049509</v>
      </c>
      <c r="T58" s="960">
        <f t="shared" si="14"/>
        <v>-0.76792673676500556</v>
      </c>
      <c r="U58" s="960">
        <f t="shared" si="14"/>
        <v>1.4761042226613625</v>
      </c>
      <c r="V58" s="960">
        <f t="shared" si="14"/>
        <v>-4.6629623296196172</v>
      </c>
      <c r="W58" s="960">
        <f t="shared" si="14"/>
        <v>4.9003380717874734</v>
      </c>
      <c r="X58" s="960">
        <f t="shared" si="14"/>
        <v>1.8659825722584742</v>
      </c>
      <c r="Y58" s="960">
        <f t="shared" si="15"/>
        <v>3.8139025684528605</v>
      </c>
      <c r="Z58" s="960">
        <f t="shared" si="16"/>
        <v>6.7580514973476085</v>
      </c>
      <c r="AA58" s="960">
        <f t="shared" si="16"/>
        <v>7.9949435644276292</v>
      </c>
      <c r="AB58" s="960">
        <f t="shared" si="17"/>
        <v>3.3793473945866452</v>
      </c>
      <c r="AC58" s="960">
        <f t="shared" si="18"/>
        <v>2.1742452796979137</v>
      </c>
      <c r="AD58" s="952"/>
    </row>
    <row r="59" spans="1:30">
      <c r="A59" s="953">
        <v>5</v>
      </c>
      <c r="B59" s="75" t="s">
        <v>325</v>
      </c>
      <c r="C59" s="954">
        <f t="shared" si="9"/>
        <v>5.3851682979169055</v>
      </c>
      <c r="D59" s="955">
        <f t="shared" si="9"/>
        <v>-2.7628683687035362</v>
      </c>
      <c r="E59" s="955">
        <f t="shared" si="9"/>
        <v>-0.50211703398110785</v>
      </c>
      <c r="F59" s="955">
        <f t="shared" si="9"/>
        <v>1.0480032188548591</v>
      </c>
      <c r="G59" s="955">
        <f t="shared" si="9"/>
        <v>-0.63177946012341124</v>
      </c>
      <c r="H59" s="955">
        <f t="shared" si="9"/>
        <v>-1.0043357079123467</v>
      </c>
      <c r="I59" s="955">
        <f t="shared" si="9"/>
        <v>-1.5693834724195881</v>
      </c>
      <c r="J59" s="955">
        <f t="shared" si="9"/>
        <v>3.356267800931036</v>
      </c>
      <c r="K59" s="955">
        <f t="shared" si="9"/>
        <v>3.0703414440880579</v>
      </c>
      <c r="L59" s="954">
        <f t="shared" si="9"/>
        <v>1.4806478734088699</v>
      </c>
      <c r="M59" s="954">
        <f t="shared" si="9"/>
        <v>-10.223305383893774</v>
      </c>
      <c r="N59" s="958">
        <f t="shared" si="9"/>
        <v>-1.7329168013214087</v>
      </c>
      <c r="O59" s="959">
        <f t="shared" si="9"/>
        <v>5.1980713575771773</v>
      </c>
      <c r="P59" s="958">
        <f t="shared" si="9"/>
        <v>-3.4214546045049588E-2</v>
      </c>
      <c r="Q59" s="958">
        <f t="shared" si="9"/>
        <v>4.0499911828298991</v>
      </c>
      <c r="R59" s="958">
        <f t="shared" si="14"/>
        <v>4.3724000040903661</v>
      </c>
      <c r="S59" s="958">
        <f t="shared" si="14"/>
        <v>-1.3125402106278727</v>
      </c>
      <c r="T59" s="960">
        <f t="shared" si="14"/>
        <v>-0.35385587074546265</v>
      </c>
      <c r="U59" s="960">
        <f t="shared" si="14"/>
        <v>-1.6803911977656156</v>
      </c>
      <c r="V59" s="960">
        <f t="shared" si="14"/>
        <v>-1.213203858009507</v>
      </c>
      <c r="W59" s="960">
        <f t="shared" si="14"/>
        <v>7.7576833386901853</v>
      </c>
      <c r="X59" s="960">
        <f t="shared" si="14"/>
        <v>2.7845382606563192</v>
      </c>
      <c r="Y59" s="960">
        <f t="shared" si="15"/>
        <v>5.7522777619255265</v>
      </c>
      <c r="Z59" s="960">
        <f t="shared" si="16"/>
        <v>9.2247043035191609</v>
      </c>
      <c r="AA59" s="960">
        <f t="shared" si="16"/>
        <v>19.566285632032702</v>
      </c>
      <c r="AB59" s="960">
        <f t="shared" si="17"/>
        <v>8.6563648689773203</v>
      </c>
      <c r="AC59" s="960">
        <f t="shared" si="18"/>
        <v>3.9508780839325794</v>
      </c>
      <c r="AD59" s="952"/>
    </row>
    <row r="60" spans="1:30">
      <c r="A60" s="953">
        <v>6</v>
      </c>
      <c r="B60" s="75" t="s">
        <v>326</v>
      </c>
      <c r="C60" s="954">
        <f t="shared" si="9"/>
        <v>-0.56462872679655618</v>
      </c>
      <c r="D60" s="955">
        <f t="shared" si="9"/>
        <v>0.51408421127447923</v>
      </c>
      <c r="E60" s="955">
        <f t="shared" si="9"/>
        <v>-0.11257632650830374</v>
      </c>
      <c r="F60" s="955">
        <f t="shared" si="9"/>
        <v>2.1959426846691343</v>
      </c>
      <c r="G60" s="955">
        <f t="shared" si="9"/>
        <v>0.80026889475675489</v>
      </c>
      <c r="H60" s="955">
        <f t="shared" si="9"/>
        <v>-1.7649029481036251</v>
      </c>
      <c r="I60" s="955">
        <f t="shared" si="9"/>
        <v>-1.4441733246472523</v>
      </c>
      <c r="J60" s="955">
        <f t="shared" si="9"/>
        <v>8.1262509734554698</v>
      </c>
      <c r="K60" s="955">
        <f t="shared" si="9"/>
        <v>-5.6513363159789094</v>
      </c>
      <c r="L60" s="954">
        <f t="shared" si="9"/>
        <v>6.7498198295427443</v>
      </c>
      <c r="M60" s="954">
        <f t="shared" si="9"/>
        <v>-11.778035610262464</v>
      </c>
      <c r="N60" s="958">
        <f t="shared" si="9"/>
        <v>-2.6851528472266608</v>
      </c>
      <c r="O60" s="959">
        <f t="shared" si="9"/>
        <v>8.2991233590750966</v>
      </c>
      <c r="P60" s="958">
        <f t="shared" si="9"/>
        <v>0.94094105257622118</v>
      </c>
      <c r="Q60" s="958">
        <f t="shared" si="9"/>
        <v>2.9279462352947689</v>
      </c>
      <c r="R60" s="958">
        <f t="shared" si="14"/>
        <v>-1.6233632301854755</v>
      </c>
      <c r="S60" s="958">
        <f t="shared" si="14"/>
        <v>0.57254000785704307</v>
      </c>
      <c r="T60" s="960">
        <f t="shared" si="14"/>
        <v>1.3428571135646052</v>
      </c>
      <c r="U60" s="960">
        <f t="shared" si="14"/>
        <v>1.2415008482712437</v>
      </c>
      <c r="V60" s="960">
        <f t="shared" si="14"/>
        <v>-1.029125068823177</v>
      </c>
      <c r="W60" s="960">
        <f t="shared" si="14"/>
        <v>-0.37588822903435926</v>
      </c>
      <c r="X60" s="960">
        <f t="shared" si="14"/>
        <v>7.8140513135461163</v>
      </c>
      <c r="Y60" s="960">
        <f t="shared" si="15"/>
        <v>-1.3104479894118839</v>
      </c>
      <c r="Z60" s="960">
        <f t="shared" si="16"/>
        <v>2.5224141746418098</v>
      </c>
      <c r="AA60" s="960">
        <f t="shared" si="16"/>
        <v>8.7269972800714868</v>
      </c>
      <c r="AB60" s="960">
        <f t="shared" si="17"/>
        <v>3.8583739089444862</v>
      </c>
      <c r="AC60" s="960">
        <f t="shared" si="18"/>
        <v>2.3709137779728024</v>
      </c>
      <c r="AD60" s="952"/>
    </row>
    <row r="61" spans="1:30">
      <c r="A61" s="953">
        <v>7</v>
      </c>
      <c r="B61" s="75" t="s">
        <v>327</v>
      </c>
      <c r="C61" s="954">
        <f t="shared" si="9"/>
        <v>3.5557918526958758</v>
      </c>
      <c r="D61" s="955">
        <f t="shared" si="9"/>
        <v>-1.1070120742688658</v>
      </c>
      <c r="E61" s="955">
        <f t="shared" si="9"/>
        <v>-3.7500584742754484</v>
      </c>
      <c r="F61" s="955">
        <f t="shared" si="9"/>
        <v>-1.3613331821270265</v>
      </c>
      <c r="G61" s="955">
        <f t="shared" si="9"/>
        <v>-3.2828238913138819</v>
      </c>
      <c r="H61" s="955">
        <f t="shared" si="9"/>
        <v>-3.2288290088155236</v>
      </c>
      <c r="I61" s="955">
        <f t="shared" si="9"/>
        <v>-1.4323583331957082</v>
      </c>
      <c r="J61" s="955">
        <f t="shared" si="9"/>
        <v>0.9844210138279692</v>
      </c>
      <c r="K61" s="955">
        <f t="shared" si="9"/>
        <v>3.6096511787081766</v>
      </c>
      <c r="L61" s="954">
        <f t="shared" si="9"/>
        <v>3.7946797213044334</v>
      </c>
      <c r="M61" s="954">
        <f t="shared" si="9"/>
        <v>-7.895023601849573</v>
      </c>
      <c r="N61" s="958">
        <f t="shared" si="9"/>
        <v>0.12783680443587286</v>
      </c>
      <c r="O61" s="959">
        <f t="shared" si="9"/>
        <v>0.74638336583554121</v>
      </c>
      <c r="P61" s="958">
        <f t="shared" si="9"/>
        <v>2.1505309382729081</v>
      </c>
      <c r="Q61" s="958">
        <f t="shared" si="9"/>
        <v>3.2208802452339711</v>
      </c>
      <c r="R61" s="958">
        <f t="shared" si="14"/>
        <v>5.1575199221897066</v>
      </c>
      <c r="S61" s="958">
        <f t="shared" si="14"/>
        <v>4.136758759599573</v>
      </c>
      <c r="T61" s="960">
        <f t="shared" si="14"/>
        <v>-1.1557057970550346</v>
      </c>
      <c r="U61" s="960">
        <f t="shared" si="14"/>
        <v>1.0625472905275473</v>
      </c>
      <c r="V61" s="960">
        <f t="shared" si="14"/>
        <v>-0.82127296164263441</v>
      </c>
      <c r="W61" s="960">
        <f t="shared" si="14"/>
        <v>1.5705774892614386</v>
      </c>
      <c r="X61" s="960">
        <f t="shared" si="14"/>
        <v>-1.1086934781488651</v>
      </c>
      <c r="Y61" s="960">
        <f t="shared" si="15"/>
        <v>3.8956621399864275</v>
      </c>
      <c r="Z61" s="960">
        <f t="shared" si="16"/>
        <v>-2.4710429835091787</v>
      </c>
      <c r="AA61" s="960">
        <f t="shared" si="16"/>
        <v>-3.2395887911800543</v>
      </c>
      <c r="AB61" s="960">
        <f t="shared" si="17"/>
        <v>-2.3243675324604283</v>
      </c>
      <c r="AC61" s="960">
        <f t="shared" si="18"/>
        <v>1.9990528318248408</v>
      </c>
      <c r="AD61" s="952"/>
    </row>
    <row r="62" spans="1:30">
      <c r="A62" s="953">
        <v>8</v>
      </c>
      <c r="B62" s="75" t="s">
        <v>210</v>
      </c>
      <c r="C62" s="954">
        <f t="shared" si="9"/>
        <v>0.29691953164821427</v>
      </c>
      <c r="D62" s="955">
        <f t="shared" si="9"/>
        <v>2.7183334693287549</v>
      </c>
      <c r="E62" s="955">
        <f t="shared" si="9"/>
        <v>-5.008766037388753</v>
      </c>
      <c r="F62" s="955">
        <f t="shared" si="9"/>
        <v>-0.21185383845704564</v>
      </c>
      <c r="G62" s="955">
        <f t="shared" si="9"/>
        <v>-2.8890346066649215</v>
      </c>
      <c r="H62" s="955">
        <f t="shared" si="9"/>
        <v>-5.3617821434411042</v>
      </c>
      <c r="I62" s="955">
        <f t="shared" si="9"/>
        <v>-2.3596488842460275</v>
      </c>
      <c r="J62" s="955">
        <f t="shared" si="9"/>
        <v>-0.30654894051377823</v>
      </c>
      <c r="K62" s="955">
        <f t="shared" si="9"/>
        <v>2.8867392419043085</v>
      </c>
      <c r="L62" s="954">
        <f t="shared" si="9"/>
        <v>2.0126605935416819E-2</v>
      </c>
      <c r="M62" s="954">
        <f t="shared" si="9"/>
        <v>-9.7024257262086735</v>
      </c>
      <c r="N62" s="958">
        <f t="shared" si="9"/>
        <v>0.97256857855360579</v>
      </c>
      <c r="O62" s="959">
        <f t="shared" si="9"/>
        <v>6.9681858229595264</v>
      </c>
      <c r="P62" s="958">
        <f t="shared" si="9"/>
        <v>0.30047929312860333</v>
      </c>
      <c r="Q62" s="958">
        <f t="shared" si="9"/>
        <v>2.8586541632518419</v>
      </c>
      <c r="R62" s="958">
        <f t="shared" si="14"/>
        <v>2.394628340754565</v>
      </c>
      <c r="S62" s="958">
        <f t="shared" si="14"/>
        <v>0.29809406249192705</v>
      </c>
      <c r="T62" s="960">
        <f t="shared" si="14"/>
        <v>-0.15327009168956351</v>
      </c>
      <c r="U62" s="960">
        <f t="shared" si="14"/>
        <v>-0.99584084940136108</v>
      </c>
      <c r="V62" s="960">
        <f t="shared" si="14"/>
        <v>-2.1101598526992831</v>
      </c>
      <c r="W62" s="960">
        <f t="shared" si="14"/>
        <v>8.8856373878556809</v>
      </c>
      <c r="X62" s="960">
        <f t="shared" si="14"/>
        <v>2.7928365188740969</v>
      </c>
      <c r="Y62" s="960">
        <f t="shared" si="15"/>
        <v>1.0006265763496032</v>
      </c>
      <c r="Z62" s="960">
        <f t="shared" si="16"/>
        <v>-5.5350339445455887</v>
      </c>
      <c r="AA62" s="960">
        <f t="shared" si="16"/>
        <v>-1.4688383887642544</v>
      </c>
      <c r="AB62" s="960">
        <f t="shared" si="17"/>
        <v>-5.0519715153868106E-2</v>
      </c>
      <c r="AC62" s="960">
        <f t="shared" si="18"/>
        <v>1.4915250507103082</v>
      </c>
      <c r="AD62" s="952"/>
    </row>
    <row r="63" spans="1:30">
      <c r="A63" s="953">
        <v>9</v>
      </c>
      <c r="B63" s="75" t="s">
        <v>211</v>
      </c>
      <c r="C63" s="954">
        <f t="shared" si="9"/>
        <v>10.002922213827077</v>
      </c>
      <c r="D63" s="955">
        <f t="shared" si="9"/>
        <v>1.2799004415512911</v>
      </c>
      <c r="E63" s="955">
        <f t="shared" si="9"/>
        <v>-2.5858178183476639</v>
      </c>
      <c r="F63" s="955">
        <f t="shared" si="9"/>
        <v>-1.9534263189812009</v>
      </c>
      <c r="G63" s="955">
        <f t="shared" si="9"/>
        <v>-2.5156050143865514</v>
      </c>
      <c r="H63" s="955">
        <f t="shared" si="9"/>
        <v>-2.1264932276558284</v>
      </c>
      <c r="I63" s="955">
        <f t="shared" si="9"/>
        <v>5.9380267081536431E-2</v>
      </c>
      <c r="J63" s="955">
        <f t="shared" si="9"/>
        <v>-3.2435037926396575</v>
      </c>
      <c r="K63" s="955">
        <f t="shared" si="9"/>
        <v>2.0588542517603514</v>
      </c>
      <c r="L63" s="954">
        <f t="shared" si="9"/>
        <v>2.2545597690591705</v>
      </c>
      <c r="M63" s="954">
        <f t="shared" si="9"/>
        <v>-8.8088779158250787</v>
      </c>
      <c r="N63" s="958">
        <f t="shared" si="9"/>
        <v>-19.648877906551306</v>
      </c>
      <c r="O63" s="959">
        <f t="shared" si="9"/>
        <v>39.349286519884288</v>
      </c>
      <c r="P63" s="958">
        <f t="shared" si="9"/>
        <v>-1.5966016916135573</v>
      </c>
      <c r="Q63" s="958">
        <f t="shared" si="9"/>
        <v>6.8698546334161819</v>
      </c>
      <c r="R63" s="958">
        <f t="shared" si="14"/>
        <v>0.65144014733688493</v>
      </c>
      <c r="S63" s="958">
        <f t="shared" si="14"/>
        <v>4.229644183346835</v>
      </c>
      <c r="T63" s="960">
        <f t="shared" si="14"/>
        <v>0.50977227732063568</v>
      </c>
      <c r="U63" s="960">
        <f t="shared" si="14"/>
        <v>0.82561381922940313</v>
      </c>
      <c r="V63" s="960">
        <f t="shared" si="14"/>
        <v>1.8910288163385616</v>
      </c>
      <c r="W63" s="960">
        <f t="shared" si="14"/>
        <v>2.4330491216942676</v>
      </c>
      <c r="X63" s="960">
        <f t="shared" si="14"/>
        <v>-1.4937289642189882</v>
      </c>
      <c r="Y63" s="960">
        <f t="shared" si="15"/>
        <v>1.7353981599556221</v>
      </c>
      <c r="Z63" s="960">
        <f t="shared" si="16"/>
        <v>3.6998153456117677</v>
      </c>
      <c r="AA63" s="960">
        <f t="shared" si="16"/>
        <v>-3.6988443618893712</v>
      </c>
      <c r="AB63" s="960">
        <f t="shared" si="17"/>
        <v>-3.9961246047708414</v>
      </c>
      <c r="AC63" s="960">
        <f t="shared" si="18"/>
        <v>-0.29010369683702208</v>
      </c>
      <c r="AD63" s="952"/>
    </row>
    <row r="64" spans="1:30">
      <c r="A64" s="963">
        <v>10</v>
      </c>
      <c r="B64" s="132" t="s">
        <v>212</v>
      </c>
      <c r="C64" s="964">
        <f t="shared" si="9"/>
        <v>5.791194119738492</v>
      </c>
      <c r="D64" s="965">
        <f t="shared" si="9"/>
        <v>-1.628277431313478</v>
      </c>
      <c r="E64" s="965">
        <f t="shared" si="9"/>
        <v>-6.580302842789834</v>
      </c>
      <c r="F64" s="965">
        <f t="shared" si="9"/>
        <v>-1.5744123475126202</v>
      </c>
      <c r="G64" s="965">
        <f t="shared" si="9"/>
        <v>-3.2691447333500179</v>
      </c>
      <c r="H64" s="965">
        <f t="shared" si="9"/>
        <v>-3.9144519590877564</v>
      </c>
      <c r="I64" s="965">
        <f t="shared" si="9"/>
        <v>-4.5220268045989229</v>
      </c>
      <c r="J64" s="965">
        <f t="shared" si="9"/>
        <v>0.75707407106754943</v>
      </c>
      <c r="K64" s="965">
        <f t="shared" si="9"/>
        <v>3.7177046274662757</v>
      </c>
      <c r="L64" s="964">
        <f t="shared" si="9"/>
        <v>1.8266669664777027</v>
      </c>
      <c r="M64" s="977">
        <f t="shared" si="9"/>
        <v>-11.462601353453792</v>
      </c>
      <c r="N64" s="359">
        <f t="shared" si="9"/>
        <v>-0.68430098359763747</v>
      </c>
      <c r="O64" s="977">
        <f t="shared" si="9"/>
        <v>2.3170386469900706</v>
      </c>
      <c r="P64" s="359">
        <f t="shared" si="9"/>
        <v>-0.94786518358193916</v>
      </c>
      <c r="Q64" s="359">
        <f t="shared" si="9"/>
        <v>4.7968426530184729</v>
      </c>
      <c r="R64" s="966">
        <f t="shared" si="14"/>
        <v>-1.1659651194534888</v>
      </c>
      <c r="S64" s="966">
        <f t="shared" si="14"/>
        <v>2.2996996900544389</v>
      </c>
      <c r="T64" s="968">
        <f t="shared" si="14"/>
        <v>-1.8359209431563102</v>
      </c>
      <c r="U64" s="968">
        <f t="shared" si="14"/>
        <v>1.7610324396504211</v>
      </c>
      <c r="V64" s="968">
        <f t="shared" si="14"/>
        <v>0.44552564954811658</v>
      </c>
      <c r="W64" s="968">
        <f t="shared" si="14"/>
        <v>-5.4258544782073983</v>
      </c>
      <c r="X64" s="968">
        <f t="shared" si="14"/>
        <v>-1.810475746176067</v>
      </c>
      <c r="Y64" s="968">
        <f t="shared" si="15"/>
        <v>1.7853953748538487</v>
      </c>
      <c r="Z64" s="968">
        <f t="shared" si="16"/>
        <v>27.428306587103862</v>
      </c>
      <c r="AA64" s="968">
        <f t="shared" si="16"/>
        <v>-2.9226890297841521</v>
      </c>
      <c r="AB64" s="968">
        <f t="shared" si="17"/>
        <v>-5.5574511700847893</v>
      </c>
      <c r="AC64" s="968">
        <f t="shared" si="18"/>
        <v>-4.8363147947169693</v>
      </c>
      <c r="AD64" s="952"/>
    </row>
  </sheetData>
  <phoneticPr fontId="13"/>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1">
    <tabColor theme="0"/>
  </sheetPr>
  <dimension ref="A1:P172"/>
  <sheetViews>
    <sheetView workbookViewId="0">
      <pane xSplit="2" ySplit="6" topLeftCell="K95" activePane="bottomRight" state="frozen"/>
      <selection pane="topRight" activeCell="C1" sqref="C1"/>
      <selection pane="bottomLeft" activeCell="A7" sqref="A7"/>
      <selection pane="bottomRight" activeCell="V100" sqref="V100"/>
    </sheetView>
  </sheetViews>
  <sheetFormatPr defaultColWidth="8.7109375" defaultRowHeight="13"/>
  <cols>
    <col min="1" max="1" width="8.7109375" style="75"/>
    <col min="2" max="2" width="7.42578125" style="75" customWidth="1"/>
    <col min="3" max="4" width="9.7109375" style="75" bestFit="1" customWidth="1"/>
    <col min="5" max="10" width="9" style="75" bestFit="1" customWidth="1"/>
    <col min="11" max="11" width="9.5703125" style="75" customWidth="1"/>
    <col min="12" max="12" width="9.7109375" style="75" customWidth="1"/>
    <col min="13" max="14" width="9.7109375" style="75" bestFit="1" customWidth="1"/>
    <col min="15" max="15" width="9.5703125" style="75" bestFit="1" customWidth="1"/>
    <col min="16" max="16" width="7" style="75" customWidth="1"/>
    <col min="17" max="16384" width="8.7109375" style="75"/>
  </cols>
  <sheetData>
    <row r="1" spans="1:16">
      <c r="A1" s="2048" t="s">
        <v>1523</v>
      </c>
      <c r="B1" s="2049"/>
      <c r="C1" s="2049"/>
      <c r="D1" s="2049"/>
      <c r="E1" s="2049"/>
      <c r="F1" s="2049"/>
      <c r="G1" s="2049"/>
      <c r="H1" s="2049"/>
      <c r="I1" s="2050" t="s">
        <v>1793</v>
      </c>
      <c r="J1" s="2049" t="s">
        <v>16</v>
      </c>
      <c r="K1" s="2051"/>
      <c r="L1" s="2051"/>
      <c r="M1" s="2051"/>
      <c r="N1" s="2049"/>
      <c r="O1" s="2049"/>
      <c r="P1" s="2049"/>
    </row>
    <row r="2" spans="1:16">
      <c r="A2" s="2049"/>
      <c r="B2" s="2049"/>
      <c r="C2" s="2049"/>
      <c r="D2" s="2049"/>
      <c r="E2" s="2049"/>
      <c r="F2" s="2049"/>
      <c r="G2" s="2049"/>
      <c r="H2" s="2049"/>
      <c r="I2" s="2049"/>
      <c r="J2" s="2049"/>
      <c r="K2" s="2051"/>
      <c r="L2" s="2051"/>
      <c r="M2" s="2051"/>
      <c r="N2" s="2049"/>
      <c r="O2" s="2049" t="s">
        <v>854</v>
      </c>
      <c r="P2" s="2049"/>
    </row>
    <row r="3" spans="1:16">
      <c r="A3" s="2053"/>
      <c r="B3" s="2054"/>
      <c r="C3" s="2055"/>
      <c r="D3" s="2055"/>
      <c r="E3" s="2055"/>
      <c r="F3" s="2055"/>
      <c r="G3" s="2055"/>
      <c r="H3" s="2055"/>
      <c r="I3" s="2055"/>
      <c r="J3" s="2055"/>
      <c r="K3" s="2056"/>
      <c r="L3" s="2056"/>
      <c r="M3" s="2056"/>
      <c r="N3" s="2055"/>
      <c r="O3" s="2057"/>
      <c r="P3" s="2058"/>
    </row>
    <row r="4" spans="1:16">
      <c r="A4" s="2059"/>
      <c r="B4" s="2060"/>
      <c r="C4" s="2061" t="s">
        <v>18</v>
      </c>
      <c r="D4" s="2062" t="s">
        <v>19</v>
      </c>
      <c r="E4" s="2062" t="s">
        <v>20</v>
      </c>
      <c r="F4" s="2062" t="s">
        <v>21</v>
      </c>
      <c r="G4" s="2062" t="s">
        <v>22</v>
      </c>
      <c r="H4" s="2062" t="s">
        <v>23</v>
      </c>
      <c r="I4" s="2062" t="s">
        <v>24</v>
      </c>
      <c r="J4" s="2062" t="s">
        <v>25</v>
      </c>
      <c r="K4" s="2063" t="s">
        <v>26</v>
      </c>
      <c r="L4" s="2064"/>
      <c r="M4" s="2065"/>
      <c r="N4" s="2065"/>
      <c r="O4" s="2065"/>
      <c r="P4" s="2066" t="s">
        <v>27</v>
      </c>
    </row>
    <row r="5" spans="1:16">
      <c r="A5" s="2059" t="s">
        <v>28</v>
      </c>
      <c r="B5" s="2060"/>
      <c r="C5" s="2061" t="s">
        <v>29</v>
      </c>
      <c r="D5" s="2067" t="s">
        <v>30</v>
      </c>
      <c r="E5" s="2067" t="s">
        <v>31</v>
      </c>
      <c r="F5" s="2067" t="s">
        <v>32</v>
      </c>
      <c r="G5" s="2067" t="s">
        <v>33</v>
      </c>
      <c r="H5" s="2067" t="s">
        <v>34</v>
      </c>
      <c r="I5" s="2067" t="s">
        <v>35</v>
      </c>
      <c r="J5" s="2067" t="s">
        <v>36</v>
      </c>
      <c r="K5" s="2068" t="s">
        <v>37</v>
      </c>
      <c r="L5" s="2062" t="s">
        <v>38</v>
      </c>
      <c r="M5" s="2062" t="s">
        <v>39</v>
      </c>
      <c r="N5" s="2062" t="s">
        <v>40</v>
      </c>
      <c r="O5" s="2063" t="s">
        <v>41</v>
      </c>
      <c r="P5" s="2066" t="s">
        <v>42</v>
      </c>
    </row>
    <row r="6" spans="1:16">
      <c r="A6" s="2069"/>
      <c r="B6" s="2070"/>
      <c r="C6" s="2071"/>
      <c r="D6" s="2072"/>
      <c r="E6" s="2072"/>
      <c r="F6" s="2072"/>
      <c r="G6" s="2072"/>
      <c r="H6" s="2072"/>
      <c r="I6" s="2072"/>
      <c r="J6" s="2072"/>
      <c r="K6" s="2073" t="s">
        <v>43</v>
      </c>
      <c r="L6" s="2074" t="s">
        <v>44</v>
      </c>
      <c r="M6" s="2072" t="s">
        <v>934</v>
      </c>
      <c r="N6" s="2072" t="s">
        <v>45</v>
      </c>
      <c r="O6" s="2073" t="s">
        <v>46</v>
      </c>
      <c r="P6" s="2066" t="s">
        <v>47</v>
      </c>
    </row>
    <row r="7" spans="1:16" hidden="1">
      <c r="A7" s="2082" t="s">
        <v>882</v>
      </c>
      <c r="B7" s="2085" t="s">
        <v>48</v>
      </c>
      <c r="C7" s="535">
        <v>4505349.6005100328</v>
      </c>
      <c r="D7" s="2185">
        <v>2987135.230618563</v>
      </c>
      <c r="E7" s="535">
        <v>219606.69841441076</v>
      </c>
      <c r="F7" s="535">
        <v>573035.8130257118</v>
      </c>
      <c r="G7" s="535">
        <v>22483.001461731077</v>
      </c>
      <c r="H7" s="535">
        <v>717929.73318323342</v>
      </c>
      <c r="I7" s="535">
        <v>339565.94278072997</v>
      </c>
      <c r="J7" s="535">
        <v>16191.616495322694</v>
      </c>
      <c r="K7" s="536">
        <v>-370598.43546967022</v>
      </c>
      <c r="L7" s="536">
        <v>-282748.23818886559</v>
      </c>
      <c r="M7" s="536">
        <v>3690481.2873125346</v>
      </c>
      <c r="N7" s="535">
        <v>3973229.5255014002</v>
      </c>
      <c r="O7" s="535">
        <v>-87850.197280804627</v>
      </c>
      <c r="P7" s="2078"/>
    </row>
    <row r="8" spans="1:16" hidden="1">
      <c r="A8" s="2079">
        <v>-2001</v>
      </c>
      <c r="B8" s="2080" t="s">
        <v>49</v>
      </c>
      <c r="C8" s="536">
        <v>4650717.770124305</v>
      </c>
      <c r="D8" s="2186">
        <v>3068601.6553201922</v>
      </c>
      <c r="E8" s="536">
        <v>214325.69084104913</v>
      </c>
      <c r="F8" s="536">
        <v>586093.12817405211</v>
      </c>
      <c r="G8" s="536">
        <v>-855.22831609250238</v>
      </c>
      <c r="H8" s="536">
        <v>821294.91796419991</v>
      </c>
      <c r="I8" s="536">
        <v>312943.36429534637</v>
      </c>
      <c r="J8" s="536">
        <v>16981.70193048508</v>
      </c>
      <c r="K8" s="536">
        <v>-368667.46008492727</v>
      </c>
      <c r="L8" s="536">
        <v>-287881.71657455107</v>
      </c>
      <c r="M8" s="536">
        <v>3699750.1995706735</v>
      </c>
      <c r="N8" s="536">
        <v>3987631.9161452246</v>
      </c>
      <c r="O8" s="536">
        <v>-80785.743510376196</v>
      </c>
      <c r="P8" s="2081"/>
    </row>
    <row r="9" spans="1:16" hidden="1">
      <c r="A9" s="2082"/>
      <c r="B9" s="2080" t="s">
        <v>50</v>
      </c>
      <c r="C9" s="536">
        <v>4742199.1013788236</v>
      </c>
      <c r="D9" s="2186">
        <v>3143016.2592484793</v>
      </c>
      <c r="E9" s="536">
        <v>225533.40237358047</v>
      </c>
      <c r="F9" s="536">
        <v>595333.17438456975</v>
      </c>
      <c r="G9" s="536">
        <v>54710.292652097211</v>
      </c>
      <c r="H9" s="536">
        <v>718793.99614741665</v>
      </c>
      <c r="I9" s="536">
        <v>361758.97508076992</v>
      </c>
      <c r="J9" s="536">
        <v>16933.266098408032</v>
      </c>
      <c r="K9" s="536">
        <v>-373880.26460649725</v>
      </c>
      <c r="L9" s="536">
        <v>-282908.05986863328</v>
      </c>
      <c r="M9" s="536">
        <v>3881256.3793626805</v>
      </c>
      <c r="N9" s="536">
        <v>4164164.4392313138</v>
      </c>
      <c r="O9" s="536">
        <v>-90972.204737863969</v>
      </c>
      <c r="P9" s="2081"/>
    </row>
    <row r="10" spans="1:16" hidden="1">
      <c r="A10" s="2087"/>
      <c r="B10" s="2088" t="s">
        <v>53</v>
      </c>
      <c r="C10" s="536">
        <v>4677815.5279868413</v>
      </c>
      <c r="D10" s="2186">
        <v>3060205.854812765</v>
      </c>
      <c r="E10" s="536">
        <v>208060.20837095947</v>
      </c>
      <c r="F10" s="536">
        <v>592337.88441566657</v>
      </c>
      <c r="G10" s="536">
        <v>-88658.065797735777</v>
      </c>
      <c r="H10" s="536">
        <v>790480.35270515026</v>
      </c>
      <c r="I10" s="536">
        <v>337810.71784315375</v>
      </c>
      <c r="J10" s="536">
        <v>18609.415475784193</v>
      </c>
      <c r="K10" s="536">
        <v>-241030.83983890153</v>
      </c>
      <c r="L10" s="536">
        <v>-156696.98536795005</v>
      </c>
      <c r="M10" s="536">
        <v>3770460.1337541118</v>
      </c>
      <c r="N10" s="536">
        <v>3927157.1191220619</v>
      </c>
      <c r="O10" s="536">
        <v>-84333.854470951483</v>
      </c>
      <c r="P10" s="2081"/>
    </row>
    <row r="11" spans="1:16" hidden="1">
      <c r="A11" s="2075" t="s">
        <v>883</v>
      </c>
      <c r="B11" s="2076" t="s">
        <v>48</v>
      </c>
      <c r="C11" s="535">
        <v>4560710.3279304644</v>
      </c>
      <c r="D11" s="2185">
        <v>3046434.0563451797</v>
      </c>
      <c r="E11" s="535">
        <v>208646.31949080227</v>
      </c>
      <c r="F11" s="535">
        <v>533617.46554700972</v>
      </c>
      <c r="G11" s="535">
        <v>-5675.4839993142059</v>
      </c>
      <c r="H11" s="535">
        <v>726662.43941769772</v>
      </c>
      <c r="I11" s="535">
        <v>237904.84024562637</v>
      </c>
      <c r="J11" s="535">
        <v>4487.1757942576451</v>
      </c>
      <c r="K11" s="535">
        <v>-191366.48491079453</v>
      </c>
      <c r="L11" s="535">
        <v>-56611.325049853418</v>
      </c>
      <c r="M11" s="535">
        <v>3805131.7355230357</v>
      </c>
      <c r="N11" s="535">
        <v>3861743.0605728892</v>
      </c>
      <c r="O11" s="535">
        <v>-134755.15986094112</v>
      </c>
      <c r="P11" s="2078">
        <v>1.2287776161513502</v>
      </c>
    </row>
    <row r="12" spans="1:16" hidden="1">
      <c r="A12" s="2079">
        <v>-2002</v>
      </c>
      <c r="B12" s="2080" t="s">
        <v>49</v>
      </c>
      <c r="C12" s="536">
        <v>4681982.235442942</v>
      </c>
      <c r="D12" s="2186">
        <v>3071768.2384875217</v>
      </c>
      <c r="E12" s="536">
        <v>221631.42888231517</v>
      </c>
      <c r="F12" s="536">
        <v>562483.55366360187</v>
      </c>
      <c r="G12" s="536">
        <v>-25289.156278035491</v>
      </c>
      <c r="H12" s="536">
        <v>841234.86937472969</v>
      </c>
      <c r="I12" s="536">
        <v>236984.55858195442</v>
      </c>
      <c r="J12" s="536">
        <v>4675.3643581734286</v>
      </c>
      <c r="K12" s="536">
        <v>-231506.6216273196</v>
      </c>
      <c r="L12" s="536">
        <v>-103357.99849693244</v>
      </c>
      <c r="M12" s="536">
        <v>3803848.4826547052</v>
      </c>
      <c r="N12" s="536">
        <v>3907206.4811516376</v>
      </c>
      <c r="O12" s="536">
        <v>-128148.62313038716</v>
      </c>
      <c r="P12" s="2081">
        <v>0.67225032487407477</v>
      </c>
    </row>
    <row r="13" spans="1:16" hidden="1">
      <c r="A13" s="2082"/>
      <c r="B13" s="2080" t="s">
        <v>50</v>
      </c>
      <c r="C13" s="536">
        <v>4707518.8906625183</v>
      </c>
      <c r="D13" s="2186">
        <v>3099886.5851319241</v>
      </c>
      <c r="E13" s="536">
        <v>226189.78543891857</v>
      </c>
      <c r="F13" s="536">
        <v>565577.53843612294</v>
      </c>
      <c r="G13" s="536">
        <v>20765.70614461162</v>
      </c>
      <c r="H13" s="536">
        <v>723626.51375554036</v>
      </c>
      <c r="I13" s="536">
        <v>343841.17595162836</v>
      </c>
      <c r="J13" s="536">
        <v>4026.3657805752141</v>
      </c>
      <c r="K13" s="536">
        <v>-276394.77997680288</v>
      </c>
      <c r="L13" s="536">
        <v>-137275.67997115012</v>
      </c>
      <c r="M13" s="536">
        <v>3982956.5806798763</v>
      </c>
      <c r="N13" s="536">
        <v>4120232.2606510264</v>
      </c>
      <c r="O13" s="536">
        <v>-139119.10000565276</v>
      </c>
      <c r="P13" s="2081">
        <v>-0.73131072683603293</v>
      </c>
    </row>
    <row r="14" spans="1:16" hidden="1">
      <c r="A14" s="2083"/>
      <c r="B14" s="2084" t="s">
        <v>54</v>
      </c>
      <c r="C14" s="537">
        <v>4655821.5459640734</v>
      </c>
      <c r="D14" s="2187">
        <v>3038740.1200353727</v>
      </c>
      <c r="E14" s="537">
        <v>200081.46618796382</v>
      </c>
      <c r="F14" s="537">
        <v>593235.44235326583</v>
      </c>
      <c r="G14" s="537">
        <v>-91976.065867261947</v>
      </c>
      <c r="H14" s="537">
        <v>826625.17745203222</v>
      </c>
      <c r="I14" s="537">
        <v>368568.42522079096</v>
      </c>
      <c r="J14" s="537">
        <v>5527.0940669937081</v>
      </c>
      <c r="K14" s="537">
        <v>-284980.11348508392</v>
      </c>
      <c r="L14" s="537">
        <v>-153762.99648206448</v>
      </c>
      <c r="M14" s="537">
        <v>3827090.2011423823</v>
      </c>
      <c r="N14" s="537">
        <v>3980853.1976244468</v>
      </c>
      <c r="O14" s="537">
        <v>-131217.11700301943</v>
      </c>
      <c r="P14" s="2090">
        <v>-0.47017634387633245</v>
      </c>
    </row>
    <row r="15" spans="1:16" hidden="1">
      <c r="A15" s="2082" t="s">
        <v>884</v>
      </c>
      <c r="B15" s="2085" t="s">
        <v>48</v>
      </c>
      <c r="C15" s="535">
        <v>4518679.5956181297</v>
      </c>
      <c r="D15" s="2185">
        <v>3050450.9844744937</v>
      </c>
      <c r="E15" s="535">
        <v>199348.67030707072</v>
      </c>
      <c r="F15" s="535">
        <v>562986.50619552669</v>
      </c>
      <c r="G15" s="535">
        <v>16015.902371523831</v>
      </c>
      <c r="H15" s="535">
        <v>727726.77156108432</v>
      </c>
      <c r="I15" s="535">
        <v>209998.85252689218</v>
      </c>
      <c r="J15" s="535">
        <v>-13990.493738644125</v>
      </c>
      <c r="K15" s="535">
        <v>-233857.59807981737</v>
      </c>
      <c r="L15" s="535">
        <v>-70771.452211529016</v>
      </c>
      <c r="M15" s="535">
        <v>3798854.1021117279</v>
      </c>
      <c r="N15" s="535">
        <v>3869625.5543232569</v>
      </c>
      <c r="O15" s="535">
        <v>-163086.14586828835</v>
      </c>
      <c r="P15" s="2078">
        <v>-0.92158302742737852</v>
      </c>
    </row>
    <row r="16" spans="1:16" hidden="1">
      <c r="A16" s="2079">
        <v>-2003</v>
      </c>
      <c r="B16" s="2080" t="s">
        <v>49</v>
      </c>
      <c r="C16" s="536">
        <v>4634968.2127445219</v>
      </c>
      <c r="D16" s="2186">
        <v>3081163.7079098569</v>
      </c>
      <c r="E16" s="536">
        <v>215868.40128309923</v>
      </c>
      <c r="F16" s="536">
        <v>580160.30413555598</v>
      </c>
      <c r="G16" s="536">
        <v>-7146.422605866509</v>
      </c>
      <c r="H16" s="536">
        <v>843934.81099249132</v>
      </c>
      <c r="I16" s="536">
        <v>213767.1333042153</v>
      </c>
      <c r="J16" s="536">
        <v>-13672.627992850505</v>
      </c>
      <c r="K16" s="536">
        <v>-279107.09428197891</v>
      </c>
      <c r="L16" s="536">
        <v>-121431.84086774848</v>
      </c>
      <c r="M16" s="536">
        <v>3803129.4458181309</v>
      </c>
      <c r="N16" s="536">
        <v>3924561.2866858793</v>
      </c>
      <c r="O16" s="536">
        <v>-157675.25341423042</v>
      </c>
      <c r="P16" s="2081">
        <v>-1.0041478231702925</v>
      </c>
    </row>
    <row r="17" spans="1:16" hidden="1">
      <c r="A17" s="2082"/>
      <c r="B17" s="2080" t="s">
        <v>50</v>
      </c>
      <c r="C17" s="536">
        <v>4705349.3828111216</v>
      </c>
      <c r="D17" s="2186">
        <v>3114274.0342108179</v>
      </c>
      <c r="E17" s="536">
        <v>214329.85889794427</v>
      </c>
      <c r="F17" s="536">
        <v>592633.80989973852</v>
      </c>
      <c r="G17" s="536">
        <v>27676.61548499146</v>
      </c>
      <c r="H17" s="536">
        <v>742277.51748818846</v>
      </c>
      <c r="I17" s="536">
        <v>322310.49142945261</v>
      </c>
      <c r="J17" s="536">
        <v>-14175.748273753748</v>
      </c>
      <c r="K17" s="536">
        <v>-293977.19632625859</v>
      </c>
      <c r="L17" s="536">
        <v>-125644.97821104201</v>
      </c>
      <c r="M17" s="536">
        <v>3972898.4295418872</v>
      </c>
      <c r="N17" s="536">
        <v>4098543.4077529293</v>
      </c>
      <c r="O17" s="536">
        <v>-168332.21811521659</v>
      </c>
      <c r="P17" s="2081">
        <v>-4.608601477308908E-2</v>
      </c>
    </row>
    <row r="18" spans="1:16" hidden="1">
      <c r="A18" s="2091"/>
      <c r="B18" s="2084" t="s">
        <v>55</v>
      </c>
      <c r="C18" s="537">
        <v>4690051.8088262277</v>
      </c>
      <c r="D18" s="2187">
        <v>3062648.273404832</v>
      </c>
      <c r="E18" s="537">
        <v>183581.06951188581</v>
      </c>
      <c r="F18" s="537">
        <v>584858.37976917892</v>
      </c>
      <c r="G18" s="537">
        <v>-74695.095250648767</v>
      </c>
      <c r="H18" s="537">
        <v>850607.89995823638</v>
      </c>
      <c r="I18" s="537">
        <v>335026.52273943997</v>
      </c>
      <c r="J18" s="537">
        <v>-12930.129994751618</v>
      </c>
      <c r="K18" s="537">
        <v>-239045.11131194513</v>
      </c>
      <c r="L18" s="537">
        <v>-81424.728709680494</v>
      </c>
      <c r="M18" s="537">
        <v>3863156.0225282535</v>
      </c>
      <c r="N18" s="537">
        <v>3944580.751237934</v>
      </c>
      <c r="O18" s="537">
        <v>-157620.38260226464</v>
      </c>
      <c r="P18" s="2090">
        <v>0.735214237148479</v>
      </c>
    </row>
    <row r="19" spans="1:16" hidden="1">
      <c r="A19" s="2082" t="s">
        <v>935</v>
      </c>
      <c r="B19" s="2085" t="s">
        <v>48</v>
      </c>
      <c r="C19" s="535">
        <v>4669954.4382816162</v>
      </c>
      <c r="D19" s="2185">
        <v>3108650.7686635954</v>
      </c>
      <c r="E19" s="535">
        <v>185504.9641871386</v>
      </c>
      <c r="F19" s="535">
        <v>559928.50717141933</v>
      </c>
      <c r="G19" s="535">
        <v>24523.996831521745</v>
      </c>
      <c r="H19" s="535">
        <v>751948.46901643614</v>
      </c>
      <c r="I19" s="535">
        <v>198331.58424627487</v>
      </c>
      <c r="J19" s="535">
        <v>-12666.15140405591</v>
      </c>
      <c r="K19" s="535">
        <v>-146267.70043071453</v>
      </c>
      <c r="L19" s="535">
        <v>80478.078440298326</v>
      </c>
      <c r="M19" s="535">
        <v>3977078.0665722582</v>
      </c>
      <c r="N19" s="535">
        <v>3896599.9881319599</v>
      </c>
      <c r="O19" s="535">
        <v>-226745.77887101285</v>
      </c>
      <c r="P19" s="2078">
        <v>3.3477665203388454</v>
      </c>
    </row>
    <row r="20" spans="1:16" hidden="1">
      <c r="A20" s="2079">
        <v>-2004</v>
      </c>
      <c r="B20" s="2080" t="s">
        <v>49</v>
      </c>
      <c r="C20" s="536">
        <v>4782263.3076198576</v>
      </c>
      <c r="D20" s="2186">
        <v>3113880.8220292218</v>
      </c>
      <c r="E20" s="536">
        <v>212176.61109950437</v>
      </c>
      <c r="F20" s="536">
        <v>588980.84530859836</v>
      </c>
      <c r="G20" s="536">
        <v>4698.5921756296166</v>
      </c>
      <c r="H20" s="536">
        <v>867553.28091053653</v>
      </c>
      <c r="I20" s="536">
        <v>201224.76154766316</v>
      </c>
      <c r="J20" s="536">
        <v>-11974.140160172463</v>
      </c>
      <c r="K20" s="536">
        <v>-194277.46529112384</v>
      </c>
      <c r="L20" s="536">
        <v>29535.842055739369</v>
      </c>
      <c r="M20" s="536">
        <v>3973895.9780946774</v>
      </c>
      <c r="N20" s="536">
        <v>3944360.1360389381</v>
      </c>
      <c r="O20" s="536">
        <v>-223813.30734686321</v>
      </c>
      <c r="P20" s="2081">
        <v>3.1779094939707742</v>
      </c>
    </row>
    <row r="21" spans="1:16" hidden="1">
      <c r="A21" s="2082"/>
      <c r="B21" s="2080" t="s">
        <v>50</v>
      </c>
      <c r="C21" s="536">
        <v>4779752.7684841957</v>
      </c>
      <c r="D21" s="2186">
        <v>3114848.703584088</v>
      </c>
      <c r="E21" s="536">
        <v>215360.75729782006</v>
      </c>
      <c r="F21" s="536">
        <v>607755.60193467222</v>
      </c>
      <c r="G21" s="536">
        <v>45661.350820184976</v>
      </c>
      <c r="H21" s="536">
        <v>748147.0095467933</v>
      </c>
      <c r="I21" s="536">
        <v>288608.0257515593</v>
      </c>
      <c r="J21" s="536">
        <v>-13024.783174426238</v>
      </c>
      <c r="K21" s="536">
        <v>-227603.89727649558</v>
      </c>
      <c r="L21" s="536">
        <v>7004.1159753617831</v>
      </c>
      <c r="M21" s="536">
        <v>4125296.2915279758</v>
      </c>
      <c r="N21" s="536">
        <v>4118292.175552614</v>
      </c>
      <c r="O21" s="536">
        <v>-234608.01325185737</v>
      </c>
      <c r="P21" s="2081">
        <v>1.5812510319610562</v>
      </c>
    </row>
    <row r="22" spans="1:16" hidden="1">
      <c r="A22" s="2091"/>
      <c r="B22" s="2084" t="s">
        <v>56</v>
      </c>
      <c r="C22" s="537">
        <v>4780322.4856143314</v>
      </c>
      <c r="D22" s="2187">
        <v>3098896.7057230948</v>
      </c>
      <c r="E22" s="537">
        <v>185988.66741553694</v>
      </c>
      <c r="F22" s="537">
        <v>613825.0455853095</v>
      </c>
      <c r="G22" s="537">
        <v>-53369.93982733634</v>
      </c>
      <c r="H22" s="537">
        <v>873750.2405262338</v>
      </c>
      <c r="I22" s="537">
        <v>342017.62845450261</v>
      </c>
      <c r="J22" s="537">
        <v>-10823.925261345388</v>
      </c>
      <c r="K22" s="537">
        <v>-269961.93700166419</v>
      </c>
      <c r="L22" s="537">
        <v>-44145.036471399944</v>
      </c>
      <c r="M22" s="537">
        <v>3967044.663805089</v>
      </c>
      <c r="N22" s="537">
        <v>4011189.7002764889</v>
      </c>
      <c r="O22" s="537">
        <v>-225816.90053026425</v>
      </c>
      <c r="P22" s="2090">
        <v>1.9247266441326512</v>
      </c>
    </row>
    <row r="23" spans="1:16" hidden="1">
      <c r="A23" s="2075" t="s">
        <v>936</v>
      </c>
      <c r="B23" s="2076" t="s">
        <v>48</v>
      </c>
      <c r="C23" s="535">
        <v>4683389.2863467475</v>
      </c>
      <c r="D23" s="2185">
        <v>3145900.2274126485</v>
      </c>
      <c r="E23" s="535">
        <v>181685.19405789877</v>
      </c>
      <c r="F23" s="535">
        <v>626690.40299291769</v>
      </c>
      <c r="G23" s="535">
        <v>28248.135373732483</v>
      </c>
      <c r="H23" s="535">
        <v>758367.43972913548</v>
      </c>
      <c r="I23" s="535">
        <v>201882.34617968113</v>
      </c>
      <c r="J23" s="535">
        <v>-2657.8994770987156</v>
      </c>
      <c r="K23" s="535">
        <v>-256726.5599221671</v>
      </c>
      <c r="L23" s="535">
        <v>-191792.60424795561</v>
      </c>
      <c r="M23" s="535">
        <v>4029945.4273181502</v>
      </c>
      <c r="N23" s="535">
        <v>4221738.0315661058</v>
      </c>
      <c r="O23" s="535">
        <v>-64933.955674211495</v>
      </c>
      <c r="P23" s="2078">
        <v>0.28768691949112268</v>
      </c>
    </row>
    <row r="24" spans="1:16" hidden="1">
      <c r="A24" s="2079">
        <v>-2005</v>
      </c>
      <c r="B24" s="2080" t="s">
        <v>49</v>
      </c>
      <c r="C24" s="536">
        <v>4815204.0924352109</v>
      </c>
      <c r="D24" s="2186">
        <v>3144671.7161433706</v>
      </c>
      <c r="E24" s="536">
        <v>204018.65560929588</v>
      </c>
      <c r="F24" s="536">
        <v>638809.55677830859</v>
      </c>
      <c r="G24" s="536">
        <v>5413.71908228756</v>
      </c>
      <c r="H24" s="536">
        <v>869978.66529146035</v>
      </c>
      <c r="I24" s="536">
        <v>184341.37722156401</v>
      </c>
      <c r="J24" s="536">
        <v>-2206.7710013139877</v>
      </c>
      <c r="K24" s="536">
        <v>-229822.82668976206</v>
      </c>
      <c r="L24" s="536">
        <v>-173553.76499155164</v>
      </c>
      <c r="M24" s="536">
        <v>4057764.3798517454</v>
      </c>
      <c r="N24" s="536">
        <v>4231318.1448432971</v>
      </c>
      <c r="O24" s="536">
        <v>-56269.061698210426</v>
      </c>
      <c r="P24" s="2081">
        <v>0.68881160857175883</v>
      </c>
    </row>
    <row r="25" spans="1:16" hidden="1">
      <c r="A25" s="2082"/>
      <c r="B25" s="2080" t="s">
        <v>50</v>
      </c>
      <c r="C25" s="536">
        <v>4850553.0708803274</v>
      </c>
      <c r="D25" s="2186">
        <v>3213692.8221311639</v>
      </c>
      <c r="E25" s="536">
        <v>215590.03219812558</v>
      </c>
      <c r="F25" s="536">
        <v>643546.37108048797</v>
      </c>
      <c r="G25" s="536">
        <v>55229.786029450028</v>
      </c>
      <c r="H25" s="536">
        <v>749536.95161182247</v>
      </c>
      <c r="I25" s="536">
        <v>293251.65444027289</v>
      </c>
      <c r="J25" s="536">
        <v>-2826.4465819892798</v>
      </c>
      <c r="K25" s="536">
        <v>-317468.10002900567</v>
      </c>
      <c r="L25" s="536">
        <v>-250529.45785150118</v>
      </c>
      <c r="M25" s="536">
        <v>4238473.4462999878</v>
      </c>
      <c r="N25" s="536">
        <v>4489002.904151489</v>
      </c>
      <c r="O25" s="536">
        <v>-66938.642177504487</v>
      </c>
      <c r="P25" s="2081">
        <v>1.4812544879509448</v>
      </c>
    </row>
    <row r="26" spans="1:16" hidden="1">
      <c r="A26" s="2091"/>
      <c r="B26" s="2084" t="s">
        <v>57</v>
      </c>
      <c r="C26" s="537">
        <v>4838317.5503377141</v>
      </c>
      <c r="D26" s="2187">
        <v>3136324.2343128179</v>
      </c>
      <c r="E26" s="537">
        <v>188743.1181346798</v>
      </c>
      <c r="F26" s="537">
        <v>651539.66914828576</v>
      </c>
      <c r="G26" s="537">
        <v>-44158.64048547006</v>
      </c>
      <c r="H26" s="537">
        <v>865479.94336758147</v>
      </c>
      <c r="I26" s="537">
        <v>310707.62215848186</v>
      </c>
      <c r="J26" s="537">
        <v>-1580.8829395980174</v>
      </c>
      <c r="K26" s="537">
        <v>-268737.51335906517</v>
      </c>
      <c r="L26" s="537">
        <v>-211815.17290899018</v>
      </c>
      <c r="M26" s="537">
        <v>4110652.7465301189</v>
      </c>
      <c r="N26" s="537">
        <v>4322467.919439109</v>
      </c>
      <c r="O26" s="537">
        <v>-56922.340450074989</v>
      </c>
      <c r="P26" s="2090">
        <v>1.2132040233249997</v>
      </c>
    </row>
    <row r="27" spans="1:16">
      <c r="A27" s="2092" t="s">
        <v>984</v>
      </c>
      <c r="B27" s="2093" t="s">
        <v>48</v>
      </c>
      <c r="C27" s="458">
        <v>4926825</v>
      </c>
      <c r="D27" s="2188">
        <v>3079211</v>
      </c>
      <c r="E27" s="458">
        <v>223925</v>
      </c>
      <c r="F27" s="458">
        <v>825294</v>
      </c>
      <c r="G27" s="458">
        <v>-6122</v>
      </c>
      <c r="H27" s="458">
        <v>652383</v>
      </c>
      <c r="I27" s="458">
        <v>128266</v>
      </c>
      <c r="J27" s="458">
        <v>1457</v>
      </c>
      <c r="K27" s="458">
        <v>22411</v>
      </c>
      <c r="L27" s="535">
        <v>-6639</v>
      </c>
      <c r="M27" s="535">
        <v>4424161</v>
      </c>
      <c r="N27" s="535">
        <v>4430800</v>
      </c>
      <c r="O27" s="535">
        <v>77566</v>
      </c>
      <c r="P27" s="2095" t="s">
        <v>878</v>
      </c>
    </row>
    <row r="28" spans="1:16">
      <c r="A28" s="2096">
        <v>-2006</v>
      </c>
      <c r="B28" s="2097" t="s">
        <v>49</v>
      </c>
      <c r="C28" s="459">
        <v>5083553</v>
      </c>
      <c r="D28" s="2189">
        <v>3145145</v>
      </c>
      <c r="E28" s="459">
        <v>273093</v>
      </c>
      <c r="F28" s="459">
        <v>907429</v>
      </c>
      <c r="G28" s="459">
        <v>-12226</v>
      </c>
      <c r="H28" s="459">
        <v>678337</v>
      </c>
      <c r="I28" s="459">
        <v>171835</v>
      </c>
      <c r="J28" s="459">
        <v>989</v>
      </c>
      <c r="K28" s="459">
        <v>-81049</v>
      </c>
      <c r="L28" s="536">
        <v>-129845</v>
      </c>
      <c r="M28" s="536">
        <v>4408672</v>
      </c>
      <c r="N28" s="536">
        <v>4538517</v>
      </c>
      <c r="O28" s="536">
        <v>31337</v>
      </c>
      <c r="P28" s="2099" t="s">
        <v>878</v>
      </c>
    </row>
    <row r="29" spans="1:16">
      <c r="A29" s="2100"/>
      <c r="B29" s="2097" t="s">
        <v>50</v>
      </c>
      <c r="C29" s="459">
        <v>5248456</v>
      </c>
      <c r="D29" s="2189">
        <v>3215453</v>
      </c>
      <c r="E29" s="459">
        <v>277281</v>
      </c>
      <c r="F29" s="459">
        <v>896125</v>
      </c>
      <c r="G29" s="459">
        <v>-19098</v>
      </c>
      <c r="H29" s="459">
        <v>653954</v>
      </c>
      <c r="I29" s="459">
        <v>263122</v>
      </c>
      <c r="J29" s="459">
        <v>506</v>
      </c>
      <c r="K29" s="459">
        <v>-38888</v>
      </c>
      <c r="L29" s="536">
        <v>-183933</v>
      </c>
      <c r="M29" s="536">
        <v>4633085</v>
      </c>
      <c r="N29" s="536">
        <v>4817018</v>
      </c>
      <c r="O29" s="536">
        <v>98117</v>
      </c>
      <c r="P29" s="2099" t="s">
        <v>878</v>
      </c>
    </row>
    <row r="30" spans="1:16">
      <c r="A30" s="2101"/>
      <c r="B30" s="2102" t="s">
        <v>58</v>
      </c>
      <c r="C30" s="460">
        <v>5242812</v>
      </c>
      <c r="D30" s="2190">
        <v>3174621</v>
      </c>
      <c r="E30" s="460">
        <v>244886</v>
      </c>
      <c r="F30" s="460">
        <v>1006808</v>
      </c>
      <c r="G30" s="460">
        <v>52977</v>
      </c>
      <c r="H30" s="460">
        <v>688328</v>
      </c>
      <c r="I30" s="460">
        <v>292634</v>
      </c>
      <c r="J30" s="460">
        <v>6272</v>
      </c>
      <c r="K30" s="460">
        <v>-223714</v>
      </c>
      <c r="L30" s="537">
        <v>-303356</v>
      </c>
      <c r="M30" s="537">
        <v>4494984</v>
      </c>
      <c r="N30" s="537">
        <v>4798340</v>
      </c>
      <c r="O30" s="537">
        <v>21395</v>
      </c>
      <c r="P30" s="2104" t="s">
        <v>878</v>
      </c>
    </row>
    <row r="31" spans="1:16">
      <c r="A31" s="2092" t="s">
        <v>937</v>
      </c>
      <c r="B31" s="2093" t="s">
        <v>48</v>
      </c>
      <c r="C31" s="2189">
        <v>5151243</v>
      </c>
      <c r="D31" s="2189">
        <v>3126710</v>
      </c>
      <c r="E31" s="459">
        <v>228529</v>
      </c>
      <c r="F31" s="459">
        <v>846879</v>
      </c>
      <c r="G31" s="459">
        <v>32887</v>
      </c>
      <c r="H31" s="459">
        <v>668623</v>
      </c>
      <c r="I31" s="459">
        <v>154630</v>
      </c>
      <c r="J31" s="459">
        <v>1642</v>
      </c>
      <c r="K31" s="459">
        <v>91342</v>
      </c>
      <c r="L31" s="536">
        <v>-8265</v>
      </c>
      <c r="M31" s="536">
        <v>4601199</v>
      </c>
      <c r="N31" s="536">
        <v>4609465</v>
      </c>
      <c r="O31" s="536">
        <v>111035</v>
      </c>
      <c r="P31" s="2095">
        <v>4.5550171054330511</v>
      </c>
    </row>
    <row r="32" spans="1:16">
      <c r="A32" s="2096">
        <v>-2007</v>
      </c>
      <c r="B32" s="2097" t="s">
        <v>49</v>
      </c>
      <c r="C32" s="459">
        <v>5288027</v>
      </c>
      <c r="D32" s="2189">
        <v>3165806</v>
      </c>
      <c r="E32" s="459">
        <v>232782</v>
      </c>
      <c r="F32" s="459">
        <v>915452</v>
      </c>
      <c r="G32" s="459">
        <v>31455</v>
      </c>
      <c r="H32" s="459">
        <v>694653</v>
      </c>
      <c r="I32" s="459">
        <v>138149</v>
      </c>
      <c r="J32" s="459">
        <v>1504</v>
      </c>
      <c r="K32" s="459">
        <v>108226</v>
      </c>
      <c r="L32" s="536">
        <v>21915</v>
      </c>
      <c r="M32" s="536">
        <v>4587551</v>
      </c>
      <c r="N32" s="536">
        <v>4565636</v>
      </c>
      <c r="O32" s="536">
        <v>52471</v>
      </c>
      <c r="P32" s="2099">
        <v>4.0222740746477488</v>
      </c>
    </row>
    <row r="33" spans="1:16">
      <c r="A33" s="2096"/>
      <c r="B33" s="2097" t="s">
        <v>50</v>
      </c>
      <c r="C33" s="459">
        <v>5417145</v>
      </c>
      <c r="D33" s="2189">
        <v>3215922</v>
      </c>
      <c r="E33" s="459">
        <v>225009</v>
      </c>
      <c r="F33" s="459">
        <v>892599</v>
      </c>
      <c r="G33" s="459">
        <v>-11898</v>
      </c>
      <c r="H33" s="459">
        <v>679871</v>
      </c>
      <c r="I33" s="459">
        <v>198241</v>
      </c>
      <c r="J33" s="459">
        <v>-1467</v>
      </c>
      <c r="K33" s="459">
        <v>218866</v>
      </c>
      <c r="L33" s="536">
        <v>69151</v>
      </c>
      <c r="M33" s="536">
        <v>4810678</v>
      </c>
      <c r="N33" s="536">
        <v>4741527</v>
      </c>
      <c r="O33" s="536">
        <v>100058</v>
      </c>
      <c r="P33" s="2099">
        <v>3.2140716400498253</v>
      </c>
    </row>
    <row r="34" spans="1:16">
      <c r="A34" s="2101"/>
      <c r="B34" s="2102" t="s">
        <v>59</v>
      </c>
      <c r="C34" s="460">
        <v>5350555</v>
      </c>
      <c r="D34" s="2190">
        <v>3242678</v>
      </c>
      <c r="E34" s="460">
        <v>197090</v>
      </c>
      <c r="F34" s="460">
        <v>1001266</v>
      </c>
      <c r="G34" s="460">
        <v>24492</v>
      </c>
      <c r="H34" s="460">
        <v>707557</v>
      </c>
      <c r="I34" s="460">
        <v>226803</v>
      </c>
      <c r="J34" s="460">
        <v>985</v>
      </c>
      <c r="K34" s="460">
        <v>-50316</v>
      </c>
      <c r="L34" s="537">
        <v>-93193</v>
      </c>
      <c r="M34" s="537">
        <v>4663952</v>
      </c>
      <c r="N34" s="537">
        <v>4757145</v>
      </c>
      <c r="O34" s="537">
        <v>22750</v>
      </c>
      <c r="P34" s="2104">
        <v>2.0550759001503081</v>
      </c>
    </row>
    <row r="35" spans="1:16">
      <c r="A35" s="2092" t="s">
        <v>938</v>
      </c>
      <c r="B35" s="2093" t="s">
        <v>48</v>
      </c>
      <c r="C35" s="2189">
        <v>5300886</v>
      </c>
      <c r="D35" s="2189">
        <v>3089261</v>
      </c>
      <c r="E35" s="459">
        <v>193210</v>
      </c>
      <c r="F35" s="459">
        <v>871587</v>
      </c>
      <c r="G35" s="459">
        <v>-3886</v>
      </c>
      <c r="H35" s="459">
        <v>679542</v>
      </c>
      <c r="I35" s="459">
        <v>125143</v>
      </c>
      <c r="J35" s="459">
        <v>-7203</v>
      </c>
      <c r="K35" s="459">
        <v>353232</v>
      </c>
      <c r="L35" s="536">
        <v>104105</v>
      </c>
      <c r="M35" s="536">
        <v>4528555</v>
      </c>
      <c r="N35" s="536">
        <v>4424450</v>
      </c>
      <c r="O35" s="536">
        <v>166111</v>
      </c>
      <c r="P35" s="2095">
        <v>2.9049802022782587</v>
      </c>
    </row>
    <row r="36" spans="1:16">
      <c r="A36" s="2096">
        <v>-2008</v>
      </c>
      <c r="B36" s="2097" t="s">
        <v>49</v>
      </c>
      <c r="C36" s="459">
        <v>5424451</v>
      </c>
      <c r="D36" s="2189">
        <v>3129772</v>
      </c>
      <c r="E36" s="459">
        <v>216116</v>
      </c>
      <c r="F36" s="459">
        <v>936919</v>
      </c>
      <c r="G36" s="459">
        <v>4725</v>
      </c>
      <c r="H36" s="459">
        <v>712627</v>
      </c>
      <c r="I36" s="459">
        <v>145666</v>
      </c>
      <c r="J36" s="459">
        <v>-7260</v>
      </c>
      <c r="K36" s="459">
        <v>285887</v>
      </c>
      <c r="L36" s="536">
        <v>27286</v>
      </c>
      <c r="M36" s="536">
        <v>4453836</v>
      </c>
      <c r="N36" s="536">
        <v>4426550</v>
      </c>
      <c r="O36" s="536">
        <v>103450</v>
      </c>
      <c r="P36" s="2099">
        <v>2.5798544952912268</v>
      </c>
    </row>
    <row r="37" spans="1:16">
      <c r="A37" s="2096"/>
      <c r="B37" s="2097" t="s">
        <v>50</v>
      </c>
      <c r="C37" s="459">
        <v>5247900</v>
      </c>
      <c r="D37" s="2189">
        <v>3138244</v>
      </c>
      <c r="E37" s="459">
        <v>222187</v>
      </c>
      <c r="F37" s="459">
        <v>894246</v>
      </c>
      <c r="G37" s="459">
        <v>35246</v>
      </c>
      <c r="H37" s="459">
        <v>686440</v>
      </c>
      <c r="I37" s="459">
        <v>215157</v>
      </c>
      <c r="J37" s="459">
        <v>-6944</v>
      </c>
      <c r="K37" s="459">
        <v>63323</v>
      </c>
      <c r="L37" s="536">
        <v>-97866</v>
      </c>
      <c r="M37" s="536">
        <v>4569139</v>
      </c>
      <c r="N37" s="536">
        <v>4667006</v>
      </c>
      <c r="O37" s="536">
        <v>175938</v>
      </c>
      <c r="P37" s="2099">
        <v>-3.1242388977766566</v>
      </c>
    </row>
    <row r="38" spans="1:16">
      <c r="A38" s="2105"/>
      <c r="B38" s="2102" t="s">
        <v>60</v>
      </c>
      <c r="C38" s="460">
        <v>4913255</v>
      </c>
      <c r="D38" s="2190">
        <v>3161332</v>
      </c>
      <c r="E38" s="460">
        <v>174086</v>
      </c>
      <c r="F38" s="460">
        <v>944182</v>
      </c>
      <c r="G38" s="460">
        <v>149080</v>
      </c>
      <c r="H38" s="460">
        <v>725812</v>
      </c>
      <c r="I38" s="460">
        <v>221648</v>
      </c>
      <c r="J38" s="460">
        <v>9395</v>
      </c>
      <c r="K38" s="460">
        <v>-472280</v>
      </c>
      <c r="L38" s="537">
        <v>-474336</v>
      </c>
      <c r="M38" s="537">
        <v>4164086</v>
      </c>
      <c r="N38" s="537">
        <v>4638422</v>
      </c>
      <c r="O38" s="537">
        <v>122927</v>
      </c>
      <c r="P38" s="2104">
        <v>-8.1729865252336253</v>
      </c>
    </row>
    <row r="39" spans="1:16">
      <c r="A39" s="2092" t="s">
        <v>939</v>
      </c>
      <c r="B39" s="2093" t="s">
        <v>48</v>
      </c>
      <c r="C39" s="2189">
        <v>4671576</v>
      </c>
      <c r="D39" s="2189">
        <v>3125051</v>
      </c>
      <c r="E39" s="459">
        <v>150681</v>
      </c>
      <c r="F39" s="459">
        <v>760690</v>
      </c>
      <c r="G39" s="459">
        <v>-20750</v>
      </c>
      <c r="H39" s="459">
        <v>713641</v>
      </c>
      <c r="I39" s="459">
        <v>155375</v>
      </c>
      <c r="J39" s="459">
        <v>4772</v>
      </c>
      <c r="K39" s="459">
        <v>-217884</v>
      </c>
      <c r="L39" s="536">
        <v>-216914</v>
      </c>
      <c r="M39" s="536">
        <v>3969677</v>
      </c>
      <c r="N39" s="536">
        <v>4186590</v>
      </c>
      <c r="O39" s="536">
        <v>49707</v>
      </c>
      <c r="P39" s="2095">
        <v>-11.871792078612692</v>
      </c>
    </row>
    <row r="40" spans="1:16">
      <c r="A40" s="2096">
        <v>-2009</v>
      </c>
      <c r="B40" s="2097" t="s">
        <v>49</v>
      </c>
      <c r="C40" s="459">
        <v>4812396</v>
      </c>
      <c r="D40" s="2189">
        <v>3147252</v>
      </c>
      <c r="E40" s="459">
        <v>163477</v>
      </c>
      <c r="F40" s="459">
        <v>810521</v>
      </c>
      <c r="G40" s="459">
        <v>-81800</v>
      </c>
      <c r="H40" s="459">
        <v>753344</v>
      </c>
      <c r="I40" s="459">
        <v>147833</v>
      </c>
      <c r="J40" s="459">
        <v>-658</v>
      </c>
      <c r="K40" s="459">
        <v>-127573</v>
      </c>
      <c r="L40" s="536">
        <v>-111558</v>
      </c>
      <c r="M40" s="536">
        <v>4019268</v>
      </c>
      <c r="N40" s="536">
        <v>4130826</v>
      </c>
      <c r="O40" s="536">
        <v>-15815</v>
      </c>
      <c r="P40" s="2099">
        <v>-11.283261297974461</v>
      </c>
    </row>
    <row r="41" spans="1:16">
      <c r="A41" s="2096"/>
      <c r="B41" s="2097" t="s">
        <v>50</v>
      </c>
      <c r="C41" s="459">
        <v>4994165</v>
      </c>
      <c r="D41" s="2189">
        <v>3218978</v>
      </c>
      <c r="E41" s="459">
        <v>166557</v>
      </c>
      <c r="F41" s="459">
        <v>790825</v>
      </c>
      <c r="G41" s="459">
        <v>-76014</v>
      </c>
      <c r="H41" s="459">
        <v>724945</v>
      </c>
      <c r="I41" s="459">
        <v>228332</v>
      </c>
      <c r="J41" s="459">
        <v>-163</v>
      </c>
      <c r="K41" s="459">
        <v>-59294</v>
      </c>
      <c r="L41" s="536">
        <v>-128479</v>
      </c>
      <c r="M41" s="536">
        <v>4270031</v>
      </c>
      <c r="N41" s="536">
        <v>4398510</v>
      </c>
      <c r="O41" s="536">
        <v>28517</v>
      </c>
      <c r="P41" s="2099">
        <v>-4.8349920728213229</v>
      </c>
    </row>
    <row r="42" spans="1:16">
      <c r="A42" s="2105"/>
      <c r="B42" s="2102" t="s">
        <v>61</v>
      </c>
      <c r="C42" s="460">
        <v>5027848</v>
      </c>
      <c r="D42" s="2190">
        <v>3188673</v>
      </c>
      <c r="E42" s="460">
        <v>159801</v>
      </c>
      <c r="F42" s="460">
        <v>891030</v>
      </c>
      <c r="G42" s="460">
        <v>-22698</v>
      </c>
      <c r="H42" s="460">
        <v>757106</v>
      </c>
      <c r="I42" s="460">
        <v>277796</v>
      </c>
      <c r="J42" s="460">
        <v>4321</v>
      </c>
      <c r="K42" s="460">
        <v>-228180</v>
      </c>
      <c r="L42" s="537">
        <v>-248151</v>
      </c>
      <c r="M42" s="537">
        <v>4177638</v>
      </c>
      <c r="N42" s="537">
        <v>4425789</v>
      </c>
      <c r="O42" s="537">
        <v>-39913</v>
      </c>
      <c r="P42" s="2104">
        <v>2.3323156715151305</v>
      </c>
    </row>
    <row r="43" spans="1:16">
      <c r="A43" s="2092" t="s">
        <v>940</v>
      </c>
      <c r="B43" s="2093" t="s">
        <v>48</v>
      </c>
      <c r="C43" s="2094">
        <v>5079826</v>
      </c>
      <c r="D43" s="458">
        <v>3165996</v>
      </c>
      <c r="E43" s="458">
        <v>149967</v>
      </c>
      <c r="F43" s="458">
        <v>776216</v>
      </c>
      <c r="G43" s="458">
        <v>-14262</v>
      </c>
      <c r="H43" s="458">
        <v>717506</v>
      </c>
      <c r="I43" s="458">
        <v>151156</v>
      </c>
      <c r="J43" s="458">
        <v>-4682</v>
      </c>
      <c r="K43" s="458">
        <v>137931</v>
      </c>
      <c r="L43" s="535">
        <v>76455</v>
      </c>
      <c r="M43" s="535">
        <v>4393440</v>
      </c>
      <c r="N43" s="535">
        <v>4316984</v>
      </c>
      <c r="O43" s="535">
        <v>85815</v>
      </c>
      <c r="P43" s="2095">
        <v>8.7390291184066982</v>
      </c>
    </row>
    <row r="44" spans="1:16">
      <c r="A44" s="2096">
        <v>-2010</v>
      </c>
      <c r="B44" s="2097" t="s">
        <v>49</v>
      </c>
      <c r="C44" s="2098">
        <v>5282074</v>
      </c>
      <c r="D44" s="459">
        <v>3238397</v>
      </c>
      <c r="E44" s="459">
        <v>170716</v>
      </c>
      <c r="F44" s="459">
        <v>850532</v>
      </c>
      <c r="G44" s="459">
        <v>-34984</v>
      </c>
      <c r="H44" s="459">
        <v>755758</v>
      </c>
      <c r="I44" s="459">
        <v>170043</v>
      </c>
      <c r="J44" s="459">
        <v>-6730</v>
      </c>
      <c r="K44" s="459">
        <v>138342</v>
      </c>
      <c r="L44" s="536">
        <v>89422</v>
      </c>
      <c r="M44" s="536">
        <v>4454316</v>
      </c>
      <c r="N44" s="536">
        <v>4364893</v>
      </c>
      <c r="O44" s="536">
        <v>21489</v>
      </c>
      <c r="P44" s="2099">
        <v>9.7597665658113772</v>
      </c>
    </row>
    <row r="45" spans="1:16">
      <c r="A45" s="2096"/>
      <c r="B45" s="2097" t="s">
        <v>50</v>
      </c>
      <c r="C45" s="2098">
        <v>5322332</v>
      </c>
      <c r="D45" s="459">
        <v>3245962</v>
      </c>
      <c r="E45" s="459">
        <v>180834</v>
      </c>
      <c r="F45" s="459">
        <v>837030</v>
      </c>
      <c r="G45" s="459">
        <v>-10563</v>
      </c>
      <c r="H45" s="459">
        <v>730301</v>
      </c>
      <c r="I45" s="459">
        <v>247209</v>
      </c>
      <c r="J45" s="459">
        <v>-4210</v>
      </c>
      <c r="K45" s="459">
        <v>95771</v>
      </c>
      <c r="L45" s="536">
        <v>4716</v>
      </c>
      <c r="M45" s="536">
        <v>4584946</v>
      </c>
      <c r="N45" s="536">
        <v>4580230</v>
      </c>
      <c r="O45" s="536">
        <v>74716</v>
      </c>
      <c r="P45" s="2099">
        <v>6.571024701334288</v>
      </c>
    </row>
    <row r="46" spans="1:16">
      <c r="A46" s="2105"/>
      <c r="B46" s="2102" t="s">
        <v>62</v>
      </c>
      <c r="C46" s="2103">
        <v>5220035</v>
      </c>
      <c r="D46" s="460">
        <v>3194507</v>
      </c>
      <c r="E46" s="460">
        <v>171375</v>
      </c>
      <c r="F46" s="460">
        <v>952238</v>
      </c>
      <c r="G46" s="460">
        <v>7968</v>
      </c>
      <c r="H46" s="460">
        <v>770067</v>
      </c>
      <c r="I46" s="460">
        <v>299144</v>
      </c>
      <c r="J46" s="460">
        <v>-2480</v>
      </c>
      <c r="K46" s="460">
        <v>-172784</v>
      </c>
      <c r="L46" s="537">
        <v>-200688</v>
      </c>
      <c r="M46" s="537">
        <v>4400228</v>
      </c>
      <c r="N46" s="537">
        <v>4600916</v>
      </c>
      <c r="O46" s="537">
        <v>12100</v>
      </c>
      <c r="P46" s="2104">
        <v>3.8224488027385739</v>
      </c>
    </row>
    <row r="47" spans="1:16">
      <c r="A47" s="2106" t="s">
        <v>941</v>
      </c>
      <c r="B47" s="2107" t="s">
        <v>48</v>
      </c>
      <c r="C47" s="2121">
        <v>4938800</v>
      </c>
      <c r="D47" s="2122">
        <v>3190748</v>
      </c>
      <c r="E47" s="2122">
        <v>156780</v>
      </c>
      <c r="F47" s="2122">
        <v>750033</v>
      </c>
      <c r="G47" s="2122">
        <v>70533</v>
      </c>
      <c r="H47" s="2122">
        <v>732487</v>
      </c>
      <c r="I47" s="2122">
        <v>114673</v>
      </c>
      <c r="J47" s="2122">
        <v>3195</v>
      </c>
      <c r="K47" s="2191">
        <v>-79649</v>
      </c>
      <c r="L47" s="2192">
        <v>-126559</v>
      </c>
      <c r="M47" s="2192">
        <v>4204429</v>
      </c>
      <c r="N47" s="2193">
        <v>4330988</v>
      </c>
      <c r="O47" s="2193">
        <v>108561</v>
      </c>
      <c r="P47" s="2109">
        <v>-2.7761896242973703</v>
      </c>
    </row>
    <row r="48" spans="1:16">
      <c r="A48" s="2111">
        <v>-2011</v>
      </c>
      <c r="B48" s="2112" t="s">
        <v>49</v>
      </c>
      <c r="C48" s="2125">
        <v>5203837</v>
      </c>
      <c r="D48" s="2126">
        <v>3242109</v>
      </c>
      <c r="E48" s="2126">
        <v>187271</v>
      </c>
      <c r="F48" s="2126">
        <v>826956</v>
      </c>
      <c r="G48" s="2126">
        <v>-4729</v>
      </c>
      <c r="H48" s="2126">
        <v>769772</v>
      </c>
      <c r="I48" s="2126">
        <v>119449</v>
      </c>
      <c r="J48" s="2126">
        <v>-2654</v>
      </c>
      <c r="K48" s="2141">
        <v>65662</v>
      </c>
      <c r="L48" s="2194">
        <v>-4794</v>
      </c>
      <c r="M48" s="2194">
        <v>4315767</v>
      </c>
      <c r="N48" s="2195">
        <v>4320561</v>
      </c>
      <c r="O48" s="2195">
        <v>54171</v>
      </c>
      <c r="P48" s="2114">
        <v>-1.4811878776645668</v>
      </c>
    </row>
    <row r="49" spans="1:16">
      <c r="A49" s="2111"/>
      <c r="B49" s="2112" t="s">
        <v>50</v>
      </c>
      <c r="C49" s="2125">
        <v>5224617</v>
      </c>
      <c r="D49" s="2126">
        <v>3284720</v>
      </c>
      <c r="E49" s="2126">
        <v>184658</v>
      </c>
      <c r="F49" s="2126">
        <v>867445</v>
      </c>
      <c r="G49" s="2126">
        <v>-13951</v>
      </c>
      <c r="H49" s="2126">
        <v>743236</v>
      </c>
      <c r="I49" s="2126">
        <v>201398</v>
      </c>
      <c r="J49" s="2126">
        <v>-3297</v>
      </c>
      <c r="K49" s="2141">
        <v>-39592</v>
      </c>
      <c r="L49" s="2194">
        <v>-147974</v>
      </c>
      <c r="M49" s="2194">
        <v>4454570</v>
      </c>
      <c r="N49" s="2195">
        <v>4602545</v>
      </c>
      <c r="O49" s="2195">
        <v>112097</v>
      </c>
      <c r="P49" s="2114">
        <v>-1.8359538419336674</v>
      </c>
    </row>
    <row r="50" spans="1:16">
      <c r="A50" s="2116"/>
      <c r="B50" s="2117" t="s">
        <v>0</v>
      </c>
      <c r="C50" s="2125">
        <v>5274743</v>
      </c>
      <c r="D50" s="2126">
        <v>3269208</v>
      </c>
      <c r="E50" s="2126">
        <v>174976</v>
      </c>
      <c r="F50" s="2126">
        <v>978002</v>
      </c>
      <c r="G50" s="2126">
        <v>19396</v>
      </c>
      <c r="H50" s="2126">
        <v>788567</v>
      </c>
      <c r="I50" s="2126">
        <v>245672</v>
      </c>
      <c r="J50" s="2126">
        <v>-686</v>
      </c>
      <c r="K50" s="2141">
        <v>-200392</v>
      </c>
      <c r="L50" s="2194">
        <v>-290012</v>
      </c>
      <c r="M50" s="2194">
        <v>4394142</v>
      </c>
      <c r="N50" s="2195">
        <v>4684153</v>
      </c>
      <c r="O50" s="2195">
        <v>59555</v>
      </c>
      <c r="P50" s="2120">
        <v>1.048040449620778</v>
      </c>
    </row>
    <row r="51" spans="1:16">
      <c r="A51" s="2106" t="s">
        <v>942</v>
      </c>
      <c r="B51" s="2132" t="s">
        <v>48</v>
      </c>
      <c r="C51" s="2121">
        <v>5042847</v>
      </c>
      <c r="D51" s="2122">
        <v>3175530</v>
      </c>
      <c r="E51" s="2122">
        <v>161757</v>
      </c>
      <c r="F51" s="2122">
        <v>775555</v>
      </c>
      <c r="G51" s="2122">
        <v>6241</v>
      </c>
      <c r="H51" s="2122">
        <v>742019</v>
      </c>
      <c r="I51" s="2122">
        <v>114303</v>
      </c>
      <c r="J51" s="2122">
        <v>29</v>
      </c>
      <c r="K51" s="2191">
        <v>67413</v>
      </c>
      <c r="L51" s="2192">
        <v>-24900</v>
      </c>
      <c r="M51" s="2192">
        <v>4278267</v>
      </c>
      <c r="N51" s="2193">
        <v>4303167</v>
      </c>
      <c r="O51" s="2193">
        <v>127361</v>
      </c>
      <c r="P51" s="2109">
        <v>2.1067157938433843</v>
      </c>
    </row>
    <row r="52" spans="1:16">
      <c r="A52" s="2111">
        <v>-2012</v>
      </c>
      <c r="B52" s="2133" t="s">
        <v>49</v>
      </c>
      <c r="C52" s="2123">
        <v>5119409</v>
      </c>
      <c r="D52" s="2124">
        <v>3242702</v>
      </c>
      <c r="E52" s="2124">
        <v>183532</v>
      </c>
      <c r="F52" s="2124">
        <v>837123</v>
      </c>
      <c r="G52" s="2124">
        <v>-14230</v>
      </c>
      <c r="H52" s="2124">
        <v>778002</v>
      </c>
      <c r="I52" s="2124">
        <v>145087</v>
      </c>
      <c r="J52" s="2124">
        <v>-276</v>
      </c>
      <c r="K52" s="2196">
        <v>-52532</v>
      </c>
      <c r="L52" s="2194">
        <v>-111520</v>
      </c>
      <c r="M52" s="2194">
        <v>4247891</v>
      </c>
      <c r="N52" s="2195">
        <v>4359410</v>
      </c>
      <c r="O52" s="2195">
        <v>75533</v>
      </c>
      <c r="P52" s="2114">
        <v>-1.622417513617326</v>
      </c>
    </row>
    <row r="53" spans="1:16">
      <c r="A53" s="2111"/>
      <c r="B53" s="2133" t="s">
        <v>50</v>
      </c>
      <c r="C53" s="2125">
        <v>5167752</v>
      </c>
      <c r="D53" s="2126">
        <v>3321666</v>
      </c>
      <c r="E53" s="2126">
        <v>190522</v>
      </c>
      <c r="F53" s="2126">
        <v>828969</v>
      </c>
      <c r="G53" s="2126">
        <v>-12817</v>
      </c>
      <c r="H53" s="2126">
        <v>752912</v>
      </c>
      <c r="I53" s="2126">
        <v>208750</v>
      </c>
      <c r="J53" s="2126">
        <v>-246</v>
      </c>
      <c r="K53" s="2141">
        <v>-122004</v>
      </c>
      <c r="L53" s="2194">
        <v>-256980</v>
      </c>
      <c r="M53" s="2194">
        <v>4342394</v>
      </c>
      <c r="N53" s="2195">
        <v>4599374</v>
      </c>
      <c r="O53" s="2195">
        <v>140464</v>
      </c>
      <c r="P53" s="2114">
        <v>-1.0884105238085429</v>
      </c>
    </row>
    <row r="54" spans="1:16">
      <c r="A54" s="2116"/>
      <c r="B54" s="2134" t="s">
        <v>865</v>
      </c>
      <c r="C54" s="2118">
        <v>5255247</v>
      </c>
      <c r="D54" s="2119">
        <v>3332871</v>
      </c>
      <c r="E54" s="2119">
        <v>182184</v>
      </c>
      <c r="F54" s="2119">
        <v>934970</v>
      </c>
      <c r="G54" s="2119">
        <v>36568</v>
      </c>
      <c r="H54" s="2119">
        <v>787459</v>
      </c>
      <c r="I54" s="2119">
        <v>253349</v>
      </c>
      <c r="J54" s="2119">
        <v>438</v>
      </c>
      <c r="K54" s="2197">
        <v>-272592</v>
      </c>
      <c r="L54" s="2198">
        <v>-438558</v>
      </c>
      <c r="M54" s="2198">
        <v>4275161</v>
      </c>
      <c r="N54" s="2199">
        <v>4713719</v>
      </c>
      <c r="O54" s="2199">
        <v>94724</v>
      </c>
      <c r="P54" s="2120">
        <v>-0.36960353719661676</v>
      </c>
    </row>
    <row r="55" spans="1:16">
      <c r="A55" s="2106" t="s">
        <v>943</v>
      </c>
      <c r="B55" s="2107" t="s">
        <v>48</v>
      </c>
      <c r="C55" s="2121">
        <v>5189352</v>
      </c>
      <c r="D55" s="2200">
        <v>3266190</v>
      </c>
      <c r="E55" s="2122">
        <v>163904</v>
      </c>
      <c r="F55" s="2122">
        <v>785851</v>
      </c>
      <c r="G55" s="2122">
        <v>33930</v>
      </c>
      <c r="H55" s="2122">
        <v>754235</v>
      </c>
      <c r="I55" s="2122">
        <v>134252</v>
      </c>
      <c r="J55" s="2122">
        <v>5381</v>
      </c>
      <c r="K55" s="2191">
        <v>45609</v>
      </c>
      <c r="L55" s="2192">
        <v>-13969</v>
      </c>
      <c r="M55" s="2192">
        <v>4258936</v>
      </c>
      <c r="N55" s="2193">
        <v>4272905</v>
      </c>
      <c r="O55" s="2193">
        <v>107899</v>
      </c>
      <c r="P55" s="2109">
        <v>2.9052151474101287</v>
      </c>
    </row>
    <row r="56" spans="1:16">
      <c r="A56" s="2111">
        <v>-2013</v>
      </c>
      <c r="B56" s="2112" t="s">
        <v>49</v>
      </c>
      <c r="C56" s="2125">
        <v>5327049</v>
      </c>
      <c r="D56" s="2201">
        <v>3334268</v>
      </c>
      <c r="E56" s="2126">
        <v>180478</v>
      </c>
      <c r="F56" s="2126">
        <v>862814</v>
      </c>
      <c r="G56" s="2126">
        <v>5616</v>
      </c>
      <c r="H56" s="2126">
        <v>792147</v>
      </c>
      <c r="I56" s="2126">
        <v>202470</v>
      </c>
      <c r="J56" s="2126">
        <v>3178</v>
      </c>
      <c r="K56" s="2141">
        <v>-53922</v>
      </c>
      <c r="L56" s="2194">
        <v>-114862</v>
      </c>
      <c r="M56" s="2194">
        <v>4253738</v>
      </c>
      <c r="N56" s="2195">
        <v>4368601</v>
      </c>
      <c r="O56" s="2195">
        <v>60311</v>
      </c>
      <c r="P56" s="2114">
        <v>4.0559319786832262</v>
      </c>
    </row>
    <row r="57" spans="1:16">
      <c r="A57" s="2111"/>
      <c r="B57" s="2112" t="s">
        <v>50</v>
      </c>
      <c r="C57" s="2125">
        <v>5376177</v>
      </c>
      <c r="D57" s="2201">
        <v>3367600</v>
      </c>
      <c r="E57" s="2126">
        <v>201914</v>
      </c>
      <c r="F57" s="2126">
        <v>863145</v>
      </c>
      <c r="G57" s="2126">
        <v>-14269</v>
      </c>
      <c r="H57" s="2126">
        <v>762593</v>
      </c>
      <c r="I57" s="2126">
        <v>232148</v>
      </c>
      <c r="J57" s="2126">
        <v>1741</v>
      </c>
      <c r="K57" s="2141">
        <v>-38694</v>
      </c>
      <c r="L57" s="2194">
        <v>-167521</v>
      </c>
      <c r="M57" s="2194">
        <v>4385501</v>
      </c>
      <c r="N57" s="2195">
        <v>4553022</v>
      </c>
      <c r="O57" s="2195">
        <v>121971</v>
      </c>
      <c r="P57" s="2114">
        <v>4.033199027334522</v>
      </c>
    </row>
    <row r="58" spans="1:16">
      <c r="A58" s="2116"/>
      <c r="B58" s="2117" t="s">
        <v>121</v>
      </c>
      <c r="C58" s="2118">
        <v>5446798</v>
      </c>
      <c r="D58" s="2202">
        <v>3423949</v>
      </c>
      <c r="E58" s="2119">
        <v>206679</v>
      </c>
      <c r="F58" s="2119">
        <v>1026217</v>
      </c>
      <c r="G58" s="2119">
        <v>16588</v>
      </c>
      <c r="H58" s="2119">
        <v>798887</v>
      </c>
      <c r="I58" s="2119">
        <v>261057</v>
      </c>
      <c r="J58" s="2119">
        <v>3933</v>
      </c>
      <c r="K58" s="2197">
        <v>-290511</v>
      </c>
      <c r="L58" s="2198">
        <v>-423511</v>
      </c>
      <c r="M58" s="2198">
        <v>4393563</v>
      </c>
      <c r="N58" s="2199">
        <v>4817074</v>
      </c>
      <c r="O58" s="2199">
        <v>69878</v>
      </c>
      <c r="P58" s="2120">
        <v>3.6449456969801854</v>
      </c>
    </row>
    <row r="59" spans="1:16">
      <c r="A59" s="2106" t="s">
        <v>998</v>
      </c>
      <c r="B59" s="2107" t="s">
        <v>48</v>
      </c>
      <c r="C59" s="2121">
        <v>5083850</v>
      </c>
      <c r="D59" s="2122">
        <v>3147667</v>
      </c>
      <c r="E59" s="2122">
        <v>166662</v>
      </c>
      <c r="F59" s="2122">
        <v>787945</v>
      </c>
      <c r="G59" s="2122">
        <v>6084</v>
      </c>
      <c r="H59" s="2122">
        <v>756131</v>
      </c>
      <c r="I59" s="2122">
        <v>130162</v>
      </c>
      <c r="J59" s="2122">
        <v>4256</v>
      </c>
      <c r="K59" s="2191">
        <v>84943</v>
      </c>
      <c r="L59" s="2192">
        <v>146184</v>
      </c>
      <c r="M59" s="2192">
        <v>4267113</v>
      </c>
      <c r="N59" s="2193">
        <v>4120929</v>
      </c>
      <c r="O59" s="2193">
        <v>-6171</v>
      </c>
      <c r="P59" s="2109">
        <v>-2.0330577438870416</v>
      </c>
    </row>
    <row r="60" spans="1:16">
      <c r="A60" s="2111">
        <v>-2014</v>
      </c>
      <c r="B60" s="2112" t="s">
        <v>49</v>
      </c>
      <c r="C60" s="2127">
        <v>5213658</v>
      </c>
      <c r="D60" s="2128">
        <v>3204519</v>
      </c>
      <c r="E60" s="2128">
        <v>176081</v>
      </c>
      <c r="F60" s="2128">
        <v>870946</v>
      </c>
      <c r="G60" s="2128">
        <v>-24803</v>
      </c>
      <c r="H60" s="2128">
        <v>795990</v>
      </c>
      <c r="I60" s="2128">
        <v>167816</v>
      </c>
      <c r="J60" s="2128">
        <v>2169</v>
      </c>
      <c r="K60" s="2203">
        <v>20940</v>
      </c>
      <c r="L60" s="2194">
        <v>76361</v>
      </c>
      <c r="M60" s="2194">
        <v>4269361</v>
      </c>
      <c r="N60" s="2195">
        <v>4192999</v>
      </c>
      <c r="O60" s="2195">
        <v>-54485</v>
      </c>
      <c r="P60" s="2114">
        <v>-2.1285836119194634</v>
      </c>
    </row>
    <row r="61" spans="1:16">
      <c r="A61" s="2111"/>
      <c r="B61" s="2112" t="s">
        <v>50</v>
      </c>
      <c r="C61" s="2125">
        <v>5362826</v>
      </c>
      <c r="D61" s="2126">
        <v>3284977</v>
      </c>
      <c r="E61" s="2126">
        <v>189319</v>
      </c>
      <c r="F61" s="2126">
        <v>868402</v>
      </c>
      <c r="G61" s="2126">
        <v>-26705</v>
      </c>
      <c r="H61" s="2126">
        <v>765132</v>
      </c>
      <c r="I61" s="2126">
        <v>225129</v>
      </c>
      <c r="J61" s="2126">
        <v>2383</v>
      </c>
      <c r="K61" s="2141">
        <v>54190</v>
      </c>
      <c r="L61" s="2194">
        <v>-12332</v>
      </c>
      <c r="M61" s="2194">
        <v>4479145</v>
      </c>
      <c r="N61" s="2195">
        <v>4491477</v>
      </c>
      <c r="O61" s="2195">
        <v>20248</v>
      </c>
      <c r="P61" s="2114">
        <v>-0.24834152552807306</v>
      </c>
    </row>
    <row r="62" spans="1:16">
      <c r="A62" s="2116"/>
      <c r="B62" s="2117" t="s">
        <v>999</v>
      </c>
      <c r="C62" s="2118">
        <v>5432596</v>
      </c>
      <c r="D62" s="2119">
        <v>3294496</v>
      </c>
      <c r="E62" s="2119">
        <v>178981</v>
      </c>
      <c r="F62" s="2119">
        <v>1050674</v>
      </c>
      <c r="G62" s="2119">
        <v>15446</v>
      </c>
      <c r="H62" s="2119">
        <v>812187</v>
      </c>
      <c r="I62" s="2119">
        <v>232966</v>
      </c>
      <c r="J62" s="2119">
        <v>6423</v>
      </c>
      <c r="K62" s="2197">
        <v>-158579</v>
      </c>
      <c r="L62" s="2198">
        <v>-197136</v>
      </c>
      <c r="M62" s="2198">
        <v>4466056</v>
      </c>
      <c r="N62" s="2199">
        <v>4663191</v>
      </c>
      <c r="O62" s="2199">
        <v>-15250</v>
      </c>
      <c r="P62" s="2120">
        <v>-0.2607451208091085</v>
      </c>
    </row>
    <row r="63" spans="1:16">
      <c r="A63" s="2106" t="s">
        <v>1031</v>
      </c>
      <c r="B63" s="2107" t="s">
        <v>48</v>
      </c>
      <c r="C63" s="2121">
        <v>5302186</v>
      </c>
      <c r="D63" s="2126">
        <v>3206897</v>
      </c>
      <c r="E63" s="2126">
        <v>174040</v>
      </c>
      <c r="F63" s="2126">
        <v>819394</v>
      </c>
      <c r="G63" s="2126">
        <v>59825</v>
      </c>
      <c r="H63" s="2126">
        <v>766599</v>
      </c>
      <c r="I63" s="2126">
        <v>159009</v>
      </c>
      <c r="J63" s="2126">
        <v>-655</v>
      </c>
      <c r="K63" s="2141">
        <v>117077</v>
      </c>
      <c r="L63" s="2194">
        <v>55423</v>
      </c>
      <c r="M63" s="2194">
        <v>4372067</v>
      </c>
      <c r="N63" s="2195">
        <v>4316644</v>
      </c>
      <c r="O63" s="2195">
        <v>74263</v>
      </c>
      <c r="P63" s="2109">
        <v>4.2947097398498855</v>
      </c>
    </row>
    <row r="64" spans="1:16">
      <c r="A64" s="2111">
        <v>-2015</v>
      </c>
      <c r="B64" s="2112" t="s">
        <v>49</v>
      </c>
      <c r="C64" s="2125">
        <v>5425141</v>
      </c>
      <c r="D64" s="2126">
        <v>3289222</v>
      </c>
      <c r="E64" s="2126">
        <v>184738</v>
      </c>
      <c r="F64" s="2126">
        <v>893652</v>
      </c>
      <c r="G64" s="2126">
        <v>9111</v>
      </c>
      <c r="H64" s="2126">
        <v>805617</v>
      </c>
      <c r="I64" s="2126">
        <v>171404</v>
      </c>
      <c r="J64" s="2126">
        <v>-5874</v>
      </c>
      <c r="K64" s="2141">
        <v>77272</v>
      </c>
      <c r="L64" s="2194">
        <v>8606</v>
      </c>
      <c r="M64" s="2194">
        <v>4417723</v>
      </c>
      <c r="N64" s="2195">
        <v>4409117</v>
      </c>
      <c r="O64" s="2195">
        <v>32443</v>
      </c>
      <c r="P64" s="2114">
        <v>4.0563211237607444</v>
      </c>
    </row>
    <row r="65" spans="1:16">
      <c r="A65" s="2111"/>
      <c r="B65" s="2112" t="s">
        <v>50</v>
      </c>
      <c r="C65" s="2127">
        <v>5487396</v>
      </c>
      <c r="D65" s="2128">
        <v>3307403</v>
      </c>
      <c r="E65" s="2128">
        <v>194904</v>
      </c>
      <c r="F65" s="2128">
        <v>890851</v>
      </c>
      <c r="G65" s="2128">
        <v>-2463</v>
      </c>
      <c r="H65" s="2128">
        <v>779835</v>
      </c>
      <c r="I65" s="2128">
        <v>208746</v>
      </c>
      <c r="J65" s="2128">
        <v>-7589</v>
      </c>
      <c r="K65" s="2203">
        <v>115710</v>
      </c>
      <c r="L65" s="2194">
        <v>-1378</v>
      </c>
      <c r="M65" s="2194">
        <v>4589384</v>
      </c>
      <c r="N65" s="2195">
        <v>4590762</v>
      </c>
      <c r="O65" s="2195">
        <v>95915</v>
      </c>
      <c r="P65" s="2114">
        <v>2.3228495703561549</v>
      </c>
    </row>
    <row r="66" spans="1:16">
      <c r="A66" s="2116"/>
      <c r="B66" s="2117" t="s">
        <v>1032</v>
      </c>
      <c r="C66" s="2118">
        <v>5549439</v>
      </c>
      <c r="D66" s="2119">
        <v>3271883</v>
      </c>
      <c r="E66" s="2119">
        <v>193936</v>
      </c>
      <c r="F66" s="2119">
        <v>1028584</v>
      </c>
      <c r="G66" s="2119">
        <v>91254</v>
      </c>
      <c r="H66" s="2119">
        <v>838940</v>
      </c>
      <c r="I66" s="2119">
        <v>245405</v>
      </c>
      <c r="J66" s="2119">
        <v>2295</v>
      </c>
      <c r="K66" s="2197">
        <v>-122857</v>
      </c>
      <c r="L66" s="2198">
        <v>-153114</v>
      </c>
      <c r="M66" s="2198">
        <v>4552624</v>
      </c>
      <c r="N66" s="2199">
        <v>4705738</v>
      </c>
      <c r="O66" s="2199">
        <v>39025</v>
      </c>
      <c r="P66" s="2120">
        <v>2.1507739027771064</v>
      </c>
    </row>
    <row r="67" spans="1:16">
      <c r="A67" s="2106" t="s">
        <v>1053</v>
      </c>
      <c r="B67" s="2107" t="s">
        <v>48</v>
      </c>
      <c r="C67" s="2121">
        <v>5309405</v>
      </c>
      <c r="D67" s="2122">
        <v>3185519</v>
      </c>
      <c r="E67" s="2122">
        <v>183343</v>
      </c>
      <c r="F67" s="2122">
        <v>838820</v>
      </c>
      <c r="G67" s="2122">
        <v>5176</v>
      </c>
      <c r="H67" s="2122">
        <v>781054</v>
      </c>
      <c r="I67" s="2122">
        <v>148796</v>
      </c>
      <c r="J67" s="2122">
        <v>-4742</v>
      </c>
      <c r="K67" s="2191">
        <v>171439</v>
      </c>
      <c r="L67" s="2192">
        <v>80564</v>
      </c>
      <c r="M67" s="2192">
        <v>4437791</v>
      </c>
      <c r="N67" s="2193">
        <v>4357226</v>
      </c>
      <c r="O67" s="2193">
        <v>125316</v>
      </c>
      <c r="P67" s="2109">
        <v>0.13614501085152234</v>
      </c>
    </row>
    <row r="68" spans="1:16">
      <c r="A68" s="2111">
        <v>-2016</v>
      </c>
      <c r="B68" s="2112" t="s">
        <v>49</v>
      </c>
      <c r="C68" s="2127">
        <v>5439992</v>
      </c>
      <c r="D68" s="2128">
        <v>3241788</v>
      </c>
      <c r="E68" s="2128">
        <v>196374</v>
      </c>
      <c r="F68" s="2128">
        <v>910287</v>
      </c>
      <c r="G68" s="2128">
        <v>-41520</v>
      </c>
      <c r="H68" s="2128">
        <v>823956</v>
      </c>
      <c r="I68" s="2128">
        <v>179245</v>
      </c>
      <c r="J68" s="2128">
        <v>-9603</v>
      </c>
      <c r="K68" s="2203">
        <v>139465</v>
      </c>
      <c r="L68" s="2194">
        <v>70922</v>
      </c>
      <c r="M68" s="2194">
        <v>4447505</v>
      </c>
      <c r="N68" s="2195">
        <v>4376583</v>
      </c>
      <c r="O68" s="2195">
        <v>69738</v>
      </c>
      <c r="P68" s="2114">
        <v>0.27375089627924659</v>
      </c>
    </row>
    <row r="69" spans="1:16">
      <c r="A69" s="2111"/>
      <c r="B69" s="2112" t="s">
        <v>50</v>
      </c>
      <c r="C69" s="2127">
        <v>5554398</v>
      </c>
      <c r="D69" s="2128">
        <v>3306385</v>
      </c>
      <c r="E69" s="2128">
        <v>191114</v>
      </c>
      <c r="F69" s="2128">
        <v>919279</v>
      </c>
      <c r="G69" s="2128">
        <v>-69271</v>
      </c>
      <c r="H69" s="2128">
        <v>787560</v>
      </c>
      <c r="I69" s="2128">
        <v>235385</v>
      </c>
      <c r="J69" s="2128">
        <v>-11404</v>
      </c>
      <c r="K69" s="2203">
        <v>195350</v>
      </c>
      <c r="L69" s="2194">
        <v>5502</v>
      </c>
      <c r="M69" s="2194">
        <v>4638440</v>
      </c>
      <c r="N69" s="2195">
        <v>4632938</v>
      </c>
      <c r="O69" s="2195">
        <v>143632</v>
      </c>
      <c r="P69" s="2114">
        <v>1.2210075070755209</v>
      </c>
    </row>
    <row r="70" spans="1:16">
      <c r="A70" s="2116"/>
      <c r="B70" s="2117" t="s">
        <v>1054</v>
      </c>
      <c r="C70" s="2129">
        <v>5634688</v>
      </c>
      <c r="D70" s="2130">
        <v>3262905</v>
      </c>
      <c r="E70" s="2130">
        <v>182735</v>
      </c>
      <c r="F70" s="2130">
        <v>1062354</v>
      </c>
      <c r="G70" s="2130">
        <v>40755</v>
      </c>
      <c r="H70" s="2130">
        <v>832827</v>
      </c>
      <c r="I70" s="2130">
        <v>242119</v>
      </c>
      <c r="J70" s="2130">
        <v>-986</v>
      </c>
      <c r="K70" s="2204">
        <v>11978</v>
      </c>
      <c r="L70" s="2198">
        <v>-164287</v>
      </c>
      <c r="M70" s="2198">
        <v>4545911</v>
      </c>
      <c r="N70" s="2199">
        <v>4710198</v>
      </c>
      <c r="O70" s="2199">
        <v>78958</v>
      </c>
      <c r="P70" s="2120">
        <v>1.5361867759772698</v>
      </c>
    </row>
    <row r="71" spans="1:16">
      <c r="A71" s="2106" t="s">
        <v>1078</v>
      </c>
      <c r="B71" s="2107" t="s">
        <v>48</v>
      </c>
      <c r="C71" s="2205">
        <v>5365902</v>
      </c>
      <c r="D71" s="2136">
        <v>3222617</v>
      </c>
      <c r="E71" s="2136">
        <v>164876</v>
      </c>
      <c r="F71" s="2136">
        <v>848232</v>
      </c>
      <c r="G71" s="2136">
        <v>30168</v>
      </c>
      <c r="H71" s="2136">
        <v>787335</v>
      </c>
      <c r="I71" s="2136">
        <v>141126</v>
      </c>
      <c r="J71" s="2136">
        <v>5143</v>
      </c>
      <c r="K71" s="2206">
        <v>166405</v>
      </c>
      <c r="L71" s="2192">
        <v>155940</v>
      </c>
      <c r="M71" s="2192">
        <v>4577820</v>
      </c>
      <c r="N71" s="2193">
        <v>4421880</v>
      </c>
      <c r="O71" s="2193">
        <v>28440</v>
      </c>
      <c r="P71" s="2109">
        <v>1.0640881879839867</v>
      </c>
    </row>
    <row r="72" spans="1:16">
      <c r="A72" s="2111">
        <v>-2017</v>
      </c>
      <c r="B72" s="2112" t="s">
        <v>49</v>
      </c>
      <c r="C72" s="2125">
        <v>5559262</v>
      </c>
      <c r="D72" s="2128">
        <v>3270374</v>
      </c>
      <c r="E72" s="2128">
        <v>172451</v>
      </c>
      <c r="F72" s="2128">
        <v>928263</v>
      </c>
      <c r="G72" s="2128">
        <v>13110</v>
      </c>
      <c r="H72" s="2128">
        <v>829599</v>
      </c>
      <c r="I72" s="2128">
        <v>178548</v>
      </c>
      <c r="J72" s="2128">
        <v>3418</v>
      </c>
      <c r="K72" s="2203">
        <v>163498</v>
      </c>
      <c r="L72" s="2194">
        <v>144819</v>
      </c>
      <c r="M72" s="2194">
        <v>4591410</v>
      </c>
      <c r="N72" s="2195">
        <v>4446591</v>
      </c>
      <c r="O72" s="2195">
        <v>-19112</v>
      </c>
      <c r="P72" s="2114">
        <v>2.1924642580220257</v>
      </c>
    </row>
    <row r="73" spans="1:16">
      <c r="A73" s="2111"/>
      <c r="B73" s="2112" t="s">
        <v>50</v>
      </c>
      <c r="C73" s="2125">
        <v>5676192</v>
      </c>
      <c r="D73" s="2128">
        <v>3343883</v>
      </c>
      <c r="E73" s="2128">
        <v>185834</v>
      </c>
      <c r="F73" s="2128">
        <v>942815</v>
      </c>
      <c r="G73" s="2128">
        <v>-14716</v>
      </c>
      <c r="H73" s="2128">
        <v>794728</v>
      </c>
      <c r="I73" s="2128">
        <v>230840</v>
      </c>
      <c r="J73" s="2128">
        <v>842</v>
      </c>
      <c r="K73" s="2203">
        <v>191966</v>
      </c>
      <c r="L73" s="2194">
        <v>67278</v>
      </c>
      <c r="M73" s="2194">
        <v>4774326</v>
      </c>
      <c r="N73" s="2195">
        <v>4707047</v>
      </c>
      <c r="O73" s="2195">
        <v>45478</v>
      </c>
      <c r="P73" s="2114">
        <v>2.1927451244454739</v>
      </c>
    </row>
    <row r="74" spans="1:16">
      <c r="A74" s="2116"/>
      <c r="B74" s="2117" t="s">
        <v>1079</v>
      </c>
      <c r="C74" s="2207">
        <v>5679894</v>
      </c>
      <c r="D74" s="2119">
        <v>3291231</v>
      </c>
      <c r="E74" s="2119">
        <v>172097</v>
      </c>
      <c r="F74" s="2119">
        <v>1082995</v>
      </c>
      <c r="G74" s="2119">
        <v>24425</v>
      </c>
      <c r="H74" s="2119">
        <v>837563</v>
      </c>
      <c r="I74" s="2119">
        <v>226372</v>
      </c>
      <c r="J74" s="2119">
        <v>4075</v>
      </c>
      <c r="K74" s="2197">
        <v>41135</v>
      </c>
      <c r="L74" s="2198">
        <v>-15542</v>
      </c>
      <c r="M74" s="2198">
        <v>4675486</v>
      </c>
      <c r="N74" s="2199">
        <v>4691029</v>
      </c>
      <c r="O74" s="2199">
        <v>-21185</v>
      </c>
      <c r="P74" s="2120">
        <v>0.80226886813835274</v>
      </c>
    </row>
    <row r="75" spans="1:16">
      <c r="A75" s="2106" t="s">
        <v>1116</v>
      </c>
      <c r="B75" s="2107" t="s">
        <v>48</v>
      </c>
      <c r="C75" s="2205">
        <v>5434825</v>
      </c>
      <c r="D75" s="2122">
        <v>3236424</v>
      </c>
      <c r="E75" s="2122">
        <v>155217</v>
      </c>
      <c r="F75" s="2122">
        <v>860403</v>
      </c>
      <c r="G75" s="2122">
        <v>50939</v>
      </c>
      <c r="H75" s="2122">
        <v>788885</v>
      </c>
      <c r="I75" s="2122">
        <v>142453</v>
      </c>
      <c r="J75" s="2122">
        <v>-314</v>
      </c>
      <c r="K75" s="2191">
        <v>200818</v>
      </c>
      <c r="L75" s="2192">
        <v>141044</v>
      </c>
      <c r="M75" s="2192">
        <v>4621801</v>
      </c>
      <c r="N75" s="2193">
        <v>4480757</v>
      </c>
      <c r="O75" s="2193">
        <v>36855</v>
      </c>
      <c r="P75" s="2109">
        <v>1.2844613716279625</v>
      </c>
    </row>
    <row r="76" spans="1:16">
      <c r="A76" s="2111">
        <v>-2018</v>
      </c>
      <c r="B76" s="2112" t="s">
        <v>49</v>
      </c>
      <c r="C76" s="2208">
        <v>5529027</v>
      </c>
      <c r="D76" s="2128">
        <v>3284525</v>
      </c>
      <c r="E76" s="2128">
        <v>166964</v>
      </c>
      <c r="F76" s="2128">
        <v>905179</v>
      </c>
      <c r="G76" s="2128">
        <v>13372</v>
      </c>
      <c r="H76" s="2128">
        <v>830146</v>
      </c>
      <c r="I76" s="2128">
        <v>153288</v>
      </c>
      <c r="J76" s="2128">
        <v>-3098</v>
      </c>
      <c r="K76" s="2203">
        <v>178651</v>
      </c>
      <c r="L76" s="2194">
        <v>124789</v>
      </c>
      <c r="M76" s="2194">
        <v>4564666</v>
      </c>
      <c r="N76" s="2195">
        <v>4439877</v>
      </c>
      <c r="O76" s="2195">
        <v>-18131</v>
      </c>
      <c r="P76" s="2114">
        <v>-0.5438695274719072</v>
      </c>
    </row>
    <row r="77" spans="1:16">
      <c r="A77" s="2111"/>
      <c r="B77" s="2112" t="s">
        <v>50</v>
      </c>
      <c r="C77" s="2209">
        <v>5635211</v>
      </c>
      <c r="D77" s="2126">
        <v>3342945</v>
      </c>
      <c r="E77" s="2126">
        <v>167647</v>
      </c>
      <c r="F77" s="2126">
        <v>936695</v>
      </c>
      <c r="G77" s="2126">
        <v>-11628</v>
      </c>
      <c r="H77" s="2126">
        <v>805447</v>
      </c>
      <c r="I77" s="2126">
        <v>198112</v>
      </c>
      <c r="J77" s="2126">
        <v>-5482</v>
      </c>
      <c r="K77" s="2141">
        <v>201474</v>
      </c>
      <c r="L77" s="2194">
        <v>58016</v>
      </c>
      <c r="M77" s="2194">
        <v>4782101</v>
      </c>
      <c r="N77" s="2195">
        <v>4724085</v>
      </c>
      <c r="O77" s="2195">
        <v>45569</v>
      </c>
      <c r="P77" s="2114">
        <v>-0.72197448386903773</v>
      </c>
    </row>
    <row r="78" spans="1:16">
      <c r="A78" s="2116"/>
      <c r="B78" s="2117" t="s">
        <v>1117</v>
      </c>
      <c r="C78" s="2207">
        <v>5631901</v>
      </c>
      <c r="D78" s="2119">
        <v>3272287</v>
      </c>
      <c r="E78" s="2119">
        <v>161752</v>
      </c>
      <c r="F78" s="2119">
        <v>1075100</v>
      </c>
      <c r="G78" s="2119">
        <v>32413</v>
      </c>
      <c r="H78" s="2119">
        <v>841079</v>
      </c>
      <c r="I78" s="2119">
        <v>229810</v>
      </c>
      <c r="J78" s="2119">
        <v>-1820</v>
      </c>
      <c r="K78" s="2197">
        <v>21282</v>
      </c>
      <c r="L78" s="2198">
        <v>-37226</v>
      </c>
      <c r="M78" s="2198">
        <v>4659304</v>
      </c>
      <c r="N78" s="2199">
        <v>4696531</v>
      </c>
      <c r="O78" s="2199">
        <v>-8200</v>
      </c>
      <c r="P78" s="2120">
        <v>-0.84495529977210804</v>
      </c>
    </row>
    <row r="79" spans="1:16">
      <c r="A79" s="2106" t="s">
        <v>1193</v>
      </c>
      <c r="B79" s="2132" t="s">
        <v>48</v>
      </c>
      <c r="C79" s="2121">
        <v>5515004</v>
      </c>
      <c r="D79" s="2122">
        <v>3248353</v>
      </c>
      <c r="E79" s="2122">
        <v>168373</v>
      </c>
      <c r="F79" s="2122">
        <v>864438</v>
      </c>
      <c r="G79" s="2122">
        <v>58799</v>
      </c>
      <c r="H79" s="2122">
        <v>808694</v>
      </c>
      <c r="I79" s="2122">
        <v>138790</v>
      </c>
      <c r="J79" s="2122">
        <v>9248</v>
      </c>
      <c r="K79" s="2122">
        <v>218309</v>
      </c>
      <c r="L79" s="2193">
        <v>102713</v>
      </c>
      <c r="M79" s="2193">
        <v>4642798</v>
      </c>
      <c r="N79" s="2193">
        <v>4540085</v>
      </c>
      <c r="O79" s="2193">
        <v>19748</v>
      </c>
      <c r="P79" s="2109">
        <v>1.4752825764272341</v>
      </c>
    </row>
    <row r="80" spans="1:16">
      <c r="A80" s="2111">
        <v>-2019</v>
      </c>
      <c r="B80" s="2133" t="s">
        <v>49</v>
      </c>
      <c r="C80" s="2208">
        <v>5629707</v>
      </c>
      <c r="D80" s="2128">
        <v>3313799</v>
      </c>
      <c r="E80" s="2128">
        <v>174619</v>
      </c>
      <c r="F80" s="2128">
        <v>954973</v>
      </c>
      <c r="G80" s="2128">
        <v>-7421</v>
      </c>
      <c r="H80" s="2128">
        <v>863185</v>
      </c>
      <c r="I80" s="2128">
        <v>169722</v>
      </c>
      <c r="J80" s="2128">
        <v>4112</v>
      </c>
      <c r="K80" s="2203">
        <v>156717</v>
      </c>
      <c r="L80" s="2194">
        <v>50660</v>
      </c>
      <c r="M80" s="2194">
        <v>4651682</v>
      </c>
      <c r="N80" s="2195">
        <v>4601022</v>
      </c>
      <c r="O80" s="2195">
        <v>-29868</v>
      </c>
      <c r="P80" s="2114">
        <v>1.8209438859877149</v>
      </c>
    </row>
    <row r="81" spans="1:16">
      <c r="A81" s="2111"/>
      <c r="B81" s="2133" t="s">
        <v>50</v>
      </c>
      <c r="C81" s="2127">
        <v>5616147</v>
      </c>
      <c r="D81" s="2128">
        <v>3276721</v>
      </c>
      <c r="E81" s="2128">
        <v>173232</v>
      </c>
      <c r="F81" s="2128">
        <v>906778</v>
      </c>
      <c r="G81" s="2128">
        <v>21926</v>
      </c>
      <c r="H81" s="2128">
        <v>823268</v>
      </c>
      <c r="I81" s="2128">
        <v>234488</v>
      </c>
      <c r="J81" s="2128">
        <v>6236</v>
      </c>
      <c r="K81" s="2128">
        <v>173500</v>
      </c>
      <c r="L81" s="2195">
        <v>38436</v>
      </c>
      <c r="M81" s="2195">
        <v>4750232</v>
      </c>
      <c r="N81" s="2195">
        <v>4711796</v>
      </c>
      <c r="O81" s="2195">
        <v>43564</v>
      </c>
      <c r="P81" s="2114">
        <v>-0.338294737712238</v>
      </c>
    </row>
    <row r="82" spans="1:16">
      <c r="A82" s="2116"/>
      <c r="B82" s="2134" t="s">
        <v>1130</v>
      </c>
      <c r="C82" s="2118">
        <v>5612463</v>
      </c>
      <c r="D82" s="2119">
        <v>3219126</v>
      </c>
      <c r="E82" s="2119">
        <v>171768</v>
      </c>
      <c r="F82" s="2119">
        <v>1068925</v>
      </c>
      <c r="G82" s="2119">
        <v>76019</v>
      </c>
      <c r="H82" s="2119">
        <v>866643</v>
      </c>
      <c r="I82" s="2119">
        <v>287581</v>
      </c>
      <c r="J82" s="2119">
        <v>11962</v>
      </c>
      <c r="K82" s="2119">
        <v>-89560</v>
      </c>
      <c r="L82" s="2199">
        <v>-158788</v>
      </c>
      <c r="M82" s="2199">
        <v>4595750</v>
      </c>
      <c r="N82" s="2199">
        <v>4754539</v>
      </c>
      <c r="O82" s="2199">
        <v>-12644</v>
      </c>
      <c r="P82" s="2120">
        <v>-0.34514811737948964</v>
      </c>
    </row>
    <row r="83" spans="1:16">
      <c r="A83" s="2106" t="s">
        <v>1192</v>
      </c>
      <c r="B83" s="2132" t="s">
        <v>48</v>
      </c>
      <c r="C83" s="2121">
        <v>5005549</v>
      </c>
      <c r="D83" s="2122">
        <v>2997928</v>
      </c>
      <c r="E83" s="2122">
        <v>151601</v>
      </c>
      <c r="F83" s="2122">
        <v>790790</v>
      </c>
      <c r="G83" s="2122">
        <v>-11169</v>
      </c>
      <c r="H83" s="2122">
        <v>797922</v>
      </c>
      <c r="I83" s="2122">
        <v>194371</v>
      </c>
      <c r="J83" s="2122">
        <v>-11339</v>
      </c>
      <c r="K83" s="2122">
        <v>95446</v>
      </c>
      <c r="L83" s="2193">
        <v>-98456</v>
      </c>
      <c r="M83" s="2193">
        <v>4064725</v>
      </c>
      <c r="N83" s="2193">
        <v>4163181</v>
      </c>
      <c r="O83" s="2193">
        <v>187712</v>
      </c>
      <c r="P83" s="2109">
        <v>-9.2376188939643864</v>
      </c>
    </row>
    <row r="84" spans="1:16">
      <c r="A84" s="2111">
        <v>-2020</v>
      </c>
      <c r="B84" s="2133" t="s">
        <v>49</v>
      </c>
      <c r="C84" s="2127">
        <v>5381418</v>
      </c>
      <c r="D84" s="2128">
        <v>3146526</v>
      </c>
      <c r="E84" s="2128">
        <v>152423</v>
      </c>
      <c r="F84" s="2128">
        <v>860325</v>
      </c>
      <c r="G84" s="2128">
        <v>-84402</v>
      </c>
      <c r="H84" s="2128">
        <v>873652</v>
      </c>
      <c r="I84" s="2128">
        <v>219285</v>
      </c>
      <c r="J84" s="2128">
        <v>-16972</v>
      </c>
      <c r="K84" s="2128">
        <v>230581</v>
      </c>
      <c r="L84" s="2195">
        <v>4075</v>
      </c>
      <c r="M84" s="2195">
        <v>4146713</v>
      </c>
      <c r="N84" s="2195">
        <v>4142638</v>
      </c>
      <c r="O84" s="2195">
        <v>142886</v>
      </c>
      <c r="P84" s="2114">
        <v>-4.4103376823418534</v>
      </c>
    </row>
    <row r="85" spans="1:16">
      <c r="A85" s="2111"/>
      <c r="B85" s="2133" t="s">
        <v>50</v>
      </c>
      <c r="C85" s="2127">
        <v>5582853</v>
      </c>
      <c r="D85" s="2128">
        <v>3203548</v>
      </c>
      <c r="E85" s="2128">
        <v>164018</v>
      </c>
      <c r="F85" s="2128">
        <v>887370</v>
      </c>
      <c r="G85" s="2128">
        <v>-75912</v>
      </c>
      <c r="H85" s="2128">
        <v>842453</v>
      </c>
      <c r="I85" s="2128">
        <v>290087</v>
      </c>
      <c r="J85" s="2128">
        <v>-15925</v>
      </c>
      <c r="K85" s="2128">
        <v>287214</v>
      </c>
      <c r="L85" s="2195">
        <v>-30955</v>
      </c>
      <c r="M85" s="2195">
        <v>4454477</v>
      </c>
      <c r="N85" s="2195">
        <v>4485432</v>
      </c>
      <c r="O85" s="2195">
        <v>209820</v>
      </c>
      <c r="P85" s="2114">
        <v>-0.59283452160683459</v>
      </c>
    </row>
    <row r="86" spans="1:16">
      <c r="A86" s="2116"/>
      <c r="B86" s="2134" t="s">
        <v>51</v>
      </c>
      <c r="C86" s="2129">
        <v>5614058</v>
      </c>
      <c r="D86" s="2130">
        <v>3134498</v>
      </c>
      <c r="E86" s="2130">
        <v>166843</v>
      </c>
      <c r="F86" s="2130">
        <v>1032762</v>
      </c>
      <c r="G86" s="2130">
        <v>-15212</v>
      </c>
      <c r="H86" s="2130">
        <v>878165</v>
      </c>
      <c r="I86" s="2130">
        <v>277267</v>
      </c>
      <c r="J86" s="2130">
        <v>-8998</v>
      </c>
      <c r="K86" s="2130">
        <v>148731</v>
      </c>
      <c r="L86" s="2199">
        <v>-118288</v>
      </c>
      <c r="M86" s="2199">
        <v>4370374</v>
      </c>
      <c r="N86" s="2199">
        <v>4488662</v>
      </c>
      <c r="O86" s="2199">
        <v>143406</v>
      </c>
      <c r="P86" s="2120">
        <v>2.8425922243202648E-2</v>
      </c>
    </row>
    <row r="87" spans="1:16">
      <c r="A87" s="2106" t="s">
        <v>1232</v>
      </c>
      <c r="B87" s="2132" t="s">
        <v>48</v>
      </c>
      <c r="C87" s="2210">
        <v>5429622</v>
      </c>
      <c r="D87" s="2210">
        <v>3125744</v>
      </c>
      <c r="E87" s="2136">
        <v>163377</v>
      </c>
      <c r="F87" s="2136">
        <v>823377</v>
      </c>
      <c r="G87" s="2136">
        <v>6127</v>
      </c>
      <c r="H87" s="2136">
        <v>864433</v>
      </c>
      <c r="I87" s="2136">
        <v>165575</v>
      </c>
      <c r="J87" s="2136">
        <v>1054</v>
      </c>
      <c r="K87" s="2136">
        <v>279936</v>
      </c>
      <c r="L87" s="2193">
        <v>180373</v>
      </c>
      <c r="M87" s="2193">
        <v>4480737</v>
      </c>
      <c r="N87" s="2193">
        <v>4300364</v>
      </c>
      <c r="O87" s="2211">
        <v>92008</v>
      </c>
      <c r="P87" s="2109">
        <v>8.4720615531859931</v>
      </c>
    </row>
    <row r="88" spans="1:16">
      <c r="A88" s="2111">
        <v>-2021</v>
      </c>
      <c r="B88" s="2133" t="s">
        <v>49</v>
      </c>
      <c r="C88" s="2212">
        <v>5535076</v>
      </c>
      <c r="D88" s="2212">
        <v>3169031</v>
      </c>
      <c r="E88" s="2128">
        <v>173434</v>
      </c>
      <c r="F88" s="2128">
        <v>873979</v>
      </c>
      <c r="G88" s="2128">
        <v>-29347</v>
      </c>
      <c r="H88" s="2128">
        <v>916533</v>
      </c>
      <c r="I88" s="2128">
        <v>190332</v>
      </c>
      <c r="J88" s="2128">
        <v>-872</v>
      </c>
      <c r="K88" s="2128">
        <v>241986</v>
      </c>
      <c r="L88" s="2195">
        <v>154148</v>
      </c>
      <c r="M88" s="2195">
        <v>4416744</v>
      </c>
      <c r="N88" s="2195">
        <v>4262596</v>
      </c>
      <c r="O88" s="2213">
        <v>38628</v>
      </c>
      <c r="P88" s="2114">
        <v>2.8553308685184948</v>
      </c>
    </row>
    <row r="89" spans="1:16">
      <c r="A89" s="2111"/>
      <c r="B89" s="2133" t="s">
        <v>50</v>
      </c>
      <c r="C89" s="2212">
        <v>5699560</v>
      </c>
      <c r="D89" s="2212">
        <v>3282785</v>
      </c>
      <c r="E89" s="2128">
        <v>178905</v>
      </c>
      <c r="F89" s="2128">
        <v>885356</v>
      </c>
      <c r="G89" s="2128">
        <v>-43939</v>
      </c>
      <c r="H89" s="2128">
        <v>879497</v>
      </c>
      <c r="I89" s="2128">
        <v>258531</v>
      </c>
      <c r="J89" s="2128">
        <v>-1630</v>
      </c>
      <c r="K89" s="2128">
        <v>260054</v>
      </c>
      <c r="L89" s="2195">
        <v>84837</v>
      </c>
      <c r="M89" s="2195">
        <v>4579460</v>
      </c>
      <c r="N89" s="2195">
        <v>4494623</v>
      </c>
      <c r="O89" s="2213">
        <v>95428</v>
      </c>
      <c r="P89" s="2114">
        <v>2.0904493478301611</v>
      </c>
    </row>
    <row r="90" spans="1:16">
      <c r="A90" s="2116"/>
      <c r="B90" s="2134" t="s">
        <v>52</v>
      </c>
      <c r="C90" s="2214">
        <v>5641581</v>
      </c>
      <c r="D90" s="2214">
        <v>3178469</v>
      </c>
      <c r="E90" s="2130">
        <v>155925</v>
      </c>
      <c r="F90" s="2130">
        <v>1023894</v>
      </c>
      <c r="G90" s="2130">
        <v>10328</v>
      </c>
      <c r="H90" s="2130">
        <v>910372</v>
      </c>
      <c r="I90" s="2130">
        <v>302679</v>
      </c>
      <c r="J90" s="2130">
        <v>1041</v>
      </c>
      <c r="K90" s="2130">
        <v>58873</v>
      </c>
      <c r="L90" s="2199">
        <v>-45635</v>
      </c>
      <c r="M90" s="2199">
        <v>4462614</v>
      </c>
      <c r="N90" s="2199">
        <v>4508250</v>
      </c>
      <c r="O90" s="2215">
        <v>42448</v>
      </c>
      <c r="P90" s="2120">
        <v>0.49025197453521741</v>
      </c>
    </row>
    <row r="91" spans="1:16">
      <c r="A91" s="2106" t="s">
        <v>1545</v>
      </c>
      <c r="B91" s="2132" t="s">
        <v>48</v>
      </c>
      <c r="C91" s="2135">
        <v>5586098</v>
      </c>
      <c r="D91" s="2136">
        <v>3228521</v>
      </c>
      <c r="E91" s="2136">
        <v>149608</v>
      </c>
      <c r="F91" s="2136">
        <v>887440</v>
      </c>
      <c r="G91" s="2136">
        <v>41095</v>
      </c>
      <c r="H91" s="2136">
        <v>880603</v>
      </c>
      <c r="I91" s="2136">
        <v>162774</v>
      </c>
      <c r="J91" s="2136">
        <v>4890</v>
      </c>
      <c r="K91" s="2136">
        <v>231167</v>
      </c>
      <c r="L91" s="2193">
        <v>97412</v>
      </c>
      <c r="M91" s="2193">
        <v>4481564</v>
      </c>
      <c r="N91" s="2193">
        <v>4384152</v>
      </c>
      <c r="O91" s="2193">
        <v>153821</v>
      </c>
      <c r="P91" s="2109">
        <v>2.8818886369379335</v>
      </c>
    </row>
    <row r="92" spans="1:16">
      <c r="A92" s="2111">
        <v>-2022</v>
      </c>
      <c r="B92" s="2133" t="s">
        <v>49</v>
      </c>
      <c r="C92" s="2212">
        <v>5677540</v>
      </c>
      <c r="D92" s="2212">
        <v>3259771</v>
      </c>
      <c r="E92" s="2128">
        <v>157786</v>
      </c>
      <c r="F92" s="2128">
        <v>951160</v>
      </c>
      <c r="G92" s="2128">
        <v>28097</v>
      </c>
      <c r="H92" s="2128">
        <v>913009</v>
      </c>
      <c r="I92" s="2128">
        <v>158301</v>
      </c>
      <c r="J92" s="2128">
        <v>4258</v>
      </c>
      <c r="K92" s="2128">
        <v>205159</v>
      </c>
      <c r="L92" s="2195">
        <v>56810</v>
      </c>
      <c r="M92" s="2195">
        <v>4494678</v>
      </c>
      <c r="N92" s="2195">
        <v>4437868</v>
      </c>
      <c r="O92" s="2213">
        <v>103011</v>
      </c>
      <c r="P92" s="2114">
        <v>2.5738536442694291</v>
      </c>
    </row>
    <row r="93" spans="1:16">
      <c r="A93" s="2111"/>
      <c r="B93" s="2133" t="s">
        <v>50</v>
      </c>
      <c r="C93" s="2127">
        <v>5819315</v>
      </c>
      <c r="D93" s="2128">
        <v>3316732</v>
      </c>
      <c r="E93" s="2128">
        <v>162185</v>
      </c>
      <c r="F93" s="2128">
        <v>964229</v>
      </c>
      <c r="G93" s="2128">
        <v>43072</v>
      </c>
      <c r="H93" s="2128">
        <v>877645</v>
      </c>
      <c r="I93" s="2128">
        <v>211401</v>
      </c>
      <c r="J93" s="2128">
        <v>6038</v>
      </c>
      <c r="K93" s="2128">
        <v>238013</v>
      </c>
      <c r="L93" s="2195">
        <v>45128</v>
      </c>
      <c r="M93" s="2195">
        <v>4640416</v>
      </c>
      <c r="N93" s="2195">
        <v>4595288</v>
      </c>
      <c r="O93" s="2195">
        <v>183734</v>
      </c>
      <c r="P93" s="2114">
        <v>2.1011314317265923</v>
      </c>
    </row>
    <row r="94" spans="1:16">
      <c r="A94" s="2116"/>
      <c r="B94" s="2134" t="s">
        <v>1572</v>
      </c>
      <c r="C94" s="2129">
        <v>5795336</v>
      </c>
      <c r="D94" s="2130">
        <v>3273980</v>
      </c>
      <c r="E94" s="2130">
        <v>155517</v>
      </c>
      <c r="F94" s="2130">
        <v>1112788</v>
      </c>
      <c r="G94" s="2130">
        <v>99298</v>
      </c>
      <c r="H94" s="2130">
        <v>921246</v>
      </c>
      <c r="I94" s="2130">
        <v>276526</v>
      </c>
      <c r="J94" s="2130">
        <v>10445</v>
      </c>
      <c r="K94" s="2130">
        <v>-54463</v>
      </c>
      <c r="L94" s="2199">
        <v>-160836</v>
      </c>
      <c r="M94" s="2199">
        <v>4471617</v>
      </c>
      <c r="N94" s="2199">
        <v>4632453</v>
      </c>
      <c r="O94" s="2199">
        <v>141952</v>
      </c>
      <c r="P94" s="2120">
        <v>2.7253834922451707</v>
      </c>
    </row>
    <row r="95" spans="1:16">
      <c r="A95" s="2106" t="s">
        <v>1589</v>
      </c>
      <c r="B95" s="2107" t="s">
        <v>48</v>
      </c>
      <c r="C95" s="2135">
        <v>5636196</v>
      </c>
      <c r="D95" s="2136">
        <v>3214568</v>
      </c>
      <c r="E95" s="2136">
        <v>157322</v>
      </c>
      <c r="F95" s="2136">
        <v>951757</v>
      </c>
      <c r="G95" s="2136">
        <v>102054</v>
      </c>
      <c r="H95" s="2136">
        <v>856546</v>
      </c>
      <c r="I95" s="2136">
        <v>143428</v>
      </c>
      <c r="J95" s="2136">
        <v>1971</v>
      </c>
      <c r="K95" s="2136">
        <v>208549</v>
      </c>
      <c r="L95" s="2193">
        <v>141402</v>
      </c>
      <c r="M95" s="2193">
        <v>4445124</v>
      </c>
      <c r="N95" s="2193">
        <v>4303721</v>
      </c>
      <c r="O95" s="2193">
        <v>153821</v>
      </c>
      <c r="P95" s="2137">
        <v>0.8968326052682345</v>
      </c>
    </row>
    <row r="96" spans="1:16">
      <c r="A96" s="2111">
        <v>-2023</v>
      </c>
      <c r="B96" s="2112" t="s">
        <v>49</v>
      </c>
      <c r="C96" s="2127">
        <v>5687518</v>
      </c>
      <c r="D96" s="2128">
        <v>3218596</v>
      </c>
      <c r="E96" s="2128">
        <v>165217</v>
      </c>
      <c r="F96" s="2128">
        <v>1000695</v>
      </c>
      <c r="G96" s="2128">
        <v>-12435</v>
      </c>
      <c r="H96" s="2128">
        <v>904362</v>
      </c>
      <c r="I96" s="2128">
        <v>155167</v>
      </c>
      <c r="J96" s="2128">
        <v>-2697</v>
      </c>
      <c r="K96" s="2128">
        <v>258613</v>
      </c>
      <c r="L96" s="2195">
        <v>146078</v>
      </c>
      <c r="M96" s="2195">
        <v>4453245</v>
      </c>
      <c r="N96" s="2195">
        <v>4307167</v>
      </c>
      <c r="O96" s="2195">
        <v>103011</v>
      </c>
      <c r="P96" s="2114">
        <v>0.17573723979092323</v>
      </c>
    </row>
    <row r="97" spans="1:16">
      <c r="A97" s="2111"/>
      <c r="B97" s="2138" t="s">
        <v>50</v>
      </c>
      <c r="C97" s="2127">
        <v>5834095</v>
      </c>
      <c r="D97" s="2128">
        <v>3269661</v>
      </c>
      <c r="E97" s="2128">
        <v>170936</v>
      </c>
      <c r="F97" s="2128">
        <v>1043166</v>
      </c>
      <c r="G97" s="2128">
        <v>-22968</v>
      </c>
      <c r="H97" s="2128">
        <v>859716</v>
      </c>
      <c r="I97" s="2128">
        <v>233797</v>
      </c>
      <c r="J97" s="2128">
        <v>-3217</v>
      </c>
      <c r="K97" s="2128">
        <v>283003</v>
      </c>
      <c r="L97" s="2195">
        <v>87834</v>
      </c>
      <c r="M97" s="2195">
        <v>4710456</v>
      </c>
      <c r="N97" s="2195">
        <v>4622623</v>
      </c>
      <c r="O97" s="2195">
        <v>183734</v>
      </c>
      <c r="P97" s="931">
        <v>0.25398323282588675</v>
      </c>
    </row>
    <row r="98" spans="1:16">
      <c r="A98" s="2116"/>
      <c r="B98" s="2117" t="s">
        <v>1590</v>
      </c>
      <c r="C98" s="2129">
        <v>5763509</v>
      </c>
      <c r="D98" s="2130">
        <v>3235464</v>
      </c>
      <c r="E98" s="2130">
        <v>157665</v>
      </c>
      <c r="F98" s="2130">
        <v>1163703</v>
      </c>
      <c r="G98" s="2130">
        <v>-69105</v>
      </c>
      <c r="H98" s="2130">
        <v>910774</v>
      </c>
      <c r="I98" s="2130">
        <v>234235</v>
      </c>
      <c r="J98" s="2130">
        <v>-4859</v>
      </c>
      <c r="K98" s="2130">
        <v>135631</v>
      </c>
      <c r="L98" s="2199">
        <v>-20800</v>
      </c>
      <c r="M98" s="2199">
        <v>4481526</v>
      </c>
      <c r="N98" s="2199">
        <v>4502325</v>
      </c>
      <c r="O98" s="2199">
        <v>141952</v>
      </c>
      <c r="P98" s="2120">
        <v>-0.54917965921759226</v>
      </c>
    </row>
    <row r="99" spans="1:16">
      <c r="A99" s="2106" t="s">
        <v>1720</v>
      </c>
      <c r="B99" s="2107" t="s">
        <v>48</v>
      </c>
      <c r="C99" s="2135">
        <v>5568563</v>
      </c>
      <c r="D99" s="2136">
        <v>3182546</v>
      </c>
      <c r="E99" s="2136">
        <v>149072</v>
      </c>
      <c r="F99" s="2136">
        <v>956334</v>
      </c>
      <c r="G99" s="2136">
        <v>2224</v>
      </c>
      <c r="H99" s="2136">
        <v>876901</v>
      </c>
      <c r="I99" s="2136">
        <v>172553</v>
      </c>
      <c r="J99" s="2136">
        <v>-2000</v>
      </c>
      <c r="K99" s="2136">
        <v>230934</v>
      </c>
      <c r="L99" s="2193">
        <v>80693</v>
      </c>
      <c r="M99" s="2193">
        <v>4480399</v>
      </c>
      <c r="N99" s="2193">
        <v>4399705</v>
      </c>
      <c r="O99" s="2193">
        <v>153821</v>
      </c>
      <c r="P99" s="2109">
        <v>-1.1999766015626609</v>
      </c>
    </row>
    <row r="100" spans="1:16">
      <c r="A100" s="2111">
        <v>-2024</v>
      </c>
      <c r="B100" s="2112" t="s">
        <v>49</v>
      </c>
      <c r="C100" s="2127">
        <v>5699825</v>
      </c>
      <c r="D100" s="2128">
        <v>3205719</v>
      </c>
      <c r="E100" s="2128">
        <v>158501</v>
      </c>
      <c r="F100" s="2128">
        <v>1013719</v>
      </c>
      <c r="G100" s="2128">
        <v>17701</v>
      </c>
      <c r="H100" s="2128">
        <v>930641</v>
      </c>
      <c r="I100" s="2128">
        <v>184645</v>
      </c>
      <c r="J100" s="2128">
        <v>-1544</v>
      </c>
      <c r="K100" s="2128">
        <v>190442</v>
      </c>
      <c r="L100" s="2195">
        <v>67759</v>
      </c>
      <c r="M100" s="2195">
        <v>4495757</v>
      </c>
      <c r="N100" s="2195">
        <v>4427999</v>
      </c>
      <c r="O100" s="2195">
        <v>103011</v>
      </c>
      <c r="P100" s="2114">
        <v>0.2163799050714546</v>
      </c>
    </row>
    <row r="101" spans="1:16">
      <c r="A101" s="2111"/>
      <c r="B101" s="2138" t="s">
        <v>50</v>
      </c>
      <c r="C101" s="2139">
        <v>5851640</v>
      </c>
      <c r="D101" s="2140">
        <v>3254835</v>
      </c>
      <c r="E101" s="2140">
        <v>161426</v>
      </c>
      <c r="F101" s="2140">
        <v>1034539</v>
      </c>
      <c r="G101" s="2140">
        <v>-24532</v>
      </c>
      <c r="H101" s="2140">
        <v>884089</v>
      </c>
      <c r="I101" s="2140">
        <v>192368</v>
      </c>
      <c r="J101" s="2140">
        <v>-3308</v>
      </c>
      <c r="K101" s="2140">
        <v>352222</v>
      </c>
      <c r="L101" s="2195">
        <v>145412</v>
      </c>
      <c r="M101" s="2195">
        <v>4676920</v>
      </c>
      <c r="N101" s="2195">
        <v>4531508</v>
      </c>
      <c r="O101" s="2195">
        <v>183734</v>
      </c>
      <c r="P101" s="2114">
        <v>0.30072600930057886</v>
      </c>
    </row>
    <row r="102" spans="1:16">
      <c r="A102" s="2116"/>
      <c r="B102" s="2117" t="s">
        <v>1721</v>
      </c>
      <c r="C102" s="2129">
        <v>5806969</v>
      </c>
      <c r="D102" s="2130">
        <v>3252033</v>
      </c>
      <c r="E102" s="2130">
        <v>152280</v>
      </c>
      <c r="F102" s="2130">
        <v>1178417</v>
      </c>
      <c r="G102" s="2130">
        <v>-17053</v>
      </c>
      <c r="H102" s="2130">
        <v>925324</v>
      </c>
      <c r="I102" s="2130">
        <v>207706</v>
      </c>
      <c r="J102" s="2130">
        <v>-2973</v>
      </c>
      <c r="K102" s="2130">
        <v>111236</v>
      </c>
      <c r="L102" s="2199">
        <v>-39327</v>
      </c>
      <c r="M102" s="2199">
        <v>4544351</v>
      </c>
      <c r="N102" s="2199">
        <v>4583678</v>
      </c>
      <c r="O102" s="2199">
        <v>141952</v>
      </c>
      <c r="P102" s="2120">
        <v>0.75405020424443814</v>
      </c>
    </row>
    <row r="103" spans="1:16">
      <c r="A103" s="2106" t="s">
        <v>1779</v>
      </c>
      <c r="B103" s="2107" t="s">
        <v>48</v>
      </c>
      <c r="C103" s="2135">
        <v>5638087</v>
      </c>
      <c r="D103" s="2136">
        <v>3180360</v>
      </c>
      <c r="E103" s="2136">
        <v>152201</v>
      </c>
      <c r="F103" s="2136">
        <v>972723</v>
      </c>
      <c r="G103" s="2136">
        <v>26561</v>
      </c>
      <c r="H103" s="2136">
        <v>902041</v>
      </c>
      <c r="I103" s="2136">
        <v>144105</v>
      </c>
      <c r="J103" s="2136">
        <v>-1362</v>
      </c>
      <c r="K103" s="2136">
        <v>261458</v>
      </c>
      <c r="L103" s="2193">
        <v>97041</v>
      </c>
      <c r="M103" s="2193">
        <v>4551098</v>
      </c>
      <c r="N103" s="2193">
        <v>4454057</v>
      </c>
      <c r="O103" s="2193">
        <v>153821</v>
      </c>
      <c r="P103" s="2109">
        <v>1.2485117423659737</v>
      </c>
    </row>
    <row r="104" spans="1:16">
      <c r="A104" s="2111">
        <v>-2025</v>
      </c>
      <c r="B104" s="2112" t="s">
        <v>49</v>
      </c>
      <c r="C104" s="2127">
        <v>5699275</v>
      </c>
      <c r="D104" s="2128">
        <v>3261171</v>
      </c>
      <c r="E104" s="2128">
        <v>147993</v>
      </c>
      <c r="F104" s="2128">
        <v>1019559</v>
      </c>
      <c r="G104" s="2128">
        <v>7758</v>
      </c>
      <c r="H104" s="2128">
        <v>950264</v>
      </c>
      <c r="I104" s="2128">
        <v>161362</v>
      </c>
      <c r="J104" s="2128">
        <v>-2059</v>
      </c>
      <c r="K104" s="2128">
        <v>153225</v>
      </c>
      <c r="L104" s="2195">
        <v>96194</v>
      </c>
      <c r="M104" s="2195">
        <v>4513434</v>
      </c>
      <c r="N104" s="2195">
        <v>4417239</v>
      </c>
      <c r="O104" s="2195">
        <v>103011</v>
      </c>
      <c r="P104" s="2114">
        <v>-9.6340448690764129E-3</v>
      </c>
    </row>
    <row r="105" spans="1:16">
      <c r="A105" s="2111"/>
      <c r="B105" s="2138" t="s">
        <v>50</v>
      </c>
      <c r="C105" s="2127">
        <v>5835985</v>
      </c>
      <c r="D105" s="2128">
        <v>3261788</v>
      </c>
      <c r="E105" s="2128">
        <v>153623</v>
      </c>
      <c r="F105" s="2128">
        <v>1063315</v>
      </c>
      <c r="G105" s="2128">
        <v>-30693</v>
      </c>
      <c r="H105" s="2128">
        <v>905493</v>
      </c>
      <c r="I105" s="2128">
        <v>175661</v>
      </c>
      <c r="J105" s="2128">
        <v>-3725</v>
      </c>
      <c r="K105" s="2128">
        <v>310523</v>
      </c>
      <c r="L105" s="2195"/>
      <c r="M105" s="2195"/>
      <c r="N105" s="2195"/>
      <c r="O105" s="2195"/>
      <c r="P105" s="2114">
        <v>-0.26752815592431883</v>
      </c>
    </row>
    <row r="106" spans="1:16">
      <c r="A106" s="2116"/>
      <c r="B106" s="2117" t="s">
        <v>1780</v>
      </c>
      <c r="C106" s="2129"/>
      <c r="D106" s="2130"/>
      <c r="E106" s="2130"/>
      <c r="F106" s="2130"/>
      <c r="G106" s="2130"/>
      <c r="H106" s="2130"/>
      <c r="I106" s="2130"/>
      <c r="J106" s="2130"/>
      <c r="K106" s="2130"/>
      <c r="L106" s="2199"/>
      <c r="M106" s="2199"/>
      <c r="N106" s="2199"/>
      <c r="O106" s="2199"/>
      <c r="P106" s="2120"/>
    </row>
    <row r="107" spans="1:16">
      <c r="A107" s="2049" t="s">
        <v>63</v>
      </c>
      <c r="B107" s="2049"/>
      <c r="C107" s="2049"/>
      <c r="D107" s="2049"/>
      <c r="E107" s="2049"/>
      <c r="F107" s="2049"/>
      <c r="G107" s="2049"/>
      <c r="H107" s="2049"/>
      <c r="I107" s="2049"/>
      <c r="J107" s="2049"/>
      <c r="K107" s="2216"/>
      <c r="L107" s="2216"/>
      <c r="M107" s="2216"/>
      <c r="N107" s="2049"/>
      <c r="O107" s="2049"/>
      <c r="P107" s="2049"/>
    </row>
    <row r="108" spans="1:16">
      <c r="A108" s="2049"/>
      <c r="B108" s="2049"/>
      <c r="C108" s="2049"/>
      <c r="D108" s="2049"/>
      <c r="E108" s="2049"/>
      <c r="F108" s="2049"/>
      <c r="G108" s="2049"/>
      <c r="H108" s="2049"/>
      <c r="I108" s="2049"/>
      <c r="J108" s="2049"/>
      <c r="K108" s="2216"/>
      <c r="L108" s="2216"/>
      <c r="M108" s="2216"/>
      <c r="N108" s="2049"/>
      <c r="O108" s="2049"/>
      <c r="P108" s="2049"/>
    </row>
    <row r="109" spans="1:16">
      <c r="A109" s="2049"/>
      <c r="B109" s="2049"/>
      <c r="C109" s="2049"/>
      <c r="D109" s="2049"/>
      <c r="E109" s="2049"/>
      <c r="F109" s="2049"/>
      <c r="G109" s="2049"/>
      <c r="H109" s="2049"/>
      <c r="I109" s="2049"/>
      <c r="J109" s="2049"/>
      <c r="K109" s="2216"/>
      <c r="L109" s="2216"/>
      <c r="M109" s="2216"/>
      <c r="N109" s="2049"/>
      <c r="O109" s="2049"/>
      <c r="P109" s="2049"/>
    </row>
    <row r="110" spans="1:16">
      <c r="A110" s="2217" t="s">
        <v>962</v>
      </c>
      <c r="B110" s="2218"/>
      <c r="C110" s="2218"/>
      <c r="D110" s="2218"/>
      <c r="E110" s="2218"/>
      <c r="F110" s="2218"/>
      <c r="G110" s="2218"/>
      <c r="H110" s="2218"/>
      <c r="I110" s="2218"/>
      <c r="J110" s="2218"/>
      <c r="K110" s="2219" t="s">
        <v>284</v>
      </c>
      <c r="L110" s="2219"/>
    </row>
    <row r="111" spans="1:16">
      <c r="A111" s="2220" t="s">
        <v>7</v>
      </c>
      <c r="B111" s="2221"/>
      <c r="C111" s="2222" t="s">
        <v>963</v>
      </c>
      <c r="D111" s="2223" t="s">
        <v>964</v>
      </c>
      <c r="E111" s="2223" t="s">
        <v>965</v>
      </c>
      <c r="F111" s="2223" t="s">
        <v>966</v>
      </c>
      <c r="G111" s="2223" t="s">
        <v>967</v>
      </c>
      <c r="H111" s="2223" t="s">
        <v>968</v>
      </c>
      <c r="I111" s="2223" t="s">
        <v>969</v>
      </c>
      <c r="J111" s="2223" t="s">
        <v>970</v>
      </c>
      <c r="K111" s="2224" t="s">
        <v>971</v>
      </c>
      <c r="L111" s="2224"/>
      <c r="M111" s="2225"/>
      <c r="N111" s="2225"/>
      <c r="O111" s="2225"/>
      <c r="P111" s="2226" t="s">
        <v>27</v>
      </c>
    </row>
    <row r="112" spans="1:16">
      <c r="A112" s="2149" t="s">
        <v>972</v>
      </c>
      <c r="B112" s="2150"/>
      <c r="C112" s="2227"/>
      <c r="D112" s="2228" t="s">
        <v>973</v>
      </c>
      <c r="E112" s="2228"/>
      <c r="F112" s="2228" t="s">
        <v>974</v>
      </c>
      <c r="G112" s="2228" t="s">
        <v>975</v>
      </c>
      <c r="H112" s="2228" t="s">
        <v>973</v>
      </c>
      <c r="I112" s="2228" t="s">
        <v>976</v>
      </c>
      <c r="J112" s="2228" t="s">
        <v>975</v>
      </c>
      <c r="K112" s="2228" t="s">
        <v>977</v>
      </c>
      <c r="L112" s="2228"/>
      <c r="M112" s="1816" t="s">
        <v>978</v>
      </c>
      <c r="N112" s="1816" t="s">
        <v>979</v>
      </c>
      <c r="O112" s="1816" t="s">
        <v>980</v>
      </c>
      <c r="P112" s="2229" t="s">
        <v>79</v>
      </c>
    </row>
    <row r="113" spans="1:16" hidden="1">
      <c r="A113" s="2230" t="s">
        <v>885</v>
      </c>
      <c r="B113" s="2231">
        <v>1990</v>
      </c>
      <c r="C113" s="2155">
        <v>19635795</v>
      </c>
      <c r="D113" s="535">
        <v>9940946</v>
      </c>
      <c r="E113" s="535">
        <v>1136402.0000000002</v>
      </c>
      <c r="F113" s="535">
        <v>3432529.9999999995</v>
      </c>
      <c r="G113" s="535">
        <v>225922.99999999997</v>
      </c>
      <c r="H113" s="535">
        <v>2441196</v>
      </c>
      <c r="I113" s="535">
        <v>1309076</v>
      </c>
      <c r="J113" s="535">
        <v>3721</v>
      </c>
      <c r="K113" s="535">
        <v>1146000.9999999991</v>
      </c>
      <c r="L113" s="535">
        <v>-26662.999999998137</v>
      </c>
      <c r="M113" s="535">
        <v>13888292.000000002</v>
      </c>
      <c r="N113" s="535">
        <v>13914955</v>
      </c>
      <c r="O113" s="535">
        <v>1172663.9999999972</v>
      </c>
      <c r="P113" s="2156" t="s">
        <v>878</v>
      </c>
    </row>
    <row r="114" spans="1:16" hidden="1">
      <c r="A114" s="2232" t="s">
        <v>886</v>
      </c>
      <c r="B114" s="2233">
        <v>1991</v>
      </c>
      <c r="C114" s="2159">
        <v>20001102</v>
      </c>
      <c r="D114" s="536">
        <v>10392617</v>
      </c>
      <c r="E114" s="536">
        <v>976875</v>
      </c>
      <c r="F114" s="536">
        <v>3408709.9999999991</v>
      </c>
      <c r="G114" s="536">
        <v>291126</v>
      </c>
      <c r="H114" s="536">
        <v>2510072</v>
      </c>
      <c r="I114" s="536">
        <v>1495604.0000000002</v>
      </c>
      <c r="J114" s="536">
        <v>2700</v>
      </c>
      <c r="K114" s="536">
        <v>923398.00000000093</v>
      </c>
      <c r="L114" s="536">
        <v>153988.99999999767</v>
      </c>
      <c r="M114" s="536">
        <v>14391755.999999996</v>
      </c>
      <c r="N114" s="536">
        <v>14237767</v>
      </c>
      <c r="O114" s="536">
        <v>769409.00000000326</v>
      </c>
      <c r="P114" s="2081">
        <f t="shared" ref="P114:P123" si="0">ROUND((C114-C113)/C113*100,1)</f>
        <v>1.9</v>
      </c>
    </row>
    <row r="115" spans="1:16" hidden="1">
      <c r="A115" s="2232" t="s">
        <v>887</v>
      </c>
      <c r="B115" s="2233">
        <v>1992</v>
      </c>
      <c r="C115" s="2159">
        <v>20063722.000000004</v>
      </c>
      <c r="D115" s="536">
        <v>10523382</v>
      </c>
      <c r="E115" s="536">
        <v>922726.00000000012</v>
      </c>
      <c r="F115" s="536">
        <v>3406874</v>
      </c>
      <c r="G115" s="536">
        <v>-7062.9999999999909</v>
      </c>
      <c r="H115" s="536">
        <v>2578089</v>
      </c>
      <c r="I115" s="536">
        <v>1554544</v>
      </c>
      <c r="J115" s="536">
        <v>-2588.0000000000009</v>
      </c>
      <c r="K115" s="536">
        <v>1087758.0000000028</v>
      </c>
      <c r="L115" s="536">
        <v>89620.999999999534</v>
      </c>
      <c r="M115" s="536">
        <v>14150654.999999998</v>
      </c>
      <c r="N115" s="536">
        <v>14061034</v>
      </c>
      <c r="O115" s="536">
        <v>998137.00000000326</v>
      </c>
      <c r="P115" s="2081">
        <f t="shared" si="0"/>
        <v>0.3</v>
      </c>
    </row>
    <row r="116" spans="1:16" hidden="1">
      <c r="A116" s="2232" t="s">
        <v>888</v>
      </c>
      <c r="B116" s="2233">
        <v>1993</v>
      </c>
      <c r="C116" s="2159">
        <v>20395714</v>
      </c>
      <c r="D116" s="536">
        <v>10666087</v>
      </c>
      <c r="E116" s="536">
        <v>959401.00000000023</v>
      </c>
      <c r="F116" s="536">
        <v>3049290</v>
      </c>
      <c r="G116" s="536">
        <v>-47527.000000000022</v>
      </c>
      <c r="H116" s="536">
        <v>2674600</v>
      </c>
      <c r="I116" s="536">
        <v>1878947</v>
      </c>
      <c r="J116" s="536">
        <v>-2111</v>
      </c>
      <c r="K116" s="536">
        <v>1217027</v>
      </c>
      <c r="L116" s="536">
        <v>-47077.999999999534</v>
      </c>
      <c r="M116" s="536">
        <v>14167476.999999998</v>
      </c>
      <c r="N116" s="536">
        <v>14214554.999999998</v>
      </c>
      <c r="O116" s="536">
        <v>1264104.9999999995</v>
      </c>
      <c r="P116" s="2081">
        <f t="shared" si="0"/>
        <v>1.7</v>
      </c>
    </row>
    <row r="117" spans="1:16" hidden="1">
      <c r="A117" s="2232" t="s">
        <v>889</v>
      </c>
      <c r="B117" s="2233">
        <v>1994</v>
      </c>
      <c r="C117" s="2159">
        <v>19966793</v>
      </c>
      <c r="D117" s="536">
        <v>10479128</v>
      </c>
      <c r="E117" s="536">
        <v>1035334</v>
      </c>
      <c r="F117" s="536">
        <v>3066286</v>
      </c>
      <c r="G117" s="536">
        <v>14989.999999999989</v>
      </c>
      <c r="H117" s="536">
        <v>2868566</v>
      </c>
      <c r="I117" s="536">
        <v>1546438.0000000002</v>
      </c>
      <c r="J117" s="536">
        <v>-191.00000000000006</v>
      </c>
      <c r="K117" s="536">
        <v>956242.00000000466</v>
      </c>
      <c r="L117" s="536">
        <v>-1058939.0000000019</v>
      </c>
      <c r="M117" s="536">
        <v>13506772.999999998</v>
      </c>
      <c r="N117" s="536">
        <v>14565712</v>
      </c>
      <c r="O117" s="536">
        <v>2015181.0000000065</v>
      </c>
      <c r="P117" s="2081">
        <f t="shared" si="0"/>
        <v>-2.1</v>
      </c>
    </row>
    <row r="118" spans="1:16" hidden="1">
      <c r="A118" s="2232" t="s">
        <v>890</v>
      </c>
      <c r="B118" s="2233">
        <v>1995</v>
      </c>
      <c r="C118" s="2159">
        <v>21228355</v>
      </c>
      <c r="D118" s="536">
        <v>10486244</v>
      </c>
      <c r="E118" s="536">
        <v>1611827</v>
      </c>
      <c r="F118" s="536">
        <v>3539549</v>
      </c>
      <c r="G118" s="536">
        <v>114218</v>
      </c>
      <c r="H118" s="536">
        <v>3087839</v>
      </c>
      <c r="I118" s="536">
        <v>2300500</v>
      </c>
      <c r="J118" s="536">
        <v>1406.0000000000002</v>
      </c>
      <c r="K118" s="536">
        <v>86771.999999999069</v>
      </c>
      <c r="L118" s="536">
        <v>-2025991.0000000014</v>
      </c>
      <c r="M118" s="536">
        <v>13652671.999999998</v>
      </c>
      <c r="N118" s="536">
        <v>15678663</v>
      </c>
      <c r="O118" s="536">
        <v>2112763.0000000005</v>
      </c>
      <c r="P118" s="2081">
        <f t="shared" si="0"/>
        <v>6.3</v>
      </c>
    </row>
    <row r="119" spans="1:16" hidden="1">
      <c r="A119" s="2232" t="s">
        <v>891</v>
      </c>
      <c r="B119" s="2233">
        <v>1996</v>
      </c>
      <c r="C119" s="2159">
        <v>21732657.000000004</v>
      </c>
      <c r="D119" s="536">
        <v>10749096</v>
      </c>
      <c r="E119" s="536">
        <v>1705238.9999999998</v>
      </c>
      <c r="F119" s="536">
        <v>3739575</v>
      </c>
      <c r="G119" s="536">
        <v>204450</v>
      </c>
      <c r="H119" s="536">
        <v>2902283.9999999995</v>
      </c>
      <c r="I119" s="536">
        <v>2429603.0000000005</v>
      </c>
      <c r="J119" s="536">
        <v>-696.00000000000011</v>
      </c>
      <c r="K119" s="536">
        <v>3106.0000000037253</v>
      </c>
      <c r="L119" s="536">
        <v>-1751175.0000000014</v>
      </c>
      <c r="M119" s="536">
        <v>14475383</v>
      </c>
      <c r="N119" s="536">
        <v>16226558.000000004</v>
      </c>
      <c r="O119" s="536">
        <v>1754281.0000000051</v>
      </c>
      <c r="P119" s="2081">
        <f t="shared" si="0"/>
        <v>2.4</v>
      </c>
    </row>
    <row r="120" spans="1:16" hidden="1">
      <c r="A120" s="2232" t="s">
        <v>892</v>
      </c>
      <c r="B120" s="2233">
        <v>1997</v>
      </c>
      <c r="C120" s="2159">
        <v>21193983.000000004</v>
      </c>
      <c r="D120" s="536">
        <v>10632940.000000002</v>
      </c>
      <c r="E120" s="536">
        <v>1217178</v>
      </c>
      <c r="F120" s="536">
        <v>3540195</v>
      </c>
      <c r="G120" s="536">
        <v>188121.00000000003</v>
      </c>
      <c r="H120" s="536">
        <v>2905734</v>
      </c>
      <c r="I120" s="536">
        <v>2045268.9999999998</v>
      </c>
      <c r="J120" s="536">
        <v>-66.000000000000014</v>
      </c>
      <c r="K120" s="536">
        <v>664612</v>
      </c>
      <c r="L120" s="536">
        <v>-872670.99999999721</v>
      </c>
      <c r="M120" s="536">
        <v>14372005.000000002</v>
      </c>
      <c r="N120" s="536">
        <v>15244675.999999996</v>
      </c>
      <c r="O120" s="536">
        <v>1537282.9999999972</v>
      </c>
      <c r="P120" s="2081">
        <f t="shared" si="0"/>
        <v>-2.5</v>
      </c>
    </row>
    <row r="121" spans="1:16" hidden="1">
      <c r="A121" s="2232" t="s">
        <v>879</v>
      </c>
      <c r="B121" s="2233">
        <v>1998</v>
      </c>
      <c r="C121" s="2159">
        <v>20348388</v>
      </c>
      <c r="D121" s="536">
        <v>10544602</v>
      </c>
      <c r="E121" s="536">
        <v>1025737.0000000002</v>
      </c>
      <c r="F121" s="536">
        <v>3058750.0000000009</v>
      </c>
      <c r="G121" s="536">
        <v>73720.999999999971</v>
      </c>
      <c r="H121" s="536">
        <v>2984703.0000000005</v>
      </c>
      <c r="I121" s="536">
        <v>1690456.9999999998</v>
      </c>
      <c r="J121" s="536">
        <v>388.99999999999994</v>
      </c>
      <c r="K121" s="536">
        <v>970028.99999999907</v>
      </c>
      <c r="L121" s="536">
        <v>-699239.00000000186</v>
      </c>
      <c r="M121" s="536">
        <v>13944827.999999996</v>
      </c>
      <c r="N121" s="536">
        <v>14644067</v>
      </c>
      <c r="O121" s="536">
        <v>1669268.0000000009</v>
      </c>
      <c r="P121" s="2081">
        <f t="shared" si="0"/>
        <v>-4</v>
      </c>
    </row>
    <row r="122" spans="1:16" hidden="1">
      <c r="A122" s="2232" t="s">
        <v>880</v>
      </c>
      <c r="B122" s="2233">
        <v>1999</v>
      </c>
      <c r="C122" s="2159">
        <v>20023358</v>
      </c>
      <c r="D122" s="536">
        <v>10588769</v>
      </c>
      <c r="E122" s="536">
        <v>967178.00000000023</v>
      </c>
      <c r="F122" s="536">
        <v>2788872</v>
      </c>
      <c r="G122" s="536">
        <v>-110349</v>
      </c>
      <c r="H122" s="536">
        <v>3208564.9999999991</v>
      </c>
      <c r="I122" s="536">
        <v>1682176.0000000002</v>
      </c>
      <c r="J122" s="536">
        <v>260.00000000000006</v>
      </c>
      <c r="K122" s="536">
        <v>897887</v>
      </c>
      <c r="L122" s="536">
        <v>-718362</v>
      </c>
      <c r="M122" s="536">
        <v>13789085</v>
      </c>
      <c r="N122" s="536">
        <v>14507447</v>
      </c>
      <c r="O122" s="536">
        <v>1616249</v>
      </c>
      <c r="P122" s="2081">
        <f t="shared" si="0"/>
        <v>-1.6</v>
      </c>
    </row>
    <row r="123" spans="1:16" hidden="1">
      <c r="A123" s="2232" t="s">
        <v>881</v>
      </c>
      <c r="B123" s="2233">
        <v>2000</v>
      </c>
      <c r="C123" s="2159">
        <v>20381209</v>
      </c>
      <c r="D123" s="536">
        <v>10609122</v>
      </c>
      <c r="E123" s="536">
        <v>928036</v>
      </c>
      <c r="F123" s="536">
        <v>2800200</v>
      </c>
      <c r="G123" s="536">
        <v>-127075.00000000001</v>
      </c>
      <c r="H123" s="536">
        <v>3303059</v>
      </c>
      <c r="I123" s="536">
        <v>1439233</v>
      </c>
      <c r="J123" s="536">
        <v>706.00000000000023</v>
      </c>
      <c r="K123" s="536">
        <v>1427928</v>
      </c>
      <c r="L123" s="536">
        <v>439186.00000000326</v>
      </c>
      <c r="M123" s="536">
        <v>14798425.000000002</v>
      </c>
      <c r="N123" s="536">
        <v>14359238.999999998</v>
      </c>
      <c r="O123" s="536">
        <v>988741.99999999674</v>
      </c>
      <c r="P123" s="2081">
        <f t="shared" si="0"/>
        <v>1.8</v>
      </c>
    </row>
    <row r="124" spans="1:16">
      <c r="A124" s="2234" t="s">
        <v>882</v>
      </c>
      <c r="B124" s="2235">
        <v>2001</v>
      </c>
      <c r="C124" s="2162">
        <f t="shared" ref="C124:O124" si="1">SUM(C7:C10)</f>
        <v>18576082</v>
      </c>
      <c r="D124" s="734">
        <f t="shared" si="1"/>
        <v>12258959</v>
      </c>
      <c r="E124" s="734">
        <f t="shared" si="1"/>
        <v>867525.99999999988</v>
      </c>
      <c r="F124" s="734">
        <f t="shared" si="1"/>
        <v>2346800</v>
      </c>
      <c r="G124" s="734">
        <f t="shared" si="1"/>
        <v>-12319.999999999985</v>
      </c>
      <c r="H124" s="734">
        <f t="shared" si="1"/>
        <v>3048499.0000000005</v>
      </c>
      <c r="I124" s="734">
        <f t="shared" si="1"/>
        <v>1352079</v>
      </c>
      <c r="J124" s="734">
        <f t="shared" si="1"/>
        <v>68716</v>
      </c>
      <c r="K124" s="734">
        <f t="shared" si="1"/>
        <v>-1354176.9999999963</v>
      </c>
      <c r="L124" s="734">
        <f t="shared" si="1"/>
        <v>-1010235</v>
      </c>
      <c r="M124" s="734">
        <f t="shared" si="1"/>
        <v>15041948</v>
      </c>
      <c r="N124" s="734">
        <f t="shared" si="1"/>
        <v>16052183</v>
      </c>
      <c r="O124" s="734">
        <f t="shared" si="1"/>
        <v>-343941.99999999627</v>
      </c>
      <c r="P124" s="2109"/>
    </row>
    <row r="125" spans="1:16">
      <c r="A125" s="2236" t="s">
        <v>883</v>
      </c>
      <c r="B125" s="2218">
        <v>2002</v>
      </c>
      <c r="C125" s="2165">
        <f t="shared" ref="C125:O125" si="2">SUM(C11:C14)</f>
        <v>18606032.999999996</v>
      </c>
      <c r="D125" s="733">
        <f t="shared" si="2"/>
        <v>12256828.999999998</v>
      </c>
      <c r="E125" s="733">
        <f t="shared" si="2"/>
        <v>856548.99999999988</v>
      </c>
      <c r="F125" s="733">
        <f t="shared" si="2"/>
        <v>2254914</v>
      </c>
      <c r="G125" s="733">
        <f t="shared" si="2"/>
        <v>-102175.00000000003</v>
      </c>
      <c r="H125" s="733">
        <f t="shared" si="2"/>
        <v>3118149</v>
      </c>
      <c r="I125" s="733">
        <f t="shared" si="2"/>
        <v>1187299.0000000002</v>
      </c>
      <c r="J125" s="733">
        <f t="shared" si="2"/>
        <v>18715.999999999993</v>
      </c>
      <c r="K125" s="733">
        <f t="shared" si="2"/>
        <v>-984248.00000000093</v>
      </c>
      <c r="L125" s="733">
        <f t="shared" si="2"/>
        <v>-451008.00000000047</v>
      </c>
      <c r="M125" s="733">
        <f t="shared" si="2"/>
        <v>15419027</v>
      </c>
      <c r="N125" s="733">
        <f t="shared" si="2"/>
        <v>15870035</v>
      </c>
      <c r="O125" s="733">
        <f t="shared" si="2"/>
        <v>-533240.00000000047</v>
      </c>
      <c r="P125" s="2114">
        <f>ROUND((C125-C124)/C124*100,1)</f>
        <v>0.2</v>
      </c>
    </row>
    <row r="126" spans="1:16">
      <c r="A126" s="2236" t="s">
        <v>884</v>
      </c>
      <c r="B126" s="2218">
        <v>2003</v>
      </c>
      <c r="C126" s="2165">
        <f t="shared" ref="C126:O126" si="3">SUM(C15:C18)</f>
        <v>18549049</v>
      </c>
      <c r="D126" s="733">
        <f t="shared" si="3"/>
        <v>12308537</v>
      </c>
      <c r="E126" s="733">
        <f t="shared" si="3"/>
        <v>813128</v>
      </c>
      <c r="F126" s="733">
        <f t="shared" si="3"/>
        <v>2320639</v>
      </c>
      <c r="G126" s="733">
        <f t="shared" si="3"/>
        <v>-38148.999999999985</v>
      </c>
      <c r="H126" s="733">
        <f t="shared" si="3"/>
        <v>3164547.0000000009</v>
      </c>
      <c r="I126" s="733">
        <f t="shared" si="3"/>
        <v>1081103</v>
      </c>
      <c r="J126" s="733">
        <f t="shared" si="3"/>
        <v>-54768.999999999993</v>
      </c>
      <c r="K126" s="733">
        <f t="shared" si="3"/>
        <v>-1045987</v>
      </c>
      <c r="L126" s="733">
        <f t="shared" si="3"/>
        <v>-399273</v>
      </c>
      <c r="M126" s="733">
        <f t="shared" si="3"/>
        <v>15438038</v>
      </c>
      <c r="N126" s="733">
        <f t="shared" si="3"/>
        <v>15837311</v>
      </c>
      <c r="O126" s="733">
        <f t="shared" si="3"/>
        <v>-646714</v>
      </c>
      <c r="P126" s="2114">
        <f t="shared" ref="P126:P144" si="4">ROUND((C126-C125)/C125*100,1)</f>
        <v>-0.3</v>
      </c>
    </row>
    <row r="127" spans="1:16">
      <c r="A127" s="2236" t="s">
        <v>982</v>
      </c>
      <c r="B127" s="2218">
        <v>2004</v>
      </c>
      <c r="C127" s="2165">
        <f>SUM(C19:C22)</f>
        <v>19012293</v>
      </c>
      <c r="D127" s="733">
        <f t="shared" ref="D127:O127" si="5">SUM(D19:D22)</f>
        <v>12436277</v>
      </c>
      <c r="E127" s="733">
        <f t="shared" si="5"/>
        <v>799031</v>
      </c>
      <c r="F127" s="733">
        <f t="shared" si="5"/>
        <v>2370489.9999999995</v>
      </c>
      <c r="G127" s="733">
        <f t="shared" si="5"/>
        <v>21513.999999999993</v>
      </c>
      <c r="H127" s="733">
        <f t="shared" si="5"/>
        <v>3241399</v>
      </c>
      <c r="I127" s="733">
        <f t="shared" si="5"/>
        <v>1030182</v>
      </c>
      <c r="J127" s="733">
        <f t="shared" si="5"/>
        <v>-48489</v>
      </c>
      <c r="K127" s="733">
        <f t="shared" si="5"/>
        <v>-838110.99999999814</v>
      </c>
      <c r="L127" s="733">
        <f t="shared" si="5"/>
        <v>72872.999999999534</v>
      </c>
      <c r="M127" s="733">
        <f t="shared" si="5"/>
        <v>16043315</v>
      </c>
      <c r="N127" s="733">
        <f t="shared" si="5"/>
        <v>15970442</v>
      </c>
      <c r="O127" s="733">
        <f t="shared" si="5"/>
        <v>-910983.99999999767</v>
      </c>
      <c r="P127" s="2114">
        <f t="shared" si="4"/>
        <v>2.5</v>
      </c>
    </row>
    <row r="128" spans="1:16">
      <c r="A128" s="2236" t="s">
        <v>983</v>
      </c>
      <c r="B128" s="2218">
        <v>2005</v>
      </c>
      <c r="C128" s="2165">
        <f>SUM(C23:C26)</f>
        <v>19187464</v>
      </c>
      <c r="D128" s="733">
        <f t="shared" ref="D128:O128" si="6">SUM(D23:D26)</f>
        <v>12640589</v>
      </c>
      <c r="E128" s="733">
        <f t="shared" si="6"/>
        <v>790037</v>
      </c>
      <c r="F128" s="733">
        <f t="shared" si="6"/>
        <v>2560586</v>
      </c>
      <c r="G128" s="733">
        <f t="shared" si="6"/>
        <v>44733.000000000007</v>
      </c>
      <c r="H128" s="733">
        <f t="shared" si="6"/>
        <v>3243362.9999999995</v>
      </c>
      <c r="I128" s="733">
        <f t="shared" si="6"/>
        <v>990182.99999999988</v>
      </c>
      <c r="J128" s="733">
        <f t="shared" si="6"/>
        <v>-9272</v>
      </c>
      <c r="K128" s="733">
        <f t="shared" si="6"/>
        <v>-1072755</v>
      </c>
      <c r="L128" s="733">
        <f t="shared" si="6"/>
        <v>-827690.9999999986</v>
      </c>
      <c r="M128" s="733">
        <f t="shared" si="6"/>
        <v>16436836.000000004</v>
      </c>
      <c r="N128" s="733">
        <f t="shared" si="6"/>
        <v>17264527</v>
      </c>
      <c r="O128" s="733">
        <f t="shared" si="6"/>
        <v>-245064.0000000014</v>
      </c>
      <c r="P128" s="2114">
        <f t="shared" si="4"/>
        <v>0.9</v>
      </c>
    </row>
    <row r="129" spans="1:16">
      <c r="A129" s="2168" t="s">
        <v>984</v>
      </c>
      <c r="B129" s="2237">
        <v>2006</v>
      </c>
      <c r="C129" s="2165">
        <f>SUM(C27:C30)</f>
        <v>20501646</v>
      </c>
      <c r="D129" s="733">
        <f t="shared" ref="D129:O129" si="7">SUM(D27:D30)</f>
        <v>12614430</v>
      </c>
      <c r="E129" s="733">
        <f t="shared" si="7"/>
        <v>1019185</v>
      </c>
      <c r="F129" s="733">
        <f t="shared" si="7"/>
        <v>3635656</v>
      </c>
      <c r="G129" s="733">
        <f t="shared" si="7"/>
        <v>15531</v>
      </c>
      <c r="H129" s="733">
        <f t="shared" si="7"/>
        <v>2673002</v>
      </c>
      <c r="I129" s="733">
        <f t="shared" si="7"/>
        <v>855857</v>
      </c>
      <c r="J129" s="733">
        <f t="shared" si="7"/>
        <v>9224</v>
      </c>
      <c r="K129" s="733">
        <f t="shared" si="7"/>
        <v>-321240</v>
      </c>
      <c r="L129" s="733">
        <f t="shared" si="7"/>
        <v>-623773</v>
      </c>
      <c r="M129" s="733">
        <f t="shared" si="7"/>
        <v>17960902</v>
      </c>
      <c r="N129" s="733">
        <f t="shared" si="7"/>
        <v>18584675</v>
      </c>
      <c r="O129" s="733">
        <f t="shared" si="7"/>
        <v>228415</v>
      </c>
      <c r="P129" s="2114">
        <f t="shared" si="4"/>
        <v>6.8</v>
      </c>
    </row>
    <row r="130" spans="1:16">
      <c r="A130" s="2168" t="s">
        <v>985</v>
      </c>
      <c r="B130" s="2237">
        <v>2007</v>
      </c>
      <c r="C130" s="2165">
        <f>SUM(C31:C34)</f>
        <v>21206970</v>
      </c>
      <c r="D130" s="733">
        <f t="shared" ref="D130:O130" si="8">SUM(D31:D34)</f>
        <v>12751116</v>
      </c>
      <c r="E130" s="733">
        <f t="shared" si="8"/>
        <v>883410</v>
      </c>
      <c r="F130" s="733">
        <f t="shared" si="8"/>
        <v>3656196</v>
      </c>
      <c r="G130" s="733">
        <f t="shared" si="8"/>
        <v>76936</v>
      </c>
      <c r="H130" s="733">
        <f t="shared" si="8"/>
        <v>2750704</v>
      </c>
      <c r="I130" s="733">
        <f t="shared" si="8"/>
        <v>717823</v>
      </c>
      <c r="J130" s="733">
        <f t="shared" si="8"/>
        <v>2664</v>
      </c>
      <c r="K130" s="733">
        <f t="shared" si="8"/>
        <v>368118</v>
      </c>
      <c r="L130" s="733">
        <f t="shared" si="8"/>
        <v>-10392</v>
      </c>
      <c r="M130" s="733">
        <f t="shared" si="8"/>
        <v>18663380</v>
      </c>
      <c r="N130" s="733">
        <f t="shared" si="8"/>
        <v>18673773</v>
      </c>
      <c r="O130" s="733">
        <f t="shared" si="8"/>
        <v>286314</v>
      </c>
      <c r="P130" s="2114">
        <f t="shared" si="4"/>
        <v>3.4</v>
      </c>
    </row>
    <row r="131" spans="1:16">
      <c r="A131" s="2168" t="s">
        <v>986</v>
      </c>
      <c r="B131" s="2237">
        <v>2008</v>
      </c>
      <c r="C131" s="2165">
        <f>SUM(C35:C38)</f>
        <v>20886492</v>
      </c>
      <c r="D131" s="733">
        <f t="shared" ref="D131:O131" si="9">SUM(D35:D38)</f>
        <v>12518609</v>
      </c>
      <c r="E131" s="733">
        <f t="shared" si="9"/>
        <v>805599</v>
      </c>
      <c r="F131" s="733">
        <f t="shared" si="9"/>
        <v>3646934</v>
      </c>
      <c r="G131" s="733">
        <f t="shared" si="9"/>
        <v>185165</v>
      </c>
      <c r="H131" s="733">
        <f t="shared" si="9"/>
        <v>2804421</v>
      </c>
      <c r="I131" s="733">
        <f t="shared" si="9"/>
        <v>707614</v>
      </c>
      <c r="J131" s="733">
        <f t="shared" si="9"/>
        <v>-12012</v>
      </c>
      <c r="K131" s="733">
        <f t="shared" si="9"/>
        <v>230162</v>
      </c>
      <c r="L131" s="733">
        <f t="shared" si="9"/>
        <v>-440811</v>
      </c>
      <c r="M131" s="733">
        <f t="shared" si="9"/>
        <v>17715616</v>
      </c>
      <c r="N131" s="733">
        <f t="shared" si="9"/>
        <v>18156428</v>
      </c>
      <c r="O131" s="733">
        <f t="shared" si="9"/>
        <v>568426</v>
      </c>
      <c r="P131" s="2114">
        <f t="shared" si="4"/>
        <v>-1.5</v>
      </c>
    </row>
    <row r="132" spans="1:16">
      <c r="A132" s="2168" t="s">
        <v>987</v>
      </c>
      <c r="B132" s="2237">
        <v>2009</v>
      </c>
      <c r="C132" s="2165">
        <f>SUM(C39:C42)</f>
        <v>19505985</v>
      </c>
      <c r="D132" s="733">
        <f t="shared" ref="D132:O132" si="10">SUM(D39:D42)</f>
        <v>12679954</v>
      </c>
      <c r="E132" s="733">
        <f t="shared" si="10"/>
        <v>640516</v>
      </c>
      <c r="F132" s="733">
        <f t="shared" si="10"/>
        <v>3253066</v>
      </c>
      <c r="G132" s="733">
        <f t="shared" si="10"/>
        <v>-201262</v>
      </c>
      <c r="H132" s="733">
        <f t="shared" si="10"/>
        <v>2949036</v>
      </c>
      <c r="I132" s="733">
        <f t="shared" si="10"/>
        <v>809336</v>
      </c>
      <c r="J132" s="733">
        <f t="shared" si="10"/>
        <v>8272</v>
      </c>
      <c r="K132" s="733">
        <f t="shared" si="10"/>
        <v>-632931</v>
      </c>
      <c r="L132" s="733">
        <f t="shared" si="10"/>
        <v>-705102</v>
      </c>
      <c r="M132" s="733">
        <f t="shared" si="10"/>
        <v>16436614</v>
      </c>
      <c r="N132" s="733">
        <f t="shared" si="10"/>
        <v>17141715</v>
      </c>
      <c r="O132" s="733">
        <f t="shared" si="10"/>
        <v>22496</v>
      </c>
      <c r="P132" s="2114">
        <f t="shared" si="4"/>
        <v>-6.6</v>
      </c>
    </row>
    <row r="133" spans="1:16">
      <c r="A133" s="2168" t="s">
        <v>944</v>
      </c>
      <c r="B133" s="2237">
        <v>2010</v>
      </c>
      <c r="C133" s="2170">
        <f>SUM(C43:C46)</f>
        <v>20904267</v>
      </c>
      <c r="D133" s="79">
        <f t="shared" ref="D133:O133" si="11">SUM(D43:D46)</f>
        <v>12844862</v>
      </c>
      <c r="E133" s="79">
        <f t="shared" si="11"/>
        <v>672892</v>
      </c>
      <c r="F133" s="79">
        <f t="shared" si="11"/>
        <v>3416016</v>
      </c>
      <c r="G133" s="79">
        <f t="shared" si="11"/>
        <v>-51841</v>
      </c>
      <c r="H133" s="79">
        <f t="shared" si="11"/>
        <v>2973632</v>
      </c>
      <c r="I133" s="79">
        <f t="shared" si="11"/>
        <v>867552</v>
      </c>
      <c r="J133" s="79">
        <f t="shared" si="11"/>
        <v>-18102</v>
      </c>
      <c r="K133" s="79">
        <f t="shared" si="11"/>
        <v>199260</v>
      </c>
      <c r="L133" s="79">
        <f t="shared" si="11"/>
        <v>-30095</v>
      </c>
      <c r="M133" s="79">
        <f t="shared" si="11"/>
        <v>17832930</v>
      </c>
      <c r="N133" s="79">
        <f t="shared" si="11"/>
        <v>17863023</v>
      </c>
      <c r="O133" s="79">
        <f t="shared" si="11"/>
        <v>194120</v>
      </c>
      <c r="P133" s="2114">
        <f t="shared" si="4"/>
        <v>7.2</v>
      </c>
    </row>
    <row r="134" spans="1:16">
      <c r="A134" s="2168" t="s">
        <v>945</v>
      </c>
      <c r="B134" s="2237">
        <v>2011</v>
      </c>
      <c r="C134" s="2170">
        <f>SUM(C47:C50)</f>
        <v>20641997</v>
      </c>
      <c r="D134" s="79">
        <f t="shared" ref="D134:O134" si="12">SUM(D47:D50)</f>
        <v>12986785</v>
      </c>
      <c r="E134" s="79">
        <f t="shared" si="12"/>
        <v>703685</v>
      </c>
      <c r="F134" s="79">
        <f t="shared" si="12"/>
        <v>3422436</v>
      </c>
      <c r="G134" s="79">
        <f t="shared" si="12"/>
        <v>71249</v>
      </c>
      <c r="H134" s="79">
        <f t="shared" si="12"/>
        <v>3034062</v>
      </c>
      <c r="I134" s="79">
        <f t="shared" si="12"/>
        <v>681192</v>
      </c>
      <c r="J134" s="79">
        <f t="shared" si="12"/>
        <v>-3442</v>
      </c>
      <c r="K134" s="79">
        <f t="shared" si="12"/>
        <v>-253971</v>
      </c>
      <c r="L134" s="79">
        <f t="shared" si="12"/>
        <v>-569339</v>
      </c>
      <c r="M134" s="79">
        <f t="shared" si="12"/>
        <v>17368908</v>
      </c>
      <c r="N134" s="79">
        <f t="shared" si="12"/>
        <v>17938247</v>
      </c>
      <c r="O134" s="79">
        <f t="shared" si="12"/>
        <v>334384</v>
      </c>
      <c r="P134" s="2114">
        <f t="shared" si="4"/>
        <v>-1.3</v>
      </c>
    </row>
    <row r="135" spans="1:16">
      <c r="A135" s="2168" t="s">
        <v>946</v>
      </c>
      <c r="B135" s="2237">
        <v>2012</v>
      </c>
      <c r="C135" s="2171">
        <f>SUM(C51:C54)</f>
        <v>20585255</v>
      </c>
      <c r="D135" s="2172">
        <f t="shared" ref="D135:O135" si="13">SUM(D51:D54)</f>
        <v>13072769</v>
      </c>
      <c r="E135" s="2172">
        <f t="shared" si="13"/>
        <v>717995</v>
      </c>
      <c r="F135" s="2172">
        <f t="shared" si="13"/>
        <v>3376617</v>
      </c>
      <c r="G135" s="2172">
        <f t="shared" si="13"/>
        <v>15762</v>
      </c>
      <c r="H135" s="2172">
        <f t="shared" si="13"/>
        <v>3060392</v>
      </c>
      <c r="I135" s="2172">
        <f t="shared" si="13"/>
        <v>721489</v>
      </c>
      <c r="J135" s="2172">
        <f t="shared" si="13"/>
        <v>-55</v>
      </c>
      <c r="K135" s="2172">
        <f t="shared" si="13"/>
        <v>-379715</v>
      </c>
      <c r="L135" s="2172">
        <f t="shared" si="13"/>
        <v>-831958</v>
      </c>
      <c r="M135" s="2172">
        <f t="shared" si="13"/>
        <v>17143713</v>
      </c>
      <c r="N135" s="2172">
        <f t="shared" si="13"/>
        <v>17975670</v>
      </c>
      <c r="O135" s="2172">
        <f t="shared" si="13"/>
        <v>438082</v>
      </c>
      <c r="P135" s="2114">
        <f t="shared" si="4"/>
        <v>-0.3</v>
      </c>
    </row>
    <row r="136" spans="1:16">
      <c r="A136" s="2168" t="s">
        <v>846</v>
      </c>
      <c r="B136" s="2237">
        <v>2013</v>
      </c>
      <c r="C136" s="2173">
        <f>SUM(C55:C58)</f>
        <v>21339376</v>
      </c>
      <c r="D136" s="1143">
        <f t="shared" ref="D136:O136" si="14">SUM(D55:D58)</f>
        <v>13392007</v>
      </c>
      <c r="E136" s="1143">
        <f t="shared" si="14"/>
        <v>752975</v>
      </c>
      <c r="F136" s="1143">
        <f t="shared" si="14"/>
        <v>3538027</v>
      </c>
      <c r="G136" s="1143">
        <f t="shared" si="14"/>
        <v>41865</v>
      </c>
      <c r="H136" s="1143">
        <f t="shared" si="14"/>
        <v>3107862</v>
      </c>
      <c r="I136" s="1143">
        <f t="shared" si="14"/>
        <v>829927</v>
      </c>
      <c r="J136" s="1143">
        <f t="shared" si="14"/>
        <v>14233</v>
      </c>
      <c r="K136" s="1143">
        <f t="shared" si="14"/>
        <v>-337518</v>
      </c>
      <c r="L136" s="1143">
        <f t="shared" si="14"/>
        <v>-719863</v>
      </c>
      <c r="M136" s="1143">
        <f t="shared" si="14"/>
        <v>17291738</v>
      </c>
      <c r="N136" s="1143">
        <f t="shared" si="14"/>
        <v>18011602</v>
      </c>
      <c r="O136" s="1143">
        <f t="shared" si="14"/>
        <v>360059</v>
      </c>
      <c r="P136" s="2114">
        <f t="shared" si="4"/>
        <v>3.7</v>
      </c>
    </row>
    <row r="137" spans="1:16">
      <c r="A137" s="2168" t="s">
        <v>1021</v>
      </c>
      <c r="B137" s="2237">
        <v>2014</v>
      </c>
      <c r="C137" s="2174">
        <f>SUM(C59:C62)</f>
        <v>21092930</v>
      </c>
      <c r="D137" s="1804">
        <f t="shared" ref="D137:O137" si="15">SUM(D59:D62)</f>
        <v>12931659</v>
      </c>
      <c r="E137" s="1804">
        <f t="shared" si="15"/>
        <v>711043</v>
      </c>
      <c r="F137" s="1804">
        <f t="shared" si="15"/>
        <v>3577967</v>
      </c>
      <c r="G137" s="1804">
        <f t="shared" si="15"/>
        <v>-29978</v>
      </c>
      <c r="H137" s="1804">
        <f t="shared" si="15"/>
        <v>3129440</v>
      </c>
      <c r="I137" s="1804">
        <f t="shared" si="15"/>
        <v>756073</v>
      </c>
      <c r="J137" s="1804">
        <f t="shared" si="15"/>
        <v>15231</v>
      </c>
      <c r="K137" s="1804">
        <f t="shared" si="15"/>
        <v>1494</v>
      </c>
      <c r="L137" s="1804">
        <f t="shared" si="15"/>
        <v>13077</v>
      </c>
      <c r="M137" s="1804">
        <f t="shared" si="15"/>
        <v>17481675</v>
      </c>
      <c r="N137" s="1804">
        <f t="shared" si="15"/>
        <v>17468596</v>
      </c>
      <c r="O137" s="1804">
        <f t="shared" si="15"/>
        <v>-55658</v>
      </c>
      <c r="P137" s="2114">
        <f t="shared" si="4"/>
        <v>-1.2</v>
      </c>
    </row>
    <row r="138" spans="1:16">
      <c r="A138" s="2168" t="s">
        <v>157</v>
      </c>
      <c r="B138" s="2237">
        <v>2015</v>
      </c>
      <c r="C138" s="512">
        <f>SUM(C63:C66)</f>
        <v>21764162</v>
      </c>
      <c r="D138" s="513">
        <f t="shared" ref="D138:O138" si="16">SUM(D63:D66)</f>
        <v>13075405</v>
      </c>
      <c r="E138" s="513">
        <f t="shared" si="16"/>
        <v>747618</v>
      </c>
      <c r="F138" s="513">
        <f t="shared" si="16"/>
        <v>3632481</v>
      </c>
      <c r="G138" s="513">
        <f t="shared" si="16"/>
        <v>157727</v>
      </c>
      <c r="H138" s="513">
        <f t="shared" si="16"/>
        <v>3190991</v>
      </c>
      <c r="I138" s="513">
        <f t="shared" si="16"/>
        <v>784564</v>
      </c>
      <c r="J138" s="513">
        <f t="shared" si="16"/>
        <v>-11823</v>
      </c>
      <c r="K138" s="513">
        <f t="shared" si="16"/>
        <v>187202</v>
      </c>
      <c r="L138" s="513">
        <f t="shared" si="16"/>
        <v>-90463</v>
      </c>
      <c r="M138" s="513">
        <f t="shared" si="16"/>
        <v>17931798</v>
      </c>
      <c r="N138" s="513">
        <f t="shared" si="16"/>
        <v>18022261</v>
      </c>
      <c r="O138" s="513">
        <f t="shared" si="16"/>
        <v>241646</v>
      </c>
      <c r="P138" s="931">
        <f t="shared" si="4"/>
        <v>3.2</v>
      </c>
    </row>
    <row r="139" spans="1:16">
      <c r="A139" s="2175" t="s">
        <v>1000</v>
      </c>
      <c r="B139" s="2237">
        <v>2016</v>
      </c>
      <c r="C139" s="2174">
        <f>SUM(C67:C70)</f>
        <v>21938483</v>
      </c>
      <c r="D139" s="1804">
        <f t="shared" ref="D139:O139" si="17">SUM(D67:D70)</f>
        <v>12996597</v>
      </c>
      <c r="E139" s="1804">
        <f t="shared" si="17"/>
        <v>753566</v>
      </c>
      <c r="F139" s="1804">
        <f t="shared" si="17"/>
        <v>3730740</v>
      </c>
      <c r="G139" s="1804">
        <f t="shared" si="17"/>
        <v>-64860</v>
      </c>
      <c r="H139" s="1804">
        <f t="shared" si="17"/>
        <v>3225397</v>
      </c>
      <c r="I139" s="1804">
        <f t="shared" si="17"/>
        <v>805545</v>
      </c>
      <c r="J139" s="1804">
        <f t="shared" si="17"/>
        <v>-26735</v>
      </c>
      <c r="K139" s="1804">
        <f t="shared" si="17"/>
        <v>518232</v>
      </c>
      <c r="L139" s="1804">
        <f t="shared" si="17"/>
        <v>-7299</v>
      </c>
      <c r="M139" s="1804">
        <f t="shared" si="17"/>
        <v>18069647</v>
      </c>
      <c r="N139" s="1804">
        <f t="shared" si="17"/>
        <v>18076945</v>
      </c>
      <c r="O139" s="1804">
        <f t="shared" si="17"/>
        <v>417644</v>
      </c>
      <c r="P139" s="2114">
        <f t="shared" si="4"/>
        <v>0.8</v>
      </c>
    </row>
    <row r="140" spans="1:16">
      <c r="A140" s="2175" t="s">
        <v>1036</v>
      </c>
      <c r="B140" s="1119">
        <v>2017</v>
      </c>
      <c r="C140" s="2174">
        <f>SUM(C71:C74)</f>
        <v>22281250</v>
      </c>
      <c r="D140" s="1804">
        <f t="shared" ref="D140:O140" si="18">SUM(D71:D74)</f>
        <v>13128105</v>
      </c>
      <c r="E140" s="1804">
        <f t="shared" si="18"/>
        <v>695258</v>
      </c>
      <c r="F140" s="1804">
        <f t="shared" si="18"/>
        <v>3802305</v>
      </c>
      <c r="G140" s="1804">
        <f t="shared" si="18"/>
        <v>52987</v>
      </c>
      <c r="H140" s="1804">
        <f t="shared" si="18"/>
        <v>3249225</v>
      </c>
      <c r="I140" s="1804">
        <f t="shared" si="18"/>
        <v>776886</v>
      </c>
      <c r="J140" s="1804">
        <f t="shared" si="18"/>
        <v>13478</v>
      </c>
      <c r="K140" s="1804">
        <f t="shared" si="18"/>
        <v>563004</v>
      </c>
      <c r="L140" s="1804">
        <f t="shared" si="18"/>
        <v>352495</v>
      </c>
      <c r="M140" s="1804">
        <f t="shared" si="18"/>
        <v>18619042</v>
      </c>
      <c r="N140" s="1804">
        <f t="shared" si="18"/>
        <v>18266547</v>
      </c>
      <c r="O140" s="1804">
        <f t="shared" si="18"/>
        <v>33621</v>
      </c>
      <c r="P140" s="2114">
        <f t="shared" si="4"/>
        <v>1.6</v>
      </c>
    </row>
    <row r="141" spans="1:16">
      <c r="A141" s="2177" t="s">
        <v>1062</v>
      </c>
      <c r="B141" s="2238">
        <v>2018</v>
      </c>
      <c r="C141" s="2179">
        <f>SUM(C75:C78)</f>
        <v>22230964</v>
      </c>
      <c r="D141" s="1816">
        <f t="shared" ref="D141:O141" si="19">SUM(D75:D78)</f>
        <v>13136181</v>
      </c>
      <c r="E141" s="1816">
        <f t="shared" si="19"/>
        <v>651580</v>
      </c>
      <c r="F141" s="1816">
        <f t="shared" si="19"/>
        <v>3777377</v>
      </c>
      <c r="G141" s="1816">
        <f t="shared" si="19"/>
        <v>85096</v>
      </c>
      <c r="H141" s="1816">
        <f t="shared" si="19"/>
        <v>3265557</v>
      </c>
      <c r="I141" s="1816">
        <f t="shared" si="19"/>
        <v>723663</v>
      </c>
      <c r="J141" s="1816">
        <f t="shared" si="19"/>
        <v>-10714</v>
      </c>
      <c r="K141" s="1816">
        <f t="shared" si="19"/>
        <v>602225</v>
      </c>
      <c r="L141" s="1816">
        <f t="shared" si="19"/>
        <v>286623</v>
      </c>
      <c r="M141" s="1816">
        <f t="shared" si="19"/>
        <v>18627872</v>
      </c>
      <c r="N141" s="1816">
        <f t="shared" si="19"/>
        <v>18341250</v>
      </c>
      <c r="O141" s="1816">
        <f t="shared" si="19"/>
        <v>56093</v>
      </c>
      <c r="P141" s="2120">
        <f t="shared" si="4"/>
        <v>-0.2</v>
      </c>
    </row>
    <row r="142" spans="1:16">
      <c r="A142" s="2180" t="s">
        <v>1175</v>
      </c>
      <c r="B142" s="2239">
        <v>2019</v>
      </c>
      <c r="C142" s="806">
        <f>SUM(C79:C82)</f>
        <v>22373321</v>
      </c>
      <c r="D142" s="806">
        <f>ROUND(SUM(D79:D82),0)</f>
        <v>13057999</v>
      </c>
      <c r="E142" s="806">
        <f t="shared" ref="E142:J142" si="20">ROUND(SUM(E79:E82),0)</f>
        <v>687992</v>
      </c>
      <c r="F142" s="806">
        <f t="shared" si="20"/>
        <v>3795114</v>
      </c>
      <c r="G142" s="806">
        <f t="shared" si="20"/>
        <v>149323</v>
      </c>
      <c r="H142" s="806">
        <f t="shared" si="20"/>
        <v>3361790</v>
      </c>
      <c r="I142" s="806">
        <f t="shared" si="20"/>
        <v>830581</v>
      </c>
      <c r="J142" s="806">
        <f t="shared" si="20"/>
        <v>31558</v>
      </c>
      <c r="K142" s="806">
        <f>L142+O142</f>
        <v>53820</v>
      </c>
      <c r="L142" s="806">
        <f>M142-N142</f>
        <v>33020</v>
      </c>
      <c r="M142" s="806">
        <f>ROUND(SUM(M79:M82),0)</f>
        <v>18640462</v>
      </c>
      <c r="N142" s="806">
        <f>ROUND(SUM(N79:N82),0)</f>
        <v>18607442</v>
      </c>
      <c r="O142" s="2182">
        <f>ROUND(SUM(O79:O82),0)</f>
        <v>20800</v>
      </c>
      <c r="P142" s="2183">
        <f t="shared" si="4"/>
        <v>0.6</v>
      </c>
    </row>
    <row r="143" spans="1:16">
      <c r="A143" s="2180" t="s">
        <v>1221</v>
      </c>
      <c r="B143" s="2239">
        <v>2020</v>
      </c>
      <c r="C143" s="1122">
        <f>SUM(C83:C86)</f>
        <v>21583878</v>
      </c>
      <c r="D143" s="1122">
        <f t="shared" ref="D143:O143" si="21">SUM(D83:D86)</f>
        <v>12482500</v>
      </c>
      <c r="E143" s="1122">
        <f t="shared" si="21"/>
        <v>634885</v>
      </c>
      <c r="F143" s="1122">
        <f t="shared" si="21"/>
        <v>3571247</v>
      </c>
      <c r="G143" s="1122">
        <f t="shared" si="21"/>
        <v>-186695</v>
      </c>
      <c r="H143" s="1122">
        <f t="shared" si="21"/>
        <v>3392192</v>
      </c>
      <c r="I143" s="1122">
        <f t="shared" si="21"/>
        <v>981010</v>
      </c>
      <c r="J143" s="1122">
        <f t="shared" si="21"/>
        <v>-53234</v>
      </c>
      <c r="K143" s="1122">
        <f t="shared" si="21"/>
        <v>761972</v>
      </c>
      <c r="L143" s="1122">
        <f t="shared" si="21"/>
        <v>-243624</v>
      </c>
      <c r="M143" s="1122">
        <f t="shared" si="21"/>
        <v>17036289</v>
      </c>
      <c r="N143" s="1122">
        <f t="shared" si="21"/>
        <v>17279913</v>
      </c>
      <c r="O143" s="1122">
        <f t="shared" si="21"/>
        <v>683824</v>
      </c>
      <c r="P143" s="2184">
        <f t="shared" si="4"/>
        <v>-3.5</v>
      </c>
    </row>
    <row r="144" spans="1:16">
      <c r="A144" s="2180" t="s">
        <v>1542</v>
      </c>
      <c r="B144" s="2239">
        <v>2021</v>
      </c>
      <c r="C144" s="806">
        <f>SUM(C87:C90)</f>
        <v>22305839</v>
      </c>
      <c r="D144" s="806">
        <f t="shared" ref="D144:O144" si="22">SUM(D87:D90)</f>
        <v>12756029</v>
      </c>
      <c r="E144" s="806">
        <f t="shared" si="22"/>
        <v>671641</v>
      </c>
      <c r="F144" s="806">
        <f t="shared" si="22"/>
        <v>3606606</v>
      </c>
      <c r="G144" s="806">
        <f t="shared" si="22"/>
        <v>-56831</v>
      </c>
      <c r="H144" s="806">
        <f t="shared" si="22"/>
        <v>3570835</v>
      </c>
      <c r="I144" s="806">
        <f t="shared" si="22"/>
        <v>917117</v>
      </c>
      <c r="J144" s="806">
        <f t="shared" si="22"/>
        <v>-407</v>
      </c>
      <c r="K144" s="806">
        <f t="shared" si="22"/>
        <v>840849</v>
      </c>
      <c r="L144" s="806">
        <f t="shared" si="22"/>
        <v>373723</v>
      </c>
      <c r="M144" s="806">
        <f t="shared" si="22"/>
        <v>17939555</v>
      </c>
      <c r="N144" s="806">
        <f t="shared" si="22"/>
        <v>17565833</v>
      </c>
      <c r="O144" s="806">
        <f t="shared" si="22"/>
        <v>268512</v>
      </c>
      <c r="P144" s="2184">
        <f t="shared" si="4"/>
        <v>3.3</v>
      </c>
    </row>
    <row r="145" spans="1:16">
      <c r="A145" s="2180" t="s">
        <v>1573</v>
      </c>
      <c r="B145" s="2239">
        <v>2022</v>
      </c>
      <c r="C145" s="1125">
        <f>SUM(C91:C94)</f>
        <v>22878289</v>
      </c>
      <c r="D145" s="1125">
        <f t="shared" ref="D145:O145" si="23">SUM(D91:D94)</f>
        <v>13079004</v>
      </c>
      <c r="E145" s="1125">
        <f t="shared" si="23"/>
        <v>625096</v>
      </c>
      <c r="F145" s="1125">
        <f t="shared" si="23"/>
        <v>3915617</v>
      </c>
      <c r="G145" s="1125">
        <f t="shared" si="23"/>
        <v>211562</v>
      </c>
      <c r="H145" s="1125">
        <f t="shared" si="23"/>
        <v>3592503</v>
      </c>
      <c r="I145" s="1125">
        <f t="shared" si="23"/>
        <v>809002</v>
      </c>
      <c r="J145" s="1125">
        <f t="shared" si="23"/>
        <v>25631</v>
      </c>
      <c r="K145" s="1125">
        <f t="shared" si="23"/>
        <v>619876</v>
      </c>
      <c r="L145" s="1125">
        <f t="shared" si="23"/>
        <v>38514</v>
      </c>
      <c r="M145" s="1125">
        <f t="shared" si="23"/>
        <v>18088275</v>
      </c>
      <c r="N145" s="1125">
        <f t="shared" si="23"/>
        <v>18049761</v>
      </c>
      <c r="O145" s="1125">
        <f t="shared" si="23"/>
        <v>582518</v>
      </c>
      <c r="P145" s="2184">
        <f>ROUND((C145-C144)/C144*100,1)</f>
        <v>2.6</v>
      </c>
    </row>
    <row r="146" spans="1:16">
      <c r="A146" s="2180" t="s">
        <v>1716</v>
      </c>
      <c r="B146" s="2239">
        <v>2023</v>
      </c>
      <c r="C146" s="1125">
        <f>SUM(C95:C98)</f>
        <v>22921318</v>
      </c>
      <c r="D146" s="1125">
        <f t="shared" ref="D146:O146" si="24">SUM(D95:D98)</f>
        <v>12938289</v>
      </c>
      <c r="E146" s="1125">
        <f t="shared" si="24"/>
        <v>651140</v>
      </c>
      <c r="F146" s="1125">
        <f t="shared" si="24"/>
        <v>4159321</v>
      </c>
      <c r="G146" s="1125">
        <f t="shared" si="24"/>
        <v>-2454</v>
      </c>
      <c r="H146" s="1125">
        <f t="shared" si="24"/>
        <v>3531398</v>
      </c>
      <c r="I146" s="1125">
        <f t="shared" si="24"/>
        <v>766627</v>
      </c>
      <c r="J146" s="1125">
        <f t="shared" si="24"/>
        <v>-8802</v>
      </c>
      <c r="K146" s="1125">
        <f t="shared" si="24"/>
        <v>885796</v>
      </c>
      <c r="L146" s="1125">
        <f t="shared" si="24"/>
        <v>354514</v>
      </c>
      <c r="M146" s="1125">
        <f t="shared" si="24"/>
        <v>18090351</v>
      </c>
      <c r="N146" s="1125">
        <f t="shared" si="24"/>
        <v>17735836</v>
      </c>
      <c r="O146" s="1125">
        <f t="shared" si="24"/>
        <v>582518</v>
      </c>
      <c r="P146" s="2184">
        <f>ROUND((C146-C145)/C145*100,1)</f>
        <v>0.2</v>
      </c>
    </row>
    <row r="147" spans="1:16">
      <c r="A147" s="2180" t="s">
        <v>1764</v>
      </c>
      <c r="B147" s="2239">
        <v>2024</v>
      </c>
      <c r="C147" s="1125">
        <f>SUM(C99:C102)</f>
        <v>22926997</v>
      </c>
      <c r="D147" s="1125">
        <f t="shared" ref="D147:O147" si="25">SUM(D99:D102)</f>
        <v>12895133</v>
      </c>
      <c r="E147" s="1125">
        <f t="shared" si="25"/>
        <v>621279</v>
      </c>
      <c r="F147" s="1125">
        <f t="shared" si="25"/>
        <v>4183009</v>
      </c>
      <c r="G147" s="1125">
        <f t="shared" si="25"/>
        <v>-21660</v>
      </c>
      <c r="H147" s="1125">
        <f t="shared" si="25"/>
        <v>3616955</v>
      </c>
      <c r="I147" s="1125">
        <f t="shared" si="25"/>
        <v>757272</v>
      </c>
      <c r="J147" s="1125">
        <f t="shared" si="25"/>
        <v>-9825</v>
      </c>
      <c r="K147" s="1125">
        <f t="shared" si="25"/>
        <v>884834</v>
      </c>
      <c r="L147" s="1125">
        <f t="shared" si="25"/>
        <v>254537</v>
      </c>
      <c r="M147" s="1125">
        <f t="shared" si="25"/>
        <v>18197427</v>
      </c>
      <c r="N147" s="1125">
        <f t="shared" si="25"/>
        <v>17942890</v>
      </c>
      <c r="O147" s="1125">
        <f t="shared" si="25"/>
        <v>582518</v>
      </c>
      <c r="P147" s="2184">
        <f>ROUND((C147-C146)/C146*100,1)</f>
        <v>0</v>
      </c>
    </row>
    <row r="149" spans="1:16">
      <c r="A149" s="75" t="s">
        <v>1202</v>
      </c>
      <c r="B149" s="680">
        <v>2002</v>
      </c>
      <c r="C149" s="75">
        <f>SUM(C10:C13)</f>
        <v>18628026.982022766</v>
      </c>
      <c r="H149" s="75" t="s">
        <v>11</v>
      </c>
    </row>
    <row r="150" spans="1:16">
      <c r="A150" s="75" t="s">
        <v>1203</v>
      </c>
      <c r="B150" s="680">
        <v>2003</v>
      </c>
      <c r="C150" s="75">
        <f>SUM(C14:C17)</f>
        <v>18514818.737137847</v>
      </c>
    </row>
    <row r="151" spans="1:16">
      <c r="A151" s="75" t="s">
        <v>1204</v>
      </c>
      <c r="B151" s="680" t="s">
        <v>990</v>
      </c>
      <c r="C151" s="75">
        <f>SUM(C18:C21)</f>
        <v>18922022.323211901</v>
      </c>
    </row>
    <row r="152" spans="1:16">
      <c r="A152" s="75" t="s">
        <v>1205</v>
      </c>
      <c r="B152" s="680" t="s">
        <v>991</v>
      </c>
      <c r="C152" s="75">
        <f>SUM(C22:C25)</f>
        <v>19129468.935276616</v>
      </c>
    </row>
    <row r="153" spans="1:16">
      <c r="A153" s="456" t="s">
        <v>1206</v>
      </c>
      <c r="B153" s="1119" t="s">
        <v>992</v>
      </c>
      <c r="C153" s="456">
        <f>SUM(C26:C29)</f>
        <v>20097151.550337713</v>
      </c>
    </row>
    <row r="154" spans="1:16">
      <c r="A154" s="456" t="s">
        <v>1207</v>
      </c>
      <c r="B154" s="1119" t="s">
        <v>993</v>
      </c>
      <c r="C154" s="456">
        <f>SUM(C30:C33)</f>
        <v>21099227</v>
      </c>
    </row>
    <row r="155" spans="1:16">
      <c r="A155" s="456" t="s">
        <v>1208</v>
      </c>
      <c r="B155" s="1119" t="s">
        <v>994</v>
      </c>
      <c r="C155" s="456">
        <f>SUM(C34:C37)</f>
        <v>21323792</v>
      </c>
    </row>
    <row r="156" spans="1:16">
      <c r="A156" s="456" t="s">
        <v>1209</v>
      </c>
      <c r="B156" s="1119" t="s">
        <v>996</v>
      </c>
      <c r="C156" s="456">
        <f>SUM(C38:C41)</f>
        <v>19391392</v>
      </c>
    </row>
    <row r="157" spans="1:16">
      <c r="A157" s="456" t="s">
        <v>1210</v>
      </c>
      <c r="B157" s="1119">
        <v>2010</v>
      </c>
      <c r="C157" s="456">
        <f>SUM(C42:C45)</f>
        <v>20712080</v>
      </c>
    </row>
    <row r="158" spans="1:16">
      <c r="A158" s="456" t="s">
        <v>1211</v>
      </c>
      <c r="B158" s="1119">
        <v>2011</v>
      </c>
      <c r="C158" s="456">
        <f>SUM(C46:C49)</f>
        <v>20587289</v>
      </c>
    </row>
    <row r="159" spans="1:16">
      <c r="A159" s="456" t="s">
        <v>1212</v>
      </c>
      <c r="B159" s="1119">
        <v>2012</v>
      </c>
      <c r="C159" s="456">
        <f>SUM(C50:C53)</f>
        <v>20604751</v>
      </c>
    </row>
    <row r="160" spans="1:16">
      <c r="A160" s="456" t="s">
        <v>1213</v>
      </c>
      <c r="B160" s="1119">
        <v>2013</v>
      </c>
      <c r="C160" s="456">
        <f>SUM(C54:C57)</f>
        <v>21147825</v>
      </c>
    </row>
    <row r="161" spans="1:3">
      <c r="A161" s="456" t="s">
        <v>1214</v>
      </c>
      <c r="B161" s="1119">
        <v>2014</v>
      </c>
      <c r="C161" s="456">
        <f>SUM(C58:C61)</f>
        <v>21107132</v>
      </c>
    </row>
    <row r="162" spans="1:3">
      <c r="A162" s="456" t="s">
        <v>125</v>
      </c>
      <c r="B162" s="1119">
        <v>2015</v>
      </c>
      <c r="C162" s="456">
        <f>SUM(C62:C65)</f>
        <v>21647319</v>
      </c>
    </row>
    <row r="163" spans="1:3">
      <c r="A163" s="456" t="s">
        <v>1023</v>
      </c>
      <c r="B163" s="1119">
        <v>2016</v>
      </c>
      <c r="C163" s="456">
        <f>SUM(C66:C69)</f>
        <v>21853234</v>
      </c>
    </row>
    <row r="164" spans="1:3">
      <c r="A164" s="456" t="s">
        <v>1058</v>
      </c>
      <c r="B164" s="1119">
        <v>2017</v>
      </c>
      <c r="C164" s="456">
        <f>SUM(C70:C73)</f>
        <v>22236044</v>
      </c>
    </row>
    <row r="165" spans="1:3">
      <c r="A165" s="456" t="s">
        <v>1091</v>
      </c>
      <c r="B165" s="1119">
        <v>2018</v>
      </c>
      <c r="C165" s="456">
        <f>SUM(C74:C77)</f>
        <v>22278957</v>
      </c>
    </row>
    <row r="166" spans="1:3">
      <c r="A166" s="456" t="s">
        <v>1215</v>
      </c>
      <c r="B166" s="1119">
        <v>2019</v>
      </c>
      <c r="C166" s="456">
        <f>SUM(C78:C81)</f>
        <v>22392759</v>
      </c>
    </row>
    <row r="167" spans="1:3">
      <c r="A167" s="456" t="s">
        <v>1216</v>
      </c>
      <c r="B167" s="1120">
        <v>2020</v>
      </c>
      <c r="C167" s="456">
        <f>SUM(C82:C85)</f>
        <v>21582283</v>
      </c>
    </row>
    <row r="168" spans="1:3">
      <c r="A168" s="456" t="s">
        <v>1525</v>
      </c>
      <c r="B168" s="1120">
        <v>2021</v>
      </c>
      <c r="C168" s="456">
        <f>SUM(C86:C89)</f>
        <v>22278316</v>
      </c>
    </row>
    <row r="169" spans="1:3">
      <c r="A169" s="456" t="s">
        <v>1218</v>
      </c>
      <c r="B169" s="1120">
        <v>2022</v>
      </c>
      <c r="C169" s="456">
        <f>SUM(C90:C93)</f>
        <v>22724534</v>
      </c>
    </row>
    <row r="170" spans="1:3">
      <c r="A170" s="456" t="s">
        <v>1548</v>
      </c>
      <c r="B170" s="1120">
        <v>2023</v>
      </c>
      <c r="C170" s="456">
        <f>SUM(C94:C97)</f>
        <v>22953145</v>
      </c>
    </row>
    <row r="171" spans="1:3">
      <c r="A171" s="456" t="s">
        <v>1733</v>
      </c>
      <c r="B171" s="1120">
        <v>2024</v>
      </c>
      <c r="C171" s="456">
        <f>SUM(C98:C101)</f>
        <v>22883537</v>
      </c>
    </row>
    <row r="172" spans="1:3">
      <c r="A172" s="456" t="s">
        <v>1792</v>
      </c>
      <c r="B172" s="1120">
        <v>2025</v>
      </c>
      <c r="C172" s="456">
        <f>SUM(C102:C105)</f>
        <v>22980316</v>
      </c>
    </row>
  </sheetData>
  <phoneticPr fontId="13"/>
  <pageMargins left="0.75" right="0.75" top="1" bottom="1" header="0.51200000000000001" footer="0.51200000000000001"/>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2">
    <tabColor theme="0"/>
  </sheetPr>
  <dimension ref="A1:AK64"/>
  <sheetViews>
    <sheetView workbookViewId="0">
      <pane xSplit="1" ySplit="4" topLeftCell="X7" activePane="bottomRight" state="frozen"/>
      <selection pane="topRight" activeCell="B1" sqref="B1"/>
      <selection pane="bottomLeft" activeCell="A5" sqref="A5"/>
      <selection pane="bottomRight" activeCell="AB22" sqref="AB22"/>
    </sheetView>
  </sheetViews>
  <sheetFormatPr defaultColWidth="8.7109375" defaultRowHeight="13"/>
  <cols>
    <col min="1" max="1" width="13.42578125" style="75" customWidth="1"/>
    <col min="2" max="5" width="10.5" style="75" hidden="1" customWidth="1"/>
    <col min="6" max="7" width="8.7109375" style="75" hidden="1" customWidth="1"/>
    <col min="8" max="8" width="7.7109375" style="75" hidden="1" customWidth="1"/>
    <col min="9" max="9" width="9.5703125" style="75" hidden="1" customWidth="1"/>
    <col min="10" max="10" width="3.0703125" style="75" hidden="1" customWidth="1"/>
    <col min="11" max="11" width="6.5703125" style="75" hidden="1" customWidth="1"/>
    <col min="12" max="12" width="8.42578125" style="75" hidden="1" customWidth="1"/>
    <col min="13" max="13" width="9.7109375" style="75" hidden="1" customWidth="1"/>
    <col min="14" max="15" width="8.7109375" style="75" hidden="1" customWidth="1"/>
    <col min="16" max="23" width="0" style="75" hidden="1" customWidth="1"/>
    <col min="24" max="28" width="8.7109375" style="75"/>
    <col min="29" max="36" width="7.0703125" style="75" customWidth="1"/>
    <col min="37" max="37" width="2.5703125" style="75" customWidth="1"/>
    <col min="38" max="16384" width="8.7109375" style="75"/>
  </cols>
  <sheetData>
    <row r="1" spans="1:37">
      <c r="A1" s="65" t="s">
        <v>1744</v>
      </c>
      <c r="K1" s="65" t="s">
        <v>417</v>
      </c>
      <c r="N1" s="75" t="s">
        <v>1194</v>
      </c>
    </row>
    <row r="2" spans="1:37">
      <c r="E2" s="75" t="s">
        <v>129</v>
      </c>
      <c r="N2" s="200"/>
      <c r="P2" s="316" t="s">
        <v>1236</v>
      </c>
      <c r="Q2" s="316"/>
      <c r="X2" s="1754" t="s">
        <v>1794</v>
      </c>
      <c r="Y2" s="456" t="s">
        <v>1799</v>
      </c>
      <c r="Z2" s="316"/>
      <c r="AA2" s="316"/>
      <c r="AB2" s="316"/>
    </row>
    <row r="3" spans="1:37">
      <c r="A3" s="130"/>
      <c r="B3" s="130"/>
      <c r="C3" s="130" t="s">
        <v>127</v>
      </c>
      <c r="D3" s="130"/>
      <c r="E3" s="130" t="s">
        <v>128</v>
      </c>
      <c r="F3" s="130" t="s">
        <v>135</v>
      </c>
      <c r="G3" s="130"/>
      <c r="H3" s="130" t="s">
        <v>130</v>
      </c>
      <c r="I3" s="130"/>
      <c r="K3" s="130"/>
      <c r="L3" s="475">
        <v>2011</v>
      </c>
      <c r="M3" s="476">
        <v>2012</v>
      </c>
      <c r="N3" s="476">
        <v>2013</v>
      </c>
      <c r="O3" s="534">
        <v>2014</v>
      </c>
      <c r="P3" s="566">
        <v>2015</v>
      </c>
      <c r="Q3" s="566">
        <v>2016</v>
      </c>
      <c r="R3" s="566">
        <v>2017</v>
      </c>
      <c r="S3" s="566">
        <v>2018</v>
      </c>
      <c r="T3" s="566">
        <v>2019</v>
      </c>
      <c r="U3" s="1750">
        <v>2020</v>
      </c>
      <c r="V3" s="1750">
        <v>2021</v>
      </c>
      <c r="W3" s="1476">
        <v>2022</v>
      </c>
      <c r="X3" s="1476">
        <v>2023</v>
      </c>
      <c r="Y3" s="1476">
        <v>2024</v>
      </c>
      <c r="Z3" s="1476">
        <v>2025</v>
      </c>
      <c r="AA3" s="566">
        <v>2026</v>
      </c>
      <c r="AB3" s="566">
        <v>2027</v>
      </c>
      <c r="AC3" s="130"/>
      <c r="AD3" s="130"/>
      <c r="AE3" s="130"/>
      <c r="AF3" s="130"/>
      <c r="AG3" s="130"/>
      <c r="AH3" s="130"/>
      <c r="AI3" s="130"/>
      <c r="AJ3" s="130"/>
    </row>
    <row r="4" spans="1:37">
      <c r="A4" s="132"/>
      <c r="B4" s="132" t="s">
        <v>911</v>
      </c>
      <c r="C4" s="132" t="s">
        <v>96</v>
      </c>
      <c r="D4" s="132" t="s">
        <v>911</v>
      </c>
      <c r="E4" s="132" t="s">
        <v>96</v>
      </c>
      <c r="F4" s="132" t="s">
        <v>911</v>
      </c>
      <c r="G4" s="132" t="s">
        <v>96</v>
      </c>
      <c r="H4" s="132"/>
      <c r="I4" s="132" t="s">
        <v>134</v>
      </c>
      <c r="K4" s="75" t="s">
        <v>87</v>
      </c>
      <c r="L4" s="257" t="s">
        <v>96</v>
      </c>
      <c r="M4" s="477" t="s">
        <v>118</v>
      </c>
      <c r="N4" s="477" t="s">
        <v>119</v>
      </c>
      <c r="O4" s="477" t="s">
        <v>67</v>
      </c>
      <c r="P4" s="477" t="s">
        <v>157</v>
      </c>
      <c r="Q4" s="477" t="s">
        <v>1000</v>
      </c>
      <c r="R4" s="477" t="s">
        <v>1036</v>
      </c>
      <c r="S4" s="477" t="s">
        <v>1062</v>
      </c>
      <c r="T4" s="565" t="s">
        <v>1170</v>
      </c>
      <c r="U4" s="454" t="s">
        <v>1129</v>
      </c>
      <c r="V4" s="454" t="s">
        <v>1160</v>
      </c>
      <c r="W4" s="926" t="s">
        <v>1200</v>
      </c>
      <c r="X4" s="926" t="s">
        <v>1234</v>
      </c>
      <c r="Y4" s="926" t="s">
        <v>1561</v>
      </c>
      <c r="Z4" s="926" t="s">
        <v>1603</v>
      </c>
      <c r="AA4" s="565" t="s">
        <v>1745</v>
      </c>
      <c r="AB4" s="565" t="s">
        <v>1783</v>
      </c>
      <c r="AC4" s="354" t="s">
        <v>1163</v>
      </c>
      <c r="AD4" s="354" t="s">
        <v>1176</v>
      </c>
      <c r="AE4" s="354" t="s">
        <v>1199</v>
      </c>
      <c r="AF4" s="354" t="s">
        <v>1235</v>
      </c>
      <c r="AG4" s="354" t="s">
        <v>1562</v>
      </c>
      <c r="AH4" s="354" t="s">
        <v>1722</v>
      </c>
      <c r="AI4" s="354" t="s">
        <v>1769</v>
      </c>
      <c r="AJ4" s="354" t="s">
        <v>1784</v>
      </c>
      <c r="AK4" s="628"/>
    </row>
    <row r="5" spans="1:37">
      <c r="A5" s="75" t="s">
        <v>137</v>
      </c>
      <c r="B5" s="478">
        <v>84859.5</v>
      </c>
      <c r="C5" s="478">
        <v>86620.3</v>
      </c>
      <c r="D5" s="478">
        <v>83329.100000000006</v>
      </c>
      <c r="E5" s="478">
        <v>83770.600000000006</v>
      </c>
      <c r="F5" s="479">
        <f t="shared" ref="F5:F16" si="0">D5/B5</f>
        <v>0.98196548412375761</v>
      </c>
      <c r="G5" s="479">
        <f t="shared" ref="G5:G16" si="1">E5/C5</f>
        <v>0.96710124532009245</v>
      </c>
      <c r="H5" s="479">
        <f>E5/D5</f>
        <v>1.0052982691520729</v>
      </c>
      <c r="I5" s="480">
        <f t="shared" ref="I5:I16" si="2">H5*$C$21/$B$21</f>
        <v>0.99772336292595387</v>
      </c>
      <c r="J5" s="481"/>
      <c r="K5" s="358">
        <v>-0.2</v>
      </c>
      <c r="L5" s="310">
        <v>83171</v>
      </c>
      <c r="M5" s="536">
        <v>83731</v>
      </c>
      <c r="N5" s="536">
        <v>85433</v>
      </c>
      <c r="O5" s="536">
        <v>84274</v>
      </c>
      <c r="P5" s="536">
        <v>80757</v>
      </c>
      <c r="Q5" s="536">
        <f t="shared" ref="Q5:Q10" si="3">Q27</f>
        <v>81129</v>
      </c>
      <c r="R5" s="536">
        <v>83447</v>
      </c>
      <c r="S5" s="536">
        <v>83642</v>
      </c>
      <c r="T5" s="536">
        <v>83064</v>
      </c>
      <c r="U5" s="1143">
        <v>84167</v>
      </c>
      <c r="V5" s="1143">
        <v>87356</v>
      </c>
      <c r="W5" s="79">
        <v>89795</v>
      </c>
      <c r="X5" s="79">
        <v>90453</v>
      </c>
      <c r="Y5" s="79">
        <v>91216</v>
      </c>
      <c r="Z5" s="79">
        <v>91920</v>
      </c>
      <c r="AA5" s="536">
        <v>92874</v>
      </c>
      <c r="AB5" s="536">
        <v>93988</v>
      </c>
      <c r="AC5" s="481">
        <f t="shared" ref="AC5:AC16" si="4">U5/T5</f>
        <v>1.0132789174612347</v>
      </c>
      <c r="AD5" s="481">
        <f t="shared" ref="AD5:AD16" si="5">V5/U5</f>
        <v>1.0378889588556084</v>
      </c>
      <c r="AE5" s="481">
        <f t="shared" ref="AE5:AE16" si="6">W5/V5</f>
        <v>1.027920234442969</v>
      </c>
      <c r="AF5" s="481">
        <f t="shared" ref="AF5:AF16" si="7">X5/W5</f>
        <v>1.0073278022161589</v>
      </c>
      <c r="AG5" s="481">
        <f t="shared" ref="AG5:AG16" si="8">Y5/X5</f>
        <v>1.0084353200004421</v>
      </c>
      <c r="AH5" s="481">
        <f t="shared" ref="AH5:AH16" si="9">Z5/Y5</f>
        <v>1.0077179442203121</v>
      </c>
      <c r="AI5" s="481">
        <f t="shared" ref="AI5:AI16" si="10">AA5/Z5</f>
        <v>1.0103785900783291</v>
      </c>
      <c r="AJ5" s="481">
        <f t="shared" ref="AJ5:AJ16" si="11">AB5/AA5</f>
        <v>1.0119947455692659</v>
      </c>
    </row>
    <row r="6" spans="1:37">
      <c r="A6" s="75" t="s">
        <v>349</v>
      </c>
      <c r="B6" s="478">
        <v>45474.400000000001</v>
      </c>
      <c r="C6" s="478">
        <v>45799.7</v>
      </c>
      <c r="D6" s="478">
        <v>46239</v>
      </c>
      <c r="E6" s="478">
        <v>46415</v>
      </c>
      <c r="F6" s="479">
        <f t="shared" si="0"/>
        <v>1.0168138557078268</v>
      </c>
      <c r="G6" s="479">
        <f t="shared" si="1"/>
        <v>1.0134345858160643</v>
      </c>
      <c r="H6" s="479">
        <f t="shared" ref="H6:H21" si="12">E6/D6</f>
        <v>1.0038063106901101</v>
      </c>
      <c r="I6" s="481">
        <f t="shared" si="2"/>
        <v>0.99624264634691218</v>
      </c>
      <c r="J6" s="481"/>
      <c r="K6" s="358">
        <v>0.8</v>
      </c>
      <c r="L6" s="309">
        <v>46493</v>
      </c>
      <c r="M6" s="536">
        <v>46341</v>
      </c>
      <c r="N6" s="536">
        <v>48578</v>
      </c>
      <c r="O6" s="536">
        <v>48881</v>
      </c>
      <c r="P6" s="536">
        <v>49333</v>
      </c>
      <c r="Q6" s="536">
        <f t="shared" si="3"/>
        <v>48760</v>
      </c>
      <c r="R6" s="536">
        <v>49661</v>
      </c>
      <c r="S6" s="536">
        <v>49780</v>
      </c>
      <c r="T6" s="536">
        <v>49413</v>
      </c>
      <c r="U6" s="1143">
        <v>46781</v>
      </c>
      <c r="V6" s="1143">
        <v>47553</v>
      </c>
      <c r="W6" s="79">
        <v>48939</v>
      </c>
      <c r="X6" s="79">
        <v>49136</v>
      </c>
      <c r="Y6" s="79">
        <v>49553</v>
      </c>
      <c r="Z6" s="79">
        <v>50204</v>
      </c>
      <c r="AA6" s="536">
        <v>50773</v>
      </c>
      <c r="AB6" s="536">
        <v>51367</v>
      </c>
      <c r="AC6" s="481">
        <f t="shared" si="4"/>
        <v>0.94673466496670922</v>
      </c>
      <c r="AD6" s="481">
        <f t="shared" si="5"/>
        <v>1.0165024261986704</v>
      </c>
      <c r="AE6" s="481">
        <f t="shared" si="6"/>
        <v>1.029146426092991</v>
      </c>
      <c r="AF6" s="481">
        <f t="shared" si="7"/>
        <v>1.0040254193996607</v>
      </c>
      <c r="AG6" s="481">
        <f t="shared" si="8"/>
        <v>1.0084866492999023</v>
      </c>
      <c r="AH6" s="481">
        <f t="shared" si="9"/>
        <v>1.0131374487922022</v>
      </c>
      <c r="AI6" s="481">
        <f t="shared" si="10"/>
        <v>1.0113337582662736</v>
      </c>
      <c r="AJ6" s="481">
        <f t="shared" si="11"/>
        <v>1.0116991314281212</v>
      </c>
    </row>
    <row r="7" spans="1:37">
      <c r="A7" s="75" t="s">
        <v>814</v>
      </c>
      <c r="B7" s="478">
        <v>2021.3</v>
      </c>
      <c r="C7" s="478">
        <v>2123.4</v>
      </c>
      <c r="D7" s="478">
        <v>2075.8000000000002</v>
      </c>
      <c r="E7" s="478">
        <v>2117.5</v>
      </c>
      <c r="F7" s="479">
        <f t="shared" si="0"/>
        <v>1.0269628456933657</v>
      </c>
      <c r="G7" s="479">
        <f t="shared" si="1"/>
        <v>0.99722143731750956</v>
      </c>
      <c r="H7" s="479">
        <f t="shared" si="12"/>
        <v>1.0200886405241352</v>
      </c>
      <c r="I7" s="481">
        <f t="shared" si="2"/>
        <v>1.0124022890885389</v>
      </c>
      <c r="J7" s="481"/>
      <c r="K7" s="358">
        <v>0.4</v>
      </c>
      <c r="L7" s="309">
        <v>1841</v>
      </c>
      <c r="M7" s="536">
        <v>1908</v>
      </c>
      <c r="N7" s="536">
        <v>2061</v>
      </c>
      <c r="O7" s="536">
        <v>1894</v>
      </c>
      <c r="P7" s="536">
        <v>1978</v>
      </c>
      <c r="Q7" s="536">
        <f t="shared" si="3"/>
        <v>2157</v>
      </c>
      <c r="R7" s="536">
        <v>2055</v>
      </c>
      <c r="S7" s="536">
        <v>2027</v>
      </c>
      <c r="T7" s="536">
        <v>2190</v>
      </c>
      <c r="U7" s="1143">
        <v>2697</v>
      </c>
      <c r="V7" s="1143">
        <v>2665</v>
      </c>
      <c r="W7" s="79">
        <v>2583</v>
      </c>
      <c r="X7" s="79">
        <v>2680</v>
      </c>
      <c r="Y7" s="79">
        <v>2754</v>
      </c>
      <c r="Z7" s="79">
        <v>2590</v>
      </c>
      <c r="AA7" s="536">
        <v>2593</v>
      </c>
      <c r="AB7" s="536">
        <v>2593</v>
      </c>
      <c r="AC7" s="481">
        <f t="shared" si="4"/>
        <v>1.2315068493150685</v>
      </c>
      <c r="AD7" s="481">
        <f t="shared" si="5"/>
        <v>0.98813496477567664</v>
      </c>
      <c r="AE7" s="481">
        <f t="shared" si="6"/>
        <v>0.96923076923076923</v>
      </c>
      <c r="AF7" s="481">
        <f t="shared" si="7"/>
        <v>1.037553232675184</v>
      </c>
      <c r="AG7" s="481">
        <f t="shared" si="8"/>
        <v>1.0276119402985076</v>
      </c>
      <c r="AH7" s="481">
        <f t="shared" si="9"/>
        <v>0.94045025417574435</v>
      </c>
      <c r="AI7" s="481">
        <f t="shared" si="10"/>
        <v>1.0011583011583012</v>
      </c>
      <c r="AJ7" s="481">
        <f t="shared" si="11"/>
        <v>1</v>
      </c>
    </row>
    <row r="8" spans="1:37">
      <c r="A8" s="75" t="s">
        <v>815</v>
      </c>
      <c r="B8" s="478">
        <v>10825.6</v>
      </c>
      <c r="C8" s="478">
        <v>11514.8</v>
      </c>
      <c r="D8" s="478">
        <v>10101.799999999999</v>
      </c>
      <c r="E8" s="478">
        <v>10203.799999999999</v>
      </c>
      <c r="F8" s="479">
        <f t="shared" si="0"/>
        <v>0.93313996452852488</v>
      </c>
      <c r="G8" s="479">
        <f t="shared" si="1"/>
        <v>0.88614652447285236</v>
      </c>
      <c r="H8" s="479">
        <f t="shared" si="12"/>
        <v>1.0100972103981469</v>
      </c>
      <c r="I8" s="481">
        <f t="shared" si="2"/>
        <v>1.0024861442272244</v>
      </c>
      <c r="J8" s="481"/>
      <c r="K8" s="358">
        <v>3.4</v>
      </c>
      <c r="L8" s="309">
        <v>10420</v>
      </c>
      <c r="M8" s="536">
        <v>10895</v>
      </c>
      <c r="N8" s="536">
        <v>10945</v>
      </c>
      <c r="O8" s="536">
        <v>10723</v>
      </c>
      <c r="P8" s="536">
        <v>10434</v>
      </c>
      <c r="Q8" s="536">
        <f t="shared" si="3"/>
        <v>11017</v>
      </c>
      <c r="R8" s="536">
        <v>11521</v>
      </c>
      <c r="S8" s="536">
        <v>11839</v>
      </c>
      <c r="T8" s="536">
        <v>11742</v>
      </c>
      <c r="U8" s="1143">
        <v>13459</v>
      </c>
      <c r="V8" s="1143">
        <v>13821</v>
      </c>
      <c r="W8" s="79">
        <v>14641</v>
      </c>
      <c r="X8" s="79">
        <v>14862</v>
      </c>
      <c r="Y8" s="79">
        <v>15228</v>
      </c>
      <c r="Z8" s="79">
        <v>15692</v>
      </c>
      <c r="AA8" s="536">
        <v>16093</v>
      </c>
      <c r="AB8" s="536">
        <v>16548</v>
      </c>
      <c r="AC8" s="481">
        <f t="shared" si="4"/>
        <v>1.1462272185317663</v>
      </c>
      <c r="AD8" s="481">
        <f t="shared" si="5"/>
        <v>1.0268965004829482</v>
      </c>
      <c r="AE8" s="481">
        <f t="shared" si="6"/>
        <v>1.0593300050647565</v>
      </c>
      <c r="AF8" s="481">
        <f t="shared" si="7"/>
        <v>1.0150945973635681</v>
      </c>
      <c r="AG8" s="481">
        <f t="shared" si="8"/>
        <v>1.0246265643924102</v>
      </c>
      <c r="AH8" s="481">
        <f t="shared" si="9"/>
        <v>1.0304701864985553</v>
      </c>
      <c r="AI8" s="481">
        <f t="shared" si="10"/>
        <v>1.025554422635738</v>
      </c>
      <c r="AJ8" s="481">
        <f t="shared" si="11"/>
        <v>1.0282731622444541</v>
      </c>
    </row>
    <row r="9" spans="1:37">
      <c r="A9" s="75" t="s">
        <v>673</v>
      </c>
      <c r="B9" s="478">
        <v>15694.2</v>
      </c>
      <c r="C9" s="478">
        <v>15761.7</v>
      </c>
      <c r="D9" s="478">
        <v>15818.2</v>
      </c>
      <c r="E9" s="478">
        <v>15714.8</v>
      </c>
      <c r="F9" s="479">
        <f t="shared" si="0"/>
        <v>1.0079010080157</v>
      </c>
      <c r="G9" s="479">
        <f t="shared" si="1"/>
        <v>0.99702443264368679</v>
      </c>
      <c r="H9" s="479">
        <f t="shared" si="12"/>
        <v>0.993463225904338</v>
      </c>
      <c r="I9" s="481">
        <f t="shared" si="2"/>
        <v>0.98597749653799749</v>
      </c>
      <c r="J9" s="481"/>
      <c r="K9" s="358">
        <v>-0.5</v>
      </c>
      <c r="L9" s="309">
        <v>15075</v>
      </c>
      <c r="M9" s="536">
        <v>14822</v>
      </c>
      <c r="N9" s="536">
        <v>14929</v>
      </c>
      <c r="O9" s="536">
        <v>14894</v>
      </c>
      <c r="P9" s="536">
        <v>14573</v>
      </c>
      <c r="Q9" s="536">
        <f t="shared" si="3"/>
        <v>15044</v>
      </c>
      <c r="R9" s="536">
        <v>15243</v>
      </c>
      <c r="S9" s="536">
        <v>15300</v>
      </c>
      <c r="T9" s="536">
        <v>15453</v>
      </c>
      <c r="U9" s="1143">
        <v>13644</v>
      </c>
      <c r="V9" s="1143">
        <v>13832</v>
      </c>
      <c r="W9" s="79">
        <v>14068</v>
      </c>
      <c r="X9" s="79">
        <v>13812</v>
      </c>
      <c r="Y9" s="79">
        <v>14033</v>
      </c>
      <c r="Z9" s="79">
        <v>14132</v>
      </c>
      <c r="AA9" s="536">
        <v>14231</v>
      </c>
      <c r="AB9" s="536">
        <v>14330</v>
      </c>
      <c r="AC9" s="481">
        <f t="shared" si="4"/>
        <v>0.8829353523587653</v>
      </c>
      <c r="AD9" s="481">
        <f t="shared" si="5"/>
        <v>1.0137789504544121</v>
      </c>
      <c r="AE9" s="481">
        <f t="shared" si="6"/>
        <v>1.0170618854829381</v>
      </c>
      <c r="AF9" s="481">
        <f t="shared" si="7"/>
        <v>0.98180267273244237</v>
      </c>
      <c r="AG9" s="481">
        <f t="shared" si="8"/>
        <v>1.016000579206487</v>
      </c>
      <c r="AH9" s="481">
        <f t="shared" si="9"/>
        <v>1.007054799401411</v>
      </c>
      <c r="AI9" s="481">
        <f t="shared" si="10"/>
        <v>1.0070053778658363</v>
      </c>
      <c r="AJ9" s="481">
        <f t="shared" si="11"/>
        <v>1.0069566439463145</v>
      </c>
    </row>
    <row r="10" spans="1:37">
      <c r="A10" s="75" t="s">
        <v>138</v>
      </c>
      <c r="B10" s="478">
        <v>2628</v>
      </c>
      <c r="C10" s="478">
        <v>2530.1</v>
      </c>
      <c r="D10" s="478">
        <v>2604.8000000000002</v>
      </c>
      <c r="E10" s="478">
        <v>2439.6</v>
      </c>
      <c r="F10" s="479">
        <f t="shared" si="0"/>
        <v>0.99117199391172006</v>
      </c>
      <c r="G10" s="479">
        <f t="shared" si="1"/>
        <v>0.96423066281965142</v>
      </c>
      <c r="H10" s="479">
        <f t="shared" si="12"/>
        <v>0.93657862407862402</v>
      </c>
      <c r="I10" s="482">
        <f t="shared" si="2"/>
        <v>0.92952151926855897</v>
      </c>
      <c r="J10" s="481"/>
      <c r="K10" s="358">
        <v>-8.3000000000000007</v>
      </c>
      <c r="L10" s="309">
        <v>2305</v>
      </c>
      <c r="M10" s="537">
        <v>2377</v>
      </c>
      <c r="N10" s="537">
        <v>2729</v>
      </c>
      <c r="O10" s="537">
        <v>2777</v>
      </c>
      <c r="P10" s="537">
        <v>2926</v>
      </c>
      <c r="Q10" s="537">
        <f t="shared" si="3"/>
        <v>2887</v>
      </c>
      <c r="R10" s="537">
        <v>2889</v>
      </c>
      <c r="S10" s="537">
        <v>2912</v>
      </c>
      <c r="T10" s="537">
        <v>3145</v>
      </c>
      <c r="U10" s="1144">
        <v>3333</v>
      </c>
      <c r="V10" s="1144">
        <v>3430</v>
      </c>
      <c r="W10" s="81">
        <v>3152</v>
      </c>
      <c r="X10" s="81">
        <v>3292</v>
      </c>
      <c r="Y10" s="81">
        <v>3375</v>
      </c>
      <c r="Z10" s="81">
        <v>3274</v>
      </c>
      <c r="AA10" s="537">
        <v>3267</v>
      </c>
      <c r="AB10" s="537">
        <v>3306</v>
      </c>
      <c r="AC10" s="482">
        <f t="shared" si="4"/>
        <v>1.0597774244833069</v>
      </c>
      <c r="AD10" s="482">
        <f t="shared" si="5"/>
        <v>1.0291029102910292</v>
      </c>
      <c r="AE10" s="482">
        <f t="shared" si="6"/>
        <v>0.91895043731778425</v>
      </c>
      <c r="AF10" s="482">
        <f t="shared" si="7"/>
        <v>1.0444162436548223</v>
      </c>
      <c r="AG10" s="482">
        <f t="shared" si="8"/>
        <v>1.0252126366950183</v>
      </c>
      <c r="AH10" s="482">
        <f t="shared" si="9"/>
        <v>0.97007407407407409</v>
      </c>
      <c r="AI10" s="482">
        <f t="shared" si="10"/>
        <v>0.99786194257788641</v>
      </c>
      <c r="AJ10" s="482">
        <f t="shared" si="11"/>
        <v>1.0119375573921028</v>
      </c>
    </row>
    <row r="11" spans="1:37">
      <c r="A11" s="130" t="s">
        <v>895</v>
      </c>
      <c r="B11" s="483">
        <v>42990</v>
      </c>
      <c r="C11" s="483">
        <v>44818.3</v>
      </c>
      <c r="D11" s="483">
        <v>39376.5</v>
      </c>
      <c r="E11" s="483">
        <v>40585.199999999997</v>
      </c>
      <c r="F11" s="480">
        <f t="shared" si="0"/>
        <v>0.91594556873691557</v>
      </c>
      <c r="G11" s="480">
        <f t="shared" si="1"/>
        <v>0.90554974195808391</v>
      </c>
      <c r="H11" s="480">
        <f t="shared" si="12"/>
        <v>1.0306959734867243</v>
      </c>
      <c r="I11" s="479">
        <f t="shared" si="2"/>
        <v>1.022929695968525</v>
      </c>
      <c r="J11" s="481"/>
      <c r="K11" s="473">
        <v>0.3</v>
      </c>
      <c r="L11" s="310">
        <f t="shared" ref="L11:L16" si="13">M11/((100+K11)/100)</f>
        <v>37050.747756729819</v>
      </c>
      <c r="M11" s="536">
        <v>37161.9</v>
      </c>
      <c r="N11" s="580">
        <v>38231</v>
      </c>
      <c r="O11" s="580">
        <v>38977.300000000003</v>
      </c>
      <c r="P11" s="580">
        <f>O11*P12/O12</f>
        <v>33336.398479680342</v>
      </c>
      <c r="Q11" s="580">
        <f>P11*Q12/P12</f>
        <v>34510.161826332711</v>
      </c>
      <c r="R11" s="580">
        <f>Q11*R12/Q12</f>
        <v>37104.596666991514</v>
      </c>
      <c r="S11" s="580">
        <f t="shared" ref="S11:Y11" si="14">S14+S17</f>
        <v>37005.231237828622</v>
      </c>
      <c r="T11" s="580">
        <f t="shared" si="14"/>
        <v>37006.910388266791</v>
      </c>
      <c r="U11" s="1751">
        <f t="shared" si="14"/>
        <v>51683.737153115864</v>
      </c>
      <c r="V11" s="1751">
        <f t="shared" si="14"/>
        <v>49855.525724196683</v>
      </c>
      <c r="W11" s="581">
        <f t="shared" si="14"/>
        <v>52925.481408227846</v>
      </c>
      <c r="X11" s="581">
        <f t="shared" si="14"/>
        <v>48156.47618670886</v>
      </c>
      <c r="Y11" s="581">
        <f t="shared" si="14"/>
        <v>49431.788704965918</v>
      </c>
      <c r="Z11" s="581">
        <f>Z14+Z17</f>
        <v>50600.515104673803</v>
      </c>
      <c r="AA11" s="581">
        <f>AA14+AA17</f>
        <v>51494.374275803311</v>
      </c>
      <c r="AB11" s="581">
        <f>AB14+AB17</f>
        <v>52785.08483446933</v>
      </c>
      <c r="AC11" s="481">
        <f t="shared" si="4"/>
        <v>1.3965969223278478</v>
      </c>
      <c r="AD11" s="481">
        <f t="shared" si="5"/>
        <v>0.96462694979848296</v>
      </c>
      <c r="AE11" s="481">
        <f t="shared" si="6"/>
        <v>1.0615770396447992</v>
      </c>
      <c r="AF11" s="481">
        <f t="shared" si="7"/>
        <v>0.90989207665898353</v>
      </c>
      <c r="AG11" s="481">
        <f t="shared" si="8"/>
        <v>1.0264826793661668</v>
      </c>
      <c r="AH11" s="481">
        <f t="shared" si="9"/>
        <v>1.0236432148284869</v>
      </c>
      <c r="AI11" s="481">
        <f t="shared" si="10"/>
        <v>1.0176650211817102</v>
      </c>
      <c r="AJ11" s="481">
        <f t="shared" si="11"/>
        <v>1.0250650789881044</v>
      </c>
    </row>
    <row r="12" spans="1:37">
      <c r="A12" s="75" t="s">
        <v>139</v>
      </c>
      <c r="B12" s="484">
        <v>16393.8</v>
      </c>
      <c r="C12" s="484">
        <v>17658.400000000001</v>
      </c>
      <c r="D12" s="484">
        <v>15480.1</v>
      </c>
      <c r="E12" s="484">
        <v>16355.2</v>
      </c>
      <c r="F12" s="481">
        <f t="shared" si="0"/>
        <v>0.9442655150117728</v>
      </c>
      <c r="G12" s="481">
        <f t="shared" si="1"/>
        <v>0.92619942916685538</v>
      </c>
      <c r="H12" s="481">
        <f t="shared" si="12"/>
        <v>1.0565306425669085</v>
      </c>
      <c r="I12" s="479">
        <f t="shared" si="2"/>
        <v>1.0485697012343269</v>
      </c>
      <c r="J12" s="481"/>
      <c r="K12" s="358">
        <v>-0.6</v>
      </c>
      <c r="L12" s="309">
        <v>20463</v>
      </c>
      <c r="M12" s="536">
        <v>19883</v>
      </c>
      <c r="N12" s="580">
        <v>20627</v>
      </c>
      <c r="O12" s="580">
        <v>20522</v>
      </c>
      <c r="P12" s="580">
        <v>17552</v>
      </c>
      <c r="Q12" s="580">
        <f>Q34</f>
        <v>18170</v>
      </c>
      <c r="R12" s="580">
        <v>19536</v>
      </c>
      <c r="S12" s="580">
        <v>22104</v>
      </c>
      <c r="T12" s="580">
        <v>21834</v>
      </c>
      <c r="U12" s="1751">
        <v>27203</v>
      </c>
      <c r="V12" s="1751">
        <v>28194</v>
      </c>
      <c r="W12" s="582">
        <v>29350</v>
      </c>
      <c r="X12" s="582">
        <v>29743</v>
      </c>
      <c r="Y12" s="582">
        <v>30306</v>
      </c>
      <c r="Z12" s="582">
        <v>30879</v>
      </c>
      <c r="AA12" s="580">
        <v>31220</v>
      </c>
      <c r="AB12" s="580">
        <v>31689</v>
      </c>
      <c r="AC12" s="481">
        <f t="shared" si="4"/>
        <v>1.2459008885224878</v>
      </c>
      <c r="AD12" s="481">
        <f t="shared" si="5"/>
        <v>1.036429805536154</v>
      </c>
      <c r="AE12" s="481">
        <f t="shared" si="6"/>
        <v>1.0410016315528126</v>
      </c>
      <c r="AF12" s="481">
        <f t="shared" si="7"/>
        <v>1.013390119250426</v>
      </c>
      <c r="AG12" s="481">
        <f t="shared" si="8"/>
        <v>1.0189288235887435</v>
      </c>
      <c r="AH12" s="481">
        <f t="shared" si="9"/>
        <v>1.0189071470995843</v>
      </c>
      <c r="AI12" s="481">
        <f t="shared" si="10"/>
        <v>1.0110431037274523</v>
      </c>
      <c r="AJ12" s="481">
        <f t="shared" si="11"/>
        <v>1.0150224215246637</v>
      </c>
    </row>
    <row r="13" spans="1:37">
      <c r="A13" s="132" t="s">
        <v>140</v>
      </c>
      <c r="B13" s="485">
        <v>26596.2</v>
      </c>
      <c r="C13" s="485">
        <v>27159.9</v>
      </c>
      <c r="D13" s="485">
        <v>23896.400000000001</v>
      </c>
      <c r="E13" s="485">
        <v>24230</v>
      </c>
      <c r="F13" s="482">
        <f t="shared" si="0"/>
        <v>0.89848925786390543</v>
      </c>
      <c r="G13" s="482">
        <f t="shared" si="1"/>
        <v>0.89212405053037747</v>
      </c>
      <c r="H13" s="482">
        <f t="shared" si="12"/>
        <v>1.013960261796756</v>
      </c>
      <c r="I13" s="479">
        <f t="shared" si="2"/>
        <v>1.0063200875959193</v>
      </c>
      <c r="J13" s="481"/>
      <c r="K13" s="359">
        <v>1.2</v>
      </c>
      <c r="L13" s="311">
        <f t="shared" si="13"/>
        <v>17074.011857707512</v>
      </c>
      <c r="M13" s="536">
        <f t="shared" ref="M13:R13" si="15">M11-M12</f>
        <v>17278.900000000001</v>
      </c>
      <c r="N13" s="580">
        <f t="shared" si="15"/>
        <v>17604</v>
      </c>
      <c r="O13" s="580">
        <f t="shared" si="15"/>
        <v>18455.300000000003</v>
      </c>
      <c r="P13" s="580">
        <f t="shared" si="15"/>
        <v>15784.398479680342</v>
      </c>
      <c r="Q13" s="580">
        <f t="shared" si="15"/>
        <v>16340.161826332711</v>
      </c>
      <c r="R13" s="580">
        <f t="shared" si="15"/>
        <v>17568.596666991514</v>
      </c>
      <c r="S13" s="580">
        <f>S11-S12</f>
        <v>14901.231237828622</v>
      </c>
      <c r="T13" s="580">
        <f>T11-T12+T19</f>
        <v>14960.910388266791</v>
      </c>
      <c r="U13" s="1751">
        <f t="shared" ref="U13:Y13" si="16">U11-U12</f>
        <v>24480.737153115864</v>
      </c>
      <c r="V13" s="1751">
        <f t="shared" si="16"/>
        <v>21661.525724196683</v>
      </c>
      <c r="W13" s="581">
        <f t="shared" si="16"/>
        <v>23575.481408227846</v>
      </c>
      <c r="X13" s="581">
        <f t="shared" si="16"/>
        <v>18413.47618670886</v>
      </c>
      <c r="Y13" s="581">
        <f t="shared" si="16"/>
        <v>19125.788704965918</v>
      </c>
      <c r="Z13" s="581">
        <f>Z11-Z12</f>
        <v>19721.515104673803</v>
      </c>
      <c r="AA13" s="581">
        <f>AA11-AA12</f>
        <v>20274.374275803311</v>
      </c>
      <c r="AB13" s="581">
        <f>AB11-AB12</f>
        <v>21096.08483446933</v>
      </c>
      <c r="AC13" s="481">
        <f t="shared" si="4"/>
        <v>1.6363133337336924</v>
      </c>
      <c r="AD13" s="481">
        <f t="shared" si="5"/>
        <v>0.88483960220289537</v>
      </c>
      <c r="AE13" s="481">
        <f t="shared" si="6"/>
        <v>1.0883573811189675</v>
      </c>
      <c r="AF13" s="481">
        <f t="shared" si="7"/>
        <v>0.78104348614839125</v>
      </c>
      <c r="AG13" s="481">
        <f t="shared" si="8"/>
        <v>1.0386843044210858</v>
      </c>
      <c r="AH13" s="481">
        <f t="shared" si="9"/>
        <v>1.0311478082759122</v>
      </c>
      <c r="AI13" s="481">
        <f t="shared" si="10"/>
        <v>1.0280333011026361</v>
      </c>
      <c r="AJ13" s="481">
        <f t="shared" si="11"/>
        <v>1.0405295151153788</v>
      </c>
    </row>
    <row r="14" spans="1:37">
      <c r="A14" s="130" t="s">
        <v>896</v>
      </c>
      <c r="B14" s="483">
        <v>37775.800000000003</v>
      </c>
      <c r="C14" s="483">
        <v>38908.400000000001</v>
      </c>
      <c r="D14" s="483">
        <v>35702.300000000003</v>
      </c>
      <c r="E14" s="483">
        <v>36444.400000000001</v>
      </c>
      <c r="F14" s="480">
        <f t="shared" si="0"/>
        <v>0.94511036166011042</v>
      </c>
      <c r="G14" s="480">
        <f t="shared" si="1"/>
        <v>0.93667177267633728</v>
      </c>
      <c r="H14" s="480">
        <f t="shared" si="12"/>
        <v>1.020785775706327</v>
      </c>
      <c r="I14" s="480">
        <f t="shared" si="2"/>
        <v>1.0130941713683892</v>
      </c>
      <c r="J14" s="481"/>
      <c r="K14" s="358">
        <v>1.7</v>
      </c>
      <c r="L14" s="309">
        <f t="shared" si="13"/>
        <v>31990.265486725657</v>
      </c>
      <c r="M14" s="535">
        <v>32534.1</v>
      </c>
      <c r="N14" s="535">
        <v>32885.599999999999</v>
      </c>
      <c r="O14" s="535">
        <v>33124.300000000003</v>
      </c>
      <c r="P14" s="535">
        <f t="shared" ref="P14:AB14" si="17">O14*P15/O15</f>
        <v>35025.238102482959</v>
      </c>
      <c r="Q14" s="535">
        <f t="shared" si="17"/>
        <v>34291.471963242453</v>
      </c>
      <c r="R14" s="535">
        <f t="shared" si="17"/>
        <v>36339.566461781884</v>
      </c>
      <c r="S14" s="535">
        <f t="shared" si="17"/>
        <v>38460.231237828622</v>
      </c>
      <c r="T14" s="535">
        <f>S14*T15/S15</f>
        <v>38673.910388266791</v>
      </c>
      <c r="U14" s="1142">
        <f t="shared" si="17"/>
        <v>49595.737153115864</v>
      </c>
      <c r="V14" s="1142">
        <f t="shared" si="17"/>
        <v>47914.525724196683</v>
      </c>
      <c r="W14" s="583">
        <f t="shared" si="17"/>
        <v>50708.481408227846</v>
      </c>
      <c r="X14" s="583">
        <f t="shared" si="17"/>
        <v>48035.47618670886</v>
      </c>
      <c r="Y14" s="583">
        <f t="shared" si="17"/>
        <v>49347.788704965918</v>
      </c>
      <c r="Z14" s="583">
        <f t="shared" si="17"/>
        <v>50585.515104673803</v>
      </c>
      <c r="AA14" s="583">
        <f t="shared" si="17"/>
        <v>51458.374275803311</v>
      </c>
      <c r="AB14" s="583">
        <f t="shared" si="17"/>
        <v>52694.08483446933</v>
      </c>
      <c r="AC14" s="480">
        <f t="shared" si="4"/>
        <v>1.2824081313526192</v>
      </c>
      <c r="AD14" s="480">
        <f t="shared" si="5"/>
        <v>0.96610169491525422</v>
      </c>
      <c r="AE14" s="480">
        <f t="shared" si="6"/>
        <v>1.0583112457402499</v>
      </c>
      <c r="AF14" s="480">
        <f t="shared" si="7"/>
        <v>0.94728682170542633</v>
      </c>
      <c r="AG14" s="480">
        <f t="shared" si="8"/>
        <v>1.0273196525242352</v>
      </c>
      <c r="AH14" s="480">
        <f t="shared" si="9"/>
        <v>1.0250816993464051</v>
      </c>
      <c r="AI14" s="480">
        <f t="shared" si="10"/>
        <v>1.0172551207459952</v>
      </c>
      <c r="AJ14" s="480">
        <f t="shared" si="11"/>
        <v>1.024013789321111</v>
      </c>
    </row>
    <row r="15" spans="1:37">
      <c r="A15" s="75" t="s">
        <v>141</v>
      </c>
      <c r="B15" s="484">
        <v>9909</v>
      </c>
      <c r="C15" s="484">
        <v>10452.4</v>
      </c>
      <c r="D15" s="484">
        <v>9393.7999999999993</v>
      </c>
      <c r="E15" s="484">
        <v>9966.2000000000007</v>
      </c>
      <c r="F15" s="481">
        <f t="shared" si="0"/>
        <v>0.94800686244827925</v>
      </c>
      <c r="G15" s="481">
        <f t="shared" si="1"/>
        <v>0.95348436722666574</v>
      </c>
      <c r="H15" s="481">
        <f t="shared" si="12"/>
        <v>1.0609338074048842</v>
      </c>
      <c r="I15" s="481">
        <f t="shared" si="2"/>
        <v>1.0529396882963435</v>
      </c>
      <c r="J15" s="481"/>
      <c r="K15" s="358">
        <v>3.3</v>
      </c>
      <c r="L15" s="309">
        <v>16203</v>
      </c>
      <c r="M15" s="536">
        <v>16852</v>
      </c>
      <c r="N15" s="536">
        <v>18258</v>
      </c>
      <c r="O15" s="536">
        <v>16432</v>
      </c>
      <c r="P15" s="536">
        <v>17375</v>
      </c>
      <c r="Q15" s="536">
        <f>Q37</f>
        <v>17011</v>
      </c>
      <c r="R15" s="536">
        <v>18027</v>
      </c>
      <c r="S15" s="536">
        <v>19079</v>
      </c>
      <c r="T15" s="536">
        <v>19185</v>
      </c>
      <c r="U15" s="1143">
        <v>24603</v>
      </c>
      <c r="V15" s="1143">
        <v>23769</v>
      </c>
      <c r="W15" s="387">
        <v>25155</v>
      </c>
      <c r="X15" s="387">
        <v>23829</v>
      </c>
      <c r="Y15" s="387">
        <v>24480</v>
      </c>
      <c r="Z15" s="387">
        <v>25094</v>
      </c>
      <c r="AA15" s="536">
        <v>25527</v>
      </c>
      <c r="AB15" s="536">
        <v>26140</v>
      </c>
      <c r="AC15" s="481">
        <f t="shared" si="4"/>
        <v>1.2824081313526192</v>
      </c>
      <c r="AD15" s="481">
        <f t="shared" si="5"/>
        <v>0.96610169491525422</v>
      </c>
      <c r="AE15" s="481">
        <f t="shared" si="6"/>
        <v>1.0583112457402499</v>
      </c>
      <c r="AF15" s="481">
        <f t="shared" si="7"/>
        <v>0.94728682170542633</v>
      </c>
      <c r="AG15" s="481">
        <f t="shared" si="8"/>
        <v>1.0273196525242352</v>
      </c>
      <c r="AH15" s="481">
        <f t="shared" si="9"/>
        <v>1.0250816993464051</v>
      </c>
      <c r="AI15" s="481">
        <f t="shared" si="10"/>
        <v>1.017255120745995</v>
      </c>
      <c r="AJ15" s="481">
        <f t="shared" si="11"/>
        <v>1.024013789321111</v>
      </c>
    </row>
    <row r="16" spans="1:37">
      <c r="A16" s="132" t="s">
        <v>142</v>
      </c>
      <c r="B16" s="485">
        <v>27866.799999999999</v>
      </c>
      <c r="C16" s="485">
        <v>28456</v>
      </c>
      <c r="D16" s="485">
        <v>26308.5</v>
      </c>
      <c r="E16" s="485">
        <v>26478.2</v>
      </c>
      <c r="F16" s="482">
        <f t="shared" si="0"/>
        <v>0.94408041109851148</v>
      </c>
      <c r="G16" s="482">
        <f t="shared" si="1"/>
        <v>0.93049620466685412</v>
      </c>
      <c r="H16" s="482">
        <f t="shared" si="12"/>
        <v>1.0064503867571317</v>
      </c>
      <c r="I16" s="482">
        <f t="shared" si="2"/>
        <v>0.99886679934346123</v>
      </c>
      <c r="J16" s="481"/>
      <c r="K16" s="359">
        <v>1.1000000000000001</v>
      </c>
      <c r="L16" s="309">
        <f t="shared" si="13"/>
        <v>15511.473788328387</v>
      </c>
      <c r="M16" s="537">
        <f t="shared" ref="M16:X16" si="18">M14-M15</f>
        <v>15682.099999999999</v>
      </c>
      <c r="N16" s="537">
        <f t="shared" si="18"/>
        <v>14627.599999999999</v>
      </c>
      <c r="O16" s="537">
        <f t="shared" si="18"/>
        <v>16692.300000000003</v>
      </c>
      <c r="P16" s="537">
        <f t="shared" si="18"/>
        <v>17650.238102482959</v>
      </c>
      <c r="Q16" s="537">
        <f t="shared" si="18"/>
        <v>17280.471963242453</v>
      </c>
      <c r="R16" s="537">
        <f t="shared" si="18"/>
        <v>18312.566461781884</v>
      </c>
      <c r="S16" s="537">
        <f t="shared" si="18"/>
        <v>19381.231237828622</v>
      </c>
      <c r="T16" s="537">
        <f>T14-T15</f>
        <v>19488.910388266791</v>
      </c>
      <c r="U16" s="1144">
        <f t="shared" si="18"/>
        <v>24992.737153115864</v>
      </c>
      <c r="V16" s="1144">
        <f t="shared" si="18"/>
        <v>24145.525724196683</v>
      </c>
      <c r="W16" s="584">
        <f t="shared" si="18"/>
        <v>25553.481408227846</v>
      </c>
      <c r="X16" s="584">
        <f t="shared" si="18"/>
        <v>24206.47618670886</v>
      </c>
      <c r="Y16" s="584">
        <f>Y14-Y15</f>
        <v>24867.788704965918</v>
      </c>
      <c r="Z16" s="584">
        <f>Z14-Z15</f>
        <v>25491.515104673803</v>
      </c>
      <c r="AA16" s="584">
        <f>AA14-AA15</f>
        <v>25931.374275803311</v>
      </c>
      <c r="AB16" s="584">
        <f>AB14-AB15</f>
        <v>26554.08483446933</v>
      </c>
      <c r="AC16" s="482">
        <f t="shared" si="4"/>
        <v>1.2824081313526192</v>
      </c>
      <c r="AD16" s="482">
        <f t="shared" si="5"/>
        <v>0.96610169491525422</v>
      </c>
      <c r="AE16" s="482">
        <f t="shared" si="6"/>
        <v>1.0583112457402502</v>
      </c>
      <c r="AF16" s="482">
        <f t="shared" si="7"/>
        <v>0.94728682170542644</v>
      </c>
      <c r="AG16" s="482">
        <f t="shared" si="8"/>
        <v>1.0273196525242352</v>
      </c>
      <c r="AH16" s="482">
        <f t="shared" si="9"/>
        <v>1.0250816993464051</v>
      </c>
      <c r="AI16" s="482">
        <f t="shared" si="10"/>
        <v>1.0172551207459952</v>
      </c>
      <c r="AJ16" s="482">
        <f t="shared" si="11"/>
        <v>1.024013789321111</v>
      </c>
    </row>
    <row r="17" spans="1:36">
      <c r="A17" s="75" t="s">
        <v>816</v>
      </c>
      <c r="B17" s="484"/>
      <c r="C17" s="484"/>
      <c r="D17" s="484"/>
      <c r="E17" s="484"/>
      <c r="F17" s="481"/>
      <c r="G17" s="481"/>
      <c r="H17" s="481"/>
      <c r="I17" s="481"/>
      <c r="J17" s="481"/>
      <c r="K17" s="358"/>
      <c r="L17" s="318">
        <v>2017</v>
      </c>
      <c r="M17" s="79">
        <v>626</v>
      </c>
      <c r="N17" s="79">
        <v>1654</v>
      </c>
      <c r="O17" s="79">
        <v>-1017</v>
      </c>
      <c r="P17" s="585">
        <v>-468</v>
      </c>
      <c r="Q17" s="586">
        <v>-1</v>
      </c>
      <c r="R17" s="536">
        <v>151</v>
      </c>
      <c r="S17" s="536">
        <v>-1455</v>
      </c>
      <c r="T17" s="536">
        <v>-1667</v>
      </c>
      <c r="U17" s="1143">
        <v>2088</v>
      </c>
      <c r="V17" s="1143">
        <v>1941</v>
      </c>
      <c r="W17" s="589">
        <v>2217</v>
      </c>
      <c r="X17" s="589">
        <v>121</v>
      </c>
      <c r="Y17" s="589">
        <v>84</v>
      </c>
      <c r="Z17" s="589">
        <v>15</v>
      </c>
      <c r="AA17" s="536">
        <v>36</v>
      </c>
      <c r="AB17" s="536">
        <v>91</v>
      </c>
      <c r="AC17" s="481">
        <f t="shared" ref="AC17:AJ17" si="19">U17/ABS(T17)</f>
        <v>1.2525494901019796</v>
      </c>
      <c r="AD17" s="481">
        <f t="shared" si="19"/>
        <v>0.9295977011494253</v>
      </c>
      <c r="AE17" s="481">
        <f t="shared" si="19"/>
        <v>1.1421947449768162</v>
      </c>
      <c r="AF17" s="481">
        <f t="shared" si="19"/>
        <v>5.4578258908434825E-2</v>
      </c>
      <c r="AG17" s="481">
        <f t="shared" si="19"/>
        <v>0.69421487603305787</v>
      </c>
      <c r="AH17" s="481">
        <f t="shared" si="19"/>
        <v>0.17857142857142858</v>
      </c>
      <c r="AI17" s="481">
        <f t="shared" si="19"/>
        <v>2.4</v>
      </c>
      <c r="AJ17" s="481">
        <f t="shared" si="19"/>
        <v>2.5277777777777777</v>
      </c>
    </row>
    <row r="18" spans="1:36">
      <c r="B18" s="484"/>
      <c r="C18" s="484"/>
      <c r="D18" s="484"/>
      <c r="E18" s="484"/>
      <c r="F18" s="481"/>
      <c r="G18" s="481"/>
      <c r="H18" s="481"/>
      <c r="I18" s="481"/>
      <c r="J18" s="481"/>
      <c r="K18" s="524" t="s">
        <v>1034</v>
      </c>
      <c r="L18" s="586">
        <f>L11-L14</f>
        <v>5060.4822700041623</v>
      </c>
      <c r="M18" s="586">
        <f t="shared" ref="M18:S18" si="20">M11-M14</f>
        <v>4627.8000000000029</v>
      </c>
      <c r="N18" s="586">
        <f t="shared" si="20"/>
        <v>5345.4000000000015</v>
      </c>
      <c r="O18" s="586">
        <f t="shared" si="20"/>
        <v>5853</v>
      </c>
      <c r="P18" s="586">
        <f t="shared" si="20"/>
        <v>-1688.8396228026177</v>
      </c>
      <c r="Q18" s="586">
        <f t="shared" si="20"/>
        <v>218.68986309025786</v>
      </c>
      <c r="R18" s="536">
        <f t="shared" si="20"/>
        <v>765.03020520963037</v>
      </c>
      <c r="S18" s="536">
        <f t="shared" si="20"/>
        <v>-1455</v>
      </c>
      <c r="T18" s="536">
        <v>-1633</v>
      </c>
      <c r="U18" s="1143" t="s">
        <v>1584</v>
      </c>
      <c r="V18" s="1143" t="s">
        <v>1584</v>
      </c>
      <c r="W18" s="586" t="s">
        <v>1584</v>
      </c>
      <c r="X18" s="586" t="s">
        <v>1584</v>
      </c>
      <c r="Y18" s="586" t="s">
        <v>1584</v>
      </c>
      <c r="Z18" s="586"/>
      <c r="AA18" s="536"/>
      <c r="AB18" s="536"/>
      <c r="AC18" s="481"/>
      <c r="AD18" s="481"/>
      <c r="AE18" s="481"/>
      <c r="AF18" s="481"/>
      <c r="AG18" s="481"/>
      <c r="AH18" s="481"/>
      <c r="AI18" s="481"/>
      <c r="AJ18" s="481"/>
    </row>
    <row r="19" spans="1:36">
      <c r="B19" s="478"/>
      <c r="C19" s="478"/>
      <c r="D19" s="478"/>
      <c r="E19" s="478"/>
      <c r="F19" s="479" t="s">
        <v>347</v>
      </c>
      <c r="G19" s="479" t="s">
        <v>136</v>
      </c>
      <c r="H19" s="75" t="s">
        <v>347</v>
      </c>
      <c r="K19" s="358"/>
      <c r="L19" s="319" t="s">
        <v>347</v>
      </c>
      <c r="M19" s="587"/>
      <c r="N19" s="587"/>
      <c r="O19" s="587"/>
      <c r="P19" s="587"/>
      <c r="Q19" s="587"/>
      <c r="R19" s="587"/>
      <c r="S19" s="587"/>
      <c r="T19" s="580">
        <f t="shared" ref="T19:AB19" si="21">T17-S17</f>
        <v>-212</v>
      </c>
      <c r="U19" s="1751">
        <f t="shared" si="21"/>
        <v>3755</v>
      </c>
      <c r="V19" s="1751">
        <f t="shared" si="21"/>
        <v>-147</v>
      </c>
      <c r="W19" s="590">
        <f t="shared" si="21"/>
        <v>276</v>
      </c>
      <c r="X19" s="590">
        <f t="shared" si="21"/>
        <v>-2096</v>
      </c>
      <c r="Y19" s="590">
        <f t="shared" si="21"/>
        <v>-37</v>
      </c>
      <c r="Z19" s="590">
        <f t="shared" si="21"/>
        <v>-69</v>
      </c>
      <c r="AA19" s="590">
        <f t="shared" si="21"/>
        <v>21</v>
      </c>
      <c r="AB19" s="590">
        <f t="shared" si="21"/>
        <v>55</v>
      </c>
      <c r="AC19" s="481"/>
      <c r="AD19" s="481"/>
      <c r="AE19" s="481"/>
      <c r="AF19" s="481"/>
      <c r="AG19" s="481"/>
      <c r="AH19" s="481"/>
      <c r="AI19" s="481"/>
      <c r="AJ19" s="481"/>
    </row>
    <row r="20" spans="1:36">
      <c r="A20" s="130" t="s">
        <v>126</v>
      </c>
      <c r="B20" s="483">
        <v>78787.600000000006</v>
      </c>
      <c r="C20" s="483">
        <v>79825.899999999994</v>
      </c>
      <c r="D20" s="483">
        <v>77385.8</v>
      </c>
      <c r="E20" s="483">
        <v>77252.800000000003</v>
      </c>
      <c r="F20" s="480">
        <f>D20/B20</f>
        <v>0.9822078601201204</v>
      </c>
      <c r="G20" s="480">
        <f>E20/C20</f>
        <v>0.9677661009772518</v>
      </c>
      <c r="H20" s="480">
        <f t="shared" si="12"/>
        <v>0.99828133843676747</v>
      </c>
      <c r="I20" s="75" t="s">
        <v>676</v>
      </c>
      <c r="K20" s="473">
        <v>-0.9</v>
      </c>
      <c r="L20" s="199">
        <v>77552</v>
      </c>
      <c r="M20" s="486">
        <v>77805</v>
      </c>
      <c r="N20" s="486">
        <v>79445</v>
      </c>
      <c r="O20" s="486">
        <v>80744</v>
      </c>
      <c r="P20" s="486">
        <v>83217</v>
      </c>
      <c r="Q20" s="207">
        <f>Q42</f>
        <v>84419</v>
      </c>
      <c r="R20" s="207">
        <v>85851</v>
      </c>
      <c r="S20" s="207">
        <v>86134</v>
      </c>
      <c r="T20" s="207">
        <v>86222</v>
      </c>
      <c r="U20" s="1072">
        <v>85681</v>
      </c>
      <c r="V20" s="1072">
        <v>89128</v>
      </c>
      <c r="W20" s="207">
        <v>92606</v>
      </c>
      <c r="X20" s="207">
        <v>97263</v>
      </c>
      <c r="Y20" s="207">
        <v>101709</v>
      </c>
      <c r="Z20" s="207">
        <v>105639</v>
      </c>
      <c r="AA20" s="486">
        <v>108680</v>
      </c>
      <c r="AB20" s="486">
        <v>112218</v>
      </c>
      <c r="AC20" s="487">
        <f t="shared" ref="AC20:AJ21" si="22">U20/T20</f>
        <v>0.99372549929252396</v>
      </c>
      <c r="AD20" s="487">
        <f t="shared" si="22"/>
        <v>1.0402306228918896</v>
      </c>
      <c r="AE20" s="487">
        <f t="shared" si="22"/>
        <v>1.039022529395925</v>
      </c>
      <c r="AF20" s="487">
        <f t="shared" si="22"/>
        <v>1.0502883182515172</v>
      </c>
      <c r="AG20" s="487">
        <f t="shared" si="22"/>
        <v>1.0457111131673915</v>
      </c>
      <c r="AH20" s="487">
        <f t="shared" si="22"/>
        <v>1.0386396484086955</v>
      </c>
      <c r="AI20" s="487">
        <f t="shared" si="22"/>
        <v>1.0287867170268556</v>
      </c>
      <c r="AJ20" s="487">
        <f t="shared" si="22"/>
        <v>1.0325542878174456</v>
      </c>
    </row>
    <row r="21" spans="1:36">
      <c r="A21" s="132" t="s">
        <v>123</v>
      </c>
      <c r="B21" s="485">
        <v>92.9</v>
      </c>
      <c r="C21" s="485">
        <v>92.2</v>
      </c>
      <c r="D21" s="485">
        <v>92.9</v>
      </c>
      <c r="E21" s="485">
        <v>92.2</v>
      </c>
      <c r="F21" s="482">
        <f>D21/B21</f>
        <v>1</v>
      </c>
      <c r="G21" s="482">
        <f>E21/C21</f>
        <v>1</v>
      </c>
      <c r="H21" s="482">
        <f t="shared" si="12"/>
        <v>0.99246501614639393</v>
      </c>
      <c r="K21" s="359">
        <v>-0.7</v>
      </c>
      <c r="L21" s="488">
        <v>93.3</v>
      </c>
      <c r="M21" s="489">
        <v>92.9</v>
      </c>
      <c r="N21" s="489">
        <v>93</v>
      </c>
      <c r="O21" s="489">
        <v>95.8</v>
      </c>
      <c r="P21" s="489">
        <v>103.1</v>
      </c>
      <c r="Q21" s="485">
        <f>Q43</f>
        <v>104.1</v>
      </c>
      <c r="R21" s="485">
        <v>102.9</v>
      </c>
      <c r="S21" s="485">
        <v>103</v>
      </c>
      <c r="T21" s="485">
        <v>103.8</v>
      </c>
      <c r="U21" s="1752">
        <v>101.8</v>
      </c>
      <c r="V21" s="1752">
        <v>102</v>
      </c>
      <c r="W21" s="485">
        <v>103.1</v>
      </c>
      <c r="X21" s="485">
        <v>107.5</v>
      </c>
      <c r="Y21" s="485">
        <v>111.5</v>
      </c>
      <c r="Z21" s="485">
        <v>114.9</v>
      </c>
      <c r="AA21" s="489">
        <v>117</v>
      </c>
      <c r="AB21" s="489">
        <v>119.4</v>
      </c>
      <c r="AC21" s="482">
        <f t="shared" si="22"/>
        <v>0.98073217726396922</v>
      </c>
      <c r="AD21" s="482">
        <f t="shared" si="22"/>
        <v>1.0019646365422397</v>
      </c>
      <c r="AE21" s="482">
        <f t="shared" si="22"/>
        <v>1.0107843137254902</v>
      </c>
      <c r="AF21" s="482">
        <f t="shared" si="22"/>
        <v>1.0426770126091174</v>
      </c>
      <c r="AG21" s="482">
        <f t="shared" si="22"/>
        <v>1.0372093023255815</v>
      </c>
      <c r="AH21" s="482">
        <f t="shared" si="22"/>
        <v>1.0304932735426009</v>
      </c>
      <c r="AI21" s="482">
        <f t="shared" si="22"/>
        <v>1.0182767624020888</v>
      </c>
      <c r="AJ21" s="482">
        <f t="shared" si="22"/>
        <v>1.0205128205128207</v>
      </c>
    </row>
    <row r="22" spans="1:36">
      <c r="A22" s="75" t="s">
        <v>1556</v>
      </c>
      <c r="B22" s="478"/>
      <c r="C22" s="478"/>
      <c r="D22" s="478"/>
      <c r="E22" s="478"/>
      <c r="L22" s="75" t="s">
        <v>821</v>
      </c>
    </row>
    <row r="23" spans="1:36">
      <c r="A23" s="1753" t="s">
        <v>1746</v>
      </c>
      <c r="J23" s="75" t="s">
        <v>823</v>
      </c>
      <c r="L23" s="358">
        <v>1</v>
      </c>
      <c r="M23" s="588">
        <f t="shared" ref="M23:AB23" si="23">(M8-L8)/L8*100</f>
        <v>4.5585412667946263</v>
      </c>
      <c r="N23" s="588">
        <f t="shared" si="23"/>
        <v>0.4589261128958238</v>
      </c>
      <c r="O23" s="588">
        <f t="shared" si="23"/>
        <v>-2.0283234353586113</v>
      </c>
      <c r="P23" s="588">
        <f t="shared" si="23"/>
        <v>-2.6951412850881282</v>
      </c>
      <c r="Q23" s="588">
        <f t="shared" si="23"/>
        <v>5.5875023960130346</v>
      </c>
      <c r="R23" s="588">
        <f t="shared" si="23"/>
        <v>4.5747481165471546</v>
      </c>
      <c r="S23" s="588">
        <f t="shared" si="23"/>
        <v>2.7601770679628506</v>
      </c>
      <c r="T23" s="588">
        <f t="shared" si="23"/>
        <v>-0.81932595658417096</v>
      </c>
      <c r="U23" s="588">
        <f t="shared" si="23"/>
        <v>14.622721853176632</v>
      </c>
      <c r="V23" s="588">
        <f t="shared" si="23"/>
        <v>2.6896500482948213</v>
      </c>
      <c r="W23" s="588">
        <f t="shared" si="23"/>
        <v>5.9330005064756532</v>
      </c>
      <c r="X23" s="588">
        <f t="shared" si="23"/>
        <v>1.5094597363568063</v>
      </c>
      <c r="Y23" s="588">
        <f t="shared" si="23"/>
        <v>2.4626564392410173</v>
      </c>
      <c r="Z23" s="588">
        <f t="shared" si="23"/>
        <v>3.0470186498555294</v>
      </c>
      <c r="AA23" s="588">
        <f t="shared" si="23"/>
        <v>2.5554422635737954</v>
      </c>
      <c r="AB23" s="588">
        <f t="shared" si="23"/>
        <v>2.8273162244454109</v>
      </c>
    </row>
    <row r="25" spans="1:36">
      <c r="P25" s="130"/>
      <c r="Q25" s="555">
        <v>2016</v>
      </c>
      <c r="R25" s="555">
        <v>2017</v>
      </c>
      <c r="S25" s="555">
        <v>2018</v>
      </c>
      <c r="T25" s="555">
        <v>2019</v>
      </c>
      <c r="U25" s="555">
        <v>2020</v>
      </c>
      <c r="V25" s="555">
        <v>2021</v>
      </c>
      <c r="W25" s="591">
        <v>2022</v>
      </c>
      <c r="X25" s="591">
        <v>2023</v>
      </c>
      <c r="Y25" s="591">
        <v>2024</v>
      </c>
      <c r="Z25" s="591">
        <v>2025</v>
      </c>
      <c r="AA25" s="566">
        <v>2026</v>
      </c>
      <c r="AB25" s="566">
        <v>2027</v>
      </c>
    </row>
    <row r="26" spans="1:36">
      <c r="P26" s="132"/>
      <c r="Q26" s="526" t="s">
        <v>1000</v>
      </c>
      <c r="R26" s="526" t="s">
        <v>1036</v>
      </c>
      <c r="S26" s="526" t="s">
        <v>1062</v>
      </c>
      <c r="T26" s="526" t="s">
        <v>1086</v>
      </c>
      <c r="U26" s="526" t="s">
        <v>1129</v>
      </c>
      <c r="V26" s="526" t="s">
        <v>1160</v>
      </c>
      <c r="W26" s="685" t="s">
        <v>1200</v>
      </c>
      <c r="X26" s="685" t="s">
        <v>1234</v>
      </c>
      <c r="Y26" s="685" t="s">
        <v>1561</v>
      </c>
      <c r="Z26" s="685" t="s">
        <v>1603</v>
      </c>
      <c r="AA26" s="565" t="s">
        <v>1745</v>
      </c>
      <c r="AB26" s="565" t="s">
        <v>1783</v>
      </c>
    </row>
    <row r="27" spans="1:36">
      <c r="P27" s="75" t="s">
        <v>137</v>
      </c>
      <c r="Q27" s="79">
        <v>81129</v>
      </c>
      <c r="R27" s="79">
        <f t="shared" ref="R27:U32" si="24">ROUND(Q27*(100+R48)/100,0)</f>
        <v>82427</v>
      </c>
      <c r="S27" s="79">
        <f t="shared" si="24"/>
        <v>83004</v>
      </c>
      <c r="T27" s="79">
        <f t="shared" si="24"/>
        <v>83087</v>
      </c>
      <c r="U27" s="79">
        <f t="shared" si="24"/>
        <v>83253</v>
      </c>
      <c r="V27" s="79">
        <f t="shared" ref="V27:AB32" si="25">ROUND(U27*(100+V48)/100,0)</f>
        <v>83420</v>
      </c>
      <c r="W27" s="585">
        <f t="shared" si="25"/>
        <v>83587</v>
      </c>
      <c r="X27" s="585">
        <f t="shared" si="25"/>
        <v>83754</v>
      </c>
      <c r="Y27" s="585">
        <f t="shared" si="25"/>
        <v>83922</v>
      </c>
      <c r="Z27" s="585">
        <f t="shared" si="25"/>
        <v>84090</v>
      </c>
      <c r="AA27" s="585">
        <f t="shared" si="25"/>
        <v>84258</v>
      </c>
      <c r="AB27" s="585">
        <f t="shared" si="25"/>
        <v>84427</v>
      </c>
    </row>
    <row r="28" spans="1:36">
      <c r="P28" s="75" t="s">
        <v>349</v>
      </c>
      <c r="Q28" s="79">
        <v>48760</v>
      </c>
      <c r="R28" s="79">
        <f t="shared" si="24"/>
        <v>49248</v>
      </c>
      <c r="S28" s="79">
        <f t="shared" si="24"/>
        <v>49297</v>
      </c>
      <c r="T28" s="79">
        <f t="shared" si="24"/>
        <v>49248</v>
      </c>
      <c r="U28" s="79">
        <f t="shared" si="24"/>
        <v>49051</v>
      </c>
      <c r="V28" s="79">
        <f t="shared" si="25"/>
        <v>48855</v>
      </c>
      <c r="W28" s="585">
        <f t="shared" si="25"/>
        <v>48660</v>
      </c>
      <c r="X28" s="585">
        <f t="shared" si="25"/>
        <v>48465</v>
      </c>
      <c r="Y28" s="585">
        <f t="shared" si="25"/>
        <v>48271</v>
      </c>
      <c r="Z28" s="585">
        <f t="shared" si="25"/>
        <v>48078</v>
      </c>
      <c r="AA28" s="585">
        <f t="shared" si="25"/>
        <v>47886</v>
      </c>
      <c r="AB28" s="585">
        <f t="shared" si="25"/>
        <v>47694</v>
      </c>
    </row>
    <row r="29" spans="1:36">
      <c r="P29" s="75" t="s">
        <v>814</v>
      </c>
      <c r="Q29" s="79">
        <v>2157</v>
      </c>
      <c r="R29" s="79">
        <f t="shared" si="24"/>
        <v>2077</v>
      </c>
      <c r="S29" s="79">
        <f t="shared" si="24"/>
        <v>2104</v>
      </c>
      <c r="T29" s="79">
        <f t="shared" si="24"/>
        <v>2083</v>
      </c>
      <c r="U29" s="79">
        <f t="shared" si="24"/>
        <v>2075</v>
      </c>
      <c r="V29" s="79">
        <f t="shared" si="25"/>
        <v>2067</v>
      </c>
      <c r="W29" s="585">
        <f t="shared" si="25"/>
        <v>2059</v>
      </c>
      <c r="X29" s="585">
        <f t="shared" si="25"/>
        <v>2051</v>
      </c>
      <c r="Y29" s="585">
        <f t="shared" si="25"/>
        <v>2043</v>
      </c>
      <c r="Z29" s="585">
        <f t="shared" si="25"/>
        <v>2035</v>
      </c>
      <c r="AA29" s="585">
        <f t="shared" si="25"/>
        <v>2027</v>
      </c>
      <c r="AB29" s="585">
        <f t="shared" si="25"/>
        <v>2019</v>
      </c>
    </row>
    <row r="30" spans="1:36">
      <c r="P30" s="75" t="s">
        <v>815</v>
      </c>
      <c r="Q30" s="79">
        <v>11017</v>
      </c>
      <c r="R30" s="79">
        <f t="shared" si="24"/>
        <v>11281</v>
      </c>
      <c r="S30" s="79">
        <f t="shared" si="24"/>
        <v>11349</v>
      </c>
      <c r="T30" s="79">
        <f t="shared" si="24"/>
        <v>11360</v>
      </c>
      <c r="U30" s="79">
        <f t="shared" si="24"/>
        <v>11326</v>
      </c>
      <c r="V30" s="79">
        <f t="shared" si="25"/>
        <v>11292</v>
      </c>
      <c r="W30" s="585">
        <f t="shared" si="25"/>
        <v>11258</v>
      </c>
      <c r="X30" s="585">
        <f t="shared" si="25"/>
        <v>11224</v>
      </c>
      <c r="Y30" s="585">
        <f t="shared" si="25"/>
        <v>11190</v>
      </c>
      <c r="Z30" s="585">
        <f t="shared" si="25"/>
        <v>11156</v>
      </c>
      <c r="AA30" s="585">
        <f t="shared" si="25"/>
        <v>11123</v>
      </c>
      <c r="AB30" s="585">
        <f t="shared" si="25"/>
        <v>11090</v>
      </c>
    </row>
    <row r="31" spans="1:36">
      <c r="P31" s="75" t="s">
        <v>673</v>
      </c>
      <c r="Q31" s="79">
        <v>15044</v>
      </c>
      <c r="R31" s="79">
        <f t="shared" si="24"/>
        <v>15119</v>
      </c>
      <c r="S31" s="79">
        <f t="shared" si="24"/>
        <v>15225</v>
      </c>
      <c r="T31" s="79">
        <f t="shared" si="24"/>
        <v>15514</v>
      </c>
      <c r="U31" s="79">
        <f t="shared" si="24"/>
        <v>15716</v>
      </c>
      <c r="V31" s="79">
        <f t="shared" si="25"/>
        <v>15920</v>
      </c>
      <c r="W31" s="585">
        <f t="shared" si="25"/>
        <v>16127</v>
      </c>
      <c r="X31" s="585">
        <f t="shared" si="25"/>
        <v>16337</v>
      </c>
      <c r="Y31" s="585">
        <f t="shared" si="25"/>
        <v>16549</v>
      </c>
      <c r="Z31" s="585">
        <f t="shared" si="25"/>
        <v>16764</v>
      </c>
      <c r="AA31" s="585">
        <f t="shared" si="25"/>
        <v>16982</v>
      </c>
      <c r="AB31" s="585">
        <f t="shared" si="25"/>
        <v>17203</v>
      </c>
    </row>
    <row r="32" spans="1:36">
      <c r="P32" s="75" t="s">
        <v>138</v>
      </c>
      <c r="Q32" s="81">
        <v>2887</v>
      </c>
      <c r="R32" s="81">
        <f t="shared" si="24"/>
        <v>2740</v>
      </c>
      <c r="S32" s="81">
        <f t="shared" si="24"/>
        <v>2713</v>
      </c>
      <c r="T32" s="81">
        <f t="shared" si="24"/>
        <v>2835</v>
      </c>
      <c r="U32" s="81">
        <f t="shared" si="24"/>
        <v>2906</v>
      </c>
      <c r="V32" s="81">
        <f t="shared" si="25"/>
        <v>2979</v>
      </c>
      <c r="W32" s="690">
        <f t="shared" si="25"/>
        <v>3053</v>
      </c>
      <c r="X32" s="690">
        <f t="shared" si="25"/>
        <v>3129</v>
      </c>
      <c r="Y32" s="690">
        <f t="shared" si="25"/>
        <v>3207</v>
      </c>
      <c r="Z32" s="690">
        <f t="shared" si="25"/>
        <v>3287</v>
      </c>
      <c r="AA32" s="690">
        <f t="shared" si="25"/>
        <v>3369</v>
      </c>
      <c r="AB32" s="690">
        <f t="shared" si="25"/>
        <v>3453</v>
      </c>
    </row>
    <row r="33" spans="16:28">
      <c r="P33" s="130" t="s">
        <v>895</v>
      </c>
      <c r="Q33" s="581" t="s">
        <v>11</v>
      </c>
      <c r="R33" s="581"/>
      <c r="S33" s="581"/>
      <c r="T33" s="581"/>
      <c r="U33" s="581"/>
      <c r="V33" s="581"/>
      <c r="W33" s="691"/>
      <c r="X33" s="691"/>
      <c r="Y33" s="691"/>
      <c r="Z33" s="691"/>
      <c r="AA33" s="691"/>
      <c r="AB33" s="691"/>
    </row>
    <row r="34" spans="16:28">
      <c r="P34" s="75" t="s">
        <v>139</v>
      </c>
      <c r="Q34" s="582">
        <v>18170</v>
      </c>
      <c r="R34" s="79">
        <f t="shared" ref="R34:AB34" si="26">ROUND(Q34*(100+R55)/100,0)</f>
        <v>19478</v>
      </c>
      <c r="S34" s="79">
        <f t="shared" si="26"/>
        <v>19264</v>
      </c>
      <c r="T34" s="79">
        <f t="shared" si="26"/>
        <v>18898</v>
      </c>
      <c r="U34" s="79">
        <f t="shared" si="26"/>
        <v>19144</v>
      </c>
      <c r="V34" s="79">
        <f t="shared" si="26"/>
        <v>19393</v>
      </c>
      <c r="W34" s="585">
        <f t="shared" si="26"/>
        <v>19645</v>
      </c>
      <c r="X34" s="585">
        <f t="shared" si="26"/>
        <v>19900</v>
      </c>
      <c r="Y34" s="585">
        <f t="shared" si="26"/>
        <v>20159</v>
      </c>
      <c r="Z34" s="585">
        <f t="shared" si="26"/>
        <v>20421</v>
      </c>
      <c r="AA34" s="585">
        <f t="shared" si="26"/>
        <v>20686</v>
      </c>
      <c r="AB34" s="585">
        <f t="shared" si="26"/>
        <v>20955</v>
      </c>
    </row>
    <row r="35" spans="16:28">
      <c r="P35" s="132" t="s">
        <v>140</v>
      </c>
      <c r="Q35" s="581" t="s">
        <v>11</v>
      </c>
      <c r="R35" s="581"/>
      <c r="S35" s="581"/>
      <c r="T35" s="581"/>
      <c r="U35" s="581"/>
      <c r="V35" s="581"/>
      <c r="W35" s="690"/>
      <c r="X35" s="690"/>
      <c r="Y35" s="690"/>
      <c r="Z35" s="690"/>
      <c r="AA35" s="690"/>
      <c r="AB35" s="690"/>
    </row>
    <row r="36" spans="16:28">
      <c r="P36" s="130" t="s">
        <v>896</v>
      </c>
      <c r="Q36" s="583" t="s">
        <v>11</v>
      </c>
      <c r="R36" s="583"/>
      <c r="S36" s="583"/>
      <c r="T36" s="583"/>
      <c r="U36" s="583"/>
      <c r="V36" s="583"/>
      <c r="W36" s="585"/>
      <c r="X36" s="585"/>
      <c r="Y36" s="585"/>
      <c r="Z36" s="585"/>
      <c r="AA36" s="585"/>
      <c r="AB36" s="585"/>
    </row>
    <row r="37" spans="16:28">
      <c r="P37" s="75" t="s">
        <v>141</v>
      </c>
      <c r="Q37" s="387">
        <v>17011</v>
      </c>
      <c r="R37" s="79">
        <f t="shared" ref="R37:AB37" si="27">ROUND(Q37*(100+R58)/100,0)</f>
        <v>17657</v>
      </c>
      <c r="S37" s="79">
        <f t="shared" si="27"/>
        <v>17269</v>
      </c>
      <c r="T37" s="79">
        <f t="shared" si="27"/>
        <v>17200</v>
      </c>
      <c r="U37" s="79">
        <f t="shared" si="27"/>
        <v>17252</v>
      </c>
      <c r="V37" s="79">
        <f t="shared" si="27"/>
        <v>17304</v>
      </c>
      <c r="W37" s="585">
        <f t="shared" si="27"/>
        <v>17356</v>
      </c>
      <c r="X37" s="585">
        <f t="shared" si="27"/>
        <v>17408</v>
      </c>
      <c r="Y37" s="585">
        <f t="shared" si="27"/>
        <v>17460</v>
      </c>
      <c r="Z37" s="585">
        <f t="shared" si="27"/>
        <v>17512</v>
      </c>
      <c r="AA37" s="585">
        <f t="shared" si="27"/>
        <v>17565</v>
      </c>
      <c r="AB37" s="585">
        <f t="shared" si="27"/>
        <v>17618</v>
      </c>
    </row>
    <row r="38" spans="16:28">
      <c r="P38" s="132" t="s">
        <v>142</v>
      </c>
      <c r="Q38" s="584" t="s">
        <v>11</v>
      </c>
      <c r="R38" s="584"/>
      <c r="S38" s="584"/>
      <c r="T38" s="584"/>
      <c r="U38" s="584"/>
      <c r="V38" s="584"/>
      <c r="W38" s="585"/>
      <c r="X38" s="585"/>
      <c r="Y38" s="585"/>
      <c r="Z38" s="585"/>
      <c r="AA38" s="585"/>
      <c r="AB38" s="585"/>
    </row>
    <row r="39" spans="16:28">
      <c r="P39" s="75" t="s">
        <v>816</v>
      </c>
      <c r="Q39" s="586" t="s">
        <v>1159</v>
      </c>
      <c r="R39" s="586"/>
      <c r="S39" s="586"/>
      <c r="T39" s="589"/>
      <c r="U39" s="589"/>
      <c r="V39" s="589"/>
      <c r="W39" s="692"/>
      <c r="X39" s="692"/>
      <c r="Y39" s="692"/>
      <c r="Z39" s="692"/>
      <c r="AA39" s="692"/>
      <c r="AB39" s="692"/>
    </row>
    <row r="40" spans="16:28">
      <c r="Q40" s="586" t="s">
        <v>11</v>
      </c>
      <c r="R40" s="586"/>
      <c r="S40" s="586"/>
      <c r="T40" s="586"/>
      <c r="U40" s="586"/>
      <c r="V40" s="586"/>
      <c r="W40" s="585"/>
      <c r="X40" s="585"/>
      <c r="Y40" s="585"/>
      <c r="Z40" s="585"/>
      <c r="AA40" s="585"/>
      <c r="AB40" s="585"/>
    </row>
    <row r="41" spans="16:28">
      <c r="Q41" s="587"/>
      <c r="R41" s="587"/>
      <c r="S41" s="587"/>
      <c r="T41" s="590"/>
      <c r="U41" s="590"/>
      <c r="V41" s="590"/>
      <c r="W41" s="690"/>
      <c r="X41" s="690"/>
      <c r="Y41" s="690"/>
      <c r="Z41" s="690"/>
      <c r="AA41" s="690"/>
      <c r="AB41" s="690"/>
    </row>
    <row r="42" spans="16:28">
      <c r="P42" s="130" t="s">
        <v>126</v>
      </c>
      <c r="Q42" s="207">
        <v>84419</v>
      </c>
      <c r="R42" s="80">
        <f t="shared" ref="R42:AB42" si="28">ROUND(Q42*(100+R63)/100,0)</f>
        <v>85854</v>
      </c>
      <c r="S42" s="80">
        <f t="shared" si="28"/>
        <v>86283</v>
      </c>
      <c r="T42" s="80">
        <f t="shared" si="28"/>
        <v>86973</v>
      </c>
      <c r="U42" s="80">
        <f t="shared" si="28"/>
        <v>87408</v>
      </c>
      <c r="V42" s="80">
        <f t="shared" si="28"/>
        <v>87845</v>
      </c>
      <c r="W42" s="692">
        <f t="shared" si="28"/>
        <v>88284</v>
      </c>
      <c r="X42" s="692">
        <f t="shared" si="28"/>
        <v>88725</v>
      </c>
      <c r="Y42" s="692">
        <f t="shared" si="28"/>
        <v>89169</v>
      </c>
      <c r="Z42" s="692">
        <f t="shared" si="28"/>
        <v>89615</v>
      </c>
      <c r="AA42" s="692">
        <f t="shared" si="28"/>
        <v>90063</v>
      </c>
      <c r="AB42" s="692">
        <f t="shared" si="28"/>
        <v>90513</v>
      </c>
    </row>
    <row r="43" spans="16:28">
      <c r="P43" s="132" t="s">
        <v>123</v>
      </c>
      <c r="Q43" s="485">
        <v>104.1</v>
      </c>
      <c r="R43" s="485">
        <f t="shared" ref="R43:AB43" si="29">ROUND(Q43*(100+R64)/100,1)</f>
        <v>104.2</v>
      </c>
      <c r="S43" s="485">
        <f t="shared" si="29"/>
        <v>104</v>
      </c>
      <c r="T43" s="485">
        <f t="shared" si="29"/>
        <v>104.7</v>
      </c>
      <c r="U43" s="485">
        <f t="shared" si="29"/>
        <v>105</v>
      </c>
      <c r="V43" s="485">
        <f t="shared" si="29"/>
        <v>105.3</v>
      </c>
      <c r="W43" s="594">
        <f t="shared" si="29"/>
        <v>105.6</v>
      </c>
      <c r="X43" s="594">
        <f t="shared" si="29"/>
        <v>105.9</v>
      </c>
      <c r="Y43" s="594">
        <f t="shared" si="29"/>
        <v>106.2</v>
      </c>
      <c r="Z43" s="594">
        <f t="shared" si="29"/>
        <v>106.5</v>
      </c>
      <c r="AA43" s="594">
        <f t="shared" si="29"/>
        <v>106.8</v>
      </c>
      <c r="AB43" s="594">
        <f t="shared" si="29"/>
        <v>107.1</v>
      </c>
    </row>
    <row r="46" spans="16:28">
      <c r="P46" s="130"/>
      <c r="Q46" s="591">
        <v>2016</v>
      </c>
      <c r="R46" s="555">
        <v>2017</v>
      </c>
      <c r="S46" s="555">
        <v>2018</v>
      </c>
      <c r="T46" s="555">
        <v>2019</v>
      </c>
      <c r="U46" s="555">
        <v>2020</v>
      </c>
      <c r="V46" s="555">
        <v>2021</v>
      </c>
      <c r="W46" s="591">
        <v>2022</v>
      </c>
      <c r="X46" s="591">
        <v>2023</v>
      </c>
      <c r="Y46" s="591">
        <v>2024</v>
      </c>
      <c r="Z46" s="591">
        <v>2025</v>
      </c>
      <c r="AA46" s="566">
        <v>2026</v>
      </c>
      <c r="AB46" s="566">
        <v>2027</v>
      </c>
    </row>
    <row r="47" spans="16:28">
      <c r="P47" s="132"/>
      <c r="Q47" s="592" t="s">
        <v>1000</v>
      </c>
      <c r="R47" s="526" t="s">
        <v>1036</v>
      </c>
      <c r="S47" s="526" t="s">
        <v>1062</v>
      </c>
      <c r="T47" s="526" t="s">
        <v>1086</v>
      </c>
      <c r="U47" s="526" t="s">
        <v>1129</v>
      </c>
      <c r="V47" s="626" t="s">
        <v>1160</v>
      </c>
      <c r="W47" s="685" t="s">
        <v>1200</v>
      </c>
      <c r="X47" s="685" t="s">
        <v>1234</v>
      </c>
      <c r="Y47" s="685" t="s">
        <v>1561</v>
      </c>
      <c r="Z47" s="685" t="s">
        <v>1603</v>
      </c>
      <c r="AA47" s="565" t="s">
        <v>1745</v>
      </c>
      <c r="AB47" s="565" t="s">
        <v>1783</v>
      </c>
    </row>
    <row r="48" spans="16:28">
      <c r="P48" s="75" t="s">
        <v>137</v>
      </c>
      <c r="Q48" s="593"/>
      <c r="R48" s="358">
        <v>1.6</v>
      </c>
      <c r="S48" s="358">
        <v>0.7</v>
      </c>
      <c r="T48" s="358">
        <v>0.1</v>
      </c>
      <c r="U48" s="358">
        <v>0.2</v>
      </c>
      <c r="V48" s="358">
        <v>0.2</v>
      </c>
      <c r="W48" s="686">
        <v>0.2</v>
      </c>
      <c r="X48" s="686">
        <v>0.2</v>
      </c>
      <c r="Y48" s="686">
        <v>0.2</v>
      </c>
      <c r="Z48" s="686">
        <v>0.2</v>
      </c>
      <c r="AA48" s="686">
        <v>0.2</v>
      </c>
      <c r="AB48" s="686">
        <v>0.2</v>
      </c>
    </row>
    <row r="49" spans="16:28">
      <c r="P49" s="75" t="s">
        <v>349</v>
      </c>
      <c r="Q49" s="593"/>
      <c r="R49" s="358">
        <v>1</v>
      </c>
      <c r="S49" s="358">
        <v>0.1</v>
      </c>
      <c r="T49" s="358">
        <v>-0.1</v>
      </c>
      <c r="U49" s="358">
        <v>-0.4</v>
      </c>
      <c r="V49" s="358">
        <v>-0.4</v>
      </c>
      <c r="W49" s="686">
        <v>-0.4</v>
      </c>
      <c r="X49" s="686">
        <v>-0.4</v>
      </c>
      <c r="Y49" s="686">
        <v>-0.4</v>
      </c>
      <c r="Z49" s="686">
        <v>-0.4</v>
      </c>
      <c r="AA49" s="686">
        <v>-0.4</v>
      </c>
      <c r="AB49" s="686">
        <v>-0.4</v>
      </c>
    </row>
    <row r="50" spans="16:28">
      <c r="P50" s="75" t="s">
        <v>814</v>
      </c>
      <c r="Q50" s="593"/>
      <c r="R50" s="358">
        <v>-3.7</v>
      </c>
      <c r="S50" s="358">
        <v>1.3</v>
      </c>
      <c r="T50" s="358">
        <v>-1</v>
      </c>
      <c r="U50" s="358">
        <v>-0.4</v>
      </c>
      <c r="V50" s="358">
        <v>-0.4</v>
      </c>
      <c r="W50" s="686">
        <v>-0.4</v>
      </c>
      <c r="X50" s="686">
        <v>-0.4</v>
      </c>
      <c r="Y50" s="686">
        <v>-0.4</v>
      </c>
      <c r="Z50" s="686">
        <v>-0.4</v>
      </c>
      <c r="AA50" s="686">
        <v>-0.4</v>
      </c>
      <c r="AB50" s="686">
        <v>-0.4</v>
      </c>
    </row>
    <row r="51" spans="16:28">
      <c r="P51" s="75" t="s">
        <v>815</v>
      </c>
      <c r="Q51" s="593"/>
      <c r="R51" s="358">
        <v>2.4</v>
      </c>
      <c r="S51" s="358">
        <v>0.6</v>
      </c>
      <c r="T51" s="358">
        <v>0.1</v>
      </c>
      <c r="U51" s="358">
        <v>-0.3</v>
      </c>
      <c r="V51" s="358">
        <v>-0.3</v>
      </c>
      <c r="W51" s="686">
        <v>-0.3</v>
      </c>
      <c r="X51" s="686">
        <v>-0.3</v>
      </c>
      <c r="Y51" s="686">
        <v>-0.3</v>
      </c>
      <c r="Z51" s="686">
        <v>-0.3</v>
      </c>
      <c r="AA51" s="686">
        <v>-0.3</v>
      </c>
      <c r="AB51" s="686">
        <v>-0.3</v>
      </c>
    </row>
    <row r="52" spans="16:28">
      <c r="P52" s="75" t="s">
        <v>673</v>
      </c>
      <c r="Q52" s="593"/>
      <c r="R52" s="358">
        <v>0.5</v>
      </c>
      <c r="S52" s="358">
        <v>0.7</v>
      </c>
      <c r="T52" s="358">
        <v>1.9</v>
      </c>
      <c r="U52" s="358">
        <v>1.3</v>
      </c>
      <c r="V52" s="358">
        <v>1.3</v>
      </c>
      <c r="W52" s="686">
        <v>1.3</v>
      </c>
      <c r="X52" s="686">
        <v>1.3</v>
      </c>
      <c r="Y52" s="686">
        <v>1.3</v>
      </c>
      <c r="Z52" s="686">
        <v>1.3</v>
      </c>
      <c r="AA52" s="686">
        <v>1.3</v>
      </c>
      <c r="AB52" s="686">
        <v>1.3</v>
      </c>
    </row>
    <row r="53" spans="16:28">
      <c r="P53" s="75" t="s">
        <v>138</v>
      </c>
      <c r="Q53" s="594"/>
      <c r="R53" s="359">
        <v>-5.0999999999999996</v>
      </c>
      <c r="S53" s="359">
        <v>-1</v>
      </c>
      <c r="T53" s="359">
        <v>4.5</v>
      </c>
      <c r="U53" s="359">
        <v>2.5</v>
      </c>
      <c r="V53" s="359">
        <v>2.5</v>
      </c>
      <c r="W53" s="687">
        <v>2.5</v>
      </c>
      <c r="X53" s="687">
        <v>2.5</v>
      </c>
      <c r="Y53" s="687">
        <v>2.5</v>
      </c>
      <c r="Z53" s="687">
        <v>2.5</v>
      </c>
      <c r="AA53" s="687">
        <v>2.5</v>
      </c>
      <c r="AB53" s="687">
        <v>2.5</v>
      </c>
    </row>
    <row r="54" spans="16:28">
      <c r="P54" s="130" t="s">
        <v>895</v>
      </c>
      <c r="Q54" s="595"/>
      <c r="R54" s="597"/>
      <c r="S54" s="597"/>
      <c r="T54" s="597"/>
      <c r="U54" s="597"/>
      <c r="V54" s="597"/>
      <c r="W54" s="688"/>
      <c r="X54" s="688"/>
      <c r="Y54" s="688"/>
      <c r="Z54" s="688"/>
      <c r="AA54" s="688"/>
      <c r="AB54" s="688"/>
    </row>
    <row r="55" spans="16:28">
      <c r="P55" s="75" t="s">
        <v>139</v>
      </c>
      <c r="Q55" s="595"/>
      <c r="R55" s="598">
        <v>7.2</v>
      </c>
      <c r="S55" s="598">
        <v>-1.1000000000000001</v>
      </c>
      <c r="T55" s="599">
        <v>-1.9</v>
      </c>
      <c r="U55" s="599">
        <v>1.3</v>
      </c>
      <c r="V55" s="599">
        <v>1.3</v>
      </c>
      <c r="W55" s="688">
        <v>1.3</v>
      </c>
      <c r="X55" s="688">
        <v>1.3</v>
      </c>
      <c r="Y55" s="688">
        <v>1.3</v>
      </c>
      <c r="Z55" s="688">
        <v>1.3</v>
      </c>
      <c r="AA55" s="688">
        <v>1.3</v>
      </c>
      <c r="AB55" s="688">
        <v>1.3</v>
      </c>
    </row>
    <row r="56" spans="16:28">
      <c r="P56" s="132" t="s">
        <v>140</v>
      </c>
      <c r="Q56" s="595"/>
      <c r="R56" s="597"/>
      <c r="S56" s="597"/>
      <c r="T56" s="597"/>
      <c r="U56" s="597"/>
      <c r="V56" s="597"/>
      <c r="W56" s="688"/>
      <c r="X56" s="688"/>
      <c r="Y56" s="688"/>
      <c r="Z56" s="688"/>
      <c r="AA56" s="688"/>
      <c r="AB56" s="688"/>
    </row>
    <row r="57" spans="16:28">
      <c r="P57" s="130" t="s">
        <v>896</v>
      </c>
      <c r="Q57" s="596"/>
      <c r="R57" s="600"/>
      <c r="S57" s="600"/>
      <c r="T57" s="600"/>
      <c r="U57" s="600"/>
      <c r="V57" s="600"/>
      <c r="W57" s="689"/>
      <c r="X57" s="689"/>
      <c r="Y57" s="689"/>
      <c r="Z57" s="689"/>
      <c r="AA57" s="689"/>
      <c r="AB57" s="689"/>
    </row>
    <row r="58" spans="16:28">
      <c r="P58" s="75" t="s">
        <v>141</v>
      </c>
      <c r="Q58" s="593"/>
      <c r="R58" s="601">
        <v>3.8</v>
      </c>
      <c r="S58" s="601">
        <v>-2.2000000000000002</v>
      </c>
      <c r="T58" s="601">
        <v>-0.4</v>
      </c>
      <c r="U58" s="601">
        <v>0.3</v>
      </c>
      <c r="V58" s="601">
        <v>0.3</v>
      </c>
      <c r="W58" s="686">
        <v>0.3</v>
      </c>
      <c r="X58" s="686">
        <v>0.3</v>
      </c>
      <c r="Y58" s="686">
        <v>0.3</v>
      </c>
      <c r="Z58" s="686">
        <v>0.3</v>
      </c>
      <c r="AA58" s="686">
        <v>0.3</v>
      </c>
      <c r="AB58" s="686">
        <v>0.3</v>
      </c>
    </row>
    <row r="59" spans="16:28">
      <c r="P59" s="132" t="s">
        <v>142</v>
      </c>
      <c r="Q59" s="594"/>
      <c r="R59" s="602"/>
      <c r="S59" s="602"/>
      <c r="T59" s="602"/>
      <c r="U59" s="602"/>
      <c r="V59" s="602"/>
      <c r="W59" s="687"/>
      <c r="X59" s="687"/>
      <c r="Y59" s="687"/>
      <c r="Z59" s="687"/>
      <c r="AA59" s="687"/>
      <c r="AB59" s="687"/>
    </row>
    <row r="60" spans="16:28">
      <c r="P60" s="75" t="s">
        <v>816</v>
      </c>
      <c r="Q60" s="593"/>
      <c r="R60" s="524"/>
      <c r="S60" s="524"/>
      <c r="T60" s="603"/>
      <c r="U60" s="603"/>
      <c r="V60" s="603"/>
      <c r="W60" s="686"/>
      <c r="X60" s="686"/>
      <c r="Y60" s="686"/>
      <c r="Z60" s="686"/>
      <c r="AA60" s="686"/>
      <c r="AB60" s="686"/>
    </row>
    <row r="61" spans="16:28">
      <c r="Q61" s="593"/>
      <c r="R61" s="524"/>
      <c r="S61" s="524"/>
      <c r="T61" s="524"/>
      <c r="U61" s="524"/>
      <c r="V61" s="524"/>
      <c r="W61" s="686"/>
      <c r="X61" s="686"/>
      <c r="Y61" s="686"/>
      <c r="Z61" s="686"/>
      <c r="AA61" s="686"/>
      <c r="AB61" s="686"/>
    </row>
    <row r="62" spans="16:28">
      <c r="Q62" s="595"/>
      <c r="R62" s="588"/>
      <c r="S62" s="588"/>
      <c r="T62" s="599"/>
      <c r="U62" s="599"/>
      <c r="V62" s="599"/>
      <c r="W62" s="688"/>
      <c r="X62" s="688"/>
      <c r="Y62" s="688"/>
      <c r="Z62" s="688"/>
      <c r="AA62" s="688"/>
      <c r="AB62" s="688"/>
    </row>
    <row r="63" spans="16:28">
      <c r="P63" s="130" t="s">
        <v>126</v>
      </c>
      <c r="Q63" s="596"/>
      <c r="R63" s="473">
        <v>1.7</v>
      </c>
      <c r="S63" s="473">
        <v>0.5</v>
      </c>
      <c r="T63" s="473">
        <v>0.8</v>
      </c>
      <c r="U63" s="473">
        <v>0.5</v>
      </c>
      <c r="V63" s="473">
        <v>0.5</v>
      </c>
      <c r="W63" s="689">
        <v>0.5</v>
      </c>
      <c r="X63" s="689">
        <v>0.5</v>
      </c>
      <c r="Y63" s="689">
        <v>0.5</v>
      </c>
      <c r="Z63" s="689">
        <v>0.5</v>
      </c>
      <c r="AA63" s="689">
        <v>0.5</v>
      </c>
      <c r="AB63" s="689">
        <v>0.5</v>
      </c>
    </row>
    <row r="64" spans="16:28">
      <c r="P64" s="132" t="s">
        <v>123</v>
      </c>
      <c r="Q64" s="594"/>
      <c r="R64" s="359">
        <v>0.1</v>
      </c>
      <c r="S64" s="359">
        <v>-0.2</v>
      </c>
      <c r="T64" s="359">
        <v>0.7</v>
      </c>
      <c r="U64" s="359">
        <v>0.3</v>
      </c>
      <c r="V64" s="359">
        <v>0.3</v>
      </c>
      <c r="W64" s="687">
        <v>0.3</v>
      </c>
      <c r="X64" s="687">
        <v>0.3</v>
      </c>
      <c r="Y64" s="687">
        <v>0.3</v>
      </c>
      <c r="Z64" s="687">
        <v>0.3</v>
      </c>
      <c r="AA64" s="687">
        <v>0.3</v>
      </c>
      <c r="AB64" s="687">
        <v>0.3</v>
      </c>
    </row>
  </sheetData>
  <phoneticPr fontId="13"/>
  <hyperlinks>
    <hyperlink ref="A23" r:id="rId1" display="https://www.apir.or.jp/" xr:uid="{85171333-8E3C-4ED4-9F05-C9297C8A81B5}"/>
  </hyperlinks>
  <pageMargins left="0.75" right="0.75" top="1" bottom="1" header="0.51200000000000001" footer="0.51200000000000001"/>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59999389629810485"/>
  </sheetPr>
  <dimension ref="A1:AF70"/>
  <sheetViews>
    <sheetView workbookViewId="0">
      <pane xSplit="2" ySplit="5" topLeftCell="R6" activePane="bottomRight" state="frozen"/>
      <selection pane="topRight" activeCell="C1" sqref="C1"/>
      <selection pane="bottomLeft" activeCell="A6" sqref="A6"/>
      <selection pane="bottomRight" activeCell="Z20" sqref="Z20"/>
    </sheetView>
  </sheetViews>
  <sheetFormatPr defaultColWidth="8.7109375" defaultRowHeight="13"/>
  <cols>
    <col min="1" max="1" width="3.7109375" style="75" customWidth="1"/>
    <col min="2" max="7" width="8.7109375" style="75"/>
    <col min="8" max="8" width="9.92578125" style="75" bestFit="1" customWidth="1"/>
    <col min="9" max="16" width="8.7109375" style="75"/>
    <col min="17" max="17" width="9.2109375" style="75" bestFit="1" customWidth="1"/>
    <col min="18" max="24" width="8.7109375" style="75"/>
    <col min="25" max="32" width="6.2109375" style="75" customWidth="1"/>
    <col min="33" max="16384" width="8.7109375" style="75"/>
  </cols>
  <sheetData>
    <row r="1" spans="1:32">
      <c r="A1" s="86"/>
      <c r="B1" s="65" t="s">
        <v>1341</v>
      </c>
      <c r="Q1" s="628"/>
      <c r="R1" s="628" t="s">
        <v>11</v>
      </c>
      <c r="S1" s="628"/>
      <c r="T1" s="628"/>
      <c r="U1" s="628" t="s">
        <v>948</v>
      </c>
      <c r="V1" s="628" t="s">
        <v>14</v>
      </c>
      <c r="W1" s="628" t="s">
        <v>14</v>
      </c>
      <c r="X1" s="628"/>
      <c r="Y1" s="453"/>
      <c r="Z1" s="453"/>
      <c r="AA1" s="453"/>
      <c r="AB1" s="453"/>
      <c r="AC1" s="453"/>
    </row>
    <row r="2" spans="1:32">
      <c r="A2" s="86"/>
      <c r="B2" s="65"/>
      <c r="T2" s="1071"/>
      <c r="U2" s="1070">
        <f>兵庫QE名目!C147</f>
        <v>24764561</v>
      </c>
      <c r="V2" s="1885" t="s">
        <v>818</v>
      </c>
      <c r="W2" s="1118"/>
      <c r="X2" s="1118"/>
      <c r="Y2" s="1029" t="s">
        <v>1114</v>
      </c>
      <c r="Z2" s="453"/>
      <c r="AA2" s="453"/>
      <c r="AB2" s="453"/>
      <c r="AC2" s="453"/>
      <c r="AD2" s="453"/>
      <c r="AE2" s="453"/>
      <c r="AF2" s="453"/>
    </row>
    <row r="3" spans="1:32">
      <c r="A3" s="728"/>
      <c r="B3" s="729" t="s">
        <v>319</v>
      </c>
      <c r="C3" s="914">
        <v>2006</v>
      </c>
      <c r="D3" s="914">
        <v>2007</v>
      </c>
      <c r="E3" s="914">
        <v>2008</v>
      </c>
      <c r="F3" s="914">
        <v>2009</v>
      </c>
      <c r="G3" s="914">
        <v>2010</v>
      </c>
      <c r="H3" s="1910">
        <v>2011</v>
      </c>
      <c r="I3" s="675">
        <v>2012</v>
      </c>
      <c r="J3" s="675">
        <v>2013</v>
      </c>
      <c r="K3" s="675">
        <v>2014</v>
      </c>
      <c r="L3" s="675">
        <v>2015</v>
      </c>
      <c r="M3" s="675">
        <v>2016</v>
      </c>
      <c r="N3" s="675">
        <v>2017</v>
      </c>
      <c r="O3" s="675">
        <v>2018</v>
      </c>
      <c r="P3" s="675">
        <v>2019</v>
      </c>
      <c r="Q3" s="675">
        <v>2020</v>
      </c>
      <c r="R3" s="675">
        <v>2021</v>
      </c>
      <c r="S3" s="675">
        <v>2022</v>
      </c>
      <c r="T3" s="675">
        <v>2023</v>
      </c>
      <c r="U3" s="476">
        <v>2024</v>
      </c>
      <c r="V3" s="476">
        <v>2025</v>
      </c>
      <c r="W3" s="476">
        <v>2026</v>
      </c>
      <c r="X3" s="476">
        <v>2027</v>
      </c>
      <c r="Y3" s="1111"/>
      <c r="Z3" s="1111"/>
      <c r="AA3" s="1111"/>
      <c r="AB3" s="1111"/>
      <c r="AC3" s="1111"/>
      <c r="AD3" s="1111"/>
      <c r="AE3" s="1111"/>
      <c r="AF3" s="1111"/>
    </row>
    <row r="4" spans="1:32">
      <c r="A4" s="730"/>
      <c r="B4" s="730"/>
      <c r="C4" s="1911" t="s">
        <v>369</v>
      </c>
      <c r="D4" s="1911" t="s">
        <v>370</v>
      </c>
      <c r="E4" s="1069" t="s">
        <v>750</v>
      </c>
      <c r="F4" s="1069" t="s">
        <v>856</v>
      </c>
      <c r="G4" s="1069" t="s">
        <v>911</v>
      </c>
      <c r="H4" s="1912" t="s">
        <v>96</v>
      </c>
      <c r="I4" s="1069" t="s">
        <v>118</v>
      </c>
      <c r="J4" s="1069" t="s">
        <v>119</v>
      </c>
      <c r="K4" s="1069" t="s">
        <v>67</v>
      </c>
      <c r="L4" s="1069" t="s">
        <v>157</v>
      </c>
      <c r="M4" s="1069" t="s">
        <v>1000</v>
      </c>
      <c r="N4" s="1069" t="s">
        <v>1036</v>
      </c>
      <c r="O4" s="1069" t="s">
        <v>1062</v>
      </c>
      <c r="P4" s="1069" t="s">
        <v>1161</v>
      </c>
      <c r="Q4" s="1069" t="s">
        <v>1129</v>
      </c>
      <c r="R4" s="1069" t="s">
        <v>1160</v>
      </c>
      <c r="S4" s="1069" t="s">
        <v>1200</v>
      </c>
      <c r="T4" s="1069" t="s">
        <v>1234</v>
      </c>
      <c r="U4" s="1112" t="s">
        <v>1561</v>
      </c>
      <c r="V4" s="491" t="s">
        <v>1603</v>
      </c>
      <c r="W4" s="491" t="s">
        <v>1745</v>
      </c>
      <c r="X4" s="491" t="s">
        <v>1783</v>
      </c>
      <c r="Y4" s="1112" t="s">
        <v>1163</v>
      </c>
      <c r="Z4" s="1112" t="s">
        <v>1176</v>
      </c>
      <c r="AA4" s="1112" t="s">
        <v>1199</v>
      </c>
      <c r="AB4" s="1112" t="s">
        <v>1235</v>
      </c>
      <c r="AC4" s="1112" t="s">
        <v>1600</v>
      </c>
      <c r="AD4" s="1112" t="s">
        <v>1722</v>
      </c>
      <c r="AE4" s="1112" t="s">
        <v>1769</v>
      </c>
      <c r="AF4" s="1112" t="s">
        <v>1784</v>
      </c>
    </row>
    <row r="5" spans="1:32">
      <c r="A5" s="731"/>
      <c r="B5" s="731" t="s">
        <v>320</v>
      </c>
      <c r="C5" s="1074"/>
      <c r="D5" s="1074"/>
      <c r="E5" s="1074"/>
      <c r="F5" s="1074"/>
      <c r="G5" s="1074"/>
      <c r="H5" s="1074"/>
      <c r="I5" s="1074"/>
      <c r="J5" s="1074"/>
      <c r="K5" s="1074"/>
      <c r="L5" s="1074"/>
      <c r="M5" s="1074"/>
      <c r="N5" s="1074"/>
      <c r="O5" s="1074"/>
      <c r="P5" s="1074"/>
      <c r="Q5" s="1074"/>
      <c r="R5" s="1074"/>
      <c r="S5" s="1074"/>
      <c r="T5" s="1074"/>
      <c r="U5" s="1074">
        <f>U6-U2</f>
        <v>2.9524140059947968E-2</v>
      </c>
      <c r="V5" s="477"/>
      <c r="W5" s="477"/>
      <c r="X5" s="477"/>
      <c r="Y5" s="477"/>
      <c r="Z5" s="477"/>
      <c r="AA5" s="477"/>
      <c r="AB5" s="477"/>
      <c r="AC5" s="477"/>
      <c r="AD5" s="477"/>
      <c r="AE5" s="477"/>
      <c r="AF5" s="477"/>
    </row>
    <row r="6" spans="1:32">
      <c r="A6" s="92"/>
      <c r="B6" s="87" t="s">
        <v>166</v>
      </c>
      <c r="C6" s="75">
        <f t="shared" ref="C6:J6" si="0">SUM(C7:C16)</f>
        <v>19997123</v>
      </c>
      <c r="D6" s="75">
        <f t="shared" si="0"/>
        <v>19875506</v>
      </c>
      <c r="E6" s="75">
        <f t="shared" si="0"/>
        <v>20571143</v>
      </c>
      <c r="F6" s="75">
        <f t="shared" si="0"/>
        <v>20741145</v>
      </c>
      <c r="G6" s="737">
        <f t="shared" si="0"/>
        <v>21747193</v>
      </c>
      <c r="H6" s="737">
        <f t="shared" si="0"/>
        <v>19997123</v>
      </c>
      <c r="I6" s="75">
        <f t="shared" si="0"/>
        <v>19875506</v>
      </c>
      <c r="J6" s="75">
        <f t="shared" si="0"/>
        <v>20571143</v>
      </c>
      <c r="K6" s="75">
        <f t="shared" ref="K6:P6" si="1">SUM(K7:K16)</f>
        <v>20741145</v>
      </c>
      <c r="L6" s="75">
        <f t="shared" si="1"/>
        <v>21747193</v>
      </c>
      <c r="M6" s="75">
        <f t="shared" si="1"/>
        <v>21965422</v>
      </c>
      <c r="N6" s="75">
        <f t="shared" si="1"/>
        <v>22283273</v>
      </c>
      <c r="O6" s="75">
        <f t="shared" si="1"/>
        <v>22237660</v>
      </c>
      <c r="P6" s="75">
        <f t="shared" si="1"/>
        <v>22472835</v>
      </c>
      <c r="Q6" s="75">
        <f t="shared" ref="Q6:V6" si="2">SUM(Q7:Q16)</f>
        <v>21896001</v>
      </c>
      <c r="R6" s="456">
        <f t="shared" si="2"/>
        <v>22596893</v>
      </c>
      <c r="S6" s="456">
        <f t="shared" si="2"/>
        <v>23362116</v>
      </c>
      <c r="T6" s="456">
        <f t="shared" si="2"/>
        <v>23989566</v>
      </c>
      <c r="U6" s="491">
        <f t="shared" si="2"/>
        <v>24764561.02952414</v>
      </c>
      <c r="V6" s="491">
        <f t="shared" si="2"/>
        <v>25606106.31116347</v>
      </c>
      <c r="W6" s="491">
        <f t="shared" ref="W6:X6" si="3">SUM(W7:W16)</f>
        <v>25950450.02952414</v>
      </c>
      <c r="X6" s="1111">
        <f t="shared" si="3"/>
        <v>26352545.02952414</v>
      </c>
      <c r="Y6" s="1113">
        <f t="shared" ref="Y6:Y16" si="4">ROUND((Q6-P6)/P6*100,1)</f>
        <v>-2.6</v>
      </c>
      <c r="Z6" s="1113">
        <f t="shared" ref="Z6:Z16" si="5">ROUND((R6-Q6)/Q6*100,1)</f>
        <v>3.2</v>
      </c>
      <c r="AA6" s="1113">
        <f t="shared" ref="AA6:AF16" si="6">ROUND((S6-R6)/R6*100,1)</f>
        <v>3.4</v>
      </c>
      <c r="AB6" s="1113">
        <f t="shared" si="6"/>
        <v>2.7</v>
      </c>
      <c r="AC6" s="1113">
        <f t="shared" si="6"/>
        <v>3.2</v>
      </c>
      <c r="AD6" s="1113">
        <f t="shared" si="6"/>
        <v>3.4</v>
      </c>
      <c r="AE6" s="1113">
        <f t="shared" si="6"/>
        <v>1.3</v>
      </c>
      <c r="AF6" s="1113">
        <f t="shared" si="6"/>
        <v>1.5</v>
      </c>
    </row>
    <row r="7" spans="1:32">
      <c r="A7" s="90">
        <v>100</v>
      </c>
      <c r="B7" s="75" t="s">
        <v>172</v>
      </c>
      <c r="C7" s="75">
        <f t="shared" ref="C7:I7" si="7">C18</f>
        <v>6161480</v>
      </c>
      <c r="D7" s="75">
        <f t="shared" si="7"/>
        <v>6108860</v>
      </c>
      <c r="E7" s="75">
        <f t="shared" si="7"/>
        <v>6354679</v>
      </c>
      <c r="F7" s="75">
        <f t="shared" si="7"/>
        <v>6652436</v>
      </c>
      <c r="G7" s="737">
        <f t="shared" si="7"/>
        <v>6937416</v>
      </c>
      <c r="H7" s="737">
        <f t="shared" si="7"/>
        <v>6432390</v>
      </c>
      <c r="I7" s="75">
        <f t="shared" si="7"/>
        <v>6348572</v>
      </c>
      <c r="J7" s="75">
        <f t="shared" ref="J7:M8" si="8">J18</f>
        <v>6421649</v>
      </c>
      <c r="K7" s="75">
        <f t="shared" si="8"/>
        <v>6542948</v>
      </c>
      <c r="L7" s="75">
        <f t="shared" si="8"/>
        <v>6861821</v>
      </c>
      <c r="M7" s="75">
        <f t="shared" si="8"/>
        <v>6885364</v>
      </c>
      <c r="N7" s="75">
        <f t="shared" ref="N7:P8" si="9">N18</f>
        <v>6983569</v>
      </c>
      <c r="O7" s="75">
        <f t="shared" si="9"/>
        <v>6950990</v>
      </c>
      <c r="P7" s="75">
        <f t="shared" si="9"/>
        <v>7083806</v>
      </c>
      <c r="Q7" s="75">
        <f t="shared" ref="Q7:S8" si="10">Q18</f>
        <v>6827769</v>
      </c>
      <c r="R7" s="456">
        <f t="shared" si="10"/>
        <v>6947990</v>
      </c>
      <c r="S7" s="456">
        <f t="shared" si="10"/>
        <v>7287424</v>
      </c>
      <c r="T7" s="456">
        <f t="shared" ref="T7:U7" si="11">T18</f>
        <v>7529905</v>
      </c>
      <c r="U7" s="491">
        <f t="shared" si="11"/>
        <v>7631737.0295241382</v>
      </c>
      <c r="V7" s="491">
        <f t="shared" ref="V7:W7" si="12">V18</f>
        <v>7513418.3111634683</v>
      </c>
      <c r="W7" s="491">
        <f t="shared" si="12"/>
        <v>7474528.0295241382</v>
      </c>
      <c r="X7" s="491">
        <f t="shared" ref="X7" si="13">X18</f>
        <v>7547353.0295241382</v>
      </c>
      <c r="Y7" s="1113">
        <f t="shared" si="4"/>
        <v>-3.6</v>
      </c>
      <c r="Z7" s="1113">
        <f t="shared" si="5"/>
        <v>1.8</v>
      </c>
      <c r="AA7" s="1113">
        <f t="shared" si="6"/>
        <v>4.9000000000000004</v>
      </c>
      <c r="AB7" s="1113">
        <f t="shared" si="6"/>
        <v>3.3</v>
      </c>
      <c r="AC7" s="1113">
        <f t="shared" si="6"/>
        <v>1.4</v>
      </c>
      <c r="AD7" s="1113">
        <f t="shared" si="6"/>
        <v>-1.6</v>
      </c>
      <c r="AE7" s="1113">
        <f t="shared" si="6"/>
        <v>-0.5</v>
      </c>
      <c r="AF7" s="1113">
        <f t="shared" si="6"/>
        <v>1</v>
      </c>
    </row>
    <row r="8" spans="1:32">
      <c r="A8" s="90" t="s">
        <v>932</v>
      </c>
      <c r="B8" s="75" t="s">
        <v>323</v>
      </c>
      <c r="C8" s="75">
        <f t="shared" ref="C8:I8" si="14">C19</f>
        <v>3072775</v>
      </c>
      <c r="D8" s="75">
        <f t="shared" si="14"/>
        <v>3076906</v>
      </c>
      <c r="E8" s="75">
        <f t="shared" si="14"/>
        <v>3121806</v>
      </c>
      <c r="F8" s="75">
        <f t="shared" si="14"/>
        <v>3188094</v>
      </c>
      <c r="G8" s="737">
        <f t="shared" si="14"/>
        <v>3464074</v>
      </c>
      <c r="H8" s="737">
        <f t="shared" si="14"/>
        <v>3245720</v>
      </c>
      <c r="I8" s="75">
        <f t="shared" si="14"/>
        <v>3169353</v>
      </c>
      <c r="J8" s="75">
        <f t="shared" si="8"/>
        <v>3309950</v>
      </c>
      <c r="K8" s="75">
        <f t="shared" si="8"/>
        <v>3308965</v>
      </c>
      <c r="L8" s="75">
        <f t="shared" si="8"/>
        <v>3538433</v>
      </c>
      <c r="M8" s="75">
        <f t="shared" si="8"/>
        <v>3558388</v>
      </c>
      <c r="N8" s="75">
        <f t="shared" si="9"/>
        <v>3670272</v>
      </c>
      <c r="O8" s="75">
        <f t="shared" si="9"/>
        <v>3642087</v>
      </c>
      <c r="P8" s="75">
        <f t="shared" si="9"/>
        <v>3695848</v>
      </c>
      <c r="Q8" s="75">
        <f t="shared" si="10"/>
        <v>3523512</v>
      </c>
      <c r="R8" s="456">
        <f t="shared" si="10"/>
        <v>3696176</v>
      </c>
      <c r="S8" s="456">
        <f t="shared" si="10"/>
        <v>3765146</v>
      </c>
      <c r="T8" s="456">
        <f t="shared" ref="T8:U8" si="15">T19</f>
        <v>3908745</v>
      </c>
      <c r="U8" s="491">
        <f t="shared" si="15"/>
        <v>4172900</v>
      </c>
      <c r="V8" s="491">
        <f t="shared" ref="V8:W8" si="16">V19</f>
        <v>4506521</v>
      </c>
      <c r="W8" s="491">
        <f t="shared" si="16"/>
        <v>4658812</v>
      </c>
      <c r="X8" s="491">
        <f t="shared" ref="X8" si="17">X19</f>
        <v>4760106</v>
      </c>
      <c r="Y8" s="1113">
        <f t="shared" si="4"/>
        <v>-4.7</v>
      </c>
      <c r="Z8" s="1113">
        <f t="shared" si="5"/>
        <v>4.9000000000000004</v>
      </c>
      <c r="AA8" s="1113">
        <f t="shared" si="6"/>
        <v>1.9</v>
      </c>
      <c r="AB8" s="1113">
        <f t="shared" si="6"/>
        <v>3.8</v>
      </c>
      <c r="AC8" s="1113">
        <f t="shared" si="6"/>
        <v>6.8</v>
      </c>
      <c r="AD8" s="1113">
        <f t="shared" si="6"/>
        <v>8</v>
      </c>
      <c r="AE8" s="1113">
        <f t="shared" si="6"/>
        <v>3.4</v>
      </c>
      <c r="AF8" s="1113">
        <f t="shared" si="6"/>
        <v>2.2000000000000002</v>
      </c>
    </row>
    <row r="9" spans="1:32">
      <c r="A9" s="90">
        <v>2</v>
      </c>
      <c r="B9" s="75" t="s">
        <v>324</v>
      </c>
      <c r="C9" s="75">
        <f t="shared" ref="C9:I9" si="18">C23</f>
        <v>1858761</v>
      </c>
      <c r="D9" s="75">
        <f t="shared" si="18"/>
        <v>1835755</v>
      </c>
      <c r="E9" s="75">
        <f t="shared" si="18"/>
        <v>1850269</v>
      </c>
      <c r="F9" s="75">
        <f t="shared" si="18"/>
        <v>1896926</v>
      </c>
      <c r="G9" s="737">
        <f t="shared" si="18"/>
        <v>1981804</v>
      </c>
      <c r="H9" s="737">
        <f t="shared" si="18"/>
        <v>1916235</v>
      </c>
      <c r="I9" s="75">
        <f t="shared" si="18"/>
        <v>1951839</v>
      </c>
      <c r="J9" s="75">
        <f t="shared" ref="J9:O9" si="19">J23</f>
        <v>1969036</v>
      </c>
      <c r="K9" s="75">
        <f t="shared" si="19"/>
        <v>1950165</v>
      </c>
      <c r="L9" s="75">
        <f t="shared" si="19"/>
        <v>2053609</v>
      </c>
      <c r="M9" s="75">
        <f t="shared" si="19"/>
        <v>2143401</v>
      </c>
      <c r="N9" s="75">
        <f t="shared" si="19"/>
        <v>2115268</v>
      </c>
      <c r="O9" s="75">
        <f t="shared" si="19"/>
        <v>2107783</v>
      </c>
      <c r="P9" s="75">
        <f t="shared" ref="P9:U9" si="20">P23</f>
        <v>2072364</v>
      </c>
      <c r="Q9" s="75">
        <f t="shared" si="20"/>
        <v>2047222</v>
      </c>
      <c r="R9" s="456">
        <f t="shared" si="20"/>
        <v>2206039</v>
      </c>
      <c r="S9" s="456">
        <f t="shared" si="20"/>
        <v>2267467</v>
      </c>
      <c r="T9" s="456">
        <f t="shared" si="20"/>
        <v>2397898</v>
      </c>
      <c r="U9" s="491">
        <f t="shared" si="20"/>
        <v>2619097</v>
      </c>
      <c r="V9" s="491">
        <f t="shared" ref="V9:W9" si="21">V23</f>
        <v>3131557</v>
      </c>
      <c r="W9" s="491">
        <f t="shared" si="21"/>
        <v>3402636</v>
      </c>
      <c r="X9" s="491">
        <f t="shared" ref="X9" si="22">X23</f>
        <v>3537070</v>
      </c>
      <c r="Y9" s="1113">
        <f t="shared" si="4"/>
        <v>-1.2</v>
      </c>
      <c r="Z9" s="1113">
        <f t="shared" si="5"/>
        <v>7.8</v>
      </c>
      <c r="AA9" s="1113">
        <f t="shared" si="6"/>
        <v>2.8</v>
      </c>
      <c r="AB9" s="1113">
        <f t="shared" si="6"/>
        <v>5.8</v>
      </c>
      <c r="AC9" s="1113">
        <f t="shared" si="6"/>
        <v>9.1999999999999993</v>
      </c>
      <c r="AD9" s="1113">
        <f t="shared" si="6"/>
        <v>19.600000000000001</v>
      </c>
      <c r="AE9" s="1113">
        <f t="shared" si="6"/>
        <v>8.6999999999999993</v>
      </c>
      <c r="AF9" s="1113">
        <f t="shared" si="6"/>
        <v>4</v>
      </c>
    </row>
    <row r="10" spans="1:32">
      <c r="A10" s="90">
        <v>3</v>
      </c>
      <c r="B10" s="75" t="s">
        <v>192</v>
      </c>
      <c r="C10" s="75">
        <f t="shared" ref="C10:I10" si="23">C29</f>
        <v>2752357</v>
      </c>
      <c r="D10" s="75">
        <f t="shared" si="23"/>
        <v>2807437</v>
      </c>
      <c r="E10" s="75">
        <f t="shared" si="23"/>
        <v>2959266</v>
      </c>
      <c r="F10" s="75">
        <f t="shared" si="23"/>
        <v>2756065</v>
      </c>
      <c r="G10" s="737">
        <f t="shared" si="23"/>
        <v>2871866</v>
      </c>
      <c r="H10" s="737">
        <f t="shared" si="23"/>
        <v>2589684</v>
      </c>
      <c r="I10" s="75">
        <f t="shared" si="23"/>
        <v>2742033</v>
      </c>
      <c r="J10" s="75">
        <f t="shared" ref="J10:O10" si="24">J29</f>
        <v>2788089</v>
      </c>
      <c r="K10" s="75">
        <f t="shared" si="24"/>
        <v>2821463</v>
      </c>
      <c r="L10" s="75">
        <f t="shared" si="24"/>
        <v>2957502</v>
      </c>
      <c r="M10" s="75">
        <f t="shared" si="24"/>
        <v>2909491</v>
      </c>
      <c r="N10" s="75">
        <f t="shared" si="24"/>
        <v>2926149</v>
      </c>
      <c r="O10" s="75">
        <f t="shared" si="24"/>
        <v>2965443</v>
      </c>
      <c r="P10" s="75">
        <f t="shared" ref="P10:U10" si="25">P29</f>
        <v>3002259</v>
      </c>
      <c r="Q10" s="75">
        <f t="shared" si="25"/>
        <v>2971362</v>
      </c>
      <c r="R10" s="456">
        <f t="shared" si="25"/>
        <v>2960193</v>
      </c>
      <c r="S10" s="456">
        <f t="shared" si="25"/>
        <v>3191504</v>
      </c>
      <c r="T10" s="456">
        <f t="shared" si="25"/>
        <v>3149681</v>
      </c>
      <c r="U10" s="491">
        <f t="shared" si="25"/>
        <v>3229129</v>
      </c>
      <c r="V10" s="491">
        <f t="shared" ref="V10:W10" si="26">V29</f>
        <v>3510935</v>
      </c>
      <c r="W10" s="491">
        <f t="shared" si="26"/>
        <v>3646400</v>
      </c>
      <c r="X10" s="491">
        <f t="shared" ref="X10" si="27">X29</f>
        <v>3732853</v>
      </c>
      <c r="Y10" s="1113">
        <f t="shared" si="4"/>
        <v>-1</v>
      </c>
      <c r="Z10" s="1113">
        <f t="shared" si="5"/>
        <v>-0.4</v>
      </c>
      <c r="AA10" s="1113">
        <f t="shared" si="6"/>
        <v>7.8</v>
      </c>
      <c r="AB10" s="1113">
        <f t="shared" si="6"/>
        <v>-1.3</v>
      </c>
      <c r="AC10" s="1113">
        <f t="shared" si="6"/>
        <v>2.5</v>
      </c>
      <c r="AD10" s="1113">
        <f t="shared" si="6"/>
        <v>8.6999999999999993</v>
      </c>
      <c r="AE10" s="1113">
        <f t="shared" si="6"/>
        <v>3.9</v>
      </c>
      <c r="AF10" s="1113">
        <f t="shared" si="6"/>
        <v>2.4</v>
      </c>
    </row>
    <row r="11" spans="1:32">
      <c r="A11" s="90">
        <v>4</v>
      </c>
      <c r="B11" s="75" t="s">
        <v>325</v>
      </c>
      <c r="C11" s="75">
        <f t="shared" ref="C11:I11" si="28">C35</f>
        <v>1166063</v>
      </c>
      <c r="D11" s="75">
        <f t="shared" si="28"/>
        <v>1147763</v>
      </c>
      <c r="E11" s="75">
        <f t="shared" si="28"/>
        <v>1186285</v>
      </c>
      <c r="F11" s="75">
        <f t="shared" si="28"/>
        <v>1222708</v>
      </c>
      <c r="G11" s="737">
        <f t="shared" si="28"/>
        <v>1240812</v>
      </c>
      <c r="H11" s="737">
        <f t="shared" si="28"/>
        <v>1113960</v>
      </c>
      <c r="I11" s="75">
        <f t="shared" si="28"/>
        <v>1094656</v>
      </c>
      <c r="J11" s="75">
        <f t="shared" ref="J11:O11" si="29">J35</f>
        <v>1151557</v>
      </c>
      <c r="K11" s="75">
        <f t="shared" si="29"/>
        <v>1151163</v>
      </c>
      <c r="L11" s="75">
        <f t="shared" si="29"/>
        <v>1197785</v>
      </c>
      <c r="M11" s="75">
        <f t="shared" si="29"/>
        <v>1259561</v>
      </c>
      <c r="N11" s="75">
        <f t="shared" si="29"/>
        <v>1311666</v>
      </c>
      <c r="O11" s="75">
        <f t="shared" si="29"/>
        <v>1296507</v>
      </c>
      <c r="P11" s="75">
        <f t="shared" ref="P11:U11" si="30">P35</f>
        <v>1310283</v>
      </c>
      <c r="Q11" s="75">
        <f t="shared" si="30"/>
        <v>1299522</v>
      </c>
      <c r="R11" s="456">
        <f t="shared" si="30"/>
        <v>1319932</v>
      </c>
      <c r="S11" s="456">
        <f t="shared" si="30"/>
        <v>1305298</v>
      </c>
      <c r="T11" s="456">
        <f t="shared" si="30"/>
        <v>1356148</v>
      </c>
      <c r="U11" s="491">
        <f t="shared" si="30"/>
        <v>1322637</v>
      </c>
      <c r="V11" s="491">
        <f t="shared" ref="V11:W11" si="31">V35</f>
        <v>1279789</v>
      </c>
      <c r="W11" s="491">
        <f t="shared" si="31"/>
        <v>1250042</v>
      </c>
      <c r="X11" s="491">
        <f t="shared" ref="X11" si="32">X35</f>
        <v>1275031</v>
      </c>
      <c r="Y11" s="1113">
        <f t="shared" si="4"/>
        <v>-0.8</v>
      </c>
      <c r="Z11" s="1113">
        <f t="shared" si="5"/>
        <v>1.6</v>
      </c>
      <c r="AA11" s="1113">
        <f t="shared" si="6"/>
        <v>-1.1000000000000001</v>
      </c>
      <c r="AB11" s="1113">
        <f t="shared" si="6"/>
        <v>3.9</v>
      </c>
      <c r="AC11" s="1113">
        <f t="shared" si="6"/>
        <v>-2.5</v>
      </c>
      <c r="AD11" s="1113">
        <f t="shared" si="6"/>
        <v>-3.2</v>
      </c>
      <c r="AE11" s="1113">
        <f t="shared" si="6"/>
        <v>-2.2999999999999998</v>
      </c>
      <c r="AF11" s="1113">
        <f t="shared" si="6"/>
        <v>2</v>
      </c>
    </row>
    <row r="12" spans="1:32">
      <c r="A12" s="90">
        <v>5</v>
      </c>
      <c r="B12" s="75" t="s">
        <v>326</v>
      </c>
      <c r="C12" s="75">
        <f t="shared" ref="C12:I12" si="33">C42</f>
        <v>2515903</v>
      </c>
      <c r="D12" s="75">
        <f t="shared" si="33"/>
        <v>2479569</v>
      </c>
      <c r="E12" s="75">
        <f t="shared" si="33"/>
        <v>2681065</v>
      </c>
      <c r="F12" s="75">
        <f t="shared" si="33"/>
        <v>2529549</v>
      </c>
      <c r="G12" s="737">
        <f t="shared" si="33"/>
        <v>2700289</v>
      </c>
      <c r="H12" s="737">
        <f t="shared" si="33"/>
        <v>2382248</v>
      </c>
      <c r="I12" s="75">
        <f t="shared" si="33"/>
        <v>2318281</v>
      </c>
      <c r="J12" s="75">
        <f t="shared" ref="J12:O12" si="34">J42</f>
        <v>2510678</v>
      </c>
      <c r="K12" s="75">
        <f t="shared" si="34"/>
        <v>2534302</v>
      </c>
      <c r="L12" s="75">
        <f t="shared" si="34"/>
        <v>2608505</v>
      </c>
      <c r="M12" s="75">
        <f t="shared" si="34"/>
        <v>2670969</v>
      </c>
      <c r="N12" s="75">
        <f t="shared" si="34"/>
        <v>2678931</v>
      </c>
      <c r="O12" s="75">
        <f t="shared" si="34"/>
        <v>2674825</v>
      </c>
      <c r="P12" s="75">
        <f t="shared" ref="P12:U12" si="35">P42</f>
        <v>2648188</v>
      </c>
      <c r="Q12" s="75">
        <f t="shared" si="35"/>
        <v>2592307</v>
      </c>
      <c r="R12" s="456">
        <f t="shared" si="35"/>
        <v>2822650</v>
      </c>
      <c r="S12" s="456">
        <f t="shared" si="35"/>
        <v>2901482</v>
      </c>
      <c r="T12" s="456">
        <f t="shared" si="35"/>
        <v>2930515</v>
      </c>
      <c r="U12" s="491">
        <f t="shared" si="35"/>
        <v>2768310</v>
      </c>
      <c r="V12" s="491">
        <f t="shared" ref="V12:W12" si="36">V42</f>
        <v>2727648</v>
      </c>
      <c r="W12" s="491">
        <f t="shared" si="36"/>
        <v>2726270</v>
      </c>
      <c r="X12" s="491">
        <f t="shared" ref="X12" si="37">X42</f>
        <v>2766933</v>
      </c>
      <c r="Y12" s="1113">
        <f t="shared" si="4"/>
        <v>-2.1</v>
      </c>
      <c r="Z12" s="1113">
        <f t="shared" si="5"/>
        <v>8.9</v>
      </c>
      <c r="AA12" s="1113">
        <f t="shared" si="6"/>
        <v>2.8</v>
      </c>
      <c r="AB12" s="1113">
        <f t="shared" si="6"/>
        <v>1</v>
      </c>
      <c r="AC12" s="1113">
        <f t="shared" si="6"/>
        <v>-5.5</v>
      </c>
      <c r="AD12" s="1113">
        <f t="shared" si="6"/>
        <v>-1.5</v>
      </c>
      <c r="AE12" s="1113">
        <f t="shared" si="6"/>
        <v>-0.1</v>
      </c>
      <c r="AF12" s="1113">
        <f t="shared" si="6"/>
        <v>1.5</v>
      </c>
    </row>
    <row r="13" spans="1:32">
      <c r="A13" s="90">
        <v>6</v>
      </c>
      <c r="B13" s="75" t="s">
        <v>327</v>
      </c>
      <c r="C13" s="75">
        <f t="shared" ref="C13:I13" si="38">C47</f>
        <v>968752</v>
      </c>
      <c r="D13" s="75">
        <f t="shared" si="38"/>
        <v>954876</v>
      </c>
      <c r="E13" s="75">
        <f t="shared" si="38"/>
        <v>964276</v>
      </c>
      <c r="F13" s="75">
        <f t="shared" si="38"/>
        <v>999083</v>
      </c>
      <c r="G13" s="737">
        <f t="shared" si="38"/>
        <v>1036995</v>
      </c>
      <c r="H13" s="737">
        <f t="shared" si="38"/>
        <v>955124</v>
      </c>
      <c r="I13" s="75">
        <f t="shared" si="38"/>
        <v>956345</v>
      </c>
      <c r="J13" s="75">
        <f t="shared" ref="J13:O13" si="39">J47</f>
        <v>963483</v>
      </c>
      <c r="K13" s="75">
        <f t="shared" si="39"/>
        <v>984203</v>
      </c>
      <c r="L13" s="75">
        <f t="shared" si="39"/>
        <v>1015903</v>
      </c>
      <c r="M13" s="75">
        <f t="shared" si="39"/>
        <v>1022521</v>
      </c>
      <c r="N13" s="75">
        <f t="shared" si="39"/>
        <v>1065770</v>
      </c>
      <c r="O13" s="75">
        <f t="shared" si="39"/>
        <v>1071203</v>
      </c>
      <c r="P13" s="75">
        <f t="shared" ref="P13:U13" si="40">P47</f>
        <v>1080047</v>
      </c>
      <c r="Q13" s="75">
        <f t="shared" si="40"/>
        <v>1100471</v>
      </c>
      <c r="R13" s="456">
        <f t="shared" si="40"/>
        <v>1127246</v>
      </c>
      <c r="S13" s="456">
        <f t="shared" si="40"/>
        <v>1110408</v>
      </c>
      <c r="T13" s="456">
        <f t="shared" si="40"/>
        <v>1129678</v>
      </c>
      <c r="U13" s="491">
        <f t="shared" si="40"/>
        <v>1171474</v>
      </c>
      <c r="V13" s="491">
        <f t="shared" ref="V13:W13" si="41">V47</f>
        <v>1128143</v>
      </c>
      <c r="W13" s="491">
        <f t="shared" si="41"/>
        <v>1083061</v>
      </c>
      <c r="X13" s="491">
        <f t="shared" ref="X13" si="42">X47</f>
        <v>1079919</v>
      </c>
      <c r="Y13" s="1113">
        <f t="shared" si="4"/>
        <v>1.9</v>
      </c>
      <c r="Z13" s="1113">
        <f t="shared" si="5"/>
        <v>2.4</v>
      </c>
      <c r="AA13" s="1113">
        <f t="shared" si="6"/>
        <v>-1.5</v>
      </c>
      <c r="AB13" s="1113">
        <f t="shared" si="6"/>
        <v>1.7</v>
      </c>
      <c r="AC13" s="1113">
        <f t="shared" si="6"/>
        <v>3.7</v>
      </c>
      <c r="AD13" s="1113">
        <f t="shared" si="6"/>
        <v>-3.7</v>
      </c>
      <c r="AE13" s="1113">
        <f t="shared" si="6"/>
        <v>-4</v>
      </c>
      <c r="AF13" s="1113">
        <f t="shared" si="6"/>
        <v>-0.3</v>
      </c>
    </row>
    <row r="14" spans="1:32">
      <c r="A14" s="90">
        <v>7</v>
      </c>
      <c r="B14" s="75" t="s">
        <v>210</v>
      </c>
      <c r="C14" s="75">
        <f t="shared" ref="C14:I14" si="43">C55</f>
        <v>625093</v>
      </c>
      <c r="D14" s="75">
        <f t="shared" si="43"/>
        <v>610343</v>
      </c>
      <c r="E14" s="75">
        <f t="shared" si="43"/>
        <v>608472</v>
      </c>
      <c r="F14" s="75">
        <f t="shared" si="43"/>
        <v>626037</v>
      </c>
      <c r="G14" s="737">
        <f t="shared" si="43"/>
        <v>626163</v>
      </c>
      <c r="H14" s="737">
        <f t="shared" si="43"/>
        <v>565410</v>
      </c>
      <c r="I14" s="75">
        <f t="shared" si="43"/>
        <v>570909</v>
      </c>
      <c r="J14" s="75">
        <f t="shared" ref="J14:O14" si="44">J55</f>
        <v>610691</v>
      </c>
      <c r="K14" s="75">
        <f t="shared" si="44"/>
        <v>612526</v>
      </c>
      <c r="L14" s="75">
        <f t="shared" si="44"/>
        <v>630036</v>
      </c>
      <c r="M14" s="75">
        <f t="shared" si="44"/>
        <v>622690</v>
      </c>
      <c r="N14" s="75">
        <f t="shared" si="44"/>
        <v>637010</v>
      </c>
      <c r="O14" s="75">
        <f t="shared" si="44"/>
        <v>625315</v>
      </c>
      <c r="P14" s="75">
        <f t="shared" ref="P14:U14" si="45">P55</f>
        <v>636327</v>
      </c>
      <c r="Q14" s="75">
        <f t="shared" si="45"/>
        <v>639162</v>
      </c>
      <c r="R14" s="456">
        <f t="shared" si="45"/>
        <v>604482</v>
      </c>
      <c r="S14" s="456">
        <f t="shared" si="45"/>
        <v>593538</v>
      </c>
      <c r="T14" s="456">
        <f t="shared" si="45"/>
        <v>604135</v>
      </c>
      <c r="U14" s="491">
        <f t="shared" si="45"/>
        <v>769839</v>
      </c>
      <c r="V14" s="491">
        <f t="shared" ref="V14:W14" si="46">V55</f>
        <v>747339</v>
      </c>
      <c r="W14" s="491">
        <f t="shared" si="46"/>
        <v>705806</v>
      </c>
      <c r="X14" s="491">
        <f t="shared" ref="X14" si="47">X55</f>
        <v>671671</v>
      </c>
      <c r="Y14" s="1113">
        <f t="shared" si="4"/>
        <v>0.4</v>
      </c>
      <c r="Z14" s="1113">
        <f t="shared" si="5"/>
        <v>-5.4</v>
      </c>
      <c r="AA14" s="1113">
        <f t="shared" si="6"/>
        <v>-1.8</v>
      </c>
      <c r="AB14" s="1113">
        <f t="shared" si="6"/>
        <v>1.8</v>
      </c>
      <c r="AC14" s="1113">
        <f t="shared" si="6"/>
        <v>27.4</v>
      </c>
      <c r="AD14" s="1113">
        <f t="shared" si="6"/>
        <v>-2.9</v>
      </c>
      <c r="AE14" s="1113">
        <f t="shared" si="6"/>
        <v>-5.6</v>
      </c>
      <c r="AF14" s="1113">
        <f t="shared" si="6"/>
        <v>-4.8</v>
      </c>
    </row>
    <row r="15" spans="1:32">
      <c r="A15" s="90">
        <v>8</v>
      </c>
      <c r="B15" s="75" t="s">
        <v>211</v>
      </c>
      <c r="C15" s="75">
        <f t="shared" ref="C15:I15" si="48">C61</f>
        <v>385650</v>
      </c>
      <c r="D15" s="75">
        <f t="shared" si="48"/>
        <v>385879</v>
      </c>
      <c r="E15" s="75">
        <f t="shared" si="48"/>
        <v>373363</v>
      </c>
      <c r="F15" s="75">
        <f t="shared" si="48"/>
        <v>381050</v>
      </c>
      <c r="G15" s="737">
        <f t="shared" si="48"/>
        <v>389641</v>
      </c>
      <c r="H15" s="737">
        <f t="shared" si="48"/>
        <v>355318</v>
      </c>
      <c r="I15" s="75">
        <f t="shared" si="48"/>
        <v>285502</v>
      </c>
      <c r="J15" s="75">
        <f t="shared" ref="J15:O15" si="49">J61</f>
        <v>397845</v>
      </c>
      <c r="K15" s="75">
        <f t="shared" si="49"/>
        <v>391493</v>
      </c>
      <c r="L15" s="75">
        <f t="shared" si="49"/>
        <v>418388</v>
      </c>
      <c r="M15" s="75">
        <f t="shared" si="49"/>
        <v>422586</v>
      </c>
      <c r="N15" s="75">
        <f t="shared" si="49"/>
        <v>426693</v>
      </c>
      <c r="O15" s="75">
        <f t="shared" si="49"/>
        <v>438473</v>
      </c>
      <c r="P15" s="75">
        <f t="shared" ref="P15:U15" si="50">P61</f>
        <v>474718</v>
      </c>
      <c r="Q15" s="75">
        <f t="shared" si="50"/>
        <v>453080</v>
      </c>
      <c r="R15" s="456">
        <f t="shared" si="50"/>
        <v>460054</v>
      </c>
      <c r="S15" s="456">
        <f t="shared" si="50"/>
        <v>464432</v>
      </c>
      <c r="T15" s="456">
        <f t="shared" si="50"/>
        <v>481731</v>
      </c>
      <c r="U15" s="491">
        <f t="shared" si="50"/>
        <v>508863</v>
      </c>
      <c r="V15" s="491">
        <f t="shared" ref="V15:W15" si="51">V61</f>
        <v>483345</v>
      </c>
      <c r="W15" s="491">
        <f t="shared" si="51"/>
        <v>458923</v>
      </c>
      <c r="X15" s="491">
        <f t="shared" ref="X15" si="52">X61</f>
        <v>456952</v>
      </c>
      <c r="Y15" s="1113">
        <f t="shared" si="4"/>
        <v>-4.5999999999999996</v>
      </c>
      <c r="Z15" s="1113">
        <f t="shared" si="5"/>
        <v>1.5</v>
      </c>
      <c r="AA15" s="1113">
        <f t="shared" si="6"/>
        <v>1</v>
      </c>
      <c r="AB15" s="1113">
        <f t="shared" si="6"/>
        <v>3.7</v>
      </c>
      <c r="AC15" s="1113">
        <f t="shared" si="6"/>
        <v>5.6</v>
      </c>
      <c r="AD15" s="1113">
        <f t="shared" si="6"/>
        <v>-5</v>
      </c>
      <c r="AE15" s="1113">
        <f t="shared" si="6"/>
        <v>-5.0999999999999996</v>
      </c>
      <c r="AF15" s="1113">
        <f t="shared" si="6"/>
        <v>-0.4</v>
      </c>
    </row>
    <row r="16" spans="1:32">
      <c r="A16" s="90">
        <v>9</v>
      </c>
      <c r="B16" s="75" t="s">
        <v>212</v>
      </c>
      <c r="C16" s="75">
        <f t="shared" ref="C16:I16" si="53">C64</f>
        <v>490289</v>
      </c>
      <c r="D16" s="75">
        <f t="shared" si="53"/>
        <v>468118</v>
      </c>
      <c r="E16" s="75">
        <f t="shared" si="53"/>
        <v>471662</v>
      </c>
      <c r="F16" s="75">
        <f t="shared" si="53"/>
        <v>489197</v>
      </c>
      <c r="G16" s="737">
        <f t="shared" si="53"/>
        <v>498133</v>
      </c>
      <c r="H16" s="737">
        <f t="shared" si="53"/>
        <v>441034</v>
      </c>
      <c r="I16" s="75">
        <f t="shared" si="53"/>
        <v>438016</v>
      </c>
      <c r="J16" s="75">
        <f t="shared" ref="J16:O16" si="54">J64</f>
        <v>448165</v>
      </c>
      <c r="K16" s="75">
        <f t="shared" si="54"/>
        <v>443917</v>
      </c>
      <c r="L16" s="75">
        <f t="shared" si="54"/>
        <v>465211</v>
      </c>
      <c r="M16" s="75">
        <f t="shared" si="54"/>
        <v>470451</v>
      </c>
      <c r="N16" s="75">
        <f t="shared" si="54"/>
        <v>467945</v>
      </c>
      <c r="O16" s="75">
        <f t="shared" si="54"/>
        <v>465034</v>
      </c>
      <c r="P16" s="75">
        <f t="shared" ref="P16:U16" si="55">P64</f>
        <v>468995</v>
      </c>
      <c r="Q16" s="75">
        <f t="shared" si="55"/>
        <v>441594</v>
      </c>
      <c r="R16" s="456">
        <f t="shared" si="55"/>
        <v>452131</v>
      </c>
      <c r="S16" s="456">
        <f t="shared" si="55"/>
        <v>475417</v>
      </c>
      <c r="T16" s="456">
        <f t="shared" si="55"/>
        <v>501130</v>
      </c>
      <c r="U16" s="491">
        <f t="shared" si="55"/>
        <v>570575</v>
      </c>
      <c r="V16" s="491">
        <f t="shared" ref="V16:W16" si="56">V64</f>
        <v>577411</v>
      </c>
      <c r="W16" s="491">
        <f t="shared" si="56"/>
        <v>543972</v>
      </c>
      <c r="X16" s="491">
        <f t="shared" ref="X16" si="57">X64</f>
        <v>524657</v>
      </c>
      <c r="Y16" s="1113">
        <f t="shared" si="4"/>
        <v>-5.8</v>
      </c>
      <c r="Z16" s="1113">
        <f t="shared" si="5"/>
        <v>2.4</v>
      </c>
      <c r="AA16" s="1113">
        <f t="shared" si="6"/>
        <v>5.2</v>
      </c>
      <c r="AB16" s="1113">
        <f t="shared" si="6"/>
        <v>5.4</v>
      </c>
      <c r="AC16" s="1113">
        <f t="shared" si="6"/>
        <v>13.9</v>
      </c>
      <c r="AD16" s="1113">
        <f t="shared" si="6"/>
        <v>1.2</v>
      </c>
      <c r="AE16" s="1113">
        <f t="shared" si="6"/>
        <v>-5.8</v>
      </c>
      <c r="AF16" s="1113">
        <f t="shared" si="6"/>
        <v>-3.6</v>
      </c>
    </row>
    <row r="17" spans="1:32">
      <c r="A17" s="92"/>
      <c r="B17" s="87"/>
      <c r="G17" s="737"/>
      <c r="H17" s="737"/>
      <c r="K17" s="75" t="s">
        <v>1098</v>
      </c>
      <c r="L17" s="75" t="str">
        <f>'16H27'!C15</f>
        <v>　</v>
      </c>
      <c r="M17" s="75" t="s">
        <v>1173</v>
      </c>
      <c r="R17" s="456"/>
      <c r="S17" s="456"/>
      <c r="T17" s="456"/>
      <c r="U17" s="491"/>
      <c r="V17" s="491"/>
      <c r="W17" s="491"/>
      <c r="X17" s="491"/>
      <c r="Y17" s="1113"/>
      <c r="Z17" s="1113"/>
      <c r="AA17" s="1113"/>
      <c r="AB17" s="1113"/>
      <c r="AC17" s="1113"/>
      <c r="AD17" s="1113"/>
      <c r="AE17" s="1113"/>
      <c r="AF17" s="1113"/>
    </row>
    <row r="18" spans="1:32">
      <c r="A18" s="89">
        <v>100</v>
      </c>
      <c r="B18" s="87" t="s">
        <v>172</v>
      </c>
      <c r="C18" s="75">
        <f>'7H18'!C16</f>
        <v>6161480</v>
      </c>
      <c r="D18" s="75">
        <f>'8H19'!C16</f>
        <v>6108860</v>
      </c>
      <c r="E18" s="75">
        <f>'9H20'!C16</f>
        <v>6354679</v>
      </c>
      <c r="F18" s="75">
        <f>'10H21'!C16</f>
        <v>6652436</v>
      </c>
      <c r="G18" s="737">
        <f>'11H22'!C16</f>
        <v>6937416</v>
      </c>
      <c r="H18" s="737">
        <f>'12H23'!C16</f>
        <v>6432390</v>
      </c>
      <c r="I18" s="75">
        <f>'13H24'!C16</f>
        <v>6348572</v>
      </c>
      <c r="J18" s="75">
        <f>'14H25'!C16</f>
        <v>6421649</v>
      </c>
      <c r="K18" s="75">
        <f>'15H26'!C16</f>
        <v>6542948</v>
      </c>
      <c r="L18" s="75">
        <f>'16H27'!C16</f>
        <v>6861821</v>
      </c>
      <c r="M18" s="75">
        <f>'17H28'!C16</f>
        <v>6885364</v>
      </c>
      <c r="N18" s="75">
        <f>'18H29'!C16</f>
        <v>6983569</v>
      </c>
      <c r="O18" s="75">
        <f>'19H30'!C16</f>
        <v>6950990</v>
      </c>
      <c r="P18" s="75">
        <f>'20R1'!C16</f>
        <v>7083806</v>
      </c>
      <c r="Q18" s="75">
        <f>'21R2'!C16</f>
        <v>6827769</v>
      </c>
      <c r="R18" s="456">
        <f>'22R3'!C16</f>
        <v>6947990</v>
      </c>
      <c r="S18" s="456">
        <f>'23R4'!C16</f>
        <v>7287424</v>
      </c>
      <c r="T18" s="456">
        <f>'24R5'!C16+25</f>
        <v>7529905</v>
      </c>
      <c r="U18" s="456">
        <f>'25R6'!C16</f>
        <v>7631737.0295241382</v>
      </c>
      <c r="V18" s="491">
        <f>'26R7'!C16</f>
        <v>7513418.3111634683</v>
      </c>
      <c r="W18" s="491">
        <f>'27R8'!C16</f>
        <v>7474528.0295241382</v>
      </c>
      <c r="X18" s="491">
        <f>'28R9'!C16</f>
        <v>7547353.0295241382</v>
      </c>
      <c r="Y18" s="1113">
        <f t="shared" ref="Y18:Y49" si="58">ROUND((Q18-P18)/P18*100,1)</f>
        <v>-3.6</v>
      </c>
      <c r="Z18" s="1113">
        <f t="shared" ref="Z18:Z49" si="59">ROUND((R18-Q18)/Q18*100,1)</f>
        <v>1.8</v>
      </c>
      <c r="AA18" s="1113">
        <f t="shared" ref="AA18:AF49" si="60">ROUND((S18-R18)/R18*100,1)</f>
        <v>4.9000000000000004</v>
      </c>
      <c r="AB18" s="1113">
        <f t="shared" si="60"/>
        <v>3.3</v>
      </c>
      <c r="AC18" s="1113">
        <f t="shared" si="60"/>
        <v>1.4</v>
      </c>
      <c r="AD18" s="1113">
        <f t="shared" si="60"/>
        <v>-1.6</v>
      </c>
      <c r="AE18" s="1113">
        <f t="shared" si="60"/>
        <v>-0.5</v>
      </c>
      <c r="AF18" s="1113">
        <f t="shared" si="60"/>
        <v>1</v>
      </c>
    </row>
    <row r="19" spans="1:32">
      <c r="A19" s="92">
        <v>1</v>
      </c>
      <c r="B19" s="65" t="s">
        <v>182</v>
      </c>
      <c r="C19" s="75">
        <f>'7H18'!C17</f>
        <v>3072775</v>
      </c>
      <c r="D19" s="75">
        <f>'8H19'!C17</f>
        <v>3076906</v>
      </c>
      <c r="E19" s="75">
        <f>'9H20'!C17</f>
        <v>3121806</v>
      </c>
      <c r="F19" s="75">
        <f>'10H21'!C17</f>
        <v>3188094</v>
      </c>
      <c r="G19" s="737">
        <f>'11H22'!C17</f>
        <v>3464074</v>
      </c>
      <c r="H19" s="737">
        <f>'12H23'!C17</f>
        <v>3245720</v>
      </c>
      <c r="I19" s="75">
        <f>'13H24'!C17</f>
        <v>3169353</v>
      </c>
      <c r="J19" s="75">
        <f>'14H25'!C17</f>
        <v>3309950</v>
      </c>
      <c r="K19" s="75">
        <f>'15H26'!C17</f>
        <v>3308965</v>
      </c>
      <c r="L19" s="75">
        <f>'16H27'!C17</f>
        <v>3538433</v>
      </c>
      <c r="M19" s="75">
        <f>'17H28'!C17</f>
        <v>3558388</v>
      </c>
      <c r="N19" s="75">
        <f>'18H29'!C17</f>
        <v>3670272</v>
      </c>
      <c r="O19" s="75">
        <f>'19H30'!C17</f>
        <v>3642087</v>
      </c>
      <c r="P19" s="75">
        <f>'20R1'!C17</f>
        <v>3695848</v>
      </c>
      <c r="Q19" s="75">
        <f>'21R2'!C17</f>
        <v>3523512</v>
      </c>
      <c r="R19" s="456">
        <f>'22R3'!C17</f>
        <v>3696176</v>
      </c>
      <c r="S19" s="456">
        <f>'23R4'!C17</f>
        <v>3765146</v>
      </c>
      <c r="T19" s="456">
        <f>'24R5'!C17</f>
        <v>3908745</v>
      </c>
      <c r="U19" s="491">
        <f>'25R6'!C17</f>
        <v>4172900</v>
      </c>
      <c r="V19" s="491">
        <f>'26R7'!C17</f>
        <v>4506521</v>
      </c>
      <c r="W19" s="491">
        <f>'27R8'!C17</f>
        <v>4658812</v>
      </c>
      <c r="X19" s="491">
        <f>'28R9'!C17</f>
        <v>4760106</v>
      </c>
      <c r="Y19" s="1113">
        <f t="shared" si="58"/>
        <v>-4.7</v>
      </c>
      <c r="Z19" s="1113">
        <f t="shared" si="59"/>
        <v>4.9000000000000004</v>
      </c>
      <c r="AA19" s="1113">
        <f t="shared" si="60"/>
        <v>1.9</v>
      </c>
      <c r="AB19" s="1113">
        <f t="shared" si="60"/>
        <v>3.8</v>
      </c>
      <c r="AC19" s="1113">
        <f t="shared" si="60"/>
        <v>6.8</v>
      </c>
      <c r="AD19" s="1113">
        <f t="shared" si="60"/>
        <v>8</v>
      </c>
      <c r="AE19" s="1113">
        <f t="shared" si="60"/>
        <v>3.4</v>
      </c>
      <c r="AF19" s="1113">
        <f t="shared" si="60"/>
        <v>2.2000000000000002</v>
      </c>
    </row>
    <row r="20" spans="1:32">
      <c r="A20" s="89">
        <v>202</v>
      </c>
      <c r="B20" s="90" t="s">
        <v>183</v>
      </c>
      <c r="C20" s="75">
        <f>'7H18'!C18</f>
        <v>1729431</v>
      </c>
      <c r="D20" s="75">
        <f>'8H19'!C18</f>
        <v>1745448</v>
      </c>
      <c r="E20" s="75">
        <f>'9H20'!C18</f>
        <v>1723874</v>
      </c>
      <c r="F20" s="75">
        <f>'10H21'!C18</f>
        <v>1745894</v>
      </c>
      <c r="G20" s="737">
        <f>'11H22'!C18</f>
        <v>1940658</v>
      </c>
      <c r="H20" s="737">
        <f>'12H23'!C18</f>
        <v>1752589</v>
      </c>
      <c r="I20" s="75">
        <f>'13H24'!C18</f>
        <v>1692374</v>
      </c>
      <c r="J20" s="75">
        <f>'14H25'!C18</f>
        <v>1753411</v>
      </c>
      <c r="K20" s="75">
        <f>'15H26'!C18</f>
        <v>1775377</v>
      </c>
      <c r="L20" s="75">
        <f>'16H27'!C18</f>
        <v>1891559</v>
      </c>
      <c r="M20" s="75">
        <f>'17H28'!C18</f>
        <v>1932353</v>
      </c>
      <c r="N20" s="75">
        <f>'18H29'!C18</f>
        <v>1995954</v>
      </c>
      <c r="O20" s="75">
        <f>'19H30'!C18</f>
        <v>1971785</v>
      </c>
      <c r="P20" s="75">
        <f>'20R1'!C18</f>
        <v>2011427</v>
      </c>
      <c r="Q20" s="75">
        <f>'21R2'!C18</f>
        <v>1878775</v>
      </c>
      <c r="R20" s="456">
        <f>'22R3'!C18</f>
        <v>2011734</v>
      </c>
      <c r="S20" s="456">
        <f>'23R4'!C18</f>
        <v>2057005</v>
      </c>
      <c r="T20" s="456">
        <f>'24R5'!C18</f>
        <v>2136572</v>
      </c>
      <c r="U20" s="491">
        <f>'25R6'!C18</f>
        <v>2084290</v>
      </c>
      <c r="V20" s="491">
        <f>'26R7'!C18</f>
        <v>2141931</v>
      </c>
      <c r="W20" s="491">
        <f>'27R8'!C18</f>
        <v>2216364</v>
      </c>
      <c r="X20" s="491">
        <f>'28R9'!C18</f>
        <v>2294105</v>
      </c>
      <c r="Y20" s="1113">
        <f t="shared" si="58"/>
        <v>-6.6</v>
      </c>
      <c r="Z20" s="1113">
        <f t="shared" si="59"/>
        <v>7.1</v>
      </c>
      <c r="AA20" s="1113">
        <f t="shared" si="60"/>
        <v>2.2999999999999998</v>
      </c>
      <c r="AB20" s="1113">
        <f t="shared" si="60"/>
        <v>3.9</v>
      </c>
      <c r="AC20" s="1113">
        <f t="shared" si="60"/>
        <v>-2.4</v>
      </c>
      <c r="AD20" s="1113">
        <f t="shared" si="60"/>
        <v>2.8</v>
      </c>
      <c r="AE20" s="1113">
        <f t="shared" si="60"/>
        <v>3.5</v>
      </c>
      <c r="AF20" s="1113">
        <f t="shared" si="60"/>
        <v>3.5</v>
      </c>
    </row>
    <row r="21" spans="1:32">
      <c r="A21" s="89">
        <v>204</v>
      </c>
      <c r="B21" s="90" t="s">
        <v>184</v>
      </c>
      <c r="C21" s="75">
        <f>'7H18'!C19</f>
        <v>1148424</v>
      </c>
      <c r="D21" s="75">
        <f>'8H19'!C19</f>
        <v>1141491</v>
      </c>
      <c r="E21" s="75">
        <f>'9H20'!C19</f>
        <v>1201250</v>
      </c>
      <c r="F21" s="75">
        <f>'10H21'!C19</f>
        <v>1231982</v>
      </c>
      <c r="G21" s="737">
        <f>'11H22'!C19</f>
        <v>1299577</v>
      </c>
      <c r="H21" s="737">
        <f>'12H23'!C19</f>
        <v>1287120</v>
      </c>
      <c r="I21" s="75">
        <f>'13H24'!C19</f>
        <v>1270506</v>
      </c>
      <c r="J21" s="75">
        <f>'14H25'!C19</f>
        <v>1335513</v>
      </c>
      <c r="K21" s="75">
        <f>'15H26'!C19</f>
        <v>1324680</v>
      </c>
      <c r="L21" s="75">
        <f>'16H27'!C19</f>
        <v>1411171</v>
      </c>
      <c r="M21" s="75">
        <f>'17H28'!C19</f>
        <v>1403765</v>
      </c>
      <c r="N21" s="75">
        <f>'18H29'!C19</f>
        <v>1442289</v>
      </c>
      <c r="O21" s="75">
        <f>'19H30'!C19</f>
        <v>1446183</v>
      </c>
      <c r="P21" s="75">
        <f>'20R1'!C19</f>
        <v>1451518</v>
      </c>
      <c r="Q21" s="75">
        <f>'21R2'!C19</f>
        <v>1416580</v>
      </c>
      <c r="R21" s="456">
        <f>'22R3'!C19</f>
        <v>1451238</v>
      </c>
      <c r="S21" s="456">
        <f>'23R4'!C19</f>
        <v>1470374</v>
      </c>
      <c r="T21" s="456">
        <f>'24R5'!C19</f>
        <v>1519935</v>
      </c>
      <c r="U21" s="491">
        <f>'25R6'!C19</f>
        <v>1738491</v>
      </c>
      <c r="V21" s="491">
        <f>'26R7'!C19</f>
        <v>1948678</v>
      </c>
      <c r="W21" s="491">
        <f>'27R8'!C19</f>
        <v>2019889</v>
      </c>
      <c r="X21" s="491">
        <f>'28R9'!C19</f>
        <v>2039098</v>
      </c>
      <c r="Y21" s="1113">
        <f t="shared" si="58"/>
        <v>-2.4</v>
      </c>
      <c r="Z21" s="1113">
        <f t="shared" si="59"/>
        <v>2.4</v>
      </c>
      <c r="AA21" s="1113">
        <f t="shared" si="60"/>
        <v>1.3</v>
      </c>
      <c r="AB21" s="1113">
        <f t="shared" si="60"/>
        <v>3.4</v>
      </c>
      <c r="AC21" s="1113">
        <f t="shared" si="60"/>
        <v>14.4</v>
      </c>
      <c r="AD21" s="1113">
        <f t="shared" si="60"/>
        <v>12.1</v>
      </c>
      <c r="AE21" s="1113">
        <f t="shared" si="60"/>
        <v>3.7</v>
      </c>
      <c r="AF21" s="1113">
        <f t="shared" si="60"/>
        <v>1</v>
      </c>
    </row>
    <row r="22" spans="1:32">
      <c r="A22" s="89">
        <v>206</v>
      </c>
      <c r="B22" s="90" t="s">
        <v>185</v>
      </c>
      <c r="C22" s="75">
        <f>'7H18'!C20</f>
        <v>194920</v>
      </c>
      <c r="D22" s="75">
        <f>'8H19'!C20</f>
        <v>189967</v>
      </c>
      <c r="E22" s="75">
        <f>'9H20'!C20</f>
        <v>196682</v>
      </c>
      <c r="F22" s="75">
        <f>'10H21'!C20</f>
        <v>210218</v>
      </c>
      <c r="G22" s="737">
        <f>'11H22'!C20</f>
        <v>223839</v>
      </c>
      <c r="H22" s="737">
        <f>'12H23'!C20</f>
        <v>206011</v>
      </c>
      <c r="I22" s="75">
        <f>'13H24'!C20</f>
        <v>206473</v>
      </c>
      <c r="J22" s="75">
        <f>'14H25'!C20</f>
        <v>221026</v>
      </c>
      <c r="K22" s="75">
        <f>'15H26'!C20</f>
        <v>208908</v>
      </c>
      <c r="L22" s="75">
        <f>'16H27'!C20</f>
        <v>235703</v>
      </c>
      <c r="M22" s="75">
        <f>'17H28'!C20</f>
        <v>222270</v>
      </c>
      <c r="N22" s="75">
        <f>'18H29'!C20</f>
        <v>232029</v>
      </c>
      <c r="O22" s="75">
        <f>'19H30'!C20</f>
        <v>224119</v>
      </c>
      <c r="P22" s="75">
        <f>'20R1'!C20</f>
        <v>232903</v>
      </c>
      <c r="Q22" s="75">
        <f>'21R2'!C20</f>
        <v>228157</v>
      </c>
      <c r="R22" s="456">
        <f>'22R3'!C20</f>
        <v>233204</v>
      </c>
      <c r="S22" s="456">
        <f>'23R4'!C20</f>
        <v>237767</v>
      </c>
      <c r="T22" s="456">
        <f>'24R5'!C20</f>
        <v>252238</v>
      </c>
      <c r="U22" s="491">
        <f>'25R6'!C20</f>
        <v>350119</v>
      </c>
      <c r="V22" s="491">
        <f>'26R7'!C20</f>
        <v>415912</v>
      </c>
      <c r="W22" s="491">
        <f>'27R8'!C20</f>
        <v>422559</v>
      </c>
      <c r="X22" s="491">
        <f>'28R9'!C20</f>
        <v>426903</v>
      </c>
      <c r="Y22" s="1113">
        <f t="shared" si="58"/>
        <v>-2</v>
      </c>
      <c r="Z22" s="1113">
        <f t="shared" si="59"/>
        <v>2.2000000000000002</v>
      </c>
      <c r="AA22" s="1113">
        <f t="shared" si="60"/>
        <v>2</v>
      </c>
      <c r="AB22" s="1113">
        <f t="shared" si="60"/>
        <v>6.1</v>
      </c>
      <c r="AC22" s="1113">
        <f t="shared" si="60"/>
        <v>38.799999999999997</v>
      </c>
      <c r="AD22" s="1113">
        <f t="shared" si="60"/>
        <v>18.8</v>
      </c>
      <c r="AE22" s="1113">
        <f t="shared" si="60"/>
        <v>1.6</v>
      </c>
      <c r="AF22" s="1113">
        <f t="shared" si="60"/>
        <v>1</v>
      </c>
    </row>
    <row r="23" spans="1:32">
      <c r="A23" s="92">
        <v>2</v>
      </c>
      <c r="B23" s="65" t="s">
        <v>186</v>
      </c>
      <c r="C23" s="75">
        <f>'7H18'!C21</f>
        <v>1858761</v>
      </c>
      <c r="D23" s="75">
        <f>'8H19'!C21</f>
        <v>1835755</v>
      </c>
      <c r="E23" s="75">
        <f>'9H20'!C21</f>
        <v>1850269</v>
      </c>
      <c r="F23" s="75">
        <f>'10H21'!C21</f>
        <v>1896926</v>
      </c>
      <c r="G23" s="737">
        <f>'11H22'!C21</f>
        <v>1981804</v>
      </c>
      <c r="H23" s="737">
        <f>'12H23'!C21</f>
        <v>1916235</v>
      </c>
      <c r="I23" s="75">
        <f>'13H24'!C21</f>
        <v>1951839</v>
      </c>
      <c r="J23" s="75">
        <f>'14H25'!C21</f>
        <v>1969036</v>
      </c>
      <c r="K23" s="75">
        <f>'15H26'!C21</f>
        <v>1950165</v>
      </c>
      <c r="L23" s="75">
        <f>'16H27'!C21</f>
        <v>2053609</v>
      </c>
      <c r="M23" s="75">
        <f>'17H28'!C21</f>
        <v>2143401</v>
      </c>
      <c r="N23" s="75">
        <f>'18H29'!C21</f>
        <v>2115268</v>
      </c>
      <c r="O23" s="75">
        <f>'19H30'!C21</f>
        <v>2107783</v>
      </c>
      <c r="P23" s="75">
        <f>'20R1'!C21</f>
        <v>2072364</v>
      </c>
      <c r="Q23" s="75">
        <f>'21R2'!C21</f>
        <v>2047222</v>
      </c>
      <c r="R23" s="456">
        <f>'22R3'!C21</f>
        <v>2206039</v>
      </c>
      <c r="S23" s="456">
        <f>'23R4'!C21</f>
        <v>2267467</v>
      </c>
      <c r="T23" s="456">
        <f>'24R5'!C21</f>
        <v>2397898</v>
      </c>
      <c r="U23" s="491">
        <f>'25R6'!C21</f>
        <v>2619097</v>
      </c>
      <c r="V23" s="491">
        <f>'26R7'!C21</f>
        <v>3131557</v>
      </c>
      <c r="W23" s="491">
        <f>'27R8'!C21</f>
        <v>3402636</v>
      </c>
      <c r="X23" s="491">
        <f>'28R9'!C21</f>
        <v>3537070</v>
      </c>
      <c r="Y23" s="1113">
        <f t="shared" si="58"/>
        <v>-1.2</v>
      </c>
      <c r="Z23" s="1113">
        <f t="shared" si="59"/>
        <v>7.8</v>
      </c>
      <c r="AA23" s="1113">
        <f t="shared" si="60"/>
        <v>2.8</v>
      </c>
      <c r="AB23" s="1113">
        <f t="shared" si="60"/>
        <v>5.8</v>
      </c>
      <c r="AC23" s="1113">
        <f t="shared" si="60"/>
        <v>9.1999999999999993</v>
      </c>
      <c r="AD23" s="1113">
        <f t="shared" si="60"/>
        <v>19.600000000000001</v>
      </c>
      <c r="AE23" s="1113">
        <f t="shared" si="60"/>
        <v>8.6999999999999993</v>
      </c>
      <c r="AF23" s="1113">
        <f t="shared" si="60"/>
        <v>4</v>
      </c>
    </row>
    <row r="24" spans="1:32">
      <c r="A24" s="89">
        <v>207</v>
      </c>
      <c r="B24" s="90" t="s">
        <v>187</v>
      </c>
      <c r="C24" s="75">
        <f>'7H18'!C22</f>
        <v>647096</v>
      </c>
      <c r="D24" s="75">
        <f>'8H19'!C22</f>
        <v>647525</v>
      </c>
      <c r="E24" s="75">
        <f>'9H20'!C22</f>
        <v>625498</v>
      </c>
      <c r="F24" s="75">
        <f>'10H21'!C22</f>
        <v>608917</v>
      </c>
      <c r="G24" s="737">
        <f>'11H22'!C22</f>
        <v>649233</v>
      </c>
      <c r="H24" s="737">
        <f>'12H23'!C22</f>
        <v>639450</v>
      </c>
      <c r="I24" s="75">
        <f>'13H24'!C22</f>
        <v>636622</v>
      </c>
      <c r="J24" s="75">
        <f>'14H25'!C22</f>
        <v>670849</v>
      </c>
      <c r="K24" s="75">
        <f>'15H26'!C22</f>
        <v>676888</v>
      </c>
      <c r="L24" s="75">
        <f>'16H27'!C22</f>
        <v>694796</v>
      </c>
      <c r="M24" s="75">
        <f>'17H28'!C22</f>
        <v>730525</v>
      </c>
      <c r="N24" s="75">
        <f>'18H29'!C22</f>
        <v>710880</v>
      </c>
      <c r="O24" s="75">
        <f>'19H30'!C22</f>
        <v>706440</v>
      </c>
      <c r="P24" s="75">
        <f>'20R1'!C22</f>
        <v>699526</v>
      </c>
      <c r="Q24" s="75">
        <f>'21R2'!C22</f>
        <v>708582</v>
      </c>
      <c r="R24" s="456">
        <f>'22R3'!C22</f>
        <v>779947</v>
      </c>
      <c r="S24" s="456">
        <f>'23R4'!C22</f>
        <v>783875</v>
      </c>
      <c r="T24" s="456">
        <f>'24R5'!C22</f>
        <v>808108</v>
      </c>
      <c r="U24" s="491">
        <f>'25R6'!C22</f>
        <v>797975</v>
      </c>
      <c r="V24" s="491">
        <f>'26R7'!C22</f>
        <v>916571</v>
      </c>
      <c r="W24" s="491">
        <f>'27R8'!C22</f>
        <v>956710</v>
      </c>
      <c r="X24" s="491">
        <f>'28R9'!C22</f>
        <v>1001855</v>
      </c>
      <c r="Y24" s="1113">
        <f t="shared" si="58"/>
        <v>1.3</v>
      </c>
      <c r="Z24" s="1113">
        <f t="shared" si="59"/>
        <v>10.1</v>
      </c>
      <c r="AA24" s="1113">
        <f t="shared" si="60"/>
        <v>0.5</v>
      </c>
      <c r="AB24" s="1113">
        <f t="shared" si="60"/>
        <v>3.1</v>
      </c>
      <c r="AC24" s="1113">
        <f t="shared" si="60"/>
        <v>-1.3</v>
      </c>
      <c r="AD24" s="1113">
        <f t="shared" si="60"/>
        <v>14.9</v>
      </c>
      <c r="AE24" s="1113">
        <f t="shared" si="60"/>
        <v>4.4000000000000004</v>
      </c>
      <c r="AF24" s="1113">
        <f t="shared" si="60"/>
        <v>4.7</v>
      </c>
    </row>
    <row r="25" spans="1:32">
      <c r="A25" s="89">
        <v>214</v>
      </c>
      <c r="B25" s="90" t="s">
        <v>188</v>
      </c>
      <c r="C25" s="75">
        <f>'7H18'!C23</f>
        <v>456473</v>
      </c>
      <c r="D25" s="75">
        <f>'8H19'!C23</f>
        <v>427951</v>
      </c>
      <c r="E25" s="75">
        <f>'9H20'!C23</f>
        <v>444942</v>
      </c>
      <c r="F25" s="75">
        <f>'10H21'!C23</f>
        <v>484088</v>
      </c>
      <c r="G25" s="737">
        <f>'11H22'!C23</f>
        <v>479985</v>
      </c>
      <c r="H25" s="737">
        <f>'12H23'!C23</f>
        <v>450860</v>
      </c>
      <c r="I25" s="75">
        <f>'13H24'!C23</f>
        <v>453519</v>
      </c>
      <c r="J25" s="75">
        <f>'14H25'!C23</f>
        <v>468431</v>
      </c>
      <c r="K25" s="75">
        <f>'15H26'!C23</f>
        <v>466094</v>
      </c>
      <c r="L25" s="75">
        <f>'16H27'!C23</f>
        <v>488652</v>
      </c>
      <c r="M25" s="75">
        <f>'17H28'!C23</f>
        <v>490527</v>
      </c>
      <c r="N25" s="75">
        <f>'18H29'!C23</f>
        <v>494082</v>
      </c>
      <c r="O25" s="75">
        <f>'19H30'!C23</f>
        <v>500797</v>
      </c>
      <c r="P25" s="75">
        <f>'20R1'!C23</f>
        <v>496141</v>
      </c>
      <c r="Q25" s="75">
        <f>'21R2'!C23</f>
        <v>479974</v>
      </c>
      <c r="R25" s="456">
        <f>'22R3'!C23</f>
        <v>497227</v>
      </c>
      <c r="S25" s="456">
        <f>'23R4'!C23</f>
        <v>507141</v>
      </c>
      <c r="T25" s="456">
        <f>'24R5'!C23</f>
        <v>524511</v>
      </c>
      <c r="U25" s="491">
        <f>'25R6'!C23</f>
        <v>708330</v>
      </c>
      <c r="V25" s="491">
        <f>'26R7'!C23</f>
        <v>886371</v>
      </c>
      <c r="W25" s="491">
        <f>'27R8'!C23</f>
        <v>939055</v>
      </c>
      <c r="X25" s="491">
        <f>'28R9'!C23</f>
        <v>944369</v>
      </c>
      <c r="Y25" s="1113">
        <f t="shared" si="58"/>
        <v>-3.3</v>
      </c>
      <c r="Z25" s="1113">
        <f t="shared" si="59"/>
        <v>3.6</v>
      </c>
      <c r="AA25" s="1113">
        <f t="shared" si="60"/>
        <v>2</v>
      </c>
      <c r="AB25" s="1113">
        <f t="shared" si="60"/>
        <v>3.4</v>
      </c>
      <c r="AC25" s="1113">
        <f t="shared" si="60"/>
        <v>35</v>
      </c>
      <c r="AD25" s="1113">
        <f t="shared" si="60"/>
        <v>25.1</v>
      </c>
      <c r="AE25" s="1113">
        <f t="shared" si="60"/>
        <v>5.9</v>
      </c>
      <c r="AF25" s="1113">
        <f t="shared" si="60"/>
        <v>0.6</v>
      </c>
    </row>
    <row r="26" spans="1:32">
      <c r="A26" s="89">
        <v>217</v>
      </c>
      <c r="B26" s="90" t="s">
        <v>189</v>
      </c>
      <c r="C26" s="75">
        <f>'7H18'!C24</f>
        <v>301541</v>
      </c>
      <c r="D26" s="75">
        <f>'8H19'!C24</f>
        <v>298975</v>
      </c>
      <c r="E26" s="75">
        <f>'9H20'!C24</f>
        <v>304752</v>
      </c>
      <c r="F26" s="75">
        <f>'10H21'!C24</f>
        <v>317979</v>
      </c>
      <c r="G26" s="737">
        <f>'11H22'!C24</f>
        <v>332830</v>
      </c>
      <c r="H26" s="737">
        <f>'12H23'!C24</f>
        <v>322287</v>
      </c>
      <c r="I26" s="75">
        <f>'13H24'!C24</f>
        <v>334721</v>
      </c>
      <c r="J26" s="75">
        <f>'14H25'!C24</f>
        <v>324653</v>
      </c>
      <c r="K26" s="75">
        <f>'15H26'!C24</f>
        <v>329234</v>
      </c>
      <c r="L26" s="75">
        <f>'16H27'!C24</f>
        <v>334662</v>
      </c>
      <c r="M26" s="75">
        <f>'17H28'!C24</f>
        <v>341864</v>
      </c>
      <c r="N26" s="75">
        <f>'18H29'!C24</f>
        <v>349402</v>
      </c>
      <c r="O26" s="75">
        <f>'19H30'!C24</f>
        <v>359555</v>
      </c>
      <c r="P26" s="75">
        <f>'20R1'!C24</f>
        <v>357084</v>
      </c>
      <c r="Q26" s="75">
        <f>'21R2'!C24</f>
        <v>345655</v>
      </c>
      <c r="R26" s="456">
        <f>'22R3'!C24</f>
        <v>353632</v>
      </c>
      <c r="S26" s="456">
        <f>'23R4'!C24</f>
        <v>361724</v>
      </c>
      <c r="T26" s="456">
        <f>'24R5'!C24</f>
        <v>376258</v>
      </c>
      <c r="U26" s="491">
        <f>'25R6'!C24</f>
        <v>484521</v>
      </c>
      <c r="V26" s="491">
        <f>'26R7'!C24</f>
        <v>593686</v>
      </c>
      <c r="W26" s="491">
        <f>'27R8'!C24</f>
        <v>630372</v>
      </c>
      <c r="X26" s="491">
        <f>'28R9'!C24</f>
        <v>642989</v>
      </c>
      <c r="Y26" s="1113">
        <f t="shared" si="58"/>
        <v>-3.2</v>
      </c>
      <c r="Z26" s="1113">
        <f t="shared" si="59"/>
        <v>2.2999999999999998</v>
      </c>
      <c r="AA26" s="1113">
        <f t="shared" si="60"/>
        <v>2.2999999999999998</v>
      </c>
      <c r="AB26" s="1113">
        <f t="shared" si="60"/>
        <v>4</v>
      </c>
      <c r="AC26" s="1113">
        <f t="shared" si="60"/>
        <v>28.8</v>
      </c>
      <c r="AD26" s="1113">
        <f t="shared" si="60"/>
        <v>22.5</v>
      </c>
      <c r="AE26" s="1113">
        <f t="shared" si="60"/>
        <v>6.2</v>
      </c>
      <c r="AF26" s="1113">
        <f t="shared" si="60"/>
        <v>2</v>
      </c>
    </row>
    <row r="27" spans="1:32">
      <c r="A27" s="89">
        <v>219</v>
      </c>
      <c r="B27" s="90" t="s">
        <v>190</v>
      </c>
      <c r="C27" s="75">
        <f>'7H18'!C25</f>
        <v>391000</v>
      </c>
      <c r="D27" s="75">
        <f>'8H19'!C25</f>
        <v>403570</v>
      </c>
      <c r="E27" s="75">
        <f>'9H20'!C25</f>
        <v>415426</v>
      </c>
      <c r="F27" s="75">
        <f>'10H21'!C25</f>
        <v>423131</v>
      </c>
      <c r="G27" s="737">
        <f>'11H22'!C25</f>
        <v>456136</v>
      </c>
      <c r="H27" s="737">
        <f>'12H23'!C25</f>
        <v>442677</v>
      </c>
      <c r="I27" s="75">
        <f>'13H24'!C25</f>
        <v>466383</v>
      </c>
      <c r="J27" s="75">
        <f>'14H25'!C25</f>
        <v>442900</v>
      </c>
      <c r="K27" s="75">
        <f>'15H26'!C25</f>
        <v>415559</v>
      </c>
      <c r="L27" s="75">
        <f>'16H27'!C25</f>
        <v>470402</v>
      </c>
      <c r="M27" s="75">
        <f>'17H28'!C25</f>
        <v>516303</v>
      </c>
      <c r="N27" s="75">
        <f>'18H29'!C25</f>
        <v>494336</v>
      </c>
      <c r="O27" s="75">
        <f>'19H30'!C25</f>
        <v>478020</v>
      </c>
      <c r="P27" s="75">
        <f>'20R1'!C25</f>
        <v>456238</v>
      </c>
      <c r="Q27" s="75">
        <f>'21R2'!C25</f>
        <v>450240</v>
      </c>
      <c r="R27" s="456">
        <f>'22R3'!C25</f>
        <v>510967</v>
      </c>
      <c r="S27" s="456">
        <f>'23R4'!C25</f>
        <v>550341</v>
      </c>
      <c r="T27" s="456">
        <f>'24R5'!C25</f>
        <v>621907</v>
      </c>
      <c r="U27" s="491">
        <f>'25R6'!C25</f>
        <v>513949</v>
      </c>
      <c r="V27" s="491">
        <f>'26R7'!C25</f>
        <v>519223</v>
      </c>
      <c r="W27" s="491">
        <f>'27R8'!C25</f>
        <v>515372</v>
      </c>
      <c r="X27" s="491">
        <f>'28R9'!C25</f>
        <v>527934</v>
      </c>
      <c r="Y27" s="1113">
        <f t="shared" si="58"/>
        <v>-1.3</v>
      </c>
      <c r="Z27" s="1113">
        <f t="shared" si="59"/>
        <v>13.5</v>
      </c>
      <c r="AA27" s="1113">
        <f t="shared" si="60"/>
        <v>7.7</v>
      </c>
      <c r="AB27" s="1113">
        <f t="shared" si="60"/>
        <v>13</v>
      </c>
      <c r="AC27" s="1113">
        <f t="shared" si="60"/>
        <v>-17.399999999999999</v>
      </c>
      <c r="AD27" s="1113">
        <f t="shared" si="60"/>
        <v>1</v>
      </c>
      <c r="AE27" s="1113">
        <f t="shared" si="60"/>
        <v>-0.7</v>
      </c>
      <c r="AF27" s="1113">
        <f t="shared" si="60"/>
        <v>2.4</v>
      </c>
    </row>
    <row r="28" spans="1:32">
      <c r="A28" s="89">
        <v>301</v>
      </c>
      <c r="B28" s="90" t="s">
        <v>191</v>
      </c>
      <c r="C28" s="75">
        <f>'7H18'!C26</f>
        <v>62651</v>
      </c>
      <c r="D28" s="75">
        <f>'8H19'!C26</f>
        <v>57734</v>
      </c>
      <c r="E28" s="75">
        <f>'9H20'!C26</f>
        <v>59651</v>
      </c>
      <c r="F28" s="75">
        <f>'10H21'!C26</f>
        <v>62811</v>
      </c>
      <c r="G28" s="737">
        <f>'11H22'!C26</f>
        <v>63620</v>
      </c>
      <c r="H28" s="737">
        <f>'12H23'!C26</f>
        <v>60961</v>
      </c>
      <c r="I28" s="75">
        <f>'13H24'!C26</f>
        <v>60594</v>
      </c>
      <c r="J28" s="75">
        <f>'14H25'!C26</f>
        <v>62203</v>
      </c>
      <c r="K28" s="75">
        <f>'15H26'!C26</f>
        <v>62390</v>
      </c>
      <c r="L28" s="75">
        <f>'16H27'!C26</f>
        <v>65097</v>
      </c>
      <c r="M28" s="75">
        <f>'17H28'!C26</f>
        <v>64182</v>
      </c>
      <c r="N28" s="75">
        <f>'18H29'!C26</f>
        <v>66568</v>
      </c>
      <c r="O28" s="75">
        <f>'19H30'!C26</f>
        <v>62971</v>
      </c>
      <c r="P28" s="75">
        <f>'20R1'!C26</f>
        <v>63375</v>
      </c>
      <c r="Q28" s="75">
        <f>'21R2'!C26</f>
        <v>62771</v>
      </c>
      <c r="R28" s="456">
        <f>'22R3'!C26</f>
        <v>64266</v>
      </c>
      <c r="S28" s="456">
        <f>'23R4'!C26</f>
        <v>64386</v>
      </c>
      <c r="T28" s="456">
        <f>'24R5'!C26</f>
        <v>67114</v>
      </c>
      <c r="U28" s="491">
        <f>'25R6'!C26</f>
        <v>114322</v>
      </c>
      <c r="V28" s="491">
        <f>'26R7'!C26</f>
        <v>215706</v>
      </c>
      <c r="W28" s="491">
        <f>'27R8'!C26</f>
        <v>361127</v>
      </c>
      <c r="X28" s="491">
        <f>'28R9'!C26</f>
        <v>419923</v>
      </c>
      <c r="Y28" s="1113">
        <f t="shared" si="58"/>
        <v>-1</v>
      </c>
      <c r="Z28" s="1113">
        <f t="shared" si="59"/>
        <v>2.4</v>
      </c>
      <c r="AA28" s="1113">
        <f t="shared" si="60"/>
        <v>0.2</v>
      </c>
      <c r="AB28" s="1113">
        <f t="shared" si="60"/>
        <v>4.2</v>
      </c>
      <c r="AC28" s="1113">
        <f t="shared" si="60"/>
        <v>70.3</v>
      </c>
      <c r="AD28" s="1113">
        <f t="shared" si="60"/>
        <v>88.7</v>
      </c>
      <c r="AE28" s="1113">
        <f t="shared" si="60"/>
        <v>67.400000000000006</v>
      </c>
      <c r="AF28" s="1113">
        <f t="shared" si="60"/>
        <v>16.3</v>
      </c>
    </row>
    <row r="29" spans="1:32">
      <c r="A29" s="92">
        <v>3</v>
      </c>
      <c r="B29" s="65" t="s">
        <v>192</v>
      </c>
      <c r="C29" s="75">
        <f>'7H18'!C27</f>
        <v>2752357</v>
      </c>
      <c r="D29" s="75">
        <f>'8H19'!C27</f>
        <v>2807437</v>
      </c>
      <c r="E29" s="75">
        <f>'9H20'!C27</f>
        <v>2959266</v>
      </c>
      <c r="F29" s="75">
        <f>'10H21'!C27</f>
        <v>2756065</v>
      </c>
      <c r="G29" s="737">
        <f>'11H22'!C27</f>
        <v>2871866</v>
      </c>
      <c r="H29" s="737">
        <f>'12H23'!C27</f>
        <v>2589684</v>
      </c>
      <c r="I29" s="75">
        <f>'13H24'!C27</f>
        <v>2742033</v>
      </c>
      <c r="J29" s="75">
        <f>'14H25'!C27</f>
        <v>2788089</v>
      </c>
      <c r="K29" s="75">
        <f>'15H26'!C27</f>
        <v>2821463</v>
      </c>
      <c r="L29" s="75">
        <f>'16H27'!C27</f>
        <v>2957502</v>
      </c>
      <c r="M29" s="75">
        <f>'17H28'!C27</f>
        <v>2909491</v>
      </c>
      <c r="N29" s="75">
        <f>'18H29'!C27</f>
        <v>2926149</v>
      </c>
      <c r="O29" s="75">
        <f>'19H30'!C27</f>
        <v>2965443</v>
      </c>
      <c r="P29" s="75">
        <f>'20R1'!C27</f>
        <v>3002259</v>
      </c>
      <c r="Q29" s="75">
        <f>'21R2'!C27</f>
        <v>2971362</v>
      </c>
      <c r="R29" s="456">
        <f>'22R3'!C27</f>
        <v>2960193</v>
      </c>
      <c r="S29" s="456">
        <f>'23R4'!C27</f>
        <v>3191504</v>
      </c>
      <c r="T29" s="456">
        <f>'24R5'!C27</f>
        <v>3149681</v>
      </c>
      <c r="U29" s="491">
        <f>'25R6'!C27</f>
        <v>3229129</v>
      </c>
      <c r="V29" s="491">
        <f>'26R7'!C27</f>
        <v>3510935</v>
      </c>
      <c r="W29" s="491">
        <f>'27R8'!C27</f>
        <v>3646400</v>
      </c>
      <c r="X29" s="491">
        <f>'28R9'!C27</f>
        <v>3732853</v>
      </c>
      <c r="Y29" s="1113">
        <f t="shared" si="58"/>
        <v>-1</v>
      </c>
      <c r="Z29" s="1113">
        <f t="shared" si="59"/>
        <v>-0.4</v>
      </c>
      <c r="AA29" s="1113">
        <f t="shared" si="60"/>
        <v>7.8</v>
      </c>
      <c r="AB29" s="1113">
        <f t="shared" si="60"/>
        <v>-1.3</v>
      </c>
      <c r="AC29" s="1113">
        <f t="shared" si="60"/>
        <v>2.5</v>
      </c>
      <c r="AD29" s="1113">
        <f t="shared" si="60"/>
        <v>8.6999999999999993</v>
      </c>
      <c r="AE29" s="1113">
        <f t="shared" si="60"/>
        <v>3.9</v>
      </c>
      <c r="AF29" s="1113">
        <f t="shared" si="60"/>
        <v>2.4</v>
      </c>
    </row>
    <row r="30" spans="1:32">
      <c r="A30" s="89">
        <v>203</v>
      </c>
      <c r="B30" s="90" t="s">
        <v>193</v>
      </c>
      <c r="C30" s="75">
        <f>'7H18'!C28</f>
        <v>1074423</v>
      </c>
      <c r="D30" s="75">
        <f>'8H19'!C28</f>
        <v>1090361</v>
      </c>
      <c r="E30" s="75">
        <f>'9H20'!C28</f>
        <v>1117352</v>
      </c>
      <c r="F30" s="75">
        <f>'10H21'!C28</f>
        <v>1070357</v>
      </c>
      <c r="G30" s="737">
        <f>'11H22'!C28</f>
        <v>1090335</v>
      </c>
      <c r="H30" s="737">
        <f>'12H23'!C28</f>
        <v>999436</v>
      </c>
      <c r="I30" s="75">
        <f>'13H24'!C28</f>
        <v>1097460</v>
      </c>
      <c r="J30" s="75">
        <f>'14H25'!C28</f>
        <v>1072794</v>
      </c>
      <c r="K30" s="75">
        <f>'15H26'!C28</f>
        <v>1142555</v>
      </c>
      <c r="L30" s="75">
        <f>'16H27'!C28</f>
        <v>1192055</v>
      </c>
      <c r="M30" s="75">
        <f>'17H28'!C28</f>
        <v>1167214</v>
      </c>
      <c r="N30" s="75">
        <f>'18H29'!C28</f>
        <v>1158475</v>
      </c>
      <c r="O30" s="75">
        <f>'19H30'!C28</f>
        <v>1195444</v>
      </c>
      <c r="P30" s="75">
        <f>'20R1'!C28</f>
        <v>1215341</v>
      </c>
      <c r="Q30" s="75">
        <f>'21R2'!C28</f>
        <v>1167367</v>
      </c>
      <c r="R30" s="456">
        <f>'22R3'!C28</f>
        <v>1145352</v>
      </c>
      <c r="S30" s="456">
        <f>'23R4'!C28</f>
        <v>1271090</v>
      </c>
      <c r="T30" s="456">
        <f>'24R5'!C28</f>
        <v>1305615</v>
      </c>
      <c r="U30" s="491">
        <f>'25R6'!C28</f>
        <v>1273475</v>
      </c>
      <c r="V30" s="491">
        <f>'26R7'!C28</f>
        <v>1397646</v>
      </c>
      <c r="W30" s="491">
        <f>'27R8'!C28</f>
        <v>1509306</v>
      </c>
      <c r="X30" s="491">
        <f>'28R9'!C28</f>
        <v>1546643</v>
      </c>
      <c r="Y30" s="1113">
        <f t="shared" si="58"/>
        <v>-3.9</v>
      </c>
      <c r="Z30" s="1113">
        <f t="shared" si="59"/>
        <v>-1.9</v>
      </c>
      <c r="AA30" s="1113">
        <f t="shared" si="60"/>
        <v>11</v>
      </c>
      <c r="AB30" s="1113">
        <f t="shared" si="60"/>
        <v>2.7</v>
      </c>
      <c r="AC30" s="1113">
        <f t="shared" si="60"/>
        <v>-2.5</v>
      </c>
      <c r="AD30" s="1113">
        <f t="shared" si="60"/>
        <v>9.8000000000000007</v>
      </c>
      <c r="AE30" s="1113">
        <f t="shared" si="60"/>
        <v>8</v>
      </c>
      <c r="AF30" s="1113">
        <f t="shared" si="60"/>
        <v>2.5</v>
      </c>
    </row>
    <row r="31" spans="1:32">
      <c r="A31" s="89">
        <v>210</v>
      </c>
      <c r="B31" s="90" t="s">
        <v>194</v>
      </c>
      <c r="C31" s="75">
        <f>'7H18'!C29</f>
        <v>855038</v>
      </c>
      <c r="D31" s="75">
        <f>'8H19'!C29</f>
        <v>881971</v>
      </c>
      <c r="E31" s="75">
        <f>'9H20'!C29</f>
        <v>935443</v>
      </c>
      <c r="F31" s="75">
        <f>'10H21'!C29</f>
        <v>789683</v>
      </c>
      <c r="G31" s="737">
        <f>'11H22'!C29</f>
        <v>857731</v>
      </c>
      <c r="H31" s="737">
        <f>'12H23'!C29</f>
        <v>739650</v>
      </c>
      <c r="I31" s="75">
        <f>'13H24'!C29</f>
        <v>736939</v>
      </c>
      <c r="J31" s="75">
        <f>'14H25'!C29</f>
        <v>802766</v>
      </c>
      <c r="K31" s="75">
        <f>'15H26'!C29</f>
        <v>805895</v>
      </c>
      <c r="L31" s="75">
        <f>'16H27'!C29</f>
        <v>823001</v>
      </c>
      <c r="M31" s="75">
        <f>'17H28'!C29</f>
        <v>857657</v>
      </c>
      <c r="N31" s="75">
        <f>'18H29'!C29</f>
        <v>876650</v>
      </c>
      <c r="O31" s="75">
        <f>'19H30'!C29</f>
        <v>893962</v>
      </c>
      <c r="P31" s="75">
        <f>'20R1'!C29</f>
        <v>895719</v>
      </c>
      <c r="Q31" s="75">
        <f>'21R2'!C29</f>
        <v>856308</v>
      </c>
      <c r="R31" s="456">
        <f>'22R3'!C29</f>
        <v>844748</v>
      </c>
      <c r="S31" s="456">
        <f>'23R4'!C29</f>
        <v>855033</v>
      </c>
      <c r="T31" s="456">
        <f>'24R5'!C29</f>
        <v>871548</v>
      </c>
      <c r="U31" s="491">
        <f>'25R6'!C29</f>
        <v>1058835</v>
      </c>
      <c r="V31" s="491">
        <f>'26R7'!C29</f>
        <v>1184209</v>
      </c>
      <c r="W31" s="491">
        <f>'27R8'!C29</f>
        <v>1232680</v>
      </c>
      <c r="X31" s="491">
        <f>'28R9'!C29</f>
        <v>1250563</v>
      </c>
      <c r="Y31" s="1113">
        <f t="shared" si="58"/>
        <v>-4.4000000000000004</v>
      </c>
      <c r="Z31" s="1113">
        <f t="shared" si="59"/>
        <v>-1.3</v>
      </c>
      <c r="AA31" s="1113">
        <f t="shared" si="60"/>
        <v>1.2</v>
      </c>
      <c r="AB31" s="1113">
        <f t="shared" si="60"/>
        <v>1.9</v>
      </c>
      <c r="AC31" s="1113">
        <f t="shared" si="60"/>
        <v>21.5</v>
      </c>
      <c r="AD31" s="1113">
        <f t="shared" si="60"/>
        <v>11.8</v>
      </c>
      <c r="AE31" s="1113">
        <f t="shared" si="60"/>
        <v>4.0999999999999996</v>
      </c>
      <c r="AF31" s="1113">
        <f t="shared" si="60"/>
        <v>1.5</v>
      </c>
    </row>
    <row r="32" spans="1:32">
      <c r="A32" s="89">
        <v>216</v>
      </c>
      <c r="B32" s="90" t="s">
        <v>195</v>
      </c>
      <c r="C32" s="75">
        <f>'7H18'!C30</f>
        <v>549521</v>
      </c>
      <c r="D32" s="75">
        <f>'8H19'!C30</f>
        <v>564004</v>
      </c>
      <c r="E32" s="75">
        <f>'9H20'!C30</f>
        <v>622431</v>
      </c>
      <c r="F32" s="75">
        <f>'10H21'!C30</f>
        <v>620977</v>
      </c>
      <c r="G32" s="737">
        <f>'11H22'!C30</f>
        <v>659678</v>
      </c>
      <c r="H32" s="737">
        <f>'12H23'!C30</f>
        <v>581852</v>
      </c>
      <c r="I32" s="75">
        <f>'13H24'!C30</f>
        <v>611942</v>
      </c>
      <c r="J32" s="75">
        <f>'14H25'!C30</f>
        <v>611137</v>
      </c>
      <c r="K32" s="75">
        <f>'15H26'!C30</f>
        <v>545767</v>
      </c>
      <c r="L32" s="75">
        <f>'16H27'!C30</f>
        <v>591869</v>
      </c>
      <c r="M32" s="75">
        <f>'17H28'!C30</f>
        <v>547207</v>
      </c>
      <c r="N32" s="75">
        <f>'18H29'!C30</f>
        <v>539158</v>
      </c>
      <c r="O32" s="75">
        <f>'19H30'!C30</f>
        <v>518240</v>
      </c>
      <c r="P32" s="75">
        <f>'20R1'!C30</f>
        <v>532214</v>
      </c>
      <c r="Q32" s="75">
        <f>'21R2'!C30</f>
        <v>587926</v>
      </c>
      <c r="R32" s="456">
        <f>'22R3'!C30</f>
        <v>551596</v>
      </c>
      <c r="S32" s="456">
        <f>'23R4'!C30</f>
        <v>609404</v>
      </c>
      <c r="T32" s="456">
        <f>'24R5'!C30</f>
        <v>526778</v>
      </c>
      <c r="U32" s="491">
        <f>'25R6'!C30</f>
        <v>535458</v>
      </c>
      <c r="V32" s="491">
        <f>'26R7'!C30</f>
        <v>580819</v>
      </c>
      <c r="W32" s="491">
        <f>'27R8'!C30</f>
        <v>581166</v>
      </c>
      <c r="X32" s="491">
        <f>'28R9'!C30</f>
        <v>602447</v>
      </c>
      <c r="Y32" s="1113">
        <f t="shared" si="58"/>
        <v>10.5</v>
      </c>
      <c r="Z32" s="1113">
        <f t="shared" si="59"/>
        <v>-6.2</v>
      </c>
      <c r="AA32" s="1113">
        <f t="shared" si="60"/>
        <v>10.5</v>
      </c>
      <c r="AB32" s="1113">
        <f t="shared" si="60"/>
        <v>-13.6</v>
      </c>
      <c r="AC32" s="1113">
        <f t="shared" si="60"/>
        <v>1.6</v>
      </c>
      <c r="AD32" s="1113">
        <f t="shared" si="60"/>
        <v>8.5</v>
      </c>
      <c r="AE32" s="1113">
        <f t="shared" si="60"/>
        <v>0.1</v>
      </c>
      <c r="AF32" s="1113">
        <f t="shared" si="60"/>
        <v>3.7</v>
      </c>
    </row>
    <row r="33" spans="1:32">
      <c r="A33" s="89">
        <v>381</v>
      </c>
      <c r="B33" s="90" t="s">
        <v>196</v>
      </c>
      <c r="C33" s="75">
        <f>'7H18'!C31</f>
        <v>140398</v>
      </c>
      <c r="D33" s="75">
        <f>'8H19'!C31</f>
        <v>141826</v>
      </c>
      <c r="E33" s="75">
        <f>'9H20'!C31</f>
        <v>142304</v>
      </c>
      <c r="F33" s="75">
        <f>'10H21'!C31</f>
        <v>131222</v>
      </c>
      <c r="G33" s="737">
        <f>'11H22'!C31</f>
        <v>141245</v>
      </c>
      <c r="H33" s="737">
        <f>'12H23'!C31</f>
        <v>149532</v>
      </c>
      <c r="I33" s="75">
        <f>'13H24'!C31</f>
        <v>159509</v>
      </c>
      <c r="J33" s="75">
        <f>'14H25'!C31</f>
        <v>165275</v>
      </c>
      <c r="K33" s="75">
        <f>'15H26'!C31</f>
        <v>171112</v>
      </c>
      <c r="L33" s="75">
        <f>'16H27'!C31</f>
        <v>190785</v>
      </c>
      <c r="M33" s="75">
        <f>'17H28'!C31</f>
        <v>177828</v>
      </c>
      <c r="N33" s="75">
        <f>'18H29'!C31</f>
        <v>183799</v>
      </c>
      <c r="O33" s="75">
        <f>'19H30'!C31</f>
        <v>182715</v>
      </c>
      <c r="P33" s="75">
        <f>'20R1'!C31</f>
        <v>175742</v>
      </c>
      <c r="Q33" s="75">
        <f>'21R2'!C31</f>
        <v>151068</v>
      </c>
      <c r="R33" s="456">
        <f>'22R3'!C31</f>
        <v>169263</v>
      </c>
      <c r="S33" s="456">
        <f>'23R4'!C31</f>
        <v>171319</v>
      </c>
      <c r="T33" s="456">
        <f>'24R5'!C31</f>
        <v>174738</v>
      </c>
      <c r="U33" s="491">
        <f>'25R6'!C31</f>
        <v>158087</v>
      </c>
      <c r="V33" s="491">
        <f>'26R7'!C31</f>
        <v>145959</v>
      </c>
      <c r="W33" s="491">
        <f>'27R8'!C31</f>
        <v>136191</v>
      </c>
      <c r="X33" s="491">
        <f>'28R9'!C31</f>
        <v>139510</v>
      </c>
      <c r="Y33" s="1113">
        <f t="shared" si="58"/>
        <v>-14</v>
      </c>
      <c r="Z33" s="1113">
        <f t="shared" si="59"/>
        <v>12</v>
      </c>
      <c r="AA33" s="1113">
        <f t="shared" si="60"/>
        <v>1.2</v>
      </c>
      <c r="AB33" s="1113">
        <f t="shared" si="60"/>
        <v>2</v>
      </c>
      <c r="AC33" s="1113">
        <f t="shared" si="60"/>
        <v>-9.5</v>
      </c>
      <c r="AD33" s="1113">
        <f t="shared" si="60"/>
        <v>-7.7</v>
      </c>
      <c r="AE33" s="1113">
        <f t="shared" si="60"/>
        <v>-6.7</v>
      </c>
      <c r="AF33" s="1113">
        <f t="shared" si="60"/>
        <v>2.4</v>
      </c>
    </row>
    <row r="34" spans="1:32">
      <c r="A34" s="89">
        <v>382</v>
      </c>
      <c r="B34" s="90" t="s">
        <v>197</v>
      </c>
      <c r="C34" s="75">
        <f>'7H18'!C32</f>
        <v>132977</v>
      </c>
      <c r="D34" s="75">
        <f>'8H19'!C32</f>
        <v>129275</v>
      </c>
      <c r="E34" s="75">
        <f>'9H20'!C32</f>
        <v>141736</v>
      </c>
      <c r="F34" s="75">
        <f>'10H21'!C32</f>
        <v>143826</v>
      </c>
      <c r="G34" s="737">
        <f>'11H22'!C32</f>
        <v>122877</v>
      </c>
      <c r="H34" s="737">
        <f>'12H23'!C32</f>
        <v>119214</v>
      </c>
      <c r="I34" s="75">
        <f>'13H24'!C32</f>
        <v>136183</v>
      </c>
      <c r="J34" s="75">
        <f>'14H25'!C32</f>
        <v>136117</v>
      </c>
      <c r="K34" s="75">
        <f>'15H26'!C32</f>
        <v>156134</v>
      </c>
      <c r="L34" s="75">
        <f>'16H27'!C32</f>
        <v>159792</v>
      </c>
      <c r="M34" s="75">
        <f>'17H28'!C32</f>
        <v>159585</v>
      </c>
      <c r="N34" s="75">
        <f>'18H29'!C32</f>
        <v>168067</v>
      </c>
      <c r="O34" s="75">
        <f>'19H30'!C32</f>
        <v>175082</v>
      </c>
      <c r="P34" s="75">
        <f>'20R1'!C32</f>
        <v>183243</v>
      </c>
      <c r="Q34" s="75">
        <f>'21R2'!C32</f>
        <v>208693</v>
      </c>
      <c r="R34" s="456">
        <f>'22R3'!C32</f>
        <v>249234</v>
      </c>
      <c r="S34" s="456">
        <f>'23R4'!C32</f>
        <v>284658</v>
      </c>
      <c r="T34" s="456">
        <f>'24R5'!C32</f>
        <v>271002</v>
      </c>
      <c r="U34" s="491">
        <f>'25R6'!C32</f>
        <v>203274</v>
      </c>
      <c r="V34" s="491">
        <f>'26R7'!C32</f>
        <v>202302</v>
      </c>
      <c r="W34" s="491">
        <f>'27R8'!C32</f>
        <v>187057</v>
      </c>
      <c r="X34" s="491">
        <f>'28R9'!C32</f>
        <v>193690</v>
      </c>
      <c r="Y34" s="1113">
        <f t="shared" si="58"/>
        <v>13.9</v>
      </c>
      <c r="Z34" s="1113">
        <f t="shared" si="59"/>
        <v>19.399999999999999</v>
      </c>
      <c r="AA34" s="1113">
        <f t="shared" si="60"/>
        <v>14.2</v>
      </c>
      <c r="AB34" s="1113">
        <f t="shared" si="60"/>
        <v>-4.8</v>
      </c>
      <c r="AC34" s="1113">
        <f t="shared" si="60"/>
        <v>-25</v>
      </c>
      <c r="AD34" s="1113">
        <f t="shared" si="60"/>
        <v>-0.5</v>
      </c>
      <c r="AE34" s="1113">
        <f t="shared" si="60"/>
        <v>-7.5</v>
      </c>
      <c r="AF34" s="1113">
        <f t="shared" si="60"/>
        <v>3.5</v>
      </c>
    </row>
    <row r="35" spans="1:32">
      <c r="A35" s="92">
        <v>4</v>
      </c>
      <c r="B35" s="91" t="s">
        <v>198</v>
      </c>
      <c r="C35" s="75">
        <f>'7H18'!C33</f>
        <v>1166063</v>
      </c>
      <c r="D35" s="75">
        <f>'8H19'!C33</f>
        <v>1147763</v>
      </c>
      <c r="E35" s="75">
        <f>'9H20'!C33</f>
        <v>1186285</v>
      </c>
      <c r="F35" s="75">
        <f>'10H21'!C33</f>
        <v>1222708</v>
      </c>
      <c r="G35" s="737">
        <f>'11H22'!C33</f>
        <v>1240812</v>
      </c>
      <c r="H35" s="737">
        <f>'12H23'!C33</f>
        <v>1113960</v>
      </c>
      <c r="I35" s="75">
        <f>'13H24'!C33</f>
        <v>1094656</v>
      </c>
      <c r="J35" s="75">
        <f>'14H25'!C33</f>
        <v>1151557</v>
      </c>
      <c r="K35" s="75">
        <f>'15H26'!C33</f>
        <v>1151163</v>
      </c>
      <c r="L35" s="75">
        <f>'16H27'!C33</f>
        <v>1197785</v>
      </c>
      <c r="M35" s="75">
        <f>'17H28'!C33</f>
        <v>1259561</v>
      </c>
      <c r="N35" s="75">
        <f>'18H29'!C33</f>
        <v>1311666</v>
      </c>
      <c r="O35" s="75">
        <f>'19H30'!C33</f>
        <v>1296507</v>
      </c>
      <c r="P35" s="75">
        <f>'20R1'!C33</f>
        <v>1310283</v>
      </c>
      <c r="Q35" s="75">
        <f>'21R2'!C33</f>
        <v>1299522</v>
      </c>
      <c r="R35" s="456">
        <f>'22R3'!C33</f>
        <v>1319932</v>
      </c>
      <c r="S35" s="456">
        <f>'23R4'!C33</f>
        <v>1305298</v>
      </c>
      <c r="T35" s="456">
        <f>'24R5'!C33</f>
        <v>1356148</v>
      </c>
      <c r="U35" s="491">
        <f>'25R6'!C33</f>
        <v>1322637</v>
      </c>
      <c r="V35" s="491">
        <f>'26R7'!C33</f>
        <v>1279789</v>
      </c>
      <c r="W35" s="491">
        <f>'27R8'!C33</f>
        <v>1250042</v>
      </c>
      <c r="X35" s="491">
        <f>'28R9'!C33</f>
        <v>1275031</v>
      </c>
      <c r="Y35" s="1113">
        <f t="shared" si="58"/>
        <v>-0.8</v>
      </c>
      <c r="Z35" s="1113">
        <f t="shared" si="59"/>
        <v>1.6</v>
      </c>
      <c r="AA35" s="1113">
        <f t="shared" si="60"/>
        <v>-1.1000000000000001</v>
      </c>
      <c r="AB35" s="1113">
        <f t="shared" si="60"/>
        <v>3.9</v>
      </c>
      <c r="AC35" s="1113">
        <f t="shared" si="60"/>
        <v>-2.5</v>
      </c>
      <c r="AD35" s="1113">
        <f t="shared" si="60"/>
        <v>-3.2</v>
      </c>
      <c r="AE35" s="1113">
        <f t="shared" si="60"/>
        <v>-2.2999999999999998</v>
      </c>
      <c r="AF35" s="1113">
        <f t="shared" si="60"/>
        <v>2</v>
      </c>
    </row>
    <row r="36" spans="1:32">
      <c r="A36" s="92">
        <v>213</v>
      </c>
      <c r="B36" s="92" t="s">
        <v>231</v>
      </c>
      <c r="C36" s="75">
        <f>'7H18'!C34</f>
        <v>157665</v>
      </c>
      <c r="D36" s="75">
        <f>'8H19'!C34</f>
        <v>158484</v>
      </c>
      <c r="E36" s="75">
        <f>'9H20'!C34</f>
        <v>157261</v>
      </c>
      <c r="F36" s="75">
        <f>'10H21'!C34</f>
        <v>161988</v>
      </c>
      <c r="G36" s="737">
        <f>'11H22'!C34</f>
        <v>163148</v>
      </c>
      <c r="H36" s="737">
        <f>'12H23'!C34</f>
        <v>130104</v>
      </c>
      <c r="I36" s="75">
        <f>'13H24'!C34</f>
        <v>130538</v>
      </c>
      <c r="J36" s="75">
        <f>'14H25'!C34</f>
        <v>147240</v>
      </c>
      <c r="K36" s="75">
        <f>'15H26'!C34</f>
        <v>135004</v>
      </c>
      <c r="L36" s="75">
        <f>'16H27'!C34</f>
        <v>145088</v>
      </c>
      <c r="M36" s="75">
        <f>'17H28'!C34</f>
        <v>143006</v>
      </c>
      <c r="N36" s="75">
        <f>'18H29'!C34</f>
        <v>142540</v>
      </c>
      <c r="O36" s="75">
        <f>'19H30'!C34</f>
        <v>142474</v>
      </c>
      <c r="P36" s="75">
        <f>'20R1'!C34</f>
        <v>151432</v>
      </c>
      <c r="Q36" s="75">
        <f>'21R2'!C34</f>
        <v>145709</v>
      </c>
      <c r="R36" s="456">
        <f>'22R3'!C34</f>
        <v>147171</v>
      </c>
      <c r="S36" s="456">
        <f>'23R4'!C34</f>
        <v>151172</v>
      </c>
      <c r="T36" s="456">
        <f>'24R5'!C34</f>
        <v>159346</v>
      </c>
      <c r="U36" s="491">
        <f>'25R6'!C34</f>
        <v>164018</v>
      </c>
      <c r="V36" s="491">
        <f>'26R7'!C34</f>
        <v>160180</v>
      </c>
      <c r="W36" s="491">
        <f>'27R8'!C34</f>
        <v>145257</v>
      </c>
      <c r="X36" s="491">
        <f>'28R9'!C34</f>
        <v>141966</v>
      </c>
      <c r="Y36" s="1113">
        <f t="shared" si="58"/>
        <v>-3.8</v>
      </c>
      <c r="Z36" s="1113">
        <f t="shared" si="59"/>
        <v>1</v>
      </c>
      <c r="AA36" s="1113">
        <f t="shared" si="60"/>
        <v>2.7</v>
      </c>
      <c r="AB36" s="1113">
        <f t="shared" si="60"/>
        <v>5.4</v>
      </c>
      <c r="AC36" s="1113">
        <f t="shared" si="60"/>
        <v>2.9</v>
      </c>
      <c r="AD36" s="1113">
        <f t="shared" si="60"/>
        <v>-2.2999999999999998</v>
      </c>
      <c r="AE36" s="1113">
        <f t="shared" si="60"/>
        <v>-9.3000000000000007</v>
      </c>
      <c r="AF36" s="1113">
        <f t="shared" si="60"/>
        <v>-2.2999999999999998</v>
      </c>
    </row>
    <row r="37" spans="1:32">
      <c r="A37" s="92">
        <v>215</v>
      </c>
      <c r="B37" s="92" t="s">
        <v>232</v>
      </c>
      <c r="C37" s="75">
        <f>'7H18'!C35</f>
        <v>276471</v>
      </c>
      <c r="D37" s="75">
        <f>'8H19'!C35</f>
        <v>274588</v>
      </c>
      <c r="E37" s="75">
        <f>'9H20'!C35</f>
        <v>283836</v>
      </c>
      <c r="F37" s="75">
        <f>'10H21'!C35</f>
        <v>288809</v>
      </c>
      <c r="G37" s="737">
        <f>'11H22'!C35</f>
        <v>291567</v>
      </c>
      <c r="H37" s="737">
        <f>'12H23'!C35</f>
        <v>264140</v>
      </c>
      <c r="I37" s="75">
        <f>'13H24'!C35</f>
        <v>264402</v>
      </c>
      <c r="J37" s="75">
        <f>'14H25'!C35</f>
        <v>269658</v>
      </c>
      <c r="K37" s="75">
        <f>'15H26'!C35</f>
        <v>264450</v>
      </c>
      <c r="L37" s="75">
        <f>'16H27'!C35</f>
        <v>285171</v>
      </c>
      <c r="M37" s="75">
        <f>'17H28'!C35</f>
        <v>296589</v>
      </c>
      <c r="N37" s="75">
        <f>'18H29'!C35</f>
        <v>304827</v>
      </c>
      <c r="O37" s="75">
        <f>'19H30'!C35</f>
        <v>308410</v>
      </c>
      <c r="P37" s="75">
        <f>'20R1'!C35</f>
        <v>308956</v>
      </c>
      <c r="Q37" s="75">
        <f>'21R2'!C35</f>
        <v>316527</v>
      </c>
      <c r="R37" s="456">
        <f>'22R3'!C35</f>
        <v>321348</v>
      </c>
      <c r="S37" s="456">
        <f>'23R4'!C35</f>
        <v>323795</v>
      </c>
      <c r="T37" s="456">
        <f>'24R5'!C35</f>
        <v>330552</v>
      </c>
      <c r="U37" s="491">
        <f>'25R6'!C35</f>
        <v>335571</v>
      </c>
      <c r="V37" s="491">
        <f>'26R7'!C35</f>
        <v>336496</v>
      </c>
      <c r="W37" s="491">
        <f>'27R8'!C35</f>
        <v>330234</v>
      </c>
      <c r="X37" s="491">
        <f>'28R9'!C35</f>
        <v>335789</v>
      </c>
      <c r="Y37" s="1113">
        <f t="shared" si="58"/>
        <v>2.5</v>
      </c>
      <c r="Z37" s="1113">
        <f t="shared" si="59"/>
        <v>1.5</v>
      </c>
      <c r="AA37" s="1113">
        <f t="shared" si="60"/>
        <v>0.8</v>
      </c>
      <c r="AB37" s="1113">
        <f t="shared" si="60"/>
        <v>2.1</v>
      </c>
      <c r="AC37" s="1113">
        <f t="shared" si="60"/>
        <v>1.5</v>
      </c>
      <c r="AD37" s="1113">
        <f t="shared" si="60"/>
        <v>0.3</v>
      </c>
      <c r="AE37" s="1113">
        <f t="shared" si="60"/>
        <v>-1.9</v>
      </c>
      <c r="AF37" s="1113">
        <f t="shared" si="60"/>
        <v>1.7</v>
      </c>
    </row>
    <row r="38" spans="1:32">
      <c r="A38" s="89">
        <v>218</v>
      </c>
      <c r="B38" s="90" t="s">
        <v>200</v>
      </c>
      <c r="C38" s="75">
        <f>'7H18'!C36</f>
        <v>219000</v>
      </c>
      <c r="D38" s="75">
        <f>'8H19'!C36</f>
        <v>217416</v>
      </c>
      <c r="E38" s="75">
        <f>'9H20'!C36</f>
        <v>231387</v>
      </c>
      <c r="F38" s="75">
        <f>'10H21'!C36</f>
        <v>235141</v>
      </c>
      <c r="G38" s="737">
        <f>'11H22'!C36</f>
        <v>239102</v>
      </c>
      <c r="H38" s="737">
        <f>'12H23'!C36</f>
        <v>221050</v>
      </c>
      <c r="I38" s="75">
        <f>'13H24'!C36</f>
        <v>206492</v>
      </c>
      <c r="J38" s="75">
        <f>'14H25'!C36</f>
        <v>229833</v>
      </c>
      <c r="K38" s="75">
        <f>'15H26'!C36</f>
        <v>237918</v>
      </c>
      <c r="L38" s="75">
        <f>'16H27'!C36</f>
        <v>255875</v>
      </c>
      <c r="M38" s="75">
        <f>'17H28'!C36</f>
        <v>253099</v>
      </c>
      <c r="N38" s="75">
        <f>'18H29'!C36</f>
        <v>261597</v>
      </c>
      <c r="O38" s="75">
        <f>'19H30'!C36</f>
        <v>263985</v>
      </c>
      <c r="P38" s="75">
        <f>'20R1'!C36</f>
        <v>263822</v>
      </c>
      <c r="Q38" s="75">
        <f>'21R2'!C36</f>
        <v>252856</v>
      </c>
      <c r="R38" s="456">
        <f>'22R3'!C36</f>
        <v>259802</v>
      </c>
      <c r="S38" s="456">
        <f>'23R4'!C36</f>
        <v>263214</v>
      </c>
      <c r="T38" s="456">
        <f>'24R5'!C36</f>
        <v>296481</v>
      </c>
      <c r="U38" s="491">
        <f>'25R6'!C36</f>
        <v>262245</v>
      </c>
      <c r="V38" s="491">
        <f>'26R7'!C36</f>
        <v>244293</v>
      </c>
      <c r="W38" s="491">
        <f>'27R8'!C36</f>
        <v>242545</v>
      </c>
      <c r="X38" s="491">
        <f>'28R9'!C36</f>
        <v>256364</v>
      </c>
      <c r="Y38" s="1113">
        <f t="shared" si="58"/>
        <v>-4.2</v>
      </c>
      <c r="Z38" s="1113">
        <f t="shared" si="59"/>
        <v>2.7</v>
      </c>
      <c r="AA38" s="1113">
        <f t="shared" si="60"/>
        <v>1.3</v>
      </c>
      <c r="AB38" s="1113">
        <f t="shared" si="60"/>
        <v>12.6</v>
      </c>
      <c r="AC38" s="1113">
        <f t="shared" si="60"/>
        <v>-11.5</v>
      </c>
      <c r="AD38" s="1113">
        <f t="shared" si="60"/>
        <v>-6.8</v>
      </c>
      <c r="AE38" s="1113">
        <f t="shared" si="60"/>
        <v>-0.7</v>
      </c>
      <c r="AF38" s="1113">
        <f t="shared" si="60"/>
        <v>5.7</v>
      </c>
    </row>
    <row r="39" spans="1:32">
      <c r="A39" s="89">
        <v>220</v>
      </c>
      <c r="B39" s="90" t="s">
        <v>201</v>
      </c>
      <c r="C39" s="75">
        <f>'7H18'!C37</f>
        <v>192381</v>
      </c>
      <c r="D39" s="75">
        <f>'8H19'!C37</f>
        <v>194447</v>
      </c>
      <c r="E39" s="75">
        <f>'9H20'!C37</f>
        <v>200138</v>
      </c>
      <c r="F39" s="75">
        <f>'10H21'!C37</f>
        <v>213474</v>
      </c>
      <c r="G39" s="737">
        <f>'11H22'!C37</f>
        <v>209561</v>
      </c>
      <c r="H39" s="737">
        <f>'12H23'!C37</f>
        <v>197739</v>
      </c>
      <c r="I39" s="75">
        <f>'13H24'!C37</f>
        <v>201820</v>
      </c>
      <c r="J39" s="75">
        <f>'14H25'!C37</f>
        <v>212877</v>
      </c>
      <c r="K39" s="75">
        <f>'15H26'!C37</f>
        <v>203411</v>
      </c>
      <c r="L39" s="75">
        <f>'16H27'!C37</f>
        <v>210687</v>
      </c>
      <c r="M39" s="75">
        <f>'17H28'!C37</f>
        <v>229804</v>
      </c>
      <c r="N39" s="75">
        <f>'18H29'!C37</f>
        <v>252140</v>
      </c>
      <c r="O39" s="75">
        <f>'19H30'!C37</f>
        <v>254849</v>
      </c>
      <c r="P39" s="75">
        <f>'20R1'!C37</f>
        <v>247086</v>
      </c>
      <c r="Q39" s="75">
        <f>'21R2'!C37</f>
        <v>234697</v>
      </c>
      <c r="R39" s="456">
        <f>'22R3'!C37</f>
        <v>254100</v>
      </c>
      <c r="S39" s="456">
        <f>'23R4'!C37</f>
        <v>245023</v>
      </c>
      <c r="T39" s="456">
        <f>'24R5'!C37</f>
        <v>257009</v>
      </c>
      <c r="U39" s="491">
        <f>'25R6'!C37</f>
        <v>235745</v>
      </c>
      <c r="V39" s="491">
        <f>'26R7'!C37</f>
        <v>223957</v>
      </c>
      <c r="W39" s="491">
        <f>'27R8'!C37</f>
        <v>220674</v>
      </c>
      <c r="X39" s="491">
        <f>'28R9'!C37</f>
        <v>224403</v>
      </c>
      <c r="Y39" s="1113">
        <f t="shared" si="58"/>
        <v>-5</v>
      </c>
      <c r="Z39" s="1113">
        <f t="shared" si="59"/>
        <v>8.3000000000000007</v>
      </c>
      <c r="AA39" s="1113">
        <f t="shared" si="60"/>
        <v>-3.6</v>
      </c>
      <c r="AB39" s="1113">
        <f t="shared" si="60"/>
        <v>4.9000000000000004</v>
      </c>
      <c r="AC39" s="1113">
        <f t="shared" si="60"/>
        <v>-8.3000000000000007</v>
      </c>
      <c r="AD39" s="1113">
        <f t="shared" si="60"/>
        <v>-5</v>
      </c>
      <c r="AE39" s="1113">
        <f t="shared" si="60"/>
        <v>-1.5</v>
      </c>
      <c r="AF39" s="1113">
        <f t="shared" si="60"/>
        <v>1.7</v>
      </c>
    </row>
    <row r="40" spans="1:32">
      <c r="A40" s="89">
        <v>228</v>
      </c>
      <c r="B40" s="90" t="s">
        <v>239</v>
      </c>
      <c r="C40" s="75">
        <f>'7H18'!C38</f>
        <v>256338</v>
      </c>
      <c r="D40" s="75">
        <f>'8H19'!C38</f>
        <v>240348</v>
      </c>
      <c r="E40" s="75">
        <f>'9H20'!C38</f>
        <v>249999</v>
      </c>
      <c r="F40" s="75">
        <f>'10H21'!C38</f>
        <v>262980</v>
      </c>
      <c r="G40" s="737">
        <f>'11H22'!C38</f>
        <v>275253</v>
      </c>
      <c r="H40" s="737">
        <f>'12H23'!C38</f>
        <v>238158</v>
      </c>
      <c r="I40" s="75">
        <f>'13H24'!C38</f>
        <v>230443</v>
      </c>
      <c r="J40" s="75">
        <f>'14H25'!C38</f>
        <v>229509</v>
      </c>
      <c r="K40" s="75">
        <f>'15H26'!C38</f>
        <v>247072</v>
      </c>
      <c r="L40" s="75">
        <f>'16H27'!C38</f>
        <v>235214</v>
      </c>
      <c r="M40" s="75">
        <f>'17H28'!C38</f>
        <v>269639</v>
      </c>
      <c r="N40" s="75">
        <f>'18H29'!C38</f>
        <v>282184</v>
      </c>
      <c r="O40" s="75">
        <f>'19H30'!C38</f>
        <v>260978</v>
      </c>
      <c r="P40" s="75">
        <f>'20R1'!C38</f>
        <v>273058</v>
      </c>
      <c r="Q40" s="75">
        <f>'21R2'!C38</f>
        <v>283315</v>
      </c>
      <c r="R40" s="456">
        <f>'22R3'!C38</f>
        <v>268493</v>
      </c>
      <c r="S40" s="456">
        <f>'23R4'!C38</f>
        <v>248836</v>
      </c>
      <c r="T40" s="456">
        <f>'24R5'!C38</f>
        <v>239288</v>
      </c>
      <c r="U40" s="491">
        <f>'25R6'!C38</f>
        <v>245983</v>
      </c>
      <c r="V40" s="491">
        <f>'26R7'!C38</f>
        <v>232062</v>
      </c>
      <c r="W40" s="491">
        <f>'27R8'!C38</f>
        <v>220393</v>
      </c>
      <c r="X40" s="491">
        <f>'28R9'!C38</f>
        <v>221635</v>
      </c>
      <c r="Y40" s="1113">
        <f t="shared" si="58"/>
        <v>3.8</v>
      </c>
      <c r="Z40" s="1113">
        <f t="shared" si="59"/>
        <v>-5.2</v>
      </c>
      <c r="AA40" s="1113">
        <f t="shared" si="60"/>
        <v>-7.3</v>
      </c>
      <c r="AB40" s="1113">
        <f t="shared" si="60"/>
        <v>-3.8</v>
      </c>
      <c r="AC40" s="1113">
        <f t="shared" si="60"/>
        <v>2.8</v>
      </c>
      <c r="AD40" s="1113">
        <f t="shared" si="60"/>
        <v>-5.7</v>
      </c>
      <c r="AE40" s="1113">
        <f t="shared" si="60"/>
        <v>-5</v>
      </c>
      <c r="AF40" s="1113">
        <f t="shared" si="60"/>
        <v>0.6</v>
      </c>
    </row>
    <row r="41" spans="1:32">
      <c r="A41" s="89">
        <v>365</v>
      </c>
      <c r="B41" s="90" t="s">
        <v>233</v>
      </c>
      <c r="C41" s="75">
        <f>'7H18'!C39</f>
        <v>64208</v>
      </c>
      <c r="D41" s="75">
        <f>'8H19'!C39</f>
        <v>62480</v>
      </c>
      <c r="E41" s="75">
        <f>'9H20'!C39</f>
        <v>63664</v>
      </c>
      <c r="F41" s="75">
        <f>'10H21'!C39</f>
        <v>60316</v>
      </c>
      <c r="G41" s="737">
        <f>'11H22'!C39</f>
        <v>62181</v>
      </c>
      <c r="H41" s="737">
        <f>'12H23'!C39</f>
        <v>62769</v>
      </c>
      <c r="I41" s="75">
        <f>'13H24'!C39</f>
        <v>60961</v>
      </c>
      <c r="J41" s="75">
        <f>'14H25'!C39</f>
        <v>62440</v>
      </c>
      <c r="K41" s="75">
        <f>'15H26'!C39</f>
        <v>63308</v>
      </c>
      <c r="L41" s="75">
        <f>'16H27'!C39</f>
        <v>65750</v>
      </c>
      <c r="M41" s="75">
        <f>'17H28'!C39</f>
        <v>67424</v>
      </c>
      <c r="N41" s="75">
        <f>'18H29'!C39</f>
        <v>68378</v>
      </c>
      <c r="O41" s="75">
        <f>'19H30'!C39</f>
        <v>65811</v>
      </c>
      <c r="P41" s="75">
        <f>'20R1'!C39</f>
        <v>65929</v>
      </c>
      <c r="Q41" s="75">
        <f>'21R2'!C39</f>
        <v>66418</v>
      </c>
      <c r="R41" s="456">
        <f>'22R3'!C39</f>
        <v>69018</v>
      </c>
      <c r="S41" s="456">
        <f>'23R4'!C39</f>
        <v>73258</v>
      </c>
      <c r="T41" s="456">
        <f>'24R5'!C39</f>
        <v>73472</v>
      </c>
      <c r="U41" s="491">
        <f>'25R6'!C39</f>
        <v>79075</v>
      </c>
      <c r="V41" s="491">
        <f>'26R7'!C39</f>
        <v>82801</v>
      </c>
      <c r="W41" s="491">
        <f>'27R8'!C39</f>
        <v>90939</v>
      </c>
      <c r="X41" s="491">
        <f>'28R9'!C39</f>
        <v>94874</v>
      </c>
      <c r="Y41" s="1113">
        <f t="shared" si="58"/>
        <v>0.7</v>
      </c>
      <c r="Z41" s="1113">
        <f t="shared" si="59"/>
        <v>3.9</v>
      </c>
      <c r="AA41" s="1113">
        <f t="shared" si="60"/>
        <v>6.1</v>
      </c>
      <c r="AB41" s="1113">
        <f t="shared" si="60"/>
        <v>0.3</v>
      </c>
      <c r="AC41" s="1113">
        <f t="shared" si="60"/>
        <v>7.6</v>
      </c>
      <c r="AD41" s="1113">
        <f t="shared" si="60"/>
        <v>4.7</v>
      </c>
      <c r="AE41" s="1113">
        <f t="shared" si="60"/>
        <v>9.8000000000000007</v>
      </c>
      <c r="AF41" s="1113">
        <f t="shared" si="60"/>
        <v>4.3</v>
      </c>
    </row>
    <row r="42" spans="1:32">
      <c r="A42" s="92">
        <v>5</v>
      </c>
      <c r="B42" s="91" t="s">
        <v>202</v>
      </c>
      <c r="C42" s="75">
        <f>'7H18'!C40</f>
        <v>2515903</v>
      </c>
      <c r="D42" s="75">
        <f>'8H19'!C40</f>
        <v>2479569</v>
      </c>
      <c r="E42" s="75">
        <f>'9H20'!C40</f>
        <v>2681065</v>
      </c>
      <c r="F42" s="75">
        <f>'10H21'!C40</f>
        <v>2529549</v>
      </c>
      <c r="G42" s="737">
        <f>'11H22'!C40</f>
        <v>2700289</v>
      </c>
      <c r="H42" s="737">
        <f>'12H23'!C40</f>
        <v>2382248</v>
      </c>
      <c r="I42" s="75">
        <f>'13H24'!C40</f>
        <v>2318281</v>
      </c>
      <c r="J42" s="75">
        <f>'14H25'!C40</f>
        <v>2510678</v>
      </c>
      <c r="K42" s="75">
        <f>'15H26'!C40</f>
        <v>2534302</v>
      </c>
      <c r="L42" s="75">
        <f>'16H27'!C40</f>
        <v>2608505</v>
      </c>
      <c r="M42" s="75">
        <f>'17H28'!C40</f>
        <v>2670969</v>
      </c>
      <c r="N42" s="75">
        <f>'18H29'!C40</f>
        <v>2678931</v>
      </c>
      <c r="O42" s="75">
        <f>'19H30'!C40</f>
        <v>2674825</v>
      </c>
      <c r="P42" s="75">
        <f>'20R1'!C40</f>
        <v>2648188</v>
      </c>
      <c r="Q42" s="75">
        <f>'21R2'!C40</f>
        <v>2592307</v>
      </c>
      <c r="R42" s="456">
        <f>'22R3'!C40</f>
        <v>2822650</v>
      </c>
      <c r="S42" s="456">
        <f>'23R4'!C40</f>
        <v>2901482</v>
      </c>
      <c r="T42" s="456">
        <f>'24R5'!C40</f>
        <v>2930515</v>
      </c>
      <c r="U42" s="491">
        <f>'25R6'!C40</f>
        <v>2768310</v>
      </c>
      <c r="V42" s="491">
        <f>'26R7'!C40</f>
        <v>2727648</v>
      </c>
      <c r="W42" s="491">
        <f>'27R8'!C40</f>
        <v>2726270</v>
      </c>
      <c r="X42" s="491">
        <f>'28R9'!C40</f>
        <v>2766933</v>
      </c>
      <c r="Y42" s="1113">
        <f t="shared" si="58"/>
        <v>-2.1</v>
      </c>
      <c r="Z42" s="1113">
        <f t="shared" si="59"/>
        <v>8.9</v>
      </c>
      <c r="AA42" s="1113">
        <f t="shared" si="60"/>
        <v>2.8</v>
      </c>
      <c r="AB42" s="1113">
        <f t="shared" si="60"/>
        <v>1</v>
      </c>
      <c r="AC42" s="1113">
        <f t="shared" si="60"/>
        <v>-5.5</v>
      </c>
      <c r="AD42" s="1113">
        <f t="shared" si="60"/>
        <v>-1.5</v>
      </c>
      <c r="AE42" s="1113">
        <f t="shared" si="60"/>
        <v>-0.1</v>
      </c>
      <c r="AF42" s="1113">
        <f t="shared" si="60"/>
        <v>1.5</v>
      </c>
    </row>
    <row r="43" spans="1:32">
      <c r="A43" s="92">
        <v>201</v>
      </c>
      <c r="B43" s="92" t="s">
        <v>240</v>
      </c>
      <c r="C43" s="75">
        <f>'7H18'!C41</f>
        <v>2299388</v>
      </c>
      <c r="D43" s="75">
        <f>'8H19'!C41</f>
        <v>2265006</v>
      </c>
      <c r="E43" s="75">
        <f>'9H20'!C41</f>
        <v>2461077</v>
      </c>
      <c r="F43" s="75">
        <f>'10H21'!C41</f>
        <v>2308385</v>
      </c>
      <c r="G43" s="737">
        <f>'11H22'!C41</f>
        <v>2465019</v>
      </c>
      <c r="H43" s="737">
        <f>'12H23'!C41</f>
        <v>2164871</v>
      </c>
      <c r="I43" s="75">
        <f>'13H24'!C41</f>
        <v>2111731</v>
      </c>
      <c r="J43" s="75">
        <f>'14H25'!C41</f>
        <v>2279755</v>
      </c>
      <c r="K43" s="75">
        <f>'15H26'!C41</f>
        <v>2304890</v>
      </c>
      <c r="L43" s="75">
        <f>'16H27'!C41</f>
        <v>2371505</v>
      </c>
      <c r="M43" s="75">
        <f>'17H28'!C41</f>
        <v>2419072</v>
      </c>
      <c r="N43" s="75">
        <f>'18H29'!C41</f>
        <v>2418958</v>
      </c>
      <c r="O43" s="75">
        <f>'19H30'!C41</f>
        <v>2416021</v>
      </c>
      <c r="P43" s="75">
        <f>'20R1'!C41</f>
        <v>2390528</v>
      </c>
      <c r="Q43" s="75">
        <f>'21R2'!C41</f>
        <v>2346960</v>
      </c>
      <c r="R43" s="456">
        <f>'22R3'!C41</f>
        <v>2570060</v>
      </c>
      <c r="S43" s="456">
        <f>'23R4'!C41</f>
        <v>2634961</v>
      </c>
      <c r="T43" s="456">
        <f>'24R5'!C41</f>
        <v>2656993</v>
      </c>
      <c r="U43" s="491">
        <f>'25R6'!C41</f>
        <v>2516490</v>
      </c>
      <c r="V43" s="491">
        <f>'26R7'!C41</f>
        <v>2494538</v>
      </c>
      <c r="W43" s="491">
        <f>'27R8'!C41</f>
        <v>2499160</v>
      </c>
      <c r="X43" s="491">
        <f>'28R9'!C41</f>
        <v>2537562</v>
      </c>
      <c r="Y43" s="1113">
        <f t="shared" si="58"/>
        <v>-1.8</v>
      </c>
      <c r="Z43" s="1113">
        <f t="shared" si="59"/>
        <v>9.5</v>
      </c>
      <c r="AA43" s="1113">
        <f t="shared" si="60"/>
        <v>2.5</v>
      </c>
      <c r="AB43" s="1113">
        <f t="shared" si="60"/>
        <v>0.8</v>
      </c>
      <c r="AC43" s="1113">
        <f t="shared" si="60"/>
        <v>-5.3</v>
      </c>
      <c r="AD43" s="1113">
        <f t="shared" si="60"/>
        <v>-0.9</v>
      </c>
      <c r="AE43" s="1113">
        <f t="shared" si="60"/>
        <v>0.2</v>
      </c>
      <c r="AF43" s="1113">
        <f t="shared" si="60"/>
        <v>1.5</v>
      </c>
    </row>
    <row r="44" spans="1:32">
      <c r="A44" s="89">
        <v>442</v>
      </c>
      <c r="B44" s="90" t="s">
        <v>203</v>
      </c>
      <c r="C44" s="75">
        <f>'7H18'!C42</f>
        <v>41427</v>
      </c>
      <c r="D44" s="75">
        <f>'8H19'!C42</f>
        <v>39156</v>
      </c>
      <c r="E44" s="75">
        <f>'9H20'!C42</f>
        <v>39000</v>
      </c>
      <c r="F44" s="75">
        <f>'10H21'!C42</f>
        <v>37651</v>
      </c>
      <c r="G44" s="737">
        <f>'11H22'!C42</f>
        <v>35453</v>
      </c>
      <c r="H44" s="737">
        <f>'12H23'!C42</f>
        <v>31844</v>
      </c>
      <c r="I44" s="75">
        <f>'13H24'!C42</f>
        <v>33631</v>
      </c>
      <c r="J44" s="75">
        <f>'14H25'!C42</f>
        <v>36897</v>
      </c>
      <c r="K44" s="75">
        <f>'15H26'!C42</f>
        <v>35406</v>
      </c>
      <c r="L44" s="75">
        <f>'16H27'!C42</f>
        <v>35444</v>
      </c>
      <c r="M44" s="75">
        <f>'17H28'!C42</f>
        <v>37716</v>
      </c>
      <c r="N44" s="75">
        <f>'18H29'!C42</f>
        <v>37794</v>
      </c>
      <c r="O44" s="75">
        <f>'19H30'!C42</f>
        <v>38688</v>
      </c>
      <c r="P44" s="75">
        <f>'20R1'!C42</f>
        <v>39589</v>
      </c>
      <c r="Q44" s="75">
        <f>'21R2'!C42</f>
        <v>38208</v>
      </c>
      <c r="R44" s="456">
        <f>'22R3'!C42</f>
        <v>41972</v>
      </c>
      <c r="S44" s="456">
        <f>'23R4'!C42</f>
        <v>42237</v>
      </c>
      <c r="T44" s="456">
        <f>'24R5'!C42</f>
        <v>44652</v>
      </c>
      <c r="U44" s="491">
        <f>'25R6'!C42</f>
        <v>49317</v>
      </c>
      <c r="V44" s="491">
        <f>'26R7'!C42</f>
        <v>52852</v>
      </c>
      <c r="W44" s="491">
        <f>'27R8'!C42</f>
        <v>52046</v>
      </c>
      <c r="X44" s="491">
        <f>'28R9'!C42</f>
        <v>50531</v>
      </c>
      <c r="Y44" s="1113">
        <f t="shared" si="58"/>
        <v>-3.5</v>
      </c>
      <c r="Z44" s="1113">
        <f t="shared" si="59"/>
        <v>9.9</v>
      </c>
      <c r="AA44" s="1113">
        <f t="shared" si="60"/>
        <v>0.6</v>
      </c>
      <c r="AB44" s="1113">
        <f t="shared" si="60"/>
        <v>5.7</v>
      </c>
      <c r="AC44" s="1113">
        <f t="shared" si="60"/>
        <v>10.4</v>
      </c>
      <c r="AD44" s="1113">
        <f t="shared" si="60"/>
        <v>7.2</v>
      </c>
      <c r="AE44" s="1113">
        <f t="shared" si="60"/>
        <v>-1.5</v>
      </c>
      <c r="AF44" s="1113">
        <f t="shared" si="60"/>
        <v>-2.9</v>
      </c>
    </row>
    <row r="45" spans="1:32">
      <c r="A45" s="89">
        <v>443</v>
      </c>
      <c r="B45" s="90" t="s">
        <v>204</v>
      </c>
      <c r="C45" s="75">
        <f>'7H18'!C43</f>
        <v>140737</v>
      </c>
      <c r="D45" s="75">
        <f>'8H19'!C43</f>
        <v>143204</v>
      </c>
      <c r="E45" s="75">
        <f>'9H20'!C43</f>
        <v>147534</v>
      </c>
      <c r="F45" s="75">
        <f>'10H21'!C43</f>
        <v>148143</v>
      </c>
      <c r="G45" s="737">
        <f>'11H22'!C43</f>
        <v>166121</v>
      </c>
      <c r="H45" s="737">
        <f>'12H23'!C43</f>
        <v>156539</v>
      </c>
      <c r="I45" s="75">
        <f>'13H24'!C43</f>
        <v>145584</v>
      </c>
      <c r="J45" s="75">
        <f>'14H25'!C43</f>
        <v>163726</v>
      </c>
      <c r="K45" s="75">
        <f>'15H26'!C43</f>
        <v>163940</v>
      </c>
      <c r="L45" s="75">
        <f>'16H27'!C43</f>
        <v>169206</v>
      </c>
      <c r="M45" s="75">
        <f>'17H28'!C43</f>
        <v>182330</v>
      </c>
      <c r="N45" s="75">
        <f>'18H29'!C43</f>
        <v>189242</v>
      </c>
      <c r="O45" s="75">
        <f>'19H30'!C43</f>
        <v>187452</v>
      </c>
      <c r="P45" s="75">
        <f>'20R1'!C43</f>
        <v>186340</v>
      </c>
      <c r="Q45" s="75">
        <f>'21R2'!C43</f>
        <v>175405</v>
      </c>
      <c r="R45" s="456">
        <f>'22R3'!C43</f>
        <v>177503</v>
      </c>
      <c r="S45" s="456">
        <f>'23R4'!C43</f>
        <v>188148</v>
      </c>
      <c r="T45" s="456">
        <f>'24R5'!C43</f>
        <v>191258</v>
      </c>
      <c r="U45" s="491">
        <f>'25R6'!C43</f>
        <v>151942</v>
      </c>
      <c r="V45" s="491">
        <f>'26R7'!C43</f>
        <v>122045</v>
      </c>
      <c r="W45" s="491">
        <f>'27R8'!C43</f>
        <v>110318</v>
      </c>
      <c r="X45" s="491">
        <f>'28R9'!C43</f>
        <v>112228</v>
      </c>
      <c r="Y45" s="1113">
        <f t="shared" si="58"/>
        <v>-5.9</v>
      </c>
      <c r="Z45" s="1113">
        <f t="shared" si="59"/>
        <v>1.2</v>
      </c>
      <c r="AA45" s="1113">
        <f t="shared" si="60"/>
        <v>6</v>
      </c>
      <c r="AB45" s="1113">
        <f t="shared" si="60"/>
        <v>1.7</v>
      </c>
      <c r="AC45" s="1113">
        <f t="shared" si="60"/>
        <v>-20.6</v>
      </c>
      <c r="AD45" s="1113">
        <f t="shared" si="60"/>
        <v>-19.7</v>
      </c>
      <c r="AE45" s="1113">
        <f t="shared" si="60"/>
        <v>-9.6</v>
      </c>
      <c r="AF45" s="1113">
        <f t="shared" si="60"/>
        <v>1.7</v>
      </c>
    </row>
    <row r="46" spans="1:32">
      <c r="A46" s="89">
        <v>446</v>
      </c>
      <c r="B46" s="90" t="s">
        <v>234</v>
      </c>
      <c r="C46" s="75">
        <f>'7H18'!C44</f>
        <v>34351</v>
      </c>
      <c r="D46" s="75">
        <f>'8H19'!C44</f>
        <v>32203</v>
      </c>
      <c r="E46" s="75">
        <f>'9H20'!C44</f>
        <v>33454</v>
      </c>
      <c r="F46" s="75">
        <f>'10H21'!C44</f>
        <v>35370</v>
      </c>
      <c r="G46" s="737">
        <f>'11H22'!C44</f>
        <v>33696</v>
      </c>
      <c r="H46" s="737">
        <f>'12H23'!C44</f>
        <v>28994</v>
      </c>
      <c r="I46" s="75">
        <f>'13H24'!C44</f>
        <v>27335</v>
      </c>
      <c r="J46" s="75">
        <f>'14H25'!C44</f>
        <v>30300</v>
      </c>
      <c r="K46" s="75">
        <f>'15H26'!C44</f>
        <v>30066</v>
      </c>
      <c r="L46" s="75">
        <f>'16H27'!C44</f>
        <v>32350</v>
      </c>
      <c r="M46" s="75">
        <f>'17H28'!C44</f>
        <v>31851</v>
      </c>
      <c r="N46" s="75">
        <f>'18H29'!C44</f>
        <v>32937</v>
      </c>
      <c r="O46" s="75">
        <f>'19H30'!C44</f>
        <v>32664</v>
      </c>
      <c r="P46" s="75">
        <f>'20R1'!C44</f>
        <v>31731</v>
      </c>
      <c r="Q46" s="75">
        <f>'21R2'!C44</f>
        <v>31734</v>
      </c>
      <c r="R46" s="456">
        <f>'22R3'!C44</f>
        <v>33115</v>
      </c>
      <c r="S46" s="456">
        <f>'23R4'!C44</f>
        <v>36136</v>
      </c>
      <c r="T46" s="456">
        <f>'24R5'!C44</f>
        <v>37612</v>
      </c>
      <c r="U46" s="491">
        <f>'25R6'!C44</f>
        <v>50561</v>
      </c>
      <c r="V46" s="491">
        <f>'26R7'!C44</f>
        <v>58213</v>
      </c>
      <c r="W46" s="491">
        <f>'27R8'!C44</f>
        <v>64746</v>
      </c>
      <c r="X46" s="491">
        <f>'28R9'!C44</f>
        <v>66612</v>
      </c>
      <c r="Y46" s="1113">
        <f t="shared" si="58"/>
        <v>0</v>
      </c>
      <c r="Z46" s="1113">
        <f t="shared" si="59"/>
        <v>4.4000000000000004</v>
      </c>
      <c r="AA46" s="1113">
        <f t="shared" si="60"/>
        <v>9.1</v>
      </c>
      <c r="AB46" s="1113">
        <f t="shared" si="60"/>
        <v>4.0999999999999996</v>
      </c>
      <c r="AC46" s="1113">
        <f t="shared" si="60"/>
        <v>34.4</v>
      </c>
      <c r="AD46" s="1113">
        <f t="shared" si="60"/>
        <v>15.1</v>
      </c>
      <c r="AE46" s="1113">
        <f t="shared" si="60"/>
        <v>11.2</v>
      </c>
      <c r="AF46" s="1113">
        <f t="shared" si="60"/>
        <v>2.9</v>
      </c>
    </row>
    <row r="47" spans="1:32">
      <c r="A47" s="92">
        <v>6</v>
      </c>
      <c r="B47" s="91" t="s">
        <v>205</v>
      </c>
      <c r="C47" s="75">
        <f>'7H18'!C45</f>
        <v>968752</v>
      </c>
      <c r="D47" s="75">
        <f>'8H19'!C45</f>
        <v>954876</v>
      </c>
      <c r="E47" s="75">
        <f>'9H20'!C45</f>
        <v>964276</v>
      </c>
      <c r="F47" s="75">
        <f>'10H21'!C45</f>
        <v>999083</v>
      </c>
      <c r="G47" s="737">
        <f>'11H22'!C45</f>
        <v>1036995</v>
      </c>
      <c r="H47" s="737">
        <f>'12H23'!C45</f>
        <v>955124</v>
      </c>
      <c r="I47" s="75">
        <f>'13H24'!C45</f>
        <v>956345</v>
      </c>
      <c r="J47" s="75">
        <f>'14H25'!C45</f>
        <v>963483</v>
      </c>
      <c r="K47" s="75">
        <f>'15H26'!C45</f>
        <v>984203</v>
      </c>
      <c r="L47" s="75">
        <f>'16H27'!C45</f>
        <v>1015903</v>
      </c>
      <c r="M47" s="75">
        <f>'17H28'!C45</f>
        <v>1022521</v>
      </c>
      <c r="N47" s="75">
        <f>'18H29'!C45</f>
        <v>1065770</v>
      </c>
      <c r="O47" s="75">
        <f>'19H30'!C45</f>
        <v>1071203</v>
      </c>
      <c r="P47" s="75">
        <f>'20R1'!C45</f>
        <v>1080047</v>
      </c>
      <c r="Q47" s="75">
        <f>'21R2'!C45</f>
        <v>1100471</v>
      </c>
      <c r="R47" s="456">
        <f>'22R3'!C45</f>
        <v>1127246</v>
      </c>
      <c r="S47" s="456">
        <f>'23R4'!C45</f>
        <v>1110408</v>
      </c>
      <c r="T47" s="456">
        <f>'24R5'!C45</f>
        <v>1129678</v>
      </c>
      <c r="U47" s="491">
        <f>'25R6'!C45</f>
        <v>1171474</v>
      </c>
      <c r="V47" s="491">
        <f>'26R7'!C45</f>
        <v>1128143</v>
      </c>
      <c r="W47" s="491">
        <f>'27R8'!C45</f>
        <v>1083061</v>
      </c>
      <c r="X47" s="491">
        <f>'28R9'!C45</f>
        <v>1079919</v>
      </c>
      <c r="Y47" s="1113">
        <f t="shared" si="58"/>
        <v>1.9</v>
      </c>
      <c r="Z47" s="1113">
        <f t="shared" si="59"/>
        <v>2.4</v>
      </c>
      <c r="AA47" s="1113">
        <f t="shared" si="60"/>
        <v>-1.5</v>
      </c>
      <c r="AB47" s="1113">
        <f t="shared" si="60"/>
        <v>1.7</v>
      </c>
      <c r="AC47" s="1113">
        <f t="shared" si="60"/>
        <v>3.7</v>
      </c>
      <c r="AD47" s="1113">
        <f t="shared" si="60"/>
        <v>-3.7</v>
      </c>
      <c r="AE47" s="1113">
        <f t="shared" si="60"/>
        <v>-4</v>
      </c>
      <c r="AF47" s="1113">
        <f t="shared" si="60"/>
        <v>-0.3</v>
      </c>
    </row>
    <row r="48" spans="1:32">
      <c r="A48" s="89">
        <v>208</v>
      </c>
      <c r="B48" s="90" t="s">
        <v>206</v>
      </c>
      <c r="C48" s="75">
        <f>'7H18'!C46</f>
        <v>131924</v>
      </c>
      <c r="D48" s="75">
        <f>'8H19'!C46</f>
        <v>129353</v>
      </c>
      <c r="E48" s="75">
        <f>'9H20'!C46</f>
        <v>132465</v>
      </c>
      <c r="F48" s="75">
        <f>'10H21'!C46</f>
        <v>139268</v>
      </c>
      <c r="G48" s="737">
        <f>'11H22'!C46</f>
        <v>135310</v>
      </c>
      <c r="H48" s="737">
        <f>'12H23'!C46</f>
        <v>98484</v>
      </c>
      <c r="I48" s="75">
        <f>'13H24'!C46</f>
        <v>101878</v>
      </c>
      <c r="J48" s="75">
        <f>'14H25'!C46</f>
        <v>98317</v>
      </c>
      <c r="K48" s="75">
        <f>'15H26'!C46</f>
        <v>115247</v>
      </c>
      <c r="L48" s="75">
        <f>'16H27'!C46</f>
        <v>143629</v>
      </c>
      <c r="M48" s="75">
        <f>'17H28'!C46</f>
        <v>108271</v>
      </c>
      <c r="N48" s="75">
        <f>'18H29'!C46</f>
        <v>118385</v>
      </c>
      <c r="O48" s="75">
        <f>'19H30'!C46</f>
        <v>138549</v>
      </c>
      <c r="P48" s="75">
        <f>'20R1'!C46</f>
        <v>145544</v>
      </c>
      <c r="Q48" s="75">
        <f>'21R2'!C46</f>
        <v>173140</v>
      </c>
      <c r="R48" s="456">
        <f>'22R3'!C46</f>
        <v>181199</v>
      </c>
      <c r="S48" s="456">
        <f>'23R4'!C46</f>
        <v>192319</v>
      </c>
      <c r="T48" s="456">
        <f>'24R5'!C46</f>
        <v>180506</v>
      </c>
      <c r="U48" s="491">
        <f>'25R6'!C46</f>
        <v>158987</v>
      </c>
      <c r="V48" s="491">
        <f>'26R7'!C46</f>
        <v>132915</v>
      </c>
      <c r="W48" s="491">
        <f>'27R8'!C46</f>
        <v>118838</v>
      </c>
      <c r="X48" s="491">
        <f>'28R9'!C46</f>
        <v>116177</v>
      </c>
      <c r="Y48" s="1113">
        <f t="shared" si="58"/>
        <v>19</v>
      </c>
      <c r="Z48" s="1113">
        <f t="shared" si="59"/>
        <v>4.7</v>
      </c>
      <c r="AA48" s="1113">
        <f t="shared" si="60"/>
        <v>6.1</v>
      </c>
      <c r="AB48" s="1113">
        <f t="shared" si="60"/>
        <v>-6.1</v>
      </c>
      <c r="AC48" s="1113">
        <f t="shared" si="60"/>
        <v>-11.9</v>
      </c>
      <c r="AD48" s="1113">
        <f t="shared" si="60"/>
        <v>-16.399999999999999</v>
      </c>
      <c r="AE48" s="1113">
        <f t="shared" si="60"/>
        <v>-10.6</v>
      </c>
      <c r="AF48" s="1113">
        <f t="shared" si="60"/>
        <v>-2.2000000000000002</v>
      </c>
    </row>
    <row r="49" spans="1:32">
      <c r="A49" s="89">
        <v>212</v>
      </c>
      <c r="B49" s="90" t="s">
        <v>207</v>
      </c>
      <c r="C49" s="75">
        <f>'7H18'!C47</f>
        <v>193412</v>
      </c>
      <c r="D49" s="75">
        <f>'8H19'!C47</f>
        <v>185377</v>
      </c>
      <c r="E49" s="75">
        <f>'9H20'!C47</f>
        <v>187045</v>
      </c>
      <c r="F49" s="75">
        <f>'10H21'!C47</f>
        <v>210150</v>
      </c>
      <c r="G49" s="737">
        <f>'11H22'!C47</f>
        <v>226928</v>
      </c>
      <c r="H49" s="737">
        <f>'12H23'!C47</f>
        <v>211032</v>
      </c>
      <c r="I49" s="75">
        <f>'13H24'!C47</f>
        <v>214837</v>
      </c>
      <c r="J49" s="75">
        <f>'14H25'!C47</f>
        <v>220981</v>
      </c>
      <c r="K49" s="75">
        <f>'15H26'!C47</f>
        <v>216481</v>
      </c>
      <c r="L49" s="75">
        <f>'16H27'!C47</f>
        <v>227069</v>
      </c>
      <c r="M49" s="75">
        <f>'17H28'!C47</f>
        <v>234555</v>
      </c>
      <c r="N49" s="75">
        <f>'18H29'!C47</f>
        <v>241914</v>
      </c>
      <c r="O49" s="75">
        <f>'19H30'!C47</f>
        <v>235430</v>
      </c>
      <c r="P49" s="75">
        <f>'20R1'!C47</f>
        <v>240172</v>
      </c>
      <c r="Q49" s="75">
        <f>'21R2'!C47</f>
        <v>241852</v>
      </c>
      <c r="R49" s="456">
        <f>'22R3'!C47</f>
        <v>232306</v>
      </c>
      <c r="S49" s="456">
        <f>'23R4'!C47</f>
        <v>237715</v>
      </c>
      <c r="T49" s="456">
        <f>'24R5'!C47</f>
        <v>246312</v>
      </c>
      <c r="U49" s="491">
        <f>'25R6'!C47</f>
        <v>259247</v>
      </c>
      <c r="V49" s="491">
        <f>'26R7'!C47</f>
        <v>240999</v>
      </c>
      <c r="W49" s="491">
        <f>'27R8'!C47</f>
        <v>229356</v>
      </c>
      <c r="X49" s="491">
        <f>'28R9'!C47</f>
        <v>226825</v>
      </c>
      <c r="Y49" s="1113">
        <f t="shared" si="58"/>
        <v>0.7</v>
      </c>
      <c r="Z49" s="1113">
        <f t="shared" si="59"/>
        <v>-3.9</v>
      </c>
      <c r="AA49" s="1113">
        <f t="shared" si="60"/>
        <v>2.2999999999999998</v>
      </c>
      <c r="AB49" s="1113">
        <f t="shared" si="60"/>
        <v>3.6</v>
      </c>
      <c r="AC49" s="1113">
        <f t="shared" si="60"/>
        <v>5.3</v>
      </c>
      <c r="AD49" s="1113">
        <f t="shared" si="60"/>
        <v>-7</v>
      </c>
      <c r="AE49" s="1113">
        <f t="shared" si="60"/>
        <v>-4.8</v>
      </c>
      <c r="AF49" s="1113">
        <f t="shared" si="60"/>
        <v>-1.1000000000000001</v>
      </c>
    </row>
    <row r="50" spans="1:32">
      <c r="A50" s="89">
        <v>227</v>
      </c>
      <c r="B50" s="90" t="s">
        <v>219</v>
      </c>
      <c r="C50" s="75">
        <f>'7H18'!C48</f>
        <v>125200</v>
      </c>
      <c r="D50" s="75">
        <f>'8H19'!C48</f>
        <v>123297</v>
      </c>
      <c r="E50" s="75">
        <f>'9H20'!C48</f>
        <v>122003</v>
      </c>
      <c r="F50" s="75">
        <f>'10H21'!C48</f>
        <v>126623</v>
      </c>
      <c r="G50" s="737">
        <f>'11H22'!C48</f>
        <v>124632</v>
      </c>
      <c r="H50" s="737">
        <f>'12H23'!C48</f>
        <v>113937</v>
      </c>
      <c r="I50" s="75">
        <f>'13H24'!C48</f>
        <v>116463</v>
      </c>
      <c r="J50" s="75">
        <f>'14H25'!C48</f>
        <v>121960</v>
      </c>
      <c r="K50" s="75">
        <f>'15H26'!C48</f>
        <v>119992</v>
      </c>
      <c r="L50" s="75">
        <f>'16H27'!C48</f>
        <v>121565</v>
      </c>
      <c r="M50" s="75">
        <f>'17H28'!C48</f>
        <v>121061</v>
      </c>
      <c r="N50" s="75">
        <f>'18H29'!C48</f>
        <v>120117</v>
      </c>
      <c r="O50" s="75">
        <f>'19H30'!C48</f>
        <v>122112</v>
      </c>
      <c r="P50" s="75">
        <f>'20R1'!C48</f>
        <v>119381</v>
      </c>
      <c r="Q50" s="75">
        <f>'21R2'!C48</f>
        <v>111914</v>
      </c>
      <c r="R50" s="456">
        <f>'22R3'!C48</f>
        <v>117995</v>
      </c>
      <c r="S50" s="456">
        <f>'23R4'!C48</f>
        <v>120614</v>
      </c>
      <c r="T50" s="456">
        <f>'24R5'!C48</f>
        <v>122955</v>
      </c>
      <c r="U50" s="491">
        <f>'25R6'!C48</f>
        <v>147355</v>
      </c>
      <c r="V50" s="491">
        <f>'26R7'!C48</f>
        <v>144131</v>
      </c>
      <c r="W50" s="491">
        <f>'27R8'!C48</f>
        <v>135653</v>
      </c>
      <c r="X50" s="491">
        <f>'28R9'!C48</f>
        <v>129362</v>
      </c>
      <c r="Y50" s="1113">
        <f t="shared" ref="Y50:Y67" si="61">ROUND((Q50-P50)/P50*100,1)</f>
        <v>-6.3</v>
      </c>
      <c r="Z50" s="1113">
        <f t="shared" ref="Z50:Z67" si="62">ROUND((R50-Q50)/Q50*100,1)</f>
        <v>5.4</v>
      </c>
      <c r="AA50" s="1113">
        <f t="shared" ref="AA50:AF67" si="63">ROUND((S50-R50)/R50*100,1)</f>
        <v>2.2000000000000002</v>
      </c>
      <c r="AB50" s="1113">
        <f t="shared" si="63"/>
        <v>1.9</v>
      </c>
      <c r="AC50" s="1113">
        <f t="shared" si="63"/>
        <v>19.8</v>
      </c>
      <c r="AD50" s="1113">
        <f t="shared" si="63"/>
        <v>-2.2000000000000002</v>
      </c>
      <c r="AE50" s="1113">
        <f t="shared" si="63"/>
        <v>-5.9</v>
      </c>
      <c r="AF50" s="1113">
        <f t="shared" si="63"/>
        <v>-4.5999999999999996</v>
      </c>
    </row>
    <row r="51" spans="1:32">
      <c r="A51" s="89">
        <v>229</v>
      </c>
      <c r="B51" s="90" t="s">
        <v>235</v>
      </c>
      <c r="C51" s="75">
        <f>'7H18'!C49</f>
        <v>308097</v>
      </c>
      <c r="D51" s="75">
        <f>'8H19'!C49</f>
        <v>306774</v>
      </c>
      <c r="E51" s="75">
        <f>'9H20'!C49</f>
        <v>319419</v>
      </c>
      <c r="F51" s="75">
        <f>'10H21'!C49</f>
        <v>314742</v>
      </c>
      <c r="G51" s="737">
        <f>'11H22'!C49</f>
        <v>330253</v>
      </c>
      <c r="H51" s="737">
        <f>'12H23'!C49</f>
        <v>324835</v>
      </c>
      <c r="I51" s="75">
        <f>'13H24'!C49</f>
        <v>321795</v>
      </c>
      <c r="J51" s="75">
        <f>'14H25'!C49</f>
        <v>330542</v>
      </c>
      <c r="K51" s="75">
        <f>'15H26'!C49</f>
        <v>328633</v>
      </c>
      <c r="L51" s="75">
        <f>'16H27'!C49</f>
        <v>353043</v>
      </c>
      <c r="M51" s="75">
        <f>'17H28'!C49</f>
        <v>359259</v>
      </c>
      <c r="N51" s="75">
        <f>'18H29'!C49</f>
        <v>367078</v>
      </c>
      <c r="O51" s="75">
        <f>'19H30'!C49</f>
        <v>355140</v>
      </c>
      <c r="P51" s="75">
        <f>'20R1'!C49</f>
        <v>359241</v>
      </c>
      <c r="Q51" s="75">
        <f>'21R2'!C49</f>
        <v>349957</v>
      </c>
      <c r="R51" s="456">
        <f>'22R3'!C49</f>
        <v>346247</v>
      </c>
      <c r="S51" s="456">
        <f>'23R4'!C49</f>
        <v>342314</v>
      </c>
      <c r="T51" s="456">
        <f>'24R5'!C49</f>
        <v>359200</v>
      </c>
      <c r="U51" s="491">
        <f>'25R6'!C49</f>
        <v>351658</v>
      </c>
      <c r="V51" s="491">
        <f>'26R7'!C49</f>
        <v>334732</v>
      </c>
      <c r="W51" s="491">
        <f>'27R8'!C49</f>
        <v>322611</v>
      </c>
      <c r="X51" s="491">
        <f>'28R9'!C49</f>
        <v>331187</v>
      </c>
      <c r="Y51" s="1113">
        <f t="shared" si="61"/>
        <v>-2.6</v>
      </c>
      <c r="Z51" s="1113">
        <f t="shared" si="62"/>
        <v>-1.1000000000000001</v>
      </c>
      <c r="AA51" s="1113">
        <f t="shared" si="63"/>
        <v>-1.1000000000000001</v>
      </c>
      <c r="AB51" s="1113">
        <f t="shared" si="63"/>
        <v>4.9000000000000004</v>
      </c>
      <c r="AC51" s="1113">
        <f t="shared" si="63"/>
        <v>-2.1</v>
      </c>
      <c r="AD51" s="1113">
        <f t="shared" si="63"/>
        <v>-4.8</v>
      </c>
      <c r="AE51" s="1113">
        <f t="shared" si="63"/>
        <v>-3.6</v>
      </c>
      <c r="AF51" s="1113">
        <f t="shared" si="63"/>
        <v>2.7</v>
      </c>
    </row>
    <row r="52" spans="1:32">
      <c r="A52" s="89">
        <v>464</v>
      </c>
      <c r="B52" s="90" t="s">
        <v>208</v>
      </c>
      <c r="C52" s="75">
        <f>'7H18'!C50</f>
        <v>103774</v>
      </c>
      <c r="D52" s="75">
        <f>'8H19'!C50</f>
        <v>106706</v>
      </c>
      <c r="E52" s="75">
        <f>'9H20'!C50</f>
        <v>98849</v>
      </c>
      <c r="F52" s="75">
        <f>'10H21'!C50</f>
        <v>99170</v>
      </c>
      <c r="G52" s="737">
        <f>'11H22'!C50</f>
        <v>108804</v>
      </c>
      <c r="H52" s="737">
        <f>'12H23'!C50</f>
        <v>106792</v>
      </c>
      <c r="I52" s="75">
        <f>'13H24'!C50</f>
        <v>102795</v>
      </c>
      <c r="J52" s="75">
        <f>'14H25'!C50</f>
        <v>89054</v>
      </c>
      <c r="K52" s="75">
        <f>'15H26'!C50</f>
        <v>97127</v>
      </c>
      <c r="L52" s="75">
        <f>'16H27'!C50</f>
        <v>60198</v>
      </c>
      <c r="M52" s="75">
        <f>'17H28'!C50</f>
        <v>84747</v>
      </c>
      <c r="N52" s="75">
        <f>'18H29'!C50</f>
        <v>103116</v>
      </c>
      <c r="O52" s="75">
        <f>'19H30'!C50</f>
        <v>104158</v>
      </c>
      <c r="P52" s="75">
        <f>'20R1'!C50</f>
        <v>101296</v>
      </c>
      <c r="Q52" s="75">
        <f>'21R2'!C50</f>
        <v>114490</v>
      </c>
      <c r="R52" s="456">
        <f>'22R3'!C50</f>
        <v>132980</v>
      </c>
      <c r="S52" s="456">
        <f>'23R4'!C50</f>
        <v>103176</v>
      </c>
      <c r="T52" s="456">
        <f>'24R5'!C50</f>
        <v>104256</v>
      </c>
      <c r="U52" s="491">
        <f>'25R6'!C50</f>
        <v>116736</v>
      </c>
      <c r="V52" s="491">
        <f>'26R7'!C50</f>
        <v>140968</v>
      </c>
      <c r="W52" s="491">
        <f>'27R8'!C50</f>
        <v>150142</v>
      </c>
      <c r="X52" s="491">
        <f>'28R9'!C50</f>
        <v>156257</v>
      </c>
      <c r="Y52" s="1113">
        <f t="shared" si="61"/>
        <v>13</v>
      </c>
      <c r="Z52" s="1113">
        <f t="shared" si="62"/>
        <v>16.100000000000001</v>
      </c>
      <c r="AA52" s="1113">
        <f t="shared" si="63"/>
        <v>-22.4</v>
      </c>
      <c r="AB52" s="1113">
        <f t="shared" si="63"/>
        <v>1</v>
      </c>
      <c r="AC52" s="1113">
        <f t="shared" si="63"/>
        <v>12</v>
      </c>
      <c r="AD52" s="1113">
        <f t="shared" si="63"/>
        <v>20.8</v>
      </c>
      <c r="AE52" s="1113">
        <f t="shared" si="63"/>
        <v>6.5</v>
      </c>
      <c r="AF52" s="1113">
        <f t="shared" si="63"/>
        <v>4.0999999999999996</v>
      </c>
    </row>
    <row r="53" spans="1:32">
      <c r="A53" s="89">
        <v>481</v>
      </c>
      <c r="B53" s="90" t="s">
        <v>209</v>
      </c>
      <c r="C53" s="75">
        <f>'7H18'!C51</f>
        <v>45491</v>
      </c>
      <c r="D53" s="75">
        <f>'8H19'!C51</f>
        <v>45239</v>
      </c>
      <c r="E53" s="75">
        <f>'9H20'!C51</f>
        <v>44775</v>
      </c>
      <c r="F53" s="75">
        <f>'10H21'!C51</f>
        <v>45708</v>
      </c>
      <c r="G53" s="737">
        <f>'11H22'!C51</f>
        <v>45634</v>
      </c>
      <c r="H53" s="737">
        <f>'12H23'!C51</f>
        <v>40780</v>
      </c>
      <c r="I53" s="75">
        <f>'13H24'!C51</f>
        <v>41212</v>
      </c>
      <c r="J53" s="75">
        <f>'14H25'!C51</f>
        <v>42534</v>
      </c>
      <c r="K53" s="75">
        <f>'15H26'!C51</f>
        <v>47325</v>
      </c>
      <c r="L53" s="75">
        <f>'16H27'!C51</f>
        <v>49299</v>
      </c>
      <c r="M53" s="75">
        <f>'17H28'!C51</f>
        <v>53653</v>
      </c>
      <c r="N53" s="75">
        <f>'18H29'!C51</f>
        <v>52384</v>
      </c>
      <c r="O53" s="75">
        <f>'19H30'!C51</f>
        <v>51794</v>
      </c>
      <c r="P53" s="75">
        <f>'20R1'!C51</f>
        <v>50542</v>
      </c>
      <c r="Q53" s="75">
        <f>'21R2'!C51</f>
        <v>50015</v>
      </c>
      <c r="R53" s="456">
        <f>'22R3'!C51</f>
        <v>54604</v>
      </c>
      <c r="S53" s="456">
        <f>'23R4'!C51</f>
        <v>52225</v>
      </c>
      <c r="T53" s="456">
        <f>'24R5'!C51</f>
        <v>51988</v>
      </c>
      <c r="U53" s="491">
        <f>'25R6'!C51</f>
        <v>62065</v>
      </c>
      <c r="V53" s="491">
        <f>'26R7'!C51</f>
        <v>65029</v>
      </c>
      <c r="W53" s="491">
        <f>'27R8'!C51</f>
        <v>64445</v>
      </c>
      <c r="X53" s="491">
        <f>'28R9'!C51</f>
        <v>62158</v>
      </c>
      <c r="Y53" s="1113">
        <f t="shared" si="61"/>
        <v>-1</v>
      </c>
      <c r="Z53" s="1113">
        <f t="shared" si="62"/>
        <v>9.1999999999999993</v>
      </c>
      <c r="AA53" s="1113">
        <f t="shared" si="63"/>
        <v>-4.4000000000000004</v>
      </c>
      <c r="AB53" s="1113">
        <f t="shared" si="63"/>
        <v>-0.5</v>
      </c>
      <c r="AC53" s="1113">
        <f t="shared" si="63"/>
        <v>19.399999999999999</v>
      </c>
      <c r="AD53" s="1113">
        <f t="shared" si="63"/>
        <v>4.8</v>
      </c>
      <c r="AE53" s="1113">
        <f t="shared" si="63"/>
        <v>-0.9</v>
      </c>
      <c r="AF53" s="1113">
        <f t="shared" si="63"/>
        <v>-3.5</v>
      </c>
    </row>
    <row r="54" spans="1:32">
      <c r="A54" s="89">
        <v>501</v>
      </c>
      <c r="B54" s="90" t="s">
        <v>236</v>
      </c>
      <c r="C54" s="75">
        <f>'7H18'!C52</f>
        <v>60854</v>
      </c>
      <c r="D54" s="75">
        <f>'8H19'!C52</f>
        <v>58130</v>
      </c>
      <c r="E54" s="75">
        <f>'9H20'!C52</f>
        <v>59720</v>
      </c>
      <c r="F54" s="75">
        <f>'10H21'!C52</f>
        <v>63422</v>
      </c>
      <c r="G54" s="737">
        <f>'11H22'!C52</f>
        <v>65434</v>
      </c>
      <c r="H54" s="737">
        <f>'12H23'!C52</f>
        <v>59264</v>
      </c>
      <c r="I54" s="75">
        <f>'13H24'!C52</f>
        <v>57365</v>
      </c>
      <c r="J54" s="75">
        <f>'14H25'!C52</f>
        <v>60095</v>
      </c>
      <c r="K54" s="75">
        <f>'15H26'!C52</f>
        <v>59398</v>
      </c>
      <c r="L54" s="75">
        <f>'16H27'!C52</f>
        <v>61100</v>
      </c>
      <c r="M54" s="75">
        <f>'17H28'!C52</f>
        <v>60975</v>
      </c>
      <c r="N54" s="75">
        <f>'18H29'!C52</f>
        <v>62776</v>
      </c>
      <c r="O54" s="75">
        <f>'19H30'!C52</f>
        <v>64020</v>
      </c>
      <c r="P54" s="75">
        <f>'20R1'!C52</f>
        <v>63871</v>
      </c>
      <c r="Q54" s="75">
        <f>'21R2'!C52</f>
        <v>59103</v>
      </c>
      <c r="R54" s="456">
        <f>'22R3'!C52</f>
        <v>61915</v>
      </c>
      <c r="S54" s="456">
        <f>'23R4'!C52</f>
        <v>62045</v>
      </c>
      <c r="T54" s="456">
        <f>'24R5'!C52</f>
        <v>64461</v>
      </c>
      <c r="U54" s="491">
        <f>'25R6'!C52</f>
        <v>75426</v>
      </c>
      <c r="V54" s="491">
        <f>'26R7'!C52</f>
        <v>69369</v>
      </c>
      <c r="W54" s="491">
        <f>'27R8'!C52</f>
        <v>62016</v>
      </c>
      <c r="X54" s="491">
        <f>'28R9'!C52</f>
        <v>57953</v>
      </c>
      <c r="Y54" s="1113">
        <f t="shared" si="61"/>
        <v>-7.5</v>
      </c>
      <c r="Z54" s="1113">
        <f t="shared" si="62"/>
        <v>4.8</v>
      </c>
      <c r="AA54" s="1113">
        <f t="shared" si="63"/>
        <v>0.2</v>
      </c>
      <c r="AB54" s="1113">
        <f t="shared" si="63"/>
        <v>3.9</v>
      </c>
      <c r="AC54" s="1113">
        <f t="shared" si="63"/>
        <v>17</v>
      </c>
      <c r="AD54" s="1113">
        <f t="shared" si="63"/>
        <v>-8</v>
      </c>
      <c r="AE54" s="1113">
        <f t="shared" si="63"/>
        <v>-10.6</v>
      </c>
      <c r="AF54" s="1113">
        <f t="shared" si="63"/>
        <v>-6.6</v>
      </c>
    </row>
    <row r="55" spans="1:32">
      <c r="A55" s="89">
        <v>7</v>
      </c>
      <c r="B55" s="93" t="s">
        <v>210</v>
      </c>
      <c r="C55" s="75">
        <f>'7H18'!C53</f>
        <v>625093</v>
      </c>
      <c r="D55" s="75">
        <f>'8H19'!C53</f>
        <v>610343</v>
      </c>
      <c r="E55" s="75">
        <f>'9H20'!C53</f>
        <v>608472</v>
      </c>
      <c r="F55" s="75">
        <f>'10H21'!C53</f>
        <v>626037</v>
      </c>
      <c r="G55" s="737">
        <f>'11H22'!C53</f>
        <v>626163</v>
      </c>
      <c r="H55" s="737">
        <f>'12H23'!C53</f>
        <v>565410</v>
      </c>
      <c r="I55" s="75">
        <f>'13H24'!C53</f>
        <v>570909</v>
      </c>
      <c r="J55" s="75">
        <f>'14H25'!C53</f>
        <v>610691</v>
      </c>
      <c r="K55" s="75">
        <f>'15H26'!C53</f>
        <v>612526</v>
      </c>
      <c r="L55" s="75">
        <f>'16H27'!C53</f>
        <v>630036</v>
      </c>
      <c r="M55" s="75">
        <f>'17H28'!C53</f>
        <v>622690</v>
      </c>
      <c r="N55" s="75">
        <f>'18H29'!C53</f>
        <v>637010</v>
      </c>
      <c r="O55" s="75">
        <f>'19H30'!C53</f>
        <v>625315</v>
      </c>
      <c r="P55" s="75">
        <f>'20R1'!C53</f>
        <v>636327</v>
      </c>
      <c r="Q55" s="75">
        <f>'21R2'!C53</f>
        <v>639162</v>
      </c>
      <c r="R55" s="456">
        <f>'22R3'!C53</f>
        <v>604482</v>
      </c>
      <c r="S55" s="456">
        <f>'23R4'!C53</f>
        <v>593538</v>
      </c>
      <c r="T55" s="456">
        <f>'24R5'!C53</f>
        <v>604135</v>
      </c>
      <c r="U55" s="491">
        <f>'25R6'!C53</f>
        <v>769839</v>
      </c>
      <c r="V55" s="491">
        <f>'26R7'!C53</f>
        <v>747339</v>
      </c>
      <c r="W55" s="491">
        <f>'27R8'!C53</f>
        <v>705806</v>
      </c>
      <c r="X55" s="491">
        <f>'28R9'!C53</f>
        <v>671671</v>
      </c>
      <c r="Y55" s="1113">
        <f t="shared" si="61"/>
        <v>0.4</v>
      </c>
      <c r="Z55" s="1113">
        <f t="shared" si="62"/>
        <v>-5.4</v>
      </c>
      <c r="AA55" s="1113">
        <f t="shared" si="63"/>
        <v>-1.8</v>
      </c>
      <c r="AB55" s="1113">
        <f t="shared" si="63"/>
        <v>1.8</v>
      </c>
      <c r="AC55" s="1113">
        <f t="shared" si="63"/>
        <v>27.4</v>
      </c>
      <c r="AD55" s="1113">
        <f t="shared" si="63"/>
        <v>-2.9</v>
      </c>
      <c r="AE55" s="1113">
        <f t="shared" si="63"/>
        <v>-5.6</v>
      </c>
      <c r="AF55" s="1113">
        <f t="shared" si="63"/>
        <v>-4.8</v>
      </c>
    </row>
    <row r="56" spans="1:32">
      <c r="A56" s="89">
        <v>209</v>
      </c>
      <c r="B56" s="90" t="s">
        <v>221</v>
      </c>
      <c r="C56" s="75">
        <f>'7H18'!C54</f>
        <v>305897</v>
      </c>
      <c r="D56" s="75">
        <f>'8H19'!C54</f>
        <v>296942</v>
      </c>
      <c r="E56" s="75">
        <f>'9H20'!C54</f>
        <v>299001</v>
      </c>
      <c r="F56" s="75">
        <f>'10H21'!C54</f>
        <v>310364</v>
      </c>
      <c r="G56" s="737">
        <f>'11H22'!C54</f>
        <v>309160</v>
      </c>
      <c r="H56" s="737">
        <f>'12H23'!C54</f>
        <v>274173</v>
      </c>
      <c r="I56" s="75">
        <f>'13H24'!C54</f>
        <v>280458</v>
      </c>
      <c r="J56" s="75">
        <f>'14H25'!C54</f>
        <v>301055</v>
      </c>
      <c r="K56" s="75">
        <f>'15H26'!C54</f>
        <v>294759</v>
      </c>
      <c r="L56" s="75">
        <f>'16H27'!C54</f>
        <v>309490</v>
      </c>
      <c r="M56" s="75">
        <f>'17H28'!C54</f>
        <v>310452</v>
      </c>
      <c r="N56" s="75">
        <f>'18H29'!C54</f>
        <v>312007</v>
      </c>
      <c r="O56" s="75">
        <f>'19H30'!C54</f>
        <v>311198</v>
      </c>
      <c r="P56" s="75">
        <f>'20R1'!C54</f>
        <v>312773</v>
      </c>
      <c r="Q56" s="75">
        <f>'21R2'!C54</f>
        <v>297021</v>
      </c>
      <c r="R56" s="456">
        <f>'22R3'!C54</f>
        <v>298834</v>
      </c>
      <c r="S56" s="456">
        <f>'23R4'!C54</f>
        <v>297701</v>
      </c>
      <c r="T56" s="456">
        <f>'24R5'!C54</f>
        <v>306664</v>
      </c>
      <c r="U56" s="491">
        <f>'25R6'!C54</f>
        <v>357473</v>
      </c>
      <c r="V56" s="491">
        <f>'26R7'!C54</f>
        <v>351662</v>
      </c>
      <c r="W56" s="491">
        <f>'27R8'!C54</f>
        <v>324167</v>
      </c>
      <c r="X56" s="491">
        <f>'28R9'!C54</f>
        <v>311457</v>
      </c>
      <c r="Y56" s="1113">
        <f t="shared" si="61"/>
        <v>-5</v>
      </c>
      <c r="Z56" s="1113">
        <f t="shared" si="62"/>
        <v>0.6</v>
      </c>
      <c r="AA56" s="1113">
        <f t="shared" si="63"/>
        <v>-0.4</v>
      </c>
      <c r="AB56" s="1113">
        <f t="shared" si="63"/>
        <v>3</v>
      </c>
      <c r="AC56" s="1113">
        <f t="shared" si="63"/>
        <v>16.600000000000001</v>
      </c>
      <c r="AD56" s="1113">
        <f t="shared" si="63"/>
        <v>-1.6</v>
      </c>
      <c r="AE56" s="1113">
        <f t="shared" si="63"/>
        <v>-7.8</v>
      </c>
      <c r="AF56" s="1113">
        <f t="shared" si="63"/>
        <v>-3.9</v>
      </c>
    </row>
    <row r="57" spans="1:32">
      <c r="A57" s="89">
        <v>222</v>
      </c>
      <c r="B57" s="90" t="s">
        <v>218</v>
      </c>
      <c r="C57" s="75">
        <f>'7H18'!C55</f>
        <v>90859</v>
      </c>
      <c r="D57" s="75">
        <f>'8H19'!C55</f>
        <v>84860</v>
      </c>
      <c r="E57" s="75">
        <f>'9H20'!C55</f>
        <v>83896</v>
      </c>
      <c r="F57" s="75">
        <f>'10H21'!C55</f>
        <v>77706</v>
      </c>
      <c r="G57" s="737">
        <f>'11H22'!C55</f>
        <v>82504</v>
      </c>
      <c r="H57" s="737">
        <f>'12H23'!C55</f>
        <v>83905</v>
      </c>
      <c r="I57" s="75">
        <f>'13H24'!C55</f>
        <v>85295</v>
      </c>
      <c r="J57" s="75">
        <f>'14H25'!C55</f>
        <v>89904</v>
      </c>
      <c r="K57" s="75">
        <f>'15H26'!C55</f>
        <v>90408</v>
      </c>
      <c r="L57" s="75">
        <f>'16H27'!C55</f>
        <v>85915</v>
      </c>
      <c r="M57" s="75">
        <f>'17H28'!C55</f>
        <v>86105</v>
      </c>
      <c r="N57" s="75">
        <f>'18H29'!C55</f>
        <v>87835</v>
      </c>
      <c r="O57" s="75">
        <f>'19H30'!C55</f>
        <v>83834</v>
      </c>
      <c r="P57" s="75">
        <f>'20R1'!C55</f>
        <v>80066</v>
      </c>
      <c r="Q57" s="75">
        <f>'21R2'!C55</f>
        <v>77584</v>
      </c>
      <c r="R57" s="456">
        <f>'22R3'!C55</f>
        <v>82546</v>
      </c>
      <c r="S57" s="456">
        <f>'23R4'!C55</f>
        <v>82721</v>
      </c>
      <c r="T57" s="456">
        <f>'24R5'!C55</f>
        <v>77366</v>
      </c>
      <c r="U57" s="491">
        <f>'25R6'!C55</f>
        <v>105326</v>
      </c>
      <c r="V57" s="491">
        <f>'26R7'!C55</f>
        <v>102558</v>
      </c>
      <c r="W57" s="491">
        <f>'27R8'!C55</f>
        <v>96576</v>
      </c>
      <c r="X57" s="491">
        <f>'28R9'!C55</f>
        <v>89942</v>
      </c>
      <c r="Y57" s="1113">
        <f t="shared" si="61"/>
        <v>-3.1</v>
      </c>
      <c r="Z57" s="1113">
        <f t="shared" si="62"/>
        <v>6.4</v>
      </c>
      <c r="AA57" s="1113">
        <f t="shared" si="63"/>
        <v>0.2</v>
      </c>
      <c r="AB57" s="1113">
        <f t="shared" si="63"/>
        <v>-6.5</v>
      </c>
      <c r="AC57" s="1113">
        <f t="shared" si="63"/>
        <v>36.1</v>
      </c>
      <c r="AD57" s="1113">
        <f t="shared" si="63"/>
        <v>-2.6</v>
      </c>
      <c r="AE57" s="1113">
        <f t="shared" si="63"/>
        <v>-5.8</v>
      </c>
      <c r="AF57" s="1113">
        <f t="shared" si="63"/>
        <v>-6.9</v>
      </c>
    </row>
    <row r="58" spans="1:32">
      <c r="A58" s="89">
        <v>225</v>
      </c>
      <c r="B58" s="90" t="s">
        <v>222</v>
      </c>
      <c r="C58" s="75">
        <f>'7H18'!C56</f>
        <v>122026</v>
      </c>
      <c r="D58" s="75">
        <f>'8H19'!C56</f>
        <v>127069</v>
      </c>
      <c r="E58" s="75">
        <f>'9H20'!C56</f>
        <v>126087</v>
      </c>
      <c r="F58" s="75">
        <f>'10H21'!C56</f>
        <v>134766</v>
      </c>
      <c r="G58" s="737">
        <f>'11H22'!C56</f>
        <v>136050</v>
      </c>
      <c r="H58" s="737">
        <f>'12H23'!C56</f>
        <v>118462</v>
      </c>
      <c r="I58" s="75">
        <f>'13H24'!C56</f>
        <v>115101</v>
      </c>
      <c r="J58" s="75">
        <f>'14H25'!C56</f>
        <v>122019</v>
      </c>
      <c r="K58" s="75">
        <f>'15H26'!C56</f>
        <v>128146</v>
      </c>
      <c r="L58" s="75">
        <f>'16H27'!C56</f>
        <v>127954</v>
      </c>
      <c r="M58" s="75">
        <f>'17H28'!C56</f>
        <v>126543</v>
      </c>
      <c r="N58" s="75">
        <f>'18H29'!C56</f>
        <v>131273</v>
      </c>
      <c r="O58" s="75">
        <f>'19H30'!C56</f>
        <v>126726</v>
      </c>
      <c r="P58" s="75">
        <f>'20R1'!C56</f>
        <v>139968</v>
      </c>
      <c r="Q58" s="75">
        <f>'21R2'!C56</f>
        <v>167290</v>
      </c>
      <c r="R58" s="456">
        <f>'22R3'!C56</f>
        <v>126362</v>
      </c>
      <c r="S58" s="456">
        <f>'23R4'!C56</f>
        <v>116519</v>
      </c>
      <c r="T58" s="456">
        <f>'24R5'!C56</f>
        <v>118729</v>
      </c>
      <c r="U58" s="491">
        <f>'25R6'!C56</f>
        <v>172010</v>
      </c>
      <c r="V58" s="491">
        <f>'26R7'!C56</f>
        <v>159471</v>
      </c>
      <c r="W58" s="491">
        <f>'27R8'!C56</f>
        <v>157920</v>
      </c>
      <c r="X58" s="491">
        <f>'28R9'!C56</f>
        <v>152560</v>
      </c>
      <c r="Y58" s="1113">
        <f t="shared" si="61"/>
        <v>19.5</v>
      </c>
      <c r="Z58" s="1113">
        <f t="shared" si="62"/>
        <v>-24.5</v>
      </c>
      <c r="AA58" s="1113">
        <f t="shared" si="63"/>
        <v>-7.8</v>
      </c>
      <c r="AB58" s="1113">
        <f t="shared" si="63"/>
        <v>1.9</v>
      </c>
      <c r="AC58" s="1113">
        <f t="shared" si="63"/>
        <v>44.9</v>
      </c>
      <c r="AD58" s="1113">
        <f t="shared" si="63"/>
        <v>-7.3</v>
      </c>
      <c r="AE58" s="1113">
        <f t="shared" si="63"/>
        <v>-1</v>
      </c>
      <c r="AF58" s="1113">
        <f t="shared" si="63"/>
        <v>-3.4</v>
      </c>
    </row>
    <row r="59" spans="1:32">
      <c r="A59" s="89">
        <v>585</v>
      </c>
      <c r="B59" s="90" t="s">
        <v>220</v>
      </c>
      <c r="C59" s="75">
        <f>'7H18'!C57</f>
        <v>61027</v>
      </c>
      <c r="D59" s="75">
        <f>'8H19'!C57</f>
        <v>58623</v>
      </c>
      <c r="E59" s="75">
        <f>'9H20'!C57</f>
        <v>57671</v>
      </c>
      <c r="F59" s="75">
        <f>'10H21'!C57</f>
        <v>59857</v>
      </c>
      <c r="G59" s="737">
        <f>'11H22'!C57</f>
        <v>56965</v>
      </c>
      <c r="H59" s="737">
        <f>'12H23'!C57</f>
        <v>51320</v>
      </c>
      <c r="I59" s="75">
        <f>'13H24'!C57</f>
        <v>52533</v>
      </c>
      <c r="J59" s="75">
        <f>'14H25'!C57</f>
        <v>55368</v>
      </c>
      <c r="K59" s="75">
        <f>'15H26'!C57</f>
        <v>55623</v>
      </c>
      <c r="L59" s="75">
        <f>'16H27'!C57</f>
        <v>55465</v>
      </c>
      <c r="M59" s="75">
        <f>'17H28'!C57</f>
        <v>55847</v>
      </c>
      <c r="N59" s="75">
        <f>'18H29'!C57</f>
        <v>58677</v>
      </c>
      <c r="O59" s="75">
        <f>'19H30'!C57</f>
        <v>55691</v>
      </c>
      <c r="P59" s="75">
        <f>'20R1'!C57</f>
        <v>56011</v>
      </c>
      <c r="Q59" s="75">
        <f>'21R2'!C57</f>
        <v>52788</v>
      </c>
      <c r="R59" s="456">
        <f>'22R3'!C57</f>
        <v>52162</v>
      </c>
      <c r="S59" s="456">
        <f>'23R4'!C57</f>
        <v>52921</v>
      </c>
      <c r="T59" s="456">
        <f>'24R5'!C57</f>
        <v>54653</v>
      </c>
      <c r="U59" s="491">
        <f>'25R6'!C57</f>
        <v>74306</v>
      </c>
      <c r="V59" s="491">
        <f>'26R7'!C57</f>
        <v>71702</v>
      </c>
      <c r="W59" s="491">
        <f>'27R8'!C57</f>
        <v>65536</v>
      </c>
      <c r="X59" s="491">
        <f>'28R9'!C57</f>
        <v>59930</v>
      </c>
      <c r="Y59" s="1113">
        <f t="shared" si="61"/>
        <v>-5.8</v>
      </c>
      <c r="Z59" s="1113">
        <f t="shared" si="62"/>
        <v>-1.2</v>
      </c>
      <c r="AA59" s="1113">
        <f t="shared" si="63"/>
        <v>1.5</v>
      </c>
      <c r="AB59" s="1113">
        <f t="shared" si="63"/>
        <v>3.3</v>
      </c>
      <c r="AC59" s="1113">
        <f t="shared" si="63"/>
        <v>36</v>
      </c>
      <c r="AD59" s="1113">
        <f t="shared" si="63"/>
        <v>-3.5</v>
      </c>
      <c r="AE59" s="1113">
        <f t="shared" si="63"/>
        <v>-8.6</v>
      </c>
      <c r="AF59" s="1113">
        <f t="shared" si="63"/>
        <v>-8.6</v>
      </c>
    </row>
    <row r="60" spans="1:32">
      <c r="A60" s="89">
        <v>586</v>
      </c>
      <c r="B60" s="90" t="s">
        <v>237</v>
      </c>
      <c r="C60" s="75">
        <f>'7H18'!C58</f>
        <v>45284</v>
      </c>
      <c r="D60" s="75">
        <f>'8H19'!C58</f>
        <v>42849</v>
      </c>
      <c r="E60" s="75">
        <f>'9H20'!C58</f>
        <v>41817</v>
      </c>
      <c r="F60" s="75">
        <f>'10H21'!C58</f>
        <v>43344</v>
      </c>
      <c r="G60" s="737">
        <f>'11H22'!C58</f>
        <v>41484</v>
      </c>
      <c r="H60" s="737">
        <f>'12H23'!C58</f>
        <v>37550</v>
      </c>
      <c r="I60" s="75">
        <f>'13H24'!C58</f>
        <v>37522</v>
      </c>
      <c r="J60" s="75">
        <f>'14H25'!C58</f>
        <v>42345</v>
      </c>
      <c r="K60" s="75">
        <f>'15H26'!C58</f>
        <v>43590</v>
      </c>
      <c r="L60" s="75">
        <f>'16H27'!C58</f>
        <v>51212</v>
      </c>
      <c r="M60" s="75">
        <f>'17H28'!C58</f>
        <v>43743</v>
      </c>
      <c r="N60" s="75">
        <f>'18H29'!C58</f>
        <v>47218</v>
      </c>
      <c r="O60" s="75">
        <f>'19H30'!C58</f>
        <v>47866</v>
      </c>
      <c r="P60" s="75">
        <f>'20R1'!C58</f>
        <v>47509</v>
      </c>
      <c r="Q60" s="75">
        <f>'21R2'!C58</f>
        <v>44479</v>
      </c>
      <c r="R60" s="456">
        <f>'22R3'!C58</f>
        <v>44578</v>
      </c>
      <c r="S60" s="456">
        <f>'23R4'!C58</f>
        <v>43676</v>
      </c>
      <c r="T60" s="456">
        <f>'24R5'!C58</f>
        <v>46723</v>
      </c>
      <c r="U60" s="491">
        <f>'25R6'!C58</f>
        <v>60724</v>
      </c>
      <c r="V60" s="491">
        <f>'26R7'!C58</f>
        <v>61946</v>
      </c>
      <c r="W60" s="491">
        <f>'27R8'!C58</f>
        <v>61607</v>
      </c>
      <c r="X60" s="491">
        <f>'28R9'!C58</f>
        <v>57782</v>
      </c>
      <c r="Y60" s="1113">
        <f t="shared" si="61"/>
        <v>-6.4</v>
      </c>
      <c r="Z60" s="1113">
        <f t="shared" si="62"/>
        <v>0.2</v>
      </c>
      <c r="AA60" s="1113">
        <f t="shared" si="63"/>
        <v>-2</v>
      </c>
      <c r="AB60" s="1113">
        <f t="shared" si="63"/>
        <v>7</v>
      </c>
      <c r="AC60" s="1113">
        <f t="shared" si="63"/>
        <v>30</v>
      </c>
      <c r="AD60" s="1113">
        <f t="shared" si="63"/>
        <v>2</v>
      </c>
      <c r="AE60" s="1113">
        <f t="shared" si="63"/>
        <v>-0.5</v>
      </c>
      <c r="AF60" s="1113">
        <f t="shared" si="63"/>
        <v>-6.2</v>
      </c>
    </row>
    <row r="61" spans="1:32">
      <c r="A61" s="92">
        <v>8</v>
      </c>
      <c r="B61" s="86" t="s">
        <v>211</v>
      </c>
      <c r="C61" s="75">
        <f>'7H18'!C59</f>
        <v>385650</v>
      </c>
      <c r="D61" s="75">
        <f>'8H19'!C59</f>
        <v>385879</v>
      </c>
      <c r="E61" s="75">
        <f>'9H20'!C59</f>
        <v>373363</v>
      </c>
      <c r="F61" s="75">
        <f>'10H21'!C59</f>
        <v>381050</v>
      </c>
      <c r="G61" s="737">
        <f>'11H22'!C59</f>
        <v>389641</v>
      </c>
      <c r="H61" s="737">
        <f>'12H23'!C59</f>
        <v>355318</v>
      </c>
      <c r="I61" s="75">
        <f>'13H24'!C59</f>
        <v>285502</v>
      </c>
      <c r="J61" s="75">
        <f>'14H25'!C59</f>
        <v>397845</v>
      </c>
      <c r="K61" s="75">
        <f>'15H26'!C59</f>
        <v>391493</v>
      </c>
      <c r="L61" s="75">
        <f>'16H27'!C59</f>
        <v>418388</v>
      </c>
      <c r="M61" s="75">
        <f>'17H28'!C59</f>
        <v>422586</v>
      </c>
      <c r="N61" s="75">
        <f>'18H29'!C59</f>
        <v>426693</v>
      </c>
      <c r="O61" s="75">
        <f>'19H30'!C59</f>
        <v>438473</v>
      </c>
      <c r="P61" s="75">
        <f>'20R1'!C59</f>
        <v>474718</v>
      </c>
      <c r="Q61" s="75">
        <f>'21R2'!C59</f>
        <v>453080</v>
      </c>
      <c r="R61" s="456">
        <f>'22R3'!C59</f>
        <v>460054</v>
      </c>
      <c r="S61" s="456">
        <f>'23R4'!C59</f>
        <v>464432</v>
      </c>
      <c r="T61" s="456">
        <f>'24R5'!C59</f>
        <v>481731</v>
      </c>
      <c r="U61" s="491">
        <f>'25R6'!C59</f>
        <v>508863</v>
      </c>
      <c r="V61" s="491">
        <f>'26R7'!C59</f>
        <v>483345</v>
      </c>
      <c r="W61" s="491">
        <f>'27R8'!C59</f>
        <v>458923</v>
      </c>
      <c r="X61" s="491">
        <f>'28R9'!C59</f>
        <v>456952</v>
      </c>
      <c r="Y61" s="1113">
        <f t="shared" si="61"/>
        <v>-4.5999999999999996</v>
      </c>
      <c r="Z61" s="1113">
        <f t="shared" si="62"/>
        <v>1.5</v>
      </c>
      <c r="AA61" s="1113">
        <f t="shared" si="63"/>
        <v>1</v>
      </c>
      <c r="AB61" s="1113">
        <f t="shared" si="63"/>
        <v>3.7</v>
      </c>
      <c r="AC61" s="1113">
        <f t="shared" si="63"/>
        <v>5.6</v>
      </c>
      <c r="AD61" s="1113">
        <f t="shared" si="63"/>
        <v>-5</v>
      </c>
      <c r="AE61" s="1113">
        <f t="shared" si="63"/>
        <v>-5.0999999999999996</v>
      </c>
      <c r="AF61" s="1113">
        <f t="shared" si="63"/>
        <v>-0.4</v>
      </c>
    </row>
    <row r="62" spans="1:32">
      <c r="A62" s="89">
        <v>221</v>
      </c>
      <c r="B62" s="90" t="s">
        <v>1144</v>
      </c>
      <c r="C62" s="75">
        <f>'7H18'!C60</f>
        <v>149325</v>
      </c>
      <c r="D62" s="75">
        <f>'8H19'!C60</f>
        <v>146519</v>
      </c>
      <c r="E62" s="75">
        <f>'9H20'!C60</f>
        <v>146452</v>
      </c>
      <c r="F62" s="75">
        <f>'10H21'!C60</f>
        <v>153086</v>
      </c>
      <c r="G62" s="737">
        <f>'11H22'!C60</f>
        <v>157192</v>
      </c>
      <c r="H62" s="737">
        <f>'12H23'!C60</f>
        <v>115472</v>
      </c>
      <c r="I62" s="75">
        <f>'13H24'!C60</f>
        <v>50039</v>
      </c>
      <c r="J62" s="75">
        <f>'14H25'!C60</f>
        <v>146604</v>
      </c>
      <c r="K62" s="75">
        <f>'15H26'!C60</f>
        <v>145452</v>
      </c>
      <c r="L62" s="75">
        <f>'16H27'!C60</f>
        <v>158212</v>
      </c>
      <c r="M62" s="75">
        <f>'17H28'!C60</f>
        <v>161184</v>
      </c>
      <c r="N62" s="75">
        <f>'18H29'!C60</f>
        <v>167066</v>
      </c>
      <c r="O62" s="75">
        <f>'19H30'!C60</f>
        <v>183058</v>
      </c>
      <c r="P62" s="75">
        <f>'20R1'!C60</f>
        <v>216487</v>
      </c>
      <c r="Q62" s="75">
        <f>'21R2'!C60</f>
        <v>205887</v>
      </c>
      <c r="R62" s="456">
        <f>'22R3'!C60</f>
        <v>199933</v>
      </c>
      <c r="S62" s="456">
        <f>'23R4'!C60</f>
        <v>203897</v>
      </c>
      <c r="T62" s="456">
        <f>'24R5'!C60</f>
        <v>214565</v>
      </c>
      <c r="U62" s="491">
        <f>'25R6'!C60</f>
        <v>218973</v>
      </c>
      <c r="V62" s="491">
        <f>'26R7'!C60</f>
        <v>200665</v>
      </c>
      <c r="W62" s="491">
        <f>'27R8'!C60</f>
        <v>189081</v>
      </c>
      <c r="X62" s="491">
        <f>'28R9'!C60</f>
        <v>185638</v>
      </c>
      <c r="Y62" s="1113">
        <f t="shared" si="61"/>
        <v>-4.9000000000000004</v>
      </c>
      <c r="Z62" s="1113">
        <f t="shared" si="62"/>
        <v>-2.9</v>
      </c>
      <c r="AA62" s="1113">
        <f t="shared" si="63"/>
        <v>2</v>
      </c>
      <c r="AB62" s="1113">
        <f t="shared" si="63"/>
        <v>5.2</v>
      </c>
      <c r="AC62" s="1113">
        <f t="shared" si="63"/>
        <v>2.1</v>
      </c>
      <c r="AD62" s="1113">
        <f t="shared" si="63"/>
        <v>-8.4</v>
      </c>
      <c r="AE62" s="1113">
        <f t="shared" si="63"/>
        <v>-5.8</v>
      </c>
      <c r="AF62" s="1113">
        <f t="shared" si="63"/>
        <v>-1.8</v>
      </c>
    </row>
    <row r="63" spans="1:32">
      <c r="A63" s="89">
        <v>223</v>
      </c>
      <c r="B63" s="90" t="s">
        <v>223</v>
      </c>
      <c r="C63" s="75">
        <f>'7H18'!C61</f>
        <v>236325</v>
      </c>
      <c r="D63" s="75">
        <f>'8H19'!C61</f>
        <v>239360</v>
      </c>
      <c r="E63" s="75">
        <f>'9H20'!C61</f>
        <v>226911</v>
      </c>
      <c r="F63" s="75">
        <f>'10H21'!C61</f>
        <v>227964</v>
      </c>
      <c r="G63" s="737">
        <f>'11H22'!C61</f>
        <v>232449</v>
      </c>
      <c r="H63" s="737">
        <f>'12H23'!C61</f>
        <v>239846</v>
      </c>
      <c r="I63" s="75">
        <f>'13H24'!C61</f>
        <v>235463</v>
      </c>
      <c r="J63" s="75">
        <f>'14H25'!C61</f>
        <v>251241</v>
      </c>
      <c r="K63" s="75">
        <f>'15H26'!C61</f>
        <v>246041</v>
      </c>
      <c r="L63" s="75">
        <f>'16H27'!C61</f>
        <v>260176</v>
      </c>
      <c r="M63" s="75">
        <f>'17H28'!C61</f>
        <v>261402</v>
      </c>
      <c r="N63" s="75">
        <f>'18H29'!C61</f>
        <v>259627</v>
      </c>
      <c r="O63" s="75">
        <f>'19H30'!C61</f>
        <v>255415</v>
      </c>
      <c r="P63" s="75">
        <f>'20R1'!C61</f>
        <v>258231</v>
      </c>
      <c r="Q63" s="75">
        <f>'21R2'!C61</f>
        <v>247193</v>
      </c>
      <c r="R63" s="456">
        <f>'22R3'!C61</f>
        <v>260121</v>
      </c>
      <c r="S63" s="456">
        <f>'23R4'!C61</f>
        <v>260535</v>
      </c>
      <c r="T63" s="456">
        <f>'24R5'!C61</f>
        <v>267166</v>
      </c>
      <c r="U63" s="491">
        <f>'25R6'!C61</f>
        <v>289890</v>
      </c>
      <c r="V63" s="491">
        <f>'26R7'!C61</f>
        <v>282680</v>
      </c>
      <c r="W63" s="491">
        <f>'27R8'!C61</f>
        <v>269842</v>
      </c>
      <c r="X63" s="491">
        <f>'28R9'!C61</f>
        <v>271314</v>
      </c>
      <c r="Y63" s="1113">
        <f t="shared" si="61"/>
        <v>-4.3</v>
      </c>
      <c r="Z63" s="1113">
        <f t="shared" si="62"/>
        <v>5.2</v>
      </c>
      <c r="AA63" s="1113">
        <f t="shared" si="63"/>
        <v>0.2</v>
      </c>
      <c r="AB63" s="1113">
        <f t="shared" si="63"/>
        <v>2.5</v>
      </c>
      <c r="AC63" s="1113">
        <f t="shared" si="63"/>
        <v>8.5</v>
      </c>
      <c r="AD63" s="1113">
        <f t="shared" si="63"/>
        <v>-2.5</v>
      </c>
      <c r="AE63" s="1113">
        <f t="shared" si="63"/>
        <v>-4.5</v>
      </c>
      <c r="AF63" s="1113">
        <f t="shared" si="63"/>
        <v>0.5</v>
      </c>
    </row>
    <row r="64" spans="1:32">
      <c r="A64" s="92">
        <v>9</v>
      </c>
      <c r="B64" s="94" t="s">
        <v>212</v>
      </c>
      <c r="C64" s="75">
        <f>'7H18'!C62</f>
        <v>490289</v>
      </c>
      <c r="D64" s="75">
        <f>'8H19'!C62</f>
        <v>468118</v>
      </c>
      <c r="E64" s="75">
        <f>'9H20'!C62</f>
        <v>471662</v>
      </c>
      <c r="F64" s="75">
        <f>'10H21'!C62</f>
        <v>489197</v>
      </c>
      <c r="G64" s="737">
        <f>'11H22'!C62</f>
        <v>498133</v>
      </c>
      <c r="H64" s="737">
        <f>'12H23'!C62</f>
        <v>441034</v>
      </c>
      <c r="I64" s="75">
        <f>'13H24'!C62</f>
        <v>438016</v>
      </c>
      <c r="J64" s="75">
        <f>'14H25'!C62</f>
        <v>448165</v>
      </c>
      <c r="K64" s="75">
        <f>'15H26'!C62</f>
        <v>443917</v>
      </c>
      <c r="L64" s="75">
        <f>'16H27'!C62</f>
        <v>465211</v>
      </c>
      <c r="M64" s="75">
        <f>'17H28'!C62</f>
        <v>470451</v>
      </c>
      <c r="N64" s="75">
        <f>'18H29'!C62</f>
        <v>467945</v>
      </c>
      <c r="O64" s="75">
        <f>'19H30'!C62</f>
        <v>465034</v>
      </c>
      <c r="P64" s="75">
        <f>'20R1'!C62</f>
        <v>468995</v>
      </c>
      <c r="Q64" s="75">
        <f>'21R2'!C62</f>
        <v>441594</v>
      </c>
      <c r="R64" s="456">
        <f>'22R3'!C62</f>
        <v>452131</v>
      </c>
      <c r="S64" s="456">
        <f>'23R4'!C62</f>
        <v>475417</v>
      </c>
      <c r="T64" s="456">
        <f>'24R5'!C62</f>
        <v>501130</v>
      </c>
      <c r="U64" s="491">
        <f>'25R6'!C62</f>
        <v>570575</v>
      </c>
      <c r="V64" s="491">
        <f>'26R7'!C62</f>
        <v>577411</v>
      </c>
      <c r="W64" s="491">
        <f>'27R8'!C62</f>
        <v>543972</v>
      </c>
      <c r="X64" s="491">
        <f>'28R9'!C62</f>
        <v>524657</v>
      </c>
      <c r="Y64" s="1113">
        <f t="shared" si="61"/>
        <v>-5.8</v>
      </c>
      <c r="Z64" s="1113">
        <f t="shared" si="62"/>
        <v>2.4</v>
      </c>
      <c r="AA64" s="1113">
        <f t="shared" si="63"/>
        <v>5.2</v>
      </c>
      <c r="AB64" s="1113">
        <f t="shared" si="63"/>
        <v>5.4</v>
      </c>
      <c r="AC64" s="1113">
        <f t="shared" si="63"/>
        <v>13.9</v>
      </c>
      <c r="AD64" s="1113">
        <f t="shared" si="63"/>
        <v>1.2</v>
      </c>
      <c r="AE64" s="1113">
        <f t="shared" si="63"/>
        <v>-5.8</v>
      </c>
      <c r="AF64" s="1113">
        <f t="shared" si="63"/>
        <v>-3.6</v>
      </c>
    </row>
    <row r="65" spans="1:32">
      <c r="A65" s="92">
        <v>205</v>
      </c>
      <c r="B65" s="92" t="s">
        <v>241</v>
      </c>
      <c r="C65" s="75">
        <f>'7H18'!C63</f>
        <v>195347</v>
      </c>
      <c r="D65" s="75">
        <f>'8H19'!C63</f>
        <v>181885</v>
      </c>
      <c r="E65" s="75">
        <f>'9H20'!C63</f>
        <v>178186</v>
      </c>
      <c r="F65" s="75">
        <f>'10H21'!C63</f>
        <v>188590</v>
      </c>
      <c r="G65" s="737">
        <f>'11H22'!C63</f>
        <v>190810</v>
      </c>
      <c r="H65" s="737">
        <f>'12H23'!C63</f>
        <v>155744</v>
      </c>
      <c r="I65" s="75">
        <f>'13H24'!C63</f>
        <v>154460</v>
      </c>
      <c r="J65" s="75">
        <f>'14H25'!C63</f>
        <v>157693</v>
      </c>
      <c r="K65" s="75">
        <f>'15H26'!C63</f>
        <v>154806</v>
      </c>
      <c r="L65" s="75">
        <f>'16H27'!C63</f>
        <v>166404</v>
      </c>
      <c r="M65" s="75">
        <f>'17H28'!C63</f>
        <v>159950</v>
      </c>
      <c r="N65" s="75">
        <f>'18H29'!C63</f>
        <v>159140</v>
      </c>
      <c r="O65" s="75">
        <f>'19H30'!C63</f>
        <v>157981</v>
      </c>
      <c r="P65" s="75">
        <f>'20R1'!C63</f>
        <v>157474</v>
      </c>
      <c r="Q65" s="75">
        <f>'21R2'!C63</f>
        <v>148521</v>
      </c>
      <c r="R65" s="456">
        <f>'22R3'!C63</f>
        <v>154199</v>
      </c>
      <c r="S65" s="456">
        <f>'23R4'!C63</f>
        <v>167515</v>
      </c>
      <c r="T65" s="456">
        <f>'24R5'!C63</f>
        <v>175079</v>
      </c>
      <c r="U65" s="491">
        <f>'25R6'!C63</f>
        <v>200859</v>
      </c>
      <c r="V65" s="491">
        <f>'26R7'!C63</f>
        <v>196769</v>
      </c>
      <c r="W65" s="491">
        <f>'27R8'!C63</f>
        <v>174325</v>
      </c>
      <c r="X65" s="491">
        <f>'28R9'!C63</f>
        <v>170528</v>
      </c>
      <c r="Y65" s="1113">
        <f t="shared" si="61"/>
        <v>-5.7</v>
      </c>
      <c r="Z65" s="1113">
        <f t="shared" si="62"/>
        <v>3.8</v>
      </c>
      <c r="AA65" s="1113">
        <f t="shared" si="63"/>
        <v>8.6</v>
      </c>
      <c r="AB65" s="1113">
        <f t="shared" si="63"/>
        <v>4.5</v>
      </c>
      <c r="AC65" s="1113">
        <f t="shared" si="63"/>
        <v>14.7</v>
      </c>
      <c r="AD65" s="1113">
        <f t="shared" si="63"/>
        <v>-2</v>
      </c>
      <c r="AE65" s="1113">
        <f t="shared" si="63"/>
        <v>-11.4</v>
      </c>
      <c r="AF65" s="1113">
        <f t="shared" si="63"/>
        <v>-2.2000000000000002</v>
      </c>
    </row>
    <row r="66" spans="1:32">
      <c r="A66" s="89">
        <v>224</v>
      </c>
      <c r="B66" s="90" t="s">
        <v>224</v>
      </c>
      <c r="C66" s="75">
        <f>'7H18'!C64</f>
        <v>156514</v>
      </c>
      <c r="D66" s="75">
        <f>'8H19'!C64</f>
        <v>149642</v>
      </c>
      <c r="E66" s="75">
        <f>'9H20'!C64</f>
        <v>154709</v>
      </c>
      <c r="F66" s="75">
        <f>'10H21'!C64</f>
        <v>157402</v>
      </c>
      <c r="G66" s="737">
        <f>'11H22'!C64</f>
        <v>164774</v>
      </c>
      <c r="H66" s="737">
        <f>'12H23'!C64</f>
        <v>153569</v>
      </c>
      <c r="I66" s="75">
        <f>'13H24'!C64</f>
        <v>146999</v>
      </c>
      <c r="J66" s="75">
        <f>'14H25'!C64</f>
        <v>154070</v>
      </c>
      <c r="K66" s="75">
        <f>'15H26'!C64</f>
        <v>153631</v>
      </c>
      <c r="L66" s="75">
        <f>'16H27'!C64</f>
        <v>161900</v>
      </c>
      <c r="M66" s="75">
        <f>'17H28'!C64</f>
        <v>162641</v>
      </c>
      <c r="N66" s="75">
        <f>'18H29'!C64</f>
        <v>163394</v>
      </c>
      <c r="O66" s="75">
        <f>'19H30'!C64</f>
        <v>162143</v>
      </c>
      <c r="P66" s="75">
        <f>'20R1'!C64</f>
        <v>162153</v>
      </c>
      <c r="Q66" s="75">
        <f>'21R2'!C64</f>
        <v>150844</v>
      </c>
      <c r="R66" s="456">
        <f>'22R3'!C64</f>
        <v>148754</v>
      </c>
      <c r="S66" s="456">
        <f>'23R4'!C64</f>
        <v>153571</v>
      </c>
      <c r="T66" s="456">
        <f>'24R5'!C64</f>
        <v>162495</v>
      </c>
      <c r="U66" s="491">
        <f>'25R6'!C64</f>
        <v>186665</v>
      </c>
      <c r="V66" s="491">
        <f>'26R7'!C64</f>
        <v>186028</v>
      </c>
      <c r="W66" s="491">
        <f>'27R8'!C64</f>
        <v>173864</v>
      </c>
      <c r="X66" s="491">
        <f>'28R9'!C64</f>
        <v>168855</v>
      </c>
      <c r="Y66" s="1113">
        <f t="shared" si="61"/>
        <v>-7</v>
      </c>
      <c r="Z66" s="1113">
        <f t="shared" si="62"/>
        <v>-1.4</v>
      </c>
      <c r="AA66" s="1113">
        <f t="shared" si="63"/>
        <v>3.2</v>
      </c>
      <c r="AB66" s="1113">
        <f t="shared" si="63"/>
        <v>5.8</v>
      </c>
      <c r="AC66" s="1113">
        <f t="shared" si="63"/>
        <v>14.9</v>
      </c>
      <c r="AD66" s="1113">
        <f t="shared" si="63"/>
        <v>-0.3</v>
      </c>
      <c r="AE66" s="1113">
        <f t="shared" si="63"/>
        <v>-6.5</v>
      </c>
      <c r="AF66" s="1113">
        <f t="shared" si="63"/>
        <v>-2.9</v>
      </c>
    </row>
    <row r="67" spans="1:32">
      <c r="A67" s="204">
        <v>226</v>
      </c>
      <c r="B67" s="201" t="s">
        <v>225</v>
      </c>
      <c r="C67" s="132">
        <f>'7H18'!C65</f>
        <v>138428</v>
      </c>
      <c r="D67" s="132">
        <f>'8H19'!C65</f>
        <v>136591</v>
      </c>
      <c r="E67" s="132">
        <f>'9H20'!C65</f>
        <v>138767</v>
      </c>
      <c r="F67" s="132">
        <f>'10H21'!C65</f>
        <v>143205</v>
      </c>
      <c r="G67" s="738">
        <f>'11H22'!C65</f>
        <v>142549</v>
      </c>
      <c r="H67" s="738">
        <f>'12H23'!C65</f>
        <v>131721</v>
      </c>
      <c r="I67" s="132">
        <f>'13H24'!C65</f>
        <v>136557</v>
      </c>
      <c r="J67" s="132">
        <f>'14H25'!C65</f>
        <v>136402</v>
      </c>
      <c r="K67" s="132">
        <f>'15H26'!C65</f>
        <v>135480</v>
      </c>
      <c r="L67" s="132">
        <f>'16H27'!C65</f>
        <v>136907</v>
      </c>
      <c r="M67" s="132">
        <f>'17H28'!C65</f>
        <v>147860</v>
      </c>
      <c r="N67" s="132">
        <f>'18H29'!C65</f>
        <v>145411</v>
      </c>
      <c r="O67" s="132">
        <f>'19H30'!C65</f>
        <v>144910</v>
      </c>
      <c r="P67" s="132">
        <f>'20R1'!C65</f>
        <v>149368</v>
      </c>
      <c r="Q67" s="132">
        <f>'21R2'!C65</f>
        <v>142229</v>
      </c>
      <c r="R67" s="461">
        <f>'22R3'!C65</f>
        <v>149178</v>
      </c>
      <c r="S67" s="461">
        <f>'23R4'!C65</f>
        <v>154331</v>
      </c>
      <c r="T67" s="461">
        <f>'24R5'!C65</f>
        <v>163556</v>
      </c>
      <c r="U67" s="477">
        <f>'25R6'!C65</f>
        <v>183051</v>
      </c>
      <c r="V67" s="477">
        <f>'26R7'!C65</f>
        <v>194614</v>
      </c>
      <c r="W67" s="477">
        <f>'27R8'!C65</f>
        <v>195783</v>
      </c>
      <c r="X67" s="477">
        <f>'28R9'!C65</f>
        <v>185274</v>
      </c>
      <c r="Y67" s="1114">
        <f t="shared" si="61"/>
        <v>-4.8</v>
      </c>
      <c r="Z67" s="1114">
        <f t="shared" si="62"/>
        <v>4.9000000000000004</v>
      </c>
      <c r="AA67" s="1114">
        <f t="shared" si="63"/>
        <v>3.5</v>
      </c>
      <c r="AB67" s="1114">
        <f t="shared" si="63"/>
        <v>6</v>
      </c>
      <c r="AC67" s="1114">
        <f t="shared" si="63"/>
        <v>11.9</v>
      </c>
      <c r="AD67" s="1114">
        <f t="shared" si="63"/>
        <v>6.3</v>
      </c>
      <c r="AE67" s="1114">
        <f t="shared" si="63"/>
        <v>0.6</v>
      </c>
      <c r="AF67" s="1114">
        <f t="shared" si="63"/>
        <v>-5.4</v>
      </c>
    </row>
    <row r="68" spans="1:32">
      <c r="A68" s="75" t="s">
        <v>822</v>
      </c>
      <c r="G68" s="740"/>
      <c r="H68" s="740"/>
      <c r="R68" s="456" t="s">
        <v>1184</v>
      </c>
      <c r="S68" s="456" t="s">
        <v>11</v>
      </c>
      <c r="T68" s="456" t="s">
        <v>11</v>
      </c>
      <c r="U68" s="491" t="s">
        <v>11</v>
      </c>
      <c r="V68" s="491" t="s">
        <v>11</v>
      </c>
      <c r="W68" s="491" t="s">
        <v>11</v>
      </c>
      <c r="X68" s="491" t="s">
        <v>11</v>
      </c>
      <c r="Y68" s="491"/>
      <c r="Z68" s="491"/>
      <c r="AA68" s="491"/>
      <c r="AB68" s="491"/>
      <c r="AC68" s="491"/>
      <c r="AD68" s="491"/>
      <c r="AE68" s="491"/>
      <c r="AF68" s="491"/>
    </row>
    <row r="69" spans="1:32">
      <c r="B69" s="75" t="s">
        <v>596</v>
      </c>
      <c r="C69" s="75">
        <f t="shared" ref="C69:O69" si="64">C18+SUM(C20:C22)+SUM(C24:C26)+C30+C37+SUM(C65:C67)</f>
        <v>12480548</v>
      </c>
      <c r="D69" s="75">
        <f t="shared" si="64"/>
        <v>12393284</v>
      </c>
      <c r="E69" s="75">
        <f t="shared" si="64"/>
        <v>12724527</v>
      </c>
      <c r="F69" s="75">
        <f t="shared" si="64"/>
        <v>13099877</v>
      </c>
      <c r="G69" s="740">
        <f t="shared" si="64"/>
        <v>13743573</v>
      </c>
      <c r="H69" s="740">
        <f t="shared" si="64"/>
        <v>12795317</v>
      </c>
      <c r="I69" s="75">
        <f t="shared" si="64"/>
        <v>12742665</v>
      </c>
      <c r="J69" s="75">
        <f t="shared" si="64"/>
        <v>12986149</v>
      </c>
      <c r="K69" s="75">
        <f t="shared" si="64"/>
        <v>13175051</v>
      </c>
      <c r="L69" s="75">
        <f t="shared" si="64"/>
        <v>13860801</v>
      </c>
      <c r="M69" s="75">
        <f t="shared" si="64"/>
        <v>13940922</v>
      </c>
      <c r="N69" s="75">
        <f t="shared" si="64"/>
        <v>14139452</v>
      </c>
      <c r="O69" s="75">
        <f t="shared" si="64"/>
        <v>14128757</v>
      </c>
      <c r="P69" s="75">
        <f t="shared" ref="P69:U69" si="65">P18+SUM(P20:P22)+SUM(P24:P26)+P30+P37+SUM(P65:P67)</f>
        <v>14325697</v>
      </c>
      <c r="Q69" s="75">
        <f t="shared" si="65"/>
        <v>13810980</v>
      </c>
      <c r="R69" s="456">
        <f t="shared" si="65"/>
        <v>14193803</v>
      </c>
      <c r="S69" s="456">
        <f t="shared" si="65"/>
        <v>14775612</v>
      </c>
      <c r="T69" s="456">
        <f t="shared" si="65"/>
        <v>15284824</v>
      </c>
      <c r="U69" s="491">
        <f t="shared" si="65"/>
        <v>15975084.029524138</v>
      </c>
      <c r="V69" s="491">
        <f t="shared" ref="V69:W69" si="66">V18+SUM(V20:V22)+SUM(V24:V26)+V30+V37+SUM(V65:V67)</f>
        <v>16728120.311163468</v>
      </c>
      <c r="W69" s="491">
        <f t="shared" si="66"/>
        <v>17042989.02952414</v>
      </c>
      <c r="X69" s="491">
        <f t="shared" ref="X69" si="67">X18+SUM(X20:X22)+SUM(X24:X26)+X30+X37+SUM(X65:X67)</f>
        <v>17303761.02952414</v>
      </c>
      <c r="Y69" s="1115">
        <f t="shared" ref="Y69:AF69" si="68">ROUND((Q69-P69)/P69*100,1)</f>
        <v>-3.6</v>
      </c>
      <c r="Z69" s="1115">
        <f t="shared" si="68"/>
        <v>2.8</v>
      </c>
      <c r="AA69" s="1115">
        <f t="shared" si="68"/>
        <v>4.0999999999999996</v>
      </c>
      <c r="AB69" s="1115">
        <f t="shared" si="68"/>
        <v>3.4</v>
      </c>
      <c r="AC69" s="1115">
        <f t="shared" si="68"/>
        <v>4.5</v>
      </c>
      <c r="AD69" s="1115">
        <f t="shared" si="68"/>
        <v>4.7</v>
      </c>
      <c r="AE69" s="1115">
        <f t="shared" si="68"/>
        <v>1.9</v>
      </c>
      <c r="AF69" s="1115">
        <f t="shared" si="68"/>
        <v>1.5</v>
      </c>
    </row>
    <row r="70" spans="1:32">
      <c r="B70" s="75" t="s">
        <v>1505</v>
      </c>
    </row>
  </sheetData>
  <phoneticPr fontId="13"/>
  <pageMargins left="0.75" right="0.75" top="1" bottom="1" header="0.51200000000000001" footer="0.51200000000000001"/>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CAA2-5942-4A85-BF73-9BD963E49225}">
  <sheetPr codeName="Sheet7">
    <tabColor theme="9" tint="0.79998168889431442"/>
  </sheetPr>
  <dimension ref="A1:AF136"/>
  <sheetViews>
    <sheetView workbookViewId="0">
      <pane xSplit="2" ySplit="5" topLeftCell="S6" activePane="bottomRight" state="frozen"/>
      <selection pane="topRight" activeCell="C1" sqref="C1"/>
      <selection pane="bottomLeft" activeCell="A6" sqref="A6"/>
      <selection pane="bottomRight" activeCell="U19" sqref="U19"/>
    </sheetView>
  </sheetViews>
  <sheetFormatPr defaultColWidth="8.7109375" defaultRowHeight="13"/>
  <cols>
    <col min="1" max="1" width="3.92578125" style="75" customWidth="1"/>
    <col min="2" max="2" width="9.2109375" style="75" customWidth="1"/>
    <col min="3" max="5" width="8.7109375" style="75"/>
    <col min="6" max="6" width="9.0703125" style="75" bestFit="1" customWidth="1"/>
    <col min="7" max="11" width="8.7109375" style="75"/>
    <col min="12" max="12" width="9.42578125" style="75" customWidth="1"/>
    <col min="13" max="24" width="8.5" style="75" customWidth="1"/>
    <col min="25" max="29" width="5.92578125" style="75" customWidth="1"/>
    <col min="30" max="32" width="5.7109375" style="75" customWidth="1"/>
    <col min="33" max="16384" width="8.7109375" style="75"/>
  </cols>
  <sheetData>
    <row r="1" spans="1:32">
      <c r="A1" s="86"/>
      <c r="B1" s="65" t="s">
        <v>1500</v>
      </c>
      <c r="E1" s="75" t="s">
        <v>11</v>
      </c>
      <c r="F1" s="75" t="s">
        <v>627</v>
      </c>
      <c r="G1" s="75" t="s">
        <v>11</v>
      </c>
      <c r="H1" s="316" t="s">
        <v>11</v>
      </c>
      <c r="I1" s="453" t="s">
        <v>11</v>
      </c>
      <c r="J1" s="75" t="s">
        <v>627</v>
      </c>
      <c r="K1" s="75" t="s">
        <v>11</v>
      </c>
      <c r="L1" s="75" t="s">
        <v>627</v>
      </c>
      <c r="M1" s="75" t="s">
        <v>11</v>
      </c>
      <c r="N1" s="75" t="s">
        <v>627</v>
      </c>
      <c r="P1" s="75" t="s">
        <v>11</v>
      </c>
      <c r="Q1" s="628"/>
      <c r="R1" s="628"/>
      <c r="S1" s="75" t="s">
        <v>680</v>
      </c>
      <c r="T1" s="628"/>
      <c r="U1" s="628" t="s">
        <v>14</v>
      </c>
      <c r="V1" s="628" t="s">
        <v>14</v>
      </c>
      <c r="W1" s="628"/>
      <c r="X1" s="628"/>
      <c r="Y1" s="75" t="s">
        <v>1517</v>
      </c>
    </row>
    <row r="2" spans="1:32">
      <c r="A2" s="86"/>
      <c r="B2" s="65"/>
      <c r="T2" s="453"/>
      <c r="U2" s="453">
        <f>兵庫QE実質!C147</f>
        <v>22926997</v>
      </c>
      <c r="V2" s="1885" t="s">
        <v>818</v>
      </c>
      <c r="W2" s="1118"/>
      <c r="X2" s="1118"/>
      <c r="Y2" s="157" t="s">
        <v>1114</v>
      </c>
    </row>
    <row r="3" spans="1:32" ht="14.25" customHeight="1">
      <c r="A3" s="68"/>
      <c r="B3" s="1035" t="s">
        <v>319</v>
      </c>
      <c r="C3" s="914">
        <v>2006</v>
      </c>
      <c r="D3" s="914">
        <v>2007</v>
      </c>
      <c r="E3" s="914">
        <v>2008</v>
      </c>
      <c r="F3" s="914">
        <v>2009</v>
      </c>
      <c r="G3" s="914">
        <v>2010</v>
      </c>
      <c r="H3" s="914">
        <v>2011</v>
      </c>
      <c r="I3" s="675">
        <v>2012</v>
      </c>
      <c r="J3" s="675">
        <v>2013</v>
      </c>
      <c r="K3" s="675">
        <v>2014</v>
      </c>
      <c r="L3" s="675">
        <v>2015</v>
      </c>
      <c r="M3" s="675">
        <v>2016</v>
      </c>
      <c r="N3" s="675">
        <v>2017</v>
      </c>
      <c r="O3" s="675">
        <v>2018</v>
      </c>
      <c r="P3" s="914">
        <v>2019</v>
      </c>
      <c r="Q3" s="675">
        <v>2020</v>
      </c>
      <c r="R3" s="675">
        <v>2021</v>
      </c>
      <c r="S3" s="675">
        <v>2022</v>
      </c>
      <c r="T3" s="675">
        <v>2023</v>
      </c>
      <c r="U3" s="475">
        <v>2024</v>
      </c>
      <c r="V3" s="475">
        <v>2025</v>
      </c>
      <c r="W3" s="475">
        <v>2026</v>
      </c>
      <c r="X3" s="476">
        <v>2027</v>
      </c>
      <c r="Y3" s="1068"/>
      <c r="Z3" s="1068"/>
      <c r="AA3" s="1068"/>
      <c r="AB3" s="1068"/>
      <c r="AC3" s="1068"/>
      <c r="AD3" s="1068"/>
      <c r="AE3" s="1068"/>
      <c r="AF3" s="1068"/>
    </row>
    <row r="4" spans="1:32">
      <c r="A4" s="62"/>
      <c r="B4" s="62"/>
      <c r="C4" s="1911" t="s">
        <v>369</v>
      </c>
      <c r="D4" s="1911" t="s">
        <v>370</v>
      </c>
      <c r="E4" s="456" t="s">
        <v>750</v>
      </c>
      <c r="F4" s="456" t="s">
        <v>856</v>
      </c>
      <c r="G4" s="456" t="s">
        <v>911</v>
      </c>
      <c r="H4" s="456" t="s">
        <v>96</v>
      </c>
      <c r="I4" s="456" t="s">
        <v>118</v>
      </c>
      <c r="J4" s="456" t="s">
        <v>119</v>
      </c>
      <c r="K4" s="456" t="s">
        <v>67</v>
      </c>
      <c r="L4" s="456" t="s">
        <v>157</v>
      </c>
      <c r="M4" s="456" t="s">
        <v>1000</v>
      </c>
      <c r="N4" s="456" t="s">
        <v>1036</v>
      </c>
      <c r="O4" s="456" t="s">
        <v>1062</v>
      </c>
      <c r="P4" s="456" t="s">
        <v>1161</v>
      </c>
      <c r="Q4" s="456" t="s">
        <v>1129</v>
      </c>
      <c r="R4" s="456" t="s">
        <v>1160</v>
      </c>
      <c r="S4" s="456" t="s">
        <v>1200</v>
      </c>
      <c r="T4" s="456" t="s">
        <v>1234</v>
      </c>
      <c r="U4" s="257" t="s">
        <v>1561</v>
      </c>
      <c r="V4" s="257" t="s">
        <v>1603</v>
      </c>
      <c r="W4" s="257" t="s">
        <v>1745</v>
      </c>
      <c r="X4" s="491" t="s">
        <v>1783</v>
      </c>
      <c r="Y4" s="1069" t="s">
        <v>1163</v>
      </c>
      <c r="Z4" s="1069" t="s">
        <v>1176</v>
      </c>
      <c r="AA4" s="1069" t="s">
        <v>1199</v>
      </c>
      <c r="AB4" s="1069" t="s">
        <v>1235</v>
      </c>
      <c r="AC4" s="1069" t="s">
        <v>1562</v>
      </c>
      <c r="AD4" s="1069" t="s">
        <v>1722</v>
      </c>
      <c r="AE4" s="1069" t="s">
        <v>1769</v>
      </c>
      <c r="AF4" s="1069" t="s">
        <v>1784</v>
      </c>
    </row>
    <row r="5" spans="1:32">
      <c r="A5" s="62"/>
      <c r="B5" s="62" t="s">
        <v>320</v>
      </c>
      <c r="C5" s="1074"/>
      <c r="D5" s="1074"/>
      <c r="E5" s="1074"/>
      <c r="F5" s="1074"/>
      <c r="G5" s="1074"/>
      <c r="H5" s="1074"/>
      <c r="I5" s="1074"/>
      <c r="J5" s="1074"/>
      <c r="K5" s="1074"/>
      <c r="L5" s="1074"/>
      <c r="M5" s="1074"/>
      <c r="N5" s="1074"/>
      <c r="O5" s="1074"/>
      <c r="P5" s="1074"/>
      <c r="Q5" s="1074"/>
      <c r="R5" s="1074"/>
      <c r="S5" s="1074"/>
      <c r="T5" s="1074"/>
      <c r="U5" s="1074">
        <f t="shared" ref="U5" si="0">U6-U2</f>
        <v>0</v>
      </c>
      <c r="V5" s="461"/>
      <c r="W5" s="461"/>
      <c r="X5" s="477"/>
      <c r="Y5" s="461"/>
      <c r="Z5" s="461"/>
      <c r="AA5" s="461"/>
      <c r="AB5" s="461"/>
      <c r="AC5" s="461"/>
      <c r="AD5" s="461"/>
      <c r="AE5" s="461"/>
      <c r="AF5" s="461"/>
    </row>
    <row r="6" spans="1:32">
      <c r="A6" s="129"/>
      <c r="B6" s="203" t="s">
        <v>166</v>
      </c>
      <c r="C6" s="1070">
        <f t="shared" ref="C6:P6" si="1">SUM(C7:C16)</f>
        <v>20501654</v>
      </c>
      <c r="D6" s="1070">
        <f t="shared" si="1"/>
        <v>21207935</v>
      </c>
      <c r="E6" s="1070">
        <f t="shared" si="1"/>
        <v>20888191</v>
      </c>
      <c r="F6" s="1070">
        <f t="shared" si="1"/>
        <v>19517905</v>
      </c>
      <c r="G6" s="1070">
        <f t="shared" si="1"/>
        <v>20926525</v>
      </c>
      <c r="H6" s="1071">
        <f t="shared" si="1"/>
        <v>20641997</v>
      </c>
      <c r="I6" s="1071">
        <f t="shared" si="1"/>
        <v>20585255</v>
      </c>
      <c r="J6" s="1071">
        <f t="shared" si="1"/>
        <v>21339377</v>
      </c>
      <c r="K6" s="1072">
        <f t="shared" si="1"/>
        <v>21092930</v>
      </c>
      <c r="L6" s="1072">
        <f t="shared" si="1"/>
        <v>21764162</v>
      </c>
      <c r="M6" s="1072">
        <f t="shared" si="1"/>
        <v>21938484</v>
      </c>
      <c r="N6" s="1072">
        <f t="shared" si="1"/>
        <v>22281249</v>
      </c>
      <c r="O6" s="1072">
        <f t="shared" si="1"/>
        <v>22230964</v>
      </c>
      <c r="P6" s="1072">
        <f t="shared" si="1"/>
        <v>22373322</v>
      </c>
      <c r="Q6" s="1913">
        <f>SUM(Q7:Q16)</f>
        <v>21583878</v>
      </c>
      <c r="R6" s="1913">
        <f t="shared" ref="R6:S6" si="2">SUM(R7:R16)</f>
        <v>22305839</v>
      </c>
      <c r="S6" s="1913">
        <f t="shared" si="2"/>
        <v>22878289</v>
      </c>
      <c r="T6" s="1913">
        <f t="shared" ref="T6:U6" si="3">SUM(T7:T16)</f>
        <v>22921318</v>
      </c>
      <c r="U6" s="1073">
        <f t="shared" si="3"/>
        <v>22926997</v>
      </c>
      <c r="V6" s="1073">
        <f t="shared" ref="V6:W6" si="4">SUM(V7:V16)</f>
        <v>22893102</v>
      </c>
      <c r="W6" s="1073">
        <f t="shared" si="4"/>
        <v>22784536</v>
      </c>
      <c r="X6" s="1073">
        <f t="shared" ref="X6" si="5">SUM(X7:X16)</f>
        <v>22672499</v>
      </c>
      <c r="Y6" s="588">
        <f t="shared" ref="Y6:Y16" si="6">ROUND((Q6-P6)/P6*100,1)</f>
        <v>-3.5</v>
      </c>
      <c r="Z6" s="588">
        <f t="shared" ref="Z6:Z16" si="7">ROUND((R6-Q6)/Q6*100,1)</f>
        <v>3.3</v>
      </c>
      <c r="AA6" s="588">
        <f t="shared" ref="AA6:AF16" si="8">ROUND((S6-R6)/R6*100,1)</f>
        <v>2.6</v>
      </c>
      <c r="AB6" s="588">
        <f t="shared" si="8"/>
        <v>0.2</v>
      </c>
      <c r="AC6" s="588">
        <f t="shared" si="8"/>
        <v>0</v>
      </c>
      <c r="AD6" s="588">
        <f t="shared" si="8"/>
        <v>-0.1</v>
      </c>
      <c r="AE6" s="588">
        <f t="shared" si="8"/>
        <v>-0.5</v>
      </c>
      <c r="AF6" s="588">
        <f t="shared" si="8"/>
        <v>-0.5</v>
      </c>
    </row>
    <row r="7" spans="1:32">
      <c r="A7" s="90">
        <v>100</v>
      </c>
      <c r="B7" s="75" t="s">
        <v>172</v>
      </c>
      <c r="C7" s="1070">
        <f t="shared" ref="C7:S8" si="9">C18</f>
        <v>6386662</v>
      </c>
      <c r="D7" s="1070">
        <f t="shared" si="9"/>
        <v>6593938</v>
      </c>
      <c r="E7" s="1070">
        <f t="shared" si="9"/>
        <v>6531582</v>
      </c>
      <c r="F7" s="1070">
        <f t="shared" si="9"/>
        <v>6331426</v>
      </c>
      <c r="G7" s="1070">
        <f t="shared" si="9"/>
        <v>6751675</v>
      </c>
      <c r="H7" s="1071">
        <f t="shared" si="9"/>
        <v>6639825</v>
      </c>
      <c r="I7" s="1071">
        <f t="shared" si="9"/>
        <v>6575277</v>
      </c>
      <c r="J7" s="1071">
        <f t="shared" si="9"/>
        <v>6661471</v>
      </c>
      <c r="K7" s="1071">
        <f t="shared" si="9"/>
        <v>6653923</v>
      </c>
      <c r="L7" s="1071">
        <f t="shared" si="9"/>
        <v>6867175</v>
      </c>
      <c r="M7" s="1071">
        <f t="shared" si="9"/>
        <v>6876921</v>
      </c>
      <c r="N7" s="1071">
        <f t="shared" si="9"/>
        <v>6982935</v>
      </c>
      <c r="O7" s="1071">
        <f t="shared" si="9"/>
        <v>6948898</v>
      </c>
      <c r="P7" s="1071">
        <f t="shared" si="9"/>
        <v>7052438</v>
      </c>
      <c r="Q7" s="1070">
        <f t="shared" si="9"/>
        <v>6730443</v>
      </c>
      <c r="R7" s="1070">
        <f t="shared" si="9"/>
        <v>6858498</v>
      </c>
      <c r="S7" s="1070">
        <f t="shared" si="9"/>
        <v>7136502</v>
      </c>
      <c r="T7" s="1070">
        <f t="shared" ref="T7:U7" si="10">T18</f>
        <v>7194583</v>
      </c>
      <c r="U7" s="199">
        <f t="shared" si="10"/>
        <v>7142338</v>
      </c>
      <c r="V7" s="199">
        <f t="shared" ref="V7:W7" si="11">V18</f>
        <v>6717361</v>
      </c>
      <c r="W7" s="199">
        <f t="shared" si="11"/>
        <v>6562647</v>
      </c>
      <c r="X7" s="199">
        <f t="shared" ref="X7" si="12">X18</f>
        <v>6493390</v>
      </c>
      <c r="Y7" s="588">
        <f t="shared" si="6"/>
        <v>-4.5999999999999996</v>
      </c>
      <c r="Z7" s="588">
        <f t="shared" si="7"/>
        <v>1.9</v>
      </c>
      <c r="AA7" s="588">
        <f t="shared" si="8"/>
        <v>4.0999999999999996</v>
      </c>
      <c r="AB7" s="588">
        <f t="shared" si="8"/>
        <v>0.8</v>
      </c>
      <c r="AC7" s="588">
        <f t="shared" si="8"/>
        <v>-0.7</v>
      </c>
      <c r="AD7" s="588">
        <f t="shared" si="8"/>
        <v>-6</v>
      </c>
      <c r="AE7" s="588">
        <f t="shared" si="8"/>
        <v>-2.2999999999999998</v>
      </c>
      <c r="AF7" s="588">
        <f t="shared" si="8"/>
        <v>-1.1000000000000001</v>
      </c>
    </row>
    <row r="8" spans="1:32">
      <c r="A8" s="90" t="s">
        <v>932</v>
      </c>
      <c r="B8" s="75" t="s">
        <v>323</v>
      </c>
      <c r="C8" s="1070">
        <f t="shared" si="9"/>
        <v>3131716</v>
      </c>
      <c r="D8" s="1070">
        <f t="shared" si="9"/>
        <v>3261907</v>
      </c>
      <c r="E8" s="1070">
        <f t="shared" si="9"/>
        <v>3153042</v>
      </c>
      <c r="F8" s="1070">
        <f t="shared" si="9"/>
        <v>2981059</v>
      </c>
      <c r="G8" s="1070">
        <f t="shared" si="9"/>
        <v>3312417</v>
      </c>
      <c r="H8" s="1071">
        <f t="shared" si="9"/>
        <v>3350389</v>
      </c>
      <c r="I8" s="1071">
        <f t="shared" si="9"/>
        <v>3282530</v>
      </c>
      <c r="J8" s="1071">
        <f t="shared" si="9"/>
        <v>3433560</v>
      </c>
      <c r="K8" s="1071">
        <f t="shared" si="9"/>
        <v>3365087</v>
      </c>
      <c r="L8" s="1071">
        <f t="shared" si="9"/>
        <v>3541195</v>
      </c>
      <c r="M8" s="1071">
        <f t="shared" si="9"/>
        <v>3554025</v>
      </c>
      <c r="N8" s="1071">
        <f t="shared" si="9"/>
        <v>3669939</v>
      </c>
      <c r="O8" s="1071">
        <f t="shared" si="9"/>
        <v>3640991</v>
      </c>
      <c r="P8" s="1071">
        <f t="shared" si="9"/>
        <v>3679482</v>
      </c>
      <c r="Q8" s="1070">
        <f t="shared" si="9"/>
        <v>3473285</v>
      </c>
      <c r="R8" s="1070">
        <f t="shared" si="9"/>
        <v>3648568</v>
      </c>
      <c r="S8" s="1070">
        <f t="shared" si="9"/>
        <v>3687169</v>
      </c>
      <c r="T8" s="1070">
        <f t="shared" ref="T8:U8" si="13">T19</f>
        <v>3734693</v>
      </c>
      <c r="U8" s="199">
        <f t="shared" si="13"/>
        <v>3844538</v>
      </c>
      <c r="V8" s="199">
        <f t="shared" ref="V8:W8" si="14">V19</f>
        <v>4029049</v>
      </c>
      <c r="W8" s="199">
        <f t="shared" si="14"/>
        <v>4090444</v>
      </c>
      <c r="X8" s="199">
        <f t="shared" ref="X8" si="15">X19</f>
        <v>4095373</v>
      </c>
      <c r="Y8" s="588">
        <f t="shared" si="6"/>
        <v>-5.6</v>
      </c>
      <c r="Z8" s="588">
        <f t="shared" si="7"/>
        <v>5</v>
      </c>
      <c r="AA8" s="588">
        <f t="shared" si="8"/>
        <v>1.1000000000000001</v>
      </c>
      <c r="AB8" s="588">
        <f t="shared" si="8"/>
        <v>1.3</v>
      </c>
      <c r="AC8" s="588">
        <f t="shared" si="8"/>
        <v>2.9</v>
      </c>
      <c r="AD8" s="588">
        <f t="shared" si="8"/>
        <v>4.8</v>
      </c>
      <c r="AE8" s="588">
        <f t="shared" si="8"/>
        <v>1.5</v>
      </c>
      <c r="AF8" s="588">
        <f t="shared" si="8"/>
        <v>0.1</v>
      </c>
    </row>
    <row r="9" spans="1:32">
      <c r="A9" s="90">
        <v>2</v>
      </c>
      <c r="B9" s="75" t="s">
        <v>324</v>
      </c>
      <c r="C9" s="1070">
        <f t="shared" ref="C9:S9" si="16">C23</f>
        <v>1894608</v>
      </c>
      <c r="D9" s="1070">
        <f t="shared" si="16"/>
        <v>1946526</v>
      </c>
      <c r="E9" s="1070">
        <f t="shared" si="16"/>
        <v>1868619</v>
      </c>
      <c r="F9" s="1070">
        <f t="shared" si="16"/>
        <v>1773677</v>
      </c>
      <c r="G9" s="1070">
        <f t="shared" si="16"/>
        <v>1893868</v>
      </c>
      <c r="H9" s="1071">
        <f t="shared" si="16"/>
        <v>1978032</v>
      </c>
      <c r="I9" s="1071">
        <f t="shared" si="16"/>
        <v>2021539</v>
      </c>
      <c r="J9" s="1071">
        <f t="shared" si="16"/>
        <v>2042568</v>
      </c>
      <c r="K9" s="1071">
        <f t="shared" si="16"/>
        <v>1983242</v>
      </c>
      <c r="L9" s="1071">
        <f t="shared" si="16"/>
        <v>2055211</v>
      </c>
      <c r="M9" s="1071">
        <f t="shared" si="16"/>
        <v>2140771</v>
      </c>
      <c r="N9" s="1071">
        <f t="shared" si="16"/>
        <v>2115075</v>
      </c>
      <c r="O9" s="1071">
        <f t="shared" si="16"/>
        <v>2107148</v>
      </c>
      <c r="P9" s="1071">
        <f t="shared" si="16"/>
        <v>2063186</v>
      </c>
      <c r="Q9" s="1070">
        <f t="shared" si="16"/>
        <v>2018040</v>
      </c>
      <c r="R9" s="1070">
        <f t="shared" si="16"/>
        <v>2177625</v>
      </c>
      <c r="S9" s="1070">
        <f t="shared" si="16"/>
        <v>2220509</v>
      </c>
      <c r="T9" s="1070">
        <f t="shared" ref="T9:U9" si="17">T23</f>
        <v>2291123</v>
      </c>
      <c r="U9" s="199">
        <f t="shared" si="17"/>
        <v>2413003</v>
      </c>
      <c r="V9" s="199">
        <f t="shared" ref="V9:W9" si="18">V23</f>
        <v>2799765</v>
      </c>
      <c r="W9" s="199">
        <f t="shared" si="18"/>
        <v>2987520</v>
      </c>
      <c r="X9" s="199">
        <f t="shared" ref="X9" si="19">X23</f>
        <v>3043130</v>
      </c>
      <c r="Y9" s="588">
        <f t="shared" si="6"/>
        <v>-2.2000000000000002</v>
      </c>
      <c r="Z9" s="588">
        <f t="shared" si="7"/>
        <v>7.9</v>
      </c>
      <c r="AA9" s="588">
        <f t="shared" si="8"/>
        <v>2</v>
      </c>
      <c r="AB9" s="588">
        <f t="shared" si="8"/>
        <v>3.2</v>
      </c>
      <c r="AC9" s="588">
        <f t="shared" si="8"/>
        <v>5.3</v>
      </c>
      <c r="AD9" s="588">
        <f t="shared" si="8"/>
        <v>16</v>
      </c>
      <c r="AE9" s="588">
        <f t="shared" si="8"/>
        <v>6.7</v>
      </c>
      <c r="AF9" s="588">
        <f t="shared" si="8"/>
        <v>1.9</v>
      </c>
    </row>
    <row r="10" spans="1:32">
      <c r="A10" s="90">
        <v>3</v>
      </c>
      <c r="B10" s="75" t="s">
        <v>192</v>
      </c>
      <c r="C10" s="1070">
        <f t="shared" ref="C10:S10" si="20">C29</f>
        <v>2813002</v>
      </c>
      <c r="D10" s="1070">
        <f t="shared" si="20"/>
        <v>2987289</v>
      </c>
      <c r="E10" s="1070">
        <f t="shared" si="20"/>
        <v>2989050</v>
      </c>
      <c r="F10" s="1070">
        <f t="shared" si="20"/>
        <v>2582059</v>
      </c>
      <c r="G10" s="1070">
        <f t="shared" si="20"/>
        <v>2752668</v>
      </c>
      <c r="H10" s="1071">
        <f t="shared" si="20"/>
        <v>2673197</v>
      </c>
      <c r="I10" s="1071">
        <f t="shared" si="20"/>
        <v>2839950</v>
      </c>
      <c r="J10" s="1071">
        <f t="shared" si="20"/>
        <v>2892211</v>
      </c>
      <c r="K10" s="1071">
        <f t="shared" si="20"/>
        <v>2869315</v>
      </c>
      <c r="L10" s="1071">
        <f t="shared" si="20"/>
        <v>2959810</v>
      </c>
      <c r="M10" s="1071">
        <f t="shared" si="20"/>
        <v>2905924</v>
      </c>
      <c r="N10" s="1071">
        <f t="shared" si="20"/>
        <v>2925883</v>
      </c>
      <c r="O10" s="1071">
        <f t="shared" si="20"/>
        <v>2964550</v>
      </c>
      <c r="P10" s="1071">
        <f t="shared" si="20"/>
        <v>2988965</v>
      </c>
      <c r="Q10" s="1070">
        <f t="shared" si="20"/>
        <v>2929006</v>
      </c>
      <c r="R10" s="1070">
        <f t="shared" si="20"/>
        <v>2922065</v>
      </c>
      <c r="S10" s="1070">
        <f t="shared" si="20"/>
        <v>3125410</v>
      </c>
      <c r="T10" s="1070">
        <f t="shared" ref="T10:U10" si="21">T29</f>
        <v>3009430</v>
      </c>
      <c r="U10" s="199">
        <f t="shared" si="21"/>
        <v>2975032</v>
      </c>
      <c r="V10" s="199">
        <f t="shared" ref="V10:W10" si="22">V29</f>
        <v>3138945</v>
      </c>
      <c r="W10" s="199">
        <f t="shared" si="22"/>
        <v>3201545</v>
      </c>
      <c r="X10" s="199">
        <f t="shared" ref="X10" si="23">X29</f>
        <v>3211572</v>
      </c>
      <c r="Y10" s="588">
        <f t="shared" si="6"/>
        <v>-2</v>
      </c>
      <c r="Z10" s="588">
        <f t="shared" si="7"/>
        <v>-0.2</v>
      </c>
      <c r="AA10" s="588">
        <f t="shared" si="8"/>
        <v>7</v>
      </c>
      <c r="AB10" s="588">
        <f t="shared" si="8"/>
        <v>-3.7</v>
      </c>
      <c r="AC10" s="588">
        <f t="shared" si="8"/>
        <v>-1.1000000000000001</v>
      </c>
      <c r="AD10" s="588">
        <f t="shared" si="8"/>
        <v>5.5</v>
      </c>
      <c r="AE10" s="588">
        <f t="shared" si="8"/>
        <v>2</v>
      </c>
      <c r="AF10" s="588">
        <f t="shared" si="8"/>
        <v>0.3</v>
      </c>
    </row>
    <row r="11" spans="1:32">
      <c r="A11" s="90">
        <v>4</v>
      </c>
      <c r="B11" s="75" t="s">
        <v>325</v>
      </c>
      <c r="C11" s="1070">
        <f t="shared" ref="C11:S11" si="24">C35</f>
        <v>1191651</v>
      </c>
      <c r="D11" s="1070">
        <f t="shared" si="24"/>
        <v>1221515</v>
      </c>
      <c r="E11" s="1070">
        <f t="shared" si="24"/>
        <v>1198607</v>
      </c>
      <c r="F11" s="1070">
        <f t="shared" si="24"/>
        <v>1146172</v>
      </c>
      <c r="G11" s="1070">
        <f t="shared" si="24"/>
        <v>1190688</v>
      </c>
      <c r="H11" s="1071">
        <f t="shared" si="24"/>
        <v>1149883</v>
      </c>
      <c r="I11" s="1071">
        <f t="shared" si="24"/>
        <v>1133747</v>
      </c>
      <c r="J11" s="1071">
        <f t="shared" si="24"/>
        <v>1194562</v>
      </c>
      <c r="K11" s="1071">
        <f t="shared" si="24"/>
        <v>1170689</v>
      </c>
      <c r="L11" s="1071">
        <f t="shared" si="24"/>
        <v>1198719</v>
      </c>
      <c r="M11" s="1071">
        <f t="shared" si="24"/>
        <v>1258017</v>
      </c>
      <c r="N11" s="1071">
        <f t="shared" si="24"/>
        <v>1311546</v>
      </c>
      <c r="O11" s="1071">
        <f t="shared" si="24"/>
        <v>1296116</v>
      </c>
      <c r="P11" s="1071">
        <f t="shared" si="24"/>
        <v>1304482</v>
      </c>
      <c r="Q11" s="1070">
        <f t="shared" si="24"/>
        <v>1280998</v>
      </c>
      <c r="R11" s="1070">
        <f t="shared" si="24"/>
        <v>1302930</v>
      </c>
      <c r="S11" s="1070">
        <f t="shared" si="24"/>
        <v>1278266</v>
      </c>
      <c r="T11" s="1070">
        <f t="shared" ref="T11:U11" si="25">T35</f>
        <v>1295760</v>
      </c>
      <c r="U11" s="199">
        <f t="shared" si="25"/>
        <v>1218560</v>
      </c>
      <c r="V11" s="199">
        <f t="shared" ref="V11:W11" si="26">V35</f>
        <v>1144194</v>
      </c>
      <c r="W11" s="199">
        <f t="shared" si="26"/>
        <v>1097539</v>
      </c>
      <c r="X11" s="199">
        <f t="shared" ref="X11" si="27">X35</f>
        <v>1096977</v>
      </c>
      <c r="Y11" s="588">
        <f t="shared" si="6"/>
        <v>-1.8</v>
      </c>
      <c r="Z11" s="588">
        <f t="shared" si="7"/>
        <v>1.7</v>
      </c>
      <c r="AA11" s="588">
        <f t="shared" si="8"/>
        <v>-1.9</v>
      </c>
      <c r="AB11" s="588">
        <f t="shared" si="8"/>
        <v>1.4</v>
      </c>
      <c r="AC11" s="588">
        <f t="shared" si="8"/>
        <v>-6</v>
      </c>
      <c r="AD11" s="588">
        <f t="shared" si="8"/>
        <v>-6.1</v>
      </c>
      <c r="AE11" s="588">
        <f t="shared" si="8"/>
        <v>-4.0999999999999996</v>
      </c>
      <c r="AF11" s="588">
        <f t="shared" si="8"/>
        <v>-0.1</v>
      </c>
    </row>
    <row r="12" spans="1:32">
      <c r="A12" s="90">
        <v>5</v>
      </c>
      <c r="B12" s="75" t="s">
        <v>326</v>
      </c>
      <c r="C12" s="1070">
        <f t="shared" ref="C12:S12" si="28">C42</f>
        <v>2565099</v>
      </c>
      <c r="D12" s="1070">
        <f t="shared" si="28"/>
        <v>2629643</v>
      </c>
      <c r="E12" s="1070">
        <f t="shared" si="28"/>
        <v>2708790</v>
      </c>
      <c r="F12" s="1070">
        <f t="shared" si="28"/>
        <v>2370256</v>
      </c>
      <c r="G12" s="1070">
        <f t="shared" si="28"/>
        <v>2584373</v>
      </c>
      <c r="H12" s="1071">
        <f t="shared" si="28"/>
        <v>2459071</v>
      </c>
      <c r="I12" s="1071">
        <f t="shared" si="28"/>
        <v>2401066</v>
      </c>
      <c r="J12" s="1071">
        <f t="shared" si="28"/>
        <v>2604440</v>
      </c>
      <c r="K12" s="1071">
        <f t="shared" si="28"/>
        <v>2577285</v>
      </c>
      <c r="L12" s="1071">
        <f t="shared" si="28"/>
        <v>2610540</v>
      </c>
      <c r="M12" s="1071">
        <f t="shared" si="28"/>
        <v>2667693</v>
      </c>
      <c r="N12" s="1071">
        <f t="shared" si="28"/>
        <v>2678688</v>
      </c>
      <c r="O12" s="1071">
        <f t="shared" si="28"/>
        <v>2674020</v>
      </c>
      <c r="P12" s="1071">
        <f t="shared" si="28"/>
        <v>2636461</v>
      </c>
      <c r="Q12" s="1070">
        <f t="shared" si="28"/>
        <v>2555353</v>
      </c>
      <c r="R12" s="1070">
        <f t="shared" si="28"/>
        <v>2786293</v>
      </c>
      <c r="S12" s="1070">
        <f t="shared" si="28"/>
        <v>2841392</v>
      </c>
      <c r="T12" s="1070">
        <f t="shared" ref="T12:U12" si="29">T42</f>
        <v>2800023</v>
      </c>
      <c r="U12" s="199">
        <f t="shared" si="29"/>
        <v>2550474</v>
      </c>
      <c r="V12" s="199">
        <f t="shared" ref="V12:W12" si="30">V42</f>
        <v>2438649</v>
      </c>
      <c r="W12" s="199">
        <f t="shared" si="30"/>
        <v>2393668</v>
      </c>
      <c r="X12" s="199">
        <f t="shared" ref="X12" si="31">X42</f>
        <v>2380541</v>
      </c>
      <c r="Y12" s="588">
        <f t="shared" si="6"/>
        <v>-3.1</v>
      </c>
      <c r="Z12" s="588">
        <f t="shared" si="7"/>
        <v>9</v>
      </c>
      <c r="AA12" s="588">
        <f t="shared" si="8"/>
        <v>2</v>
      </c>
      <c r="AB12" s="588">
        <f t="shared" si="8"/>
        <v>-1.5</v>
      </c>
      <c r="AC12" s="588">
        <f t="shared" si="8"/>
        <v>-8.9</v>
      </c>
      <c r="AD12" s="588">
        <f t="shared" si="8"/>
        <v>-4.4000000000000004</v>
      </c>
      <c r="AE12" s="588">
        <f t="shared" si="8"/>
        <v>-1.8</v>
      </c>
      <c r="AF12" s="588">
        <f t="shared" si="8"/>
        <v>-0.5</v>
      </c>
    </row>
    <row r="13" spans="1:32">
      <c r="A13" s="90">
        <v>6</v>
      </c>
      <c r="B13" s="75" t="s">
        <v>327</v>
      </c>
      <c r="C13" s="1070">
        <f t="shared" ref="C13:S13" si="32">C47</f>
        <v>988227</v>
      </c>
      <c r="D13" s="1070">
        <f t="shared" si="32"/>
        <v>1013274</v>
      </c>
      <c r="E13" s="1070">
        <f t="shared" si="32"/>
        <v>973912</v>
      </c>
      <c r="F13" s="1070">
        <f t="shared" si="32"/>
        <v>935893</v>
      </c>
      <c r="G13" s="1070">
        <f t="shared" si="32"/>
        <v>993858</v>
      </c>
      <c r="H13" s="1071">
        <f t="shared" si="32"/>
        <v>985923</v>
      </c>
      <c r="I13" s="1071">
        <f t="shared" si="32"/>
        <v>990496</v>
      </c>
      <c r="J13" s="1071">
        <f t="shared" si="32"/>
        <v>999464</v>
      </c>
      <c r="K13" s="1071">
        <f t="shared" si="32"/>
        <v>1000895</v>
      </c>
      <c r="L13" s="1071">
        <f t="shared" si="32"/>
        <v>1016695</v>
      </c>
      <c r="M13" s="1071">
        <f t="shared" si="32"/>
        <v>1021266</v>
      </c>
      <c r="N13" s="1071">
        <f t="shared" si="32"/>
        <v>1065673</v>
      </c>
      <c r="O13" s="1071">
        <f t="shared" si="32"/>
        <v>1070880</v>
      </c>
      <c r="P13" s="1071">
        <f t="shared" si="32"/>
        <v>1075264</v>
      </c>
      <c r="Q13" s="1070">
        <f t="shared" si="32"/>
        <v>1084785</v>
      </c>
      <c r="R13" s="1070">
        <f t="shared" si="32"/>
        <v>1112726</v>
      </c>
      <c r="S13" s="1070">
        <f t="shared" si="32"/>
        <v>1087411</v>
      </c>
      <c r="T13" s="1070">
        <f t="shared" ref="T13:U13" si="33">T47</f>
        <v>1079374</v>
      </c>
      <c r="U13" s="199">
        <f t="shared" si="33"/>
        <v>1079291</v>
      </c>
      <c r="V13" s="199">
        <f t="shared" ref="V13:W13" si="34">V47</f>
        <v>1008614</v>
      </c>
      <c r="W13" s="199">
        <f t="shared" si="34"/>
        <v>950930</v>
      </c>
      <c r="X13" s="199">
        <f t="shared" ref="X13" si="35">X47</f>
        <v>929112</v>
      </c>
      <c r="Y13" s="588">
        <f t="shared" si="6"/>
        <v>0.9</v>
      </c>
      <c r="Z13" s="588">
        <f t="shared" si="7"/>
        <v>2.6</v>
      </c>
      <c r="AA13" s="588">
        <f t="shared" si="8"/>
        <v>-2.2999999999999998</v>
      </c>
      <c r="AB13" s="588">
        <f t="shared" si="8"/>
        <v>-0.7</v>
      </c>
      <c r="AC13" s="588">
        <f t="shared" si="8"/>
        <v>0</v>
      </c>
      <c r="AD13" s="588">
        <f t="shared" si="8"/>
        <v>-6.5</v>
      </c>
      <c r="AE13" s="588">
        <f t="shared" si="8"/>
        <v>-5.7</v>
      </c>
      <c r="AF13" s="588">
        <f t="shared" si="8"/>
        <v>-2.2999999999999998</v>
      </c>
    </row>
    <row r="14" spans="1:32">
      <c r="A14" s="90">
        <v>7</v>
      </c>
      <c r="B14" s="75" t="s">
        <v>210</v>
      </c>
      <c r="C14" s="1070">
        <f t="shared" ref="C14:S14" si="36">C55</f>
        <v>635187</v>
      </c>
      <c r="D14" s="1070">
        <f t="shared" si="36"/>
        <v>644104</v>
      </c>
      <c r="E14" s="1070">
        <f t="shared" si="36"/>
        <v>610959</v>
      </c>
      <c r="F14" s="1070">
        <f t="shared" si="36"/>
        <v>582183</v>
      </c>
      <c r="G14" s="1070">
        <f t="shared" si="36"/>
        <v>596840</v>
      </c>
      <c r="H14" s="1071">
        <f t="shared" si="36"/>
        <v>583643</v>
      </c>
      <c r="I14" s="1071">
        <f t="shared" si="36"/>
        <v>591296</v>
      </c>
      <c r="J14" s="1071">
        <f t="shared" si="36"/>
        <v>633497</v>
      </c>
      <c r="K14" s="1071">
        <f t="shared" si="36"/>
        <v>622915</v>
      </c>
      <c r="L14" s="1071">
        <f t="shared" si="36"/>
        <v>630529</v>
      </c>
      <c r="M14" s="1071">
        <f t="shared" si="36"/>
        <v>621925</v>
      </c>
      <c r="N14" s="1071">
        <f t="shared" si="36"/>
        <v>636953</v>
      </c>
      <c r="O14" s="1071">
        <f t="shared" si="36"/>
        <v>625127</v>
      </c>
      <c r="P14" s="1071">
        <f t="shared" si="36"/>
        <v>633509</v>
      </c>
      <c r="Q14" s="1070">
        <f t="shared" si="36"/>
        <v>630050</v>
      </c>
      <c r="R14" s="1070">
        <f t="shared" si="36"/>
        <v>596697</v>
      </c>
      <c r="S14" s="1070">
        <f t="shared" si="36"/>
        <v>581246</v>
      </c>
      <c r="T14" s="1070">
        <f t="shared" ref="T14:U14" si="37">T55</f>
        <v>577235</v>
      </c>
      <c r="U14" s="199">
        <f t="shared" si="37"/>
        <v>709262</v>
      </c>
      <c r="V14" s="199">
        <f t="shared" ref="V14:W14" si="38">V55</f>
        <v>668158</v>
      </c>
      <c r="W14" s="199">
        <f t="shared" si="38"/>
        <v>619699</v>
      </c>
      <c r="X14" s="199">
        <f t="shared" ref="X14" si="39">X55</f>
        <v>577874</v>
      </c>
      <c r="Y14" s="588">
        <f t="shared" si="6"/>
        <v>-0.5</v>
      </c>
      <c r="Z14" s="588">
        <f t="shared" si="7"/>
        <v>-5.3</v>
      </c>
      <c r="AA14" s="588">
        <f t="shared" si="8"/>
        <v>-2.6</v>
      </c>
      <c r="AB14" s="588">
        <f t="shared" si="8"/>
        <v>-0.7</v>
      </c>
      <c r="AC14" s="588">
        <f t="shared" si="8"/>
        <v>22.9</v>
      </c>
      <c r="AD14" s="588">
        <f t="shared" si="8"/>
        <v>-5.8</v>
      </c>
      <c r="AE14" s="588">
        <f t="shared" si="8"/>
        <v>-7.3</v>
      </c>
      <c r="AF14" s="588">
        <f t="shared" si="8"/>
        <v>-6.7</v>
      </c>
    </row>
    <row r="15" spans="1:32">
      <c r="A15" s="90">
        <v>8</v>
      </c>
      <c r="B15" s="75" t="s">
        <v>211</v>
      </c>
      <c r="C15" s="1070">
        <f t="shared" ref="C15:S15" si="40">C61</f>
        <v>394597</v>
      </c>
      <c r="D15" s="1070">
        <f t="shared" si="40"/>
        <v>411175</v>
      </c>
      <c r="E15" s="1070">
        <f t="shared" si="40"/>
        <v>377214</v>
      </c>
      <c r="F15" s="1070">
        <f t="shared" si="40"/>
        <v>357061</v>
      </c>
      <c r="G15" s="1070">
        <f>G61</f>
        <v>373206</v>
      </c>
      <c r="H15" s="1071">
        <f t="shared" si="40"/>
        <v>366777</v>
      </c>
      <c r="I15" s="1071">
        <f t="shared" si="40"/>
        <v>295698</v>
      </c>
      <c r="J15" s="1071">
        <f t="shared" si="40"/>
        <v>412702</v>
      </c>
      <c r="K15" s="1071">
        <f t="shared" si="40"/>
        <v>398133</v>
      </c>
      <c r="L15" s="1071">
        <f t="shared" si="40"/>
        <v>418714</v>
      </c>
      <c r="M15" s="1071">
        <f t="shared" si="40"/>
        <v>422068</v>
      </c>
      <c r="N15" s="1071">
        <f t="shared" si="40"/>
        <v>426654</v>
      </c>
      <c r="O15" s="1071">
        <f t="shared" si="40"/>
        <v>438341</v>
      </c>
      <c r="P15" s="1071">
        <f t="shared" si="40"/>
        <v>472616</v>
      </c>
      <c r="Q15" s="1070">
        <f t="shared" si="40"/>
        <v>446621</v>
      </c>
      <c r="R15" s="1070">
        <f t="shared" si="40"/>
        <v>454129</v>
      </c>
      <c r="S15" s="1070">
        <f t="shared" si="40"/>
        <v>454813</v>
      </c>
      <c r="T15" s="1070">
        <f t="shared" ref="T15:U15" si="41">T61</f>
        <v>460281</v>
      </c>
      <c r="U15" s="199">
        <f t="shared" si="41"/>
        <v>468821</v>
      </c>
      <c r="V15" s="199">
        <f t="shared" ref="V15:W15" si="42">V61</f>
        <v>432134</v>
      </c>
      <c r="W15" s="199">
        <f t="shared" si="42"/>
        <v>402935</v>
      </c>
      <c r="X15" s="199">
        <f t="shared" ref="X15" si="43">X61</f>
        <v>393140</v>
      </c>
      <c r="Y15" s="588">
        <f t="shared" si="6"/>
        <v>-5.5</v>
      </c>
      <c r="Z15" s="588">
        <f t="shared" si="7"/>
        <v>1.7</v>
      </c>
      <c r="AA15" s="588">
        <f t="shared" si="8"/>
        <v>0.2</v>
      </c>
      <c r="AB15" s="588">
        <f t="shared" si="8"/>
        <v>1.2</v>
      </c>
      <c r="AC15" s="588">
        <f t="shared" si="8"/>
        <v>1.9</v>
      </c>
      <c r="AD15" s="588">
        <f t="shared" si="8"/>
        <v>-7.8</v>
      </c>
      <c r="AE15" s="588">
        <f t="shared" si="8"/>
        <v>-6.8</v>
      </c>
      <c r="AF15" s="588">
        <f t="shared" si="8"/>
        <v>-2.4</v>
      </c>
    </row>
    <row r="16" spans="1:32">
      <c r="A16" s="90">
        <v>9</v>
      </c>
      <c r="B16" s="75" t="s">
        <v>212</v>
      </c>
      <c r="C16" s="1070">
        <f t="shared" ref="C16:S16" si="44">C64</f>
        <v>500905</v>
      </c>
      <c r="D16" s="1070">
        <f t="shared" si="44"/>
        <v>498564</v>
      </c>
      <c r="E16" s="1070">
        <f t="shared" si="44"/>
        <v>476416</v>
      </c>
      <c r="F16" s="1070">
        <f t="shared" si="44"/>
        <v>458119</v>
      </c>
      <c r="G16" s="1070">
        <f t="shared" si="44"/>
        <v>476932</v>
      </c>
      <c r="H16" s="1071">
        <f t="shared" si="44"/>
        <v>455257</v>
      </c>
      <c r="I16" s="1071">
        <f t="shared" si="44"/>
        <v>453656</v>
      </c>
      <c r="J16" s="1071">
        <f t="shared" si="44"/>
        <v>464902</v>
      </c>
      <c r="K16" s="1071">
        <f t="shared" si="44"/>
        <v>451446</v>
      </c>
      <c r="L16" s="1071">
        <f t="shared" si="44"/>
        <v>465574</v>
      </c>
      <c r="M16" s="1071">
        <f t="shared" si="44"/>
        <v>469874</v>
      </c>
      <c r="N16" s="1071">
        <f t="shared" si="44"/>
        <v>467903</v>
      </c>
      <c r="O16" s="1071">
        <f t="shared" si="44"/>
        <v>464893</v>
      </c>
      <c r="P16" s="1071">
        <f t="shared" si="44"/>
        <v>466919</v>
      </c>
      <c r="Q16" s="1070">
        <f t="shared" si="44"/>
        <v>435297</v>
      </c>
      <c r="R16" s="1070">
        <f t="shared" si="44"/>
        <v>446308</v>
      </c>
      <c r="S16" s="1070">
        <f t="shared" si="44"/>
        <v>465571</v>
      </c>
      <c r="T16" s="1070">
        <f t="shared" ref="T16:U16" si="45">T64</f>
        <v>478816</v>
      </c>
      <c r="U16" s="199">
        <f t="shared" si="45"/>
        <v>525678</v>
      </c>
      <c r="V16" s="199">
        <f t="shared" ref="V16:W16" si="46">V64</f>
        <v>516233</v>
      </c>
      <c r="W16" s="199">
        <f t="shared" si="46"/>
        <v>477609</v>
      </c>
      <c r="X16" s="199">
        <f t="shared" ref="X16" si="47">X64</f>
        <v>451390</v>
      </c>
      <c r="Y16" s="588">
        <f t="shared" si="6"/>
        <v>-6.8</v>
      </c>
      <c r="Z16" s="588">
        <f t="shared" si="7"/>
        <v>2.5</v>
      </c>
      <c r="AA16" s="588">
        <f t="shared" si="8"/>
        <v>4.3</v>
      </c>
      <c r="AB16" s="588">
        <f t="shared" si="8"/>
        <v>2.8</v>
      </c>
      <c r="AC16" s="588">
        <f t="shared" si="8"/>
        <v>9.8000000000000007</v>
      </c>
      <c r="AD16" s="588">
        <f t="shared" si="8"/>
        <v>-1.8</v>
      </c>
      <c r="AE16" s="588">
        <f t="shared" si="8"/>
        <v>-7.5</v>
      </c>
      <c r="AF16" s="588">
        <f t="shared" si="8"/>
        <v>-5.5</v>
      </c>
    </row>
    <row r="17" spans="1:32">
      <c r="A17" s="92"/>
      <c r="B17" s="87"/>
      <c r="C17" s="1070"/>
      <c r="D17" s="1070"/>
      <c r="E17" s="1070"/>
      <c r="F17" s="1070"/>
      <c r="G17" s="1070"/>
      <c r="H17" s="1071"/>
      <c r="I17" s="1071"/>
      <c r="J17" s="1071"/>
      <c r="K17" s="1071"/>
      <c r="L17" s="1071"/>
      <c r="M17" s="1071"/>
      <c r="N17" s="1071"/>
      <c r="O17" s="1071"/>
      <c r="P17" s="1071"/>
      <c r="Q17" s="1070"/>
      <c r="R17" s="1070"/>
      <c r="S17" s="1070"/>
      <c r="T17" s="1070"/>
      <c r="U17" s="1071"/>
      <c r="V17" s="1071"/>
      <c r="W17" s="1071"/>
      <c r="X17" s="1071"/>
      <c r="Y17" s="588"/>
      <c r="Z17" s="588"/>
      <c r="AA17" s="588"/>
      <c r="AB17" s="588"/>
      <c r="AC17" s="588"/>
      <c r="AD17" s="588"/>
      <c r="AE17" s="588"/>
      <c r="AF17" s="588"/>
    </row>
    <row r="18" spans="1:32">
      <c r="A18" s="89">
        <v>100</v>
      </c>
      <c r="B18" s="87" t="s">
        <v>172</v>
      </c>
      <c r="C18" s="1070">
        <f>C87</f>
        <v>6386662</v>
      </c>
      <c r="D18" s="1070">
        <f t="shared" ref="D18:F18" si="48">D87</f>
        <v>6593938</v>
      </c>
      <c r="E18" s="1070">
        <f t="shared" si="48"/>
        <v>6531582</v>
      </c>
      <c r="F18" s="1070">
        <f t="shared" si="48"/>
        <v>6331426</v>
      </c>
      <c r="G18" s="1070">
        <f>G87</f>
        <v>6751675</v>
      </c>
      <c r="H18" s="1070">
        <f t="shared" ref="H18:P18" si="49">H87</f>
        <v>6639825</v>
      </c>
      <c r="I18" s="1070">
        <f t="shared" si="49"/>
        <v>6575277</v>
      </c>
      <c r="J18" s="1070">
        <f t="shared" si="49"/>
        <v>6661471</v>
      </c>
      <c r="K18" s="1070">
        <f t="shared" si="49"/>
        <v>6653923</v>
      </c>
      <c r="L18" s="1070">
        <f t="shared" si="49"/>
        <v>6867175</v>
      </c>
      <c r="M18" s="1070">
        <f t="shared" si="49"/>
        <v>6876921</v>
      </c>
      <c r="N18" s="1070">
        <f t="shared" si="49"/>
        <v>6982935</v>
      </c>
      <c r="O18" s="1070">
        <f t="shared" si="49"/>
        <v>6948898</v>
      </c>
      <c r="P18" s="1070">
        <f t="shared" si="49"/>
        <v>7052438</v>
      </c>
      <c r="Q18" s="1070">
        <f t="shared" ref="Q18:T18" si="50">Q87</f>
        <v>6730443</v>
      </c>
      <c r="R18" s="1070">
        <f t="shared" si="50"/>
        <v>6858498</v>
      </c>
      <c r="S18" s="1070">
        <f t="shared" si="50"/>
        <v>7136502</v>
      </c>
      <c r="T18" s="1070">
        <f t="shared" si="50"/>
        <v>7194583</v>
      </c>
      <c r="U18" s="1601">
        <f>ROUND('5名目時系列'!U18/(デフレーター1!U$45/100),0)+111135</f>
        <v>7142338</v>
      </c>
      <c r="V18" s="1116">
        <f>ROUND('5名目時系列'!V18/(デフレーター1!V$45/100),0)</f>
        <v>6717361</v>
      </c>
      <c r="W18" s="1116">
        <f>ROUND('5名目時系列'!W18/(デフレーター1!W$45/100),0)</f>
        <v>6562647</v>
      </c>
      <c r="X18" s="1116">
        <f>ROUND('5名目時系列'!X18/(デフレーター1!X$45/100),0)</f>
        <v>6493390</v>
      </c>
      <c r="Y18" s="588">
        <f t="shared" ref="Y18:Y49" si="51">ROUND((Q18-P18)/P18*100,1)</f>
        <v>-4.5999999999999996</v>
      </c>
      <c r="Z18" s="588">
        <f t="shared" ref="Z18:Z49" si="52">ROUND((R18-Q18)/Q18*100,1)</f>
        <v>1.9</v>
      </c>
      <c r="AA18" s="588">
        <f t="shared" ref="AA18:AF49" si="53">ROUND((S18-R18)/R18*100,1)</f>
        <v>4.0999999999999996</v>
      </c>
      <c r="AB18" s="588">
        <f t="shared" si="53"/>
        <v>0.8</v>
      </c>
      <c r="AC18" s="588">
        <f t="shared" si="53"/>
        <v>-0.7</v>
      </c>
      <c r="AD18" s="588">
        <f t="shared" si="53"/>
        <v>-6</v>
      </c>
      <c r="AE18" s="588">
        <f t="shared" si="53"/>
        <v>-2.2999999999999998</v>
      </c>
      <c r="AF18" s="588">
        <f t="shared" si="53"/>
        <v>-1.1000000000000001</v>
      </c>
    </row>
    <row r="19" spans="1:32">
      <c r="A19" s="92">
        <v>1</v>
      </c>
      <c r="B19" s="65" t="s">
        <v>182</v>
      </c>
      <c r="C19" s="133">
        <f t="shared" ref="C19:N19" si="54">SUM(C20:C22)</f>
        <v>3131716</v>
      </c>
      <c r="D19" s="133">
        <f t="shared" si="54"/>
        <v>3261907</v>
      </c>
      <c r="E19" s="133">
        <f t="shared" si="54"/>
        <v>3153042</v>
      </c>
      <c r="F19" s="133">
        <f t="shared" si="54"/>
        <v>2981059</v>
      </c>
      <c r="G19" s="133">
        <f t="shared" si="54"/>
        <v>3312417</v>
      </c>
      <c r="H19" s="1071">
        <f t="shared" si="54"/>
        <v>3350389</v>
      </c>
      <c r="I19" s="1071">
        <f t="shared" si="54"/>
        <v>3282530</v>
      </c>
      <c r="J19" s="1071">
        <f t="shared" si="54"/>
        <v>3433560</v>
      </c>
      <c r="K19" s="1071">
        <f t="shared" si="54"/>
        <v>3365087</v>
      </c>
      <c r="L19" s="1071">
        <f t="shared" si="54"/>
        <v>3541195</v>
      </c>
      <c r="M19" s="1071">
        <f t="shared" si="54"/>
        <v>3554025</v>
      </c>
      <c r="N19" s="1071">
        <f t="shared" si="54"/>
        <v>3669939</v>
      </c>
      <c r="O19" s="1071">
        <f>SUM(O20:O22)</f>
        <v>3640991</v>
      </c>
      <c r="P19" s="1071">
        <f>SUM(P20:P22)</f>
        <v>3679482</v>
      </c>
      <c r="Q19" s="1071">
        <f t="shared" ref="Q19:T19" si="55">SUM(Q20:Q22)</f>
        <v>3473285</v>
      </c>
      <c r="R19" s="1071">
        <f t="shared" si="55"/>
        <v>3648568</v>
      </c>
      <c r="S19" s="1071">
        <f t="shared" si="55"/>
        <v>3687169</v>
      </c>
      <c r="T19" s="1071">
        <f t="shared" si="55"/>
        <v>3734693</v>
      </c>
      <c r="U19" s="1071">
        <f t="shared" ref="U19" si="56">SUM(U20:U22)</f>
        <v>3844538</v>
      </c>
      <c r="V19" s="1071">
        <f t="shared" ref="V19:W19" si="57">SUM(V20:V22)</f>
        <v>4029049</v>
      </c>
      <c r="W19" s="1071">
        <f t="shared" si="57"/>
        <v>4090444</v>
      </c>
      <c r="X19" s="1071">
        <f t="shared" ref="X19" si="58">SUM(X20:X22)</f>
        <v>4095373</v>
      </c>
      <c r="Y19" s="588">
        <f t="shared" si="51"/>
        <v>-5.6</v>
      </c>
      <c r="Z19" s="588">
        <f t="shared" si="52"/>
        <v>5</v>
      </c>
      <c r="AA19" s="588">
        <f t="shared" si="53"/>
        <v>1.1000000000000001</v>
      </c>
      <c r="AB19" s="588">
        <f t="shared" si="53"/>
        <v>1.3</v>
      </c>
      <c r="AC19" s="588">
        <f t="shared" si="53"/>
        <v>2.9</v>
      </c>
      <c r="AD19" s="588">
        <f t="shared" si="53"/>
        <v>4.8</v>
      </c>
      <c r="AE19" s="588">
        <f t="shared" si="53"/>
        <v>1.5</v>
      </c>
      <c r="AF19" s="588">
        <f t="shared" si="53"/>
        <v>0.1</v>
      </c>
    </row>
    <row r="20" spans="1:32">
      <c r="A20" s="89">
        <v>202</v>
      </c>
      <c r="B20" s="90" t="s">
        <v>183</v>
      </c>
      <c r="C20" s="1070">
        <f t="shared" ref="C20:G22" si="59">C89</f>
        <v>1762761</v>
      </c>
      <c r="D20" s="1070">
        <f t="shared" si="59"/>
        <v>1850624</v>
      </c>
      <c r="E20" s="1070">
        <f t="shared" si="59"/>
        <v>1741011</v>
      </c>
      <c r="F20" s="1070">
        <f t="shared" si="59"/>
        <v>1633116</v>
      </c>
      <c r="G20" s="1070">
        <f t="shared" si="59"/>
        <v>1857246</v>
      </c>
      <c r="H20" s="1070">
        <f t="shared" ref="H20:P20" si="60">H89</f>
        <v>1809107</v>
      </c>
      <c r="I20" s="1070">
        <f t="shared" si="60"/>
        <v>1752808</v>
      </c>
      <c r="J20" s="1070">
        <f t="shared" si="60"/>
        <v>1818892</v>
      </c>
      <c r="K20" s="1070">
        <f t="shared" si="60"/>
        <v>1805488</v>
      </c>
      <c r="L20" s="1070">
        <f t="shared" si="60"/>
        <v>1893035</v>
      </c>
      <c r="M20" s="1070">
        <f t="shared" si="60"/>
        <v>1929984</v>
      </c>
      <c r="N20" s="1070">
        <f t="shared" si="60"/>
        <v>1995773</v>
      </c>
      <c r="O20" s="1070">
        <f t="shared" si="60"/>
        <v>1971191</v>
      </c>
      <c r="P20" s="1070">
        <f t="shared" si="60"/>
        <v>2002520</v>
      </c>
      <c r="Q20" s="1070">
        <f t="shared" ref="Q20:T20" si="61">Q89</f>
        <v>1851993</v>
      </c>
      <c r="R20" s="1070">
        <f t="shared" si="61"/>
        <v>1985822</v>
      </c>
      <c r="S20" s="1070">
        <f t="shared" si="61"/>
        <v>2014404</v>
      </c>
      <c r="T20" s="1070">
        <f t="shared" si="61"/>
        <v>2041433</v>
      </c>
      <c r="U20" s="1116">
        <f>ROUND('5名目時系列'!U20/(デフレーター1!U$45/100),0)</f>
        <v>1920279</v>
      </c>
      <c r="V20" s="1116">
        <f>ROUND('5名目時系列'!V20/(デフレーター1!V$45/100),0)</f>
        <v>1914990</v>
      </c>
      <c r="W20" s="1116">
        <f>ROUND('5名目時系列'!W20/(デフレーター1!W$45/100),0)</f>
        <v>1945971</v>
      </c>
      <c r="X20" s="1116">
        <f>ROUND('5名目時系列'!X20/(デフレーター1!X$45/100),0)</f>
        <v>1973741</v>
      </c>
      <c r="Y20" s="588">
        <f t="shared" si="51"/>
        <v>-7.5</v>
      </c>
      <c r="Z20" s="588">
        <f t="shared" si="52"/>
        <v>7.2</v>
      </c>
      <c r="AA20" s="588">
        <f t="shared" si="53"/>
        <v>1.4</v>
      </c>
      <c r="AB20" s="588">
        <f t="shared" si="53"/>
        <v>1.3</v>
      </c>
      <c r="AC20" s="588">
        <f t="shared" si="53"/>
        <v>-5.9</v>
      </c>
      <c r="AD20" s="588">
        <f t="shared" si="53"/>
        <v>-0.3</v>
      </c>
      <c r="AE20" s="588">
        <f t="shared" si="53"/>
        <v>1.6</v>
      </c>
      <c r="AF20" s="588">
        <f t="shared" si="53"/>
        <v>1.4</v>
      </c>
    </row>
    <row r="21" spans="1:32">
      <c r="A21" s="89">
        <v>204</v>
      </c>
      <c r="B21" s="90" t="s">
        <v>184</v>
      </c>
      <c r="C21" s="1070">
        <f t="shared" si="59"/>
        <v>1170548</v>
      </c>
      <c r="D21" s="1070">
        <f t="shared" si="59"/>
        <v>1210133</v>
      </c>
      <c r="E21" s="1070">
        <f t="shared" si="59"/>
        <v>1213526</v>
      </c>
      <c r="F21" s="1070">
        <f t="shared" si="59"/>
        <v>1151732</v>
      </c>
      <c r="G21" s="1070">
        <f t="shared" si="59"/>
        <v>1241580</v>
      </c>
      <c r="H21" s="1070">
        <f t="shared" ref="H21:P21" si="62">H90</f>
        <v>1328627</v>
      </c>
      <c r="I21" s="1070">
        <f t="shared" si="62"/>
        <v>1315876</v>
      </c>
      <c r="J21" s="1070">
        <f t="shared" si="62"/>
        <v>1385388</v>
      </c>
      <c r="K21" s="1070">
        <f t="shared" si="62"/>
        <v>1347148</v>
      </c>
      <c r="L21" s="1070">
        <f t="shared" si="62"/>
        <v>1412273</v>
      </c>
      <c r="M21" s="1070">
        <f t="shared" si="62"/>
        <v>1402044</v>
      </c>
      <c r="N21" s="1070">
        <f t="shared" si="62"/>
        <v>1442158</v>
      </c>
      <c r="O21" s="1070">
        <f t="shared" si="62"/>
        <v>1445748</v>
      </c>
      <c r="P21" s="1070">
        <f t="shared" si="62"/>
        <v>1445090</v>
      </c>
      <c r="Q21" s="1070">
        <f t="shared" ref="Q21:T21" si="63">Q90</f>
        <v>1396387</v>
      </c>
      <c r="R21" s="1070">
        <f t="shared" si="63"/>
        <v>1432546</v>
      </c>
      <c r="S21" s="1070">
        <f t="shared" si="63"/>
        <v>1439922</v>
      </c>
      <c r="T21" s="1070">
        <f t="shared" si="63"/>
        <v>1452254</v>
      </c>
      <c r="U21" s="1116">
        <f>ROUND('5名目時系列'!U21/(デフレーター1!U$45/100),0)</f>
        <v>1601691</v>
      </c>
      <c r="V21" s="1116">
        <f>ROUND('5名目時系列'!V21/(デフレーター1!V$45/100),0)</f>
        <v>1742213</v>
      </c>
      <c r="W21" s="1116">
        <f>ROUND('5名目時系列'!W21/(デフレーター1!W$45/100),0)</f>
        <v>1773466</v>
      </c>
      <c r="X21" s="1116">
        <f>ROUND('5名目時系列'!X21/(デフレーター1!X$45/100),0)</f>
        <v>1754345</v>
      </c>
      <c r="Y21" s="588">
        <f t="shared" si="51"/>
        <v>-3.4</v>
      </c>
      <c r="Z21" s="588">
        <f t="shared" si="52"/>
        <v>2.6</v>
      </c>
      <c r="AA21" s="588">
        <f t="shared" si="53"/>
        <v>0.5</v>
      </c>
      <c r="AB21" s="588">
        <f t="shared" si="53"/>
        <v>0.9</v>
      </c>
      <c r="AC21" s="588">
        <f t="shared" si="53"/>
        <v>10.3</v>
      </c>
      <c r="AD21" s="588">
        <f t="shared" si="53"/>
        <v>8.8000000000000007</v>
      </c>
      <c r="AE21" s="588">
        <f t="shared" si="53"/>
        <v>1.8</v>
      </c>
      <c r="AF21" s="588">
        <f t="shared" si="53"/>
        <v>-1.1000000000000001</v>
      </c>
    </row>
    <row r="22" spans="1:32">
      <c r="A22" s="89">
        <v>206</v>
      </c>
      <c r="B22" s="90" t="s">
        <v>185</v>
      </c>
      <c r="C22" s="1070">
        <f t="shared" si="59"/>
        <v>198407</v>
      </c>
      <c r="D22" s="1070">
        <f t="shared" si="59"/>
        <v>201150</v>
      </c>
      <c r="E22" s="1070">
        <f t="shared" si="59"/>
        <v>198505</v>
      </c>
      <c r="F22" s="1070">
        <f t="shared" si="59"/>
        <v>196211</v>
      </c>
      <c r="G22" s="1070">
        <f t="shared" si="59"/>
        <v>213591</v>
      </c>
      <c r="H22" s="1070">
        <f t="shared" ref="H22:P22" si="64">H91</f>
        <v>212655</v>
      </c>
      <c r="I22" s="1070">
        <f t="shared" si="64"/>
        <v>213846</v>
      </c>
      <c r="J22" s="1070">
        <f t="shared" si="64"/>
        <v>229280</v>
      </c>
      <c r="K22" s="1070">
        <f t="shared" si="64"/>
        <v>212451</v>
      </c>
      <c r="L22" s="1070">
        <f t="shared" si="64"/>
        <v>235887</v>
      </c>
      <c r="M22" s="1070">
        <f t="shared" si="64"/>
        <v>221997</v>
      </c>
      <c r="N22" s="1070">
        <f t="shared" si="64"/>
        <v>232008</v>
      </c>
      <c r="O22" s="1070">
        <f t="shared" si="64"/>
        <v>224052</v>
      </c>
      <c r="P22" s="1070">
        <f t="shared" si="64"/>
        <v>231872</v>
      </c>
      <c r="Q22" s="1070">
        <f t="shared" ref="Q22:T22" si="65">Q91</f>
        <v>224905</v>
      </c>
      <c r="R22" s="1070">
        <f t="shared" si="65"/>
        <v>230200</v>
      </c>
      <c r="S22" s="1070">
        <f t="shared" si="65"/>
        <v>232843</v>
      </c>
      <c r="T22" s="1070">
        <f t="shared" si="65"/>
        <v>241006</v>
      </c>
      <c r="U22" s="1116">
        <f>ROUND('5名目時系列'!U22/(デフレーター1!U$45/100),0)</f>
        <v>322568</v>
      </c>
      <c r="V22" s="1116">
        <f>ROUND('5名目時系列'!V22/(デフレーター1!V$45/100),0)</f>
        <v>371846</v>
      </c>
      <c r="W22" s="1116">
        <f>ROUND('5名目時系列'!W22/(デフレーター1!W$45/100),0)</f>
        <v>371007</v>
      </c>
      <c r="X22" s="1116">
        <f>ROUND('5名目時系列'!X22/(デフレーター1!X$45/100),0)</f>
        <v>367287</v>
      </c>
      <c r="Y22" s="588">
        <f t="shared" si="51"/>
        <v>-3</v>
      </c>
      <c r="Z22" s="588">
        <f t="shared" si="52"/>
        <v>2.4</v>
      </c>
      <c r="AA22" s="588">
        <f t="shared" si="53"/>
        <v>1.1000000000000001</v>
      </c>
      <c r="AB22" s="588">
        <f t="shared" si="53"/>
        <v>3.5</v>
      </c>
      <c r="AC22" s="588">
        <f t="shared" si="53"/>
        <v>33.799999999999997</v>
      </c>
      <c r="AD22" s="588">
        <f t="shared" si="53"/>
        <v>15.3</v>
      </c>
      <c r="AE22" s="588">
        <f t="shared" si="53"/>
        <v>-0.2</v>
      </c>
      <c r="AF22" s="588">
        <f t="shared" si="53"/>
        <v>-1</v>
      </c>
    </row>
    <row r="23" spans="1:32">
      <c r="A23" s="92">
        <v>2</v>
      </c>
      <c r="B23" s="65" t="s">
        <v>186</v>
      </c>
      <c r="C23" s="133">
        <f t="shared" ref="C23:N23" si="66">SUM(C24:C28)</f>
        <v>1894608</v>
      </c>
      <c r="D23" s="133">
        <f t="shared" si="66"/>
        <v>1946526</v>
      </c>
      <c r="E23" s="133">
        <f t="shared" si="66"/>
        <v>1868619</v>
      </c>
      <c r="F23" s="133">
        <f t="shared" si="66"/>
        <v>1773677</v>
      </c>
      <c r="G23" s="133">
        <f t="shared" si="66"/>
        <v>1893868</v>
      </c>
      <c r="H23" s="1071">
        <f t="shared" si="66"/>
        <v>1978032</v>
      </c>
      <c r="I23" s="1071">
        <f t="shared" si="66"/>
        <v>2021539</v>
      </c>
      <c r="J23" s="1071">
        <f t="shared" si="66"/>
        <v>2042568</v>
      </c>
      <c r="K23" s="1071">
        <f t="shared" si="66"/>
        <v>1983242</v>
      </c>
      <c r="L23" s="1071">
        <f t="shared" si="66"/>
        <v>2055211</v>
      </c>
      <c r="M23" s="1071">
        <f t="shared" si="66"/>
        <v>2140771</v>
      </c>
      <c r="N23" s="1071">
        <f t="shared" si="66"/>
        <v>2115075</v>
      </c>
      <c r="O23" s="1071">
        <f>SUM(O24:O28)</f>
        <v>2107148</v>
      </c>
      <c r="P23" s="1071">
        <f>SUM(P24:P28)</f>
        <v>2063186</v>
      </c>
      <c r="Q23" s="1071">
        <f t="shared" ref="Q23:T23" si="67">SUM(Q24:Q28)</f>
        <v>2018040</v>
      </c>
      <c r="R23" s="1071">
        <f t="shared" si="67"/>
        <v>2177625</v>
      </c>
      <c r="S23" s="1071">
        <f t="shared" si="67"/>
        <v>2220509</v>
      </c>
      <c r="T23" s="1071">
        <f t="shared" si="67"/>
        <v>2291123</v>
      </c>
      <c r="U23" s="1071">
        <f t="shared" ref="U23" si="68">SUM(U24:U28)</f>
        <v>2413003</v>
      </c>
      <c r="V23" s="1071">
        <f t="shared" ref="V23:W23" si="69">SUM(V24:V28)</f>
        <v>2799765</v>
      </c>
      <c r="W23" s="1071">
        <f t="shared" si="69"/>
        <v>2987520</v>
      </c>
      <c r="X23" s="1071">
        <f t="shared" ref="X23" si="70">SUM(X24:X28)</f>
        <v>3043130</v>
      </c>
      <c r="Y23" s="588">
        <f t="shared" si="51"/>
        <v>-2.2000000000000002</v>
      </c>
      <c r="Z23" s="588">
        <f t="shared" si="52"/>
        <v>7.9</v>
      </c>
      <c r="AA23" s="588">
        <f t="shared" si="53"/>
        <v>2</v>
      </c>
      <c r="AB23" s="588">
        <f t="shared" si="53"/>
        <v>3.2</v>
      </c>
      <c r="AC23" s="588">
        <f t="shared" si="53"/>
        <v>5.3</v>
      </c>
      <c r="AD23" s="588">
        <f t="shared" si="53"/>
        <v>16</v>
      </c>
      <c r="AE23" s="588">
        <f t="shared" si="53"/>
        <v>6.7</v>
      </c>
      <c r="AF23" s="588">
        <f t="shared" si="53"/>
        <v>1.9</v>
      </c>
    </row>
    <row r="24" spans="1:32">
      <c r="A24" s="89">
        <v>207</v>
      </c>
      <c r="B24" s="90" t="s">
        <v>187</v>
      </c>
      <c r="C24" s="1070">
        <f t="shared" ref="C24:G28" si="71">C93</f>
        <v>660933</v>
      </c>
      <c r="D24" s="1070">
        <f t="shared" si="71"/>
        <v>687838</v>
      </c>
      <c r="E24" s="1070">
        <f t="shared" si="71"/>
        <v>632838</v>
      </c>
      <c r="F24" s="1070">
        <f t="shared" si="71"/>
        <v>570882</v>
      </c>
      <c r="G24" s="1070">
        <f t="shared" si="71"/>
        <v>622521</v>
      </c>
      <c r="H24" s="1070">
        <f t="shared" ref="H24:P24" si="72">H93</f>
        <v>660071</v>
      </c>
      <c r="I24" s="1070">
        <f t="shared" si="72"/>
        <v>659356</v>
      </c>
      <c r="J24" s="1070">
        <f t="shared" si="72"/>
        <v>695901</v>
      </c>
      <c r="K24" s="1070">
        <f t="shared" si="72"/>
        <v>688368</v>
      </c>
      <c r="L24" s="1070">
        <f t="shared" si="72"/>
        <v>695338</v>
      </c>
      <c r="M24" s="1070">
        <f t="shared" si="72"/>
        <v>729629</v>
      </c>
      <c r="N24" s="1070">
        <f t="shared" si="72"/>
        <v>710815</v>
      </c>
      <c r="O24" s="1070">
        <f t="shared" si="72"/>
        <v>706227</v>
      </c>
      <c r="P24" s="1070">
        <f t="shared" si="72"/>
        <v>696428</v>
      </c>
      <c r="Q24" s="1070">
        <f t="shared" ref="Q24:T24" si="73">Q93</f>
        <v>698482</v>
      </c>
      <c r="R24" s="1070">
        <f t="shared" si="73"/>
        <v>769901</v>
      </c>
      <c r="S24" s="1070">
        <f t="shared" si="73"/>
        <v>767641</v>
      </c>
      <c r="T24" s="1070">
        <f t="shared" si="73"/>
        <v>772124</v>
      </c>
      <c r="U24" s="1116">
        <f>ROUND('5名目時系列'!U24/(デフレーター1!U$45/100),0)</f>
        <v>735183</v>
      </c>
      <c r="V24" s="1116">
        <f>ROUND('5名目時系列'!V24/(デフレーター1!V$45/100),0)</f>
        <v>819459</v>
      </c>
      <c r="W24" s="1116">
        <f>ROUND('5名目時系列'!W24/(デフレーター1!W$45/100),0)</f>
        <v>839993</v>
      </c>
      <c r="X24" s="1116">
        <f>ROUND('5名目時系列'!X24/(デフレーター1!X$45/100),0)</f>
        <v>861949</v>
      </c>
      <c r="Y24" s="588">
        <f t="shared" si="51"/>
        <v>0.3</v>
      </c>
      <c r="Z24" s="588">
        <f t="shared" si="52"/>
        <v>10.199999999999999</v>
      </c>
      <c r="AA24" s="588">
        <f t="shared" si="53"/>
        <v>-0.3</v>
      </c>
      <c r="AB24" s="588">
        <f t="shared" si="53"/>
        <v>0.6</v>
      </c>
      <c r="AC24" s="588">
        <f t="shared" si="53"/>
        <v>-4.8</v>
      </c>
      <c r="AD24" s="588">
        <f t="shared" si="53"/>
        <v>11.5</v>
      </c>
      <c r="AE24" s="588">
        <f t="shared" si="53"/>
        <v>2.5</v>
      </c>
      <c r="AF24" s="588">
        <f t="shared" si="53"/>
        <v>2.6</v>
      </c>
    </row>
    <row r="25" spans="1:32">
      <c r="A25" s="89">
        <v>214</v>
      </c>
      <c r="B25" s="90" t="s">
        <v>188</v>
      </c>
      <c r="C25" s="1070">
        <f t="shared" si="71"/>
        <v>464466</v>
      </c>
      <c r="D25" s="1070">
        <f t="shared" si="71"/>
        <v>453054</v>
      </c>
      <c r="E25" s="1070">
        <f t="shared" si="71"/>
        <v>448878</v>
      </c>
      <c r="F25" s="1070">
        <f t="shared" si="71"/>
        <v>451773</v>
      </c>
      <c r="G25" s="1070">
        <f t="shared" si="71"/>
        <v>457609</v>
      </c>
      <c r="H25" s="1070">
        <f t="shared" ref="H25:P25" si="74">H94</f>
        <v>465400</v>
      </c>
      <c r="I25" s="1070">
        <f t="shared" si="74"/>
        <v>469714</v>
      </c>
      <c r="J25" s="1070">
        <f t="shared" si="74"/>
        <v>485924</v>
      </c>
      <c r="K25" s="1070">
        <f t="shared" si="74"/>
        <v>474000</v>
      </c>
      <c r="L25" s="1070">
        <f t="shared" si="74"/>
        <v>489033</v>
      </c>
      <c r="M25" s="1070">
        <f t="shared" si="74"/>
        <v>489925</v>
      </c>
      <c r="N25" s="1070">
        <f t="shared" si="74"/>
        <v>494037</v>
      </c>
      <c r="O25" s="1070">
        <f t="shared" si="74"/>
        <v>500646</v>
      </c>
      <c r="P25" s="1070">
        <f t="shared" si="74"/>
        <v>493944</v>
      </c>
      <c r="Q25" s="1070">
        <f t="shared" ref="Q25:T25" si="75">Q94</f>
        <v>473132</v>
      </c>
      <c r="R25" s="1070">
        <f t="shared" si="75"/>
        <v>490823</v>
      </c>
      <c r="S25" s="1070">
        <f t="shared" si="75"/>
        <v>496638</v>
      </c>
      <c r="T25" s="1070">
        <f t="shared" si="75"/>
        <v>501156</v>
      </c>
      <c r="U25" s="1116">
        <f>ROUND('5名目時系列'!U25/(デフレーター1!U$45/100),0)</f>
        <v>652592</v>
      </c>
      <c r="V25" s="1116">
        <f>ROUND('5名目時系列'!V25/(デフレーター1!V$45/100),0)</f>
        <v>792459</v>
      </c>
      <c r="W25" s="1116">
        <f>ROUND('5名目時系列'!W25/(デフレーター1!W$45/100),0)</f>
        <v>824492</v>
      </c>
      <c r="X25" s="1116">
        <f>ROUND('5名目時系列'!X25/(デフレーター1!X$45/100),0)</f>
        <v>812491</v>
      </c>
      <c r="Y25" s="588">
        <f t="shared" si="51"/>
        <v>-4.2</v>
      </c>
      <c r="Z25" s="588">
        <f t="shared" si="52"/>
        <v>3.7</v>
      </c>
      <c r="AA25" s="588">
        <f t="shared" si="53"/>
        <v>1.2</v>
      </c>
      <c r="AB25" s="588">
        <f t="shared" si="53"/>
        <v>0.9</v>
      </c>
      <c r="AC25" s="588">
        <f t="shared" si="53"/>
        <v>30.2</v>
      </c>
      <c r="AD25" s="588">
        <f t="shared" si="53"/>
        <v>21.4</v>
      </c>
      <c r="AE25" s="588">
        <f t="shared" si="53"/>
        <v>4</v>
      </c>
      <c r="AF25" s="588">
        <f t="shared" si="53"/>
        <v>-1.5</v>
      </c>
    </row>
    <row r="26" spans="1:32">
      <c r="A26" s="89">
        <v>217</v>
      </c>
      <c r="B26" s="90" t="s">
        <v>189</v>
      </c>
      <c r="C26" s="1070">
        <f t="shared" si="71"/>
        <v>306731</v>
      </c>
      <c r="D26" s="1070">
        <f t="shared" si="71"/>
        <v>316573</v>
      </c>
      <c r="E26" s="1070">
        <f t="shared" si="71"/>
        <v>307372</v>
      </c>
      <c r="F26" s="1070">
        <f t="shared" si="71"/>
        <v>296687</v>
      </c>
      <c r="G26" s="1070">
        <f t="shared" si="71"/>
        <v>317319</v>
      </c>
      <c r="H26" s="1070">
        <f t="shared" ref="H26:P26" si="76">H95</f>
        <v>332681</v>
      </c>
      <c r="I26" s="1070">
        <f t="shared" si="76"/>
        <v>346674</v>
      </c>
      <c r="J26" s="1070">
        <f t="shared" si="76"/>
        <v>336777</v>
      </c>
      <c r="K26" s="1070">
        <f t="shared" si="76"/>
        <v>334818</v>
      </c>
      <c r="L26" s="1070">
        <f t="shared" si="76"/>
        <v>334923</v>
      </c>
      <c r="M26" s="1070">
        <f t="shared" si="76"/>
        <v>341444</v>
      </c>
      <c r="N26" s="1070">
        <f t="shared" si="76"/>
        <v>349370</v>
      </c>
      <c r="O26" s="1070">
        <f t="shared" si="76"/>
        <v>359447</v>
      </c>
      <c r="P26" s="1070">
        <f t="shared" si="76"/>
        <v>355502</v>
      </c>
      <c r="Q26" s="1070">
        <f t="shared" ref="Q26:T26" si="77">Q95</f>
        <v>340728</v>
      </c>
      <c r="R26" s="1070">
        <f t="shared" si="77"/>
        <v>349077</v>
      </c>
      <c r="S26" s="1070">
        <f t="shared" si="77"/>
        <v>354233</v>
      </c>
      <c r="T26" s="1070">
        <f t="shared" si="77"/>
        <v>359504</v>
      </c>
      <c r="U26" s="1116">
        <f>ROUND('5名目時系列'!U26/(デフレーター1!U$45/100),0)</f>
        <v>446395</v>
      </c>
      <c r="V26" s="1116">
        <f>ROUND('5名目時系列'!V26/(デフレーター1!V$45/100),0)</f>
        <v>530784</v>
      </c>
      <c r="W26" s="1116">
        <f>ROUND('5名目時系列'!W26/(デフレーター1!W$45/100),0)</f>
        <v>553468</v>
      </c>
      <c r="X26" s="1116">
        <f>ROUND('5名目時系列'!X26/(デフレーター1!X$45/100),0)</f>
        <v>553198</v>
      </c>
      <c r="Y26" s="588">
        <f t="shared" si="51"/>
        <v>-4.2</v>
      </c>
      <c r="Z26" s="588">
        <f t="shared" si="52"/>
        <v>2.5</v>
      </c>
      <c r="AA26" s="588">
        <f t="shared" si="53"/>
        <v>1.5</v>
      </c>
      <c r="AB26" s="588">
        <f t="shared" si="53"/>
        <v>1.5</v>
      </c>
      <c r="AC26" s="588">
        <f t="shared" si="53"/>
        <v>24.2</v>
      </c>
      <c r="AD26" s="588">
        <f t="shared" si="53"/>
        <v>18.899999999999999</v>
      </c>
      <c r="AE26" s="588">
        <f t="shared" si="53"/>
        <v>4.3</v>
      </c>
      <c r="AF26" s="588">
        <f t="shared" si="53"/>
        <v>0</v>
      </c>
    </row>
    <row r="27" spans="1:32">
      <c r="A27" s="89">
        <v>219</v>
      </c>
      <c r="B27" s="90" t="s">
        <v>190</v>
      </c>
      <c r="C27" s="1070">
        <f t="shared" si="71"/>
        <v>398614</v>
      </c>
      <c r="D27" s="1070">
        <f t="shared" si="71"/>
        <v>427840</v>
      </c>
      <c r="E27" s="1070">
        <f t="shared" si="71"/>
        <v>419325</v>
      </c>
      <c r="F27" s="1070">
        <f t="shared" si="71"/>
        <v>395659</v>
      </c>
      <c r="G27" s="1070">
        <f t="shared" si="71"/>
        <v>435750</v>
      </c>
      <c r="H27" s="1070">
        <f t="shared" ref="H27:P27" si="78">H96</f>
        <v>456953</v>
      </c>
      <c r="I27" s="1070">
        <f t="shared" si="78"/>
        <v>483037</v>
      </c>
      <c r="J27" s="1070">
        <f t="shared" si="78"/>
        <v>459440</v>
      </c>
      <c r="K27" s="1070">
        <f t="shared" si="78"/>
        <v>422608</v>
      </c>
      <c r="L27" s="1070">
        <f t="shared" si="78"/>
        <v>470769</v>
      </c>
      <c r="M27" s="1070">
        <f t="shared" si="78"/>
        <v>515670</v>
      </c>
      <c r="N27" s="1070">
        <f t="shared" si="78"/>
        <v>494291</v>
      </c>
      <c r="O27" s="1070">
        <f t="shared" si="78"/>
        <v>477876</v>
      </c>
      <c r="P27" s="1070">
        <f t="shared" si="78"/>
        <v>454217</v>
      </c>
      <c r="Q27" s="1070">
        <f t="shared" ref="Q27:T27" si="79">Q96</f>
        <v>443822</v>
      </c>
      <c r="R27" s="1070">
        <f t="shared" si="79"/>
        <v>504386</v>
      </c>
      <c r="S27" s="1070">
        <f t="shared" si="79"/>
        <v>538944</v>
      </c>
      <c r="T27" s="1070">
        <f t="shared" si="79"/>
        <v>594214</v>
      </c>
      <c r="U27" s="1116">
        <f>ROUND('5名目時系列'!U27/(デフレーター1!U$45/100),0)</f>
        <v>473507</v>
      </c>
      <c r="V27" s="1116">
        <f>ROUND('5名目時系列'!V27/(デフレーター1!V$45/100),0)</f>
        <v>464211</v>
      </c>
      <c r="W27" s="1116">
        <f>ROUND('5名目時系列'!W27/(デフレーター1!W$45/100),0)</f>
        <v>452497</v>
      </c>
      <c r="X27" s="1116">
        <f>ROUND('5名目時系列'!X27/(デフレーター1!X$45/100),0)</f>
        <v>454210</v>
      </c>
      <c r="Y27" s="588">
        <f t="shared" si="51"/>
        <v>-2.2999999999999998</v>
      </c>
      <c r="Z27" s="588">
        <f t="shared" si="52"/>
        <v>13.6</v>
      </c>
      <c r="AA27" s="588">
        <f t="shared" si="53"/>
        <v>6.9</v>
      </c>
      <c r="AB27" s="588">
        <f t="shared" si="53"/>
        <v>10.3</v>
      </c>
      <c r="AC27" s="588">
        <f t="shared" si="53"/>
        <v>-20.3</v>
      </c>
      <c r="AD27" s="588">
        <f t="shared" si="53"/>
        <v>-2</v>
      </c>
      <c r="AE27" s="588">
        <f t="shared" si="53"/>
        <v>-2.5</v>
      </c>
      <c r="AF27" s="588">
        <f t="shared" si="53"/>
        <v>0.4</v>
      </c>
    </row>
    <row r="28" spans="1:32">
      <c r="A28" s="89">
        <v>301</v>
      </c>
      <c r="B28" s="90" t="s">
        <v>191</v>
      </c>
      <c r="C28" s="1070">
        <f t="shared" si="71"/>
        <v>63864</v>
      </c>
      <c r="D28" s="1070">
        <f t="shared" si="71"/>
        <v>61221</v>
      </c>
      <c r="E28" s="1070">
        <f t="shared" si="71"/>
        <v>60206</v>
      </c>
      <c r="F28" s="1070">
        <f t="shared" si="71"/>
        <v>58676</v>
      </c>
      <c r="G28" s="1070">
        <f t="shared" si="71"/>
        <v>60669</v>
      </c>
      <c r="H28" s="1070">
        <f t="shared" ref="H28:P28" si="80">H97</f>
        <v>62927</v>
      </c>
      <c r="I28" s="1070">
        <f t="shared" si="80"/>
        <v>62758</v>
      </c>
      <c r="J28" s="1070">
        <f t="shared" si="80"/>
        <v>64526</v>
      </c>
      <c r="K28" s="1070">
        <f t="shared" si="80"/>
        <v>63448</v>
      </c>
      <c r="L28" s="1070">
        <f t="shared" si="80"/>
        <v>65148</v>
      </c>
      <c r="M28" s="1070">
        <f t="shared" si="80"/>
        <v>64103</v>
      </c>
      <c r="N28" s="1070">
        <f t="shared" si="80"/>
        <v>66562</v>
      </c>
      <c r="O28" s="1070">
        <f t="shared" si="80"/>
        <v>62952</v>
      </c>
      <c r="P28" s="1070">
        <f t="shared" si="80"/>
        <v>63095</v>
      </c>
      <c r="Q28" s="1070">
        <f t="shared" ref="Q28:T28" si="81">Q97</f>
        <v>61876</v>
      </c>
      <c r="R28" s="1070">
        <f t="shared" si="81"/>
        <v>63438</v>
      </c>
      <c r="S28" s="1070">
        <f t="shared" si="81"/>
        <v>63053</v>
      </c>
      <c r="T28" s="1070">
        <f t="shared" si="81"/>
        <v>64125</v>
      </c>
      <c r="U28" s="1116">
        <f>ROUND('5名目時系列'!U28/(デフレーター1!U$45/100),0)</f>
        <v>105326</v>
      </c>
      <c r="V28" s="1116">
        <f>ROUND('5名目時系列'!V28/(デフレーター1!V$45/100),0)</f>
        <v>192852</v>
      </c>
      <c r="W28" s="1116">
        <f>ROUND('5名目時系列'!W28/(デフレーター1!W$45/100),0)</f>
        <v>317070</v>
      </c>
      <c r="X28" s="1116">
        <f>ROUND('5名目時系列'!X28/(デフレーター1!X$45/100),0)</f>
        <v>361282</v>
      </c>
      <c r="Y28" s="588">
        <f t="shared" si="51"/>
        <v>-1.9</v>
      </c>
      <c r="Z28" s="588">
        <f t="shared" si="52"/>
        <v>2.5</v>
      </c>
      <c r="AA28" s="588">
        <f t="shared" si="53"/>
        <v>-0.6</v>
      </c>
      <c r="AB28" s="588">
        <f t="shared" si="53"/>
        <v>1.7</v>
      </c>
      <c r="AC28" s="588">
        <f t="shared" si="53"/>
        <v>64.3</v>
      </c>
      <c r="AD28" s="588">
        <f t="shared" si="53"/>
        <v>83.1</v>
      </c>
      <c r="AE28" s="588">
        <f t="shared" si="53"/>
        <v>64.400000000000006</v>
      </c>
      <c r="AF28" s="588">
        <f t="shared" si="53"/>
        <v>13.9</v>
      </c>
    </row>
    <row r="29" spans="1:32">
      <c r="A29" s="92">
        <v>3</v>
      </c>
      <c r="B29" s="65" t="s">
        <v>192</v>
      </c>
      <c r="C29" s="133">
        <f t="shared" ref="C29:N29" si="82">SUM(C30:C34)</f>
        <v>2813002</v>
      </c>
      <c r="D29" s="133">
        <f t="shared" si="82"/>
        <v>2987289</v>
      </c>
      <c r="E29" s="133">
        <f t="shared" si="82"/>
        <v>2989050</v>
      </c>
      <c r="F29" s="133">
        <f t="shared" si="82"/>
        <v>2582059</v>
      </c>
      <c r="G29" s="133">
        <f t="shared" si="82"/>
        <v>2752668</v>
      </c>
      <c r="H29" s="1071">
        <f t="shared" si="82"/>
        <v>2673197</v>
      </c>
      <c r="I29" s="1071">
        <f t="shared" si="82"/>
        <v>2839950</v>
      </c>
      <c r="J29" s="1071">
        <f t="shared" si="82"/>
        <v>2892211</v>
      </c>
      <c r="K29" s="1071">
        <f t="shared" si="82"/>
        <v>2869315</v>
      </c>
      <c r="L29" s="1071">
        <f t="shared" si="82"/>
        <v>2959810</v>
      </c>
      <c r="M29" s="1071">
        <f t="shared" si="82"/>
        <v>2905924</v>
      </c>
      <c r="N29" s="1071">
        <f t="shared" si="82"/>
        <v>2925883</v>
      </c>
      <c r="O29" s="1071">
        <f>SUM(O30:O34)</f>
        <v>2964550</v>
      </c>
      <c r="P29" s="1071">
        <f>SUM(P30:P34)</f>
        <v>2988965</v>
      </c>
      <c r="Q29" s="1071">
        <f t="shared" ref="Q29:T29" si="83">SUM(Q30:Q34)</f>
        <v>2929006</v>
      </c>
      <c r="R29" s="1071">
        <f t="shared" si="83"/>
        <v>2922065</v>
      </c>
      <c r="S29" s="1071">
        <f t="shared" si="83"/>
        <v>3125410</v>
      </c>
      <c r="T29" s="1071">
        <f t="shared" si="83"/>
        <v>3009430</v>
      </c>
      <c r="U29" s="1071">
        <f t="shared" ref="U29" si="84">SUM(U30:U34)</f>
        <v>2975032</v>
      </c>
      <c r="V29" s="1071">
        <f t="shared" ref="V29:W29" si="85">SUM(V30:V34)</f>
        <v>3138945</v>
      </c>
      <c r="W29" s="1071">
        <f t="shared" si="85"/>
        <v>3201545</v>
      </c>
      <c r="X29" s="1071">
        <f t="shared" ref="X29" si="86">SUM(X30:X34)</f>
        <v>3211572</v>
      </c>
      <c r="Y29" s="588">
        <f t="shared" si="51"/>
        <v>-2</v>
      </c>
      <c r="Z29" s="588">
        <f t="shared" si="52"/>
        <v>-0.2</v>
      </c>
      <c r="AA29" s="588">
        <f t="shared" si="53"/>
        <v>7</v>
      </c>
      <c r="AB29" s="588">
        <f t="shared" si="53"/>
        <v>-3.7</v>
      </c>
      <c r="AC29" s="588">
        <f t="shared" si="53"/>
        <v>-1.1000000000000001</v>
      </c>
      <c r="AD29" s="588">
        <f t="shared" si="53"/>
        <v>5.5</v>
      </c>
      <c r="AE29" s="588">
        <f t="shared" si="53"/>
        <v>2</v>
      </c>
      <c r="AF29" s="588">
        <f t="shared" si="53"/>
        <v>0.3</v>
      </c>
    </row>
    <row r="30" spans="1:32">
      <c r="A30" s="89">
        <v>203</v>
      </c>
      <c r="B30" s="90" t="s">
        <v>193</v>
      </c>
      <c r="C30" s="1070">
        <f t="shared" ref="C30:G34" si="87">C99</f>
        <v>1097955</v>
      </c>
      <c r="D30" s="1070">
        <f t="shared" si="87"/>
        <v>1160116</v>
      </c>
      <c r="E30" s="1070">
        <f t="shared" si="87"/>
        <v>1128322</v>
      </c>
      <c r="F30" s="1070">
        <f t="shared" si="87"/>
        <v>1002505</v>
      </c>
      <c r="G30" s="1070">
        <f t="shared" si="87"/>
        <v>1044341</v>
      </c>
      <c r="H30" s="1070">
        <f t="shared" ref="H30:P30" si="88">H99</f>
        <v>1031666</v>
      </c>
      <c r="I30" s="1070">
        <f t="shared" si="88"/>
        <v>1136650</v>
      </c>
      <c r="J30" s="1070">
        <f t="shared" si="88"/>
        <v>1112858</v>
      </c>
      <c r="K30" s="1070">
        <f t="shared" si="88"/>
        <v>1161933</v>
      </c>
      <c r="L30" s="1070">
        <f t="shared" si="88"/>
        <v>1192985</v>
      </c>
      <c r="M30" s="1070">
        <f t="shared" si="88"/>
        <v>1165783</v>
      </c>
      <c r="N30" s="1070">
        <f t="shared" si="88"/>
        <v>1158370</v>
      </c>
      <c r="O30" s="1070">
        <f t="shared" si="88"/>
        <v>1195084</v>
      </c>
      <c r="P30" s="1070">
        <f t="shared" si="88"/>
        <v>1209959</v>
      </c>
      <c r="Q30" s="1070">
        <f t="shared" ref="Q30:T30" si="89">Q99</f>
        <v>1150727</v>
      </c>
      <c r="R30" s="1070">
        <f t="shared" si="89"/>
        <v>1130600</v>
      </c>
      <c r="S30" s="1070">
        <f t="shared" si="89"/>
        <v>1244766</v>
      </c>
      <c r="T30" s="1070">
        <f t="shared" si="89"/>
        <v>1247478</v>
      </c>
      <c r="U30" s="1116">
        <f>ROUND('5名目時系列'!U30/(デフレーター1!U$45/100),0)</f>
        <v>1173267</v>
      </c>
      <c r="V30" s="1116">
        <f>ROUND('5名目時系列'!V30/(デフレーター1!V$45/100),0)</f>
        <v>1249563</v>
      </c>
      <c r="W30" s="1116">
        <f>ROUND('5名目時系列'!W30/(デフレーター1!W$45/100),0)</f>
        <v>1325173</v>
      </c>
      <c r="X30" s="1116">
        <f>ROUND('5名目時系列'!X30/(デフレーター1!X$45/100),0)</f>
        <v>1330659</v>
      </c>
      <c r="Y30" s="588">
        <f t="shared" si="51"/>
        <v>-4.9000000000000004</v>
      </c>
      <c r="Z30" s="588">
        <f t="shared" si="52"/>
        <v>-1.7</v>
      </c>
      <c r="AA30" s="588">
        <f t="shared" si="53"/>
        <v>10.1</v>
      </c>
      <c r="AB30" s="588">
        <f t="shared" si="53"/>
        <v>0.2</v>
      </c>
      <c r="AC30" s="588">
        <f t="shared" si="53"/>
        <v>-5.9</v>
      </c>
      <c r="AD30" s="588">
        <f t="shared" si="53"/>
        <v>6.5</v>
      </c>
      <c r="AE30" s="588">
        <f t="shared" si="53"/>
        <v>6.1</v>
      </c>
      <c r="AF30" s="588">
        <f t="shared" si="53"/>
        <v>0.4</v>
      </c>
    </row>
    <row r="31" spans="1:32">
      <c r="A31" s="89">
        <v>210</v>
      </c>
      <c r="B31" s="90" t="s">
        <v>194</v>
      </c>
      <c r="C31" s="1070">
        <f t="shared" si="87"/>
        <v>873512</v>
      </c>
      <c r="D31" s="1070">
        <f t="shared" si="87"/>
        <v>938240</v>
      </c>
      <c r="E31" s="1070">
        <f t="shared" si="87"/>
        <v>944877</v>
      </c>
      <c r="F31" s="1070">
        <f t="shared" si="87"/>
        <v>739303</v>
      </c>
      <c r="G31" s="1070">
        <f t="shared" si="87"/>
        <v>821921</v>
      </c>
      <c r="H31" s="1070">
        <f t="shared" ref="H31:P31" si="90">H100</f>
        <v>763503</v>
      </c>
      <c r="I31" s="1070">
        <f t="shared" si="90"/>
        <v>763255</v>
      </c>
      <c r="J31" s="1070">
        <f t="shared" si="90"/>
        <v>832746</v>
      </c>
      <c r="K31" s="1070">
        <f t="shared" si="90"/>
        <v>819563</v>
      </c>
      <c r="L31" s="1070">
        <f t="shared" si="90"/>
        <v>823644</v>
      </c>
      <c r="M31" s="1070">
        <f t="shared" si="90"/>
        <v>856605</v>
      </c>
      <c r="N31" s="1070">
        <f t="shared" si="90"/>
        <v>876570</v>
      </c>
      <c r="O31" s="1070">
        <f t="shared" si="90"/>
        <v>893693</v>
      </c>
      <c r="P31" s="1070">
        <f t="shared" si="90"/>
        <v>891752</v>
      </c>
      <c r="Q31" s="1070">
        <f t="shared" ref="Q31:T31" si="91">Q100</f>
        <v>844101</v>
      </c>
      <c r="R31" s="1070">
        <f t="shared" si="91"/>
        <v>833867</v>
      </c>
      <c r="S31" s="1070">
        <f t="shared" si="91"/>
        <v>837326</v>
      </c>
      <c r="T31" s="1070">
        <f t="shared" si="91"/>
        <v>832739</v>
      </c>
      <c r="U31" s="1116">
        <f>ROUND('5名目時系列'!U31/(デフレーター1!U$45/100),0)</f>
        <v>975516</v>
      </c>
      <c r="V31" s="1116">
        <f>ROUND('5名目時系列'!V31/(デフレーター1!V$45/100),0)</f>
        <v>1058740</v>
      </c>
      <c r="W31" s="1116">
        <f>ROUND('5名目時系列'!W31/(デフレーター1!W$45/100),0)</f>
        <v>1082295</v>
      </c>
      <c r="X31" s="1116">
        <f>ROUND('5名目時系列'!X31/(デフレーター1!X$45/100),0)</f>
        <v>1075926</v>
      </c>
      <c r="Y31" s="588">
        <f t="shared" si="51"/>
        <v>-5.3</v>
      </c>
      <c r="Z31" s="588">
        <f t="shared" si="52"/>
        <v>-1.2</v>
      </c>
      <c r="AA31" s="588">
        <f t="shared" si="53"/>
        <v>0.4</v>
      </c>
      <c r="AB31" s="588">
        <f t="shared" si="53"/>
        <v>-0.5</v>
      </c>
      <c r="AC31" s="588">
        <f t="shared" si="53"/>
        <v>17.100000000000001</v>
      </c>
      <c r="AD31" s="588">
        <f t="shared" si="53"/>
        <v>8.5</v>
      </c>
      <c r="AE31" s="588">
        <f t="shared" si="53"/>
        <v>2.2000000000000002</v>
      </c>
      <c r="AF31" s="588">
        <f t="shared" si="53"/>
        <v>-0.6</v>
      </c>
    </row>
    <row r="32" spans="1:32">
      <c r="A32" s="89">
        <v>216</v>
      </c>
      <c r="B32" s="90" t="s">
        <v>195</v>
      </c>
      <c r="C32" s="1070">
        <f t="shared" si="87"/>
        <v>561791</v>
      </c>
      <c r="D32" s="1070">
        <f t="shared" si="87"/>
        <v>600138</v>
      </c>
      <c r="E32" s="1070">
        <f t="shared" si="87"/>
        <v>628688</v>
      </c>
      <c r="F32" s="1070">
        <f t="shared" si="87"/>
        <v>582135</v>
      </c>
      <c r="G32" s="1070">
        <f t="shared" si="87"/>
        <v>632787</v>
      </c>
      <c r="H32" s="1070">
        <f t="shared" ref="H32:P32" si="92">H101</f>
        <v>600615</v>
      </c>
      <c r="I32" s="1070">
        <f t="shared" si="92"/>
        <v>633794</v>
      </c>
      <c r="J32" s="1070">
        <f t="shared" si="92"/>
        <v>633960</v>
      </c>
      <c r="K32" s="1070">
        <f t="shared" si="92"/>
        <v>555023</v>
      </c>
      <c r="L32" s="1070">
        <f t="shared" si="92"/>
        <v>592330</v>
      </c>
      <c r="M32" s="1070">
        <f t="shared" si="92"/>
        <v>546536</v>
      </c>
      <c r="N32" s="1070">
        <f t="shared" si="92"/>
        <v>539109</v>
      </c>
      <c r="O32" s="1070">
        <f t="shared" si="92"/>
        <v>518084</v>
      </c>
      <c r="P32" s="1070">
        <f t="shared" si="92"/>
        <v>529858</v>
      </c>
      <c r="Q32" s="1070">
        <f t="shared" ref="Q32:T32" si="93">Q101</f>
        <v>579546</v>
      </c>
      <c r="R32" s="1070">
        <f t="shared" si="93"/>
        <v>544491</v>
      </c>
      <c r="S32" s="1070">
        <f t="shared" si="93"/>
        <v>596784</v>
      </c>
      <c r="T32" s="1070">
        <f t="shared" si="93"/>
        <v>503321</v>
      </c>
      <c r="U32" s="1116">
        <f>ROUND('5名目時系列'!U32/(デフレーター1!U$45/100),0)</f>
        <v>493323</v>
      </c>
      <c r="V32" s="1116">
        <f>ROUND('5名目時系列'!V32/(デフレーター1!V$45/100),0)</f>
        <v>519280</v>
      </c>
      <c r="W32" s="1116">
        <f>ROUND('5名目時系列'!W32/(デフレーター1!W$45/100),0)</f>
        <v>510265</v>
      </c>
      <c r="X32" s="1116">
        <f>ROUND('5名目時系列'!X32/(デフレーター1!X$45/100),0)</f>
        <v>518317</v>
      </c>
      <c r="Y32" s="588">
        <f t="shared" si="51"/>
        <v>9.4</v>
      </c>
      <c r="Z32" s="588">
        <f t="shared" si="52"/>
        <v>-6</v>
      </c>
      <c r="AA32" s="588">
        <f t="shared" si="53"/>
        <v>9.6</v>
      </c>
      <c r="AB32" s="588">
        <f t="shared" si="53"/>
        <v>-15.7</v>
      </c>
      <c r="AC32" s="588">
        <f t="shared" si="53"/>
        <v>-2</v>
      </c>
      <c r="AD32" s="588">
        <f t="shared" si="53"/>
        <v>5.3</v>
      </c>
      <c r="AE32" s="588">
        <f t="shared" si="53"/>
        <v>-1.7</v>
      </c>
      <c r="AF32" s="588">
        <f t="shared" si="53"/>
        <v>1.6</v>
      </c>
    </row>
    <row r="33" spans="1:32">
      <c r="A33" s="89">
        <v>381</v>
      </c>
      <c r="B33" s="90" t="s">
        <v>196</v>
      </c>
      <c r="C33" s="1070">
        <f t="shared" si="87"/>
        <v>143758</v>
      </c>
      <c r="D33" s="1070">
        <f t="shared" si="87"/>
        <v>151170</v>
      </c>
      <c r="E33" s="1070">
        <f t="shared" si="87"/>
        <v>143899</v>
      </c>
      <c r="F33" s="1070">
        <f t="shared" si="87"/>
        <v>123176</v>
      </c>
      <c r="G33" s="1070">
        <f t="shared" si="87"/>
        <v>135660</v>
      </c>
      <c r="H33" s="1070">
        <f t="shared" ref="H33:P33" si="94">H102</f>
        <v>154354</v>
      </c>
      <c r="I33" s="1070">
        <f t="shared" si="94"/>
        <v>165205</v>
      </c>
      <c r="J33" s="1070">
        <f t="shared" si="94"/>
        <v>171447</v>
      </c>
      <c r="K33" s="1070">
        <f t="shared" si="94"/>
        <v>174014</v>
      </c>
      <c r="L33" s="1070">
        <f t="shared" si="94"/>
        <v>190934</v>
      </c>
      <c r="M33" s="1070">
        <f t="shared" si="94"/>
        <v>177610</v>
      </c>
      <c r="N33" s="1070">
        <f t="shared" si="94"/>
        <v>183782</v>
      </c>
      <c r="O33" s="1070">
        <f t="shared" si="94"/>
        <v>182660</v>
      </c>
      <c r="P33" s="1070">
        <f t="shared" si="94"/>
        <v>174964</v>
      </c>
      <c r="Q33" s="1070">
        <f t="shared" ref="Q33:T33" si="95">Q102</f>
        <v>148914</v>
      </c>
      <c r="R33" s="1070">
        <f t="shared" si="95"/>
        <v>167083</v>
      </c>
      <c r="S33" s="1070">
        <f t="shared" si="95"/>
        <v>167771</v>
      </c>
      <c r="T33" s="1070">
        <f t="shared" si="95"/>
        <v>166957</v>
      </c>
      <c r="U33" s="1116">
        <f>ROUND('5名目時系列'!U33/(デフレーター1!U$45/100),0)</f>
        <v>145647</v>
      </c>
      <c r="V33" s="1116">
        <f>ROUND('5名目時系列'!V33/(デフレーター1!V$45/100),0)</f>
        <v>130494</v>
      </c>
      <c r="W33" s="1116">
        <f>ROUND('5名目時系列'!W33/(デフレーター1!W$45/100),0)</f>
        <v>119576</v>
      </c>
      <c r="X33" s="1116">
        <f>ROUND('5名目時系列'!X33/(デフレーター1!X$45/100),0)</f>
        <v>120028</v>
      </c>
      <c r="Y33" s="588">
        <f t="shared" si="51"/>
        <v>-14.9</v>
      </c>
      <c r="Z33" s="588">
        <f t="shared" si="52"/>
        <v>12.2</v>
      </c>
      <c r="AA33" s="588">
        <f t="shared" si="53"/>
        <v>0.4</v>
      </c>
      <c r="AB33" s="588">
        <f t="shared" si="53"/>
        <v>-0.5</v>
      </c>
      <c r="AC33" s="588">
        <f t="shared" si="53"/>
        <v>-12.8</v>
      </c>
      <c r="AD33" s="588">
        <f t="shared" si="53"/>
        <v>-10.4</v>
      </c>
      <c r="AE33" s="588">
        <f t="shared" si="53"/>
        <v>-8.4</v>
      </c>
      <c r="AF33" s="588">
        <f t="shared" si="53"/>
        <v>0.4</v>
      </c>
    </row>
    <row r="34" spans="1:32">
      <c r="A34" s="89">
        <v>382</v>
      </c>
      <c r="B34" s="90" t="s">
        <v>197</v>
      </c>
      <c r="C34" s="1070">
        <f t="shared" si="87"/>
        <v>135986</v>
      </c>
      <c r="D34" s="1070">
        <f t="shared" si="87"/>
        <v>137625</v>
      </c>
      <c r="E34" s="1070">
        <f t="shared" si="87"/>
        <v>143264</v>
      </c>
      <c r="F34" s="1070">
        <f t="shared" si="87"/>
        <v>134940</v>
      </c>
      <c r="G34" s="1070">
        <f t="shared" si="87"/>
        <v>117959</v>
      </c>
      <c r="H34" s="1070">
        <f t="shared" ref="H34:P34" si="96">H103</f>
        <v>123059</v>
      </c>
      <c r="I34" s="1070">
        <f t="shared" si="96"/>
        <v>141046</v>
      </c>
      <c r="J34" s="1070">
        <f t="shared" si="96"/>
        <v>141200</v>
      </c>
      <c r="K34" s="1070">
        <f t="shared" si="96"/>
        <v>158782</v>
      </c>
      <c r="L34" s="1070">
        <f t="shared" si="96"/>
        <v>159917</v>
      </c>
      <c r="M34" s="1070">
        <f t="shared" si="96"/>
        <v>159390</v>
      </c>
      <c r="N34" s="1070">
        <f t="shared" si="96"/>
        <v>168052</v>
      </c>
      <c r="O34" s="1070">
        <f t="shared" si="96"/>
        <v>175029</v>
      </c>
      <c r="P34" s="1070">
        <f t="shared" si="96"/>
        <v>182432</v>
      </c>
      <c r="Q34" s="1070">
        <f t="shared" ref="Q34:T34" si="97">Q103</f>
        <v>205718</v>
      </c>
      <c r="R34" s="1070">
        <f t="shared" si="97"/>
        <v>246024</v>
      </c>
      <c r="S34" s="1070">
        <f t="shared" si="97"/>
        <v>278763</v>
      </c>
      <c r="T34" s="1070">
        <f t="shared" si="97"/>
        <v>258935</v>
      </c>
      <c r="U34" s="1116">
        <f>ROUND('5名目時系列'!U34/(デフレーター1!U$45/100),0)</f>
        <v>187279</v>
      </c>
      <c r="V34" s="1116">
        <f>ROUND('5名目時系列'!V34/(デフレーター1!V$45/100),0)</f>
        <v>180868</v>
      </c>
      <c r="W34" s="1116">
        <f>ROUND('5名目時系列'!W34/(デフレーター1!W$45/100),0)</f>
        <v>164236</v>
      </c>
      <c r="X34" s="1116">
        <f>ROUND('5名目時系列'!X34/(デフレーター1!X$45/100),0)</f>
        <v>166642</v>
      </c>
      <c r="Y34" s="588">
        <f t="shared" si="51"/>
        <v>12.8</v>
      </c>
      <c r="Z34" s="588">
        <f t="shared" si="52"/>
        <v>19.600000000000001</v>
      </c>
      <c r="AA34" s="588">
        <f t="shared" si="53"/>
        <v>13.3</v>
      </c>
      <c r="AB34" s="588">
        <f t="shared" si="53"/>
        <v>-7.1</v>
      </c>
      <c r="AC34" s="588">
        <f t="shared" si="53"/>
        <v>-27.7</v>
      </c>
      <c r="AD34" s="588">
        <f t="shared" si="53"/>
        <v>-3.4</v>
      </c>
      <c r="AE34" s="588">
        <f t="shared" si="53"/>
        <v>-9.1999999999999993</v>
      </c>
      <c r="AF34" s="588">
        <f t="shared" si="53"/>
        <v>1.5</v>
      </c>
    </row>
    <row r="35" spans="1:32">
      <c r="A35" s="92">
        <v>4</v>
      </c>
      <c r="B35" s="91" t="s">
        <v>198</v>
      </c>
      <c r="C35" s="133">
        <f t="shared" ref="C35:N35" si="98">SUM(C36:C41)</f>
        <v>1191651</v>
      </c>
      <c r="D35" s="133">
        <f t="shared" si="98"/>
        <v>1221515</v>
      </c>
      <c r="E35" s="133">
        <f t="shared" si="98"/>
        <v>1198607</v>
      </c>
      <c r="F35" s="133">
        <f t="shared" si="98"/>
        <v>1146172</v>
      </c>
      <c r="G35" s="133">
        <f t="shared" si="98"/>
        <v>1190688</v>
      </c>
      <c r="H35" s="1071">
        <f t="shared" si="98"/>
        <v>1149883</v>
      </c>
      <c r="I35" s="1071">
        <f t="shared" si="98"/>
        <v>1133747</v>
      </c>
      <c r="J35" s="1071">
        <f t="shared" si="98"/>
        <v>1194562</v>
      </c>
      <c r="K35" s="1071">
        <f t="shared" si="98"/>
        <v>1170689</v>
      </c>
      <c r="L35" s="1071">
        <f t="shared" si="98"/>
        <v>1198719</v>
      </c>
      <c r="M35" s="1071">
        <f t="shared" si="98"/>
        <v>1258017</v>
      </c>
      <c r="N35" s="1071">
        <f t="shared" si="98"/>
        <v>1311546</v>
      </c>
      <c r="O35" s="1071">
        <f>SUM(O36:O41)</f>
        <v>1296116</v>
      </c>
      <c r="P35" s="1071">
        <f>SUM(P36:P41)</f>
        <v>1304482</v>
      </c>
      <c r="Q35" s="1071">
        <f t="shared" ref="Q35:T35" si="99">SUM(Q36:Q41)</f>
        <v>1280998</v>
      </c>
      <c r="R35" s="1071">
        <f t="shared" si="99"/>
        <v>1302930</v>
      </c>
      <c r="S35" s="1071">
        <f t="shared" si="99"/>
        <v>1278266</v>
      </c>
      <c r="T35" s="1071">
        <f t="shared" si="99"/>
        <v>1295760</v>
      </c>
      <c r="U35" s="1071">
        <f t="shared" ref="U35" si="100">SUM(U36:U41)</f>
        <v>1218560</v>
      </c>
      <c r="V35" s="1071">
        <f t="shared" ref="V35:W35" si="101">SUM(V36:V41)</f>
        <v>1144194</v>
      </c>
      <c r="W35" s="1071">
        <f t="shared" si="101"/>
        <v>1097539</v>
      </c>
      <c r="X35" s="1071">
        <f t="shared" ref="X35" si="102">SUM(X36:X41)</f>
        <v>1096977</v>
      </c>
      <c r="Y35" s="588">
        <f t="shared" si="51"/>
        <v>-1.8</v>
      </c>
      <c r="Z35" s="588">
        <f t="shared" si="52"/>
        <v>1.7</v>
      </c>
      <c r="AA35" s="588">
        <f t="shared" si="53"/>
        <v>-1.9</v>
      </c>
      <c r="AB35" s="588">
        <f t="shared" si="53"/>
        <v>1.4</v>
      </c>
      <c r="AC35" s="588">
        <f t="shared" si="53"/>
        <v>-6</v>
      </c>
      <c r="AD35" s="588">
        <f t="shared" si="53"/>
        <v>-6.1</v>
      </c>
      <c r="AE35" s="588">
        <f t="shared" si="53"/>
        <v>-4.0999999999999996</v>
      </c>
      <c r="AF35" s="588">
        <f t="shared" si="53"/>
        <v>-0.1</v>
      </c>
    </row>
    <row r="36" spans="1:32">
      <c r="A36" s="92">
        <v>213</v>
      </c>
      <c r="B36" s="92" t="s">
        <v>231</v>
      </c>
      <c r="C36" s="1070">
        <f t="shared" ref="C36:G51" si="103">C105</f>
        <v>160969</v>
      </c>
      <c r="D36" s="1070">
        <f t="shared" si="103"/>
        <v>168564</v>
      </c>
      <c r="E36" s="1070">
        <f t="shared" si="103"/>
        <v>158835</v>
      </c>
      <c r="F36" s="1070">
        <f t="shared" si="103"/>
        <v>151747</v>
      </c>
      <c r="G36" s="1070">
        <f t="shared" si="103"/>
        <v>156565</v>
      </c>
      <c r="H36" s="1070">
        <f t="shared" ref="H36:P36" si="104">H105</f>
        <v>134299</v>
      </c>
      <c r="I36" s="1070">
        <f t="shared" si="104"/>
        <v>135200</v>
      </c>
      <c r="J36" s="1070">
        <f t="shared" si="104"/>
        <v>152739</v>
      </c>
      <c r="K36" s="1070">
        <f t="shared" si="104"/>
        <v>137294</v>
      </c>
      <c r="L36" s="1070">
        <f t="shared" si="104"/>
        <v>145201</v>
      </c>
      <c r="M36" s="1070">
        <f t="shared" si="104"/>
        <v>142830</v>
      </c>
      <c r="N36" s="1070">
        <f t="shared" si="104"/>
        <v>142527</v>
      </c>
      <c r="O36" s="1070">
        <f t="shared" si="104"/>
        <v>142431</v>
      </c>
      <c r="P36" s="1070">
        <f t="shared" si="104"/>
        <v>150762</v>
      </c>
      <c r="Q36" s="1070">
        <f t="shared" ref="Q36:T36" si="105">Q105</f>
        <v>143632</v>
      </c>
      <c r="R36" s="1070">
        <f t="shared" si="105"/>
        <v>145275</v>
      </c>
      <c r="S36" s="1070">
        <f t="shared" si="105"/>
        <v>148042</v>
      </c>
      <c r="T36" s="1070">
        <f t="shared" si="105"/>
        <v>152251</v>
      </c>
      <c r="U36" s="1116">
        <f>ROUND('5名目時系列'!U36/(デフレーター1!U$45/100),0)</f>
        <v>151112</v>
      </c>
      <c r="V36" s="1116">
        <f>ROUND('5名目時系列'!V36/(デフレーター1!V$45/100),0)</f>
        <v>143209</v>
      </c>
      <c r="W36" s="1116">
        <f>ROUND('5名目時系列'!W36/(デフレーター1!W$45/100),0)</f>
        <v>127536</v>
      </c>
      <c r="X36" s="1116">
        <f>ROUND('5名目時系列'!X36/(デフレーター1!X$45/100),0)</f>
        <v>122141</v>
      </c>
      <c r="Y36" s="588">
        <f t="shared" si="51"/>
        <v>-4.7</v>
      </c>
      <c r="Z36" s="588">
        <f t="shared" si="52"/>
        <v>1.1000000000000001</v>
      </c>
      <c r="AA36" s="588">
        <f t="shared" si="53"/>
        <v>1.9</v>
      </c>
      <c r="AB36" s="588">
        <f t="shared" si="53"/>
        <v>2.8</v>
      </c>
      <c r="AC36" s="588">
        <f t="shared" si="53"/>
        <v>-0.7</v>
      </c>
      <c r="AD36" s="588">
        <f t="shared" si="53"/>
        <v>-5.2</v>
      </c>
      <c r="AE36" s="588">
        <f t="shared" si="53"/>
        <v>-10.9</v>
      </c>
      <c r="AF36" s="588">
        <f t="shared" si="53"/>
        <v>-4.2</v>
      </c>
    </row>
    <row r="37" spans="1:32">
      <c r="A37" s="92">
        <v>215</v>
      </c>
      <c r="B37" s="92" t="s">
        <v>232</v>
      </c>
      <c r="C37" s="1070">
        <f t="shared" si="103"/>
        <v>282043</v>
      </c>
      <c r="D37" s="1070">
        <f t="shared" si="103"/>
        <v>291846</v>
      </c>
      <c r="E37" s="1070">
        <f t="shared" si="103"/>
        <v>286522</v>
      </c>
      <c r="F37" s="1070">
        <f t="shared" si="103"/>
        <v>270277</v>
      </c>
      <c r="G37" s="1070">
        <f t="shared" si="103"/>
        <v>279192</v>
      </c>
      <c r="H37" s="1070">
        <f t="shared" ref="H37:P37" si="106">H106</f>
        <v>272658</v>
      </c>
      <c r="I37" s="1070">
        <f t="shared" si="106"/>
        <v>273844</v>
      </c>
      <c r="J37" s="1070">
        <f t="shared" si="106"/>
        <v>279728</v>
      </c>
      <c r="K37" s="1070">
        <f t="shared" si="106"/>
        <v>268935</v>
      </c>
      <c r="L37" s="1070">
        <f t="shared" si="106"/>
        <v>285393</v>
      </c>
      <c r="M37" s="1070">
        <f t="shared" si="106"/>
        <v>296226</v>
      </c>
      <c r="N37" s="1070">
        <f t="shared" si="106"/>
        <v>304799</v>
      </c>
      <c r="O37" s="1070">
        <f t="shared" si="106"/>
        <v>308317</v>
      </c>
      <c r="P37" s="1070">
        <f t="shared" si="106"/>
        <v>307588</v>
      </c>
      <c r="Q37" s="1070">
        <f t="shared" ref="Q37:T37" si="107">Q106</f>
        <v>312015</v>
      </c>
      <c r="R37" s="1070">
        <f t="shared" si="107"/>
        <v>317209</v>
      </c>
      <c r="S37" s="1070">
        <f t="shared" si="107"/>
        <v>317089</v>
      </c>
      <c r="T37" s="1070">
        <f t="shared" si="107"/>
        <v>315832</v>
      </c>
      <c r="U37" s="1116">
        <f>ROUND('5名目時系列'!U37/(デフレーター1!U$45/100),0)</f>
        <v>309165</v>
      </c>
      <c r="V37" s="1116">
        <f>ROUND('5名目時系列'!V37/(デフレーター1!V$45/100),0)</f>
        <v>300844</v>
      </c>
      <c r="W37" s="1116">
        <f>ROUND('5名目時系列'!W37/(デフレーター1!W$45/100),0)</f>
        <v>289946</v>
      </c>
      <c r="X37" s="1116">
        <f>ROUND('5名目時系列'!X37/(デフレーター1!X$45/100),0)</f>
        <v>288897</v>
      </c>
      <c r="Y37" s="588">
        <f t="shared" si="51"/>
        <v>1.4</v>
      </c>
      <c r="Z37" s="588">
        <f t="shared" si="52"/>
        <v>1.7</v>
      </c>
      <c r="AA37" s="588">
        <f t="shared" si="53"/>
        <v>0</v>
      </c>
      <c r="AB37" s="588">
        <f t="shared" si="53"/>
        <v>-0.4</v>
      </c>
      <c r="AC37" s="588">
        <f t="shared" si="53"/>
        <v>-2.1</v>
      </c>
      <c r="AD37" s="588">
        <f t="shared" si="53"/>
        <v>-2.7</v>
      </c>
      <c r="AE37" s="588">
        <f t="shared" si="53"/>
        <v>-3.6</v>
      </c>
      <c r="AF37" s="588">
        <f t="shared" si="53"/>
        <v>-0.4</v>
      </c>
    </row>
    <row r="38" spans="1:32">
      <c r="A38" s="89">
        <v>218</v>
      </c>
      <c r="B38" s="90" t="s">
        <v>200</v>
      </c>
      <c r="C38" s="1070">
        <f t="shared" si="103"/>
        <v>224087</v>
      </c>
      <c r="D38" s="1070">
        <f t="shared" si="103"/>
        <v>231628</v>
      </c>
      <c r="E38" s="1070">
        <f t="shared" si="103"/>
        <v>233943</v>
      </c>
      <c r="F38" s="1070">
        <f t="shared" si="103"/>
        <v>220681</v>
      </c>
      <c r="G38" s="1070">
        <f t="shared" si="103"/>
        <v>229745</v>
      </c>
      <c r="H38" s="1070">
        <f t="shared" ref="H38:P38" si="108">H107</f>
        <v>228179</v>
      </c>
      <c r="I38" s="1070">
        <f t="shared" si="108"/>
        <v>213866</v>
      </c>
      <c r="J38" s="1070">
        <f t="shared" si="108"/>
        <v>238416</v>
      </c>
      <c r="K38" s="1070">
        <f t="shared" si="108"/>
        <v>241954</v>
      </c>
      <c r="L38" s="1070">
        <f t="shared" si="108"/>
        <v>256075</v>
      </c>
      <c r="M38" s="1070">
        <f t="shared" si="108"/>
        <v>252788</v>
      </c>
      <c r="N38" s="1070">
        <f t="shared" si="108"/>
        <v>261573</v>
      </c>
      <c r="O38" s="1070">
        <f t="shared" si="108"/>
        <v>263906</v>
      </c>
      <c r="P38" s="1070">
        <f t="shared" si="108"/>
        <v>262654</v>
      </c>
      <c r="Q38" s="1070">
        <f t="shared" ref="Q38:T38" si="109">Q107</f>
        <v>249252</v>
      </c>
      <c r="R38" s="1070">
        <f t="shared" si="109"/>
        <v>256456</v>
      </c>
      <c r="S38" s="1070">
        <f t="shared" si="109"/>
        <v>257763</v>
      </c>
      <c r="T38" s="1070">
        <f t="shared" si="109"/>
        <v>283279</v>
      </c>
      <c r="U38" s="1116">
        <f>ROUND('5名目時系列'!U38/(デフレーター1!U$45/100),0)</f>
        <v>241609</v>
      </c>
      <c r="V38" s="1116">
        <f>ROUND('5名目時系列'!V38/(デフレーター1!V$45/100),0)</f>
        <v>218410</v>
      </c>
      <c r="W38" s="1116">
        <f>ROUND('5名目時系列'!W38/(デフレーター1!W$45/100),0)</f>
        <v>212955</v>
      </c>
      <c r="X38" s="1116">
        <f>ROUND('5名目時系列'!X38/(デフレーター1!X$45/100),0)</f>
        <v>220564</v>
      </c>
      <c r="Y38" s="588">
        <f t="shared" si="51"/>
        <v>-5.0999999999999996</v>
      </c>
      <c r="Z38" s="588">
        <f t="shared" si="52"/>
        <v>2.9</v>
      </c>
      <c r="AA38" s="588">
        <f t="shared" si="53"/>
        <v>0.5</v>
      </c>
      <c r="AB38" s="588">
        <f t="shared" si="53"/>
        <v>9.9</v>
      </c>
      <c r="AC38" s="588">
        <f t="shared" si="53"/>
        <v>-14.7</v>
      </c>
      <c r="AD38" s="588">
        <f t="shared" si="53"/>
        <v>-9.6</v>
      </c>
      <c r="AE38" s="588">
        <f t="shared" si="53"/>
        <v>-2.5</v>
      </c>
      <c r="AF38" s="588">
        <f t="shared" si="53"/>
        <v>3.6</v>
      </c>
    </row>
    <row r="39" spans="1:32">
      <c r="A39" s="89">
        <v>220</v>
      </c>
      <c r="B39" s="90" t="s">
        <v>201</v>
      </c>
      <c r="C39" s="1070">
        <f t="shared" si="103"/>
        <v>196849</v>
      </c>
      <c r="D39" s="1070">
        <f t="shared" si="103"/>
        <v>207139</v>
      </c>
      <c r="E39" s="1070">
        <f t="shared" si="103"/>
        <v>202374</v>
      </c>
      <c r="F39" s="1070">
        <f t="shared" si="103"/>
        <v>200325</v>
      </c>
      <c r="G39" s="1070">
        <f t="shared" si="103"/>
        <v>201289</v>
      </c>
      <c r="H39" s="1070">
        <f t="shared" ref="H39:P39" si="110">H108</f>
        <v>204116</v>
      </c>
      <c r="I39" s="1070">
        <f t="shared" si="110"/>
        <v>209027</v>
      </c>
      <c r="J39" s="1070">
        <f t="shared" si="110"/>
        <v>220827</v>
      </c>
      <c r="K39" s="1070">
        <f t="shared" si="110"/>
        <v>206861</v>
      </c>
      <c r="L39" s="1070">
        <f t="shared" si="110"/>
        <v>210852</v>
      </c>
      <c r="M39" s="1070">
        <f t="shared" si="110"/>
        <v>229522</v>
      </c>
      <c r="N39" s="1070">
        <f t="shared" si="110"/>
        <v>252117</v>
      </c>
      <c r="O39" s="1070">
        <f t="shared" si="110"/>
        <v>254772</v>
      </c>
      <c r="P39" s="1070">
        <f t="shared" si="110"/>
        <v>245992</v>
      </c>
      <c r="Q39" s="1070">
        <f t="shared" ref="Q39:T39" si="111">Q108</f>
        <v>231352</v>
      </c>
      <c r="R39" s="1070">
        <f t="shared" si="111"/>
        <v>250827</v>
      </c>
      <c r="S39" s="1070">
        <f t="shared" si="111"/>
        <v>239948</v>
      </c>
      <c r="T39" s="1070">
        <f t="shared" si="111"/>
        <v>245565</v>
      </c>
      <c r="U39" s="1116">
        <f>ROUND('5名目時系列'!U39/(デフレーター1!U$45/100),0)</f>
        <v>217194</v>
      </c>
      <c r="V39" s="1116">
        <f>ROUND('5名目時系列'!V39/(デフレーター1!V$45/100),0)</f>
        <v>200228</v>
      </c>
      <c r="W39" s="1116">
        <f>ROUND('5名目時系列'!W39/(デフレーター1!W$45/100),0)</f>
        <v>193752</v>
      </c>
      <c r="X39" s="1116">
        <f>ROUND('5名目時系列'!X39/(デフレーター1!X$45/100),0)</f>
        <v>193066</v>
      </c>
      <c r="Y39" s="588">
        <f t="shared" si="51"/>
        <v>-6</v>
      </c>
      <c r="Z39" s="588">
        <f t="shared" si="52"/>
        <v>8.4</v>
      </c>
      <c r="AA39" s="588">
        <f t="shared" si="53"/>
        <v>-4.3</v>
      </c>
      <c r="AB39" s="588">
        <f t="shared" si="53"/>
        <v>2.2999999999999998</v>
      </c>
      <c r="AC39" s="588">
        <f t="shared" si="53"/>
        <v>-11.6</v>
      </c>
      <c r="AD39" s="588">
        <f t="shared" si="53"/>
        <v>-7.8</v>
      </c>
      <c r="AE39" s="588">
        <f t="shared" si="53"/>
        <v>-3.2</v>
      </c>
      <c r="AF39" s="588">
        <f t="shared" si="53"/>
        <v>-0.4</v>
      </c>
    </row>
    <row r="40" spans="1:32">
      <c r="A40" s="89">
        <v>228</v>
      </c>
      <c r="B40" s="90" t="s">
        <v>239</v>
      </c>
      <c r="C40" s="1070">
        <f>C109</f>
        <v>262033</v>
      </c>
      <c r="D40" s="1070">
        <f t="shared" si="103"/>
        <v>255799</v>
      </c>
      <c r="E40" s="1070">
        <f t="shared" si="103"/>
        <v>252653</v>
      </c>
      <c r="F40" s="1070">
        <f t="shared" si="103"/>
        <v>246676</v>
      </c>
      <c r="G40" s="1070">
        <f t="shared" si="103"/>
        <v>264379</v>
      </c>
      <c r="H40" s="1070">
        <f t="shared" ref="H40:P40" si="112">H109</f>
        <v>245838</v>
      </c>
      <c r="I40" s="1070">
        <f t="shared" si="112"/>
        <v>238672</v>
      </c>
      <c r="J40" s="1070">
        <f t="shared" si="112"/>
        <v>238080</v>
      </c>
      <c r="K40" s="1070">
        <f t="shared" si="112"/>
        <v>251263</v>
      </c>
      <c r="L40" s="1070">
        <f t="shared" si="112"/>
        <v>235397</v>
      </c>
      <c r="M40" s="1070">
        <f t="shared" si="112"/>
        <v>269309</v>
      </c>
      <c r="N40" s="1070">
        <f t="shared" si="112"/>
        <v>282158</v>
      </c>
      <c r="O40" s="1070">
        <f t="shared" si="112"/>
        <v>260899</v>
      </c>
      <c r="P40" s="1070">
        <f t="shared" si="112"/>
        <v>271849</v>
      </c>
      <c r="Q40" s="1070">
        <f t="shared" ref="Q40:T40" si="113">Q109</f>
        <v>279276</v>
      </c>
      <c r="R40" s="1070">
        <f t="shared" si="113"/>
        <v>265034</v>
      </c>
      <c r="S40" s="1070">
        <f t="shared" si="113"/>
        <v>243683</v>
      </c>
      <c r="T40" s="1070">
        <f t="shared" si="113"/>
        <v>228632</v>
      </c>
      <c r="U40" s="1116">
        <f>ROUND('5名目時系列'!U40/(デフレーター1!U$45/100),0)</f>
        <v>226627</v>
      </c>
      <c r="V40" s="1116">
        <f>ROUND('5名目時系列'!V40/(デフレーター1!V$45/100),0)</f>
        <v>207475</v>
      </c>
      <c r="W40" s="1116">
        <f>ROUND('5名目時系列'!W40/(デフレーター1!W$45/100),0)</f>
        <v>193505</v>
      </c>
      <c r="X40" s="1116">
        <f>ROUND('5名目時系列'!X40/(デフレーター1!X$45/100),0)</f>
        <v>190684</v>
      </c>
      <c r="Y40" s="588">
        <f t="shared" si="51"/>
        <v>2.7</v>
      </c>
      <c r="Z40" s="588">
        <f t="shared" si="52"/>
        <v>-5.0999999999999996</v>
      </c>
      <c r="AA40" s="588">
        <f t="shared" si="53"/>
        <v>-8.1</v>
      </c>
      <c r="AB40" s="588">
        <f t="shared" si="53"/>
        <v>-6.2</v>
      </c>
      <c r="AC40" s="588">
        <f t="shared" si="53"/>
        <v>-0.9</v>
      </c>
      <c r="AD40" s="588">
        <f t="shared" si="53"/>
        <v>-8.5</v>
      </c>
      <c r="AE40" s="588">
        <f t="shared" si="53"/>
        <v>-6.7</v>
      </c>
      <c r="AF40" s="588">
        <f t="shared" si="53"/>
        <v>-1.5</v>
      </c>
    </row>
    <row r="41" spans="1:32">
      <c r="A41" s="89">
        <v>365</v>
      </c>
      <c r="B41" s="90" t="s">
        <v>233</v>
      </c>
      <c r="C41" s="1070">
        <f>C110</f>
        <v>65670</v>
      </c>
      <c r="D41" s="1070">
        <f t="shared" si="103"/>
        <v>66539</v>
      </c>
      <c r="E41" s="1070">
        <f t="shared" si="103"/>
        <v>64280</v>
      </c>
      <c r="F41" s="1070">
        <f t="shared" si="103"/>
        <v>56466</v>
      </c>
      <c r="G41" s="1070">
        <f t="shared" si="103"/>
        <v>59518</v>
      </c>
      <c r="H41" s="1070">
        <f t="shared" ref="H41:P41" si="114">H110</f>
        <v>64793</v>
      </c>
      <c r="I41" s="1070">
        <f t="shared" si="114"/>
        <v>63138</v>
      </c>
      <c r="J41" s="1070">
        <f t="shared" si="114"/>
        <v>64772</v>
      </c>
      <c r="K41" s="1070">
        <f t="shared" si="114"/>
        <v>64382</v>
      </c>
      <c r="L41" s="1070">
        <f t="shared" si="114"/>
        <v>65801</v>
      </c>
      <c r="M41" s="1070">
        <f t="shared" si="114"/>
        <v>67342</v>
      </c>
      <c r="N41" s="1070">
        <f t="shared" si="114"/>
        <v>68372</v>
      </c>
      <c r="O41" s="1070">
        <f t="shared" si="114"/>
        <v>65791</v>
      </c>
      <c r="P41" s="1070">
        <f t="shared" si="114"/>
        <v>65637</v>
      </c>
      <c r="Q41" s="1070">
        <f t="shared" ref="Q41:T41" si="115">Q110</f>
        <v>65471</v>
      </c>
      <c r="R41" s="1070">
        <f t="shared" si="115"/>
        <v>68129</v>
      </c>
      <c r="S41" s="1070">
        <f t="shared" si="115"/>
        <v>71741</v>
      </c>
      <c r="T41" s="1070">
        <f t="shared" si="115"/>
        <v>70201</v>
      </c>
      <c r="U41" s="1116">
        <f>ROUND('5名目時系列'!U41/(デフレーター1!U$45/100),0)</f>
        <v>72853</v>
      </c>
      <c r="V41" s="1116">
        <f>ROUND('5名目時系列'!V41/(デフレーター1!V$45/100),0)</f>
        <v>74028</v>
      </c>
      <c r="W41" s="1116">
        <f>ROUND('5名目時系列'!W41/(デフレーター1!W$45/100),0)</f>
        <v>79845</v>
      </c>
      <c r="X41" s="1116">
        <f>ROUND('5名目時系列'!X41/(デフレーター1!X$45/100),0)</f>
        <v>81625</v>
      </c>
      <c r="Y41" s="588">
        <f t="shared" si="51"/>
        <v>-0.3</v>
      </c>
      <c r="Z41" s="588">
        <f t="shared" si="52"/>
        <v>4.0999999999999996</v>
      </c>
      <c r="AA41" s="588">
        <f t="shared" si="53"/>
        <v>5.3</v>
      </c>
      <c r="AB41" s="588">
        <f t="shared" si="53"/>
        <v>-2.1</v>
      </c>
      <c r="AC41" s="588">
        <f t="shared" si="53"/>
        <v>3.8</v>
      </c>
      <c r="AD41" s="588">
        <f t="shared" si="53"/>
        <v>1.6</v>
      </c>
      <c r="AE41" s="588">
        <f t="shared" si="53"/>
        <v>7.9</v>
      </c>
      <c r="AF41" s="588">
        <f t="shared" si="53"/>
        <v>2.2000000000000002</v>
      </c>
    </row>
    <row r="42" spans="1:32">
      <c r="A42" s="92">
        <v>5</v>
      </c>
      <c r="B42" s="91" t="s">
        <v>202</v>
      </c>
      <c r="C42" s="133">
        <f t="shared" ref="C42:N42" si="116">SUM(C43:C46)</f>
        <v>2565099</v>
      </c>
      <c r="D42" s="133">
        <f t="shared" si="116"/>
        <v>2629643</v>
      </c>
      <c r="E42" s="133">
        <f t="shared" si="116"/>
        <v>2708790</v>
      </c>
      <c r="F42" s="133">
        <f t="shared" si="116"/>
        <v>2370256</v>
      </c>
      <c r="G42" s="133">
        <f t="shared" si="116"/>
        <v>2584373</v>
      </c>
      <c r="H42" s="1071">
        <f t="shared" si="116"/>
        <v>2459071</v>
      </c>
      <c r="I42" s="1071">
        <f t="shared" si="116"/>
        <v>2401066</v>
      </c>
      <c r="J42" s="1071">
        <f t="shared" si="116"/>
        <v>2604440</v>
      </c>
      <c r="K42" s="1071">
        <f t="shared" si="116"/>
        <v>2577285</v>
      </c>
      <c r="L42" s="1071">
        <f t="shared" si="116"/>
        <v>2610540</v>
      </c>
      <c r="M42" s="1071">
        <f t="shared" si="116"/>
        <v>2667693</v>
      </c>
      <c r="N42" s="1071">
        <f t="shared" si="116"/>
        <v>2678688</v>
      </c>
      <c r="O42" s="1071">
        <f>SUM(O43:O46)</f>
        <v>2674020</v>
      </c>
      <c r="P42" s="1071">
        <f>SUM(P43:P46)</f>
        <v>2636461</v>
      </c>
      <c r="Q42" s="1071">
        <f t="shared" ref="Q42:T42" si="117">SUM(Q43:Q46)</f>
        <v>2555353</v>
      </c>
      <c r="R42" s="1071">
        <f t="shared" si="117"/>
        <v>2786293</v>
      </c>
      <c r="S42" s="1071">
        <f t="shared" si="117"/>
        <v>2841392</v>
      </c>
      <c r="T42" s="1071">
        <f t="shared" si="117"/>
        <v>2800023</v>
      </c>
      <c r="U42" s="1071">
        <f t="shared" ref="U42" si="118">SUM(U43:U46)</f>
        <v>2550474</v>
      </c>
      <c r="V42" s="1071">
        <f t="shared" ref="V42:W42" si="119">SUM(V43:V46)</f>
        <v>2438649</v>
      </c>
      <c r="W42" s="1071">
        <f t="shared" si="119"/>
        <v>2393668</v>
      </c>
      <c r="X42" s="1071">
        <f t="shared" ref="X42" si="120">SUM(X43:X46)</f>
        <v>2380541</v>
      </c>
      <c r="Y42" s="588">
        <f t="shared" si="51"/>
        <v>-3.1</v>
      </c>
      <c r="Z42" s="588">
        <f t="shared" si="52"/>
        <v>9</v>
      </c>
      <c r="AA42" s="588">
        <f t="shared" si="53"/>
        <v>2</v>
      </c>
      <c r="AB42" s="588">
        <f t="shared" si="53"/>
        <v>-1.5</v>
      </c>
      <c r="AC42" s="588">
        <f t="shared" si="53"/>
        <v>-8.9</v>
      </c>
      <c r="AD42" s="588">
        <f t="shared" si="53"/>
        <v>-4.4000000000000004</v>
      </c>
      <c r="AE42" s="588">
        <f t="shared" si="53"/>
        <v>-1.8</v>
      </c>
      <c r="AF42" s="588">
        <f t="shared" si="53"/>
        <v>-0.5</v>
      </c>
    </row>
    <row r="43" spans="1:32">
      <c r="A43" s="92">
        <v>201</v>
      </c>
      <c r="B43" s="92" t="s">
        <v>240</v>
      </c>
      <c r="C43" s="1070">
        <f>C112</f>
        <v>2343985</v>
      </c>
      <c r="D43" s="1070">
        <f t="shared" si="103"/>
        <v>2401762</v>
      </c>
      <c r="E43" s="1070">
        <f t="shared" si="103"/>
        <v>2486444</v>
      </c>
      <c r="F43" s="1070">
        <f t="shared" si="103"/>
        <v>2162776</v>
      </c>
      <c r="G43" s="1070">
        <f t="shared" si="103"/>
        <v>2358630</v>
      </c>
      <c r="H43" s="1070">
        <f t="shared" ref="H43:P43" si="121">H112</f>
        <v>2234684</v>
      </c>
      <c r="I43" s="1070">
        <f t="shared" si="121"/>
        <v>2187140</v>
      </c>
      <c r="J43" s="1070">
        <f t="shared" si="121"/>
        <v>2364893</v>
      </c>
      <c r="K43" s="1070">
        <f t="shared" si="121"/>
        <v>2343983</v>
      </c>
      <c r="L43" s="1070">
        <f t="shared" si="121"/>
        <v>2373356</v>
      </c>
      <c r="M43" s="1070">
        <f t="shared" si="121"/>
        <v>2416105</v>
      </c>
      <c r="N43" s="1070">
        <f t="shared" si="121"/>
        <v>2418738</v>
      </c>
      <c r="O43" s="1070">
        <f t="shared" si="121"/>
        <v>2415294</v>
      </c>
      <c r="P43" s="1070">
        <f t="shared" si="121"/>
        <v>2379942</v>
      </c>
      <c r="Q43" s="1070">
        <f t="shared" ref="Q43:T43" si="122">Q112</f>
        <v>2313504</v>
      </c>
      <c r="R43" s="1070">
        <f t="shared" si="122"/>
        <v>2536957</v>
      </c>
      <c r="S43" s="1070">
        <f t="shared" si="122"/>
        <v>2580391</v>
      </c>
      <c r="T43" s="1070">
        <f t="shared" si="122"/>
        <v>2538680</v>
      </c>
      <c r="U43" s="1116">
        <f>ROUND('5名目時系列'!U43/(デフレーター1!U$45/100),0)</f>
        <v>2318470</v>
      </c>
      <c r="V43" s="1116">
        <f>ROUND('5名目時系列'!V43/(デフレーター1!V$45/100),0)</f>
        <v>2230238</v>
      </c>
      <c r="W43" s="1116">
        <f>ROUND('5名目時系列'!W43/(デフレーター1!W$45/100),0)</f>
        <v>2194266</v>
      </c>
      <c r="X43" s="1116">
        <f>ROUND('5名目時系列'!X43/(デフレーター1!X$45/100),0)</f>
        <v>2183200</v>
      </c>
      <c r="Y43" s="588">
        <f t="shared" si="51"/>
        <v>-2.8</v>
      </c>
      <c r="Z43" s="588">
        <f t="shared" si="52"/>
        <v>9.6999999999999993</v>
      </c>
      <c r="AA43" s="588">
        <f t="shared" si="53"/>
        <v>1.7</v>
      </c>
      <c r="AB43" s="588">
        <f t="shared" si="53"/>
        <v>-1.6</v>
      </c>
      <c r="AC43" s="588">
        <f t="shared" si="53"/>
        <v>-8.6999999999999993</v>
      </c>
      <c r="AD43" s="588">
        <f t="shared" si="53"/>
        <v>-3.8</v>
      </c>
      <c r="AE43" s="588">
        <f t="shared" si="53"/>
        <v>-1.6</v>
      </c>
      <c r="AF43" s="588">
        <f t="shared" si="53"/>
        <v>-0.5</v>
      </c>
    </row>
    <row r="44" spans="1:32">
      <c r="A44" s="89">
        <v>442</v>
      </c>
      <c r="B44" s="90" t="s">
        <v>203</v>
      </c>
      <c r="C44" s="1070">
        <f>C113</f>
        <v>42282</v>
      </c>
      <c r="D44" s="1070">
        <f t="shared" si="103"/>
        <v>41565</v>
      </c>
      <c r="E44" s="1070">
        <f t="shared" si="103"/>
        <v>39406</v>
      </c>
      <c r="F44" s="1070">
        <f t="shared" si="103"/>
        <v>35287</v>
      </c>
      <c r="G44" s="1070">
        <f t="shared" si="103"/>
        <v>33945</v>
      </c>
      <c r="H44" s="1070">
        <f t="shared" ref="H44:P44" si="123">H113</f>
        <v>32871</v>
      </c>
      <c r="I44" s="1070">
        <f t="shared" si="123"/>
        <v>34832</v>
      </c>
      <c r="J44" s="1070">
        <f t="shared" si="123"/>
        <v>38275</v>
      </c>
      <c r="K44" s="1070">
        <f t="shared" si="123"/>
        <v>36006</v>
      </c>
      <c r="L44" s="1070">
        <f t="shared" si="123"/>
        <v>35471</v>
      </c>
      <c r="M44" s="1070">
        <f t="shared" si="123"/>
        <v>37669</v>
      </c>
      <c r="N44" s="1070">
        <f t="shared" si="123"/>
        <v>37791</v>
      </c>
      <c r="O44" s="1070">
        <f t="shared" si="123"/>
        <v>38676</v>
      </c>
      <c r="P44" s="1070">
        <f t="shared" si="123"/>
        <v>39413</v>
      </c>
      <c r="Q44" s="1070">
        <f t="shared" ref="Q44:T44" si="124">Q113</f>
        <v>37663</v>
      </c>
      <c r="R44" s="1070">
        <f t="shared" si="124"/>
        <v>41431</v>
      </c>
      <c r="S44" s="1070">
        <f t="shared" si="124"/>
        <v>41362</v>
      </c>
      <c r="T44" s="1070">
        <f t="shared" si="124"/>
        <v>42664</v>
      </c>
      <c r="U44" s="1116">
        <f>ROUND('5名目時系列'!U44/(デフレーター1!U$45/100),0)</f>
        <v>45436</v>
      </c>
      <c r="V44" s="1116">
        <f>ROUND('5名目時系列'!V44/(デフレーター1!V$45/100),0)</f>
        <v>47252</v>
      </c>
      <c r="W44" s="1116">
        <f>ROUND('5名目時系列'!W44/(デフレーター1!W$45/100),0)</f>
        <v>45696</v>
      </c>
      <c r="X44" s="1116">
        <f>ROUND('5名目時系列'!X44/(デフレーター1!X$45/100),0)</f>
        <v>43475</v>
      </c>
      <c r="Y44" s="588">
        <f t="shared" si="51"/>
        <v>-4.4000000000000004</v>
      </c>
      <c r="Z44" s="588">
        <f t="shared" si="52"/>
        <v>10</v>
      </c>
      <c r="AA44" s="588">
        <f t="shared" si="53"/>
        <v>-0.2</v>
      </c>
      <c r="AB44" s="588">
        <f t="shared" si="53"/>
        <v>3.1</v>
      </c>
      <c r="AC44" s="588">
        <f t="shared" si="53"/>
        <v>6.5</v>
      </c>
      <c r="AD44" s="588">
        <f t="shared" si="53"/>
        <v>4</v>
      </c>
      <c r="AE44" s="588">
        <f t="shared" si="53"/>
        <v>-3.3</v>
      </c>
      <c r="AF44" s="588">
        <f t="shared" si="53"/>
        <v>-4.9000000000000004</v>
      </c>
    </row>
    <row r="45" spans="1:32">
      <c r="A45" s="89">
        <v>443</v>
      </c>
      <c r="B45" s="90" t="s">
        <v>204</v>
      </c>
      <c r="C45" s="1070">
        <f>C114</f>
        <v>143795</v>
      </c>
      <c r="D45" s="1070">
        <f t="shared" si="103"/>
        <v>152139</v>
      </c>
      <c r="E45" s="1070">
        <f t="shared" si="103"/>
        <v>149147</v>
      </c>
      <c r="F45" s="1070">
        <f t="shared" si="103"/>
        <v>139072</v>
      </c>
      <c r="G45" s="1070">
        <f t="shared" si="103"/>
        <v>159515</v>
      </c>
      <c r="H45" s="1070">
        <f t="shared" ref="H45:P45" si="125">H114</f>
        <v>161587</v>
      </c>
      <c r="I45" s="1070">
        <f t="shared" si="125"/>
        <v>150783</v>
      </c>
      <c r="J45" s="1070">
        <f t="shared" si="125"/>
        <v>169840</v>
      </c>
      <c r="K45" s="1070">
        <f t="shared" si="125"/>
        <v>166720</v>
      </c>
      <c r="L45" s="1070">
        <f t="shared" si="125"/>
        <v>169338</v>
      </c>
      <c r="M45" s="1070">
        <f t="shared" si="125"/>
        <v>182107</v>
      </c>
      <c r="N45" s="1070">
        <f t="shared" si="125"/>
        <v>189225</v>
      </c>
      <c r="O45" s="1070">
        <f t="shared" si="125"/>
        <v>187396</v>
      </c>
      <c r="P45" s="1070">
        <f t="shared" si="125"/>
        <v>185515</v>
      </c>
      <c r="Q45" s="1070">
        <f t="shared" ref="Q45:T45" si="126">Q114</f>
        <v>172904</v>
      </c>
      <c r="R45" s="1070">
        <f t="shared" si="126"/>
        <v>175217</v>
      </c>
      <c r="S45" s="1070">
        <f t="shared" si="126"/>
        <v>184251</v>
      </c>
      <c r="T45" s="1070">
        <f t="shared" si="126"/>
        <v>182741</v>
      </c>
      <c r="U45" s="1116">
        <f>ROUND('5名目時系列'!U45/(デフレーター1!U$45/100),0)</f>
        <v>139986</v>
      </c>
      <c r="V45" s="1116">
        <f>ROUND('5名目時系列'!V45/(デフレーター1!V$45/100),0)</f>
        <v>109114</v>
      </c>
      <c r="W45" s="1116">
        <f>ROUND('5名目時系列'!W45/(デフレーター1!W$45/100),0)</f>
        <v>96859</v>
      </c>
      <c r="X45" s="1116">
        <f>ROUND('5名目時系列'!X45/(デフレーター1!X$45/100),0)</f>
        <v>96556</v>
      </c>
      <c r="Y45" s="588">
        <f t="shared" si="51"/>
        <v>-6.8</v>
      </c>
      <c r="Z45" s="588">
        <f t="shared" si="52"/>
        <v>1.3</v>
      </c>
      <c r="AA45" s="588">
        <f t="shared" si="53"/>
        <v>5.2</v>
      </c>
      <c r="AB45" s="588">
        <f t="shared" si="53"/>
        <v>-0.8</v>
      </c>
      <c r="AC45" s="588">
        <f t="shared" si="53"/>
        <v>-23.4</v>
      </c>
      <c r="AD45" s="588">
        <f t="shared" si="53"/>
        <v>-22.1</v>
      </c>
      <c r="AE45" s="588">
        <f t="shared" si="53"/>
        <v>-11.2</v>
      </c>
      <c r="AF45" s="588">
        <f t="shared" si="53"/>
        <v>-0.3</v>
      </c>
    </row>
    <row r="46" spans="1:32">
      <c r="A46" s="89">
        <v>446</v>
      </c>
      <c r="B46" s="90" t="s">
        <v>234</v>
      </c>
      <c r="C46" s="1070">
        <f>C115</f>
        <v>35037</v>
      </c>
      <c r="D46" s="1070">
        <f t="shared" si="103"/>
        <v>34177</v>
      </c>
      <c r="E46" s="1070">
        <f t="shared" si="103"/>
        <v>33793</v>
      </c>
      <c r="F46" s="1070">
        <f t="shared" si="103"/>
        <v>33121</v>
      </c>
      <c r="G46" s="1070">
        <f t="shared" si="103"/>
        <v>32283</v>
      </c>
      <c r="H46" s="1070">
        <f t="shared" ref="H46:P46" si="127">H115</f>
        <v>29929</v>
      </c>
      <c r="I46" s="1070">
        <f t="shared" si="127"/>
        <v>28311</v>
      </c>
      <c r="J46" s="1070">
        <f t="shared" si="127"/>
        <v>31432</v>
      </c>
      <c r="K46" s="1070">
        <f t="shared" si="127"/>
        <v>30576</v>
      </c>
      <c r="L46" s="1070">
        <f t="shared" si="127"/>
        <v>32375</v>
      </c>
      <c r="M46" s="1070">
        <f t="shared" si="127"/>
        <v>31812</v>
      </c>
      <c r="N46" s="1070">
        <f t="shared" si="127"/>
        <v>32934</v>
      </c>
      <c r="O46" s="1070">
        <f t="shared" si="127"/>
        <v>32654</v>
      </c>
      <c r="P46" s="1070">
        <f t="shared" si="127"/>
        <v>31591</v>
      </c>
      <c r="Q46" s="1070">
        <f t="shared" ref="Q46:T46" si="128">Q115</f>
        <v>31282</v>
      </c>
      <c r="R46" s="1070">
        <f t="shared" si="128"/>
        <v>32688</v>
      </c>
      <c r="S46" s="1070">
        <f t="shared" si="128"/>
        <v>35388</v>
      </c>
      <c r="T46" s="1070">
        <f t="shared" si="128"/>
        <v>35938</v>
      </c>
      <c r="U46" s="1116">
        <f>ROUND('5名目時系列'!U46/(デフレーター1!U$45/100),0)</f>
        <v>46582</v>
      </c>
      <c r="V46" s="1116">
        <f>ROUND('5名目時系列'!V46/(デフレーター1!V$45/100),0)</f>
        <v>52045</v>
      </c>
      <c r="W46" s="1116">
        <f>ROUND('5名目時系列'!W46/(デフレーター1!W$45/100),0)</f>
        <v>56847</v>
      </c>
      <c r="X46" s="1116">
        <f>ROUND('5名目時系列'!X46/(デフレーター1!X$45/100),0)</f>
        <v>57310</v>
      </c>
      <c r="Y46" s="588">
        <f t="shared" si="51"/>
        <v>-1</v>
      </c>
      <c r="Z46" s="588">
        <f t="shared" si="52"/>
        <v>4.5</v>
      </c>
      <c r="AA46" s="588">
        <f t="shared" si="53"/>
        <v>8.3000000000000007</v>
      </c>
      <c r="AB46" s="588">
        <f t="shared" si="53"/>
        <v>1.6</v>
      </c>
      <c r="AC46" s="588">
        <f t="shared" si="53"/>
        <v>29.6</v>
      </c>
      <c r="AD46" s="588">
        <f t="shared" si="53"/>
        <v>11.7</v>
      </c>
      <c r="AE46" s="588">
        <f t="shared" si="53"/>
        <v>9.1999999999999993</v>
      </c>
      <c r="AF46" s="588">
        <f t="shared" si="53"/>
        <v>0.8</v>
      </c>
    </row>
    <row r="47" spans="1:32">
      <c r="A47" s="92">
        <v>6</v>
      </c>
      <c r="B47" s="91" t="s">
        <v>205</v>
      </c>
      <c r="C47" s="133">
        <f t="shared" ref="C47:N47" si="129">SUM(C48:C54)</f>
        <v>988227</v>
      </c>
      <c r="D47" s="133">
        <f t="shared" si="129"/>
        <v>1013274</v>
      </c>
      <c r="E47" s="133">
        <f t="shared" si="129"/>
        <v>973912</v>
      </c>
      <c r="F47" s="133">
        <f t="shared" si="129"/>
        <v>935893</v>
      </c>
      <c r="G47" s="133">
        <f t="shared" si="129"/>
        <v>993858</v>
      </c>
      <c r="H47" s="1071">
        <f t="shared" si="129"/>
        <v>985923</v>
      </c>
      <c r="I47" s="1071">
        <f t="shared" si="129"/>
        <v>990496</v>
      </c>
      <c r="J47" s="1071">
        <f t="shared" si="129"/>
        <v>999464</v>
      </c>
      <c r="K47" s="1071">
        <f t="shared" si="129"/>
        <v>1000895</v>
      </c>
      <c r="L47" s="1071">
        <f t="shared" si="129"/>
        <v>1016695</v>
      </c>
      <c r="M47" s="1071">
        <f t="shared" si="129"/>
        <v>1021266</v>
      </c>
      <c r="N47" s="1071">
        <f t="shared" si="129"/>
        <v>1065673</v>
      </c>
      <c r="O47" s="1071">
        <f>SUM(O48:O54)</f>
        <v>1070880</v>
      </c>
      <c r="P47" s="1071">
        <f>SUM(P48:P54)</f>
        <v>1075264</v>
      </c>
      <c r="Q47" s="1071">
        <f t="shared" ref="Q47:T47" si="130">SUM(Q48:Q54)</f>
        <v>1084785</v>
      </c>
      <c r="R47" s="1071">
        <f t="shared" si="130"/>
        <v>1112726</v>
      </c>
      <c r="S47" s="1071">
        <f t="shared" si="130"/>
        <v>1087411</v>
      </c>
      <c r="T47" s="1071">
        <f t="shared" si="130"/>
        <v>1079374</v>
      </c>
      <c r="U47" s="1071">
        <f t="shared" ref="U47" si="131">SUM(U48:U54)</f>
        <v>1079291</v>
      </c>
      <c r="V47" s="1071">
        <f t="shared" ref="V47:W47" si="132">SUM(V48:V54)</f>
        <v>1008614</v>
      </c>
      <c r="W47" s="1071">
        <f t="shared" si="132"/>
        <v>950930</v>
      </c>
      <c r="X47" s="1071">
        <f t="shared" ref="X47" si="133">SUM(X48:X54)</f>
        <v>929112</v>
      </c>
      <c r="Y47" s="588">
        <f t="shared" si="51"/>
        <v>0.9</v>
      </c>
      <c r="Z47" s="588">
        <f t="shared" si="52"/>
        <v>2.6</v>
      </c>
      <c r="AA47" s="588">
        <f t="shared" si="53"/>
        <v>-2.2999999999999998</v>
      </c>
      <c r="AB47" s="588">
        <f t="shared" si="53"/>
        <v>-0.7</v>
      </c>
      <c r="AC47" s="588">
        <f t="shared" si="53"/>
        <v>0</v>
      </c>
      <c r="AD47" s="588">
        <f t="shared" si="53"/>
        <v>-6.5</v>
      </c>
      <c r="AE47" s="588">
        <f t="shared" si="53"/>
        <v>-5.7</v>
      </c>
      <c r="AF47" s="588">
        <f t="shared" si="53"/>
        <v>-2.2999999999999998</v>
      </c>
    </row>
    <row r="48" spans="1:32">
      <c r="A48" s="89">
        <v>208</v>
      </c>
      <c r="B48" s="90" t="s">
        <v>206</v>
      </c>
      <c r="C48" s="1070">
        <f t="shared" ref="C48:G54" si="134">C117</f>
        <v>134645</v>
      </c>
      <c r="D48" s="1070">
        <f t="shared" si="103"/>
        <v>137303</v>
      </c>
      <c r="E48" s="1070">
        <f t="shared" si="103"/>
        <v>133800</v>
      </c>
      <c r="F48" s="1070">
        <f t="shared" si="103"/>
        <v>130528</v>
      </c>
      <c r="G48" s="1070">
        <f t="shared" si="103"/>
        <v>129851</v>
      </c>
      <c r="H48" s="1070">
        <f t="shared" ref="H48:P48" si="135">H117</f>
        <v>101660</v>
      </c>
      <c r="I48" s="1070">
        <f t="shared" si="135"/>
        <v>105516</v>
      </c>
      <c r="J48" s="1070">
        <f t="shared" si="135"/>
        <v>101989</v>
      </c>
      <c r="K48" s="1070">
        <f t="shared" si="135"/>
        <v>117202</v>
      </c>
      <c r="L48" s="1070">
        <f t="shared" si="135"/>
        <v>143741</v>
      </c>
      <c r="M48" s="1070">
        <f t="shared" si="135"/>
        <v>108138</v>
      </c>
      <c r="N48" s="1070">
        <f t="shared" si="135"/>
        <v>118374</v>
      </c>
      <c r="O48" s="1070">
        <f t="shared" si="135"/>
        <v>138507</v>
      </c>
      <c r="P48" s="1070">
        <f t="shared" si="135"/>
        <v>144899</v>
      </c>
      <c r="Q48" s="1070">
        <f t="shared" ref="Q48:T48" si="136">Q117</f>
        <v>170672</v>
      </c>
      <c r="R48" s="1070">
        <f t="shared" si="136"/>
        <v>178865</v>
      </c>
      <c r="S48" s="1070">
        <f t="shared" si="136"/>
        <v>188336</v>
      </c>
      <c r="T48" s="1070">
        <f t="shared" si="136"/>
        <v>172468</v>
      </c>
      <c r="U48" s="1116">
        <f>ROUND('5名目時系列'!U48/(デフレーター1!U$45/100),0)</f>
        <v>146476</v>
      </c>
      <c r="V48" s="1116">
        <f>ROUND('5名目時系列'!V48/(デフレーター1!V$45/100),0)</f>
        <v>118832</v>
      </c>
      <c r="W48" s="1116">
        <f>ROUND('5名目時系列'!W48/(デフレーター1!W$45/100),0)</f>
        <v>104340</v>
      </c>
      <c r="X48" s="1116">
        <f>ROUND('5名目時系列'!X48/(デフレーター1!X$45/100),0)</f>
        <v>99953</v>
      </c>
      <c r="Y48" s="588">
        <f t="shared" si="51"/>
        <v>17.8</v>
      </c>
      <c r="Z48" s="588">
        <f t="shared" si="52"/>
        <v>4.8</v>
      </c>
      <c r="AA48" s="588">
        <f t="shared" si="53"/>
        <v>5.3</v>
      </c>
      <c r="AB48" s="588">
        <f t="shared" si="53"/>
        <v>-8.4</v>
      </c>
      <c r="AC48" s="588">
        <f t="shared" si="53"/>
        <v>-15.1</v>
      </c>
      <c r="AD48" s="588">
        <f t="shared" si="53"/>
        <v>-18.899999999999999</v>
      </c>
      <c r="AE48" s="588">
        <f t="shared" si="53"/>
        <v>-12.2</v>
      </c>
      <c r="AF48" s="588">
        <f t="shared" si="53"/>
        <v>-4.2</v>
      </c>
    </row>
    <row r="49" spans="1:32">
      <c r="A49" s="89">
        <v>212</v>
      </c>
      <c r="B49" s="90" t="s">
        <v>207</v>
      </c>
      <c r="C49" s="1070">
        <f t="shared" si="134"/>
        <v>197272</v>
      </c>
      <c r="D49" s="1070">
        <f t="shared" si="103"/>
        <v>196671</v>
      </c>
      <c r="E49" s="1070">
        <f t="shared" si="103"/>
        <v>188742</v>
      </c>
      <c r="F49" s="1070">
        <f t="shared" si="103"/>
        <v>196730</v>
      </c>
      <c r="G49" s="1070">
        <f t="shared" si="103"/>
        <v>217352</v>
      </c>
      <c r="H49" s="1070">
        <f t="shared" ref="H49:P49" si="137">H118</f>
        <v>217837</v>
      </c>
      <c r="I49" s="1070">
        <f t="shared" si="137"/>
        <v>222509</v>
      </c>
      <c r="J49" s="1070">
        <f t="shared" si="137"/>
        <v>229233</v>
      </c>
      <c r="K49" s="1070">
        <f t="shared" si="137"/>
        <v>220153</v>
      </c>
      <c r="L49" s="1070">
        <f t="shared" si="137"/>
        <v>227246</v>
      </c>
      <c r="M49" s="1070">
        <f t="shared" si="137"/>
        <v>234268</v>
      </c>
      <c r="N49" s="1070">
        <f t="shared" si="137"/>
        <v>241892</v>
      </c>
      <c r="O49" s="1070">
        <f t="shared" si="137"/>
        <v>235359</v>
      </c>
      <c r="P49" s="1070">
        <f t="shared" si="137"/>
        <v>239108</v>
      </c>
      <c r="Q49" s="1070">
        <f t="shared" ref="Q49:T49" si="138">Q118</f>
        <v>238405</v>
      </c>
      <c r="R49" s="1070">
        <f t="shared" si="138"/>
        <v>229314</v>
      </c>
      <c r="S49" s="1070">
        <f t="shared" si="138"/>
        <v>232792</v>
      </c>
      <c r="T49" s="1070">
        <f t="shared" si="138"/>
        <v>235344</v>
      </c>
      <c r="U49" s="1116">
        <f>ROUND('5名目時系列'!U49/(デフレーター1!U$45/100),0)</f>
        <v>238847</v>
      </c>
      <c r="V49" s="1116">
        <f>ROUND('5名目時系列'!V49/(デフレーター1!V$45/100),0)</f>
        <v>215465</v>
      </c>
      <c r="W49" s="1116">
        <f>ROUND('5名目時系列'!W49/(デフレーター1!W$45/100),0)</f>
        <v>201375</v>
      </c>
      <c r="X49" s="1116">
        <f>ROUND('5名目時系列'!X49/(デフレーター1!X$45/100),0)</f>
        <v>195150</v>
      </c>
      <c r="Y49" s="588">
        <f t="shared" si="51"/>
        <v>-0.3</v>
      </c>
      <c r="Z49" s="588">
        <f t="shared" si="52"/>
        <v>-3.8</v>
      </c>
      <c r="AA49" s="588">
        <f t="shared" si="53"/>
        <v>1.5</v>
      </c>
      <c r="AB49" s="588">
        <f t="shared" si="53"/>
        <v>1.1000000000000001</v>
      </c>
      <c r="AC49" s="588">
        <f t="shared" si="53"/>
        <v>1.5</v>
      </c>
      <c r="AD49" s="588">
        <f t="shared" si="53"/>
        <v>-9.8000000000000007</v>
      </c>
      <c r="AE49" s="588">
        <f t="shared" si="53"/>
        <v>-6.5</v>
      </c>
      <c r="AF49" s="588">
        <f t="shared" si="53"/>
        <v>-3.1</v>
      </c>
    </row>
    <row r="50" spans="1:32">
      <c r="A50" s="89">
        <v>227</v>
      </c>
      <c r="B50" s="90" t="s">
        <v>219</v>
      </c>
      <c r="C50" s="1070">
        <f t="shared" si="134"/>
        <v>127648</v>
      </c>
      <c r="D50" s="1070">
        <f t="shared" si="103"/>
        <v>130777</v>
      </c>
      <c r="E50" s="1070">
        <f t="shared" si="103"/>
        <v>123204</v>
      </c>
      <c r="F50" s="1070">
        <f t="shared" si="103"/>
        <v>118547</v>
      </c>
      <c r="G50" s="1070">
        <f t="shared" si="103"/>
        <v>119222</v>
      </c>
      <c r="H50" s="1070">
        <f t="shared" ref="H50:P50" si="139">H119</f>
        <v>117611</v>
      </c>
      <c r="I50" s="1070">
        <f t="shared" si="139"/>
        <v>120622</v>
      </c>
      <c r="J50" s="1070">
        <f t="shared" si="139"/>
        <v>126515</v>
      </c>
      <c r="K50" s="1070">
        <f t="shared" si="139"/>
        <v>122027</v>
      </c>
      <c r="L50" s="1070">
        <f t="shared" si="139"/>
        <v>121660</v>
      </c>
      <c r="M50" s="1070">
        <f t="shared" si="139"/>
        <v>120912</v>
      </c>
      <c r="N50" s="1070">
        <f t="shared" si="139"/>
        <v>120106</v>
      </c>
      <c r="O50" s="1070">
        <f t="shared" si="139"/>
        <v>122075</v>
      </c>
      <c r="P50" s="1070">
        <f t="shared" si="139"/>
        <v>118852</v>
      </c>
      <c r="Q50" s="1070">
        <f t="shared" ref="Q50:T50" si="140">Q119</f>
        <v>110319</v>
      </c>
      <c r="R50" s="1070">
        <f t="shared" si="140"/>
        <v>116475</v>
      </c>
      <c r="S50" s="1070">
        <f t="shared" si="140"/>
        <v>118116</v>
      </c>
      <c r="T50" s="1070">
        <f t="shared" si="140"/>
        <v>117480</v>
      </c>
      <c r="U50" s="1116">
        <f>ROUND('5名目時系列'!U50/(デフレーター1!U$45/100),0)</f>
        <v>135760</v>
      </c>
      <c r="V50" s="1116">
        <f>ROUND('5名目時系列'!V50/(デフレーター1!V$45/100),0)</f>
        <v>128860</v>
      </c>
      <c r="W50" s="1116">
        <f>ROUND('5名目時系列'!W50/(デフレーター1!W$45/100),0)</f>
        <v>119104</v>
      </c>
      <c r="X50" s="1116">
        <f>ROUND('5名目時系列'!X50/(デフレーター1!X$45/100),0)</f>
        <v>111297</v>
      </c>
      <c r="Y50" s="588">
        <f t="shared" ref="Y50:Y67" si="141">ROUND((Q50-P50)/P50*100,1)</f>
        <v>-7.2</v>
      </c>
      <c r="Z50" s="588">
        <f t="shared" ref="Z50:Z67" si="142">ROUND((R50-Q50)/Q50*100,1)</f>
        <v>5.6</v>
      </c>
      <c r="AA50" s="588">
        <f t="shared" ref="AA50:AF67" si="143">ROUND((S50-R50)/R50*100,1)</f>
        <v>1.4</v>
      </c>
      <c r="AB50" s="588">
        <f t="shared" si="143"/>
        <v>-0.5</v>
      </c>
      <c r="AC50" s="588">
        <f t="shared" si="143"/>
        <v>15.6</v>
      </c>
      <c r="AD50" s="588">
        <f t="shared" si="143"/>
        <v>-5.0999999999999996</v>
      </c>
      <c r="AE50" s="588">
        <f t="shared" si="143"/>
        <v>-7.6</v>
      </c>
      <c r="AF50" s="588">
        <f t="shared" si="143"/>
        <v>-6.6</v>
      </c>
    </row>
    <row r="51" spans="1:32">
      <c r="A51" s="89">
        <v>229</v>
      </c>
      <c r="B51" s="90" t="s">
        <v>235</v>
      </c>
      <c r="C51" s="1070">
        <f t="shared" si="134"/>
        <v>314474</v>
      </c>
      <c r="D51" s="1070">
        <f t="shared" si="103"/>
        <v>325690</v>
      </c>
      <c r="E51" s="1070">
        <f t="shared" si="103"/>
        <v>322719</v>
      </c>
      <c r="F51" s="1070">
        <f t="shared" si="103"/>
        <v>295025</v>
      </c>
      <c r="G51" s="1070">
        <f t="shared" si="103"/>
        <v>316722</v>
      </c>
      <c r="H51" s="1070">
        <f t="shared" ref="H51:P51" si="144">H120</f>
        <v>335310</v>
      </c>
      <c r="I51" s="1070">
        <f t="shared" si="144"/>
        <v>333286</v>
      </c>
      <c r="J51" s="1070">
        <f t="shared" si="144"/>
        <v>342886</v>
      </c>
      <c r="K51" s="1070">
        <f t="shared" si="144"/>
        <v>334206</v>
      </c>
      <c r="L51" s="1070">
        <f t="shared" si="144"/>
        <v>353318</v>
      </c>
      <c r="M51" s="1070">
        <f t="shared" si="144"/>
        <v>358818</v>
      </c>
      <c r="N51" s="1070">
        <f t="shared" si="144"/>
        <v>367045</v>
      </c>
      <c r="O51" s="1070">
        <f t="shared" si="144"/>
        <v>355033</v>
      </c>
      <c r="P51" s="1070">
        <f t="shared" si="144"/>
        <v>357650</v>
      </c>
      <c r="Q51" s="1070">
        <f t="shared" ref="Q51:T51" si="145">Q120</f>
        <v>344968</v>
      </c>
      <c r="R51" s="1070">
        <f t="shared" si="145"/>
        <v>341788</v>
      </c>
      <c r="S51" s="1070">
        <f t="shared" si="145"/>
        <v>335224</v>
      </c>
      <c r="T51" s="1070">
        <f t="shared" si="145"/>
        <v>343205</v>
      </c>
      <c r="U51" s="1116">
        <f>ROUND('5名目時系列'!U51/(デフレーター1!U$45/100),0)</f>
        <v>323986</v>
      </c>
      <c r="V51" s="1116">
        <f>ROUND('5名目時系列'!V51/(デフレーター1!V$45/100),0)</f>
        <v>299267</v>
      </c>
      <c r="W51" s="1116">
        <f>ROUND('5名目時系列'!W51/(デフレーター1!W$45/100),0)</f>
        <v>283253</v>
      </c>
      <c r="X51" s="1116">
        <f>ROUND('5名目時系列'!X51/(デフレーター1!X$45/100),0)</f>
        <v>284938</v>
      </c>
      <c r="Y51" s="588">
        <f t="shared" si="141"/>
        <v>-3.5</v>
      </c>
      <c r="Z51" s="588">
        <f t="shared" si="142"/>
        <v>-0.9</v>
      </c>
      <c r="AA51" s="588">
        <f t="shared" si="143"/>
        <v>-1.9</v>
      </c>
      <c r="AB51" s="588">
        <f t="shared" si="143"/>
        <v>2.4</v>
      </c>
      <c r="AC51" s="588">
        <f t="shared" si="143"/>
        <v>-5.6</v>
      </c>
      <c r="AD51" s="588">
        <f t="shared" si="143"/>
        <v>-7.6</v>
      </c>
      <c r="AE51" s="588">
        <f t="shared" si="143"/>
        <v>-5.4</v>
      </c>
      <c r="AF51" s="588">
        <f t="shared" si="143"/>
        <v>0.6</v>
      </c>
    </row>
    <row r="52" spans="1:32">
      <c r="A52" s="89">
        <v>464</v>
      </c>
      <c r="B52" s="90" t="s">
        <v>208</v>
      </c>
      <c r="C52" s="1070">
        <f t="shared" si="134"/>
        <v>105840</v>
      </c>
      <c r="D52" s="1070">
        <f t="shared" si="134"/>
        <v>113231</v>
      </c>
      <c r="E52" s="1070">
        <f t="shared" si="134"/>
        <v>99953</v>
      </c>
      <c r="F52" s="1070">
        <f t="shared" si="134"/>
        <v>92960</v>
      </c>
      <c r="G52" s="1070">
        <f t="shared" si="134"/>
        <v>104391</v>
      </c>
      <c r="H52" s="1070">
        <f t="shared" ref="H52:P52" si="146">H121</f>
        <v>110235</v>
      </c>
      <c r="I52" s="1070">
        <f t="shared" si="146"/>
        <v>106466</v>
      </c>
      <c r="J52" s="1070">
        <f t="shared" si="146"/>
        <v>92380</v>
      </c>
      <c r="K52" s="1070">
        <f t="shared" si="146"/>
        <v>98775</v>
      </c>
      <c r="L52" s="1070">
        <f t="shared" si="146"/>
        <v>60245</v>
      </c>
      <c r="M52" s="1070">
        <f t="shared" si="146"/>
        <v>84643</v>
      </c>
      <c r="N52" s="1070">
        <f t="shared" si="146"/>
        <v>103107</v>
      </c>
      <c r="O52" s="1070">
        <f t="shared" si="146"/>
        <v>104127</v>
      </c>
      <c r="P52" s="1070">
        <f t="shared" si="146"/>
        <v>100847</v>
      </c>
      <c r="Q52" s="1070">
        <f t="shared" ref="Q52:T52" si="147">Q121</f>
        <v>112858</v>
      </c>
      <c r="R52" s="1070">
        <f t="shared" si="147"/>
        <v>131267</v>
      </c>
      <c r="S52" s="1070">
        <f t="shared" si="147"/>
        <v>101039</v>
      </c>
      <c r="T52" s="1070">
        <f t="shared" si="147"/>
        <v>99614</v>
      </c>
      <c r="U52" s="1116">
        <f>ROUND('5名目時系列'!U52/(デフレーター1!U$45/100),0)</f>
        <v>107550</v>
      </c>
      <c r="V52" s="1116">
        <f>ROUND('5名目時系列'!V52/(デフレーター1!V$45/100),0)</f>
        <v>126032</v>
      </c>
      <c r="W52" s="1116">
        <f>ROUND('5名目時系列'!W52/(デフレーター1!W$45/100),0)</f>
        <v>131825</v>
      </c>
      <c r="X52" s="1116">
        <f>ROUND('5名目時系列'!X52/(デフレーター1!X$45/100),0)</f>
        <v>134436</v>
      </c>
      <c r="Y52" s="588">
        <f t="shared" si="141"/>
        <v>11.9</v>
      </c>
      <c r="Z52" s="588">
        <f t="shared" si="142"/>
        <v>16.3</v>
      </c>
      <c r="AA52" s="588">
        <f t="shared" si="143"/>
        <v>-23</v>
      </c>
      <c r="AB52" s="588">
        <f t="shared" si="143"/>
        <v>-1.4</v>
      </c>
      <c r="AC52" s="588">
        <f t="shared" si="143"/>
        <v>8</v>
      </c>
      <c r="AD52" s="588">
        <f t="shared" si="143"/>
        <v>17.2</v>
      </c>
      <c r="AE52" s="588">
        <f t="shared" si="143"/>
        <v>4.5999999999999996</v>
      </c>
      <c r="AF52" s="588">
        <f t="shared" si="143"/>
        <v>2</v>
      </c>
    </row>
    <row r="53" spans="1:32">
      <c r="A53" s="89">
        <v>481</v>
      </c>
      <c r="B53" s="90" t="s">
        <v>209</v>
      </c>
      <c r="C53" s="1070">
        <f t="shared" si="134"/>
        <v>46342</v>
      </c>
      <c r="D53" s="1070">
        <f t="shared" si="134"/>
        <v>47976</v>
      </c>
      <c r="E53" s="1070">
        <f t="shared" si="134"/>
        <v>45239</v>
      </c>
      <c r="F53" s="1070">
        <f t="shared" si="134"/>
        <v>42805</v>
      </c>
      <c r="G53" s="1070">
        <f t="shared" si="134"/>
        <v>43694</v>
      </c>
      <c r="H53" s="1070">
        <f t="shared" ref="H53:P53" si="148">H122</f>
        <v>42095</v>
      </c>
      <c r="I53" s="1070">
        <f t="shared" si="148"/>
        <v>42684</v>
      </c>
      <c r="J53" s="1070">
        <f t="shared" si="148"/>
        <v>44122</v>
      </c>
      <c r="K53" s="1070">
        <f t="shared" si="148"/>
        <v>48127</v>
      </c>
      <c r="L53" s="1070">
        <f t="shared" si="148"/>
        <v>49337</v>
      </c>
      <c r="M53" s="1070">
        <f t="shared" si="148"/>
        <v>53587</v>
      </c>
      <c r="N53" s="1070">
        <f t="shared" si="148"/>
        <v>52379</v>
      </c>
      <c r="O53" s="1070">
        <f t="shared" si="148"/>
        <v>51778</v>
      </c>
      <c r="P53" s="1070">
        <f t="shared" si="148"/>
        <v>50319</v>
      </c>
      <c r="Q53" s="1070">
        <f t="shared" ref="Q53:T53" si="149">Q122</f>
        <v>49302</v>
      </c>
      <c r="R53" s="1070">
        <f t="shared" si="149"/>
        <v>53900</v>
      </c>
      <c r="S53" s="1070">
        <f t="shared" si="149"/>
        <v>51144</v>
      </c>
      <c r="T53" s="1070">
        <f t="shared" si="149"/>
        <v>49673</v>
      </c>
      <c r="U53" s="1116">
        <f>ROUND('5名目時系列'!U53/(デフレーター1!U$45/100),0)</f>
        <v>57181</v>
      </c>
      <c r="V53" s="1116">
        <f>ROUND('5名目時系列'!V53/(デフレーター1!V$45/100),0)</f>
        <v>58139</v>
      </c>
      <c r="W53" s="1116">
        <f>ROUND('5名目時系列'!W53/(デフレーター1!W$45/100),0)</f>
        <v>56583</v>
      </c>
      <c r="X53" s="1116">
        <f>ROUND('5名目時系列'!X53/(デフレーター1!X$45/100),0)</f>
        <v>53478</v>
      </c>
      <c r="Y53" s="588">
        <f t="shared" si="141"/>
        <v>-2</v>
      </c>
      <c r="Z53" s="588">
        <f t="shared" si="142"/>
        <v>9.3000000000000007</v>
      </c>
      <c r="AA53" s="588">
        <f t="shared" si="143"/>
        <v>-5.0999999999999996</v>
      </c>
      <c r="AB53" s="588">
        <f t="shared" si="143"/>
        <v>-2.9</v>
      </c>
      <c r="AC53" s="588">
        <f t="shared" si="143"/>
        <v>15.1</v>
      </c>
      <c r="AD53" s="588">
        <f t="shared" si="143"/>
        <v>1.7</v>
      </c>
      <c r="AE53" s="588">
        <f t="shared" si="143"/>
        <v>-2.7</v>
      </c>
      <c r="AF53" s="588">
        <f t="shared" si="143"/>
        <v>-5.5</v>
      </c>
    </row>
    <row r="54" spans="1:32">
      <c r="A54" s="89">
        <v>501</v>
      </c>
      <c r="B54" s="90" t="s">
        <v>236</v>
      </c>
      <c r="C54" s="1070">
        <f t="shared" si="134"/>
        <v>62006</v>
      </c>
      <c r="D54" s="1070">
        <f t="shared" si="134"/>
        <v>61626</v>
      </c>
      <c r="E54" s="1070">
        <f t="shared" si="134"/>
        <v>60255</v>
      </c>
      <c r="F54" s="1070">
        <f t="shared" si="134"/>
        <v>59298</v>
      </c>
      <c r="G54" s="1070">
        <f t="shared" si="134"/>
        <v>62626</v>
      </c>
      <c r="H54" s="1070">
        <f t="shared" ref="H54:P54" si="150">H123</f>
        <v>61175</v>
      </c>
      <c r="I54" s="1070">
        <f t="shared" si="150"/>
        <v>59413</v>
      </c>
      <c r="J54" s="1070">
        <f t="shared" si="150"/>
        <v>62339</v>
      </c>
      <c r="K54" s="1070">
        <f t="shared" si="150"/>
        <v>60405</v>
      </c>
      <c r="L54" s="1070">
        <f t="shared" si="150"/>
        <v>61148</v>
      </c>
      <c r="M54" s="1070">
        <f t="shared" si="150"/>
        <v>60900</v>
      </c>
      <c r="N54" s="1070">
        <f t="shared" si="150"/>
        <v>62770</v>
      </c>
      <c r="O54" s="1070">
        <f t="shared" si="150"/>
        <v>64001</v>
      </c>
      <c r="P54" s="1070">
        <f t="shared" si="150"/>
        <v>63589</v>
      </c>
      <c r="Q54" s="1070">
        <f t="shared" ref="Q54:T54" si="151">Q123</f>
        <v>58261</v>
      </c>
      <c r="R54" s="1070">
        <f t="shared" si="151"/>
        <v>61117</v>
      </c>
      <c r="S54" s="1070">
        <f t="shared" si="151"/>
        <v>60760</v>
      </c>
      <c r="T54" s="1070">
        <f t="shared" si="151"/>
        <v>61590</v>
      </c>
      <c r="U54" s="1116">
        <f>ROUND('5名目時系列'!U54/(デフレーター1!U$45/100),0)</f>
        <v>69491</v>
      </c>
      <c r="V54" s="1116">
        <f>ROUND('5名目時系列'!V54/(デフレーター1!V$45/100),0)</f>
        <v>62019</v>
      </c>
      <c r="W54" s="1116">
        <f>ROUND('5名目時系列'!W54/(デフレーター1!W$45/100),0)</f>
        <v>54450</v>
      </c>
      <c r="X54" s="1116">
        <f>ROUND('5名目時系列'!X54/(デフレーター1!X$45/100),0)</f>
        <v>49860</v>
      </c>
      <c r="Y54" s="588">
        <f t="shared" si="141"/>
        <v>-8.4</v>
      </c>
      <c r="Z54" s="588">
        <f t="shared" si="142"/>
        <v>4.9000000000000004</v>
      </c>
      <c r="AA54" s="588">
        <f t="shared" si="143"/>
        <v>-0.6</v>
      </c>
      <c r="AB54" s="588">
        <f t="shared" si="143"/>
        <v>1.4</v>
      </c>
      <c r="AC54" s="588">
        <f t="shared" si="143"/>
        <v>12.8</v>
      </c>
      <c r="AD54" s="588">
        <f t="shared" si="143"/>
        <v>-10.8</v>
      </c>
      <c r="AE54" s="588">
        <f t="shared" si="143"/>
        <v>-12.2</v>
      </c>
      <c r="AF54" s="588">
        <f t="shared" si="143"/>
        <v>-8.4</v>
      </c>
    </row>
    <row r="55" spans="1:32">
      <c r="A55" s="89">
        <v>7</v>
      </c>
      <c r="B55" s="93" t="s">
        <v>210</v>
      </c>
      <c r="C55" s="133">
        <f t="shared" ref="C55:N55" si="152">SUM(C56:C60)</f>
        <v>635187</v>
      </c>
      <c r="D55" s="133">
        <f t="shared" si="152"/>
        <v>644104</v>
      </c>
      <c r="E55" s="133">
        <f t="shared" si="152"/>
        <v>610959</v>
      </c>
      <c r="F55" s="133">
        <f t="shared" si="152"/>
        <v>582183</v>
      </c>
      <c r="G55" s="133">
        <f t="shared" si="152"/>
        <v>596840</v>
      </c>
      <c r="H55" s="1071">
        <f t="shared" si="152"/>
        <v>583643</v>
      </c>
      <c r="I55" s="1071">
        <f t="shared" si="152"/>
        <v>591296</v>
      </c>
      <c r="J55" s="1071">
        <f t="shared" si="152"/>
        <v>633497</v>
      </c>
      <c r="K55" s="1071">
        <f t="shared" si="152"/>
        <v>622915</v>
      </c>
      <c r="L55" s="1071">
        <f t="shared" si="152"/>
        <v>630529</v>
      </c>
      <c r="M55" s="1071">
        <f t="shared" si="152"/>
        <v>621925</v>
      </c>
      <c r="N55" s="1071">
        <f t="shared" si="152"/>
        <v>636953</v>
      </c>
      <c r="O55" s="1071">
        <f>SUM(O56:O60)</f>
        <v>625127</v>
      </c>
      <c r="P55" s="1071">
        <f>SUM(P56:P60)</f>
        <v>633509</v>
      </c>
      <c r="Q55" s="1071">
        <f t="shared" ref="Q55:T55" si="153">SUM(Q56:Q60)</f>
        <v>630050</v>
      </c>
      <c r="R55" s="1071">
        <f t="shared" si="153"/>
        <v>596697</v>
      </c>
      <c r="S55" s="1071">
        <f t="shared" si="153"/>
        <v>581246</v>
      </c>
      <c r="T55" s="1071">
        <f t="shared" si="153"/>
        <v>577235</v>
      </c>
      <c r="U55" s="1071">
        <f t="shared" ref="U55" si="154">SUM(U56:U60)</f>
        <v>709262</v>
      </c>
      <c r="V55" s="1071">
        <f t="shared" ref="V55:W55" si="155">SUM(V56:V60)</f>
        <v>668158</v>
      </c>
      <c r="W55" s="1071">
        <f t="shared" si="155"/>
        <v>619699</v>
      </c>
      <c r="X55" s="1071">
        <f t="shared" ref="X55" si="156">SUM(X56:X60)</f>
        <v>577874</v>
      </c>
      <c r="Y55" s="588">
        <f t="shared" si="141"/>
        <v>-0.5</v>
      </c>
      <c r="Z55" s="588">
        <f t="shared" si="142"/>
        <v>-5.3</v>
      </c>
      <c r="AA55" s="588">
        <f t="shared" si="143"/>
        <v>-2.6</v>
      </c>
      <c r="AB55" s="588">
        <f t="shared" si="143"/>
        <v>-0.7</v>
      </c>
      <c r="AC55" s="588">
        <f t="shared" si="143"/>
        <v>22.9</v>
      </c>
      <c r="AD55" s="588">
        <f t="shared" si="143"/>
        <v>-5.8</v>
      </c>
      <c r="AE55" s="588">
        <f t="shared" si="143"/>
        <v>-7.3</v>
      </c>
      <c r="AF55" s="588">
        <f t="shared" si="143"/>
        <v>-6.7</v>
      </c>
    </row>
    <row r="56" spans="1:32">
      <c r="A56" s="89">
        <v>209</v>
      </c>
      <c r="B56" s="90" t="s">
        <v>221</v>
      </c>
      <c r="C56" s="1070">
        <f>C125</f>
        <v>310654</v>
      </c>
      <c r="D56" s="1070">
        <f t="shared" ref="D56:G67" si="157">D125</f>
        <v>313198</v>
      </c>
      <c r="E56" s="1070">
        <f t="shared" si="157"/>
        <v>300167</v>
      </c>
      <c r="F56" s="1070">
        <f t="shared" si="157"/>
        <v>288547</v>
      </c>
      <c r="G56" s="1070">
        <f t="shared" si="157"/>
        <v>294522</v>
      </c>
      <c r="H56" s="1070">
        <f t="shared" ref="H56:P56" si="158">H125</f>
        <v>283014</v>
      </c>
      <c r="I56" s="1070">
        <f t="shared" si="158"/>
        <v>290473</v>
      </c>
      <c r="J56" s="1070">
        <f t="shared" si="158"/>
        <v>312298</v>
      </c>
      <c r="K56" s="1070">
        <f t="shared" si="158"/>
        <v>299759</v>
      </c>
      <c r="L56" s="1070">
        <f t="shared" si="158"/>
        <v>309732</v>
      </c>
      <c r="M56" s="1070">
        <f t="shared" si="158"/>
        <v>310071</v>
      </c>
      <c r="N56" s="1070">
        <f t="shared" si="158"/>
        <v>311979</v>
      </c>
      <c r="O56" s="1070">
        <f t="shared" si="158"/>
        <v>311104</v>
      </c>
      <c r="P56" s="1070">
        <f t="shared" si="158"/>
        <v>311388</v>
      </c>
      <c r="Q56" s="1070">
        <f t="shared" ref="Q56:T56" si="159">Q125</f>
        <v>292787</v>
      </c>
      <c r="R56" s="1070">
        <f t="shared" si="159"/>
        <v>294985</v>
      </c>
      <c r="S56" s="1070">
        <f t="shared" si="159"/>
        <v>291536</v>
      </c>
      <c r="T56" s="1070">
        <f t="shared" si="159"/>
        <v>293009</v>
      </c>
      <c r="U56" s="1116">
        <f>ROUND('5名目時系列'!U56/(デフレーター1!U$45/100),0)</f>
        <v>329344</v>
      </c>
      <c r="V56" s="1116">
        <f>ROUND('5名目時系列'!V56/(デフレーター1!V$45/100),0)</f>
        <v>314403</v>
      </c>
      <c r="W56" s="1116">
        <f>ROUND('5名目時系列'!W56/(デフレーター1!W$45/100),0)</f>
        <v>284619</v>
      </c>
      <c r="X56" s="1116">
        <f>ROUND('5名目時系列'!X56/(デフレーター1!X$45/100),0)</f>
        <v>267963</v>
      </c>
      <c r="Y56" s="588">
        <f t="shared" si="141"/>
        <v>-6</v>
      </c>
      <c r="Z56" s="588">
        <f t="shared" si="142"/>
        <v>0.8</v>
      </c>
      <c r="AA56" s="588">
        <f t="shared" si="143"/>
        <v>-1.2</v>
      </c>
      <c r="AB56" s="588">
        <f t="shared" si="143"/>
        <v>0.5</v>
      </c>
      <c r="AC56" s="588">
        <f t="shared" si="143"/>
        <v>12.4</v>
      </c>
      <c r="AD56" s="588">
        <f t="shared" si="143"/>
        <v>-4.5</v>
      </c>
      <c r="AE56" s="588">
        <f t="shared" si="143"/>
        <v>-9.5</v>
      </c>
      <c r="AF56" s="588">
        <f t="shared" si="143"/>
        <v>-5.9</v>
      </c>
    </row>
    <row r="57" spans="1:32">
      <c r="A57" s="89">
        <v>222</v>
      </c>
      <c r="B57" s="90" t="s">
        <v>218</v>
      </c>
      <c r="C57" s="1070">
        <f>C126</f>
        <v>92429</v>
      </c>
      <c r="D57" s="1070">
        <f t="shared" si="157"/>
        <v>89639</v>
      </c>
      <c r="E57" s="1070">
        <f t="shared" si="157"/>
        <v>84253</v>
      </c>
      <c r="F57" s="1070">
        <f t="shared" si="157"/>
        <v>72255</v>
      </c>
      <c r="G57" s="1070">
        <f t="shared" si="157"/>
        <v>78614</v>
      </c>
      <c r="H57" s="1070">
        <f t="shared" ref="H57:P57" si="160">H126</f>
        <v>86611</v>
      </c>
      <c r="I57" s="1070">
        <f t="shared" si="160"/>
        <v>88341</v>
      </c>
      <c r="J57" s="1070">
        <f t="shared" si="160"/>
        <v>93261</v>
      </c>
      <c r="K57" s="1070">
        <f t="shared" si="160"/>
        <v>91942</v>
      </c>
      <c r="L57" s="1070">
        <f t="shared" si="160"/>
        <v>85982</v>
      </c>
      <c r="M57" s="1070">
        <f t="shared" si="160"/>
        <v>85999</v>
      </c>
      <c r="N57" s="1070">
        <f t="shared" si="160"/>
        <v>87827</v>
      </c>
      <c r="O57" s="1070">
        <f t="shared" si="160"/>
        <v>83809</v>
      </c>
      <c r="P57" s="1070">
        <f t="shared" si="160"/>
        <v>79711</v>
      </c>
      <c r="Q57" s="1070">
        <f t="shared" ref="Q57:T57" si="161">Q126</f>
        <v>76478</v>
      </c>
      <c r="R57" s="1070">
        <f t="shared" si="161"/>
        <v>81483</v>
      </c>
      <c r="S57" s="1070">
        <f t="shared" si="161"/>
        <v>81008</v>
      </c>
      <c r="T57" s="1070">
        <f t="shared" si="161"/>
        <v>73921</v>
      </c>
      <c r="U57" s="1116">
        <f>ROUND('5名目時系列'!U57/(デフレーター1!U$45/100),0)</f>
        <v>97038</v>
      </c>
      <c r="V57" s="1116">
        <f>ROUND('5名目時系列'!V57/(デフレーター1!V$45/100),0)</f>
        <v>91692</v>
      </c>
      <c r="W57" s="1116">
        <f>ROUND('5名目時系列'!W57/(デフレーター1!W$45/100),0)</f>
        <v>84794</v>
      </c>
      <c r="X57" s="1116">
        <f>ROUND('5名目時系列'!X57/(デフレーター1!X$45/100),0)</f>
        <v>77382</v>
      </c>
      <c r="Y57" s="588">
        <f t="shared" si="141"/>
        <v>-4.0999999999999996</v>
      </c>
      <c r="Z57" s="588">
        <f t="shared" si="142"/>
        <v>6.5</v>
      </c>
      <c r="AA57" s="588">
        <f t="shared" si="143"/>
        <v>-0.6</v>
      </c>
      <c r="AB57" s="588">
        <f t="shared" si="143"/>
        <v>-8.6999999999999993</v>
      </c>
      <c r="AC57" s="588">
        <f t="shared" si="143"/>
        <v>31.3</v>
      </c>
      <c r="AD57" s="588">
        <f t="shared" si="143"/>
        <v>-5.5</v>
      </c>
      <c r="AE57" s="588">
        <f t="shared" si="143"/>
        <v>-7.5</v>
      </c>
      <c r="AF57" s="588">
        <f t="shared" si="143"/>
        <v>-8.6999999999999993</v>
      </c>
    </row>
    <row r="58" spans="1:32">
      <c r="A58" s="89">
        <v>225</v>
      </c>
      <c r="B58" s="90" t="s">
        <v>222</v>
      </c>
      <c r="C58" s="1070">
        <f>C127</f>
        <v>124105</v>
      </c>
      <c r="D58" s="1070">
        <f t="shared" si="157"/>
        <v>134197</v>
      </c>
      <c r="E58" s="1070">
        <f t="shared" si="157"/>
        <v>126604</v>
      </c>
      <c r="F58" s="1070">
        <f t="shared" si="157"/>
        <v>125396</v>
      </c>
      <c r="G58" s="1070">
        <f t="shared" si="157"/>
        <v>129783</v>
      </c>
      <c r="H58" s="1070">
        <f t="shared" ref="H58:P58" si="162">H127</f>
        <v>122282</v>
      </c>
      <c r="I58" s="1070">
        <f t="shared" si="162"/>
        <v>119211</v>
      </c>
      <c r="J58" s="1070">
        <f t="shared" si="162"/>
        <v>126576</v>
      </c>
      <c r="K58" s="1070">
        <f t="shared" si="162"/>
        <v>130319</v>
      </c>
      <c r="L58" s="1070">
        <f t="shared" si="162"/>
        <v>128054</v>
      </c>
      <c r="M58" s="1070">
        <f t="shared" si="162"/>
        <v>126388</v>
      </c>
      <c r="N58" s="1070">
        <f t="shared" si="162"/>
        <v>131261</v>
      </c>
      <c r="O58" s="1070">
        <f t="shared" si="162"/>
        <v>126688</v>
      </c>
      <c r="P58" s="1070">
        <f t="shared" si="162"/>
        <v>139348</v>
      </c>
      <c r="Q58" s="1070">
        <f t="shared" ref="Q58:T58" si="163">Q127</f>
        <v>164905</v>
      </c>
      <c r="R58" s="1070">
        <f t="shared" si="163"/>
        <v>124734</v>
      </c>
      <c r="S58" s="1070">
        <f t="shared" si="163"/>
        <v>114105</v>
      </c>
      <c r="T58" s="1070">
        <f t="shared" si="163"/>
        <v>113442</v>
      </c>
      <c r="U58" s="1116">
        <f>ROUND('5名目時系列'!U58/(デフレーター1!U$45/100),0)</f>
        <v>158475</v>
      </c>
      <c r="V58" s="1116">
        <f>ROUND('5名目時系列'!V58/(デフレーター1!V$45/100),0)</f>
        <v>142575</v>
      </c>
      <c r="W58" s="1116">
        <f>ROUND('5名目時系列'!W58/(デフレーター1!W$45/100),0)</f>
        <v>138654</v>
      </c>
      <c r="X58" s="1116">
        <f>ROUND('5名目時系列'!X58/(デフレーター1!X$45/100),0)</f>
        <v>131255</v>
      </c>
      <c r="Y58" s="588">
        <f t="shared" si="141"/>
        <v>18.3</v>
      </c>
      <c r="Z58" s="588">
        <f t="shared" si="142"/>
        <v>-24.4</v>
      </c>
      <c r="AA58" s="588">
        <f t="shared" si="143"/>
        <v>-8.5</v>
      </c>
      <c r="AB58" s="588">
        <f t="shared" si="143"/>
        <v>-0.6</v>
      </c>
      <c r="AC58" s="588">
        <f t="shared" si="143"/>
        <v>39.700000000000003</v>
      </c>
      <c r="AD58" s="588">
        <f t="shared" si="143"/>
        <v>-10</v>
      </c>
      <c r="AE58" s="588">
        <f t="shared" si="143"/>
        <v>-2.8</v>
      </c>
      <c r="AF58" s="588">
        <f t="shared" si="143"/>
        <v>-5.3</v>
      </c>
    </row>
    <row r="59" spans="1:32">
      <c r="A59" s="89">
        <v>585</v>
      </c>
      <c r="B59" s="90" t="s">
        <v>220</v>
      </c>
      <c r="C59" s="1070">
        <f>C128</f>
        <v>62018</v>
      </c>
      <c r="D59" s="1070">
        <f t="shared" si="157"/>
        <v>61877</v>
      </c>
      <c r="E59" s="1070">
        <f t="shared" si="157"/>
        <v>57947</v>
      </c>
      <c r="F59" s="1070">
        <f t="shared" si="157"/>
        <v>55698</v>
      </c>
      <c r="G59" s="1070">
        <f t="shared" si="157"/>
        <v>54367</v>
      </c>
      <c r="H59" s="1070">
        <f t="shared" ref="H59:P59" si="164">H128</f>
        <v>52975</v>
      </c>
      <c r="I59" s="1070">
        <f t="shared" si="164"/>
        <v>54409</v>
      </c>
      <c r="J59" s="1070">
        <f t="shared" si="164"/>
        <v>57436</v>
      </c>
      <c r="K59" s="1070">
        <f t="shared" si="164"/>
        <v>56566</v>
      </c>
      <c r="L59" s="1070">
        <f t="shared" si="164"/>
        <v>55509</v>
      </c>
      <c r="M59" s="1070">
        <f t="shared" si="164"/>
        <v>55778</v>
      </c>
      <c r="N59" s="1070">
        <f t="shared" si="164"/>
        <v>58672</v>
      </c>
      <c r="O59" s="1070">
        <f t="shared" si="164"/>
        <v>55674</v>
      </c>
      <c r="P59" s="1070">
        <f t="shared" si="164"/>
        <v>55763</v>
      </c>
      <c r="Q59" s="1070">
        <f t="shared" ref="Q59:T59" si="165">Q128</f>
        <v>52035</v>
      </c>
      <c r="R59" s="1070">
        <f t="shared" si="165"/>
        <v>51491</v>
      </c>
      <c r="S59" s="1070">
        <f t="shared" si="165"/>
        <v>51825</v>
      </c>
      <c r="T59" s="1070">
        <f t="shared" si="165"/>
        <v>52220</v>
      </c>
      <c r="U59" s="1116">
        <f>ROUND('5名目時系列'!U59/(デフレーター1!U$45/100),0)</f>
        <v>68459</v>
      </c>
      <c r="V59" s="1116">
        <f>ROUND('5名目時系列'!V59/(デフレーター1!V$45/100),0)</f>
        <v>64105</v>
      </c>
      <c r="W59" s="1116">
        <f>ROUND('5名目時系列'!W59/(デフレーター1!W$45/100),0)</f>
        <v>57541</v>
      </c>
      <c r="X59" s="1116">
        <f>ROUND('5名目時系列'!X59/(デフレーター1!X$45/100),0)</f>
        <v>51561</v>
      </c>
      <c r="Y59" s="588">
        <f t="shared" si="141"/>
        <v>-6.7</v>
      </c>
      <c r="Z59" s="588">
        <f t="shared" si="142"/>
        <v>-1</v>
      </c>
      <c r="AA59" s="588">
        <f t="shared" si="143"/>
        <v>0.6</v>
      </c>
      <c r="AB59" s="588">
        <f t="shared" si="143"/>
        <v>0.8</v>
      </c>
      <c r="AC59" s="588">
        <f t="shared" si="143"/>
        <v>31.1</v>
      </c>
      <c r="AD59" s="588">
        <f t="shared" si="143"/>
        <v>-6.4</v>
      </c>
      <c r="AE59" s="588">
        <f t="shared" si="143"/>
        <v>-10.199999999999999</v>
      </c>
      <c r="AF59" s="588">
        <f t="shared" si="143"/>
        <v>-10.4</v>
      </c>
    </row>
    <row r="60" spans="1:32">
      <c r="A60" s="89">
        <v>586</v>
      </c>
      <c r="B60" s="90" t="s">
        <v>237</v>
      </c>
      <c r="C60" s="1070">
        <f>C129</f>
        <v>45981</v>
      </c>
      <c r="D60" s="1070">
        <f t="shared" si="157"/>
        <v>45193</v>
      </c>
      <c r="E60" s="1070">
        <f t="shared" si="157"/>
        <v>41988</v>
      </c>
      <c r="F60" s="1070">
        <f t="shared" si="157"/>
        <v>40287</v>
      </c>
      <c r="G60" s="1070">
        <f t="shared" si="157"/>
        <v>39554</v>
      </c>
      <c r="H60" s="1070">
        <f t="shared" ref="H60:P60" si="166">H129</f>
        <v>38761</v>
      </c>
      <c r="I60" s="1070">
        <f t="shared" si="166"/>
        <v>38862</v>
      </c>
      <c r="J60" s="1070">
        <f t="shared" si="166"/>
        <v>43926</v>
      </c>
      <c r="K60" s="1070">
        <f t="shared" si="166"/>
        <v>44329</v>
      </c>
      <c r="L60" s="1070">
        <f t="shared" si="166"/>
        <v>51252</v>
      </c>
      <c r="M60" s="1070">
        <f t="shared" si="166"/>
        <v>43689</v>
      </c>
      <c r="N60" s="1070">
        <f t="shared" si="166"/>
        <v>47214</v>
      </c>
      <c r="O60" s="1070">
        <f t="shared" si="166"/>
        <v>47852</v>
      </c>
      <c r="P60" s="1070">
        <f t="shared" si="166"/>
        <v>47299</v>
      </c>
      <c r="Q60" s="1070">
        <f t="shared" ref="Q60:T60" si="167">Q129</f>
        <v>43845</v>
      </c>
      <c r="R60" s="1070">
        <f t="shared" si="167"/>
        <v>44004</v>
      </c>
      <c r="S60" s="1070">
        <f t="shared" si="167"/>
        <v>42772</v>
      </c>
      <c r="T60" s="1070">
        <f t="shared" si="167"/>
        <v>44643</v>
      </c>
      <c r="U60" s="1116">
        <f>ROUND('5名目時系列'!U60/(デフレーター1!U$45/100),0)</f>
        <v>55946</v>
      </c>
      <c r="V60" s="1116">
        <f>ROUND('5名目時系列'!V60/(デフレーター1!V$45/100),0)</f>
        <v>55383</v>
      </c>
      <c r="W60" s="1116">
        <f>ROUND('5名目時系列'!W60/(デフレーター1!W$45/100),0)</f>
        <v>54091</v>
      </c>
      <c r="X60" s="1116">
        <f>ROUND('5名目時系列'!X60/(デフレーター1!X$45/100),0)</f>
        <v>49713</v>
      </c>
      <c r="Y60" s="588">
        <f t="shared" si="141"/>
        <v>-7.3</v>
      </c>
      <c r="Z60" s="588">
        <f t="shared" si="142"/>
        <v>0.4</v>
      </c>
      <c r="AA60" s="588">
        <f t="shared" si="143"/>
        <v>-2.8</v>
      </c>
      <c r="AB60" s="588">
        <f t="shared" si="143"/>
        <v>4.4000000000000004</v>
      </c>
      <c r="AC60" s="588">
        <f t="shared" si="143"/>
        <v>25.3</v>
      </c>
      <c r="AD60" s="588">
        <f t="shared" si="143"/>
        <v>-1</v>
      </c>
      <c r="AE60" s="588">
        <f t="shared" si="143"/>
        <v>-2.2999999999999998</v>
      </c>
      <c r="AF60" s="588">
        <f t="shared" si="143"/>
        <v>-8.1</v>
      </c>
    </row>
    <row r="61" spans="1:32">
      <c r="A61" s="92">
        <v>8</v>
      </c>
      <c r="B61" s="86" t="s">
        <v>211</v>
      </c>
      <c r="C61" s="133">
        <f t="shared" ref="C61:N61" si="168">SUM(C62:C63)</f>
        <v>394597</v>
      </c>
      <c r="D61" s="133">
        <f t="shared" si="168"/>
        <v>411175</v>
      </c>
      <c r="E61" s="133">
        <f t="shared" si="168"/>
        <v>377214</v>
      </c>
      <c r="F61" s="133">
        <f t="shared" si="168"/>
        <v>357061</v>
      </c>
      <c r="G61" s="133">
        <f t="shared" si="168"/>
        <v>373206</v>
      </c>
      <c r="H61" s="1071">
        <f t="shared" si="168"/>
        <v>366777</v>
      </c>
      <c r="I61" s="1071">
        <f t="shared" si="168"/>
        <v>295698</v>
      </c>
      <c r="J61" s="1071">
        <f t="shared" si="168"/>
        <v>412702</v>
      </c>
      <c r="K61" s="1071">
        <f t="shared" si="168"/>
        <v>398133</v>
      </c>
      <c r="L61" s="1071">
        <f t="shared" si="168"/>
        <v>418714</v>
      </c>
      <c r="M61" s="1071">
        <f t="shared" si="168"/>
        <v>422068</v>
      </c>
      <c r="N61" s="1071">
        <f t="shared" si="168"/>
        <v>426654</v>
      </c>
      <c r="O61" s="1071">
        <f>SUM(O62:O63)</f>
        <v>438341</v>
      </c>
      <c r="P61" s="1071">
        <f>SUM(P62:P63)</f>
        <v>472616</v>
      </c>
      <c r="Q61" s="1071">
        <f t="shared" ref="Q61:T61" si="169">SUM(Q62:Q63)</f>
        <v>446621</v>
      </c>
      <c r="R61" s="1071">
        <f t="shared" si="169"/>
        <v>454129</v>
      </c>
      <c r="S61" s="1071">
        <f t="shared" si="169"/>
        <v>454813</v>
      </c>
      <c r="T61" s="1071">
        <f t="shared" si="169"/>
        <v>460281</v>
      </c>
      <c r="U61" s="1071">
        <f t="shared" ref="U61" si="170">SUM(U62:U63)</f>
        <v>468821</v>
      </c>
      <c r="V61" s="1071">
        <f t="shared" ref="V61:W61" si="171">SUM(V62:V63)</f>
        <v>432134</v>
      </c>
      <c r="W61" s="1071">
        <f t="shared" si="171"/>
        <v>402935</v>
      </c>
      <c r="X61" s="1071">
        <f t="shared" ref="X61" si="172">SUM(X62:X63)</f>
        <v>393140</v>
      </c>
      <c r="Y61" s="588">
        <f t="shared" si="141"/>
        <v>-5.5</v>
      </c>
      <c r="Z61" s="588">
        <f t="shared" si="142"/>
        <v>1.7</v>
      </c>
      <c r="AA61" s="588">
        <f t="shared" si="143"/>
        <v>0.2</v>
      </c>
      <c r="AB61" s="588">
        <f t="shared" si="143"/>
        <v>1.2</v>
      </c>
      <c r="AC61" s="588">
        <f t="shared" si="143"/>
        <v>1.9</v>
      </c>
      <c r="AD61" s="588">
        <f t="shared" si="143"/>
        <v>-7.8</v>
      </c>
      <c r="AE61" s="588">
        <f t="shared" si="143"/>
        <v>-6.8</v>
      </c>
      <c r="AF61" s="588">
        <f t="shared" si="143"/>
        <v>-2.4</v>
      </c>
    </row>
    <row r="62" spans="1:32">
      <c r="A62" s="89">
        <v>221</v>
      </c>
      <c r="B62" s="90" t="s">
        <v>1144</v>
      </c>
      <c r="C62" s="1070">
        <f>C131</f>
        <v>152753</v>
      </c>
      <c r="D62" s="1070">
        <f t="shared" si="157"/>
        <v>156099</v>
      </c>
      <c r="E62" s="1070">
        <f t="shared" si="157"/>
        <v>147944</v>
      </c>
      <c r="F62" s="1070">
        <f t="shared" si="157"/>
        <v>143433</v>
      </c>
      <c r="G62" s="1070">
        <f t="shared" si="157"/>
        <v>150523</v>
      </c>
      <c r="H62" s="1070">
        <f t="shared" ref="H62:P62" si="173">H131</f>
        <v>119196</v>
      </c>
      <c r="I62" s="1070">
        <f t="shared" si="173"/>
        <v>51826</v>
      </c>
      <c r="J62" s="1070">
        <f t="shared" si="173"/>
        <v>152079</v>
      </c>
      <c r="K62" s="1070">
        <f t="shared" si="173"/>
        <v>147919</v>
      </c>
      <c r="L62" s="1070">
        <f t="shared" si="173"/>
        <v>158335</v>
      </c>
      <c r="M62" s="1070">
        <f t="shared" si="173"/>
        <v>160986</v>
      </c>
      <c r="N62" s="1070">
        <f t="shared" si="173"/>
        <v>167051</v>
      </c>
      <c r="O62" s="1070">
        <f t="shared" si="173"/>
        <v>183003</v>
      </c>
      <c r="P62" s="1070">
        <f t="shared" si="173"/>
        <v>215529</v>
      </c>
      <c r="Q62" s="1070">
        <f t="shared" ref="Q62:T62" si="174">Q131</f>
        <v>202952</v>
      </c>
      <c r="R62" s="1070">
        <f t="shared" si="174"/>
        <v>197358</v>
      </c>
      <c r="S62" s="1070">
        <f t="shared" si="174"/>
        <v>199674</v>
      </c>
      <c r="T62" s="1070">
        <f t="shared" si="174"/>
        <v>205011</v>
      </c>
      <c r="U62" s="1116">
        <f>ROUND('5名目時系列'!U62/(デフレーター1!U$45/100),0)</f>
        <v>201742</v>
      </c>
      <c r="V62" s="1116">
        <f>ROUND('5名目時系列'!V62/(デフレーター1!V$45/100),0)</f>
        <v>179404</v>
      </c>
      <c r="W62" s="1116">
        <f>ROUND('5名目時系列'!W62/(デフレーター1!W$45/100),0)</f>
        <v>166013</v>
      </c>
      <c r="X62" s="1116">
        <f>ROUND('5名目時系列'!X62/(デフレーター1!X$45/100),0)</f>
        <v>159714</v>
      </c>
      <c r="Y62" s="588">
        <f t="shared" si="141"/>
        <v>-5.8</v>
      </c>
      <c r="Z62" s="588">
        <f t="shared" si="142"/>
        <v>-2.8</v>
      </c>
      <c r="AA62" s="588">
        <f t="shared" si="143"/>
        <v>1.2</v>
      </c>
      <c r="AB62" s="588">
        <f t="shared" si="143"/>
        <v>2.7</v>
      </c>
      <c r="AC62" s="588">
        <f t="shared" si="143"/>
        <v>-1.6</v>
      </c>
      <c r="AD62" s="588">
        <f t="shared" si="143"/>
        <v>-11.1</v>
      </c>
      <c r="AE62" s="588">
        <f t="shared" si="143"/>
        <v>-7.5</v>
      </c>
      <c r="AF62" s="588">
        <f t="shared" si="143"/>
        <v>-3.8</v>
      </c>
    </row>
    <row r="63" spans="1:32">
      <c r="A63" s="89">
        <v>223</v>
      </c>
      <c r="B63" s="90" t="s">
        <v>223</v>
      </c>
      <c r="C63" s="1070">
        <f>C132</f>
        <v>241844</v>
      </c>
      <c r="D63" s="1070">
        <f t="shared" si="157"/>
        <v>255076</v>
      </c>
      <c r="E63" s="1070">
        <f t="shared" si="157"/>
        <v>229270</v>
      </c>
      <c r="F63" s="1070">
        <f t="shared" si="157"/>
        <v>213628</v>
      </c>
      <c r="G63" s="1070">
        <f t="shared" si="157"/>
        <v>222683</v>
      </c>
      <c r="H63" s="1070">
        <f t="shared" ref="H63:P63" si="175">H132</f>
        <v>247581</v>
      </c>
      <c r="I63" s="1070">
        <f t="shared" si="175"/>
        <v>243872</v>
      </c>
      <c r="J63" s="1070">
        <f t="shared" si="175"/>
        <v>260623</v>
      </c>
      <c r="K63" s="1070">
        <f t="shared" si="175"/>
        <v>250214</v>
      </c>
      <c r="L63" s="1070">
        <f t="shared" si="175"/>
        <v>260379</v>
      </c>
      <c r="M63" s="1070">
        <f t="shared" si="175"/>
        <v>261082</v>
      </c>
      <c r="N63" s="1070">
        <f t="shared" si="175"/>
        <v>259603</v>
      </c>
      <c r="O63" s="1070">
        <f t="shared" si="175"/>
        <v>255338</v>
      </c>
      <c r="P63" s="1070">
        <f t="shared" si="175"/>
        <v>257087</v>
      </c>
      <c r="Q63" s="1070">
        <f t="shared" ref="Q63:T63" si="176">Q132</f>
        <v>243669</v>
      </c>
      <c r="R63" s="1070">
        <f t="shared" si="176"/>
        <v>256771</v>
      </c>
      <c r="S63" s="1070">
        <f t="shared" si="176"/>
        <v>255139</v>
      </c>
      <c r="T63" s="1070">
        <f t="shared" si="176"/>
        <v>255270</v>
      </c>
      <c r="U63" s="1116">
        <f>ROUND('5名目時系列'!U63/(デフレーター1!U$45/100),0)</f>
        <v>267079</v>
      </c>
      <c r="V63" s="1116">
        <f>ROUND('5名目時系列'!V63/(デフレーター1!V$45/100),0)</f>
        <v>252730</v>
      </c>
      <c r="W63" s="1116">
        <f>ROUND('5名目時系列'!W63/(デフレーター1!W$45/100),0)</f>
        <v>236922</v>
      </c>
      <c r="X63" s="1116">
        <f>ROUND('5名目時系列'!X63/(デフレーター1!X$45/100),0)</f>
        <v>233426</v>
      </c>
      <c r="Y63" s="588">
        <f t="shared" si="141"/>
        <v>-5.2</v>
      </c>
      <c r="Z63" s="588">
        <f t="shared" si="142"/>
        <v>5.4</v>
      </c>
      <c r="AA63" s="588">
        <f t="shared" si="143"/>
        <v>-0.6</v>
      </c>
      <c r="AB63" s="588">
        <f t="shared" si="143"/>
        <v>0.1</v>
      </c>
      <c r="AC63" s="588">
        <f t="shared" si="143"/>
        <v>4.5999999999999996</v>
      </c>
      <c r="AD63" s="588">
        <f t="shared" si="143"/>
        <v>-5.4</v>
      </c>
      <c r="AE63" s="588">
        <f t="shared" si="143"/>
        <v>-6.3</v>
      </c>
      <c r="AF63" s="588">
        <f t="shared" si="143"/>
        <v>-1.5</v>
      </c>
    </row>
    <row r="64" spans="1:32">
      <c r="A64" s="92">
        <v>9</v>
      </c>
      <c r="B64" s="94" t="s">
        <v>212</v>
      </c>
      <c r="C64" s="133">
        <f t="shared" ref="C64:N64" si="177">SUM(C65:C67)</f>
        <v>500905</v>
      </c>
      <c r="D64" s="133">
        <f t="shared" si="177"/>
        <v>498564</v>
      </c>
      <c r="E64" s="133">
        <f t="shared" si="177"/>
        <v>476416</v>
      </c>
      <c r="F64" s="133">
        <f t="shared" si="177"/>
        <v>458119</v>
      </c>
      <c r="G64" s="133">
        <f t="shared" si="177"/>
        <v>476932</v>
      </c>
      <c r="H64" s="1071">
        <f t="shared" si="177"/>
        <v>455257</v>
      </c>
      <c r="I64" s="1071">
        <f t="shared" si="177"/>
        <v>453656</v>
      </c>
      <c r="J64" s="1071">
        <f t="shared" si="177"/>
        <v>464902</v>
      </c>
      <c r="K64" s="1071">
        <f t="shared" si="177"/>
        <v>451446</v>
      </c>
      <c r="L64" s="1071">
        <f t="shared" si="177"/>
        <v>465574</v>
      </c>
      <c r="M64" s="1071">
        <f t="shared" si="177"/>
        <v>469874</v>
      </c>
      <c r="N64" s="1071">
        <f t="shared" si="177"/>
        <v>467903</v>
      </c>
      <c r="O64" s="1071">
        <f>SUM(O65:O67)</f>
        <v>464893</v>
      </c>
      <c r="P64" s="1071">
        <f>SUM(P65:P67)</f>
        <v>466919</v>
      </c>
      <c r="Q64" s="1071">
        <f t="shared" ref="Q64:T64" si="178">SUM(Q65:Q67)</f>
        <v>435297</v>
      </c>
      <c r="R64" s="1071">
        <f t="shared" si="178"/>
        <v>446308</v>
      </c>
      <c r="S64" s="1071">
        <f t="shared" si="178"/>
        <v>465571</v>
      </c>
      <c r="T64" s="1071">
        <f t="shared" si="178"/>
        <v>478816</v>
      </c>
      <c r="U64" s="1071">
        <f t="shared" ref="U64" si="179">SUM(U65:U67)</f>
        <v>525678</v>
      </c>
      <c r="V64" s="1071">
        <f t="shared" ref="V64:W64" si="180">SUM(V65:V67)</f>
        <v>516233</v>
      </c>
      <c r="W64" s="1071">
        <f t="shared" si="180"/>
        <v>477609</v>
      </c>
      <c r="X64" s="1071">
        <f t="shared" ref="X64" si="181">SUM(X65:X67)</f>
        <v>451390</v>
      </c>
      <c r="Y64" s="588">
        <f t="shared" si="141"/>
        <v>-6.8</v>
      </c>
      <c r="Z64" s="588">
        <f t="shared" si="142"/>
        <v>2.5</v>
      </c>
      <c r="AA64" s="588">
        <f t="shared" si="143"/>
        <v>4.3</v>
      </c>
      <c r="AB64" s="588">
        <f t="shared" si="143"/>
        <v>2.8</v>
      </c>
      <c r="AC64" s="588">
        <f t="shared" si="143"/>
        <v>9.8000000000000007</v>
      </c>
      <c r="AD64" s="588">
        <f t="shared" si="143"/>
        <v>-1.8</v>
      </c>
      <c r="AE64" s="588">
        <f t="shared" si="143"/>
        <v>-7.5</v>
      </c>
      <c r="AF64" s="588">
        <f t="shared" si="143"/>
        <v>-5.5</v>
      </c>
    </row>
    <row r="65" spans="1:32">
      <c r="A65" s="92">
        <v>205</v>
      </c>
      <c r="B65" s="92" t="s">
        <v>241</v>
      </c>
      <c r="C65" s="1070">
        <f>C134</f>
        <v>199564</v>
      </c>
      <c r="D65" s="1070">
        <f t="shared" si="157"/>
        <v>193678</v>
      </c>
      <c r="E65" s="1070">
        <f t="shared" si="157"/>
        <v>179960</v>
      </c>
      <c r="F65" s="1070">
        <f t="shared" si="157"/>
        <v>176620</v>
      </c>
      <c r="G65" s="1070">
        <f t="shared" si="157"/>
        <v>182729</v>
      </c>
      <c r="H65" s="1070">
        <f t="shared" ref="H65:P65" si="182">H134</f>
        <v>160767</v>
      </c>
      <c r="I65" s="1070">
        <f t="shared" si="182"/>
        <v>159975</v>
      </c>
      <c r="J65" s="1070">
        <f t="shared" si="182"/>
        <v>163582</v>
      </c>
      <c r="K65" s="1070">
        <f t="shared" si="182"/>
        <v>157431</v>
      </c>
      <c r="L65" s="1070">
        <f t="shared" si="182"/>
        <v>166534</v>
      </c>
      <c r="M65" s="1070">
        <f t="shared" si="182"/>
        <v>159754</v>
      </c>
      <c r="N65" s="1070">
        <f t="shared" si="182"/>
        <v>159126</v>
      </c>
      <c r="O65" s="1070">
        <f t="shared" si="182"/>
        <v>157933</v>
      </c>
      <c r="P65" s="1070">
        <f t="shared" si="182"/>
        <v>156777</v>
      </c>
      <c r="Q65" s="1070">
        <f t="shared" ref="Q65:T65" si="183">Q134</f>
        <v>146403</v>
      </c>
      <c r="R65" s="1070">
        <f t="shared" si="183"/>
        <v>152213</v>
      </c>
      <c r="S65" s="1070">
        <f t="shared" si="183"/>
        <v>164046</v>
      </c>
      <c r="T65" s="1070">
        <f t="shared" si="183"/>
        <v>167283</v>
      </c>
      <c r="U65" s="1116">
        <f>ROUND('5名目時系列'!U65/(デフレーター1!U$45/100),0)</f>
        <v>185054</v>
      </c>
      <c r="V65" s="1116">
        <f>ROUND('5名目時系列'!V65/(デフレーター1!V$45/100),0)</f>
        <v>175921</v>
      </c>
      <c r="W65" s="1116">
        <f>ROUND('5名目時系列'!W65/(デフレーター1!W$45/100),0)</f>
        <v>153058</v>
      </c>
      <c r="X65" s="1116">
        <f>ROUND('5名目時系列'!X65/(デフレーター1!X$45/100),0)</f>
        <v>146714</v>
      </c>
      <c r="Y65" s="588">
        <f t="shared" si="141"/>
        <v>-6.6</v>
      </c>
      <c r="Z65" s="588">
        <f t="shared" si="142"/>
        <v>4</v>
      </c>
      <c r="AA65" s="588">
        <f t="shared" si="143"/>
        <v>7.8</v>
      </c>
      <c r="AB65" s="588">
        <f t="shared" si="143"/>
        <v>2</v>
      </c>
      <c r="AC65" s="588">
        <f t="shared" si="143"/>
        <v>10.6</v>
      </c>
      <c r="AD65" s="588">
        <f t="shared" si="143"/>
        <v>-4.9000000000000004</v>
      </c>
      <c r="AE65" s="588">
        <f t="shared" si="143"/>
        <v>-13</v>
      </c>
      <c r="AF65" s="588">
        <f t="shared" si="143"/>
        <v>-4.0999999999999996</v>
      </c>
    </row>
    <row r="66" spans="1:32">
      <c r="A66" s="89">
        <v>224</v>
      </c>
      <c r="B66" s="90" t="s">
        <v>224</v>
      </c>
      <c r="C66" s="1070">
        <f>C135</f>
        <v>159931</v>
      </c>
      <c r="D66" s="1070">
        <f t="shared" si="157"/>
        <v>159406</v>
      </c>
      <c r="E66" s="1070">
        <f t="shared" si="157"/>
        <v>156311</v>
      </c>
      <c r="F66" s="1070">
        <f t="shared" si="157"/>
        <v>147436</v>
      </c>
      <c r="G66" s="1070">
        <f t="shared" si="157"/>
        <v>157849</v>
      </c>
      <c r="H66" s="1070">
        <f t="shared" ref="H66:P66" si="184">H135</f>
        <v>158521</v>
      </c>
      <c r="I66" s="1070">
        <f t="shared" si="184"/>
        <v>152248</v>
      </c>
      <c r="J66" s="1070">
        <f t="shared" si="184"/>
        <v>159824</v>
      </c>
      <c r="K66" s="1070">
        <f t="shared" si="184"/>
        <v>156237</v>
      </c>
      <c r="L66" s="1070">
        <f t="shared" si="184"/>
        <v>162026</v>
      </c>
      <c r="M66" s="1070">
        <f t="shared" si="184"/>
        <v>162442</v>
      </c>
      <c r="N66" s="1070">
        <f t="shared" si="184"/>
        <v>163379</v>
      </c>
      <c r="O66" s="1070">
        <f t="shared" si="184"/>
        <v>162094</v>
      </c>
      <c r="P66" s="1070">
        <f t="shared" si="184"/>
        <v>161435</v>
      </c>
      <c r="Q66" s="1070">
        <f t="shared" ref="Q66:T66" si="185">Q135</f>
        <v>148693</v>
      </c>
      <c r="R66" s="1070">
        <f t="shared" si="185"/>
        <v>146838</v>
      </c>
      <c r="S66" s="1070">
        <f t="shared" si="185"/>
        <v>150390</v>
      </c>
      <c r="T66" s="1070">
        <f t="shared" si="185"/>
        <v>155260</v>
      </c>
      <c r="U66" s="1116">
        <f>ROUND('5名目時系列'!U66/(デフレーター1!U$45/100),0)</f>
        <v>171977</v>
      </c>
      <c r="V66" s="1116">
        <f>ROUND('5名目時系列'!V66/(デフレーター1!V$45/100),0)</f>
        <v>166318</v>
      </c>
      <c r="W66" s="1116">
        <f>ROUND('5名目時系列'!W66/(デフレーター1!W$45/100),0)</f>
        <v>152653</v>
      </c>
      <c r="X66" s="1116">
        <f>ROUND('5名目時系列'!X66/(デフレーター1!X$45/100),0)</f>
        <v>145275</v>
      </c>
      <c r="Y66" s="358">
        <f t="shared" si="141"/>
        <v>-7.9</v>
      </c>
      <c r="Z66" s="588">
        <f t="shared" si="142"/>
        <v>-1.2</v>
      </c>
      <c r="AA66" s="588">
        <f t="shared" si="143"/>
        <v>2.4</v>
      </c>
      <c r="AB66" s="588">
        <f t="shared" si="143"/>
        <v>3.2</v>
      </c>
      <c r="AC66" s="588">
        <f t="shared" si="143"/>
        <v>10.8</v>
      </c>
      <c r="AD66" s="588">
        <f t="shared" si="143"/>
        <v>-3.3</v>
      </c>
      <c r="AE66" s="588">
        <f t="shared" si="143"/>
        <v>-8.1999999999999993</v>
      </c>
      <c r="AF66" s="588">
        <f t="shared" si="143"/>
        <v>-4.8</v>
      </c>
    </row>
    <row r="67" spans="1:32">
      <c r="A67" s="204">
        <v>226</v>
      </c>
      <c r="B67" s="201" t="s">
        <v>225</v>
      </c>
      <c r="C67" s="1074">
        <f>C136</f>
        <v>141410</v>
      </c>
      <c r="D67" s="1074">
        <f t="shared" si="157"/>
        <v>145480</v>
      </c>
      <c r="E67" s="1074">
        <f t="shared" si="157"/>
        <v>140145</v>
      </c>
      <c r="F67" s="1074">
        <f t="shared" si="157"/>
        <v>134063</v>
      </c>
      <c r="G67" s="1074">
        <f t="shared" si="157"/>
        <v>136354</v>
      </c>
      <c r="H67" s="1074">
        <f t="shared" ref="H67:P67" si="186">H136</f>
        <v>135969</v>
      </c>
      <c r="I67" s="1074">
        <f t="shared" si="186"/>
        <v>141433</v>
      </c>
      <c r="J67" s="1074">
        <f t="shared" si="186"/>
        <v>141496</v>
      </c>
      <c r="K67" s="1074">
        <f t="shared" si="186"/>
        <v>137778</v>
      </c>
      <c r="L67" s="1074">
        <f t="shared" si="186"/>
        <v>137014</v>
      </c>
      <c r="M67" s="1074">
        <f t="shared" si="186"/>
        <v>147678</v>
      </c>
      <c r="N67" s="1074">
        <f t="shared" si="186"/>
        <v>145398</v>
      </c>
      <c r="O67" s="1074">
        <f t="shared" si="186"/>
        <v>144866</v>
      </c>
      <c r="P67" s="1074">
        <f t="shared" si="186"/>
        <v>148707</v>
      </c>
      <c r="Q67" s="1074">
        <f t="shared" ref="Q67:T67" si="187">Q136</f>
        <v>140201</v>
      </c>
      <c r="R67" s="1074">
        <f t="shared" si="187"/>
        <v>147257</v>
      </c>
      <c r="S67" s="1074">
        <f t="shared" si="187"/>
        <v>151135</v>
      </c>
      <c r="T67" s="1074">
        <f t="shared" si="187"/>
        <v>156273</v>
      </c>
      <c r="U67" s="1117">
        <f>ROUND('5名目時系列'!U67/(デフレーター1!U$45/100),0)</f>
        <v>168647</v>
      </c>
      <c r="V67" s="1117">
        <f>ROUND('5名目時系列'!V67/(デフレーター1!V$45/100),0)</f>
        <v>173994</v>
      </c>
      <c r="W67" s="1117">
        <f>ROUND('5名目時系列'!W67/(デフレーター1!W$45/100),0)</f>
        <v>171898</v>
      </c>
      <c r="X67" s="1117">
        <f>ROUND('5名目時系列'!X67/(デフレーター1!X$45/100),0)</f>
        <v>159401</v>
      </c>
      <c r="Y67" s="359">
        <f t="shared" si="141"/>
        <v>-5.7</v>
      </c>
      <c r="Z67" s="359">
        <f t="shared" si="142"/>
        <v>5</v>
      </c>
      <c r="AA67" s="359">
        <f t="shared" si="143"/>
        <v>2.6</v>
      </c>
      <c r="AB67" s="359">
        <f t="shared" si="143"/>
        <v>3.4</v>
      </c>
      <c r="AC67" s="359">
        <f t="shared" si="143"/>
        <v>7.9</v>
      </c>
      <c r="AD67" s="359">
        <f t="shared" si="143"/>
        <v>3.2</v>
      </c>
      <c r="AE67" s="359">
        <f t="shared" si="143"/>
        <v>-1.2</v>
      </c>
      <c r="AF67" s="359">
        <f t="shared" si="143"/>
        <v>-7.3</v>
      </c>
    </row>
    <row r="68" spans="1:32">
      <c r="A68" s="75" t="s">
        <v>822</v>
      </c>
      <c r="P68" s="76"/>
    </row>
    <row r="69" spans="1:32">
      <c r="B69" s="456" t="s">
        <v>596</v>
      </c>
      <c r="C69" s="456">
        <f t="shared" ref="C69:K69" si="188">C18+SUM(C20:C22)+SUM(C24:C26)+C30+C37+SUM(C65:C67)</f>
        <v>12831411</v>
      </c>
      <c r="D69" s="456">
        <f t="shared" si="188"/>
        <v>13263836</v>
      </c>
      <c r="E69" s="456">
        <f t="shared" si="188"/>
        <v>12964972</v>
      </c>
      <c r="F69" s="456">
        <f t="shared" si="188"/>
        <v>12362728</v>
      </c>
      <c r="G69" s="456">
        <f t="shared" si="188"/>
        <v>13262006</v>
      </c>
      <c r="H69" s="456">
        <f t="shared" si="188"/>
        <v>13207947</v>
      </c>
      <c r="I69" s="456">
        <f t="shared" si="188"/>
        <v>13197701</v>
      </c>
      <c r="J69" s="456">
        <f t="shared" si="188"/>
        <v>13471121</v>
      </c>
      <c r="K69" s="456">
        <f t="shared" si="188"/>
        <v>13398510</v>
      </c>
      <c r="L69" s="456">
        <f t="shared" ref="L69:T69" si="189">L18+SUM(L20:L22)+SUM(L24:L26)+L30+L37+SUM(L65:L67)</f>
        <v>13871616</v>
      </c>
      <c r="M69" s="456">
        <f t="shared" si="189"/>
        <v>13923827</v>
      </c>
      <c r="N69" s="456">
        <f t="shared" si="189"/>
        <v>14138168</v>
      </c>
      <c r="O69" s="456">
        <f t="shared" si="189"/>
        <v>14124503</v>
      </c>
      <c r="P69" s="456">
        <f t="shared" si="189"/>
        <v>14262260</v>
      </c>
      <c r="Q69" s="456">
        <f t="shared" si="189"/>
        <v>13614109</v>
      </c>
      <c r="R69" s="456">
        <f t="shared" si="189"/>
        <v>14010984</v>
      </c>
      <c r="S69" s="456">
        <f t="shared" si="189"/>
        <v>14469609</v>
      </c>
      <c r="T69" s="456">
        <f t="shared" si="189"/>
        <v>14604186</v>
      </c>
      <c r="U69" s="456">
        <f t="shared" ref="U69" si="190">U18+SUM(U20:U22)+SUM(U24:U26)+U30+U37+SUM(U65:U67)</f>
        <v>14829156</v>
      </c>
      <c r="V69" s="456">
        <f t="shared" ref="V69:X69" si="191">V18+SUM(V20:V22)+SUM(V24:V26)+V30+V37+SUM(V65:V67)</f>
        <v>14955752</v>
      </c>
      <c r="W69" s="456">
        <f t="shared" si="191"/>
        <v>14963772</v>
      </c>
      <c r="X69" s="456">
        <f t="shared" si="191"/>
        <v>14887347</v>
      </c>
      <c r="Y69" s="1076">
        <f t="shared" ref="Y69:AF69" si="192">ROUND((Q69-P69)/P69*100,1)</f>
        <v>-4.5</v>
      </c>
      <c r="Z69" s="1076">
        <f t="shared" si="192"/>
        <v>2.9</v>
      </c>
      <c r="AA69" s="1076">
        <f t="shared" si="192"/>
        <v>3.3</v>
      </c>
      <c r="AB69" s="1076">
        <f t="shared" si="192"/>
        <v>0.9</v>
      </c>
      <c r="AC69" s="1076">
        <f t="shared" si="192"/>
        <v>1.5</v>
      </c>
      <c r="AD69" s="1076">
        <f t="shared" si="192"/>
        <v>0.9</v>
      </c>
      <c r="AE69" s="1076">
        <f t="shared" si="192"/>
        <v>0.1</v>
      </c>
      <c r="AF69" s="1076">
        <f t="shared" si="192"/>
        <v>-0.5</v>
      </c>
    </row>
    <row r="72" spans="1:32">
      <c r="A72" s="130"/>
      <c r="B72" s="130" t="s">
        <v>319</v>
      </c>
      <c r="C72" s="675">
        <v>2006</v>
      </c>
      <c r="D72" s="675">
        <v>2007</v>
      </c>
      <c r="E72" s="675">
        <v>2008</v>
      </c>
      <c r="F72" s="675">
        <v>2009</v>
      </c>
      <c r="G72" s="675">
        <v>2010</v>
      </c>
      <c r="H72" s="675">
        <v>2011</v>
      </c>
      <c r="I72" s="675">
        <v>2012</v>
      </c>
      <c r="J72" s="675">
        <v>2013</v>
      </c>
      <c r="K72" s="675">
        <v>2014</v>
      </c>
      <c r="L72" s="675">
        <v>2015</v>
      </c>
      <c r="M72" s="675">
        <v>2016</v>
      </c>
      <c r="N72" s="675">
        <v>2017</v>
      </c>
      <c r="O72" s="675">
        <v>2018</v>
      </c>
      <c r="P72" s="914">
        <v>2019</v>
      </c>
      <c r="Q72" s="914">
        <v>2020</v>
      </c>
      <c r="R72" s="914">
        <v>2021</v>
      </c>
      <c r="S72" s="675">
        <v>2022</v>
      </c>
      <c r="T72" s="675">
        <v>2023</v>
      </c>
      <c r="U72" s="1078"/>
      <c r="V72" s="1078"/>
      <c r="W72" s="1078"/>
      <c r="X72" s="1078"/>
    </row>
    <row r="73" spans="1:32">
      <c r="C73" s="456" t="s">
        <v>369</v>
      </c>
      <c r="D73" s="456" t="s">
        <v>370</v>
      </c>
      <c r="E73" s="456" t="s">
        <v>750</v>
      </c>
      <c r="F73" s="456" t="s">
        <v>856</v>
      </c>
      <c r="G73" s="456" t="s">
        <v>911</v>
      </c>
      <c r="H73" s="456" t="s">
        <v>96</v>
      </c>
      <c r="I73" s="456" t="s">
        <v>118</v>
      </c>
      <c r="J73" s="456" t="s">
        <v>119</v>
      </c>
      <c r="K73" s="456" t="s">
        <v>67</v>
      </c>
      <c r="L73" s="456" t="s">
        <v>157</v>
      </c>
      <c r="M73" s="456" t="s">
        <v>1000</v>
      </c>
      <c r="N73" s="456" t="s">
        <v>1036</v>
      </c>
      <c r="O73" s="456" t="s">
        <v>1062</v>
      </c>
      <c r="P73" s="456" t="s">
        <v>1161</v>
      </c>
      <c r="Q73" s="456" t="s">
        <v>1129</v>
      </c>
      <c r="R73" s="456" t="s">
        <v>1160</v>
      </c>
      <c r="S73" s="456" t="s">
        <v>1200</v>
      </c>
      <c r="T73" s="456" t="s">
        <v>1234</v>
      </c>
      <c r="U73" s="453"/>
      <c r="V73" s="453"/>
      <c r="W73" s="453"/>
      <c r="X73" s="453"/>
    </row>
    <row r="74" spans="1:32">
      <c r="A74" s="132"/>
      <c r="B74" s="132" t="s">
        <v>320</v>
      </c>
      <c r="C74" s="461"/>
      <c r="D74" s="461"/>
      <c r="E74" s="461"/>
      <c r="F74" s="461" t="s">
        <v>839</v>
      </c>
      <c r="G74" s="461" t="s">
        <v>106</v>
      </c>
      <c r="H74" s="461"/>
      <c r="I74" s="461"/>
      <c r="J74" s="461"/>
      <c r="K74" s="461"/>
      <c r="L74" s="461"/>
      <c r="M74" s="461"/>
      <c r="N74" s="461"/>
      <c r="O74" s="461"/>
      <c r="P74" s="461"/>
      <c r="Q74" s="461"/>
      <c r="R74" s="461"/>
      <c r="S74" s="1074"/>
      <c r="T74" s="1074"/>
      <c r="U74" s="453"/>
      <c r="V74" s="453"/>
      <c r="W74" s="453"/>
      <c r="X74" s="453"/>
    </row>
    <row r="75" spans="1:32">
      <c r="B75" s="75" t="s">
        <v>166</v>
      </c>
      <c r="C75" s="75">
        <f t="shared" ref="C75:G75" si="193">SUM(C76:C85)</f>
        <v>20501654</v>
      </c>
      <c r="D75" s="75">
        <f t="shared" si="193"/>
        <v>21207935</v>
      </c>
      <c r="E75" s="75">
        <f t="shared" si="193"/>
        <v>20888191</v>
      </c>
      <c r="F75" s="75">
        <f t="shared" si="193"/>
        <v>19517905</v>
      </c>
      <c r="G75" s="75">
        <f t="shared" si="193"/>
        <v>20926525</v>
      </c>
      <c r="H75" s="76">
        <f t="shared" ref="H75" si="194">SUM(H76:H85)</f>
        <v>20641997</v>
      </c>
      <c r="I75" s="76">
        <f t="shared" ref="I75:T75" si="195">SUM(I76:I85)</f>
        <v>20585255</v>
      </c>
      <c r="J75" s="76">
        <f t="shared" si="195"/>
        <v>21339377</v>
      </c>
      <c r="K75" s="76">
        <f t="shared" si="195"/>
        <v>21092930</v>
      </c>
      <c r="L75" s="76">
        <f t="shared" si="195"/>
        <v>21764162</v>
      </c>
      <c r="M75" s="76">
        <f t="shared" si="195"/>
        <v>21938484</v>
      </c>
      <c r="N75" s="76">
        <f t="shared" si="195"/>
        <v>22281249</v>
      </c>
      <c r="O75" s="76">
        <f t="shared" si="195"/>
        <v>22230964</v>
      </c>
      <c r="P75" s="76">
        <f t="shared" si="195"/>
        <v>22373322</v>
      </c>
      <c r="Q75" s="76">
        <f t="shared" si="195"/>
        <v>21583878</v>
      </c>
      <c r="R75" s="76">
        <f t="shared" si="195"/>
        <v>22305839</v>
      </c>
      <c r="S75" s="76">
        <f t="shared" si="195"/>
        <v>22878289</v>
      </c>
      <c r="T75" s="76">
        <f t="shared" si="195"/>
        <v>22921318</v>
      </c>
    </row>
    <row r="76" spans="1:32">
      <c r="A76" s="75">
        <v>100</v>
      </c>
      <c r="B76" s="75" t="s">
        <v>172</v>
      </c>
      <c r="C76" s="75">
        <f t="shared" ref="C76:G77" si="196">C87</f>
        <v>6386662</v>
      </c>
      <c r="D76" s="75">
        <f t="shared" si="196"/>
        <v>6593938</v>
      </c>
      <c r="E76" s="75">
        <f t="shared" si="196"/>
        <v>6531582</v>
      </c>
      <c r="F76" s="75">
        <f t="shared" si="196"/>
        <v>6331426</v>
      </c>
      <c r="G76" s="75">
        <f t="shared" si="196"/>
        <v>6751675</v>
      </c>
      <c r="H76" s="76">
        <f t="shared" ref="H76" si="197">H87</f>
        <v>6639825</v>
      </c>
      <c r="I76" s="76">
        <f t="shared" ref="I76:T76" si="198">I87</f>
        <v>6575277</v>
      </c>
      <c r="J76" s="76">
        <f t="shared" si="198"/>
        <v>6661471</v>
      </c>
      <c r="K76" s="76">
        <f t="shared" si="198"/>
        <v>6653923</v>
      </c>
      <c r="L76" s="76">
        <f t="shared" si="198"/>
        <v>6867175</v>
      </c>
      <c r="M76" s="76">
        <f t="shared" si="198"/>
        <v>6876921</v>
      </c>
      <c r="N76" s="76">
        <f t="shared" si="198"/>
        <v>6982935</v>
      </c>
      <c r="O76" s="76">
        <f t="shared" si="198"/>
        <v>6948898</v>
      </c>
      <c r="P76" s="76">
        <f t="shared" si="198"/>
        <v>7052438</v>
      </c>
      <c r="Q76" s="76">
        <f t="shared" si="198"/>
        <v>6730443</v>
      </c>
      <c r="R76" s="76">
        <f t="shared" si="198"/>
        <v>6858498</v>
      </c>
      <c r="S76" s="76">
        <f t="shared" si="198"/>
        <v>7136502</v>
      </c>
      <c r="T76" s="76">
        <f t="shared" si="198"/>
        <v>7194583</v>
      </c>
    </row>
    <row r="77" spans="1:32">
      <c r="A77" s="75" t="s">
        <v>1468</v>
      </c>
      <c r="B77" s="75" t="s">
        <v>323</v>
      </c>
      <c r="C77" s="75">
        <f t="shared" si="196"/>
        <v>3131716</v>
      </c>
      <c r="D77" s="75">
        <f t="shared" si="196"/>
        <v>3261907</v>
      </c>
      <c r="E77" s="75">
        <f t="shared" si="196"/>
        <v>3153042</v>
      </c>
      <c r="F77" s="75">
        <f t="shared" si="196"/>
        <v>2981059</v>
      </c>
      <c r="G77" s="75">
        <f t="shared" si="196"/>
        <v>3312417</v>
      </c>
      <c r="H77" s="76">
        <f t="shared" ref="H77" si="199">H88</f>
        <v>3350389</v>
      </c>
      <c r="I77" s="76">
        <f t="shared" ref="I77:T77" si="200">I88</f>
        <v>3282530</v>
      </c>
      <c r="J77" s="76">
        <f t="shared" si="200"/>
        <v>3433560</v>
      </c>
      <c r="K77" s="76">
        <f t="shared" si="200"/>
        <v>3365087</v>
      </c>
      <c r="L77" s="76">
        <f t="shared" si="200"/>
        <v>3541195</v>
      </c>
      <c r="M77" s="76">
        <f t="shared" si="200"/>
        <v>3554025</v>
      </c>
      <c r="N77" s="76">
        <f t="shared" si="200"/>
        <v>3669939</v>
      </c>
      <c r="O77" s="76">
        <f t="shared" si="200"/>
        <v>3640991</v>
      </c>
      <c r="P77" s="76">
        <f t="shared" si="200"/>
        <v>3679482</v>
      </c>
      <c r="Q77" s="76">
        <f t="shared" si="200"/>
        <v>3473285</v>
      </c>
      <c r="R77" s="76">
        <f t="shared" si="200"/>
        <v>3648568</v>
      </c>
      <c r="S77" s="76">
        <f t="shared" si="200"/>
        <v>3687169</v>
      </c>
      <c r="T77" s="76">
        <f t="shared" si="200"/>
        <v>3734693</v>
      </c>
    </row>
    <row r="78" spans="1:32">
      <c r="A78" s="75">
        <v>2</v>
      </c>
      <c r="B78" s="75" t="s">
        <v>324</v>
      </c>
      <c r="C78" s="75">
        <f t="shared" ref="C78:G78" si="201">C92</f>
        <v>1894608</v>
      </c>
      <c r="D78" s="75">
        <f t="shared" si="201"/>
        <v>1946526</v>
      </c>
      <c r="E78" s="75">
        <f t="shared" si="201"/>
        <v>1868619</v>
      </c>
      <c r="F78" s="75">
        <f t="shared" si="201"/>
        <v>1773677</v>
      </c>
      <c r="G78" s="75">
        <f t="shared" si="201"/>
        <v>1893868</v>
      </c>
      <c r="H78" s="76">
        <f t="shared" ref="H78" si="202">H92</f>
        <v>1978032</v>
      </c>
      <c r="I78" s="76">
        <f t="shared" ref="I78:T78" si="203">I92</f>
        <v>2021539</v>
      </c>
      <c r="J78" s="76">
        <f t="shared" si="203"/>
        <v>2042568</v>
      </c>
      <c r="K78" s="76">
        <f t="shared" si="203"/>
        <v>1983242</v>
      </c>
      <c r="L78" s="76">
        <f t="shared" si="203"/>
        <v>2055211</v>
      </c>
      <c r="M78" s="76">
        <f t="shared" si="203"/>
        <v>2140771</v>
      </c>
      <c r="N78" s="76">
        <f t="shared" si="203"/>
        <v>2115075</v>
      </c>
      <c r="O78" s="76">
        <f t="shared" si="203"/>
        <v>2107148</v>
      </c>
      <c r="P78" s="76">
        <f t="shared" si="203"/>
        <v>2063186</v>
      </c>
      <c r="Q78" s="76">
        <f t="shared" si="203"/>
        <v>2018040</v>
      </c>
      <c r="R78" s="76">
        <f t="shared" si="203"/>
        <v>2177625</v>
      </c>
      <c r="S78" s="76">
        <f t="shared" si="203"/>
        <v>2220509</v>
      </c>
      <c r="T78" s="76">
        <f t="shared" si="203"/>
        <v>2291123</v>
      </c>
    </row>
    <row r="79" spans="1:32">
      <c r="A79" s="75">
        <v>3</v>
      </c>
      <c r="B79" s="75" t="s">
        <v>192</v>
      </c>
      <c r="C79" s="75">
        <f t="shared" ref="C79:G79" si="204">C98</f>
        <v>2813002</v>
      </c>
      <c r="D79" s="75">
        <f t="shared" si="204"/>
        <v>2987289</v>
      </c>
      <c r="E79" s="75">
        <f t="shared" si="204"/>
        <v>2989050</v>
      </c>
      <c r="F79" s="75">
        <f t="shared" si="204"/>
        <v>2582059</v>
      </c>
      <c r="G79" s="75">
        <f t="shared" si="204"/>
        <v>2752668</v>
      </c>
      <c r="H79" s="76">
        <f t="shared" ref="H79" si="205">H98</f>
        <v>2673197</v>
      </c>
      <c r="I79" s="76">
        <f t="shared" ref="I79:T79" si="206">I98</f>
        <v>2839950</v>
      </c>
      <c r="J79" s="76">
        <f t="shared" si="206"/>
        <v>2892211</v>
      </c>
      <c r="K79" s="76">
        <f t="shared" si="206"/>
        <v>2869315</v>
      </c>
      <c r="L79" s="76">
        <f t="shared" si="206"/>
        <v>2959810</v>
      </c>
      <c r="M79" s="76">
        <f t="shared" si="206"/>
        <v>2905924</v>
      </c>
      <c r="N79" s="76">
        <f t="shared" si="206"/>
        <v>2925883</v>
      </c>
      <c r="O79" s="76">
        <f t="shared" si="206"/>
        <v>2964550</v>
      </c>
      <c r="P79" s="76">
        <f t="shared" si="206"/>
        <v>2988965</v>
      </c>
      <c r="Q79" s="76">
        <f t="shared" si="206"/>
        <v>2929006</v>
      </c>
      <c r="R79" s="76">
        <f t="shared" si="206"/>
        <v>2922065</v>
      </c>
      <c r="S79" s="76">
        <f t="shared" si="206"/>
        <v>3125410</v>
      </c>
      <c r="T79" s="76">
        <f t="shared" si="206"/>
        <v>3009430</v>
      </c>
    </row>
    <row r="80" spans="1:32">
      <c r="A80" s="75">
        <v>4</v>
      </c>
      <c r="B80" s="75" t="s">
        <v>325</v>
      </c>
      <c r="C80" s="75">
        <f t="shared" ref="C80:G80" si="207">C104</f>
        <v>1191651</v>
      </c>
      <c r="D80" s="75">
        <f t="shared" si="207"/>
        <v>1221515</v>
      </c>
      <c r="E80" s="75">
        <f t="shared" si="207"/>
        <v>1198607</v>
      </c>
      <c r="F80" s="75">
        <f t="shared" si="207"/>
        <v>1146172</v>
      </c>
      <c r="G80" s="75">
        <f t="shared" si="207"/>
        <v>1190688</v>
      </c>
      <c r="H80" s="76">
        <f t="shared" ref="H80" si="208">H104</f>
        <v>1149883</v>
      </c>
      <c r="I80" s="76">
        <f t="shared" ref="I80:T80" si="209">I104</f>
        <v>1133747</v>
      </c>
      <c r="J80" s="76">
        <f t="shared" si="209"/>
        <v>1194562</v>
      </c>
      <c r="K80" s="76">
        <f t="shared" si="209"/>
        <v>1170689</v>
      </c>
      <c r="L80" s="76">
        <f t="shared" si="209"/>
        <v>1198719</v>
      </c>
      <c r="M80" s="76">
        <f t="shared" si="209"/>
        <v>1258017</v>
      </c>
      <c r="N80" s="76">
        <f t="shared" si="209"/>
        <v>1311546</v>
      </c>
      <c r="O80" s="76">
        <f t="shared" si="209"/>
        <v>1296116</v>
      </c>
      <c r="P80" s="76">
        <f t="shared" si="209"/>
        <v>1304482</v>
      </c>
      <c r="Q80" s="76">
        <f t="shared" si="209"/>
        <v>1280998</v>
      </c>
      <c r="R80" s="76">
        <f t="shared" si="209"/>
        <v>1302930</v>
      </c>
      <c r="S80" s="76">
        <f t="shared" si="209"/>
        <v>1278266</v>
      </c>
      <c r="T80" s="76">
        <f t="shared" si="209"/>
        <v>1295760</v>
      </c>
    </row>
    <row r="81" spans="1:20">
      <c r="A81" s="75">
        <v>5</v>
      </c>
      <c r="B81" s="75" t="s">
        <v>326</v>
      </c>
      <c r="C81" s="75">
        <f t="shared" ref="C81:G81" si="210">C111</f>
        <v>2565099</v>
      </c>
      <c r="D81" s="75">
        <f t="shared" si="210"/>
        <v>2629643</v>
      </c>
      <c r="E81" s="75">
        <f t="shared" si="210"/>
        <v>2708790</v>
      </c>
      <c r="F81" s="75">
        <f t="shared" si="210"/>
        <v>2370256</v>
      </c>
      <c r="G81" s="75">
        <f t="shared" si="210"/>
        <v>2584373</v>
      </c>
      <c r="H81" s="76">
        <f t="shared" ref="H81" si="211">H111</f>
        <v>2459071</v>
      </c>
      <c r="I81" s="76">
        <f t="shared" ref="I81:T81" si="212">I111</f>
        <v>2401066</v>
      </c>
      <c r="J81" s="76">
        <f t="shared" si="212"/>
        <v>2604440</v>
      </c>
      <c r="K81" s="76">
        <f t="shared" si="212"/>
        <v>2577285</v>
      </c>
      <c r="L81" s="76">
        <f t="shared" si="212"/>
        <v>2610540</v>
      </c>
      <c r="M81" s="76">
        <f t="shared" si="212"/>
        <v>2667693</v>
      </c>
      <c r="N81" s="76">
        <f t="shared" si="212"/>
        <v>2678688</v>
      </c>
      <c r="O81" s="76">
        <f t="shared" si="212"/>
        <v>2674020</v>
      </c>
      <c r="P81" s="76">
        <f t="shared" si="212"/>
        <v>2636461</v>
      </c>
      <c r="Q81" s="76">
        <f t="shared" si="212"/>
        <v>2555353</v>
      </c>
      <c r="R81" s="76">
        <f t="shared" si="212"/>
        <v>2786293</v>
      </c>
      <c r="S81" s="76">
        <f t="shared" si="212"/>
        <v>2841392</v>
      </c>
      <c r="T81" s="76">
        <f t="shared" si="212"/>
        <v>2800023</v>
      </c>
    </row>
    <row r="82" spans="1:20">
      <c r="A82" s="75">
        <v>6</v>
      </c>
      <c r="B82" s="75" t="s">
        <v>327</v>
      </c>
      <c r="C82" s="75">
        <f t="shared" ref="C82:G82" si="213">C116</f>
        <v>988227</v>
      </c>
      <c r="D82" s="75">
        <f t="shared" si="213"/>
        <v>1013274</v>
      </c>
      <c r="E82" s="75">
        <f t="shared" si="213"/>
        <v>973912</v>
      </c>
      <c r="F82" s="75">
        <f t="shared" si="213"/>
        <v>935893</v>
      </c>
      <c r="G82" s="75">
        <f t="shared" si="213"/>
        <v>993858</v>
      </c>
      <c r="H82" s="76">
        <f t="shared" ref="H82" si="214">H116</f>
        <v>985923</v>
      </c>
      <c r="I82" s="76">
        <f t="shared" ref="I82:T82" si="215">I116</f>
        <v>990496</v>
      </c>
      <c r="J82" s="76">
        <f t="shared" si="215"/>
        <v>999464</v>
      </c>
      <c r="K82" s="76">
        <f t="shared" si="215"/>
        <v>1000895</v>
      </c>
      <c r="L82" s="76">
        <f t="shared" si="215"/>
        <v>1016695</v>
      </c>
      <c r="M82" s="76">
        <f t="shared" si="215"/>
        <v>1021266</v>
      </c>
      <c r="N82" s="76">
        <f t="shared" si="215"/>
        <v>1065673</v>
      </c>
      <c r="O82" s="76">
        <f t="shared" si="215"/>
        <v>1070880</v>
      </c>
      <c r="P82" s="76">
        <f t="shared" si="215"/>
        <v>1075264</v>
      </c>
      <c r="Q82" s="76">
        <f t="shared" si="215"/>
        <v>1084785</v>
      </c>
      <c r="R82" s="76">
        <f t="shared" si="215"/>
        <v>1112726</v>
      </c>
      <c r="S82" s="76">
        <f t="shared" si="215"/>
        <v>1087411</v>
      </c>
      <c r="T82" s="76">
        <f t="shared" si="215"/>
        <v>1079374</v>
      </c>
    </row>
    <row r="83" spans="1:20">
      <c r="A83" s="75">
        <v>7</v>
      </c>
      <c r="B83" s="75" t="s">
        <v>210</v>
      </c>
      <c r="C83" s="75">
        <f t="shared" ref="C83:G83" si="216">C124</f>
        <v>635187</v>
      </c>
      <c r="D83" s="75">
        <f t="shared" si="216"/>
        <v>644104</v>
      </c>
      <c r="E83" s="75">
        <f t="shared" si="216"/>
        <v>610959</v>
      </c>
      <c r="F83" s="75">
        <f t="shared" si="216"/>
        <v>582183</v>
      </c>
      <c r="G83" s="75">
        <f t="shared" si="216"/>
        <v>596840</v>
      </c>
      <c r="H83" s="76">
        <f t="shared" ref="H83" si="217">H124</f>
        <v>583643</v>
      </c>
      <c r="I83" s="76">
        <f t="shared" ref="I83:T83" si="218">I124</f>
        <v>591296</v>
      </c>
      <c r="J83" s="76">
        <f t="shared" si="218"/>
        <v>633497</v>
      </c>
      <c r="K83" s="76">
        <f t="shared" si="218"/>
        <v>622915</v>
      </c>
      <c r="L83" s="76">
        <f t="shared" si="218"/>
        <v>630529</v>
      </c>
      <c r="M83" s="76">
        <f t="shared" si="218"/>
        <v>621925</v>
      </c>
      <c r="N83" s="76">
        <f t="shared" si="218"/>
        <v>636953</v>
      </c>
      <c r="O83" s="76">
        <f t="shared" si="218"/>
        <v>625127</v>
      </c>
      <c r="P83" s="76">
        <f t="shared" si="218"/>
        <v>633509</v>
      </c>
      <c r="Q83" s="76">
        <f t="shared" si="218"/>
        <v>630050</v>
      </c>
      <c r="R83" s="76">
        <f t="shared" si="218"/>
        <v>596697</v>
      </c>
      <c r="S83" s="76">
        <f t="shared" si="218"/>
        <v>581246</v>
      </c>
      <c r="T83" s="76">
        <f t="shared" si="218"/>
        <v>577235</v>
      </c>
    </row>
    <row r="84" spans="1:20">
      <c r="A84" s="75">
        <v>8</v>
      </c>
      <c r="B84" s="75" t="s">
        <v>211</v>
      </c>
      <c r="C84" s="75">
        <f t="shared" ref="C84:G84" si="219">C130</f>
        <v>394597</v>
      </c>
      <c r="D84" s="75">
        <f t="shared" si="219"/>
        <v>411175</v>
      </c>
      <c r="E84" s="75">
        <f t="shared" si="219"/>
        <v>377214</v>
      </c>
      <c r="F84" s="75">
        <f t="shared" si="219"/>
        <v>357061</v>
      </c>
      <c r="G84" s="75">
        <f t="shared" si="219"/>
        <v>373206</v>
      </c>
      <c r="H84" s="76">
        <f t="shared" ref="H84" si="220">H130</f>
        <v>366777</v>
      </c>
      <c r="I84" s="76">
        <f t="shared" ref="I84:T84" si="221">I130</f>
        <v>295698</v>
      </c>
      <c r="J84" s="76">
        <f t="shared" si="221"/>
        <v>412702</v>
      </c>
      <c r="K84" s="76">
        <f t="shared" si="221"/>
        <v>398133</v>
      </c>
      <c r="L84" s="76">
        <f t="shared" si="221"/>
        <v>418714</v>
      </c>
      <c r="M84" s="76">
        <f t="shared" si="221"/>
        <v>422068</v>
      </c>
      <c r="N84" s="76">
        <f t="shared" si="221"/>
        <v>426654</v>
      </c>
      <c r="O84" s="76">
        <f t="shared" si="221"/>
        <v>438341</v>
      </c>
      <c r="P84" s="76">
        <f t="shared" si="221"/>
        <v>472616</v>
      </c>
      <c r="Q84" s="76">
        <f t="shared" si="221"/>
        <v>446621</v>
      </c>
      <c r="R84" s="76">
        <f t="shared" si="221"/>
        <v>454129</v>
      </c>
      <c r="S84" s="76">
        <f t="shared" si="221"/>
        <v>454813</v>
      </c>
      <c r="T84" s="76">
        <f t="shared" si="221"/>
        <v>460281</v>
      </c>
    </row>
    <row r="85" spans="1:20">
      <c r="A85" s="75">
        <v>9</v>
      </c>
      <c r="B85" s="75" t="s">
        <v>212</v>
      </c>
      <c r="C85" s="75">
        <f t="shared" ref="C85:G85" si="222">C133</f>
        <v>500905</v>
      </c>
      <c r="D85" s="75">
        <f t="shared" si="222"/>
        <v>498564</v>
      </c>
      <c r="E85" s="75">
        <f t="shared" si="222"/>
        <v>476416</v>
      </c>
      <c r="F85" s="75">
        <f t="shared" si="222"/>
        <v>458119</v>
      </c>
      <c r="G85" s="75">
        <f t="shared" si="222"/>
        <v>476932</v>
      </c>
      <c r="H85" s="76">
        <f t="shared" ref="H85" si="223">H133</f>
        <v>455257</v>
      </c>
      <c r="I85" s="76">
        <f t="shared" ref="I85:T85" si="224">I133</f>
        <v>453656</v>
      </c>
      <c r="J85" s="76">
        <f t="shared" si="224"/>
        <v>464902</v>
      </c>
      <c r="K85" s="76">
        <f t="shared" si="224"/>
        <v>451446</v>
      </c>
      <c r="L85" s="76">
        <f t="shared" si="224"/>
        <v>465574</v>
      </c>
      <c r="M85" s="76">
        <f t="shared" si="224"/>
        <v>469874</v>
      </c>
      <c r="N85" s="76">
        <f t="shared" si="224"/>
        <v>467903</v>
      </c>
      <c r="O85" s="76">
        <f t="shared" si="224"/>
        <v>464893</v>
      </c>
      <c r="P85" s="76">
        <f t="shared" si="224"/>
        <v>466919</v>
      </c>
      <c r="Q85" s="76">
        <f t="shared" si="224"/>
        <v>435297</v>
      </c>
      <c r="R85" s="76">
        <f t="shared" si="224"/>
        <v>446308</v>
      </c>
      <c r="S85" s="76">
        <f t="shared" si="224"/>
        <v>465571</v>
      </c>
      <c r="T85" s="76">
        <f t="shared" si="224"/>
        <v>478816</v>
      </c>
    </row>
    <row r="86" spans="1:20">
      <c r="H86" s="1604"/>
      <c r="I86" s="1604"/>
      <c r="J86" s="1604"/>
      <c r="K86" s="1604"/>
      <c r="L86" s="1604"/>
      <c r="M86" s="1604"/>
      <c r="N86" s="1604"/>
      <c r="O86" s="1604"/>
      <c r="P86" s="1604"/>
      <c r="Q86" s="1604"/>
      <c r="R86" s="1604"/>
      <c r="S86" s="1604"/>
      <c r="T86" s="1604"/>
    </row>
    <row r="87" spans="1:20">
      <c r="A87" s="75">
        <v>100</v>
      </c>
      <c r="B87" s="75" t="s">
        <v>172</v>
      </c>
      <c r="C87" s="456">
        <v>6386662</v>
      </c>
      <c r="D87" s="456">
        <v>6593938</v>
      </c>
      <c r="E87" s="456">
        <v>6531582</v>
      </c>
      <c r="F87" s="568">
        <v>6331426</v>
      </c>
      <c r="G87" s="568">
        <v>6751675</v>
      </c>
      <c r="H87" s="1075">
        <f>市町実質!B17</f>
        <v>6639825</v>
      </c>
      <c r="I87" s="1075">
        <f>市町実質!C17</f>
        <v>6575277</v>
      </c>
      <c r="J87" s="1075">
        <f>市町実質!D17</f>
        <v>6661471</v>
      </c>
      <c r="K87" s="1075">
        <f>市町実質!E17</f>
        <v>6653923</v>
      </c>
      <c r="L87" s="1075">
        <f>市町実質!F17</f>
        <v>6867175</v>
      </c>
      <c r="M87" s="1075">
        <f>市町実質!G17</f>
        <v>6876921</v>
      </c>
      <c r="N87" s="1075">
        <f>市町実質!H17</f>
        <v>6982935</v>
      </c>
      <c r="O87" s="1075">
        <f>市町実質!I17</f>
        <v>6948898</v>
      </c>
      <c r="P87" s="1075">
        <f>市町実質!J17</f>
        <v>7052438</v>
      </c>
      <c r="Q87" s="1075">
        <f>市町実質!K17</f>
        <v>6730443</v>
      </c>
      <c r="R87" s="1075">
        <f>市町実質!L17</f>
        <v>6858498</v>
      </c>
      <c r="S87" s="1075">
        <f>市町実質!M17</f>
        <v>7136502</v>
      </c>
      <c r="T87" s="1075">
        <f>市町実質!N17</f>
        <v>7194583</v>
      </c>
    </row>
    <row r="88" spans="1:20">
      <c r="A88" s="75">
        <v>1</v>
      </c>
      <c r="B88" s="75" t="s">
        <v>182</v>
      </c>
      <c r="C88" s="1071">
        <f t="shared" ref="C88:H88" si="225">SUM(C89:C91)</f>
        <v>3131716</v>
      </c>
      <c r="D88" s="1071">
        <f t="shared" si="225"/>
        <v>3261907</v>
      </c>
      <c r="E88" s="1071">
        <f t="shared" si="225"/>
        <v>3153042</v>
      </c>
      <c r="F88" s="1071">
        <f t="shared" si="225"/>
        <v>2981059</v>
      </c>
      <c r="G88" s="1071">
        <f t="shared" si="225"/>
        <v>3312417</v>
      </c>
      <c r="H88" s="1071">
        <f t="shared" si="225"/>
        <v>3350389</v>
      </c>
      <c r="I88" s="1071">
        <f t="shared" ref="I88:T88" si="226">SUM(I89:I91)</f>
        <v>3282530</v>
      </c>
      <c r="J88" s="1071">
        <f t="shared" si="226"/>
        <v>3433560</v>
      </c>
      <c r="K88" s="1071">
        <f t="shared" si="226"/>
        <v>3365087</v>
      </c>
      <c r="L88" s="1071">
        <f t="shared" si="226"/>
        <v>3541195</v>
      </c>
      <c r="M88" s="1071">
        <f t="shared" si="226"/>
        <v>3554025</v>
      </c>
      <c r="N88" s="1071">
        <f t="shared" si="226"/>
        <v>3669939</v>
      </c>
      <c r="O88" s="1071">
        <f t="shared" si="226"/>
        <v>3640991</v>
      </c>
      <c r="P88" s="1071">
        <f t="shared" si="226"/>
        <v>3679482</v>
      </c>
      <c r="Q88" s="1071">
        <f t="shared" si="226"/>
        <v>3473285</v>
      </c>
      <c r="R88" s="1071">
        <f t="shared" si="226"/>
        <v>3648568</v>
      </c>
      <c r="S88" s="1071">
        <f t="shared" si="226"/>
        <v>3687169</v>
      </c>
      <c r="T88" s="1071">
        <f t="shared" si="226"/>
        <v>3734693</v>
      </c>
    </row>
    <row r="89" spans="1:20">
      <c r="A89" s="75">
        <v>202</v>
      </c>
      <c r="B89" s="75" t="s">
        <v>183</v>
      </c>
      <c r="C89" s="456">
        <v>1762761</v>
      </c>
      <c r="D89" s="456">
        <v>1850624</v>
      </c>
      <c r="E89" s="456">
        <v>1741011</v>
      </c>
      <c r="F89" s="456">
        <v>1633116</v>
      </c>
      <c r="G89" s="456">
        <v>1857246</v>
      </c>
      <c r="H89" s="1075">
        <f>市町実質!B19</f>
        <v>1809107</v>
      </c>
      <c r="I89" s="1075">
        <f>市町実質!C19</f>
        <v>1752808</v>
      </c>
      <c r="J89" s="1075">
        <f>市町実質!D19</f>
        <v>1818892</v>
      </c>
      <c r="K89" s="1075">
        <f>市町実質!E19</f>
        <v>1805488</v>
      </c>
      <c r="L89" s="1075">
        <f>市町実質!F19</f>
        <v>1893035</v>
      </c>
      <c r="M89" s="1075">
        <f>市町実質!G19</f>
        <v>1929984</v>
      </c>
      <c r="N89" s="1075">
        <f>市町実質!H19</f>
        <v>1995773</v>
      </c>
      <c r="O89" s="1075">
        <f>市町実質!I19</f>
        <v>1971191</v>
      </c>
      <c r="P89" s="1075">
        <f>市町実質!J19</f>
        <v>2002520</v>
      </c>
      <c r="Q89" s="1075">
        <f>市町実質!K19</f>
        <v>1851993</v>
      </c>
      <c r="R89" s="1075">
        <f>市町実質!L19</f>
        <v>1985822</v>
      </c>
      <c r="S89" s="1075">
        <f>市町実質!M19</f>
        <v>2014404</v>
      </c>
      <c r="T89" s="1075">
        <f>市町実質!N19</f>
        <v>2041433</v>
      </c>
    </row>
    <row r="90" spans="1:20">
      <c r="A90" s="75">
        <v>204</v>
      </c>
      <c r="B90" s="75" t="s">
        <v>184</v>
      </c>
      <c r="C90" s="456">
        <v>1170548</v>
      </c>
      <c r="D90" s="456">
        <v>1210133</v>
      </c>
      <c r="E90" s="456">
        <v>1213526</v>
      </c>
      <c r="F90" s="456">
        <v>1151732</v>
      </c>
      <c r="G90" s="456">
        <v>1241580</v>
      </c>
      <c r="H90" s="1075">
        <f>市町実質!B20</f>
        <v>1328627</v>
      </c>
      <c r="I90" s="1075">
        <f>市町実質!C20</f>
        <v>1315876</v>
      </c>
      <c r="J90" s="1075">
        <f>市町実質!D20</f>
        <v>1385388</v>
      </c>
      <c r="K90" s="1075">
        <f>市町実質!E20</f>
        <v>1347148</v>
      </c>
      <c r="L90" s="1075">
        <f>市町実質!F20</f>
        <v>1412273</v>
      </c>
      <c r="M90" s="1075">
        <f>市町実質!G20</f>
        <v>1402044</v>
      </c>
      <c r="N90" s="1075">
        <f>市町実質!H20</f>
        <v>1442158</v>
      </c>
      <c r="O90" s="1075">
        <f>市町実質!I20</f>
        <v>1445748</v>
      </c>
      <c r="P90" s="1075">
        <f>市町実質!J20</f>
        <v>1445090</v>
      </c>
      <c r="Q90" s="1075">
        <f>市町実質!K20</f>
        <v>1396387</v>
      </c>
      <c r="R90" s="1075">
        <f>市町実質!L20</f>
        <v>1432546</v>
      </c>
      <c r="S90" s="1075">
        <f>市町実質!M20</f>
        <v>1439922</v>
      </c>
      <c r="T90" s="1075">
        <f>市町実質!N20</f>
        <v>1452254</v>
      </c>
    </row>
    <row r="91" spans="1:20">
      <c r="A91" s="75">
        <v>206</v>
      </c>
      <c r="B91" s="75" t="s">
        <v>185</v>
      </c>
      <c r="C91" s="456">
        <v>198407</v>
      </c>
      <c r="D91" s="456">
        <v>201150</v>
      </c>
      <c r="E91" s="456">
        <v>198505</v>
      </c>
      <c r="F91" s="456">
        <v>196211</v>
      </c>
      <c r="G91" s="456">
        <v>213591</v>
      </c>
      <c r="H91" s="1075">
        <f>市町実質!B21</f>
        <v>212655</v>
      </c>
      <c r="I91" s="1075">
        <f>市町実質!C21</f>
        <v>213846</v>
      </c>
      <c r="J91" s="1075">
        <f>市町実質!D21</f>
        <v>229280</v>
      </c>
      <c r="K91" s="1075">
        <f>市町実質!E21</f>
        <v>212451</v>
      </c>
      <c r="L91" s="1075">
        <f>市町実質!F21</f>
        <v>235887</v>
      </c>
      <c r="M91" s="1075">
        <f>市町実質!G21</f>
        <v>221997</v>
      </c>
      <c r="N91" s="1075">
        <f>市町実質!H21</f>
        <v>232008</v>
      </c>
      <c r="O91" s="1075">
        <f>市町実質!I21</f>
        <v>224052</v>
      </c>
      <c r="P91" s="1075">
        <f>市町実質!J21</f>
        <v>231872</v>
      </c>
      <c r="Q91" s="1075">
        <f>市町実質!K21</f>
        <v>224905</v>
      </c>
      <c r="R91" s="1075">
        <f>市町実質!L21</f>
        <v>230200</v>
      </c>
      <c r="S91" s="1075">
        <f>市町実質!M21</f>
        <v>232843</v>
      </c>
      <c r="T91" s="1075">
        <f>市町実質!N21</f>
        <v>241006</v>
      </c>
    </row>
    <row r="92" spans="1:20">
      <c r="A92" s="75">
        <v>2</v>
      </c>
      <c r="B92" s="75" t="s">
        <v>186</v>
      </c>
      <c r="C92" s="1071">
        <f t="shared" ref="C92:H92" si="227">SUM(C93:C97)</f>
        <v>1894608</v>
      </c>
      <c r="D92" s="1071">
        <f t="shared" si="227"/>
        <v>1946526</v>
      </c>
      <c r="E92" s="1071">
        <f t="shared" si="227"/>
        <v>1868619</v>
      </c>
      <c r="F92" s="1071">
        <f t="shared" si="227"/>
        <v>1773677</v>
      </c>
      <c r="G92" s="1071">
        <f t="shared" si="227"/>
        <v>1893868</v>
      </c>
      <c r="H92" s="1071">
        <f t="shared" si="227"/>
        <v>1978032</v>
      </c>
      <c r="I92" s="1071">
        <f t="shared" ref="I92:T92" si="228">SUM(I93:I97)</f>
        <v>2021539</v>
      </c>
      <c r="J92" s="1071">
        <f t="shared" si="228"/>
        <v>2042568</v>
      </c>
      <c r="K92" s="1071">
        <f t="shared" si="228"/>
        <v>1983242</v>
      </c>
      <c r="L92" s="1071">
        <f t="shared" si="228"/>
        <v>2055211</v>
      </c>
      <c r="M92" s="1071">
        <f t="shared" si="228"/>
        <v>2140771</v>
      </c>
      <c r="N92" s="1071">
        <f t="shared" si="228"/>
        <v>2115075</v>
      </c>
      <c r="O92" s="1071">
        <f t="shared" si="228"/>
        <v>2107148</v>
      </c>
      <c r="P92" s="1071">
        <f t="shared" si="228"/>
        <v>2063186</v>
      </c>
      <c r="Q92" s="1071">
        <f t="shared" si="228"/>
        <v>2018040</v>
      </c>
      <c r="R92" s="1071">
        <f t="shared" si="228"/>
        <v>2177625</v>
      </c>
      <c r="S92" s="1071">
        <f t="shared" si="228"/>
        <v>2220509</v>
      </c>
      <c r="T92" s="1071">
        <f t="shared" si="228"/>
        <v>2291123</v>
      </c>
    </row>
    <row r="93" spans="1:20">
      <c r="A93" s="75">
        <v>207</v>
      </c>
      <c r="B93" s="75" t="s">
        <v>187</v>
      </c>
      <c r="C93" s="456">
        <v>660933</v>
      </c>
      <c r="D93" s="456">
        <v>687838</v>
      </c>
      <c r="E93" s="456">
        <v>632838</v>
      </c>
      <c r="F93" s="456">
        <v>570882</v>
      </c>
      <c r="G93" s="456">
        <v>622521</v>
      </c>
      <c r="H93" s="1075">
        <f>市町実質!B23</f>
        <v>660071</v>
      </c>
      <c r="I93" s="1075">
        <f>市町実質!C23</f>
        <v>659356</v>
      </c>
      <c r="J93" s="1075">
        <f>市町実質!D23</f>
        <v>695901</v>
      </c>
      <c r="K93" s="1075">
        <f>市町実質!E23</f>
        <v>688368</v>
      </c>
      <c r="L93" s="1075">
        <f>市町実質!F23</f>
        <v>695338</v>
      </c>
      <c r="M93" s="1075">
        <f>市町実質!G23</f>
        <v>729629</v>
      </c>
      <c r="N93" s="1075">
        <f>市町実質!H23</f>
        <v>710815</v>
      </c>
      <c r="O93" s="1075">
        <f>市町実質!I23</f>
        <v>706227</v>
      </c>
      <c r="P93" s="1075">
        <f>市町実質!J23</f>
        <v>696428</v>
      </c>
      <c r="Q93" s="1075">
        <f>市町実質!K23</f>
        <v>698482</v>
      </c>
      <c r="R93" s="1075">
        <f>市町実質!L23</f>
        <v>769901</v>
      </c>
      <c r="S93" s="1075">
        <f>市町実質!M23</f>
        <v>767641</v>
      </c>
      <c r="T93" s="1075">
        <f>市町実質!N23</f>
        <v>772124</v>
      </c>
    </row>
    <row r="94" spans="1:20">
      <c r="A94" s="75">
        <v>214</v>
      </c>
      <c r="B94" s="75" t="s">
        <v>188</v>
      </c>
      <c r="C94" s="456">
        <v>464466</v>
      </c>
      <c r="D94" s="456">
        <v>453054</v>
      </c>
      <c r="E94" s="456">
        <v>448878</v>
      </c>
      <c r="F94" s="456">
        <v>451773</v>
      </c>
      <c r="G94" s="456">
        <v>457609</v>
      </c>
      <c r="H94" s="1075">
        <f>市町実質!B24</f>
        <v>465400</v>
      </c>
      <c r="I94" s="1075">
        <f>市町実質!C24</f>
        <v>469714</v>
      </c>
      <c r="J94" s="1075">
        <f>市町実質!D24</f>
        <v>485924</v>
      </c>
      <c r="K94" s="1075">
        <f>市町実質!E24</f>
        <v>474000</v>
      </c>
      <c r="L94" s="1075">
        <f>市町実質!F24</f>
        <v>489033</v>
      </c>
      <c r="M94" s="1075">
        <f>市町実質!G24</f>
        <v>489925</v>
      </c>
      <c r="N94" s="1075">
        <f>市町実質!H24</f>
        <v>494037</v>
      </c>
      <c r="O94" s="1075">
        <f>市町実質!I24</f>
        <v>500646</v>
      </c>
      <c r="P94" s="1075">
        <f>市町実質!J24</f>
        <v>493944</v>
      </c>
      <c r="Q94" s="1075">
        <f>市町実質!K24</f>
        <v>473132</v>
      </c>
      <c r="R94" s="1075">
        <f>市町実質!L24</f>
        <v>490823</v>
      </c>
      <c r="S94" s="1075">
        <f>市町実質!M24</f>
        <v>496638</v>
      </c>
      <c r="T94" s="1075">
        <f>市町実質!N24</f>
        <v>501156</v>
      </c>
    </row>
    <row r="95" spans="1:20">
      <c r="A95" s="75">
        <v>217</v>
      </c>
      <c r="B95" s="75" t="s">
        <v>189</v>
      </c>
      <c r="C95" s="456">
        <v>306731</v>
      </c>
      <c r="D95" s="456">
        <v>316573</v>
      </c>
      <c r="E95" s="456">
        <v>307372</v>
      </c>
      <c r="F95" s="456">
        <v>296687</v>
      </c>
      <c r="G95" s="456">
        <v>317319</v>
      </c>
      <c r="H95" s="1075">
        <f>市町実質!B25</f>
        <v>332681</v>
      </c>
      <c r="I95" s="1075">
        <f>市町実質!C25</f>
        <v>346674</v>
      </c>
      <c r="J95" s="1075">
        <f>市町実質!D25</f>
        <v>336777</v>
      </c>
      <c r="K95" s="1075">
        <f>市町実質!E25</f>
        <v>334818</v>
      </c>
      <c r="L95" s="1075">
        <f>市町実質!F25</f>
        <v>334923</v>
      </c>
      <c r="M95" s="1075">
        <f>市町実質!G25</f>
        <v>341444</v>
      </c>
      <c r="N95" s="1075">
        <f>市町実質!H25</f>
        <v>349370</v>
      </c>
      <c r="O95" s="1075">
        <f>市町実質!I25</f>
        <v>359447</v>
      </c>
      <c r="P95" s="1075">
        <f>市町実質!J25</f>
        <v>355502</v>
      </c>
      <c r="Q95" s="1075">
        <f>市町実質!K25</f>
        <v>340728</v>
      </c>
      <c r="R95" s="1075">
        <f>市町実質!L25</f>
        <v>349077</v>
      </c>
      <c r="S95" s="1075">
        <f>市町実質!M25</f>
        <v>354233</v>
      </c>
      <c r="T95" s="1075">
        <f>市町実質!N25</f>
        <v>359504</v>
      </c>
    </row>
    <row r="96" spans="1:20">
      <c r="A96" s="75">
        <v>219</v>
      </c>
      <c r="B96" s="75" t="s">
        <v>190</v>
      </c>
      <c r="C96" s="456">
        <v>398614</v>
      </c>
      <c r="D96" s="456">
        <v>427840</v>
      </c>
      <c r="E96" s="456">
        <v>419325</v>
      </c>
      <c r="F96" s="456">
        <v>395659</v>
      </c>
      <c r="G96" s="456">
        <v>435750</v>
      </c>
      <c r="H96" s="1075">
        <f>市町実質!B26</f>
        <v>456953</v>
      </c>
      <c r="I96" s="1075">
        <f>市町実質!C26</f>
        <v>483037</v>
      </c>
      <c r="J96" s="1075">
        <f>市町実質!D26</f>
        <v>459440</v>
      </c>
      <c r="K96" s="1075">
        <f>市町実質!E26</f>
        <v>422608</v>
      </c>
      <c r="L96" s="1075">
        <f>市町実質!F26</f>
        <v>470769</v>
      </c>
      <c r="M96" s="1075">
        <f>市町実質!G26</f>
        <v>515670</v>
      </c>
      <c r="N96" s="1075">
        <f>市町実質!H26</f>
        <v>494291</v>
      </c>
      <c r="O96" s="1075">
        <f>市町実質!I26</f>
        <v>477876</v>
      </c>
      <c r="P96" s="1075">
        <f>市町実質!J26</f>
        <v>454217</v>
      </c>
      <c r="Q96" s="1075">
        <f>市町実質!K26</f>
        <v>443822</v>
      </c>
      <c r="R96" s="1075">
        <f>市町実質!L26</f>
        <v>504386</v>
      </c>
      <c r="S96" s="1075">
        <f>市町実質!M26</f>
        <v>538944</v>
      </c>
      <c r="T96" s="1075">
        <f>市町実質!N26</f>
        <v>594214</v>
      </c>
    </row>
    <row r="97" spans="1:20">
      <c r="A97" s="75">
        <v>301</v>
      </c>
      <c r="B97" s="75" t="s">
        <v>191</v>
      </c>
      <c r="C97" s="456">
        <v>63864</v>
      </c>
      <c r="D97" s="456">
        <v>61221</v>
      </c>
      <c r="E97" s="456">
        <v>60206</v>
      </c>
      <c r="F97" s="456">
        <v>58676</v>
      </c>
      <c r="G97" s="456">
        <v>60669</v>
      </c>
      <c r="H97" s="1075">
        <f>市町実質!B27</f>
        <v>62927</v>
      </c>
      <c r="I97" s="1075">
        <f>市町実質!C27</f>
        <v>62758</v>
      </c>
      <c r="J97" s="1075">
        <f>市町実質!D27</f>
        <v>64526</v>
      </c>
      <c r="K97" s="1075">
        <f>市町実質!E27</f>
        <v>63448</v>
      </c>
      <c r="L97" s="1075">
        <f>市町実質!F27</f>
        <v>65148</v>
      </c>
      <c r="M97" s="1075">
        <f>市町実質!G27</f>
        <v>64103</v>
      </c>
      <c r="N97" s="1075">
        <f>市町実質!H27</f>
        <v>66562</v>
      </c>
      <c r="O97" s="1075">
        <f>市町実質!I27</f>
        <v>62952</v>
      </c>
      <c r="P97" s="1075">
        <f>市町実質!J27</f>
        <v>63095</v>
      </c>
      <c r="Q97" s="1075">
        <f>市町実質!K27</f>
        <v>61876</v>
      </c>
      <c r="R97" s="1075">
        <f>市町実質!L27</f>
        <v>63438</v>
      </c>
      <c r="S97" s="1075">
        <f>市町実質!M27</f>
        <v>63053</v>
      </c>
      <c r="T97" s="1075">
        <f>市町実質!N27</f>
        <v>64125</v>
      </c>
    </row>
    <row r="98" spans="1:20">
      <c r="A98" s="75">
        <v>3</v>
      </c>
      <c r="B98" s="75" t="s">
        <v>192</v>
      </c>
      <c r="C98" s="1071">
        <f t="shared" ref="C98:H98" si="229">SUM(C99:C103)</f>
        <v>2813002</v>
      </c>
      <c r="D98" s="1071">
        <f t="shared" si="229"/>
        <v>2987289</v>
      </c>
      <c r="E98" s="1071">
        <f t="shared" si="229"/>
        <v>2989050</v>
      </c>
      <c r="F98" s="1071">
        <f t="shared" si="229"/>
        <v>2582059</v>
      </c>
      <c r="G98" s="1071">
        <f t="shared" si="229"/>
        <v>2752668</v>
      </c>
      <c r="H98" s="1071">
        <f t="shared" si="229"/>
        <v>2673197</v>
      </c>
      <c r="I98" s="1071">
        <f t="shared" ref="I98:T98" si="230">SUM(I99:I103)</f>
        <v>2839950</v>
      </c>
      <c r="J98" s="1071">
        <f t="shared" si="230"/>
        <v>2892211</v>
      </c>
      <c r="K98" s="1071">
        <f t="shared" si="230"/>
        <v>2869315</v>
      </c>
      <c r="L98" s="1071">
        <f t="shared" si="230"/>
        <v>2959810</v>
      </c>
      <c r="M98" s="1071">
        <f t="shared" si="230"/>
        <v>2905924</v>
      </c>
      <c r="N98" s="1071">
        <f t="shared" si="230"/>
        <v>2925883</v>
      </c>
      <c r="O98" s="1071">
        <f t="shared" si="230"/>
        <v>2964550</v>
      </c>
      <c r="P98" s="1071">
        <f t="shared" si="230"/>
        <v>2988965</v>
      </c>
      <c r="Q98" s="1071">
        <f t="shared" si="230"/>
        <v>2929006</v>
      </c>
      <c r="R98" s="1071">
        <f t="shared" si="230"/>
        <v>2922065</v>
      </c>
      <c r="S98" s="1071">
        <f t="shared" si="230"/>
        <v>3125410</v>
      </c>
      <c r="T98" s="1071">
        <f t="shared" si="230"/>
        <v>3009430</v>
      </c>
    </row>
    <row r="99" spans="1:20">
      <c r="A99" s="75">
        <v>203</v>
      </c>
      <c r="B99" s="75" t="s">
        <v>193</v>
      </c>
      <c r="C99" s="456">
        <v>1097955</v>
      </c>
      <c r="D99" s="456">
        <v>1160116</v>
      </c>
      <c r="E99" s="456">
        <v>1128322</v>
      </c>
      <c r="F99" s="456">
        <v>1002505</v>
      </c>
      <c r="G99" s="456">
        <v>1044341</v>
      </c>
      <c r="H99" s="1075">
        <f>市町実質!B29</f>
        <v>1031666</v>
      </c>
      <c r="I99" s="1075">
        <f>市町実質!C29</f>
        <v>1136650</v>
      </c>
      <c r="J99" s="1075">
        <f>市町実質!D29</f>
        <v>1112858</v>
      </c>
      <c r="K99" s="1075">
        <f>市町実質!E29</f>
        <v>1161933</v>
      </c>
      <c r="L99" s="1075">
        <f>市町実質!F29</f>
        <v>1192985</v>
      </c>
      <c r="M99" s="1075">
        <f>市町実質!G29</f>
        <v>1165783</v>
      </c>
      <c r="N99" s="1075">
        <f>市町実質!H29</f>
        <v>1158370</v>
      </c>
      <c r="O99" s="1075">
        <f>市町実質!I29</f>
        <v>1195084</v>
      </c>
      <c r="P99" s="1075">
        <f>市町実質!J29</f>
        <v>1209959</v>
      </c>
      <c r="Q99" s="1075">
        <f>市町実質!K29</f>
        <v>1150727</v>
      </c>
      <c r="R99" s="1075">
        <f>市町実質!L29</f>
        <v>1130600</v>
      </c>
      <c r="S99" s="1075">
        <f>市町実質!M29</f>
        <v>1244766</v>
      </c>
      <c r="T99" s="1075">
        <f>市町実質!N29</f>
        <v>1247478</v>
      </c>
    </row>
    <row r="100" spans="1:20">
      <c r="A100" s="75">
        <v>210</v>
      </c>
      <c r="B100" s="75" t="s">
        <v>194</v>
      </c>
      <c r="C100" s="456">
        <v>873512</v>
      </c>
      <c r="D100" s="456">
        <v>938240</v>
      </c>
      <c r="E100" s="456">
        <v>944877</v>
      </c>
      <c r="F100" s="456">
        <v>739303</v>
      </c>
      <c r="G100" s="456">
        <v>821921</v>
      </c>
      <c r="H100" s="1075">
        <f>市町実質!B30</f>
        <v>763503</v>
      </c>
      <c r="I100" s="1075">
        <f>市町実質!C30</f>
        <v>763255</v>
      </c>
      <c r="J100" s="1075">
        <f>市町実質!D30</f>
        <v>832746</v>
      </c>
      <c r="K100" s="1075">
        <f>市町実質!E30</f>
        <v>819563</v>
      </c>
      <c r="L100" s="1075">
        <f>市町実質!F30</f>
        <v>823644</v>
      </c>
      <c r="M100" s="1075">
        <f>市町実質!G30</f>
        <v>856605</v>
      </c>
      <c r="N100" s="1075">
        <f>市町実質!H30</f>
        <v>876570</v>
      </c>
      <c r="O100" s="1075">
        <f>市町実質!I30</f>
        <v>893693</v>
      </c>
      <c r="P100" s="1075">
        <f>市町実質!J30</f>
        <v>891752</v>
      </c>
      <c r="Q100" s="1075">
        <f>市町実質!K30</f>
        <v>844101</v>
      </c>
      <c r="R100" s="1075">
        <f>市町実質!L30</f>
        <v>833867</v>
      </c>
      <c r="S100" s="1075">
        <f>市町実質!M30</f>
        <v>837326</v>
      </c>
      <c r="T100" s="1075">
        <f>市町実質!N30</f>
        <v>832739</v>
      </c>
    </row>
    <row r="101" spans="1:20">
      <c r="A101" s="75">
        <v>216</v>
      </c>
      <c r="B101" s="75" t="s">
        <v>195</v>
      </c>
      <c r="C101" s="456">
        <v>561791</v>
      </c>
      <c r="D101" s="456">
        <v>600138</v>
      </c>
      <c r="E101" s="456">
        <v>628688</v>
      </c>
      <c r="F101" s="456">
        <v>582135</v>
      </c>
      <c r="G101" s="456">
        <v>632787</v>
      </c>
      <c r="H101" s="1075">
        <f>市町実質!B31</f>
        <v>600615</v>
      </c>
      <c r="I101" s="1075">
        <f>市町実質!C31</f>
        <v>633794</v>
      </c>
      <c r="J101" s="1075">
        <f>市町実質!D31</f>
        <v>633960</v>
      </c>
      <c r="K101" s="1075">
        <f>市町実質!E31</f>
        <v>555023</v>
      </c>
      <c r="L101" s="1075">
        <f>市町実質!F31</f>
        <v>592330</v>
      </c>
      <c r="M101" s="1075">
        <f>市町実質!G31</f>
        <v>546536</v>
      </c>
      <c r="N101" s="1075">
        <f>市町実質!H31</f>
        <v>539109</v>
      </c>
      <c r="O101" s="1075">
        <f>市町実質!I31</f>
        <v>518084</v>
      </c>
      <c r="P101" s="1075">
        <f>市町実質!J31</f>
        <v>529858</v>
      </c>
      <c r="Q101" s="1075">
        <f>市町実質!K31</f>
        <v>579546</v>
      </c>
      <c r="R101" s="1075">
        <f>市町実質!L31</f>
        <v>544491</v>
      </c>
      <c r="S101" s="1075">
        <f>市町実質!M31</f>
        <v>596784</v>
      </c>
      <c r="T101" s="1075">
        <f>市町実質!N31</f>
        <v>503321</v>
      </c>
    </row>
    <row r="102" spans="1:20">
      <c r="A102" s="75">
        <v>381</v>
      </c>
      <c r="B102" s="75" t="s">
        <v>196</v>
      </c>
      <c r="C102" s="456">
        <v>143758</v>
      </c>
      <c r="D102" s="456">
        <v>151170</v>
      </c>
      <c r="E102" s="456">
        <v>143899</v>
      </c>
      <c r="F102" s="456">
        <v>123176</v>
      </c>
      <c r="G102" s="456">
        <v>135660</v>
      </c>
      <c r="H102" s="1075">
        <f>市町実質!B32</f>
        <v>154354</v>
      </c>
      <c r="I102" s="1075">
        <f>市町実質!C32</f>
        <v>165205</v>
      </c>
      <c r="J102" s="1075">
        <f>市町実質!D32</f>
        <v>171447</v>
      </c>
      <c r="K102" s="1075">
        <f>市町実質!E32</f>
        <v>174014</v>
      </c>
      <c r="L102" s="1075">
        <f>市町実質!F32</f>
        <v>190934</v>
      </c>
      <c r="M102" s="1075">
        <f>市町実質!G32</f>
        <v>177610</v>
      </c>
      <c r="N102" s="1075">
        <f>市町実質!H32</f>
        <v>183782</v>
      </c>
      <c r="O102" s="1075">
        <f>市町実質!I32</f>
        <v>182660</v>
      </c>
      <c r="P102" s="1075">
        <f>市町実質!J32</f>
        <v>174964</v>
      </c>
      <c r="Q102" s="1075">
        <f>市町実質!K32</f>
        <v>148914</v>
      </c>
      <c r="R102" s="1075">
        <f>市町実質!L32</f>
        <v>167083</v>
      </c>
      <c r="S102" s="1075">
        <f>市町実質!M32</f>
        <v>167771</v>
      </c>
      <c r="T102" s="1075">
        <f>市町実質!N32</f>
        <v>166957</v>
      </c>
    </row>
    <row r="103" spans="1:20">
      <c r="A103" s="75">
        <v>382</v>
      </c>
      <c r="B103" s="75" t="s">
        <v>197</v>
      </c>
      <c r="C103" s="456">
        <v>135986</v>
      </c>
      <c r="D103" s="456">
        <v>137625</v>
      </c>
      <c r="E103" s="456">
        <v>143264</v>
      </c>
      <c r="F103" s="456">
        <v>134940</v>
      </c>
      <c r="G103" s="456">
        <v>117959</v>
      </c>
      <c r="H103" s="1075">
        <f>市町実質!B33</f>
        <v>123059</v>
      </c>
      <c r="I103" s="1075">
        <f>市町実質!C33</f>
        <v>141046</v>
      </c>
      <c r="J103" s="1075">
        <f>市町実質!D33</f>
        <v>141200</v>
      </c>
      <c r="K103" s="1075">
        <f>市町実質!E33</f>
        <v>158782</v>
      </c>
      <c r="L103" s="1075">
        <f>市町実質!F33</f>
        <v>159917</v>
      </c>
      <c r="M103" s="1075">
        <f>市町実質!G33</f>
        <v>159390</v>
      </c>
      <c r="N103" s="1075">
        <f>市町実質!H33</f>
        <v>168052</v>
      </c>
      <c r="O103" s="1075">
        <f>市町実質!I33</f>
        <v>175029</v>
      </c>
      <c r="P103" s="1075">
        <f>市町実質!J33</f>
        <v>182432</v>
      </c>
      <c r="Q103" s="1075">
        <f>市町実質!K33</f>
        <v>205718</v>
      </c>
      <c r="R103" s="1075">
        <f>市町実質!L33</f>
        <v>246024</v>
      </c>
      <c r="S103" s="1075">
        <f>市町実質!M33</f>
        <v>278763</v>
      </c>
      <c r="T103" s="1075">
        <f>市町実質!N33</f>
        <v>258935</v>
      </c>
    </row>
    <row r="104" spans="1:20">
      <c r="A104" s="75">
        <v>4</v>
      </c>
      <c r="B104" s="75" t="s">
        <v>198</v>
      </c>
      <c r="C104" s="1071">
        <f t="shared" ref="C104:H104" si="231">SUM(C105:C110)</f>
        <v>1191651</v>
      </c>
      <c r="D104" s="1071">
        <f t="shared" si="231"/>
        <v>1221515</v>
      </c>
      <c r="E104" s="1071">
        <f t="shared" si="231"/>
        <v>1198607</v>
      </c>
      <c r="F104" s="1071">
        <f t="shared" si="231"/>
        <v>1146172</v>
      </c>
      <c r="G104" s="1071">
        <f t="shared" si="231"/>
        <v>1190688</v>
      </c>
      <c r="H104" s="1071">
        <f t="shared" si="231"/>
        <v>1149883</v>
      </c>
      <c r="I104" s="1071">
        <f t="shared" ref="I104:T104" si="232">SUM(I105:I110)</f>
        <v>1133747</v>
      </c>
      <c r="J104" s="1071">
        <f t="shared" si="232"/>
        <v>1194562</v>
      </c>
      <c r="K104" s="1071">
        <f t="shared" si="232"/>
        <v>1170689</v>
      </c>
      <c r="L104" s="1071">
        <f t="shared" si="232"/>
        <v>1198719</v>
      </c>
      <c r="M104" s="1071">
        <f t="shared" si="232"/>
        <v>1258017</v>
      </c>
      <c r="N104" s="1071">
        <f t="shared" si="232"/>
        <v>1311546</v>
      </c>
      <c r="O104" s="1071">
        <f t="shared" si="232"/>
        <v>1296116</v>
      </c>
      <c r="P104" s="1071">
        <f t="shared" si="232"/>
        <v>1304482</v>
      </c>
      <c r="Q104" s="1071">
        <f t="shared" si="232"/>
        <v>1280998</v>
      </c>
      <c r="R104" s="1071">
        <f t="shared" si="232"/>
        <v>1302930</v>
      </c>
      <c r="S104" s="1071">
        <f t="shared" si="232"/>
        <v>1278266</v>
      </c>
      <c r="T104" s="1071">
        <f t="shared" si="232"/>
        <v>1295760</v>
      </c>
    </row>
    <row r="105" spans="1:20">
      <c r="A105" s="75">
        <v>213</v>
      </c>
      <c r="B105" s="75" t="s">
        <v>231</v>
      </c>
      <c r="C105" s="456">
        <v>160969</v>
      </c>
      <c r="D105" s="456">
        <v>168564</v>
      </c>
      <c r="E105" s="456">
        <v>158835</v>
      </c>
      <c r="F105" s="456">
        <v>151747</v>
      </c>
      <c r="G105" s="456">
        <v>156565</v>
      </c>
      <c r="H105" s="1075">
        <f>市町実質!B35</f>
        <v>134299</v>
      </c>
      <c r="I105" s="1075">
        <f>市町実質!C35</f>
        <v>135200</v>
      </c>
      <c r="J105" s="1075">
        <f>市町実質!D35</f>
        <v>152739</v>
      </c>
      <c r="K105" s="1075">
        <f>市町実質!E35</f>
        <v>137294</v>
      </c>
      <c r="L105" s="1075">
        <f>市町実質!F35</f>
        <v>145201</v>
      </c>
      <c r="M105" s="1075">
        <f>市町実質!G35</f>
        <v>142830</v>
      </c>
      <c r="N105" s="1075">
        <f>市町実質!H35</f>
        <v>142527</v>
      </c>
      <c r="O105" s="1075">
        <f>市町実質!I35</f>
        <v>142431</v>
      </c>
      <c r="P105" s="1075">
        <f>市町実質!J35</f>
        <v>150762</v>
      </c>
      <c r="Q105" s="1075">
        <f>市町実質!K35</f>
        <v>143632</v>
      </c>
      <c r="R105" s="1075">
        <f>市町実質!L35</f>
        <v>145275</v>
      </c>
      <c r="S105" s="1075">
        <f>市町実質!M35</f>
        <v>148042</v>
      </c>
      <c r="T105" s="1075">
        <f>市町実質!N35</f>
        <v>152251</v>
      </c>
    </row>
    <row r="106" spans="1:20">
      <c r="A106" s="75">
        <v>215</v>
      </c>
      <c r="B106" s="75" t="s">
        <v>232</v>
      </c>
      <c r="C106" s="456">
        <v>282043</v>
      </c>
      <c r="D106" s="456">
        <v>291846</v>
      </c>
      <c r="E106" s="456">
        <v>286522</v>
      </c>
      <c r="F106" s="456">
        <v>270277</v>
      </c>
      <c r="G106" s="456">
        <v>279192</v>
      </c>
      <c r="H106" s="1075">
        <f>市町実質!B36</f>
        <v>272658</v>
      </c>
      <c r="I106" s="1075">
        <f>市町実質!C36</f>
        <v>273844</v>
      </c>
      <c r="J106" s="1075">
        <f>市町実質!D36</f>
        <v>279728</v>
      </c>
      <c r="K106" s="1075">
        <f>市町実質!E36</f>
        <v>268935</v>
      </c>
      <c r="L106" s="1075">
        <f>市町実質!F36</f>
        <v>285393</v>
      </c>
      <c r="M106" s="1075">
        <f>市町実質!G36</f>
        <v>296226</v>
      </c>
      <c r="N106" s="1075">
        <f>市町実質!H36</f>
        <v>304799</v>
      </c>
      <c r="O106" s="1075">
        <f>市町実質!I36</f>
        <v>308317</v>
      </c>
      <c r="P106" s="1075">
        <f>市町実質!J36</f>
        <v>307588</v>
      </c>
      <c r="Q106" s="1075">
        <f>市町実質!K36</f>
        <v>312015</v>
      </c>
      <c r="R106" s="1075">
        <f>市町実質!L36</f>
        <v>317209</v>
      </c>
      <c r="S106" s="1075">
        <f>市町実質!M36</f>
        <v>317089</v>
      </c>
      <c r="T106" s="1075">
        <f>市町実質!N36</f>
        <v>315832</v>
      </c>
    </row>
    <row r="107" spans="1:20">
      <c r="A107" s="75">
        <v>218</v>
      </c>
      <c r="B107" s="75" t="s">
        <v>200</v>
      </c>
      <c r="C107" s="456">
        <v>224087</v>
      </c>
      <c r="D107" s="456">
        <v>231628</v>
      </c>
      <c r="E107" s="456">
        <v>233943</v>
      </c>
      <c r="F107" s="456">
        <v>220681</v>
      </c>
      <c r="G107" s="456">
        <v>229745</v>
      </c>
      <c r="H107" s="1075">
        <f>市町実質!B37</f>
        <v>228179</v>
      </c>
      <c r="I107" s="1075">
        <f>市町実質!C37</f>
        <v>213866</v>
      </c>
      <c r="J107" s="1075">
        <f>市町実質!D37</f>
        <v>238416</v>
      </c>
      <c r="K107" s="1075">
        <f>市町実質!E37</f>
        <v>241954</v>
      </c>
      <c r="L107" s="1075">
        <f>市町実質!F37</f>
        <v>256075</v>
      </c>
      <c r="M107" s="1075">
        <f>市町実質!G37</f>
        <v>252788</v>
      </c>
      <c r="N107" s="1075">
        <f>市町実質!H37</f>
        <v>261573</v>
      </c>
      <c r="O107" s="1075">
        <f>市町実質!I37</f>
        <v>263906</v>
      </c>
      <c r="P107" s="1075">
        <f>市町実質!J37</f>
        <v>262654</v>
      </c>
      <c r="Q107" s="1075">
        <f>市町実質!K37</f>
        <v>249252</v>
      </c>
      <c r="R107" s="1075">
        <f>市町実質!L37</f>
        <v>256456</v>
      </c>
      <c r="S107" s="1075">
        <f>市町実質!M37</f>
        <v>257763</v>
      </c>
      <c r="T107" s="1075">
        <f>市町実質!N37</f>
        <v>283279</v>
      </c>
    </row>
    <row r="108" spans="1:20">
      <c r="A108" s="75">
        <v>220</v>
      </c>
      <c r="B108" s="75" t="s">
        <v>201</v>
      </c>
      <c r="C108" s="456">
        <v>196849</v>
      </c>
      <c r="D108" s="456">
        <v>207139</v>
      </c>
      <c r="E108" s="456">
        <v>202374</v>
      </c>
      <c r="F108" s="456">
        <v>200325</v>
      </c>
      <c r="G108" s="456">
        <v>201289</v>
      </c>
      <c r="H108" s="1075">
        <f>市町実質!B38</f>
        <v>204116</v>
      </c>
      <c r="I108" s="1075">
        <f>市町実質!C38</f>
        <v>209027</v>
      </c>
      <c r="J108" s="1075">
        <f>市町実質!D38</f>
        <v>220827</v>
      </c>
      <c r="K108" s="1075">
        <f>市町実質!E38</f>
        <v>206861</v>
      </c>
      <c r="L108" s="1075">
        <f>市町実質!F38</f>
        <v>210852</v>
      </c>
      <c r="M108" s="1075">
        <f>市町実質!G38</f>
        <v>229522</v>
      </c>
      <c r="N108" s="1075">
        <f>市町実質!H38</f>
        <v>252117</v>
      </c>
      <c r="O108" s="1075">
        <f>市町実質!I38</f>
        <v>254772</v>
      </c>
      <c r="P108" s="1075">
        <f>市町実質!J38</f>
        <v>245992</v>
      </c>
      <c r="Q108" s="1075">
        <f>市町実質!K38</f>
        <v>231352</v>
      </c>
      <c r="R108" s="1075">
        <f>市町実質!L38</f>
        <v>250827</v>
      </c>
      <c r="S108" s="1075">
        <f>市町実質!M38</f>
        <v>239948</v>
      </c>
      <c r="T108" s="1075">
        <f>市町実質!N38</f>
        <v>245565</v>
      </c>
    </row>
    <row r="109" spans="1:20">
      <c r="A109" s="75">
        <v>228</v>
      </c>
      <c r="B109" s="75" t="s">
        <v>239</v>
      </c>
      <c r="C109" s="456">
        <v>262033</v>
      </c>
      <c r="D109" s="456">
        <v>255799</v>
      </c>
      <c r="E109" s="456">
        <v>252653</v>
      </c>
      <c r="F109" s="456">
        <v>246676</v>
      </c>
      <c r="G109" s="456">
        <v>264379</v>
      </c>
      <c r="H109" s="1075">
        <f>市町実質!B39</f>
        <v>245838</v>
      </c>
      <c r="I109" s="1075">
        <f>市町実質!C39</f>
        <v>238672</v>
      </c>
      <c r="J109" s="1075">
        <f>市町実質!D39</f>
        <v>238080</v>
      </c>
      <c r="K109" s="1075">
        <f>市町実質!E39</f>
        <v>251263</v>
      </c>
      <c r="L109" s="1075">
        <f>市町実質!F39</f>
        <v>235397</v>
      </c>
      <c r="M109" s="1075">
        <f>市町実質!G39</f>
        <v>269309</v>
      </c>
      <c r="N109" s="1075">
        <f>市町実質!H39</f>
        <v>282158</v>
      </c>
      <c r="O109" s="1075">
        <f>市町実質!I39</f>
        <v>260899</v>
      </c>
      <c r="P109" s="1075">
        <f>市町実質!J39</f>
        <v>271849</v>
      </c>
      <c r="Q109" s="1075">
        <f>市町実質!K39</f>
        <v>279276</v>
      </c>
      <c r="R109" s="1075">
        <f>市町実質!L39</f>
        <v>265034</v>
      </c>
      <c r="S109" s="1075">
        <f>市町実質!M39</f>
        <v>243683</v>
      </c>
      <c r="T109" s="1075">
        <f>市町実質!N39</f>
        <v>228632</v>
      </c>
    </row>
    <row r="110" spans="1:20">
      <c r="A110" s="75">
        <v>365</v>
      </c>
      <c r="B110" s="75" t="s">
        <v>233</v>
      </c>
      <c r="C110" s="456">
        <v>65670</v>
      </c>
      <c r="D110" s="456">
        <v>66539</v>
      </c>
      <c r="E110" s="456">
        <v>64280</v>
      </c>
      <c r="F110" s="456">
        <v>56466</v>
      </c>
      <c r="G110" s="456">
        <v>59518</v>
      </c>
      <c r="H110" s="1075">
        <f>市町実質!B40</f>
        <v>64793</v>
      </c>
      <c r="I110" s="1075">
        <f>市町実質!C40</f>
        <v>63138</v>
      </c>
      <c r="J110" s="1075">
        <f>市町実質!D40</f>
        <v>64772</v>
      </c>
      <c r="K110" s="1075">
        <f>市町実質!E40</f>
        <v>64382</v>
      </c>
      <c r="L110" s="1075">
        <f>市町実質!F40</f>
        <v>65801</v>
      </c>
      <c r="M110" s="1075">
        <f>市町実質!G40</f>
        <v>67342</v>
      </c>
      <c r="N110" s="1075">
        <f>市町実質!H40</f>
        <v>68372</v>
      </c>
      <c r="O110" s="1075">
        <f>市町実質!I40</f>
        <v>65791</v>
      </c>
      <c r="P110" s="1075">
        <f>市町実質!J40</f>
        <v>65637</v>
      </c>
      <c r="Q110" s="1075">
        <f>市町実質!K40</f>
        <v>65471</v>
      </c>
      <c r="R110" s="1075">
        <f>市町実質!L40</f>
        <v>68129</v>
      </c>
      <c r="S110" s="1075">
        <f>市町実質!M40</f>
        <v>71741</v>
      </c>
      <c r="T110" s="1075">
        <f>市町実質!N40</f>
        <v>70201</v>
      </c>
    </row>
    <row r="111" spans="1:20">
      <c r="A111" s="75">
        <v>5</v>
      </c>
      <c r="B111" s="75" t="s">
        <v>202</v>
      </c>
      <c r="C111" s="1071">
        <f t="shared" ref="C111:H111" si="233">SUM(C112:C115)</f>
        <v>2565099</v>
      </c>
      <c r="D111" s="1071">
        <f t="shared" si="233"/>
        <v>2629643</v>
      </c>
      <c r="E111" s="1071">
        <f t="shared" si="233"/>
        <v>2708790</v>
      </c>
      <c r="F111" s="1071">
        <f t="shared" si="233"/>
        <v>2370256</v>
      </c>
      <c r="G111" s="1071">
        <f t="shared" si="233"/>
        <v>2584373</v>
      </c>
      <c r="H111" s="1071">
        <f t="shared" si="233"/>
        <v>2459071</v>
      </c>
      <c r="I111" s="1071">
        <f t="shared" ref="I111:T111" si="234">SUM(I112:I115)</f>
        <v>2401066</v>
      </c>
      <c r="J111" s="1071">
        <f t="shared" si="234"/>
        <v>2604440</v>
      </c>
      <c r="K111" s="1071">
        <f t="shared" si="234"/>
        <v>2577285</v>
      </c>
      <c r="L111" s="1071">
        <f t="shared" si="234"/>
        <v>2610540</v>
      </c>
      <c r="M111" s="1071">
        <f t="shared" si="234"/>
        <v>2667693</v>
      </c>
      <c r="N111" s="1071">
        <f t="shared" si="234"/>
        <v>2678688</v>
      </c>
      <c r="O111" s="1071">
        <f t="shared" si="234"/>
        <v>2674020</v>
      </c>
      <c r="P111" s="1071">
        <f t="shared" si="234"/>
        <v>2636461</v>
      </c>
      <c r="Q111" s="1071">
        <f t="shared" si="234"/>
        <v>2555353</v>
      </c>
      <c r="R111" s="1071">
        <f t="shared" si="234"/>
        <v>2786293</v>
      </c>
      <c r="S111" s="1071">
        <f t="shared" si="234"/>
        <v>2841392</v>
      </c>
      <c r="T111" s="1071">
        <f t="shared" si="234"/>
        <v>2800023</v>
      </c>
    </row>
    <row r="112" spans="1:20">
      <c r="A112" s="75">
        <v>201</v>
      </c>
      <c r="B112" s="75" t="s">
        <v>240</v>
      </c>
      <c r="C112" s="456">
        <v>2343985</v>
      </c>
      <c r="D112" s="456">
        <v>2401762</v>
      </c>
      <c r="E112" s="456">
        <v>2486444</v>
      </c>
      <c r="F112" s="456">
        <v>2162776</v>
      </c>
      <c r="G112" s="456">
        <v>2358630</v>
      </c>
      <c r="H112" s="1075">
        <f>市町実質!B42</f>
        <v>2234684</v>
      </c>
      <c r="I112" s="1075">
        <f>市町実質!C42</f>
        <v>2187140</v>
      </c>
      <c r="J112" s="1075">
        <f>市町実質!D42</f>
        <v>2364893</v>
      </c>
      <c r="K112" s="1075">
        <f>市町実質!E42</f>
        <v>2343983</v>
      </c>
      <c r="L112" s="1075">
        <f>市町実質!F42</f>
        <v>2373356</v>
      </c>
      <c r="M112" s="1075">
        <f>市町実質!G42</f>
        <v>2416105</v>
      </c>
      <c r="N112" s="1075">
        <f>市町実質!H42</f>
        <v>2418738</v>
      </c>
      <c r="O112" s="1075">
        <f>市町実質!I42</f>
        <v>2415294</v>
      </c>
      <c r="P112" s="1075">
        <f>市町実質!J42</f>
        <v>2379942</v>
      </c>
      <c r="Q112" s="1075">
        <f>市町実質!K42</f>
        <v>2313504</v>
      </c>
      <c r="R112" s="1075">
        <f>市町実質!L42</f>
        <v>2536957</v>
      </c>
      <c r="S112" s="1075">
        <f>市町実質!M42</f>
        <v>2580391</v>
      </c>
      <c r="T112" s="1075">
        <f>市町実質!N42</f>
        <v>2538680</v>
      </c>
    </row>
    <row r="113" spans="1:20">
      <c r="A113" s="75">
        <v>442</v>
      </c>
      <c r="B113" s="75" t="s">
        <v>203</v>
      </c>
      <c r="C113" s="456">
        <v>42282</v>
      </c>
      <c r="D113" s="456">
        <v>41565</v>
      </c>
      <c r="E113" s="456">
        <v>39406</v>
      </c>
      <c r="F113" s="456">
        <v>35287</v>
      </c>
      <c r="G113" s="456">
        <v>33945</v>
      </c>
      <c r="H113" s="1075">
        <f>市町実質!B43</f>
        <v>32871</v>
      </c>
      <c r="I113" s="1075">
        <f>市町実質!C43</f>
        <v>34832</v>
      </c>
      <c r="J113" s="1075">
        <f>市町実質!D43</f>
        <v>38275</v>
      </c>
      <c r="K113" s="1075">
        <f>市町実質!E43</f>
        <v>36006</v>
      </c>
      <c r="L113" s="1075">
        <f>市町実質!F43</f>
        <v>35471</v>
      </c>
      <c r="M113" s="1075">
        <f>市町実質!G43</f>
        <v>37669</v>
      </c>
      <c r="N113" s="1075">
        <f>市町実質!H43</f>
        <v>37791</v>
      </c>
      <c r="O113" s="1075">
        <f>市町実質!I43</f>
        <v>38676</v>
      </c>
      <c r="P113" s="1075">
        <f>市町実質!J43</f>
        <v>39413</v>
      </c>
      <c r="Q113" s="1075">
        <f>市町実質!K43</f>
        <v>37663</v>
      </c>
      <c r="R113" s="1075">
        <f>市町実質!L43</f>
        <v>41431</v>
      </c>
      <c r="S113" s="1075">
        <f>市町実質!M43</f>
        <v>41362</v>
      </c>
      <c r="T113" s="1075">
        <f>市町実質!N43</f>
        <v>42664</v>
      </c>
    </row>
    <row r="114" spans="1:20">
      <c r="A114" s="75">
        <v>443</v>
      </c>
      <c r="B114" s="75" t="s">
        <v>204</v>
      </c>
      <c r="C114" s="456">
        <v>143795</v>
      </c>
      <c r="D114" s="456">
        <v>152139</v>
      </c>
      <c r="E114" s="456">
        <v>149147</v>
      </c>
      <c r="F114" s="456">
        <v>139072</v>
      </c>
      <c r="G114" s="456">
        <v>159515</v>
      </c>
      <c r="H114" s="1075">
        <f>市町実質!B44</f>
        <v>161587</v>
      </c>
      <c r="I114" s="1075">
        <f>市町実質!C44</f>
        <v>150783</v>
      </c>
      <c r="J114" s="1075">
        <f>市町実質!D44</f>
        <v>169840</v>
      </c>
      <c r="K114" s="1075">
        <f>市町実質!E44</f>
        <v>166720</v>
      </c>
      <c r="L114" s="1075">
        <f>市町実質!F44</f>
        <v>169338</v>
      </c>
      <c r="M114" s="1075">
        <f>市町実質!G44</f>
        <v>182107</v>
      </c>
      <c r="N114" s="1075">
        <f>市町実質!H44</f>
        <v>189225</v>
      </c>
      <c r="O114" s="1075">
        <f>市町実質!I44</f>
        <v>187396</v>
      </c>
      <c r="P114" s="1075">
        <f>市町実質!J44</f>
        <v>185515</v>
      </c>
      <c r="Q114" s="1075">
        <f>市町実質!K44</f>
        <v>172904</v>
      </c>
      <c r="R114" s="1075">
        <f>市町実質!L44</f>
        <v>175217</v>
      </c>
      <c r="S114" s="1075">
        <f>市町実質!M44</f>
        <v>184251</v>
      </c>
      <c r="T114" s="1075">
        <f>市町実質!N44</f>
        <v>182741</v>
      </c>
    </row>
    <row r="115" spans="1:20">
      <c r="A115" s="75">
        <v>446</v>
      </c>
      <c r="B115" s="75" t="s">
        <v>234</v>
      </c>
      <c r="C115" s="456">
        <v>35037</v>
      </c>
      <c r="D115" s="456">
        <v>34177</v>
      </c>
      <c r="E115" s="456">
        <v>33793</v>
      </c>
      <c r="F115" s="456">
        <v>33121</v>
      </c>
      <c r="G115" s="456">
        <v>32283</v>
      </c>
      <c r="H115" s="1075">
        <f>市町実質!B45</f>
        <v>29929</v>
      </c>
      <c r="I115" s="1075">
        <f>市町実質!C45</f>
        <v>28311</v>
      </c>
      <c r="J115" s="1075">
        <f>市町実質!D45</f>
        <v>31432</v>
      </c>
      <c r="K115" s="1075">
        <f>市町実質!E45</f>
        <v>30576</v>
      </c>
      <c r="L115" s="1075">
        <f>市町実質!F45</f>
        <v>32375</v>
      </c>
      <c r="M115" s="1075">
        <f>市町実質!G45</f>
        <v>31812</v>
      </c>
      <c r="N115" s="1075">
        <f>市町実質!H45</f>
        <v>32934</v>
      </c>
      <c r="O115" s="1075">
        <f>市町実質!I45</f>
        <v>32654</v>
      </c>
      <c r="P115" s="1075">
        <f>市町実質!J45</f>
        <v>31591</v>
      </c>
      <c r="Q115" s="1075">
        <f>市町実質!K45</f>
        <v>31282</v>
      </c>
      <c r="R115" s="1075">
        <f>市町実質!L45</f>
        <v>32688</v>
      </c>
      <c r="S115" s="1075">
        <f>市町実質!M45</f>
        <v>35388</v>
      </c>
      <c r="T115" s="1075">
        <f>市町実質!N45</f>
        <v>35938</v>
      </c>
    </row>
    <row r="116" spans="1:20">
      <c r="A116" s="75">
        <v>6</v>
      </c>
      <c r="B116" s="75" t="s">
        <v>205</v>
      </c>
      <c r="C116" s="1071">
        <f t="shared" ref="C116:H116" si="235">SUM(C117:C123)</f>
        <v>988227</v>
      </c>
      <c r="D116" s="1071">
        <f t="shared" si="235"/>
        <v>1013274</v>
      </c>
      <c r="E116" s="1071">
        <f t="shared" si="235"/>
        <v>973912</v>
      </c>
      <c r="F116" s="1071">
        <f t="shared" si="235"/>
        <v>935893</v>
      </c>
      <c r="G116" s="1071">
        <f t="shared" si="235"/>
        <v>993858</v>
      </c>
      <c r="H116" s="1071">
        <f t="shared" si="235"/>
        <v>985923</v>
      </c>
      <c r="I116" s="1071">
        <f t="shared" ref="I116:T116" si="236">SUM(I117:I123)</f>
        <v>990496</v>
      </c>
      <c r="J116" s="1071">
        <f t="shared" si="236"/>
        <v>999464</v>
      </c>
      <c r="K116" s="1071">
        <f t="shared" si="236"/>
        <v>1000895</v>
      </c>
      <c r="L116" s="1071">
        <f t="shared" si="236"/>
        <v>1016695</v>
      </c>
      <c r="M116" s="1071">
        <f t="shared" si="236"/>
        <v>1021266</v>
      </c>
      <c r="N116" s="1071">
        <f t="shared" si="236"/>
        <v>1065673</v>
      </c>
      <c r="O116" s="1071">
        <f t="shared" si="236"/>
        <v>1070880</v>
      </c>
      <c r="P116" s="1071">
        <f t="shared" si="236"/>
        <v>1075264</v>
      </c>
      <c r="Q116" s="1071">
        <f t="shared" si="236"/>
        <v>1084785</v>
      </c>
      <c r="R116" s="1071">
        <f t="shared" si="236"/>
        <v>1112726</v>
      </c>
      <c r="S116" s="1071">
        <f t="shared" si="236"/>
        <v>1087411</v>
      </c>
      <c r="T116" s="1071">
        <f t="shared" si="236"/>
        <v>1079374</v>
      </c>
    </row>
    <row r="117" spans="1:20">
      <c r="A117" s="75">
        <v>208</v>
      </c>
      <c r="B117" s="75" t="s">
        <v>206</v>
      </c>
      <c r="C117" s="456">
        <v>134645</v>
      </c>
      <c r="D117" s="456">
        <v>137303</v>
      </c>
      <c r="E117" s="456">
        <v>133800</v>
      </c>
      <c r="F117" s="456">
        <v>130528</v>
      </c>
      <c r="G117" s="456">
        <v>129851</v>
      </c>
      <c r="H117" s="1075">
        <f>市町実質!B47</f>
        <v>101660</v>
      </c>
      <c r="I117" s="1075">
        <f>市町実質!C47</f>
        <v>105516</v>
      </c>
      <c r="J117" s="1075">
        <f>市町実質!D47</f>
        <v>101989</v>
      </c>
      <c r="K117" s="1075">
        <f>市町実質!E47</f>
        <v>117202</v>
      </c>
      <c r="L117" s="1075">
        <f>市町実質!F47</f>
        <v>143741</v>
      </c>
      <c r="M117" s="1075">
        <f>市町実質!G47</f>
        <v>108138</v>
      </c>
      <c r="N117" s="1075">
        <f>市町実質!H47</f>
        <v>118374</v>
      </c>
      <c r="O117" s="1075">
        <f>市町実質!I47</f>
        <v>138507</v>
      </c>
      <c r="P117" s="1075">
        <f>市町実質!J47</f>
        <v>144899</v>
      </c>
      <c r="Q117" s="1075">
        <f>市町実質!K47</f>
        <v>170672</v>
      </c>
      <c r="R117" s="1075">
        <f>市町実質!L47</f>
        <v>178865</v>
      </c>
      <c r="S117" s="1075">
        <f>市町実質!M47</f>
        <v>188336</v>
      </c>
      <c r="T117" s="1075">
        <f>市町実質!N47</f>
        <v>172468</v>
      </c>
    </row>
    <row r="118" spans="1:20">
      <c r="A118" s="75">
        <v>212</v>
      </c>
      <c r="B118" s="75" t="s">
        <v>207</v>
      </c>
      <c r="C118" s="456">
        <v>197272</v>
      </c>
      <c r="D118" s="456">
        <v>196671</v>
      </c>
      <c r="E118" s="456">
        <v>188742</v>
      </c>
      <c r="F118" s="456">
        <v>196730</v>
      </c>
      <c r="G118" s="456">
        <v>217352</v>
      </c>
      <c r="H118" s="1075">
        <f>市町実質!B48</f>
        <v>217837</v>
      </c>
      <c r="I118" s="1075">
        <f>市町実質!C48</f>
        <v>222509</v>
      </c>
      <c r="J118" s="1075">
        <f>市町実質!D48</f>
        <v>229233</v>
      </c>
      <c r="K118" s="1075">
        <f>市町実質!E48</f>
        <v>220153</v>
      </c>
      <c r="L118" s="1075">
        <f>市町実質!F48</f>
        <v>227246</v>
      </c>
      <c r="M118" s="1075">
        <f>市町実質!G48</f>
        <v>234268</v>
      </c>
      <c r="N118" s="1075">
        <f>市町実質!H48</f>
        <v>241892</v>
      </c>
      <c r="O118" s="1075">
        <f>市町実質!I48</f>
        <v>235359</v>
      </c>
      <c r="P118" s="1075">
        <f>市町実質!J48</f>
        <v>239108</v>
      </c>
      <c r="Q118" s="1075">
        <f>市町実質!K48</f>
        <v>238405</v>
      </c>
      <c r="R118" s="1075">
        <f>市町実質!L48</f>
        <v>229314</v>
      </c>
      <c r="S118" s="1075">
        <f>市町実質!M48</f>
        <v>232792</v>
      </c>
      <c r="T118" s="1075">
        <f>市町実質!N48</f>
        <v>235344</v>
      </c>
    </row>
    <row r="119" spans="1:20">
      <c r="A119" s="75">
        <v>227</v>
      </c>
      <c r="B119" s="75" t="s">
        <v>219</v>
      </c>
      <c r="C119" s="456">
        <v>127648</v>
      </c>
      <c r="D119" s="456">
        <v>130777</v>
      </c>
      <c r="E119" s="456">
        <v>123204</v>
      </c>
      <c r="F119" s="456">
        <v>118547</v>
      </c>
      <c r="G119" s="456">
        <v>119222</v>
      </c>
      <c r="H119" s="1075">
        <f>市町実質!B49</f>
        <v>117611</v>
      </c>
      <c r="I119" s="1075">
        <f>市町実質!C49</f>
        <v>120622</v>
      </c>
      <c r="J119" s="1075">
        <f>市町実質!D49</f>
        <v>126515</v>
      </c>
      <c r="K119" s="1075">
        <f>市町実質!E49</f>
        <v>122027</v>
      </c>
      <c r="L119" s="1075">
        <f>市町実質!F49</f>
        <v>121660</v>
      </c>
      <c r="M119" s="1075">
        <f>市町実質!G49</f>
        <v>120912</v>
      </c>
      <c r="N119" s="1075">
        <f>市町実質!H49</f>
        <v>120106</v>
      </c>
      <c r="O119" s="1075">
        <f>市町実質!I49</f>
        <v>122075</v>
      </c>
      <c r="P119" s="1075">
        <f>市町実質!J49</f>
        <v>118852</v>
      </c>
      <c r="Q119" s="1075">
        <f>市町実質!K49</f>
        <v>110319</v>
      </c>
      <c r="R119" s="1075">
        <f>市町実質!L49</f>
        <v>116475</v>
      </c>
      <c r="S119" s="1075">
        <f>市町実質!M49</f>
        <v>118116</v>
      </c>
      <c r="T119" s="1075">
        <f>市町実質!N49</f>
        <v>117480</v>
      </c>
    </row>
    <row r="120" spans="1:20">
      <c r="A120" s="75">
        <v>229</v>
      </c>
      <c r="B120" s="75" t="s">
        <v>235</v>
      </c>
      <c r="C120" s="456">
        <v>314474</v>
      </c>
      <c r="D120" s="456">
        <v>325690</v>
      </c>
      <c r="E120" s="456">
        <v>322719</v>
      </c>
      <c r="F120" s="456">
        <v>295025</v>
      </c>
      <c r="G120" s="456">
        <v>316722</v>
      </c>
      <c r="H120" s="1075">
        <f>市町実質!B50</f>
        <v>335310</v>
      </c>
      <c r="I120" s="1075">
        <f>市町実質!C50</f>
        <v>333286</v>
      </c>
      <c r="J120" s="1075">
        <f>市町実質!D50</f>
        <v>342886</v>
      </c>
      <c r="K120" s="1075">
        <f>市町実質!E50</f>
        <v>334206</v>
      </c>
      <c r="L120" s="1075">
        <f>市町実質!F50</f>
        <v>353318</v>
      </c>
      <c r="M120" s="1075">
        <f>市町実質!G50</f>
        <v>358818</v>
      </c>
      <c r="N120" s="1075">
        <f>市町実質!H50</f>
        <v>367045</v>
      </c>
      <c r="O120" s="1075">
        <f>市町実質!I50</f>
        <v>355033</v>
      </c>
      <c r="P120" s="1075">
        <f>市町実質!J50</f>
        <v>357650</v>
      </c>
      <c r="Q120" s="1075">
        <f>市町実質!K50</f>
        <v>344968</v>
      </c>
      <c r="R120" s="1075">
        <f>市町実質!L50</f>
        <v>341788</v>
      </c>
      <c r="S120" s="1075">
        <f>市町実質!M50</f>
        <v>335224</v>
      </c>
      <c r="T120" s="1075">
        <f>市町実質!N50</f>
        <v>343205</v>
      </c>
    </row>
    <row r="121" spans="1:20">
      <c r="A121" s="75">
        <v>464</v>
      </c>
      <c r="B121" s="75" t="s">
        <v>208</v>
      </c>
      <c r="C121" s="456">
        <v>105840</v>
      </c>
      <c r="D121" s="456">
        <v>113231</v>
      </c>
      <c r="E121" s="456">
        <v>99953</v>
      </c>
      <c r="F121" s="456">
        <v>92960</v>
      </c>
      <c r="G121" s="456">
        <v>104391</v>
      </c>
      <c r="H121" s="1075">
        <f>市町実質!B51</f>
        <v>110235</v>
      </c>
      <c r="I121" s="1075">
        <f>市町実質!C51</f>
        <v>106466</v>
      </c>
      <c r="J121" s="1075">
        <f>市町実質!D51</f>
        <v>92380</v>
      </c>
      <c r="K121" s="1075">
        <f>市町実質!E51</f>
        <v>98775</v>
      </c>
      <c r="L121" s="1075">
        <f>市町実質!F51</f>
        <v>60245</v>
      </c>
      <c r="M121" s="1075">
        <f>市町実質!G51</f>
        <v>84643</v>
      </c>
      <c r="N121" s="1075">
        <f>市町実質!H51</f>
        <v>103107</v>
      </c>
      <c r="O121" s="1075">
        <f>市町実質!I51</f>
        <v>104127</v>
      </c>
      <c r="P121" s="1075">
        <f>市町実質!J51</f>
        <v>100847</v>
      </c>
      <c r="Q121" s="1075">
        <f>市町実質!K51</f>
        <v>112858</v>
      </c>
      <c r="R121" s="1075">
        <f>市町実質!L51</f>
        <v>131267</v>
      </c>
      <c r="S121" s="1075">
        <f>市町実質!M51</f>
        <v>101039</v>
      </c>
      <c r="T121" s="1075">
        <f>市町実質!N51</f>
        <v>99614</v>
      </c>
    </row>
    <row r="122" spans="1:20">
      <c r="A122" s="75">
        <v>481</v>
      </c>
      <c r="B122" s="75" t="s">
        <v>209</v>
      </c>
      <c r="C122" s="456">
        <v>46342</v>
      </c>
      <c r="D122" s="456">
        <v>47976</v>
      </c>
      <c r="E122" s="456">
        <v>45239</v>
      </c>
      <c r="F122" s="456">
        <v>42805</v>
      </c>
      <c r="G122" s="456">
        <v>43694</v>
      </c>
      <c r="H122" s="1075">
        <f>市町実質!B52</f>
        <v>42095</v>
      </c>
      <c r="I122" s="1075">
        <f>市町実質!C52</f>
        <v>42684</v>
      </c>
      <c r="J122" s="1075">
        <f>市町実質!D52</f>
        <v>44122</v>
      </c>
      <c r="K122" s="1075">
        <f>市町実質!E52</f>
        <v>48127</v>
      </c>
      <c r="L122" s="1075">
        <f>市町実質!F52</f>
        <v>49337</v>
      </c>
      <c r="M122" s="1075">
        <f>市町実質!G52</f>
        <v>53587</v>
      </c>
      <c r="N122" s="1075">
        <f>市町実質!H52</f>
        <v>52379</v>
      </c>
      <c r="O122" s="1075">
        <f>市町実質!I52</f>
        <v>51778</v>
      </c>
      <c r="P122" s="1075">
        <f>市町実質!J52</f>
        <v>50319</v>
      </c>
      <c r="Q122" s="1075">
        <f>市町実質!K52</f>
        <v>49302</v>
      </c>
      <c r="R122" s="1075">
        <f>市町実質!L52</f>
        <v>53900</v>
      </c>
      <c r="S122" s="1075">
        <f>市町実質!M52</f>
        <v>51144</v>
      </c>
      <c r="T122" s="1075">
        <f>市町実質!N52</f>
        <v>49673</v>
      </c>
    </row>
    <row r="123" spans="1:20">
      <c r="A123" s="75">
        <v>501</v>
      </c>
      <c r="B123" s="75" t="s">
        <v>236</v>
      </c>
      <c r="C123" s="456">
        <v>62006</v>
      </c>
      <c r="D123" s="456">
        <v>61626</v>
      </c>
      <c r="E123" s="456">
        <v>60255</v>
      </c>
      <c r="F123" s="456">
        <v>59298</v>
      </c>
      <c r="G123" s="456">
        <v>62626</v>
      </c>
      <c r="H123" s="1075">
        <f>市町実質!B53</f>
        <v>61175</v>
      </c>
      <c r="I123" s="1075">
        <f>市町実質!C53</f>
        <v>59413</v>
      </c>
      <c r="J123" s="1075">
        <f>市町実質!D53</f>
        <v>62339</v>
      </c>
      <c r="K123" s="1075">
        <f>市町実質!E53</f>
        <v>60405</v>
      </c>
      <c r="L123" s="1075">
        <f>市町実質!F53</f>
        <v>61148</v>
      </c>
      <c r="M123" s="1075">
        <f>市町実質!G53</f>
        <v>60900</v>
      </c>
      <c r="N123" s="1075">
        <f>市町実質!H53</f>
        <v>62770</v>
      </c>
      <c r="O123" s="1075">
        <f>市町実質!I53</f>
        <v>64001</v>
      </c>
      <c r="P123" s="1075">
        <f>市町実質!J53</f>
        <v>63589</v>
      </c>
      <c r="Q123" s="1075">
        <f>市町実質!K53</f>
        <v>58261</v>
      </c>
      <c r="R123" s="1075">
        <f>市町実質!L53</f>
        <v>61117</v>
      </c>
      <c r="S123" s="1075">
        <f>市町実質!M53</f>
        <v>60760</v>
      </c>
      <c r="T123" s="1075">
        <f>市町実質!N53</f>
        <v>61590</v>
      </c>
    </row>
    <row r="124" spans="1:20">
      <c r="A124" s="75">
        <v>7</v>
      </c>
      <c r="B124" s="75" t="s">
        <v>210</v>
      </c>
      <c r="C124" s="1071">
        <f t="shared" ref="C124:H124" si="237">SUM(C125:C129)</f>
        <v>635187</v>
      </c>
      <c r="D124" s="1071">
        <f t="shared" si="237"/>
        <v>644104</v>
      </c>
      <c r="E124" s="1071">
        <f t="shared" si="237"/>
        <v>610959</v>
      </c>
      <c r="F124" s="1071">
        <f t="shared" si="237"/>
        <v>582183</v>
      </c>
      <c r="G124" s="1071">
        <f t="shared" si="237"/>
        <v>596840</v>
      </c>
      <c r="H124" s="1071">
        <f t="shared" si="237"/>
        <v>583643</v>
      </c>
      <c r="I124" s="1071">
        <f t="shared" ref="I124:T124" si="238">SUM(I125:I129)</f>
        <v>591296</v>
      </c>
      <c r="J124" s="1071">
        <f t="shared" si="238"/>
        <v>633497</v>
      </c>
      <c r="K124" s="1071">
        <f t="shared" si="238"/>
        <v>622915</v>
      </c>
      <c r="L124" s="1071">
        <f t="shared" si="238"/>
        <v>630529</v>
      </c>
      <c r="M124" s="1071">
        <f t="shared" si="238"/>
        <v>621925</v>
      </c>
      <c r="N124" s="1071">
        <f t="shared" si="238"/>
        <v>636953</v>
      </c>
      <c r="O124" s="1071">
        <f t="shared" si="238"/>
        <v>625127</v>
      </c>
      <c r="P124" s="1071">
        <f t="shared" si="238"/>
        <v>633509</v>
      </c>
      <c r="Q124" s="1071">
        <f t="shared" si="238"/>
        <v>630050</v>
      </c>
      <c r="R124" s="1071">
        <f t="shared" si="238"/>
        <v>596697</v>
      </c>
      <c r="S124" s="1071">
        <f t="shared" si="238"/>
        <v>581246</v>
      </c>
      <c r="T124" s="1071">
        <f t="shared" si="238"/>
        <v>577235</v>
      </c>
    </row>
    <row r="125" spans="1:20">
      <c r="A125" s="75">
        <v>209</v>
      </c>
      <c r="B125" s="75" t="s">
        <v>221</v>
      </c>
      <c r="C125" s="456">
        <v>310654</v>
      </c>
      <c r="D125" s="456">
        <v>313198</v>
      </c>
      <c r="E125" s="456">
        <v>300167</v>
      </c>
      <c r="F125" s="456">
        <v>288547</v>
      </c>
      <c r="G125" s="456">
        <v>294522</v>
      </c>
      <c r="H125" s="1075">
        <f>市町実質!B55</f>
        <v>283014</v>
      </c>
      <c r="I125" s="1075">
        <f>市町実質!C55</f>
        <v>290473</v>
      </c>
      <c r="J125" s="1075">
        <f>市町実質!D55</f>
        <v>312298</v>
      </c>
      <c r="K125" s="1075">
        <f>市町実質!E55</f>
        <v>299759</v>
      </c>
      <c r="L125" s="1075">
        <f>市町実質!F55</f>
        <v>309732</v>
      </c>
      <c r="M125" s="1075">
        <f>市町実質!G55</f>
        <v>310071</v>
      </c>
      <c r="N125" s="1075">
        <f>市町実質!H55</f>
        <v>311979</v>
      </c>
      <c r="O125" s="1075">
        <f>市町実質!I55</f>
        <v>311104</v>
      </c>
      <c r="P125" s="1075">
        <f>市町実質!J55</f>
        <v>311388</v>
      </c>
      <c r="Q125" s="1075">
        <f>市町実質!K55</f>
        <v>292787</v>
      </c>
      <c r="R125" s="1075">
        <f>市町実質!L55</f>
        <v>294985</v>
      </c>
      <c r="S125" s="1075">
        <f>市町実質!M55</f>
        <v>291536</v>
      </c>
      <c r="T125" s="1075">
        <f>市町実質!N55</f>
        <v>293009</v>
      </c>
    </row>
    <row r="126" spans="1:20">
      <c r="A126" s="75">
        <v>222</v>
      </c>
      <c r="B126" s="75" t="s">
        <v>218</v>
      </c>
      <c r="C126" s="456">
        <v>92429</v>
      </c>
      <c r="D126" s="456">
        <v>89639</v>
      </c>
      <c r="E126" s="456">
        <v>84253</v>
      </c>
      <c r="F126" s="456">
        <v>72255</v>
      </c>
      <c r="G126" s="456">
        <v>78614</v>
      </c>
      <c r="H126" s="1075">
        <f>市町実質!B56</f>
        <v>86611</v>
      </c>
      <c r="I126" s="1075">
        <f>市町実質!C56</f>
        <v>88341</v>
      </c>
      <c r="J126" s="1075">
        <f>市町実質!D56</f>
        <v>93261</v>
      </c>
      <c r="K126" s="1075">
        <f>市町実質!E56</f>
        <v>91942</v>
      </c>
      <c r="L126" s="1075">
        <f>市町実質!F56</f>
        <v>85982</v>
      </c>
      <c r="M126" s="1075">
        <f>市町実質!G56</f>
        <v>85999</v>
      </c>
      <c r="N126" s="1075">
        <f>市町実質!H56</f>
        <v>87827</v>
      </c>
      <c r="O126" s="1075">
        <f>市町実質!I56</f>
        <v>83809</v>
      </c>
      <c r="P126" s="1075">
        <f>市町実質!J56</f>
        <v>79711</v>
      </c>
      <c r="Q126" s="1075">
        <f>市町実質!K56</f>
        <v>76478</v>
      </c>
      <c r="R126" s="1075">
        <f>市町実質!L56</f>
        <v>81483</v>
      </c>
      <c r="S126" s="1075">
        <f>市町実質!M56</f>
        <v>81008</v>
      </c>
      <c r="T126" s="1075">
        <f>市町実質!N56</f>
        <v>73921</v>
      </c>
    </row>
    <row r="127" spans="1:20">
      <c r="A127" s="75">
        <v>225</v>
      </c>
      <c r="B127" s="75" t="s">
        <v>222</v>
      </c>
      <c r="C127" s="456">
        <v>124105</v>
      </c>
      <c r="D127" s="456">
        <v>134197</v>
      </c>
      <c r="E127" s="456">
        <v>126604</v>
      </c>
      <c r="F127" s="456">
        <v>125396</v>
      </c>
      <c r="G127" s="456">
        <v>129783</v>
      </c>
      <c r="H127" s="1075">
        <f>市町実質!B57</f>
        <v>122282</v>
      </c>
      <c r="I127" s="1075">
        <f>市町実質!C57</f>
        <v>119211</v>
      </c>
      <c r="J127" s="1075">
        <f>市町実質!D57</f>
        <v>126576</v>
      </c>
      <c r="K127" s="1075">
        <f>市町実質!E57</f>
        <v>130319</v>
      </c>
      <c r="L127" s="1075">
        <f>市町実質!F57</f>
        <v>128054</v>
      </c>
      <c r="M127" s="1075">
        <f>市町実質!G57</f>
        <v>126388</v>
      </c>
      <c r="N127" s="1075">
        <f>市町実質!H57</f>
        <v>131261</v>
      </c>
      <c r="O127" s="1075">
        <f>市町実質!I57</f>
        <v>126688</v>
      </c>
      <c r="P127" s="1075">
        <f>市町実質!J57</f>
        <v>139348</v>
      </c>
      <c r="Q127" s="1075">
        <f>市町実質!K57</f>
        <v>164905</v>
      </c>
      <c r="R127" s="1075">
        <f>市町実質!L57</f>
        <v>124734</v>
      </c>
      <c r="S127" s="1075">
        <f>市町実質!M57</f>
        <v>114105</v>
      </c>
      <c r="T127" s="1075">
        <f>市町実質!N57</f>
        <v>113442</v>
      </c>
    </row>
    <row r="128" spans="1:20">
      <c r="A128" s="75">
        <v>585</v>
      </c>
      <c r="B128" s="75" t="s">
        <v>220</v>
      </c>
      <c r="C128" s="456">
        <v>62018</v>
      </c>
      <c r="D128" s="456">
        <v>61877</v>
      </c>
      <c r="E128" s="456">
        <v>57947</v>
      </c>
      <c r="F128" s="456">
        <v>55698</v>
      </c>
      <c r="G128" s="456">
        <v>54367</v>
      </c>
      <c r="H128" s="1075">
        <f>市町実質!B58</f>
        <v>52975</v>
      </c>
      <c r="I128" s="1075">
        <f>市町実質!C58</f>
        <v>54409</v>
      </c>
      <c r="J128" s="1075">
        <f>市町実質!D58</f>
        <v>57436</v>
      </c>
      <c r="K128" s="1075">
        <f>市町実質!E58</f>
        <v>56566</v>
      </c>
      <c r="L128" s="1075">
        <f>市町実質!F58</f>
        <v>55509</v>
      </c>
      <c r="M128" s="1075">
        <f>市町実質!G58</f>
        <v>55778</v>
      </c>
      <c r="N128" s="1075">
        <f>市町実質!H58</f>
        <v>58672</v>
      </c>
      <c r="O128" s="1075">
        <f>市町実質!I58</f>
        <v>55674</v>
      </c>
      <c r="P128" s="1075">
        <f>市町実質!J58</f>
        <v>55763</v>
      </c>
      <c r="Q128" s="1075">
        <f>市町実質!K58</f>
        <v>52035</v>
      </c>
      <c r="R128" s="1075">
        <f>市町実質!L58</f>
        <v>51491</v>
      </c>
      <c r="S128" s="1075">
        <f>市町実質!M58</f>
        <v>51825</v>
      </c>
      <c r="T128" s="1075">
        <f>市町実質!N58</f>
        <v>52220</v>
      </c>
    </row>
    <row r="129" spans="1:20">
      <c r="A129" s="75">
        <v>586</v>
      </c>
      <c r="B129" s="75" t="s">
        <v>237</v>
      </c>
      <c r="C129" s="456">
        <v>45981</v>
      </c>
      <c r="D129" s="456">
        <v>45193</v>
      </c>
      <c r="E129" s="456">
        <v>41988</v>
      </c>
      <c r="F129" s="456">
        <v>40287</v>
      </c>
      <c r="G129" s="456">
        <v>39554</v>
      </c>
      <c r="H129" s="1075">
        <f>市町実質!B59</f>
        <v>38761</v>
      </c>
      <c r="I129" s="1075">
        <f>市町実質!C59</f>
        <v>38862</v>
      </c>
      <c r="J129" s="1075">
        <f>市町実質!D59</f>
        <v>43926</v>
      </c>
      <c r="K129" s="1075">
        <f>市町実質!E59</f>
        <v>44329</v>
      </c>
      <c r="L129" s="1075">
        <f>市町実質!F59</f>
        <v>51252</v>
      </c>
      <c r="M129" s="1075">
        <f>市町実質!G59</f>
        <v>43689</v>
      </c>
      <c r="N129" s="1075">
        <f>市町実質!H59</f>
        <v>47214</v>
      </c>
      <c r="O129" s="1075">
        <f>市町実質!I59</f>
        <v>47852</v>
      </c>
      <c r="P129" s="1075">
        <f>市町実質!J59</f>
        <v>47299</v>
      </c>
      <c r="Q129" s="1075">
        <f>市町実質!K59</f>
        <v>43845</v>
      </c>
      <c r="R129" s="1075">
        <f>市町実質!L59</f>
        <v>44004</v>
      </c>
      <c r="S129" s="1075">
        <f>市町実質!M59</f>
        <v>42772</v>
      </c>
      <c r="T129" s="1075">
        <f>市町実質!N59</f>
        <v>44643</v>
      </c>
    </row>
    <row r="130" spans="1:20">
      <c r="A130" s="75">
        <v>8</v>
      </c>
      <c r="B130" s="75" t="s">
        <v>211</v>
      </c>
      <c r="C130" s="1071">
        <f t="shared" ref="C130:H130" si="239">SUM(C131:C132)</f>
        <v>394597</v>
      </c>
      <c r="D130" s="1071">
        <f t="shared" si="239"/>
        <v>411175</v>
      </c>
      <c r="E130" s="1071">
        <f t="shared" si="239"/>
        <v>377214</v>
      </c>
      <c r="F130" s="1071">
        <f t="shared" si="239"/>
        <v>357061</v>
      </c>
      <c r="G130" s="1071">
        <f t="shared" si="239"/>
        <v>373206</v>
      </c>
      <c r="H130" s="1071">
        <f t="shared" si="239"/>
        <v>366777</v>
      </c>
      <c r="I130" s="1071">
        <f t="shared" ref="I130:T130" si="240">SUM(I131:I132)</f>
        <v>295698</v>
      </c>
      <c r="J130" s="1071">
        <f t="shared" si="240"/>
        <v>412702</v>
      </c>
      <c r="K130" s="1071">
        <f t="shared" si="240"/>
        <v>398133</v>
      </c>
      <c r="L130" s="1071">
        <f t="shared" si="240"/>
        <v>418714</v>
      </c>
      <c r="M130" s="1071">
        <f t="shared" si="240"/>
        <v>422068</v>
      </c>
      <c r="N130" s="1071">
        <f t="shared" si="240"/>
        <v>426654</v>
      </c>
      <c r="O130" s="1071">
        <f t="shared" si="240"/>
        <v>438341</v>
      </c>
      <c r="P130" s="1071">
        <f t="shared" si="240"/>
        <v>472616</v>
      </c>
      <c r="Q130" s="1071">
        <f t="shared" si="240"/>
        <v>446621</v>
      </c>
      <c r="R130" s="1071">
        <f t="shared" si="240"/>
        <v>454129</v>
      </c>
      <c r="S130" s="1071">
        <f t="shared" si="240"/>
        <v>454813</v>
      </c>
      <c r="T130" s="1071">
        <f t="shared" si="240"/>
        <v>460281</v>
      </c>
    </row>
    <row r="131" spans="1:20">
      <c r="A131" s="75">
        <v>221</v>
      </c>
      <c r="B131" s="75" t="s">
        <v>1144</v>
      </c>
      <c r="C131" s="456">
        <v>152753</v>
      </c>
      <c r="D131" s="456">
        <v>156099</v>
      </c>
      <c r="E131" s="456">
        <v>147944</v>
      </c>
      <c r="F131" s="456">
        <v>143433</v>
      </c>
      <c r="G131" s="456">
        <v>150523</v>
      </c>
      <c r="H131" s="1075">
        <f>市町実質!B61</f>
        <v>119196</v>
      </c>
      <c r="I131" s="1075">
        <f>市町実質!C61</f>
        <v>51826</v>
      </c>
      <c r="J131" s="1075">
        <f>市町実質!D61</f>
        <v>152079</v>
      </c>
      <c r="K131" s="1075">
        <f>市町実質!E61</f>
        <v>147919</v>
      </c>
      <c r="L131" s="1075">
        <f>市町実質!F61</f>
        <v>158335</v>
      </c>
      <c r="M131" s="1075">
        <f>市町実質!G61</f>
        <v>160986</v>
      </c>
      <c r="N131" s="1075">
        <f>市町実質!H61</f>
        <v>167051</v>
      </c>
      <c r="O131" s="1075">
        <f>市町実質!I61</f>
        <v>183003</v>
      </c>
      <c r="P131" s="1075">
        <f>市町実質!J61</f>
        <v>215529</v>
      </c>
      <c r="Q131" s="1075">
        <f>市町実質!K61</f>
        <v>202952</v>
      </c>
      <c r="R131" s="1075">
        <f>市町実質!L61</f>
        <v>197358</v>
      </c>
      <c r="S131" s="1075">
        <f>市町実質!M61</f>
        <v>199674</v>
      </c>
      <c r="T131" s="1075">
        <f>市町実質!N61</f>
        <v>205011</v>
      </c>
    </row>
    <row r="132" spans="1:20">
      <c r="A132" s="75">
        <v>223</v>
      </c>
      <c r="B132" s="75" t="s">
        <v>223</v>
      </c>
      <c r="C132" s="456">
        <v>241844</v>
      </c>
      <c r="D132" s="456">
        <v>255076</v>
      </c>
      <c r="E132" s="456">
        <v>229270</v>
      </c>
      <c r="F132" s="456">
        <v>213628</v>
      </c>
      <c r="G132" s="456">
        <v>222683</v>
      </c>
      <c r="H132" s="1075">
        <f>市町実質!B62</f>
        <v>247581</v>
      </c>
      <c r="I132" s="1075">
        <f>市町実質!C62</f>
        <v>243872</v>
      </c>
      <c r="J132" s="1075">
        <f>市町実質!D62</f>
        <v>260623</v>
      </c>
      <c r="K132" s="1075">
        <f>市町実質!E62</f>
        <v>250214</v>
      </c>
      <c r="L132" s="1075">
        <f>市町実質!F62</f>
        <v>260379</v>
      </c>
      <c r="M132" s="1075">
        <f>市町実質!G62</f>
        <v>261082</v>
      </c>
      <c r="N132" s="1075">
        <f>市町実質!H62</f>
        <v>259603</v>
      </c>
      <c r="O132" s="1075">
        <f>市町実質!I62</f>
        <v>255338</v>
      </c>
      <c r="P132" s="1075">
        <f>市町実質!J62</f>
        <v>257087</v>
      </c>
      <c r="Q132" s="1075">
        <f>市町実質!K62</f>
        <v>243669</v>
      </c>
      <c r="R132" s="1075">
        <f>市町実質!L62</f>
        <v>256771</v>
      </c>
      <c r="S132" s="1075">
        <f>市町実質!M62</f>
        <v>255139</v>
      </c>
      <c r="T132" s="1075">
        <f>市町実質!N62</f>
        <v>255270</v>
      </c>
    </row>
    <row r="133" spans="1:20">
      <c r="A133" s="75">
        <v>9</v>
      </c>
      <c r="B133" s="75" t="s">
        <v>212</v>
      </c>
      <c r="C133" s="1071">
        <f t="shared" ref="C133:H133" si="241">SUM(C134:C136)</f>
        <v>500905</v>
      </c>
      <c r="D133" s="1071">
        <f t="shared" si="241"/>
        <v>498564</v>
      </c>
      <c r="E133" s="1071">
        <f t="shared" si="241"/>
        <v>476416</v>
      </c>
      <c r="F133" s="1071">
        <f t="shared" si="241"/>
        <v>458119</v>
      </c>
      <c r="G133" s="1071">
        <f t="shared" si="241"/>
        <v>476932</v>
      </c>
      <c r="H133" s="1071">
        <f t="shared" si="241"/>
        <v>455257</v>
      </c>
      <c r="I133" s="1071">
        <f t="shared" ref="I133:T133" si="242">SUM(I134:I136)</f>
        <v>453656</v>
      </c>
      <c r="J133" s="1071">
        <f t="shared" si="242"/>
        <v>464902</v>
      </c>
      <c r="K133" s="1071">
        <f t="shared" si="242"/>
        <v>451446</v>
      </c>
      <c r="L133" s="1071">
        <f t="shared" si="242"/>
        <v>465574</v>
      </c>
      <c r="M133" s="1071">
        <f t="shared" si="242"/>
        <v>469874</v>
      </c>
      <c r="N133" s="1071">
        <f t="shared" si="242"/>
        <v>467903</v>
      </c>
      <c r="O133" s="1071">
        <f t="shared" si="242"/>
        <v>464893</v>
      </c>
      <c r="P133" s="1071">
        <f t="shared" si="242"/>
        <v>466919</v>
      </c>
      <c r="Q133" s="1071">
        <f t="shared" si="242"/>
        <v>435297</v>
      </c>
      <c r="R133" s="1071">
        <f t="shared" si="242"/>
        <v>446308</v>
      </c>
      <c r="S133" s="1071">
        <f t="shared" si="242"/>
        <v>465571</v>
      </c>
      <c r="T133" s="1071">
        <f t="shared" si="242"/>
        <v>478816</v>
      </c>
    </row>
    <row r="134" spans="1:20">
      <c r="A134" s="75">
        <v>205</v>
      </c>
      <c r="B134" s="75" t="s">
        <v>241</v>
      </c>
      <c r="C134" s="456">
        <v>199564</v>
      </c>
      <c r="D134" s="456">
        <v>193678</v>
      </c>
      <c r="E134" s="456">
        <v>179960</v>
      </c>
      <c r="F134" s="456">
        <v>176620</v>
      </c>
      <c r="G134" s="456">
        <v>182729</v>
      </c>
      <c r="H134" s="1075">
        <f>市町実質!B64</f>
        <v>160767</v>
      </c>
      <c r="I134" s="1075">
        <f>市町実質!C64</f>
        <v>159975</v>
      </c>
      <c r="J134" s="1075">
        <f>市町実質!D64</f>
        <v>163582</v>
      </c>
      <c r="K134" s="1075">
        <f>市町実質!E64</f>
        <v>157431</v>
      </c>
      <c r="L134" s="1075">
        <f>市町実質!F64</f>
        <v>166534</v>
      </c>
      <c r="M134" s="1075">
        <f>市町実質!G64</f>
        <v>159754</v>
      </c>
      <c r="N134" s="1075">
        <f>市町実質!H64</f>
        <v>159126</v>
      </c>
      <c r="O134" s="1075">
        <f>市町実質!I64</f>
        <v>157933</v>
      </c>
      <c r="P134" s="1075">
        <f>市町実質!J64</f>
        <v>156777</v>
      </c>
      <c r="Q134" s="1075">
        <f>市町実質!K64</f>
        <v>146403</v>
      </c>
      <c r="R134" s="1075">
        <f>市町実質!L64</f>
        <v>152213</v>
      </c>
      <c r="S134" s="1075">
        <f>市町実質!M64</f>
        <v>164046</v>
      </c>
      <c r="T134" s="1075">
        <f>市町実質!N64</f>
        <v>167283</v>
      </c>
    </row>
    <row r="135" spans="1:20">
      <c r="A135" s="75">
        <v>224</v>
      </c>
      <c r="B135" s="75" t="s">
        <v>224</v>
      </c>
      <c r="C135" s="456">
        <v>159931</v>
      </c>
      <c r="D135" s="456">
        <v>159406</v>
      </c>
      <c r="E135" s="456">
        <v>156311</v>
      </c>
      <c r="F135" s="456">
        <v>147436</v>
      </c>
      <c r="G135" s="456">
        <v>157849</v>
      </c>
      <c r="H135" s="1075">
        <f>市町実質!B65</f>
        <v>158521</v>
      </c>
      <c r="I135" s="1075">
        <f>市町実質!C65</f>
        <v>152248</v>
      </c>
      <c r="J135" s="1075">
        <f>市町実質!D65</f>
        <v>159824</v>
      </c>
      <c r="K135" s="1075">
        <f>市町実質!E65</f>
        <v>156237</v>
      </c>
      <c r="L135" s="1075">
        <f>市町実質!F65</f>
        <v>162026</v>
      </c>
      <c r="M135" s="1075">
        <f>市町実質!G65</f>
        <v>162442</v>
      </c>
      <c r="N135" s="1075">
        <f>市町実質!H65</f>
        <v>163379</v>
      </c>
      <c r="O135" s="1075">
        <f>市町実質!I65</f>
        <v>162094</v>
      </c>
      <c r="P135" s="1075">
        <f>市町実質!J65</f>
        <v>161435</v>
      </c>
      <c r="Q135" s="1075">
        <f>市町実質!K65</f>
        <v>148693</v>
      </c>
      <c r="R135" s="1075">
        <f>市町実質!L65</f>
        <v>146838</v>
      </c>
      <c r="S135" s="1075">
        <f>市町実質!M65</f>
        <v>150390</v>
      </c>
      <c r="T135" s="1075">
        <f>市町実質!N65</f>
        <v>155260</v>
      </c>
    </row>
    <row r="136" spans="1:20">
      <c r="A136" s="132">
        <v>226</v>
      </c>
      <c r="B136" s="132" t="s">
        <v>225</v>
      </c>
      <c r="C136" s="461">
        <v>141410</v>
      </c>
      <c r="D136" s="461">
        <v>145480</v>
      </c>
      <c r="E136" s="461">
        <v>140145</v>
      </c>
      <c r="F136" s="461">
        <v>134063</v>
      </c>
      <c r="G136" s="461">
        <v>136354</v>
      </c>
      <c r="H136" s="1074">
        <f>市町実質!B66</f>
        <v>135969</v>
      </c>
      <c r="I136" s="1074">
        <f>市町実質!C66</f>
        <v>141433</v>
      </c>
      <c r="J136" s="1074">
        <f>市町実質!D66</f>
        <v>141496</v>
      </c>
      <c r="K136" s="1074">
        <f>市町実質!E66</f>
        <v>137778</v>
      </c>
      <c r="L136" s="1074">
        <f>市町実質!F66</f>
        <v>137014</v>
      </c>
      <c r="M136" s="1074">
        <f>市町実質!G66</f>
        <v>147678</v>
      </c>
      <c r="N136" s="1074">
        <f>市町実質!H66</f>
        <v>145398</v>
      </c>
      <c r="O136" s="1074">
        <f>市町実質!I66</f>
        <v>144866</v>
      </c>
      <c r="P136" s="1074">
        <f>市町実質!J66</f>
        <v>148707</v>
      </c>
      <c r="Q136" s="1074">
        <f>市町実質!K66</f>
        <v>140201</v>
      </c>
      <c r="R136" s="1074">
        <f>市町実質!L66</f>
        <v>147257</v>
      </c>
      <c r="S136" s="1074">
        <f>市町実質!M66</f>
        <v>151135</v>
      </c>
      <c r="T136" s="1074">
        <f>市町実質!N66</f>
        <v>156273</v>
      </c>
    </row>
  </sheetData>
  <phoneticPr fontId="1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2</vt:i4>
      </vt:variant>
    </vt:vector>
  </HeadingPairs>
  <TitlesOfParts>
    <vt:vector size="73" baseType="lpstr">
      <vt:lpstr>表紙</vt:lpstr>
      <vt:lpstr>公表予定</vt:lpstr>
      <vt:lpstr>目次</vt:lpstr>
      <vt:lpstr>1推計方法</vt:lpstr>
      <vt:lpstr>2概要グラフ</vt:lpstr>
      <vt:lpstr>3概要統計表1</vt:lpstr>
      <vt:lpstr>4概要統計表2</vt:lpstr>
      <vt:lpstr>5名目時系列</vt:lpstr>
      <vt:lpstr>6実質時系列</vt:lpstr>
      <vt:lpstr>7H18</vt:lpstr>
      <vt:lpstr>8H19</vt:lpstr>
      <vt:lpstr>9H20</vt:lpstr>
      <vt:lpstr>10H21</vt:lpstr>
      <vt:lpstr>11H22</vt:lpstr>
      <vt:lpstr>12H23</vt:lpstr>
      <vt:lpstr>13H24</vt:lpstr>
      <vt:lpstr>14H25</vt:lpstr>
      <vt:lpstr>15H26</vt:lpstr>
      <vt:lpstr>16H27</vt:lpstr>
      <vt:lpstr>17H28</vt:lpstr>
      <vt:lpstr>18H29</vt:lpstr>
      <vt:lpstr>19H30</vt:lpstr>
      <vt:lpstr>20R1</vt:lpstr>
      <vt:lpstr>21R2</vt:lpstr>
      <vt:lpstr>22R3</vt:lpstr>
      <vt:lpstr>23R4</vt:lpstr>
      <vt:lpstr>24R5</vt:lpstr>
      <vt:lpstr>25R6</vt:lpstr>
      <vt:lpstr>26R7</vt:lpstr>
      <vt:lpstr>27R8</vt:lpstr>
      <vt:lpstr>28R9</vt:lpstr>
      <vt:lpstr>デフレーター1</vt:lpstr>
      <vt:lpstr>デフレーター2</vt:lpstr>
      <vt:lpstr>市町内需要</vt:lpstr>
      <vt:lpstr>市町内消費</vt:lpstr>
      <vt:lpstr>市町内投資</vt:lpstr>
      <vt:lpstr>民間消費</vt:lpstr>
      <vt:lpstr>消費支出2</vt:lpstr>
      <vt:lpstr>消費支出2_2</vt:lpstr>
      <vt:lpstr>消費ﾃﾞｰﾀ</vt:lpstr>
      <vt:lpstr>世帯数</vt:lpstr>
      <vt:lpstr>世帯数2</vt:lpstr>
      <vt:lpstr>政府消費</vt:lpstr>
      <vt:lpstr>市町人件費物件費歳出</vt:lpstr>
      <vt:lpstr>人件物件費ﾃﾞｰﾀ2</vt:lpstr>
      <vt:lpstr>人件物件費ﾃﾞｰﾀ</vt:lpstr>
      <vt:lpstr>民間住宅1</vt:lpstr>
      <vt:lpstr>民間住宅2</vt:lpstr>
      <vt:lpstr>民間設備投資計</vt:lpstr>
      <vt:lpstr>民間設備製造1</vt:lpstr>
      <vt:lpstr>民間設備製造2</vt:lpstr>
      <vt:lpstr>民間設備非製造</vt:lpstr>
      <vt:lpstr>民間在庫品増加</vt:lpstr>
      <vt:lpstr>公的投資</vt:lpstr>
      <vt:lpstr>市町土木等歳出</vt:lpstr>
      <vt:lpstr>土木費等ﾃﾞｰﾀ2</vt:lpstr>
      <vt:lpstr>土木費等ﾃﾞｰﾀ</vt:lpstr>
      <vt:lpstr>移出入推計WS</vt:lpstr>
      <vt:lpstr>純移出入</vt:lpstr>
      <vt:lpstr>移輸出</vt:lpstr>
      <vt:lpstr>移輸入</vt:lpstr>
      <vt:lpstr>名目県内総支出</vt:lpstr>
      <vt:lpstr>県名目2</vt:lpstr>
      <vt:lpstr>市町名目</vt:lpstr>
      <vt:lpstr>兵庫QE名目</vt:lpstr>
      <vt:lpstr>２次調整</vt:lpstr>
      <vt:lpstr>実質市町GDP</vt:lpstr>
      <vt:lpstr>市町実質</vt:lpstr>
      <vt:lpstr>実質県内総支出</vt:lpstr>
      <vt:lpstr>兵庫QE実質</vt:lpstr>
      <vt:lpstr>ｱｼﾞｱ太平洋研見通し</vt:lpstr>
      <vt:lpstr>世帯数!Print_Area</vt:lpstr>
      <vt:lpstr>世帯数!Print_Titles</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恒憲 芦谷</cp:lastModifiedBy>
  <cp:lastPrinted>2025-03-18T04:38:24Z</cp:lastPrinted>
  <dcterms:created xsi:type="dcterms:W3CDTF">1997-03-07T05:33:22Z</dcterms:created>
  <dcterms:modified xsi:type="dcterms:W3CDTF">2026-04-13T03:44:29Z</dcterms:modified>
</cp:coreProperties>
</file>